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customProperty12.bin" ContentType="application/vnd.openxmlformats-officedocument.spreadsheetml.customProperty"/>
  <Override PartName="/xl/customProperty23.bin" ContentType="application/vnd.openxmlformats-officedocument.spreadsheetml.customProperty"/>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ustomProperty8.bin" ContentType="application/vnd.openxmlformats-officedocument.spreadsheetml.customProperty"/>
  <Override PartName="/xl/customProperty10.bin" ContentType="application/vnd.openxmlformats-officedocument.spreadsheetml.customProperty"/>
  <Override PartName="/xl/customProperty21.bin" ContentType="application/vnd.openxmlformats-officedocument.spreadsheetml.customProperty"/>
  <Override PartName="/xl/customProperty30.bin" ContentType="application/vnd.openxmlformats-officedocument.spreadsheetml.customProperty"/>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ustomProperty6.bin" ContentType="application/vnd.openxmlformats-officedocument.spreadsheetml.customProperty"/>
  <Default Extension="rels" ContentType="application/vnd.openxmlformats-package.relationships+xml"/>
  <Default Extension="xml" ContentType="application/xml"/>
  <Override PartName="/xl/worksheets/sheet5.xml" ContentType="application/vnd.openxmlformats-officedocument.spreadsheetml.worksheet+xml"/>
  <Override PartName="/xl/customProperty4.bin" ContentType="application/vnd.openxmlformats-officedocument.spreadsheetml.customProperty"/>
  <Override PartName="/xl/worksheets/sheet3.xml" ContentType="application/vnd.openxmlformats-officedocument.spreadsheetml.worksheet+xml"/>
  <Override PartName="/xl/customProperty2.bin" ContentType="application/vnd.openxmlformats-officedocument.spreadsheetml.customProperty"/>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ustomProperty19.bin" ContentType="application/vnd.openxmlformats-officedocument.spreadsheetml.customProperty"/>
  <Override PartName="/xl/customProperty28.bin" ContentType="application/vnd.openxmlformats-officedocument.spreadsheetml.customProperty"/>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ustomProperty17.bin" ContentType="application/vnd.openxmlformats-officedocument.spreadsheetml.customProperty"/>
  <Override PartName="/xl/customProperty26.bin" ContentType="application/vnd.openxmlformats-officedocument.spreadsheetml.customProperty"/>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ustomProperty15.bin" ContentType="application/vnd.openxmlformats-officedocument.spreadsheetml.customProperty"/>
  <Override PartName="/xl/customProperty24.bin" ContentType="application/vnd.openxmlformats-officedocument.spreadsheetml.customProperty"/>
  <Override PartName="/xl/customProperty33.bin" ContentType="application/vnd.openxmlformats-officedocument.spreadsheetml.customProperty"/>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customProperty9.bin" ContentType="application/vnd.openxmlformats-officedocument.spreadsheetml.customProperty"/>
  <Override PartName="/xl/customProperty13.bin" ContentType="application/vnd.openxmlformats-officedocument.spreadsheetml.customProperty"/>
  <Override PartName="/xl/customProperty22.bin" ContentType="application/vnd.openxmlformats-officedocument.spreadsheetml.customProperty"/>
  <Override PartName="/xl/customProperty31.bin" ContentType="application/vnd.openxmlformats-officedocument.spreadsheetml.customProperty"/>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ustomProperty7.bin" ContentType="application/vnd.openxmlformats-officedocument.spreadsheetml.customProperty"/>
  <Override PartName="/xl/customProperty11.bin" ContentType="application/vnd.openxmlformats-officedocument.spreadsheetml.customProperty"/>
  <Override PartName="/xl/customProperty20.bin" ContentType="application/vnd.openxmlformats-officedocument.spreadsheetml.customProperty"/>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ustomProperty5.bin" ContentType="application/vnd.openxmlformats-officedocument.spreadsheetml.customProperty"/>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ustomProperty3.bin" ContentType="application/vnd.openxmlformats-officedocument.spreadsheetml.customProperty"/>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customProperty1.bin" ContentType="application/vnd.openxmlformats-officedocument.spreadsheetml.customProperty"/>
  <Override PartName="/xl/drawings/drawing1.xml" ContentType="application/vnd.openxmlformats-officedocument.drawing+xml"/>
  <Override PartName="/xl/customProperty18.bin" ContentType="application/vnd.openxmlformats-officedocument.spreadsheetml.customProperty"/>
  <Override PartName="/xl/customProperty29.bin" ContentType="application/vnd.openxmlformats-officedocument.spreadsheetml.customProperty"/>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ustomProperty16.bin" ContentType="application/vnd.openxmlformats-officedocument.spreadsheetml.customProperty"/>
  <Override PartName="/xl/customProperty27.bin" ContentType="application/vnd.openxmlformats-officedocument.spreadsheetml.customProperty"/>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ustomProperty14.bin" ContentType="application/vnd.openxmlformats-officedocument.spreadsheetml.customProperty"/>
  <Override PartName="/xl/customProperty25.bin" ContentType="application/vnd.openxmlformats-officedocument.spreadsheetml.customProperty"/>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ustomProperty32.bin" ContentType="application/vnd.openxmlformats-officedocument.spreadsheetml.customPropert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05" yWindow="-105" windowWidth="19425" windowHeight="10425" firstSheet="42" activeTab="42"/>
  </bookViews>
  <sheets>
    <sheet name="январь-декабрь" sheetId="8" state="hidden" r:id="rId1"/>
    <sheet name="январь-декабрь 2011 " sheetId="9" state="hidden" r:id="rId2"/>
    <sheet name="2012 год" sheetId="10" state="hidden" r:id="rId3"/>
    <sheet name="2012 г. согл.расп" sheetId="11" state="hidden" r:id="rId4"/>
    <sheet name="Прил 3" sheetId="13" state="hidden" r:id="rId5"/>
    <sheet name="Прил 4" sheetId="15" state="hidden" r:id="rId6"/>
    <sheet name="Прил 3 изм 2015 (3)" sheetId="18" state="hidden" r:id="rId7"/>
    <sheet name="Прил 4 изм 2015 (2)" sheetId="17" state="hidden" r:id="rId8"/>
    <sheet name="Прил 3 изм 2015 (4)" sheetId="19" state="hidden" r:id="rId9"/>
    <sheet name="старая форма" sheetId="26" state="hidden" r:id="rId10"/>
    <sheet name="16,16А" sheetId="20" state="hidden" r:id="rId11"/>
    <sheet name="16А-кратко (3)" sheetId="22" state="hidden" r:id="rId12"/>
    <sheet name="16А-кратко 1" sheetId="28" state="hidden" r:id="rId13"/>
    <sheet name="лимиты" sheetId="24" state="hidden" r:id="rId14"/>
    <sheet name="16А-кратко с ЛБО" sheetId="25" state="hidden" r:id="rId15"/>
    <sheet name="Лист2" sheetId="29" state="hidden" r:id="rId16"/>
    <sheet name="Лист1" sheetId="31" state="hidden" r:id="rId17"/>
    <sheet name="2019" sheetId="32" state="hidden" r:id="rId18"/>
    <sheet name="Справка" sheetId="33" state="hidden" r:id="rId19"/>
    <sheet name="Справка (2)" sheetId="38" state="hidden" r:id="rId20"/>
    <sheet name="Справка (к планерке)" sheetId="40" state="hidden" r:id="rId21"/>
    <sheet name="вода" sheetId="41" state="hidden" r:id="rId22"/>
    <sheet name="Справка (к планерке) (2)" sheetId="42" state="hidden" r:id="rId23"/>
    <sheet name="Справка (к планерке) (3)" sheetId="44" state="hidden" r:id="rId24"/>
    <sheet name="Справка (к планерке) (4)" sheetId="45" state="hidden" r:id="rId25"/>
    <sheet name="Справка (к планерке) (5)" sheetId="47" state="hidden" r:id="rId26"/>
    <sheet name="НП" sheetId="49" state="hidden" r:id="rId27"/>
    <sheet name="доу школы" sheetId="50" state="hidden" r:id="rId28"/>
    <sheet name="газ, котельные" sheetId="46" state="hidden" r:id="rId29"/>
    <sheet name="для Кристы КБК" sheetId="37" state="hidden" r:id="rId30"/>
    <sheet name="2019 (4)" sheetId="36" state="hidden" r:id="rId31"/>
    <sheet name="2019 (3)" sheetId="34" state="hidden" r:id="rId32"/>
    <sheet name="только школы" sheetId="43" state="hidden" r:id="rId33"/>
    <sheet name="справка АИП" sheetId="51" state="hidden" r:id="rId34"/>
    <sheet name="справка АИП (2)" sheetId="52" state="hidden" r:id="rId35"/>
    <sheet name="Диаграмма" sheetId="53" state="hidden" r:id="rId36"/>
    <sheet name="справка АИП для поправок" sheetId="55" state="hidden" r:id="rId37"/>
    <sheet name="справка АИП (3)" sheetId="54" state="hidden" r:id="rId38"/>
    <sheet name="справка АИП (4)" sheetId="57" state="hidden" r:id="rId39"/>
    <sheet name="ФЦП ." sheetId="60" state="hidden" r:id="rId40"/>
    <sheet name="справка АИП (6)" sheetId="61" state="hidden" r:id="rId41"/>
    <sheet name="справка АИП (10.01)" sheetId="64" state="hidden" r:id="rId42"/>
    <sheet name="приложение 4" sheetId="66" r:id="rId43"/>
    <sheet name="ФЦП-R+К" sheetId="65" state="hidden" r:id="rId44"/>
    <sheet name="Лист4" sheetId="63" state="hidden" r:id="rId45"/>
    <sheet name="ФЦП-1 R" sheetId="67" state="hidden" r:id="rId46"/>
    <sheet name="ФЦП-1 R (для письма Главе-крат)" sheetId="68" state="hidden" r:id="rId47"/>
    <sheet name="к матер фцп 2021-23" sheetId="69" state="hidden" r:id="rId48"/>
    <sheet name="Кемь" sheetId="70" state="hidden" r:id="rId49"/>
    <sheet name="минстрой" sheetId="62" state="hidden" r:id="rId50"/>
    <sheet name="ФЦП" sheetId="59" state="hidden" r:id="rId51"/>
    <sheet name="справка АИП (5)" sheetId="58" state="hidden" r:id="rId52"/>
    <sheet name="Лист3" sheetId="56" state="hidden" r:id="rId53"/>
  </sheets>
  <externalReferences>
    <externalReference r:id="rId54"/>
  </externalReferences>
  <definedNames>
    <definedName name="_xlnm._FilterDatabase" localSheetId="21" hidden="1">вода!$A$12:$Y$12</definedName>
    <definedName name="_xlnm._FilterDatabase" localSheetId="28" hidden="1">'газ, котельные'!$A$11:$H$11</definedName>
    <definedName name="_xlnm._FilterDatabase" localSheetId="27" hidden="1">'доу школы'!$A$11:$H$11</definedName>
    <definedName name="_xlnm._FilterDatabase" localSheetId="47" hidden="1">'к матер фцп 2021-23'!$A$11:$O$362</definedName>
    <definedName name="_xlnm._FilterDatabase" localSheetId="48" hidden="1">Кемь!$A$12:$L$16</definedName>
    <definedName name="_xlnm._FilterDatabase" localSheetId="49" hidden="1">минстрой!$A$11:$W$367</definedName>
    <definedName name="_xlnm._FilterDatabase" localSheetId="26" hidden="1">НП!$A$11:$H$11</definedName>
    <definedName name="_xlnm._FilterDatabase" localSheetId="42" hidden="1">'приложение 4'!$A$10:$F$109</definedName>
    <definedName name="_xlnm._FilterDatabase" localSheetId="20" hidden="1">'Справка (к планерке)'!$A$12:$X$12</definedName>
    <definedName name="_xlnm._FilterDatabase" localSheetId="22" hidden="1">'Справка (к планерке) (2)'!$A$12:$X$12</definedName>
    <definedName name="_xlnm._FilterDatabase" localSheetId="23" hidden="1">'Справка (к планерке) (3)'!$A$11:$X$11</definedName>
    <definedName name="_xlnm._FilterDatabase" localSheetId="24" hidden="1">'Справка (к планерке) (4)'!$A$11:$X$11</definedName>
    <definedName name="_xlnm._FilterDatabase" localSheetId="25" hidden="1">'Справка (к планерке) (5)'!$A$11:$X$11</definedName>
    <definedName name="_xlnm._FilterDatabase" localSheetId="41" hidden="1">'справка АИП (10.01)'!$A$11:$O$362</definedName>
    <definedName name="_xlnm._FilterDatabase" localSheetId="34" hidden="1">'справка АИП (2)'!$A$11:$O$239</definedName>
    <definedName name="_xlnm._FilterDatabase" localSheetId="38" hidden="1">'справка АИП (4)'!$A$11:$W$330</definedName>
    <definedName name="_xlnm._FilterDatabase" localSheetId="51" hidden="1">'справка АИП (5)'!$A$5:$AC$223</definedName>
    <definedName name="_xlnm._FilterDatabase" localSheetId="40" hidden="1">'справка АИП (6)'!$A$11:$O$359</definedName>
    <definedName name="_xlnm._FilterDatabase" localSheetId="36" hidden="1">'справка АИП для поправок'!$S$1:$S$168</definedName>
    <definedName name="_xlnm._FilterDatabase" localSheetId="50" hidden="1">ФЦП!$A$11:$W$129</definedName>
    <definedName name="_xlnm._FilterDatabase" localSheetId="39" hidden="1">'ФЦП .'!$A$11:$W$162</definedName>
    <definedName name="_xlnm._FilterDatabase" localSheetId="45" hidden="1">'ФЦП-1 R'!$A$11:$I$168</definedName>
    <definedName name="_xlnm._FilterDatabase" localSheetId="46" hidden="1">'ФЦП-1 R (для письма Главе-крат)'!$A$11:$I$168</definedName>
    <definedName name="_xlnm._FilterDatabase" localSheetId="43" hidden="1">'ФЦП-R+К'!$A$11:$O$168</definedName>
    <definedName name="_xlnm.Print_Titles" localSheetId="10">'16,16А'!$9:$11</definedName>
    <definedName name="_xlnm.Print_Titles" localSheetId="11">'16А-кратко (3)'!$13:$14</definedName>
    <definedName name="_xlnm.Print_Titles" localSheetId="12">'16А-кратко 1'!$13:$14</definedName>
    <definedName name="_xlnm.Print_Titles" localSheetId="14">'16А-кратко с ЛБО'!$13:$14</definedName>
    <definedName name="_xlnm.Print_Titles" localSheetId="3">'2012 г. согл.расп'!$8:$10</definedName>
    <definedName name="_xlnm.Print_Titles" localSheetId="2">'2012 год'!$8:$10</definedName>
    <definedName name="_xlnm.Print_Titles" localSheetId="17">'2019'!$9:$11</definedName>
    <definedName name="_xlnm.Print_Titles" localSheetId="31">'2019 (3)'!$9:$11</definedName>
    <definedName name="_xlnm.Print_Titles" localSheetId="30">'2019 (4)'!$B:$B,'2019 (4)'!$7:$8</definedName>
    <definedName name="_xlnm.Print_Titles" localSheetId="21">вода!$10:$12</definedName>
    <definedName name="_xlnm.Print_Titles" localSheetId="28">'газ, котельные'!$9:$11</definedName>
    <definedName name="_xlnm.Print_Titles" localSheetId="29">'для Кристы КБК'!$10:$12</definedName>
    <definedName name="_xlnm.Print_Titles" localSheetId="27">'доу школы'!$9:$11</definedName>
    <definedName name="_xlnm.Print_Titles" localSheetId="47">'к матер фцп 2021-23'!$9:$11</definedName>
    <definedName name="_xlnm.Print_Titles" localSheetId="48">Кемь!$10:$12</definedName>
    <definedName name="_xlnm.Print_Titles" localSheetId="13">лимиты!$7:$9</definedName>
    <definedName name="_xlnm.Print_Titles" localSheetId="16">Лист1!$9:$11</definedName>
    <definedName name="_xlnm.Print_Titles" localSheetId="49">минстрой!$9:$11</definedName>
    <definedName name="_xlnm.Print_Titles" localSheetId="26">НП!$9:$11</definedName>
    <definedName name="_xlnm.Print_Titles" localSheetId="4">'Прил 3'!$13:$15</definedName>
    <definedName name="_xlnm.Print_Titles" localSheetId="6">'Прил 3 изм 2015 (3)'!$13:$15</definedName>
    <definedName name="_xlnm.Print_Titles" localSheetId="8">'Прил 3 изм 2015 (4)'!$9:$11</definedName>
    <definedName name="_xlnm.Print_Titles" localSheetId="5">'Прил 4'!$13:$15</definedName>
    <definedName name="_xlnm.Print_Titles" localSheetId="7">'Прил 4 изм 2015 (2)'!$13:$15</definedName>
    <definedName name="_xlnm.Print_Titles" localSheetId="42">'приложение 4'!$8:$10</definedName>
    <definedName name="_xlnm.Print_Titles" localSheetId="18">Справка!$10:$12</definedName>
    <definedName name="_xlnm.Print_Titles" localSheetId="19">'Справка (2)'!$10:$12</definedName>
    <definedName name="_xlnm.Print_Titles" localSheetId="20">'Справка (к планерке)'!$10:$12</definedName>
    <definedName name="_xlnm.Print_Titles" localSheetId="22">'Справка (к планерке) (2)'!$10:$12</definedName>
    <definedName name="_xlnm.Print_Titles" localSheetId="23">'Справка (к планерке) (3)'!$9:$11</definedName>
    <definedName name="_xlnm.Print_Titles" localSheetId="24">'Справка (к планерке) (4)'!$9:$11</definedName>
    <definedName name="_xlnm.Print_Titles" localSheetId="25">'Справка (к планерке) (5)'!$9:$11</definedName>
    <definedName name="_xlnm.Print_Titles" localSheetId="41">'справка АИП (10.01)'!$9:$11</definedName>
    <definedName name="_xlnm.Print_Titles" localSheetId="34">'справка АИП (2)'!$9:$11</definedName>
    <definedName name="_xlnm.Print_Titles" localSheetId="38">'справка АИП (4)'!$9:$11</definedName>
    <definedName name="_xlnm.Print_Titles" localSheetId="51">'справка АИП (5)'!$9:$11</definedName>
    <definedName name="_xlnm.Print_Titles" localSheetId="40">'справка АИП (6)'!$9:$11</definedName>
    <definedName name="_xlnm.Print_Titles" localSheetId="36">'справка АИП для поправок'!$9:$11</definedName>
    <definedName name="_xlnm.Print_Titles" localSheetId="9">'старая форма'!$10:$12</definedName>
    <definedName name="_xlnm.Print_Titles" localSheetId="50">ФЦП!$9:$11</definedName>
    <definedName name="_xlnm.Print_Titles" localSheetId="39">'ФЦП .'!$9:$11</definedName>
    <definedName name="_xlnm.Print_Titles" localSheetId="45">'ФЦП-1 R'!$9:$11</definedName>
    <definedName name="_xlnm.Print_Titles" localSheetId="46">'ФЦП-1 R (для письма Главе-крат)'!$9:$11</definedName>
    <definedName name="_xlnm.Print_Titles" localSheetId="43">'ФЦП-R+К'!$9:$11</definedName>
    <definedName name="_xlnm.Print_Titles" localSheetId="0">'январь-декабрь'!$8:$10</definedName>
    <definedName name="_xlnm.Print_Titles" localSheetId="1">'январь-декабрь 2011 '!$8:$10</definedName>
    <definedName name="_xlnm.Print_Area" localSheetId="10">'16,16А'!$A$2:$N$83</definedName>
    <definedName name="_xlnm.Print_Area" localSheetId="11">'16А-кратко (3)'!$A$2:$N$82</definedName>
    <definedName name="_xlnm.Print_Area" localSheetId="12">'16А-кратко 1'!$A$2:$N$82</definedName>
    <definedName name="_xlnm.Print_Area" localSheetId="14">'16А-кратко с ЛБО'!$A$2:$N$82</definedName>
    <definedName name="_xlnm.Print_Area" localSheetId="3">'2012 г. согл.расп'!$A$2:$E$93</definedName>
    <definedName name="_xlnm.Print_Area" localSheetId="2">'2012 год'!$A$2:$F$92</definedName>
    <definedName name="_xlnm.Print_Area" localSheetId="17">'2019'!$A$1:$P$185</definedName>
    <definedName name="_xlnm.Print_Area" localSheetId="31">'2019 (3)'!$A$1:$P$185</definedName>
    <definedName name="_xlnm.Print_Area" localSheetId="21">вода!$A$5:$W$197</definedName>
    <definedName name="_xlnm.Print_Area" localSheetId="28">'газ, котельные'!$A$1:$H$65</definedName>
    <definedName name="_xlnm.Print_Area" localSheetId="29">'для Кристы КБК'!$A$1:$U$246</definedName>
    <definedName name="_xlnm.Print_Area" localSheetId="27">'доу школы'!$A$1:$O$19</definedName>
    <definedName name="_xlnm.Print_Area" localSheetId="47">'к матер фцп 2021-23'!$A$5:$AA$412</definedName>
    <definedName name="_xlnm.Print_Area" localSheetId="48">Кемь!$A$5:$X$20</definedName>
    <definedName name="_xlnm.Print_Area" localSheetId="13">лимиты!$A$1:$H$95</definedName>
    <definedName name="_xlnm.Print_Area" localSheetId="16">Лист1!$A$1:$P$168</definedName>
    <definedName name="_xlnm.Print_Area" localSheetId="49">минстрой!$A$5:$R$382</definedName>
    <definedName name="_xlnm.Print_Area" localSheetId="26">НП!$A$1:$H$26</definedName>
    <definedName name="_xlnm.Print_Area" localSheetId="4">'Прил 3'!$A$1:$F$64</definedName>
    <definedName name="_xlnm.Print_Area" localSheetId="6">'Прил 3 изм 2015 (3)'!$A$1:$F$100</definedName>
    <definedName name="_xlnm.Print_Area" localSheetId="8">'Прил 3 изм 2015 (4)'!$A$2:$N$47</definedName>
    <definedName name="_xlnm.Print_Area" localSheetId="5">'Прил 4'!$A$2:$E$64</definedName>
    <definedName name="_xlnm.Print_Area" localSheetId="7">'Прил 4 изм 2015 (2)'!$A$1:$F$100</definedName>
    <definedName name="_xlnm.Print_Area" localSheetId="42">'приложение 4'!$A$5:$H$158</definedName>
    <definedName name="_xlnm.Print_Area" localSheetId="18">Справка!$A$1:$O$246</definedName>
    <definedName name="_xlnm.Print_Area" localSheetId="19">'Справка (2)'!$A$1:$O$258</definedName>
    <definedName name="_xlnm.Print_Area" localSheetId="20">'Справка (к планерке)'!$A$1:$W$253</definedName>
    <definedName name="_xlnm.Print_Area" localSheetId="22">'Справка (к планерке) (2)'!$A$1:$W$253</definedName>
    <definedName name="_xlnm.Print_Area" localSheetId="23">'Справка (к планерке) (3)'!$A$1:$W$259</definedName>
    <definedName name="_xlnm.Print_Area" localSheetId="24">'Справка (к планерке) (4)'!$A$1:$W$260</definedName>
    <definedName name="_xlnm.Print_Area" localSheetId="25">'Справка (к планерке) (5)'!$A$1:$W$259</definedName>
    <definedName name="_xlnm.Print_Area" localSheetId="33">'справка АИП'!$A$1:$Q$262</definedName>
    <definedName name="_xlnm.Print_Area" localSheetId="41">'справка АИП (10.01)'!$A$5:$R$412</definedName>
    <definedName name="_xlnm.Print_Area" localSheetId="37">'справка АИП (3)'!$A$1:$T$167</definedName>
    <definedName name="_xlnm.Print_Area" localSheetId="38">'справка АИП (4)'!$A$5:$R$343</definedName>
    <definedName name="_xlnm.Print_Area" localSheetId="51">'справка АИП (5)'!$A$5:$Y$223</definedName>
    <definedName name="_xlnm.Print_Area" localSheetId="40">'справка АИП (6)'!$A$5:$R$409</definedName>
    <definedName name="_xlnm.Print_Area" localSheetId="36">'справка АИП для поправок'!$A$1:$N$161</definedName>
    <definedName name="_xlnm.Print_Area" localSheetId="9">'старая форма'!$A$2:$G$145</definedName>
    <definedName name="_xlnm.Print_Area" localSheetId="32">'только школы'!$A$1:$N$258</definedName>
    <definedName name="_xlnm.Print_Area" localSheetId="50">ФЦП!$A$5:$S$129</definedName>
    <definedName name="_xlnm.Print_Area" localSheetId="39">'ФЦП .'!$A$5:$R$167</definedName>
    <definedName name="_xlnm.Print_Area" localSheetId="45">'ФЦП-1 R'!$A$5:$L$168</definedName>
    <definedName name="_xlnm.Print_Area" localSheetId="46">'ФЦП-1 R (для письма Главе-крат)'!$A$5:$J$168</definedName>
    <definedName name="_xlnm.Print_Area" localSheetId="43">'ФЦП-R+К'!$A$5:$R$168</definedName>
    <definedName name="_xlnm.Print_Area" localSheetId="0">'январь-декабрь'!$A$2:$F$125</definedName>
    <definedName name="_xlnm.Print_Area" localSheetId="1">'январь-декабрь 2011 '!$A$2:$F$141</definedName>
  </definedNames>
  <calcPr calcId="125725" fullPrecision="0"/>
</workbook>
</file>

<file path=xl/calcChain.xml><?xml version="1.0" encoding="utf-8"?>
<calcChain xmlns="http://schemas.openxmlformats.org/spreadsheetml/2006/main">
  <c r="D115" i="66"/>
  <c r="D155"/>
  <c r="C155" s="1"/>
  <c r="C117"/>
  <c r="C118"/>
  <c r="C119"/>
  <c r="C120"/>
  <c r="C121"/>
  <c r="C122"/>
  <c r="C123"/>
  <c r="C124"/>
  <c r="C125"/>
  <c r="C126"/>
  <c r="C127"/>
  <c r="C128"/>
  <c r="C129"/>
  <c r="C130"/>
  <c r="C131"/>
  <c r="C132"/>
  <c r="C133"/>
  <c r="C134"/>
  <c r="C135"/>
  <c r="C136"/>
  <c r="C137"/>
  <c r="C140"/>
  <c r="C141"/>
  <c r="C143"/>
  <c r="C144"/>
  <c r="C146"/>
  <c r="C147"/>
  <c r="C148"/>
  <c r="C149"/>
  <c r="C150"/>
  <c r="C151"/>
  <c r="C152"/>
  <c r="C153"/>
  <c r="C154"/>
  <c r="E142"/>
  <c r="C142" s="1"/>
  <c r="C116"/>
  <c r="E145"/>
  <c r="C145" s="1"/>
  <c r="E139"/>
  <c r="C139" s="1"/>
  <c r="E138"/>
  <c r="C138" s="1"/>
  <c r="E115" l="1"/>
  <c r="C115" s="1"/>
  <c r="E81" l="1"/>
  <c r="E65"/>
  <c r="E38"/>
  <c r="E20"/>
  <c r="E12"/>
  <c r="E88"/>
  <c r="D88"/>
  <c r="D70"/>
  <c r="E85"/>
  <c r="D85"/>
  <c r="D83"/>
  <c r="E84"/>
  <c r="C84" s="1"/>
  <c r="C83" s="1"/>
  <c r="D76"/>
  <c r="D30"/>
  <c r="E77"/>
  <c r="C77" s="1"/>
  <c r="C88" l="1"/>
  <c r="C85"/>
  <c r="E83"/>
  <c r="E76"/>
  <c r="C76" s="1"/>
  <c r="E72" l="1"/>
  <c r="C72" s="1"/>
  <c r="C73"/>
  <c r="C67"/>
  <c r="C68"/>
  <c r="C69"/>
  <c r="C66"/>
  <c r="C63"/>
  <c r="C64"/>
  <c r="C62"/>
  <c r="C60"/>
  <c r="C59"/>
  <c r="E71"/>
  <c r="E70" s="1"/>
  <c r="D65"/>
  <c r="D44"/>
  <c r="E61"/>
  <c r="D61"/>
  <c r="D54"/>
  <c r="C14"/>
  <c r="C15"/>
  <c r="C16"/>
  <c r="C17"/>
  <c r="C18"/>
  <c r="C19"/>
  <c r="C13"/>
  <c r="C33"/>
  <c r="C34"/>
  <c r="C36"/>
  <c r="C37"/>
  <c r="C56"/>
  <c r="C58"/>
  <c r="C55"/>
  <c r="E57"/>
  <c r="C57" s="1"/>
  <c r="C46"/>
  <c r="C47"/>
  <c r="C48"/>
  <c r="C50"/>
  <c r="C51"/>
  <c r="C45"/>
  <c r="E49"/>
  <c r="D38"/>
  <c r="C40"/>
  <c r="C41"/>
  <c r="C42"/>
  <c r="C39"/>
  <c r="E30"/>
  <c r="C31"/>
  <c r="D20"/>
  <c r="C22"/>
  <c r="C23"/>
  <c r="C24"/>
  <c r="C25"/>
  <c r="C26"/>
  <c r="C27"/>
  <c r="C28"/>
  <c r="C29"/>
  <c r="C21"/>
  <c r="D12"/>
  <c r="X13" i="70"/>
  <c r="W13"/>
  <c r="E13"/>
  <c r="H13"/>
  <c r="I13"/>
  <c r="V20"/>
  <c r="K20"/>
  <c r="L20"/>
  <c r="G20"/>
  <c r="J20" s="1"/>
  <c r="D20"/>
  <c r="C49" i="66" l="1"/>
  <c r="E44"/>
  <c r="C44" s="1"/>
  <c r="D11"/>
  <c r="C71"/>
  <c r="C70"/>
  <c r="C65"/>
  <c r="C61"/>
  <c r="E54"/>
  <c r="C54" s="1"/>
  <c r="C38"/>
  <c r="C12"/>
  <c r="C20"/>
  <c r="C30"/>
  <c r="M13" i="70"/>
  <c r="N13"/>
  <c r="V19"/>
  <c r="R19"/>
  <c r="O19"/>
  <c r="L19"/>
  <c r="K19"/>
  <c r="G19"/>
  <c r="J19" s="1"/>
  <c r="F19"/>
  <c r="D19" s="1"/>
  <c r="U19" s="1"/>
  <c r="V17"/>
  <c r="V18"/>
  <c r="K17"/>
  <c r="L17"/>
  <c r="K18"/>
  <c r="L18"/>
  <c r="G17"/>
  <c r="J17" s="1"/>
  <c r="G18"/>
  <c r="J18" s="1"/>
  <c r="D17"/>
  <c r="D18"/>
  <c r="E11" i="66" l="1"/>
  <c r="C11" s="1"/>
  <c r="K14" i="70"/>
  <c r="L14"/>
  <c r="K15"/>
  <c r="L15"/>
  <c r="K16"/>
  <c r="A15"/>
  <c r="A16" s="1"/>
  <c r="V16"/>
  <c r="V15"/>
  <c r="R16"/>
  <c r="O16"/>
  <c r="G16"/>
  <c r="F16"/>
  <c r="D16" s="1"/>
  <c r="U16" s="1"/>
  <c r="R15"/>
  <c r="O15"/>
  <c r="G15"/>
  <c r="D15"/>
  <c r="S13"/>
  <c r="Q13"/>
  <c r="P13"/>
  <c r="R14"/>
  <c r="O14"/>
  <c r="G14"/>
  <c r="F14"/>
  <c r="Y147" i="69"/>
  <c r="Y151"/>
  <c r="Y150"/>
  <c r="Y149"/>
  <c r="Y148"/>
  <c r="Y146"/>
  <c r="Y145"/>
  <c r="Y144"/>
  <c r="Y143"/>
  <c r="Y142"/>
  <c r="Y141"/>
  <c r="Y140"/>
  <c r="Y139"/>
  <c r="Y138"/>
  <c r="Y137"/>
  <c r="Y136"/>
  <c r="Y135"/>
  <c r="Y134"/>
  <c r="Y133"/>
  <c r="AA132"/>
  <c r="AA129" s="1"/>
  <c r="AA131"/>
  <c r="Y131" s="1"/>
  <c r="AA130"/>
  <c r="Y130" s="1"/>
  <c r="Z129"/>
  <c r="Z128" s="1"/>
  <c r="AA126"/>
  <c r="Y126" s="1"/>
  <c r="Y125"/>
  <c r="Z124"/>
  <c r="Z123" s="1"/>
  <c r="Y122"/>
  <c r="AA121"/>
  <c r="Z121"/>
  <c r="AA120"/>
  <c r="AA118"/>
  <c r="AA116" s="1"/>
  <c r="Y118"/>
  <c r="Y117"/>
  <c r="Z116"/>
  <c r="Y115"/>
  <c r="Y114"/>
  <c r="AA113"/>
  <c r="Z113"/>
  <c r="Z112" s="1"/>
  <c r="Y111"/>
  <c r="AA110"/>
  <c r="Z110"/>
  <c r="Y110" s="1"/>
  <c r="AA109"/>
  <c r="Y109" s="1"/>
  <c r="Y108"/>
  <c r="Z107"/>
  <c r="Z106" s="1"/>
  <c r="AA105"/>
  <c r="Y105" s="1"/>
  <c r="Y104"/>
  <c r="AA103"/>
  <c r="AA93" s="1"/>
  <c r="Z103"/>
  <c r="AA100"/>
  <c r="Y100" s="1"/>
  <c r="AA99"/>
  <c r="Z98"/>
  <c r="Z97"/>
  <c r="Z96"/>
  <c r="AA95"/>
  <c r="Z95"/>
  <c r="AA94"/>
  <c r="Z94"/>
  <c r="Y94" s="1"/>
  <c r="Z93"/>
  <c r="Y91"/>
  <c r="Y90"/>
  <c r="AA89"/>
  <c r="Z89"/>
  <c r="Y88"/>
  <c r="AA87"/>
  <c r="Z87"/>
  <c r="Y86"/>
  <c r="AA85"/>
  <c r="AA82" s="1"/>
  <c r="Z85"/>
  <c r="Z82" s="1"/>
  <c r="Z81" s="1"/>
  <c r="Y84"/>
  <c r="AA83"/>
  <c r="Z83"/>
  <c r="Y83" s="1"/>
  <c r="Y79"/>
  <c r="AA78"/>
  <c r="Z78"/>
  <c r="Y78" s="1"/>
  <c r="Y77"/>
  <c r="AA76"/>
  <c r="AA75" s="1"/>
  <c r="Z76"/>
  <c r="Y74"/>
  <c r="Y73"/>
  <c r="Y72"/>
  <c r="Y71"/>
  <c r="AA70"/>
  <c r="Z70"/>
  <c r="Y69"/>
  <c r="Y68"/>
  <c r="Y67"/>
  <c r="AA66"/>
  <c r="Y66" s="1"/>
  <c r="Y65"/>
  <c r="AA64"/>
  <c r="Z64"/>
  <c r="Y64" s="1"/>
  <c r="Y63"/>
  <c r="Y62"/>
  <c r="AA61"/>
  <c r="Z61"/>
  <c r="AA60"/>
  <c r="Y60" s="1"/>
  <c r="Y59"/>
  <c r="Z58"/>
  <c r="Y57"/>
  <c r="AA56"/>
  <c r="Z56"/>
  <c r="AA55"/>
  <c r="Y55" s="1"/>
  <c r="Y54"/>
  <c r="Y53"/>
  <c r="Y52"/>
  <c r="Y51"/>
  <c r="AA50"/>
  <c r="Z50"/>
  <c r="Y49"/>
  <c r="Y48"/>
  <c r="AA47"/>
  <c r="Z47"/>
  <c r="Y47" s="1"/>
  <c r="Y46"/>
  <c r="Y45"/>
  <c r="Y44"/>
  <c r="AA43"/>
  <c r="Z43"/>
  <c r="Y43" s="1"/>
  <c r="AA42"/>
  <c r="Y42" s="1"/>
  <c r="AA41"/>
  <c r="Z41"/>
  <c r="Y41" s="1"/>
  <c r="Y40"/>
  <c r="Y39"/>
  <c r="Y38"/>
  <c r="Y37"/>
  <c r="AA36"/>
  <c r="Z36"/>
  <c r="Y35"/>
  <c r="Y34"/>
  <c r="AA33"/>
  <c r="Z33"/>
  <c r="Y33" s="1"/>
  <c r="Y32"/>
  <c r="AA31"/>
  <c r="Z31"/>
  <c r="AA30"/>
  <c r="AA29" s="1"/>
  <c r="Z29"/>
  <c r="Y28"/>
  <c r="Y27"/>
  <c r="Y26"/>
  <c r="AA25"/>
  <c r="AA24" s="1"/>
  <c r="Z24"/>
  <c r="Y23"/>
  <c r="Y22"/>
  <c r="AA21"/>
  <c r="Z21"/>
  <c r="Y21" s="1"/>
  <c r="Y20"/>
  <c r="AA19"/>
  <c r="Z19"/>
  <c r="Y18"/>
  <c r="Y17"/>
  <c r="AA16"/>
  <c r="Z16"/>
  <c r="AA112" l="1"/>
  <c r="Y116"/>
  <c r="Y29"/>
  <c r="Y36"/>
  <c r="Y87"/>
  <c r="AA98"/>
  <c r="Y98" s="1"/>
  <c r="G13" i="70"/>
  <c r="Y61" i="69"/>
  <c r="AA81"/>
  <c r="AA102"/>
  <c r="AA101" s="1"/>
  <c r="Y50"/>
  <c r="Y56"/>
  <c r="Y76"/>
  <c r="Y95"/>
  <c r="AA58"/>
  <c r="Y58" s="1"/>
  <c r="Y16"/>
  <c r="Y19"/>
  <c r="Y24"/>
  <c r="Y31"/>
  <c r="Y70"/>
  <c r="Z75"/>
  <c r="Y85"/>
  <c r="Y89"/>
  <c r="Z92"/>
  <c r="Z80" s="1"/>
  <c r="Y93"/>
  <c r="AA96"/>
  <c r="Y103"/>
  <c r="AA107"/>
  <c r="AA106" s="1"/>
  <c r="Y106" s="1"/>
  <c r="Y121"/>
  <c r="AA124"/>
  <c r="AA123" s="1"/>
  <c r="Y123" s="1"/>
  <c r="F13" i="70"/>
  <c r="AA15" i="69"/>
  <c r="Y82"/>
  <c r="Y112"/>
  <c r="J14" i="70"/>
  <c r="T13"/>
  <c r="K13"/>
  <c r="J15"/>
  <c r="J16"/>
  <c r="L16"/>
  <c r="L13" s="1"/>
  <c r="R13"/>
  <c r="O13"/>
  <c r="U15"/>
  <c r="D14"/>
  <c r="D13" s="1"/>
  <c r="AA97" i="69"/>
  <c r="Y97" s="1"/>
  <c r="Y129"/>
  <c r="AA128"/>
  <c r="AA127" s="1"/>
  <c r="Y25"/>
  <c r="Y30"/>
  <c r="Y81"/>
  <c r="Y99"/>
  <c r="Z102"/>
  <c r="Y113"/>
  <c r="Z120"/>
  <c r="Y120" s="1"/>
  <c r="Z127"/>
  <c r="Y132"/>
  <c r="Y107"/>
  <c r="Y75" l="1"/>
  <c r="Z15"/>
  <c r="Y127"/>
  <c r="Y96"/>
  <c r="AA92"/>
  <c r="AA80" s="1"/>
  <c r="Y80" s="1"/>
  <c r="AA14"/>
  <c r="AA13" s="1"/>
  <c r="AA12" s="1"/>
  <c r="Y92"/>
  <c r="Y124"/>
  <c r="J13" i="70"/>
  <c r="U14"/>
  <c r="Z101" i="69"/>
  <c r="Y101" s="1"/>
  <c r="Y102"/>
  <c r="Y128"/>
  <c r="Z14" l="1"/>
  <c r="Y15"/>
  <c r="V14" i="70"/>
  <c r="V13" s="1"/>
  <c r="U13"/>
  <c r="Y14" i="69" l="1"/>
  <c r="Z13"/>
  <c r="L401"/>
  <c r="K401"/>
  <c r="I401"/>
  <c r="H401"/>
  <c r="F401"/>
  <c r="E401"/>
  <c r="D401" s="1"/>
  <c r="X399"/>
  <c r="X398"/>
  <c r="X397"/>
  <c r="O396"/>
  <c r="N396"/>
  <c r="J396"/>
  <c r="M396" s="1"/>
  <c r="I396"/>
  <c r="H396"/>
  <c r="G396" s="1"/>
  <c r="D396"/>
  <c r="A396"/>
  <c r="N395"/>
  <c r="J395"/>
  <c r="J394" s="1"/>
  <c r="H395"/>
  <c r="F395"/>
  <c r="I395" s="1"/>
  <c r="O395" s="1"/>
  <c r="D395"/>
  <c r="L394"/>
  <c r="K394"/>
  <c r="N394" s="1"/>
  <c r="E394"/>
  <c r="E391" s="1"/>
  <c r="O393"/>
  <c r="N393"/>
  <c r="J393"/>
  <c r="M393" s="1"/>
  <c r="I393"/>
  <c r="I392" s="1"/>
  <c r="H393"/>
  <c r="D393"/>
  <c r="L392"/>
  <c r="K392"/>
  <c r="N392" s="1"/>
  <c r="F392"/>
  <c r="E392"/>
  <c r="U388"/>
  <c r="R388"/>
  <c r="O388"/>
  <c r="N388"/>
  <c r="J388"/>
  <c r="M388" s="1"/>
  <c r="G388"/>
  <c r="D388"/>
  <c r="W387"/>
  <c r="W385" s="1"/>
  <c r="V387"/>
  <c r="V386" s="1"/>
  <c r="U386" s="1"/>
  <c r="T387"/>
  <c r="T386" s="1"/>
  <c r="S387"/>
  <c r="R387" s="1"/>
  <c r="L387"/>
  <c r="L386" s="1"/>
  <c r="O386" s="1"/>
  <c r="K387"/>
  <c r="K385" s="1"/>
  <c r="I387"/>
  <c r="I386" s="1"/>
  <c r="H387"/>
  <c r="H386" s="1"/>
  <c r="F387"/>
  <c r="F386" s="1"/>
  <c r="E387"/>
  <c r="E386" s="1"/>
  <c r="W386"/>
  <c r="V385"/>
  <c r="U385" s="1"/>
  <c r="E385"/>
  <c r="U384"/>
  <c r="R384"/>
  <c r="O384"/>
  <c r="N384"/>
  <c r="J384"/>
  <c r="M384" s="1"/>
  <c r="G384"/>
  <c r="D384"/>
  <c r="W383"/>
  <c r="W382" s="1"/>
  <c r="V383"/>
  <c r="V382" s="1"/>
  <c r="T383"/>
  <c r="T382" s="1"/>
  <c r="S383"/>
  <c r="L383"/>
  <c r="O383" s="1"/>
  <c r="K383"/>
  <c r="K382" s="1"/>
  <c r="I383"/>
  <c r="I382" s="1"/>
  <c r="H383"/>
  <c r="H382" s="1"/>
  <c r="G382" s="1"/>
  <c r="F383"/>
  <c r="F382" s="1"/>
  <c r="E383"/>
  <c r="U381"/>
  <c r="R381"/>
  <c r="O381"/>
  <c r="N381"/>
  <c r="J381"/>
  <c r="M381" s="1"/>
  <c r="G381"/>
  <c r="D381"/>
  <c r="W380"/>
  <c r="V380"/>
  <c r="T380"/>
  <c r="S380"/>
  <c r="L380"/>
  <c r="O380" s="1"/>
  <c r="K380"/>
  <c r="N380" s="1"/>
  <c r="I380"/>
  <c r="H380"/>
  <c r="F380"/>
  <c r="E380"/>
  <c r="U379"/>
  <c r="R379"/>
  <c r="O379"/>
  <c r="N379"/>
  <c r="J379"/>
  <c r="M379" s="1"/>
  <c r="G379"/>
  <c r="D379"/>
  <c r="W378"/>
  <c r="V378"/>
  <c r="T378"/>
  <c r="S378"/>
  <c r="L378"/>
  <c r="O378" s="1"/>
  <c r="K378"/>
  <c r="N378" s="1"/>
  <c r="J378"/>
  <c r="M378" s="1"/>
  <c r="I378"/>
  <c r="H378"/>
  <c r="F378"/>
  <c r="E378"/>
  <c r="U377"/>
  <c r="R377"/>
  <c r="O377"/>
  <c r="N377"/>
  <c r="J377"/>
  <c r="M377" s="1"/>
  <c r="G377"/>
  <c r="D377"/>
  <c r="X377" s="1"/>
  <c r="W376"/>
  <c r="V376"/>
  <c r="T376"/>
  <c r="S376"/>
  <c r="L376"/>
  <c r="O376" s="1"/>
  <c r="K376"/>
  <c r="N376" s="1"/>
  <c r="I376"/>
  <c r="H376"/>
  <c r="F376"/>
  <c r="E376"/>
  <c r="U375"/>
  <c r="R375"/>
  <c r="O375"/>
  <c r="N375"/>
  <c r="J375"/>
  <c r="M375" s="1"/>
  <c r="G375"/>
  <c r="D375"/>
  <c r="W374"/>
  <c r="V374"/>
  <c r="T374"/>
  <c r="T369" s="1"/>
  <c r="S374"/>
  <c r="L374"/>
  <c r="O374" s="1"/>
  <c r="K374"/>
  <c r="N374" s="1"/>
  <c r="I374"/>
  <c r="H374"/>
  <c r="F374"/>
  <c r="E374"/>
  <c r="U373"/>
  <c r="R373"/>
  <c r="O373"/>
  <c r="N373"/>
  <c r="J373"/>
  <c r="M373" s="1"/>
  <c r="G373"/>
  <c r="D373"/>
  <c r="A373"/>
  <c r="A375" s="1"/>
  <c r="A377" s="1"/>
  <c r="A379" s="1"/>
  <c r="A381" s="1"/>
  <c r="A384" s="1"/>
  <c r="W372"/>
  <c r="V372"/>
  <c r="T372"/>
  <c r="S372"/>
  <c r="L372"/>
  <c r="O372" s="1"/>
  <c r="K372"/>
  <c r="N372" s="1"/>
  <c r="I372"/>
  <c r="H372"/>
  <c r="F372"/>
  <c r="E372"/>
  <c r="U371"/>
  <c r="R371"/>
  <c r="O371"/>
  <c r="N371"/>
  <c r="J371"/>
  <c r="M371" s="1"/>
  <c r="G371"/>
  <c r="D371"/>
  <c r="W370"/>
  <c r="V370"/>
  <c r="T370"/>
  <c r="S370"/>
  <c r="L370"/>
  <c r="K370"/>
  <c r="N370" s="1"/>
  <c r="I370"/>
  <c r="H370"/>
  <c r="G370" s="1"/>
  <c r="F370"/>
  <c r="F369" s="1"/>
  <c r="F368" s="1"/>
  <c r="E370"/>
  <c r="U366"/>
  <c r="R366"/>
  <c r="O366"/>
  <c r="K366"/>
  <c r="J366"/>
  <c r="E366"/>
  <c r="H366" s="1"/>
  <c r="G366" s="1"/>
  <c r="U365"/>
  <c r="R365"/>
  <c r="O365"/>
  <c r="N365"/>
  <c r="J365"/>
  <c r="G365"/>
  <c r="D365"/>
  <c r="U364"/>
  <c r="R364"/>
  <c r="O364"/>
  <c r="K364"/>
  <c r="J364" s="1"/>
  <c r="H364"/>
  <c r="G364" s="1"/>
  <c r="E364"/>
  <c r="D364" s="1"/>
  <c r="U362"/>
  <c r="R362"/>
  <c r="O362"/>
  <c r="N362"/>
  <c r="J362"/>
  <c r="M362" s="1"/>
  <c r="G362"/>
  <c r="D362"/>
  <c r="W361"/>
  <c r="V361"/>
  <c r="U361" s="1"/>
  <c r="T361"/>
  <c r="S361"/>
  <c r="Q361"/>
  <c r="P361"/>
  <c r="L361"/>
  <c r="I361"/>
  <c r="F361"/>
  <c r="O360"/>
  <c r="N360"/>
  <c r="J360"/>
  <c r="G360"/>
  <c r="D360"/>
  <c r="O359"/>
  <c r="N359"/>
  <c r="J359"/>
  <c r="G359"/>
  <c r="D359"/>
  <c r="X358"/>
  <c r="M358"/>
  <c r="L358"/>
  <c r="K358"/>
  <c r="I358"/>
  <c r="H358"/>
  <c r="F358"/>
  <c r="E358"/>
  <c r="U357"/>
  <c r="R357"/>
  <c r="O357"/>
  <c r="N357"/>
  <c r="J357"/>
  <c r="M357" s="1"/>
  <c r="G357"/>
  <c r="D357"/>
  <c r="W356"/>
  <c r="V356"/>
  <c r="T356"/>
  <c r="S356"/>
  <c r="L356"/>
  <c r="O356" s="1"/>
  <c r="K356"/>
  <c r="N356" s="1"/>
  <c r="I356"/>
  <c r="H356"/>
  <c r="F356"/>
  <c r="E356"/>
  <c r="U355"/>
  <c r="U353" s="1"/>
  <c r="R355"/>
  <c r="R353" s="1"/>
  <c r="L355"/>
  <c r="L353" s="1"/>
  <c r="K355"/>
  <c r="N355" s="1"/>
  <c r="G355"/>
  <c r="D355"/>
  <c r="W353"/>
  <c r="V353"/>
  <c r="T353"/>
  <c r="S353"/>
  <c r="Q353"/>
  <c r="P353"/>
  <c r="K353"/>
  <c r="I353"/>
  <c r="H353"/>
  <c r="F353"/>
  <c r="E353"/>
  <c r="U352"/>
  <c r="R352"/>
  <c r="L352"/>
  <c r="O352" s="1"/>
  <c r="K352"/>
  <c r="N352" s="1"/>
  <c r="G352"/>
  <c r="D352"/>
  <c r="W351"/>
  <c r="V351"/>
  <c r="T351"/>
  <c r="S351"/>
  <c r="L351"/>
  <c r="I351"/>
  <c r="H351"/>
  <c r="F351"/>
  <c r="E351"/>
  <c r="U350"/>
  <c r="R350"/>
  <c r="L350"/>
  <c r="K350"/>
  <c r="F350"/>
  <c r="I350" s="1"/>
  <c r="O350" s="1"/>
  <c r="E350"/>
  <c r="H350" s="1"/>
  <c r="U349"/>
  <c r="R349"/>
  <c r="L349"/>
  <c r="K349"/>
  <c r="I349"/>
  <c r="F349"/>
  <c r="E349"/>
  <c r="H349" s="1"/>
  <c r="U348"/>
  <c r="R348"/>
  <c r="J348"/>
  <c r="I348"/>
  <c r="O348" s="1"/>
  <c r="H348"/>
  <c r="N348" s="1"/>
  <c r="D348"/>
  <c r="U347"/>
  <c r="R347"/>
  <c r="L347"/>
  <c r="K347"/>
  <c r="F347"/>
  <c r="I347" s="1"/>
  <c r="E347"/>
  <c r="H347" s="1"/>
  <c r="U346"/>
  <c r="R346"/>
  <c r="J346"/>
  <c r="I346"/>
  <c r="O346" s="1"/>
  <c r="H346"/>
  <c r="N346" s="1"/>
  <c r="D346"/>
  <c r="U345"/>
  <c r="R345"/>
  <c r="L345"/>
  <c r="L342" s="1"/>
  <c r="L341" s="1"/>
  <c r="K345"/>
  <c r="F345"/>
  <c r="I345" s="1"/>
  <c r="E345"/>
  <c r="H345" s="1"/>
  <c r="U344"/>
  <c r="R344"/>
  <c r="L344"/>
  <c r="K344"/>
  <c r="I344"/>
  <c r="O344" s="1"/>
  <c r="F344"/>
  <c r="E344"/>
  <c r="H344" s="1"/>
  <c r="A344"/>
  <c r="A345" s="1"/>
  <c r="A346" s="1"/>
  <c r="A347" s="1"/>
  <c r="A348" s="1"/>
  <c r="A349" s="1"/>
  <c r="A350" s="1"/>
  <c r="A352" s="1"/>
  <c r="A355" s="1"/>
  <c r="O343"/>
  <c r="N343"/>
  <c r="J343"/>
  <c r="M343" s="1"/>
  <c r="G343"/>
  <c r="F343"/>
  <c r="F342" s="1"/>
  <c r="E343"/>
  <c r="W342"/>
  <c r="V342"/>
  <c r="T342"/>
  <c r="S342"/>
  <c r="U340"/>
  <c r="U338" s="1"/>
  <c r="R340"/>
  <c r="N340"/>
  <c r="L340"/>
  <c r="O340" s="1"/>
  <c r="J340"/>
  <c r="M340" s="1"/>
  <c r="G340"/>
  <c r="F340"/>
  <c r="U339"/>
  <c r="R339"/>
  <c r="R338" s="1"/>
  <c r="N339"/>
  <c r="J339"/>
  <c r="F339"/>
  <c r="I339" s="1"/>
  <c r="D339"/>
  <c r="W338"/>
  <c r="V338"/>
  <c r="T338"/>
  <c r="S338"/>
  <c r="Q338"/>
  <c r="Q337" s="1"/>
  <c r="P338"/>
  <c r="P337" s="1"/>
  <c r="L338"/>
  <c r="K338"/>
  <c r="N338" s="1"/>
  <c r="H338"/>
  <c r="E338"/>
  <c r="U336"/>
  <c r="R336"/>
  <c r="O336"/>
  <c r="N336"/>
  <c r="M336"/>
  <c r="J336"/>
  <c r="G336"/>
  <c r="D336"/>
  <c r="W335"/>
  <c r="V335"/>
  <c r="T335"/>
  <c r="S335"/>
  <c r="L335"/>
  <c r="O335" s="1"/>
  <c r="K335"/>
  <c r="N335" s="1"/>
  <c r="I335"/>
  <c r="H335"/>
  <c r="F335"/>
  <c r="E335"/>
  <c r="O334"/>
  <c r="N334"/>
  <c r="J334"/>
  <c r="G334"/>
  <c r="D334"/>
  <c r="L333"/>
  <c r="K333"/>
  <c r="N333" s="1"/>
  <c r="I333"/>
  <c r="H333"/>
  <c r="G333" s="1"/>
  <c r="F333"/>
  <c r="E333"/>
  <c r="D333" s="1"/>
  <c r="U332"/>
  <c r="R332"/>
  <c r="O332"/>
  <c r="N332"/>
  <c r="J332"/>
  <c r="M332" s="1"/>
  <c r="G332"/>
  <c r="D332"/>
  <c r="A332"/>
  <c r="W331"/>
  <c r="V331"/>
  <c r="T331"/>
  <c r="S331"/>
  <c r="L331"/>
  <c r="O331" s="1"/>
  <c r="K331"/>
  <c r="N331" s="1"/>
  <c r="I331"/>
  <c r="H331"/>
  <c r="F331"/>
  <c r="E331"/>
  <c r="U330"/>
  <c r="R330"/>
  <c r="O330"/>
  <c r="N330"/>
  <c r="J330"/>
  <c r="M330" s="1"/>
  <c r="I330"/>
  <c r="G330" s="1"/>
  <c r="F330"/>
  <c r="D330" s="1"/>
  <c r="U329"/>
  <c r="R329"/>
  <c r="L329"/>
  <c r="O329" s="1"/>
  <c r="K329"/>
  <c r="N329" s="1"/>
  <c r="H329"/>
  <c r="E329"/>
  <c r="O328"/>
  <c r="N328"/>
  <c r="J328"/>
  <c r="M328" s="1"/>
  <c r="G328"/>
  <c r="D328"/>
  <c r="U327"/>
  <c r="R327"/>
  <c r="O327"/>
  <c r="N327"/>
  <c r="J327"/>
  <c r="G327"/>
  <c r="M327" s="1"/>
  <c r="D327"/>
  <c r="U326"/>
  <c r="R326"/>
  <c r="O326"/>
  <c r="N326"/>
  <c r="J326"/>
  <c r="G326"/>
  <c r="D326"/>
  <c r="U325"/>
  <c r="R325"/>
  <c r="O325"/>
  <c r="N325"/>
  <c r="J325"/>
  <c r="G325"/>
  <c r="D325"/>
  <c r="U324"/>
  <c r="R324"/>
  <c r="O324"/>
  <c r="N324"/>
  <c r="J324"/>
  <c r="G324"/>
  <c r="D324"/>
  <c r="U323"/>
  <c r="R323"/>
  <c r="O323"/>
  <c r="N323"/>
  <c r="J323"/>
  <c r="M323" s="1"/>
  <c r="G323"/>
  <c r="D323"/>
  <c r="U322"/>
  <c r="R322"/>
  <c r="O322"/>
  <c r="N322"/>
  <c r="J322"/>
  <c r="M322" s="1"/>
  <c r="I322"/>
  <c r="G322" s="1"/>
  <c r="F322"/>
  <c r="D322" s="1"/>
  <c r="U321"/>
  <c r="R321"/>
  <c r="O321"/>
  <c r="N321"/>
  <c r="J321"/>
  <c r="M321" s="1"/>
  <c r="G321"/>
  <c r="D321"/>
  <c r="U320"/>
  <c r="R320"/>
  <c r="O320"/>
  <c r="N320"/>
  <c r="J320"/>
  <c r="M320" s="1"/>
  <c r="G320"/>
  <c r="D320"/>
  <c r="A320"/>
  <c r="A322" s="1"/>
  <c r="A323" s="1"/>
  <c r="A324" s="1"/>
  <c r="A325" s="1"/>
  <c r="A326" s="1"/>
  <c r="A327" s="1"/>
  <c r="U319"/>
  <c r="R319"/>
  <c r="O319"/>
  <c r="N319"/>
  <c r="J319"/>
  <c r="M319" s="1"/>
  <c r="I319"/>
  <c r="G319" s="1"/>
  <c r="D319"/>
  <c r="W318"/>
  <c r="V318"/>
  <c r="T318"/>
  <c r="S318"/>
  <c r="Q318"/>
  <c r="Q317" s="1"/>
  <c r="P318"/>
  <c r="P317" s="1"/>
  <c r="L318"/>
  <c r="K318"/>
  <c r="H318"/>
  <c r="E318"/>
  <c r="U314"/>
  <c r="R314"/>
  <c r="O314"/>
  <c r="N314"/>
  <c r="J314"/>
  <c r="M314" s="1"/>
  <c r="G314"/>
  <c r="D314"/>
  <c r="U313"/>
  <c r="R313"/>
  <c r="O313"/>
  <c r="N313"/>
  <c r="J313"/>
  <c r="M313" s="1"/>
  <c r="G313"/>
  <c r="D313"/>
  <c r="U312"/>
  <c r="R312"/>
  <c r="O312"/>
  <c r="J312"/>
  <c r="I312"/>
  <c r="H312"/>
  <c r="N312" s="1"/>
  <c r="E312"/>
  <c r="D312" s="1"/>
  <c r="O311"/>
  <c r="N311"/>
  <c r="J311"/>
  <c r="M311" s="1"/>
  <c r="I311"/>
  <c r="H311"/>
  <c r="D311"/>
  <c r="N310"/>
  <c r="J310"/>
  <c r="I310"/>
  <c r="O310" s="1"/>
  <c r="H310"/>
  <c r="D310"/>
  <c r="O309"/>
  <c r="N309"/>
  <c r="J309"/>
  <c r="G309"/>
  <c r="F309"/>
  <c r="D309" s="1"/>
  <c r="U308"/>
  <c r="R308"/>
  <c r="N308"/>
  <c r="J308"/>
  <c r="I308"/>
  <c r="G308" s="1"/>
  <c r="F308"/>
  <c r="D308" s="1"/>
  <c r="U307"/>
  <c r="R307"/>
  <c r="N307"/>
  <c r="J307"/>
  <c r="I307"/>
  <c r="G307" s="1"/>
  <c r="D307"/>
  <c r="W306"/>
  <c r="V306"/>
  <c r="T306"/>
  <c r="S306"/>
  <c r="L306"/>
  <c r="K306"/>
  <c r="U305"/>
  <c r="R305"/>
  <c r="J305"/>
  <c r="I305"/>
  <c r="O305" s="1"/>
  <c r="H305"/>
  <c r="N305" s="1"/>
  <c r="D305"/>
  <c r="U304"/>
  <c r="R304"/>
  <c r="J304"/>
  <c r="I304"/>
  <c r="O304" s="1"/>
  <c r="H304"/>
  <c r="N304" s="1"/>
  <c r="D304"/>
  <c r="W303"/>
  <c r="V303"/>
  <c r="U303"/>
  <c r="T303"/>
  <c r="S303"/>
  <c r="R303" s="1"/>
  <c r="L303"/>
  <c r="K303"/>
  <c r="F303"/>
  <c r="E303"/>
  <c r="U302"/>
  <c r="R302"/>
  <c r="L302"/>
  <c r="K302"/>
  <c r="N302" s="1"/>
  <c r="G302"/>
  <c r="D302"/>
  <c r="W301"/>
  <c r="V301"/>
  <c r="T301"/>
  <c r="S301"/>
  <c r="R301" s="1"/>
  <c r="I301"/>
  <c r="H301"/>
  <c r="F301"/>
  <c r="E301"/>
  <c r="U300"/>
  <c r="R300"/>
  <c r="O300"/>
  <c r="N300"/>
  <c r="J300"/>
  <c r="M300" s="1"/>
  <c r="I300"/>
  <c r="H300"/>
  <c r="D300"/>
  <c r="O299"/>
  <c r="N299"/>
  <c r="J299"/>
  <c r="M299" s="1"/>
  <c r="I299"/>
  <c r="H299"/>
  <c r="G299" s="1"/>
  <c r="D299"/>
  <c r="U298"/>
  <c r="R298"/>
  <c r="L298"/>
  <c r="O298" s="1"/>
  <c r="K298"/>
  <c r="N298" s="1"/>
  <c r="F298"/>
  <c r="E298"/>
  <c r="U297"/>
  <c r="R297"/>
  <c r="J297"/>
  <c r="I297"/>
  <c r="O297" s="1"/>
  <c r="H297"/>
  <c r="N297" s="1"/>
  <c r="D297"/>
  <c r="J296"/>
  <c r="I296"/>
  <c r="O296" s="1"/>
  <c r="H296"/>
  <c r="D296"/>
  <c r="U295"/>
  <c r="R295"/>
  <c r="L295"/>
  <c r="K295"/>
  <c r="F295"/>
  <c r="E295"/>
  <c r="O294"/>
  <c r="N294"/>
  <c r="J294"/>
  <c r="M294" s="1"/>
  <c r="I294"/>
  <c r="H294"/>
  <c r="D294"/>
  <c r="U293"/>
  <c r="R293"/>
  <c r="J293"/>
  <c r="I293"/>
  <c r="O293" s="1"/>
  <c r="H293"/>
  <c r="D293"/>
  <c r="J292"/>
  <c r="I292"/>
  <c r="H292"/>
  <c r="N292" s="1"/>
  <c r="D292"/>
  <c r="U291"/>
  <c r="R291"/>
  <c r="L291"/>
  <c r="K291"/>
  <c r="F291"/>
  <c r="E291"/>
  <c r="O290"/>
  <c r="N290"/>
  <c r="J290"/>
  <c r="M290" s="1"/>
  <c r="I290"/>
  <c r="H290"/>
  <c r="D290"/>
  <c r="U289"/>
  <c r="R289"/>
  <c r="O289"/>
  <c r="N289"/>
  <c r="J289"/>
  <c r="M289" s="1"/>
  <c r="I289"/>
  <c r="H289"/>
  <c r="D289"/>
  <c r="U288"/>
  <c r="R288"/>
  <c r="J288"/>
  <c r="I288"/>
  <c r="O288" s="1"/>
  <c r="H288"/>
  <c r="N288" s="1"/>
  <c r="D288"/>
  <c r="U287"/>
  <c r="R287"/>
  <c r="L287"/>
  <c r="K287"/>
  <c r="F287"/>
  <c r="E287"/>
  <c r="D287"/>
  <c r="U286"/>
  <c r="R286"/>
  <c r="J286"/>
  <c r="I286"/>
  <c r="O286" s="1"/>
  <c r="H286"/>
  <c r="N286" s="1"/>
  <c r="D286"/>
  <c r="U285"/>
  <c r="R285"/>
  <c r="J285"/>
  <c r="H285"/>
  <c r="F285"/>
  <c r="I285" s="1"/>
  <c r="U284"/>
  <c r="R284"/>
  <c r="L284"/>
  <c r="K284"/>
  <c r="E284"/>
  <c r="U283"/>
  <c r="R283"/>
  <c r="O283"/>
  <c r="N283"/>
  <c r="J283"/>
  <c r="M283" s="1"/>
  <c r="I283"/>
  <c r="I282" s="1"/>
  <c r="H283"/>
  <c r="D283"/>
  <c r="U282"/>
  <c r="R282"/>
  <c r="L282"/>
  <c r="O282" s="1"/>
  <c r="K282"/>
  <c r="N282" s="1"/>
  <c r="F282"/>
  <c r="E282"/>
  <c r="U281"/>
  <c r="R281"/>
  <c r="N281"/>
  <c r="J281"/>
  <c r="I281"/>
  <c r="O281" s="1"/>
  <c r="H281"/>
  <c r="F281"/>
  <c r="D281" s="1"/>
  <c r="U280"/>
  <c r="R280"/>
  <c r="L280"/>
  <c r="L277" s="1"/>
  <c r="K280"/>
  <c r="K277" s="1"/>
  <c r="F280"/>
  <c r="E280"/>
  <c r="H280" s="1"/>
  <c r="O279"/>
  <c r="N279"/>
  <c r="J279"/>
  <c r="M279" s="1"/>
  <c r="I279"/>
  <c r="H279"/>
  <c r="D279"/>
  <c r="U278"/>
  <c r="R278"/>
  <c r="J278"/>
  <c r="I278"/>
  <c r="O278" s="1"/>
  <c r="H278"/>
  <c r="N278" s="1"/>
  <c r="D278"/>
  <c r="U277"/>
  <c r="R277"/>
  <c r="U276"/>
  <c r="R276"/>
  <c r="N276"/>
  <c r="J276"/>
  <c r="I276"/>
  <c r="O276" s="1"/>
  <c r="H276"/>
  <c r="D276"/>
  <c r="U275"/>
  <c r="R275"/>
  <c r="J275"/>
  <c r="I275"/>
  <c r="O275" s="1"/>
  <c r="H275"/>
  <c r="D275"/>
  <c r="U274"/>
  <c r="R274"/>
  <c r="L274"/>
  <c r="K274"/>
  <c r="F274"/>
  <c r="E274"/>
  <c r="U273"/>
  <c r="R273"/>
  <c r="N273"/>
  <c r="J273"/>
  <c r="I273"/>
  <c r="O273" s="1"/>
  <c r="H273"/>
  <c r="H271" s="1"/>
  <c r="F273"/>
  <c r="D273" s="1"/>
  <c r="U272"/>
  <c r="R272"/>
  <c r="J272"/>
  <c r="I272"/>
  <c r="O272" s="1"/>
  <c r="H272"/>
  <c r="N272" s="1"/>
  <c r="D272"/>
  <c r="U271"/>
  <c r="R271"/>
  <c r="L271"/>
  <c r="K271"/>
  <c r="E271"/>
  <c r="U270"/>
  <c r="R270"/>
  <c r="O270"/>
  <c r="N270"/>
  <c r="J270"/>
  <c r="M270" s="1"/>
  <c r="I270"/>
  <c r="H270"/>
  <c r="D270"/>
  <c r="U269"/>
  <c r="R269"/>
  <c r="J269"/>
  <c r="I269"/>
  <c r="O269" s="1"/>
  <c r="H269"/>
  <c r="D269"/>
  <c r="W268"/>
  <c r="W199" s="1"/>
  <c r="V268"/>
  <c r="U268"/>
  <c r="T268"/>
  <c r="T199" s="1"/>
  <c r="S268"/>
  <c r="S199" s="1"/>
  <c r="Q268"/>
  <c r="P268"/>
  <c r="L268"/>
  <c r="K268"/>
  <c r="F268"/>
  <c r="E268"/>
  <c r="U267"/>
  <c r="R267"/>
  <c r="O267"/>
  <c r="N267"/>
  <c r="J267"/>
  <c r="M267" s="1"/>
  <c r="I267"/>
  <c r="H267"/>
  <c r="D267"/>
  <c r="U266"/>
  <c r="R266"/>
  <c r="L266"/>
  <c r="O266" s="1"/>
  <c r="K266"/>
  <c r="N266" s="1"/>
  <c r="H266"/>
  <c r="F266"/>
  <c r="E266"/>
  <c r="O265"/>
  <c r="N265"/>
  <c r="J265"/>
  <c r="M265" s="1"/>
  <c r="I265"/>
  <c r="H265"/>
  <c r="D265"/>
  <c r="J264"/>
  <c r="I264"/>
  <c r="O264" s="1"/>
  <c r="H264"/>
  <c r="N264" s="1"/>
  <c r="D264"/>
  <c r="O263"/>
  <c r="N263"/>
  <c r="J263"/>
  <c r="M263" s="1"/>
  <c r="I263"/>
  <c r="H263"/>
  <c r="D263"/>
  <c r="U262"/>
  <c r="R262"/>
  <c r="L262"/>
  <c r="K262"/>
  <c r="F262"/>
  <c r="E262"/>
  <c r="D262" s="1"/>
  <c r="O261"/>
  <c r="N261"/>
  <c r="J261"/>
  <c r="M261" s="1"/>
  <c r="I261"/>
  <c r="H261"/>
  <c r="D261"/>
  <c r="J260"/>
  <c r="I260"/>
  <c r="O260" s="1"/>
  <c r="H260"/>
  <c r="D260"/>
  <c r="J259"/>
  <c r="I259"/>
  <c r="I258" s="1"/>
  <c r="H259"/>
  <c r="D259"/>
  <c r="U258"/>
  <c r="R258"/>
  <c r="L258"/>
  <c r="K258"/>
  <c r="F258"/>
  <c r="E258"/>
  <c r="D258" s="1"/>
  <c r="N257"/>
  <c r="J257"/>
  <c r="I257"/>
  <c r="O257" s="1"/>
  <c r="H257"/>
  <c r="G257" s="1"/>
  <c r="D257"/>
  <c r="J256"/>
  <c r="I256"/>
  <c r="O256" s="1"/>
  <c r="H256"/>
  <c r="N256" s="1"/>
  <c r="D256"/>
  <c r="U255"/>
  <c r="R255"/>
  <c r="L255"/>
  <c r="K255"/>
  <c r="F255"/>
  <c r="E255"/>
  <c r="O254"/>
  <c r="N254"/>
  <c r="J254"/>
  <c r="M254" s="1"/>
  <c r="I254"/>
  <c r="H254"/>
  <c r="D254"/>
  <c r="O253"/>
  <c r="N253"/>
  <c r="J253"/>
  <c r="M253" s="1"/>
  <c r="I253"/>
  <c r="H253"/>
  <c r="D253"/>
  <c r="U252"/>
  <c r="R252"/>
  <c r="L252"/>
  <c r="O252" s="1"/>
  <c r="K252"/>
  <c r="F252"/>
  <c r="E252"/>
  <c r="N251"/>
  <c r="J251"/>
  <c r="I251"/>
  <c r="O251" s="1"/>
  <c r="H251"/>
  <c r="D251"/>
  <c r="O250"/>
  <c r="N250"/>
  <c r="J250"/>
  <c r="M250" s="1"/>
  <c r="I250"/>
  <c r="H250"/>
  <c r="G250"/>
  <c r="D250"/>
  <c r="L249"/>
  <c r="K249"/>
  <c r="N249" s="1"/>
  <c r="I249"/>
  <c r="F249"/>
  <c r="E249"/>
  <c r="U248"/>
  <c r="R248"/>
  <c r="N248"/>
  <c r="J248"/>
  <c r="I248"/>
  <c r="O248" s="1"/>
  <c r="H248"/>
  <c r="G248" s="1"/>
  <c r="D248"/>
  <c r="L247"/>
  <c r="J247" s="1"/>
  <c r="I247"/>
  <c r="H247"/>
  <c r="D247"/>
  <c r="U246"/>
  <c r="R246"/>
  <c r="K246"/>
  <c r="F246"/>
  <c r="E246"/>
  <c r="J245"/>
  <c r="I245"/>
  <c r="O245" s="1"/>
  <c r="H245"/>
  <c r="N245" s="1"/>
  <c r="D245"/>
  <c r="J244"/>
  <c r="I244"/>
  <c r="O244" s="1"/>
  <c r="H244"/>
  <c r="D244"/>
  <c r="U243"/>
  <c r="R243"/>
  <c r="L243"/>
  <c r="K243"/>
  <c r="F243"/>
  <c r="E243"/>
  <c r="K242"/>
  <c r="J242" s="1"/>
  <c r="I242"/>
  <c r="O242" s="1"/>
  <c r="H242"/>
  <c r="D242"/>
  <c r="O241"/>
  <c r="N241"/>
  <c r="J241"/>
  <c r="M241" s="1"/>
  <c r="I241"/>
  <c r="H241"/>
  <c r="D241"/>
  <c r="O240"/>
  <c r="N240"/>
  <c r="J240"/>
  <c r="M240" s="1"/>
  <c r="I240"/>
  <c r="H240"/>
  <c r="D240"/>
  <c r="U239"/>
  <c r="R239"/>
  <c r="L239"/>
  <c r="F239"/>
  <c r="E239"/>
  <c r="U238"/>
  <c r="R238"/>
  <c r="N238"/>
  <c r="L238"/>
  <c r="O238" s="1"/>
  <c r="H238"/>
  <c r="G238" s="1"/>
  <c r="D238"/>
  <c r="J237"/>
  <c r="I237"/>
  <c r="O237" s="1"/>
  <c r="H237"/>
  <c r="D237"/>
  <c r="U236"/>
  <c r="R236"/>
  <c r="J236"/>
  <c r="H236"/>
  <c r="N236" s="1"/>
  <c r="F236"/>
  <c r="I236" s="1"/>
  <c r="U235"/>
  <c r="R235"/>
  <c r="L235"/>
  <c r="K235"/>
  <c r="E235"/>
  <c r="L234"/>
  <c r="L232" s="1"/>
  <c r="K234"/>
  <c r="F234"/>
  <c r="I234" s="1"/>
  <c r="E234"/>
  <c r="H234" s="1"/>
  <c r="O233"/>
  <c r="N233"/>
  <c r="M233"/>
  <c r="J233"/>
  <c r="I233"/>
  <c r="H233"/>
  <c r="D233"/>
  <c r="U232"/>
  <c r="R232"/>
  <c r="K232"/>
  <c r="O231"/>
  <c r="N231"/>
  <c r="M231"/>
  <c r="J231"/>
  <c r="I231"/>
  <c r="H231"/>
  <c r="D231"/>
  <c r="J230"/>
  <c r="I230"/>
  <c r="O230" s="1"/>
  <c r="H230"/>
  <c r="D230"/>
  <c r="O229"/>
  <c r="N229"/>
  <c r="J229"/>
  <c r="M229" s="1"/>
  <c r="I229"/>
  <c r="I228" s="1"/>
  <c r="H229"/>
  <c r="D229"/>
  <c r="U228"/>
  <c r="R228"/>
  <c r="L228"/>
  <c r="K228"/>
  <c r="F228"/>
  <c r="E228"/>
  <c r="J227"/>
  <c r="I227"/>
  <c r="O227" s="1"/>
  <c r="H227"/>
  <c r="D227"/>
  <c r="J226"/>
  <c r="I226"/>
  <c r="O226" s="1"/>
  <c r="H226"/>
  <c r="H201" s="1"/>
  <c r="D226"/>
  <c r="O225"/>
  <c r="N225"/>
  <c r="J225"/>
  <c r="I225"/>
  <c r="H225"/>
  <c r="D225"/>
  <c r="U224"/>
  <c r="R224"/>
  <c r="L224"/>
  <c r="K224"/>
  <c r="F224"/>
  <c r="E224"/>
  <c r="J223"/>
  <c r="F223"/>
  <c r="I223" s="1"/>
  <c r="O223" s="1"/>
  <c r="E223"/>
  <c r="H223" s="1"/>
  <c r="O222"/>
  <c r="N222"/>
  <c r="J222"/>
  <c r="M222" s="1"/>
  <c r="I222"/>
  <c r="H222"/>
  <c r="D222"/>
  <c r="U221"/>
  <c r="R221"/>
  <c r="L221"/>
  <c r="K221"/>
  <c r="L220"/>
  <c r="K220"/>
  <c r="K218" s="1"/>
  <c r="F220"/>
  <c r="I220" s="1"/>
  <c r="E220"/>
  <c r="H220" s="1"/>
  <c r="G220" s="1"/>
  <c r="O219"/>
  <c r="N219"/>
  <c r="J219"/>
  <c r="M219" s="1"/>
  <c r="I219"/>
  <c r="H219"/>
  <c r="D219"/>
  <c r="U218"/>
  <c r="R218"/>
  <c r="O217"/>
  <c r="N217"/>
  <c r="J217"/>
  <c r="M217" s="1"/>
  <c r="I217"/>
  <c r="H217"/>
  <c r="D217"/>
  <c r="O216"/>
  <c r="N216"/>
  <c r="J216"/>
  <c r="M216" s="1"/>
  <c r="I216"/>
  <c r="I215" s="1"/>
  <c r="H216"/>
  <c r="D216"/>
  <c r="U215"/>
  <c r="R215"/>
  <c r="L215"/>
  <c r="O215" s="1"/>
  <c r="K215"/>
  <c r="N215" s="1"/>
  <c r="F215"/>
  <c r="E215"/>
  <c r="K214"/>
  <c r="I214"/>
  <c r="I212" s="1"/>
  <c r="H214"/>
  <c r="H212" s="1"/>
  <c r="G214"/>
  <c r="F214"/>
  <c r="F212" s="1"/>
  <c r="E214"/>
  <c r="O213"/>
  <c r="N213"/>
  <c r="J213"/>
  <c r="G213"/>
  <c r="D213"/>
  <c r="U212"/>
  <c r="R212"/>
  <c r="L212"/>
  <c r="O212" s="1"/>
  <c r="N211"/>
  <c r="L211"/>
  <c r="H211"/>
  <c r="F211"/>
  <c r="D211" s="1"/>
  <c r="L210"/>
  <c r="L207" s="1"/>
  <c r="K210"/>
  <c r="K207" s="1"/>
  <c r="F210"/>
  <c r="I210" s="1"/>
  <c r="E210"/>
  <c r="H210" s="1"/>
  <c r="O209"/>
  <c r="N209"/>
  <c r="J209"/>
  <c r="M209" s="1"/>
  <c r="I209"/>
  <c r="H209"/>
  <c r="G209" s="1"/>
  <c r="D209"/>
  <c r="O208"/>
  <c r="N208"/>
  <c r="M208"/>
  <c r="I208"/>
  <c r="H208"/>
  <c r="U206"/>
  <c r="R206"/>
  <c r="N206"/>
  <c r="J206"/>
  <c r="I206"/>
  <c r="H206"/>
  <c r="F206"/>
  <c r="D206" s="1"/>
  <c r="J205"/>
  <c r="I205"/>
  <c r="O205" s="1"/>
  <c r="H205"/>
  <c r="D205"/>
  <c r="U204"/>
  <c r="R204"/>
  <c r="L204"/>
  <c r="K204"/>
  <c r="E204"/>
  <c r="K203"/>
  <c r="E203"/>
  <c r="L201"/>
  <c r="K201"/>
  <c r="F201"/>
  <c r="E201"/>
  <c r="L200"/>
  <c r="K200"/>
  <c r="F200"/>
  <c r="E200"/>
  <c r="V199"/>
  <c r="Q199"/>
  <c r="P199"/>
  <c r="U197"/>
  <c r="R197"/>
  <c r="O197"/>
  <c r="N197"/>
  <c r="J197"/>
  <c r="M197" s="1"/>
  <c r="G197"/>
  <c r="D197"/>
  <c r="W196"/>
  <c r="V196"/>
  <c r="T196"/>
  <c r="S196"/>
  <c r="L196"/>
  <c r="O196" s="1"/>
  <c r="K196"/>
  <c r="N196" s="1"/>
  <c r="I196"/>
  <c r="H196"/>
  <c r="G196" s="1"/>
  <c r="F196"/>
  <c r="E196"/>
  <c r="U195"/>
  <c r="R195"/>
  <c r="J195"/>
  <c r="H195"/>
  <c r="N195" s="1"/>
  <c r="F195"/>
  <c r="I195" s="1"/>
  <c r="W194"/>
  <c r="V194"/>
  <c r="T194"/>
  <c r="S194"/>
  <c r="L194"/>
  <c r="K194"/>
  <c r="H194"/>
  <c r="F194"/>
  <c r="E194"/>
  <c r="D194" s="1"/>
  <c r="U193"/>
  <c r="R193"/>
  <c r="O193"/>
  <c r="N193"/>
  <c r="J193"/>
  <c r="J190" s="1"/>
  <c r="M190" s="1"/>
  <c r="G193"/>
  <c r="G190" s="1"/>
  <c r="D193"/>
  <c r="D190" s="1"/>
  <c r="U192"/>
  <c r="R192"/>
  <c r="O192"/>
  <c r="N192"/>
  <c r="M192"/>
  <c r="U191"/>
  <c r="R191"/>
  <c r="O191"/>
  <c r="N191"/>
  <c r="M191"/>
  <c r="W190"/>
  <c r="V190"/>
  <c r="T190"/>
  <c r="S190"/>
  <c r="Q190"/>
  <c r="P190"/>
  <c r="L190"/>
  <c r="O190" s="1"/>
  <c r="K190"/>
  <c r="N190" s="1"/>
  <c r="I190"/>
  <c r="H190"/>
  <c r="F190"/>
  <c r="E190"/>
  <c r="U189"/>
  <c r="R189"/>
  <c r="O189"/>
  <c r="N189"/>
  <c r="J189"/>
  <c r="M189" s="1"/>
  <c r="G189"/>
  <c r="D189"/>
  <c r="O188"/>
  <c r="N188"/>
  <c r="J188"/>
  <c r="M188" s="1"/>
  <c r="G188"/>
  <c r="D188"/>
  <c r="U187"/>
  <c r="R187"/>
  <c r="N187"/>
  <c r="J187"/>
  <c r="I187"/>
  <c r="G187" s="1"/>
  <c r="D187"/>
  <c r="U186"/>
  <c r="R186"/>
  <c r="N186"/>
  <c r="J186"/>
  <c r="I186"/>
  <c r="O186" s="1"/>
  <c r="G186"/>
  <c r="F186"/>
  <c r="D186" s="1"/>
  <c r="U185"/>
  <c r="R185"/>
  <c r="O185"/>
  <c r="N185"/>
  <c r="J185"/>
  <c r="M185" s="1"/>
  <c r="G185"/>
  <c r="D185"/>
  <c r="U184"/>
  <c r="R184"/>
  <c r="N184"/>
  <c r="J184"/>
  <c r="I184"/>
  <c r="G184" s="1"/>
  <c r="F184"/>
  <c r="D184" s="1"/>
  <c r="W183"/>
  <c r="V183"/>
  <c r="T183"/>
  <c r="S183"/>
  <c r="Q183"/>
  <c r="P183"/>
  <c r="L183"/>
  <c r="K183"/>
  <c r="H183"/>
  <c r="E183"/>
  <c r="O182"/>
  <c r="J182"/>
  <c r="H182"/>
  <c r="G182" s="1"/>
  <c r="F182"/>
  <c r="D182" s="1"/>
  <c r="L181"/>
  <c r="K181"/>
  <c r="I181"/>
  <c r="E181"/>
  <c r="J180"/>
  <c r="I180"/>
  <c r="O180" s="1"/>
  <c r="H180"/>
  <c r="N180" s="1"/>
  <c r="F180"/>
  <c r="D180" s="1"/>
  <c r="L179"/>
  <c r="K179"/>
  <c r="E179"/>
  <c r="U176"/>
  <c r="R176"/>
  <c r="N176"/>
  <c r="J176"/>
  <c r="I176"/>
  <c r="O176" s="1"/>
  <c r="H176"/>
  <c r="D176"/>
  <c r="U175"/>
  <c r="R175"/>
  <c r="N175"/>
  <c r="L175"/>
  <c r="I175"/>
  <c r="H175"/>
  <c r="D175"/>
  <c r="U174"/>
  <c r="R174"/>
  <c r="N174"/>
  <c r="J174"/>
  <c r="H174"/>
  <c r="F174"/>
  <c r="I174" s="1"/>
  <c r="O174" s="1"/>
  <c r="O173"/>
  <c r="N173"/>
  <c r="J173"/>
  <c r="M173" s="1"/>
  <c r="I173"/>
  <c r="H173"/>
  <c r="D173"/>
  <c r="U172"/>
  <c r="R172"/>
  <c r="N172"/>
  <c r="J172"/>
  <c r="H172"/>
  <c r="F172"/>
  <c r="I172" s="1"/>
  <c r="O172" s="1"/>
  <c r="U171"/>
  <c r="R171"/>
  <c r="N171"/>
  <c r="J171"/>
  <c r="H171"/>
  <c r="F171"/>
  <c r="I171" s="1"/>
  <c r="O171" s="1"/>
  <c r="U170"/>
  <c r="R170"/>
  <c r="O170"/>
  <c r="N170"/>
  <c r="J170"/>
  <c r="M170" s="1"/>
  <c r="H170"/>
  <c r="G170" s="1"/>
  <c r="D170"/>
  <c r="O169"/>
  <c r="N169"/>
  <c r="J169"/>
  <c r="H169"/>
  <c r="G169" s="1"/>
  <c r="D169"/>
  <c r="O168"/>
  <c r="N168"/>
  <c r="J168"/>
  <c r="I168"/>
  <c r="H168"/>
  <c r="D168"/>
  <c r="U167"/>
  <c r="R167"/>
  <c r="O167"/>
  <c r="N167"/>
  <c r="J167"/>
  <c r="M167" s="1"/>
  <c r="I167"/>
  <c r="H167"/>
  <c r="D167"/>
  <c r="W166"/>
  <c r="W128" s="1"/>
  <c r="V166"/>
  <c r="T166"/>
  <c r="S166"/>
  <c r="K166"/>
  <c r="E166"/>
  <c r="N165"/>
  <c r="J165"/>
  <c r="H165"/>
  <c r="F165"/>
  <c r="O164"/>
  <c r="N164"/>
  <c r="J164"/>
  <c r="H164"/>
  <c r="G164" s="1"/>
  <c r="D164"/>
  <c r="O163"/>
  <c r="N163"/>
  <c r="J163"/>
  <c r="H163"/>
  <c r="G163"/>
  <c r="M163" s="1"/>
  <c r="D163"/>
  <c r="O162"/>
  <c r="N162"/>
  <c r="M162"/>
  <c r="J162"/>
  <c r="I162"/>
  <c r="H162"/>
  <c r="D162"/>
  <c r="O161"/>
  <c r="N161"/>
  <c r="J161"/>
  <c r="M161" s="1"/>
  <c r="I161"/>
  <c r="H161"/>
  <c r="D161"/>
  <c r="O160"/>
  <c r="N160"/>
  <c r="J160"/>
  <c r="M160" s="1"/>
  <c r="I160"/>
  <c r="H160"/>
  <c r="D160"/>
  <c r="U159"/>
  <c r="R159"/>
  <c r="O159"/>
  <c r="N159"/>
  <c r="J159"/>
  <c r="M159" s="1"/>
  <c r="I159"/>
  <c r="H159"/>
  <c r="F159"/>
  <c r="D159" s="1"/>
  <c r="U158"/>
  <c r="R158"/>
  <c r="N158"/>
  <c r="J158"/>
  <c r="H158"/>
  <c r="F158"/>
  <c r="U157"/>
  <c r="R157"/>
  <c r="O157"/>
  <c r="N157"/>
  <c r="J157"/>
  <c r="M157" s="1"/>
  <c r="I157"/>
  <c r="H157"/>
  <c r="D157"/>
  <c r="U156"/>
  <c r="R156"/>
  <c r="O156"/>
  <c r="N156"/>
  <c r="J156"/>
  <c r="M156" s="1"/>
  <c r="I156"/>
  <c r="H156"/>
  <c r="D156"/>
  <c r="U155"/>
  <c r="R155"/>
  <c r="O155"/>
  <c r="N155"/>
  <c r="J155"/>
  <c r="M155" s="1"/>
  <c r="I155"/>
  <c r="H155"/>
  <c r="D155"/>
  <c r="U154"/>
  <c r="R154"/>
  <c r="O154"/>
  <c r="N154"/>
  <c r="J154"/>
  <c r="M154" s="1"/>
  <c r="I154"/>
  <c r="H154"/>
  <c r="D154"/>
  <c r="U153"/>
  <c r="R153"/>
  <c r="O153"/>
  <c r="N153"/>
  <c r="J153"/>
  <c r="M153" s="1"/>
  <c r="I153"/>
  <c r="H153"/>
  <c r="D153"/>
  <c r="U152"/>
  <c r="R152"/>
  <c r="O152"/>
  <c r="N152"/>
  <c r="J152"/>
  <c r="M152" s="1"/>
  <c r="I152"/>
  <c r="H152"/>
  <c r="D152"/>
  <c r="U151"/>
  <c r="R151"/>
  <c r="N151"/>
  <c r="J151"/>
  <c r="I151"/>
  <c r="O151" s="1"/>
  <c r="H151"/>
  <c r="D151"/>
  <c r="U150"/>
  <c r="R150"/>
  <c r="O150"/>
  <c r="N150"/>
  <c r="J150"/>
  <c r="M150" s="1"/>
  <c r="I150"/>
  <c r="H150"/>
  <c r="D150"/>
  <c r="U149"/>
  <c r="R149"/>
  <c r="N149"/>
  <c r="J149"/>
  <c r="I149"/>
  <c r="O149" s="1"/>
  <c r="H149"/>
  <c r="D149"/>
  <c r="U148"/>
  <c r="R148"/>
  <c r="O148"/>
  <c r="N148"/>
  <c r="J148"/>
  <c r="M148" s="1"/>
  <c r="I148"/>
  <c r="H148"/>
  <c r="D148"/>
  <c r="U147"/>
  <c r="R147"/>
  <c r="N147"/>
  <c r="J147"/>
  <c r="I147"/>
  <c r="O147" s="1"/>
  <c r="H147"/>
  <c r="D147"/>
  <c r="U146"/>
  <c r="R146"/>
  <c r="O146"/>
  <c r="N146"/>
  <c r="J146"/>
  <c r="M146" s="1"/>
  <c r="I146"/>
  <c r="H146"/>
  <c r="D146"/>
  <c r="U145"/>
  <c r="R145"/>
  <c r="O145"/>
  <c r="N145"/>
  <c r="J145"/>
  <c r="M145" s="1"/>
  <c r="I145"/>
  <c r="H145"/>
  <c r="D145"/>
  <c r="U144"/>
  <c r="R144"/>
  <c r="O144"/>
  <c r="N144"/>
  <c r="J144"/>
  <c r="M144" s="1"/>
  <c r="I144"/>
  <c r="H144"/>
  <c r="D144"/>
  <c r="U143"/>
  <c r="R143"/>
  <c r="O143"/>
  <c r="N143"/>
  <c r="J143"/>
  <c r="M143" s="1"/>
  <c r="I143"/>
  <c r="H143"/>
  <c r="G143" s="1"/>
  <c r="D143"/>
  <c r="U142"/>
  <c r="R142"/>
  <c r="O142"/>
  <c r="N142"/>
  <c r="J142"/>
  <c r="M142" s="1"/>
  <c r="I142"/>
  <c r="H142"/>
  <c r="D142"/>
  <c r="U141"/>
  <c r="R141"/>
  <c r="O141"/>
  <c r="N141"/>
  <c r="J141"/>
  <c r="M141" s="1"/>
  <c r="H141"/>
  <c r="G141" s="1"/>
  <c r="D141"/>
  <c r="U140"/>
  <c r="R140"/>
  <c r="O140"/>
  <c r="N140"/>
  <c r="J140"/>
  <c r="M140" s="1"/>
  <c r="I140"/>
  <c r="H140"/>
  <c r="D140"/>
  <c r="U139"/>
  <c r="R139"/>
  <c r="O139"/>
  <c r="N139"/>
  <c r="J139"/>
  <c r="M139" s="1"/>
  <c r="I139"/>
  <c r="H139"/>
  <c r="D139"/>
  <c r="U138"/>
  <c r="R138"/>
  <c r="O138"/>
  <c r="N138"/>
  <c r="J138"/>
  <c r="M138" s="1"/>
  <c r="H138"/>
  <c r="G138" s="1"/>
  <c r="D138"/>
  <c r="U137"/>
  <c r="R137"/>
  <c r="O137"/>
  <c r="N137"/>
  <c r="J137"/>
  <c r="M137" s="1"/>
  <c r="H137"/>
  <c r="G137" s="1"/>
  <c r="D137"/>
  <c r="U136"/>
  <c r="R136"/>
  <c r="O136"/>
  <c r="N136"/>
  <c r="J136"/>
  <c r="M136" s="1"/>
  <c r="H136"/>
  <c r="G136" s="1"/>
  <c r="D136"/>
  <c r="U135"/>
  <c r="R135"/>
  <c r="O135"/>
  <c r="N135"/>
  <c r="J135"/>
  <c r="M135" s="1"/>
  <c r="H135"/>
  <c r="G135" s="1"/>
  <c r="D135"/>
  <c r="U134"/>
  <c r="R134"/>
  <c r="N134"/>
  <c r="J134"/>
  <c r="I134"/>
  <c r="O134" s="1"/>
  <c r="H134"/>
  <c r="D134"/>
  <c r="U133"/>
  <c r="R133"/>
  <c r="O133"/>
  <c r="N133"/>
  <c r="J133"/>
  <c r="M133" s="1"/>
  <c r="I133"/>
  <c r="H133"/>
  <c r="D133"/>
  <c r="U132"/>
  <c r="R132"/>
  <c r="O132"/>
  <c r="N132"/>
  <c r="M132"/>
  <c r="J132"/>
  <c r="H132"/>
  <c r="F132"/>
  <c r="D132" s="1"/>
  <c r="U131"/>
  <c r="R131"/>
  <c r="O131"/>
  <c r="N131"/>
  <c r="J131"/>
  <c r="M131" s="1"/>
  <c r="H131"/>
  <c r="U130"/>
  <c r="R130"/>
  <c r="O130"/>
  <c r="N130"/>
  <c r="J130"/>
  <c r="M130" s="1"/>
  <c r="H130"/>
  <c r="W129"/>
  <c r="V129"/>
  <c r="U129" s="1"/>
  <c r="T129"/>
  <c r="T128" s="1"/>
  <c r="S129"/>
  <c r="L129"/>
  <c r="K129"/>
  <c r="E129"/>
  <c r="E128" s="1"/>
  <c r="U126"/>
  <c r="R126"/>
  <c r="N126"/>
  <c r="J126"/>
  <c r="I126"/>
  <c r="O126" s="1"/>
  <c r="H126"/>
  <c r="F126"/>
  <c r="D126" s="1"/>
  <c r="O125"/>
  <c r="N125"/>
  <c r="J125"/>
  <c r="G125"/>
  <c r="D125"/>
  <c r="W124"/>
  <c r="V124"/>
  <c r="V123" s="1"/>
  <c r="T124"/>
  <c r="T123" s="1"/>
  <c r="S124"/>
  <c r="L124"/>
  <c r="K124"/>
  <c r="I124"/>
  <c r="I123" s="1"/>
  <c r="E124"/>
  <c r="E123" s="1"/>
  <c r="H123" s="1"/>
  <c r="W123"/>
  <c r="S123"/>
  <c r="L123"/>
  <c r="K123"/>
  <c r="O122"/>
  <c r="N122"/>
  <c r="J122"/>
  <c r="H122"/>
  <c r="H121" s="1"/>
  <c r="G122"/>
  <c r="D122"/>
  <c r="L121"/>
  <c r="L120" s="1"/>
  <c r="K121"/>
  <c r="I121"/>
  <c r="I120" s="1"/>
  <c r="F121"/>
  <c r="D121" s="1"/>
  <c r="E121"/>
  <c r="K120"/>
  <c r="F120"/>
  <c r="E120"/>
  <c r="U118"/>
  <c r="R118"/>
  <c r="N118"/>
  <c r="J118"/>
  <c r="H118"/>
  <c r="H116" s="1"/>
  <c r="F118"/>
  <c r="D118" s="1"/>
  <c r="O117"/>
  <c r="N117"/>
  <c r="J117"/>
  <c r="G117"/>
  <c r="D117"/>
  <c r="W116"/>
  <c r="W112" s="1"/>
  <c r="V116"/>
  <c r="T116"/>
  <c r="T112" s="1"/>
  <c r="S116"/>
  <c r="L116"/>
  <c r="K116"/>
  <c r="E116"/>
  <c r="O115"/>
  <c r="N115"/>
  <c r="J115"/>
  <c r="G115"/>
  <c r="D115"/>
  <c r="J114"/>
  <c r="I114"/>
  <c r="O114" s="1"/>
  <c r="H114"/>
  <c r="N114" s="1"/>
  <c r="D114"/>
  <c r="U113"/>
  <c r="R113"/>
  <c r="L113"/>
  <c r="K113"/>
  <c r="F113"/>
  <c r="E113"/>
  <c r="V112"/>
  <c r="U111"/>
  <c r="R111"/>
  <c r="O111"/>
  <c r="N111"/>
  <c r="J111"/>
  <c r="M111" s="1"/>
  <c r="I111"/>
  <c r="H111"/>
  <c r="D111"/>
  <c r="W110"/>
  <c r="V110"/>
  <c r="T110"/>
  <c r="S110"/>
  <c r="Q110"/>
  <c r="P110"/>
  <c r="L110"/>
  <c r="O110" s="1"/>
  <c r="K110"/>
  <c r="N110" s="1"/>
  <c r="F110"/>
  <c r="I110" s="1"/>
  <c r="E110"/>
  <c r="H110" s="1"/>
  <c r="U109"/>
  <c r="R109"/>
  <c r="N109"/>
  <c r="J109"/>
  <c r="I109"/>
  <c r="O109" s="1"/>
  <c r="H109"/>
  <c r="F109"/>
  <c r="F107" s="1"/>
  <c r="J108"/>
  <c r="I108"/>
  <c r="H108"/>
  <c r="D108"/>
  <c r="W107"/>
  <c r="V107"/>
  <c r="T107"/>
  <c r="T106" s="1"/>
  <c r="S107"/>
  <c r="L107"/>
  <c r="K107"/>
  <c r="E107"/>
  <c r="E106" s="1"/>
  <c r="W106"/>
  <c r="Q106"/>
  <c r="P106"/>
  <c r="K106"/>
  <c r="U105"/>
  <c r="R105"/>
  <c r="N105"/>
  <c r="J105"/>
  <c r="H105"/>
  <c r="F105"/>
  <c r="I105" s="1"/>
  <c r="L104"/>
  <c r="L95" s="1"/>
  <c r="K104"/>
  <c r="K95" s="1"/>
  <c r="I104"/>
  <c r="H104"/>
  <c r="H95" s="1"/>
  <c r="D104"/>
  <c r="O103"/>
  <c r="J103"/>
  <c r="G103"/>
  <c r="F103"/>
  <c r="E103"/>
  <c r="E102" s="1"/>
  <c r="W102"/>
  <c r="W101" s="1"/>
  <c r="V102"/>
  <c r="V101" s="1"/>
  <c r="T102"/>
  <c r="S102"/>
  <c r="R102" s="1"/>
  <c r="R101" s="1"/>
  <c r="T101"/>
  <c r="Q101"/>
  <c r="P101"/>
  <c r="U100"/>
  <c r="R100"/>
  <c r="N100"/>
  <c r="J100"/>
  <c r="I100"/>
  <c r="O100" s="1"/>
  <c r="H100"/>
  <c r="F100"/>
  <c r="D100" s="1"/>
  <c r="U99"/>
  <c r="R99"/>
  <c r="J99"/>
  <c r="H99"/>
  <c r="N99" s="1"/>
  <c r="F99"/>
  <c r="I99" s="1"/>
  <c r="W98"/>
  <c r="W97" s="1"/>
  <c r="V98"/>
  <c r="V97" s="1"/>
  <c r="T98"/>
  <c r="T97" s="1"/>
  <c r="S98"/>
  <c r="L98"/>
  <c r="K98"/>
  <c r="E98"/>
  <c r="E97" s="1"/>
  <c r="Q97"/>
  <c r="P97"/>
  <c r="L96"/>
  <c r="K96"/>
  <c r="N96" s="1"/>
  <c r="H96"/>
  <c r="E96"/>
  <c r="F95"/>
  <c r="E95"/>
  <c r="L94"/>
  <c r="K94"/>
  <c r="I94"/>
  <c r="G94" s="1"/>
  <c r="H94"/>
  <c r="F94"/>
  <c r="E94"/>
  <c r="L93"/>
  <c r="K93"/>
  <c r="H93"/>
  <c r="E93"/>
  <c r="U91"/>
  <c r="R91"/>
  <c r="O91"/>
  <c r="N91"/>
  <c r="J91"/>
  <c r="M91" s="1"/>
  <c r="I91"/>
  <c r="H91"/>
  <c r="D91"/>
  <c r="U90"/>
  <c r="U89" s="1"/>
  <c r="R90"/>
  <c r="R89" s="1"/>
  <c r="O90"/>
  <c r="N90"/>
  <c r="J90"/>
  <c r="G90"/>
  <c r="D90"/>
  <c r="W89"/>
  <c r="V89"/>
  <c r="T89"/>
  <c r="S89"/>
  <c r="Q89"/>
  <c r="P89"/>
  <c r="L89"/>
  <c r="K89"/>
  <c r="I89"/>
  <c r="O89" s="1"/>
  <c r="H89"/>
  <c r="F89"/>
  <c r="E89"/>
  <c r="U88"/>
  <c r="U87" s="1"/>
  <c r="R88"/>
  <c r="R87" s="1"/>
  <c r="O88"/>
  <c r="N88"/>
  <c r="J88"/>
  <c r="M88" s="1"/>
  <c r="I88"/>
  <c r="H88"/>
  <c r="D88"/>
  <c r="W87"/>
  <c r="V87"/>
  <c r="T87"/>
  <c r="S87"/>
  <c r="Q87"/>
  <c r="P87"/>
  <c r="L87"/>
  <c r="O87" s="1"/>
  <c r="K87"/>
  <c r="N87" s="1"/>
  <c r="F87"/>
  <c r="I87" s="1"/>
  <c r="E87"/>
  <c r="U86"/>
  <c r="R86"/>
  <c r="J86"/>
  <c r="I86"/>
  <c r="O86" s="1"/>
  <c r="H86"/>
  <c r="N86" s="1"/>
  <c r="D86"/>
  <c r="W85"/>
  <c r="V85"/>
  <c r="T85"/>
  <c r="S85"/>
  <c r="S82" s="1"/>
  <c r="S81" s="1"/>
  <c r="L85"/>
  <c r="K85"/>
  <c r="F85"/>
  <c r="I85" s="1"/>
  <c r="E85"/>
  <c r="U84"/>
  <c r="R84"/>
  <c r="O84"/>
  <c r="N84"/>
  <c r="J84"/>
  <c r="M84" s="1"/>
  <c r="I84"/>
  <c r="H84"/>
  <c r="D84"/>
  <c r="W83"/>
  <c r="V83"/>
  <c r="T83"/>
  <c r="S83"/>
  <c r="L83"/>
  <c r="O83" s="1"/>
  <c r="K83"/>
  <c r="N83" s="1"/>
  <c r="F83"/>
  <c r="I83" s="1"/>
  <c r="E83"/>
  <c r="H83" s="1"/>
  <c r="Q82"/>
  <c r="P82"/>
  <c r="U79"/>
  <c r="R79"/>
  <c r="N79"/>
  <c r="J79"/>
  <c r="I79"/>
  <c r="O79" s="1"/>
  <c r="H79"/>
  <c r="D79"/>
  <c r="W78"/>
  <c r="V78"/>
  <c r="T78"/>
  <c r="S78"/>
  <c r="L78"/>
  <c r="K78"/>
  <c r="N78" s="1"/>
  <c r="F78"/>
  <c r="I78" s="1"/>
  <c r="E78"/>
  <c r="H78" s="1"/>
  <c r="U77"/>
  <c r="U76" s="1"/>
  <c r="R77"/>
  <c r="R76" s="1"/>
  <c r="N77"/>
  <c r="J77"/>
  <c r="I77"/>
  <c r="O77" s="1"/>
  <c r="H77"/>
  <c r="D77"/>
  <c r="W76"/>
  <c r="V76"/>
  <c r="T76"/>
  <c r="S76"/>
  <c r="Q76"/>
  <c r="P76"/>
  <c r="L76"/>
  <c r="L75" s="1"/>
  <c r="K76"/>
  <c r="N76" s="1"/>
  <c r="F76"/>
  <c r="I76" s="1"/>
  <c r="E76"/>
  <c r="H76" s="1"/>
  <c r="S75"/>
  <c r="U74"/>
  <c r="R74"/>
  <c r="O74"/>
  <c r="N74"/>
  <c r="J74"/>
  <c r="M74" s="1"/>
  <c r="I74"/>
  <c r="H74"/>
  <c r="D74"/>
  <c r="U73"/>
  <c r="R73"/>
  <c r="O73"/>
  <c r="N73"/>
  <c r="J73"/>
  <c r="M73" s="1"/>
  <c r="I73"/>
  <c r="H73"/>
  <c r="D73"/>
  <c r="U72"/>
  <c r="R72"/>
  <c r="O72"/>
  <c r="N72"/>
  <c r="J72"/>
  <c r="M72" s="1"/>
  <c r="I72"/>
  <c r="H72"/>
  <c r="D72"/>
  <c r="O71"/>
  <c r="N71"/>
  <c r="J71"/>
  <c r="M71" s="1"/>
  <c r="I71"/>
  <c r="H71"/>
  <c r="D71"/>
  <c r="W70"/>
  <c r="V70"/>
  <c r="T70"/>
  <c r="S70"/>
  <c r="L70"/>
  <c r="O70" s="1"/>
  <c r="K70"/>
  <c r="N70" s="1"/>
  <c r="F70"/>
  <c r="I70" s="1"/>
  <c r="E70"/>
  <c r="H70" s="1"/>
  <c r="U69"/>
  <c r="R69"/>
  <c r="O69"/>
  <c r="N69"/>
  <c r="J69"/>
  <c r="M69" s="1"/>
  <c r="I69"/>
  <c r="H69"/>
  <c r="D69"/>
  <c r="U68"/>
  <c r="R68"/>
  <c r="O68"/>
  <c r="N68"/>
  <c r="J68"/>
  <c r="M68" s="1"/>
  <c r="I68"/>
  <c r="H68"/>
  <c r="D68"/>
  <c r="U67"/>
  <c r="R67"/>
  <c r="O67"/>
  <c r="N67"/>
  <c r="J67"/>
  <c r="M67" s="1"/>
  <c r="H67"/>
  <c r="G67" s="1"/>
  <c r="D67"/>
  <c r="U66"/>
  <c r="R66"/>
  <c r="N66"/>
  <c r="J66"/>
  <c r="H66"/>
  <c r="F66"/>
  <c r="I66" s="1"/>
  <c r="U65"/>
  <c r="R65"/>
  <c r="O65"/>
  <c r="N65"/>
  <c r="M65"/>
  <c r="J65"/>
  <c r="H65"/>
  <c r="G65" s="1"/>
  <c r="D65"/>
  <c r="W64"/>
  <c r="V64"/>
  <c r="T64"/>
  <c r="S64"/>
  <c r="L64"/>
  <c r="K64"/>
  <c r="N64" s="1"/>
  <c r="E64"/>
  <c r="H64" s="1"/>
  <c r="U63"/>
  <c r="R63"/>
  <c r="O63"/>
  <c r="N63"/>
  <c r="J63"/>
  <c r="M63" s="1"/>
  <c r="I63"/>
  <c r="H63"/>
  <c r="D63"/>
  <c r="U62"/>
  <c r="R62"/>
  <c r="O62"/>
  <c r="N62"/>
  <c r="J62"/>
  <c r="M62" s="1"/>
  <c r="I62"/>
  <c r="H62"/>
  <c r="D62"/>
  <c r="W61"/>
  <c r="V61"/>
  <c r="T61"/>
  <c r="S61"/>
  <c r="O61"/>
  <c r="L61"/>
  <c r="K61"/>
  <c r="N61" s="1"/>
  <c r="F61"/>
  <c r="I61" s="1"/>
  <c r="E61"/>
  <c r="H61" s="1"/>
  <c r="U60"/>
  <c r="R60"/>
  <c r="N60"/>
  <c r="J60"/>
  <c r="H60"/>
  <c r="F60"/>
  <c r="I60" s="1"/>
  <c r="O60" s="1"/>
  <c r="U59"/>
  <c r="R59"/>
  <c r="O59"/>
  <c r="N59"/>
  <c r="J59"/>
  <c r="M59" s="1"/>
  <c r="H59"/>
  <c r="G59" s="1"/>
  <c r="D59"/>
  <c r="W58"/>
  <c r="V58"/>
  <c r="T58"/>
  <c r="S58"/>
  <c r="L58"/>
  <c r="K58"/>
  <c r="J58" s="1"/>
  <c r="E58"/>
  <c r="H58" s="1"/>
  <c r="U57"/>
  <c r="R57"/>
  <c r="O57"/>
  <c r="N57"/>
  <c r="J57"/>
  <c r="M57" s="1"/>
  <c r="I57"/>
  <c r="H57"/>
  <c r="D57"/>
  <c r="W56"/>
  <c r="V56"/>
  <c r="T56"/>
  <c r="S56"/>
  <c r="L56"/>
  <c r="O56" s="1"/>
  <c r="K56"/>
  <c r="N56" s="1"/>
  <c r="F56"/>
  <c r="I56" s="1"/>
  <c r="E56"/>
  <c r="H56" s="1"/>
  <c r="U55"/>
  <c r="R55"/>
  <c r="N55"/>
  <c r="J55"/>
  <c r="I55"/>
  <c r="O55" s="1"/>
  <c r="H55"/>
  <c r="F55"/>
  <c r="D55" s="1"/>
  <c r="O54"/>
  <c r="N54"/>
  <c r="J54"/>
  <c r="M54" s="1"/>
  <c r="H54"/>
  <c r="G54" s="1"/>
  <c r="D54"/>
  <c r="O53"/>
  <c r="N53"/>
  <c r="J53"/>
  <c r="M53" s="1"/>
  <c r="H53"/>
  <c r="G53" s="1"/>
  <c r="D53"/>
  <c r="O52"/>
  <c r="N52"/>
  <c r="J52"/>
  <c r="M52" s="1"/>
  <c r="H52"/>
  <c r="G52" s="1"/>
  <c r="D52"/>
  <c r="U51"/>
  <c r="R51"/>
  <c r="O51"/>
  <c r="N51"/>
  <c r="J51"/>
  <c r="M51" s="1"/>
  <c r="H51"/>
  <c r="G51" s="1"/>
  <c r="D51"/>
  <c r="W50"/>
  <c r="V50"/>
  <c r="T50"/>
  <c r="S50"/>
  <c r="L50"/>
  <c r="K50"/>
  <c r="N50" s="1"/>
  <c r="E50"/>
  <c r="H50" s="1"/>
  <c r="U49"/>
  <c r="R49"/>
  <c r="O49"/>
  <c r="N49"/>
  <c r="J49"/>
  <c r="M49" s="1"/>
  <c r="I49"/>
  <c r="H49"/>
  <c r="D49"/>
  <c r="U48"/>
  <c r="R48"/>
  <c r="O48"/>
  <c r="N48"/>
  <c r="J48"/>
  <c r="M48" s="1"/>
  <c r="I48"/>
  <c r="H48"/>
  <c r="D48"/>
  <c r="W47"/>
  <c r="V47"/>
  <c r="T47"/>
  <c r="S47"/>
  <c r="L47"/>
  <c r="O47" s="1"/>
  <c r="K47"/>
  <c r="F47"/>
  <c r="I47" s="1"/>
  <c r="E47"/>
  <c r="H47" s="1"/>
  <c r="U46"/>
  <c r="R46"/>
  <c r="N46"/>
  <c r="J46"/>
  <c r="I46"/>
  <c r="O46" s="1"/>
  <c r="H46"/>
  <c r="D46"/>
  <c r="U45"/>
  <c r="R45"/>
  <c r="N45"/>
  <c r="J45"/>
  <c r="I45"/>
  <c r="O45" s="1"/>
  <c r="H45"/>
  <c r="D45"/>
  <c r="U44"/>
  <c r="R44"/>
  <c r="O44"/>
  <c r="N44"/>
  <c r="J44"/>
  <c r="M44" s="1"/>
  <c r="H44"/>
  <c r="G44" s="1"/>
  <c r="D44"/>
  <c r="W43"/>
  <c r="V43"/>
  <c r="T43"/>
  <c r="S43"/>
  <c r="L43"/>
  <c r="K43"/>
  <c r="N43" s="1"/>
  <c r="F43"/>
  <c r="I43" s="1"/>
  <c r="E43"/>
  <c r="H43" s="1"/>
  <c r="U42"/>
  <c r="R42"/>
  <c r="N42"/>
  <c r="J42"/>
  <c r="H42"/>
  <c r="F42"/>
  <c r="D42" s="1"/>
  <c r="W41"/>
  <c r="V41"/>
  <c r="T41"/>
  <c r="S41"/>
  <c r="L41"/>
  <c r="K41"/>
  <c r="N41" s="1"/>
  <c r="E41"/>
  <c r="H41" s="1"/>
  <c r="U40"/>
  <c r="R40"/>
  <c r="O40"/>
  <c r="N40"/>
  <c r="J40"/>
  <c r="M40" s="1"/>
  <c r="I40"/>
  <c r="H40"/>
  <c r="D40"/>
  <c r="U39"/>
  <c r="R39"/>
  <c r="N39"/>
  <c r="J39"/>
  <c r="I39"/>
  <c r="O39" s="1"/>
  <c r="H39"/>
  <c r="D39"/>
  <c r="U38"/>
  <c r="R38"/>
  <c r="N38"/>
  <c r="J38"/>
  <c r="I38"/>
  <c r="O38" s="1"/>
  <c r="H38"/>
  <c r="D38"/>
  <c r="U37"/>
  <c r="R37"/>
  <c r="N37"/>
  <c r="J37"/>
  <c r="I37"/>
  <c r="O37" s="1"/>
  <c r="H37"/>
  <c r="D37"/>
  <c r="W36"/>
  <c r="V36"/>
  <c r="T36"/>
  <c r="S36"/>
  <c r="R36" s="1"/>
  <c r="Q36"/>
  <c r="P36"/>
  <c r="L36"/>
  <c r="K36"/>
  <c r="N36" s="1"/>
  <c r="F36"/>
  <c r="E36"/>
  <c r="N35"/>
  <c r="J35"/>
  <c r="I35"/>
  <c r="O35" s="1"/>
  <c r="H35"/>
  <c r="D35"/>
  <c r="U34"/>
  <c r="R34"/>
  <c r="O34"/>
  <c r="N34"/>
  <c r="J34"/>
  <c r="M34" s="1"/>
  <c r="I34"/>
  <c r="H34"/>
  <c r="D34"/>
  <c r="W33"/>
  <c r="V33"/>
  <c r="T33"/>
  <c r="S33"/>
  <c r="L33"/>
  <c r="K33"/>
  <c r="J33" s="1"/>
  <c r="F33"/>
  <c r="I33" s="1"/>
  <c r="E33"/>
  <c r="H33" s="1"/>
  <c r="U32"/>
  <c r="R32"/>
  <c r="O32"/>
  <c r="N32"/>
  <c r="J32"/>
  <c r="M32" s="1"/>
  <c r="H32"/>
  <c r="G32" s="1"/>
  <c r="D32"/>
  <c r="W31"/>
  <c r="V31"/>
  <c r="T31"/>
  <c r="S31"/>
  <c r="L31"/>
  <c r="O31" s="1"/>
  <c r="K31"/>
  <c r="N31" s="1"/>
  <c r="F31"/>
  <c r="I31" s="1"/>
  <c r="E31"/>
  <c r="H31" s="1"/>
  <c r="U30"/>
  <c r="R30"/>
  <c r="O30"/>
  <c r="N30"/>
  <c r="J30"/>
  <c r="M30" s="1"/>
  <c r="H30"/>
  <c r="F30"/>
  <c r="I30" s="1"/>
  <c r="W29"/>
  <c r="V29"/>
  <c r="T29"/>
  <c r="S29"/>
  <c r="L29"/>
  <c r="K29"/>
  <c r="N29" s="1"/>
  <c r="E29"/>
  <c r="H29" s="1"/>
  <c r="O28"/>
  <c r="N28"/>
  <c r="M28"/>
  <c r="I28"/>
  <c r="H28"/>
  <c r="D28"/>
  <c r="U27"/>
  <c r="R27"/>
  <c r="O27"/>
  <c r="N27"/>
  <c r="J27"/>
  <c r="M27" s="1"/>
  <c r="I27"/>
  <c r="H27"/>
  <c r="D27"/>
  <c r="O26"/>
  <c r="N26"/>
  <c r="J26"/>
  <c r="M26" s="1"/>
  <c r="H26"/>
  <c r="G26" s="1"/>
  <c r="D26"/>
  <c r="U25"/>
  <c r="R25"/>
  <c r="N25"/>
  <c r="J25"/>
  <c r="I25"/>
  <c r="O25" s="1"/>
  <c r="H25"/>
  <c r="F25"/>
  <c r="D25" s="1"/>
  <c r="W24"/>
  <c r="V24"/>
  <c r="T24"/>
  <c r="S24"/>
  <c r="L24"/>
  <c r="K24"/>
  <c r="E24"/>
  <c r="R23"/>
  <c r="O23"/>
  <c r="N23"/>
  <c r="J23"/>
  <c r="M23" s="1"/>
  <c r="I23"/>
  <c r="H23"/>
  <c r="D23"/>
  <c r="U22"/>
  <c r="R22"/>
  <c r="O22"/>
  <c r="N22"/>
  <c r="J22"/>
  <c r="M22" s="1"/>
  <c r="I22"/>
  <c r="H22"/>
  <c r="D22"/>
  <c r="W21"/>
  <c r="V21"/>
  <c r="T21"/>
  <c r="S21"/>
  <c r="L21"/>
  <c r="O21" s="1"/>
  <c r="K21"/>
  <c r="N21" s="1"/>
  <c r="F21"/>
  <c r="I21" s="1"/>
  <c r="E21"/>
  <c r="U20"/>
  <c r="R20"/>
  <c r="O20"/>
  <c r="N20"/>
  <c r="J20"/>
  <c r="M20" s="1"/>
  <c r="H20"/>
  <c r="G20" s="1"/>
  <c r="D20"/>
  <c r="W19"/>
  <c r="V19"/>
  <c r="T19"/>
  <c r="S19"/>
  <c r="L19"/>
  <c r="O19" s="1"/>
  <c r="K19"/>
  <c r="N19" s="1"/>
  <c r="I19"/>
  <c r="F19"/>
  <c r="E19"/>
  <c r="D19" s="1"/>
  <c r="O18"/>
  <c r="J18"/>
  <c r="I18"/>
  <c r="H18"/>
  <c r="D18"/>
  <c r="A18"/>
  <c r="A20" s="1"/>
  <c r="A22" s="1"/>
  <c r="A23" s="1"/>
  <c r="U17"/>
  <c r="R17"/>
  <c r="N17"/>
  <c r="J17"/>
  <c r="I17"/>
  <c r="I16" s="1"/>
  <c r="H17"/>
  <c r="D17"/>
  <c r="W16"/>
  <c r="V16"/>
  <c r="T16"/>
  <c r="S16"/>
  <c r="L16"/>
  <c r="O16" s="1"/>
  <c r="K16"/>
  <c r="J16" s="1"/>
  <c r="F16"/>
  <c r="E16"/>
  <c r="D16" s="1"/>
  <c r="J45" i="68"/>
  <c r="J56"/>
  <c r="J65"/>
  <c r="I168"/>
  <c r="H168"/>
  <c r="F168"/>
  <c r="E168"/>
  <c r="I167"/>
  <c r="H167"/>
  <c r="F167"/>
  <c r="E167"/>
  <c r="G166"/>
  <c r="D166"/>
  <c r="I165"/>
  <c r="H165"/>
  <c r="F165"/>
  <c r="E165"/>
  <c r="G164"/>
  <c r="D164"/>
  <c r="I163"/>
  <c r="H163"/>
  <c r="F163"/>
  <c r="E163"/>
  <c r="I162"/>
  <c r="H162"/>
  <c r="H160" s="1"/>
  <c r="H17" s="1"/>
  <c r="F162"/>
  <c r="E162"/>
  <c r="G161"/>
  <c r="F161"/>
  <c r="E161"/>
  <c r="G159"/>
  <c r="D159"/>
  <c r="G158"/>
  <c r="D158"/>
  <c r="G157"/>
  <c r="D157"/>
  <c r="G156"/>
  <c r="J156" s="1"/>
  <c r="D156"/>
  <c r="I155"/>
  <c r="H155"/>
  <c r="F155"/>
  <c r="E155"/>
  <c r="G154"/>
  <c r="D154"/>
  <c r="G153"/>
  <c r="J153" s="1"/>
  <c r="D153"/>
  <c r="I152"/>
  <c r="H152"/>
  <c r="F152"/>
  <c r="E152"/>
  <c r="G151"/>
  <c r="D151"/>
  <c r="G150"/>
  <c r="D150"/>
  <c r="G149"/>
  <c r="D149"/>
  <c r="I148"/>
  <c r="H148"/>
  <c r="F148"/>
  <c r="E148"/>
  <c r="G147"/>
  <c r="D147"/>
  <c r="G146"/>
  <c r="D146"/>
  <c r="G145"/>
  <c r="D145"/>
  <c r="I144"/>
  <c r="H144"/>
  <c r="F144"/>
  <c r="E144"/>
  <c r="G143"/>
  <c r="D143"/>
  <c r="G142"/>
  <c r="F142"/>
  <c r="D142" s="1"/>
  <c r="I141"/>
  <c r="H141"/>
  <c r="E141"/>
  <c r="G140"/>
  <c r="D140"/>
  <c r="I139"/>
  <c r="H139"/>
  <c r="F139"/>
  <c r="E139"/>
  <c r="G138"/>
  <c r="D138"/>
  <c r="I137"/>
  <c r="I134" s="1"/>
  <c r="H137"/>
  <c r="H134" s="1"/>
  <c r="F137"/>
  <c r="F134" s="1"/>
  <c r="E137"/>
  <c r="G136"/>
  <c r="D136"/>
  <c r="G135"/>
  <c r="D135"/>
  <c r="G133"/>
  <c r="D133"/>
  <c r="G132"/>
  <c r="D132"/>
  <c r="I131"/>
  <c r="H131"/>
  <c r="F131"/>
  <c r="E131"/>
  <c r="G130"/>
  <c r="D130"/>
  <c r="G129"/>
  <c r="D129"/>
  <c r="I128"/>
  <c r="H128"/>
  <c r="F128"/>
  <c r="E128"/>
  <c r="G127"/>
  <c r="D127"/>
  <c r="G126"/>
  <c r="D126"/>
  <c r="I125"/>
  <c r="H125"/>
  <c r="F125"/>
  <c r="E125"/>
  <c r="G124"/>
  <c r="D124"/>
  <c r="I123"/>
  <c r="H123"/>
  <c r="F123"/>
  <c r="E123"/>
  <c r="G122"/>
  <c r="D122"/>
  <c r="G121"/>
  <c r="D121"/>
  <c r="G120"/>
  <c r="D120"/>
  <c r="I119"/>
  <c r="H119"/>
  <c r="F119"/>
  <c r="E119"/>
  <c r="G118"/>
  <c r="D118"/>
  <c r="G117"/>
  <c r="D117"/>
  <c r="G116"/>
  <c r="D116"/>
  <c r="I115"/>
  <c r="H115"/>
  <c r="F115"/>
  <c r="E115"/>
  <c r="G114"/>
  <c r="D114"/>
  <c r="G113"/>
  <c r="D113"/>
  <c r="I112"/>
  <c r="H112"/>
  <c r="F112"/>
  <c r="E112"/>
  <c r="G111"/>
  <c r="D111"/>
  <c r="G110"/>
  <c r="D110"/>
  <c r="I109"/>
  <c r="H109"/>
  <c r="F109"/>
  <c r="E109"/>
  <c r="G108"/>
  <c r="D108"/>
  <c r="G107"/>
  <c r="D107"/>
  <c r="I106"/>
  <c r="H106"/>
  <c r="F106"/>
  <c r="E106"/>
  <c r="G105"/>
  <c r="D105"/>
  <c r="I104"/>
  <c r="G104" s="1"/>
  <c r="D104"/>
  <c r="H103"/>
  <c r="F103"/>
  <c r="E103"/>
  <c r="G102"/>
  <c r="D102"/>
  <c r="G101"/>
  <c r="D101"/>
  <c r="I100"/>
  <c r="H100"/>
  <c r="F100"/>
  <c r="E100"/>
  <c r="H99"/>
  <c r="H96" s="1"/>
  <c r="D99"/>
  <c r="G98"/>
  <c r="D98"/>
  <c r="G97"/>
  <c r="D97"/>
  <c r="I96"/>
  <c r="F96"/>
  <c r="E96"/>
  <c r="G95"/>
  <c r="D95"/>
  <c r="G94"/>
  <c r="D94"/>
  <c r="G93"/>
  <c r="F93"/>
  <c r="D93" s="1"/>
  <c r="I92"/>
  <c r="H92"/>
  <c r="E92"/>
  <c r="I91"/>
  <c r="I89" s="1"/>
  <c r="H91"/>
  <c r="F91"/>
  <c r="F89" s="1"/>
  <c r="E91"/>
  <c r="G90"/>
  <c r="D90"/>
  <c r="E89"/>
  <c r="G88"/>
  <c r="D88"/>
  <c r="G87"/>
  <c r="D87"/>
  <c r="G86"/>
  <c r="D86"/>
  <c r="I85"/>
  <c r="H85"/>
  <c r="F85"/>
  <c r="E85"/>
  <c r="G84"/>
  <c r="G81" s="1"/>
  <c r="D84"/>
  <c r="G83"/>
  <c r="D83"/>
  <c r="G82"/>
  <c r="D82"/>
  <c r="I81"/>
  <c r="H81"/>
  <c r="F81"/>
  <c r="E81"/>
  <c r="G80"/>
  <c r="F80"/>
  <c r="F78" s="1"/>
  <c r="E80"/>
  <c r="G79"/>
  <c r="D79"/>
  <c r="I78"/>
  <c r="H78"/>
  <c r="I77"/>
  <c r="H77"/>
  <c r="H75" s="1"/>
  <c r="F77"/>
  <c r="F75" s="1"/>
  <c r="E77"/>
  <c r="G76"/>
  <c r="D76"/>
  <c r="I75"/>
  <c r="G74"/>
  <c r="D74"/>
  <c r="G73"/>
  <c r="D73"/>
  <c r="I72"/>
  <c r="H72"/>
  <c r="G72"/>
  <c r="F72"/>
  <c r="E72"/>
  <c r="H71"/>
  <c r="G71" s="1"/>
  <c r="F71"/>
  <c r="E71"/>
  <c r="G70"/>
  <c r="D70"/>
  <c r="I69"/>
  <c r="G68"/>
  <c r="D68"/>
  <c r="I67"/>
  <c r="H67"/>
  <c r="G67" s="1"/>
  <c r="F67"/>
  <c r="F64" s="1"/>
  <c r="E67"/>
  <c r="E64" s="1"/>
  <c r="G66"/>
  <c r="D66"/>
  <c r="I64"/>
  <c r="G63"/>
  <c r="D63"/>
  <c r="G62"/>
  <c r="D62"/>
  <c r="I61"/>
  <c r="H61"/>
  <c r="F61"/>
  <c r="E61"/>
  <c r="I60"/>
  <c r="H60"/>
  <c r="F60"/>
  <c r="E60"/>
  <c r="I58"/>
  <c r="H58"/>
  <c r="F58"/>
  <c r="E58"/>
  <c r="I57"/>
  <c r="H57"/>
  <c r="E57"/>
  <c r="G55"/>
  <c r="D55"/>
  <c r="A55"/>
  <c r="I54"/>
  <c r="H54"/>
  <c r="F54"/>
  <c r="E54"/>
  <c r="G52"/>
  <c r="D52"/>
  <c r="G51"/>
  <c r="D51"/>
  <c r="I50"/>
  <c r="I49" s="1"/>
  <c r="H50"/>
  <c r="H49" s="1"/>
  <c r="F50"/>
  <c r="F49" s="1"/>
  <c r="E50"/>
  <c r="G48"/>
  <c r="D48"/>
  <c r="I47"/>
  <c r="I46" s="1"/>
  <c r="H47"/>
  <c r="H46" s="1"/>
  <c r="F47"/>
  <c r="E47"/>
  <c r="E46" s="1"/>
  <c r="G44"/>
  <c r="D44"/>
  <c r="G43"/>
  <c r="J43" s="1"/>
  <c r="D43"/>
  <c r="I42"/>
  <c r="H42"/>
  <c r="F42"/>
  <c r="E42"/>
  <c r="G41"/>
  <c r="D41"/>
  <c r="G40"/>
  <c r="D40"/>
  <c r="I39"/>
  <c r="H39"/>
  <c r="F39"/>
  <c r="F38" s="1"/>
  <c r="E39"/>
  <c r="G37"/>
  <c r="D37"/>
  <c r="I36"/>
  <c r="H36"/>
  <c r="F36"/>
  <c r="E36"/>
  <c r="G35"/>
  <c r="J35" s="1"/>
  <c r="D35"/>
  <c r="G34"/>
  <c r="D34"/>
  <c r="I33"/>
  <c r="I32" s="1"/>
  <c r="H33"/>
  <c r="F33"/>
  <c r="E33"/>
  <c r="E32" s="1"/>
  <c r="G31"/>
  <c r="J31" s="1"/>
  <c r="D31"/>
  <c r="I30"/>
  <c r="H30"/>
  <c r="H21" s="1"/>
  <c r="E30"/>
  <c r="D30" s="1"/>
  <c r="G29"/>
  <c r="F29"/>
  <c r="F28" s="1"/>
  <c r="F27" s="1"/>
  <c r="E29"/>
  <c r="A28"/>
  <c r="A33" s="1"/>
  <c r="A39" s="1"/>
  <c r="A42" s="1"/>
  <c r="G26"/>
  <c r="D26"/>
  <c r="G25"/>
  <c r="F25"/>
  <c r="D25" s="1"/>
  <c r="I24"/>
  <c r="I23" s="1"/>
  <c r="H24"/>
  <c r="H23" s="1"/>
  <c r="E24"/>
  <c r="E23" s="1"/>
  <c r="I22"/>
  <c r="I16" s="1"/>
  <c r="H22"/>
  <c r="F22"/>
  <c r="E22"/>
  <c r="F21"/>
  <c r="I20"/>
  <c r="H20"/>
  <c r="F20"/>
  <c r="E20"/>
  <c r="I19"/>
  <c r="H19"/>
  <c r="E361" i="69" l="1"/>
  <c r="S386"/>
  <c r="R386" s="1"/>
  <c r="J104" i="68"/>
  <c r="E92" i="69"/>
  <c r="M366"/>
  <c r="X137"/>
  <c r="F338"/>
  <c r="O347"/>
  <c r="O361"/>
  <c r="S385"/>
  <c r="R385" s="1"/>
  <c r="J113" i="68"/>
  <c r="O355" i="69"/>
  <c r="J55" i="68"/>
  <c r="D64"/>
  <c r="J70"/>
  <c r="D80"/>
  <c r="J80" s="1"/>
  <c r="J82"/>
  <c r="J95"/>
  <c r="J105"/>
  <c r="J108"/>
  <c r="J111"/>
  <c r="J114"/>
  <c r="J117"/>
  <c r="J120"/>
  <c r="J126"/>
  <c r="J129"/>
  <c r="D137"/>
  <c r="G139"/>
  <c r="J158"/>
  <c r="D165"/>
  <c r="G167"/>
  <c r="J24" i="69"/>
  <c r="G29"/>
  <c r="D30"/>
  <c r="U41"/>
  <c r="J47"/>
  <c r="M47" s="1"/>
  <c r="G69"/>
  <c r="G71"/>
  <c r="Q81"/>
  <c r="I224"/>
  <c r="F277"/>
  <c r="G289"/>
  <c r="G300"/>
  <c r="X300" s="1"/>
  <c r="G311"/>
  <c r="R318"/>
  <c r="M334"/>
  <c r="K342"/>
  <c r="K361"/>
  <c r="T385"/>
  <c r="H394"/>
  <c r="Q166"/>
  <c r="K102"/>
  <c r="E221"/>
  <c r="F271"/>
  <c r="T317"/>
  <c r="T316" s="1"/>
  <c r="O353"/>
  <c r="J107" i="68"/>
  <c r="J157"/>
  <c r="E342" i="69"/>
  <c r="F59" i="68"/>
  <c r="J73"/>
  <c r="J121"/>
  <c r="J124"/>
  <c r="J127"/>
  <c r="J130"/>
  <c r="J133"/>
  <c r="J143"/>
  <c r="J146"/>
  <c r="J149"/>
  <c r="J159"/>
  <c r="X44" i="69"/>
  <c r="Q92"/>
  <c r="Q75" s="1"/>
  <c r="H113"/>
  <c r="H112" s="1"/>
  <c r="G133"/>
  <c r="R196"/>
  <c r="I201"/>
  <c r="I246"/>
  <c r="H306"/>
  <c r="E317"/>
  <c r="E316" s="1"/>
  <c r="D356"/>
  <c r="M360"/>
  <c r="J116" i="68"/>
  <c r="J151"/>
  <c r="F16"/>
  <c r="J37"/>
  <c r="J44"/>
  <c r="G60"/>
  <c r="G17" i="69"/>
  <c r="G18"/>
  <c r="M18" s="1"/>
  <c r="G168"/>
  <c r="M168" s="1"/>
  <c r="G253"/>
  <c r="I329"/>
  <c r="W341"/>
  <c r="O345"/>
  <c r="L391"/>
  <c r="F394"/>
  <c r="F391" s="1"/>
  <c r="P166"/>
  <c r="J110" i="68"/>
  <c r="J154"/>
  <c r="K128" i="69"/>
  <c r="N128" s="1"/>
  <c r="F29"/>
  <c r="I29" s="1"/>
  <c r="H64" i="68"/>
  <c r="G64" s="1"/>
  <c r="J74"/>
  <c r="D91"/>
  <c r="F160"/>
  <c r="F17" s="1"/>
  <c r="J166"/>
  <c r="R29" i="69"/>
  <c r="U36"/>
  <c r="G40"/>
  <c r="U47"/>
  <c r="G88"/>
  <c r="U110"/>
  <c r="G150"/>
  <c r="G151"/>
  <c r="M151" s="1"/>
  <c r="G153"/>
  <c r="F166"/>
  <c r="F131" s="1"/>
  <c r="F218"/>
  <c r="D223"/>
  <c r="D228"/>
  <c r="E232"/>
  <c r="G241"/>
  <c r="D274"/>
  <c r="D366"/>
  <c r="U370"/>
  <c r="X379"/>
  <c r="K386"/>
  <c r="N386" s="1"/>
  <c r="J26" i="68"/>
  <c r="G33"/>
  <c r="G36"/>
  <c r="G39"/>
  <c r="J48"/>
  <c r="J52"/>
  <c r="J62"/>
  <c r="J68"/>
  <c r="J76"/>
  <c r="J79"/>
  <c r="J97"/>
  <c r="J98"/>
  <c r="J101"/>
  <c r="J102"/>
  <c r="J136"/>
  <c r="J138"/>
  <c r="J140"/>
  <c r="J164"/>
  <c r="G50"/>
  <c r="S15" i="69"/>
  <c r="U19"/>
  <c r="G22"/>
  <c r="F24"/>
  <c r="U24"/>
  <c r="G25"/>
  <c r="G31"/>
  <c r="R31"/>
  <c r="X53"/>
  <c r="G55"/>
  <c r="G56"/>
  <c r="G57"/>
  <c r="X57" s="1"/>
  <c r="F58"/>
  <c r="I58" s="1"/>
  <c r="O58" s="1"/>
  <c r="X59"/>
  <c r="D60"/>
  <c r="R70"/>
  <c r="T75"/>
  <c r="W75"/>
  <c r="U78"/>
  <c r="U83"/>
  <c r="R85"/>
  <c r="D87"/>
  <c r="H87"/>
  <c r="J89"/>
  <c r="M90"/>
  <c r="D95"/>
  <c r="G100"/>
  <c r="S101"/>
  <c r="I95"/>
  <c r="O104"/>
  <c r="H107"/>
  <c r="G108"/>
  <c r="G111"/>
  <c r="X111" s="1"/>
  <c r="I113"/>
  <c r="I112" s="1"/>
  <c r="G112" s="1"/>
  <c r="M115"/>
  <c r="F116"/>
  <c r="F112" s="1"/>
  <c r="N123"/>
  <c r="J124"/>
  <c r="U123"/>
  <c r="G145"/>
  <c r="G152"/>
  <c r="X152" s="1"/>
  <c r="X170"/>
  <c r="E178"/>
  <c r="M182"/>
  <c r="X186"/>
  <c r="J194"/>
  <c r="D200"/>
  <c r="J200"/>
  <c r="L202"/>
  <c r="I204"/>
  <c r="U199"/>
  <c r="G206"/>
  <c r="F207"/>
  <c r="N214"/>
  <c r="E218"/>
  <c r="F221"/>
  <c r="G230"/>
  <c r="M230" s="1"/>
  <c r="G231"/>
  <c r="G233"/>
  <c r="J234"/>
  <c r="G240"/>
  <c r="L246"/>
  <c r="G251"/>
  <c r="D252"/>
  <c r="D255"/>
  <c r="G263"/>
  <c r="J280"/>
  <c r="G281"/>
  <c r="J291"/>
  <c r="G294"/>
  <c r="G301"/>
  <c r="K301"/>
  <c r="N301" s="1"/>
  <c r="J302"/>
  <c r="E306"/>
  <c r="R306"/>
  <c r="F318"/>
  <c r="J318"/>
  <c r="M325"/>
  <c r="G329"/>
  <c r="U331"/>
  <c r="O333"/>
  <c r="K351"/>
  <c r="N351" s="1"/>
  <c r="X352"/>
  <c r="J352"/>
  <c r="M352" s="1"/>
  <c r="N358"/>
  <c r="X359"/>
  <c r="M359"/>
  <c r="M364"/>
  <c r="H369"/>
  <c r="L369"/>
  <c r="L368" s="1"/>
  <c r="O368" s="1"/>
  <c r="D374"/>
  <c r="R374"/>
  <c r="X375"/>
  <c r="U376"/>
  <c r="Y13"/>
  <c r="Z12"/>
  <c r="Y12" s="1"/>
  <c r="H13" i="68"/>
  <c r="G30" i="69"/>
  <c r="N33"/>
  <c r="T82"/>
  <c r="T81" s="1"/>
  <c r="W82"/>
  <c r="W81" s="1"/>
  <c r="O94"/>
  <c r="O405" s="1"/>
  <c r="G113"/>
  <c r="N113"/>
  <c r="I118"/>
  <c r="O118" s="1"/>
  <c r="X141"/>
  <c r="O214"/>
  <c r="H268"/>
  <c r="N401"/>
  <c r="X330"/>
  <c r="W15"/>
  <c r="M25"/>
  <c r="D31"/>
  <c r="G43"/>
  <c r="O43"/>
  <c r="N58"/>
  <c r="D61"/>
  <c r="J76"/>
  <c r="G77"/>
  <c r="M77" s="1"/>
  <c r="O78"/>
  <c r="P81"/>
  <c r="R83"/>
  <c r="D85"/>
  <c r="R98"/>
  <c r="F102"/>
  <c r="F101" s="1"/>
  <c r="I101" s="1"/>
  <c r="J104"/>
  <c r="R110"/>
  <c r="D116"/>
  <c r="J123"/>
  <c r="I132"/>
  <c r="G134"/>
  <c r="M134" s="1"/>
  <c r="G139"/>
  <c r="X139" s="1"/>
  <c r="D171"/>
  <c r="D172"/>
  <c r="G176"/>
  <c r="H181"/>
  <c r="G181" s="1"/>
  <c r="P178"/>
  <c r="W178"/>
  <c r="W177" s="1"/>
  <c r="W127" s="1"/>
  <c r="N194"/>
  <c r="D196"/>
  <c r="U196"/>
  <c r="O210"/>
  <c r="I211"/>
  <c r="I203" s="1"/>
  <c r="D214"/>
  <c r="G217"/>
  <c r="I218"/>
  <c r="D220"/>
  <c r="N220"/>
  <c r="O249"/>
  <c r="J252"/>
  <c r="M252" s="1"/>
  <c r="X253"/>
  <c r="G254"/>
  <c r="G259"/>
  <c r="M259" s="1"/>
  <c r="G260"/>
  <c r="M260" s="1"/>
  <c r="G261"/>
  <c r="G265"/>
  <c r="D271"/>
  <c r="G273"/>
  <c r="J274"/>
  <c r="G279"/>
  <c r="J282"/>
  <c r="M282" s="1"/>
  <c r="J284"/>
  <c r="D285"/>
  <c r="H287"/>
  <c r="D291"/>
  <c r="J295"/>
  <c r="J298"/>
  <c r="M298" s="1"/>
  <c r="U301"/>
  <c r="M309"/>
  <c r="X333"/>
  <c r="G353"/>
  <c r="G23"/>
  <c r="X23" s="1"/>
  <c r="H36"/>
  <c r="R50"/>
  <c r="X54"/>
  <c r="R56"/>
  <c r="U58"/>
  <c r="R61"/>
  <c r="R64"/>
  <c r="G73"/>
  <c r="X73" s="1"/>
  <c r="L82"/>
  <c r="V82"/>
  <c r="V81" s="1"/>
  <c r="N89"/>
  <c r="N95"/>
  <c r="S97"/>
  <c r="D103"/>
  <c r="U107"/>
  <c r="K112"/>
  <c r="O113"/>
  <c r="I116"/>
  <c r="G116" s="1"/>
  <c r="M125"/>
  <c r="G146"/>
  <c r="G147"/>
  <c r="M147" s="1"/>
  <c r="G148"/>
  <c r="G155"/>
  <c r="G156"/>
  <c r="G157"/>
  <c r="R166"/>
  <c r="O181"/>
  <c r="N182"/>
  <c r="I183"/>
  <c r="J258"/>
  <c r="D266"/>
  <c r="D268"/>
  <c r="G269"/>
  <c r="X269" s="1"/>
  <c r="I271"/>
  <c r="I280"/>
  <c r="O280" s="1"/>
  <c r="M281"/>
  <c r="F284"/>
  <c r="D284" s="1"/>
  <c r="G290"/>
  <c r="I291"/>
  <c r="O291" s="1"/>
  <c r="X294"/>
  <c r="I295"/>
  <c r="O295" s="1"/>
  <c r="X319"/>
  <c r="F329"/>
  <c r="F317" s="1"/>
  <c r="G331"/>
  <c r="R331"/>
  <c r="R335"/>
  <c r="X336"/>
  <c r="R342"/>
  <c r="V369"/>
  <c r="V368" s="1"/>
  <c r="G401"/>
  <c r="X401" s="1"/>
  <c r="U190"/>
  <c r="O246"/>
  <c r="I252"/>
  <c r="I298"/>
  <c r="D301"/>
  <c r="G312"/>
  <c r="L337"/>
  <c r="W337"/>
  <c r="G347"/>
  <c r="G348"/>
  <c r="M348" s="1"/>
  <c r="O349"/>
  <c r="R356"/>
  <c r="O358"/>
  <c r="G372"/>
  <c r="G376"/>
  <c r="L382"/>
  <c r="O382" s="1"/>
  <c r="O401"/>
  <c r="T15"/>
  <c r="R15" s="1"/>
  <c r="X20"/>
  <c r="U50"/>
  <c r="R58"/>
  <c r="U61"/>
  <c r="U64"/>
  <c r="G70"/>
  <c r="J78"/>
  <c r="G84"/>
  <c r="D94"/>
  <c r="U102"/>
  <c r="U101" s="1"/>
  <c r="R107"/>
  <c r="D109"/>
  <c r="D110"/>
  <c r="D113"/>
  <c r="X113" s="1"/>
  <c r="F129"/>
  <c r="F128" s="1"/>
  <c r="D128" s="1"/>
  <c r="X136"/>
  <c r="U183"/>
  <c r="I207"/>
  <c r="O211"/>
  <c r="D218"/>
  <c r="O220"/>
  <c r="G222"/>
  <c r="I232"/>
  <c r="O232" s="1"/>
  <c r="N287"/>
  <c r="X327"/>
  <c r="X328"/>
  <c r="D335"/>
  <c r="F385"/>
  <c r="D385" s="1"/>
  <c r="O392"/>
  <c r="E390"/>
  <c r="G160"/>
  <c r="G162"/>
  <c r="X162" s="1"/>
  <c r="I166"/>
  <c r="G171"/>
  <c r="M171" s="1"/>
  <c r="G173"/>
  <c r="G175"/>
  <c r="X175" s="1"/>
  <c r="N183"/>
  <c r="M186"/>
  <c r="S178"/>
  <c r="R194"/>
  <c r="G223"/>
  <c r="M223" s="1"/>
  <c r="J224"/>
  <c r="O228"/>
  <c r="H200"/>
  <c r="I243"/>
  <c r="O243" s="1"/>
  <c r="H249"/>
  <c r="G249" s="1"/>
  <c r="N252"/>
  <c r="H255"/>
  <c r="N255" s="1"/>
  <c r="H262"/>
  <c r="G262" s="1"/>
  <c r="I262"/>
  <c r="J266"/>
  <c r="M266" s="1"/>
  <c r="G270"/>
  <c r="R268"/>
  <c r="R199" s="1"/>
  <c r="G272"/>
  <c r="X272" s="1"/>
  <c r="G275"/>
  <c r="X275" s="1"/>
  <c r="D282"/>
  <c r="G283"/>
  <c r="X283" s="1"/>
  <c r="G285"/>
  <c r="X285" s="1"/>
  <c r="G288"/>
  <c r="X288" s="1"/>
  <c r="D298"/>
  <c r="D303"/>
  <c r="M307"/>
  <c r="M312"/>
  <c r="S317"/>
  <c r="R317" s="1"/>
  <c r="H317"/>
  <c r="N318"/>
  <c r="X321"/>
  <c r="X325"/>
  <c r="X326"/>
  <c r="D331"/>
  <c r="X332"/>
  <c r="X334"/>
  <c r="I342"/>
  <c r="N345"/>
  <c r="N349"/>
  <c r="G350"/>
  <c r="D351"/>
  <c r="R351"/>
  <c r="D353"/>
  <c r="X353" s="1"/>
  <c r="X355"/>
  <c r="G356"/>
  <c r="U356"/>
  <c r="X360"/>
  <c r="R361"/>
  <c r="X364"/>
  <c r="M365"/>
  <c r="N366"/>
  <c r="O370"/>
  <c r="U372"/>
  <c r="D378"/>
  <c r="R378"/>
  <c r="U380"/>
  <c r="H385"/>
  <c r="D386"/>
  <c r="N387"/>
  <c r="X396"/>
  <c r="X182"/>
  <c r="R190"/>
  <c r="Q178" s="1"/>
  <c r="M288"/>
  <c r="X301"/>
  <c r="T368"/>
  <c r="T367" s="1"/>
  <c r="G386"/>
  <c r="G161"/>
  <c r="D166"/>
  <c r="H179"/>
  <c r="N179" s="1"/>
  <c r="G180"/>
  <c r="M180" s="1"/>
  <c r="G183"/>
  <c r="M184"/>
  <c r="X189"/>
  <c r="V178"/>
  <c r="V177" s="1"/>
  <c r="U177" s="1"/>
  <c r="U194"/>
  <c r="M213"/>
  <c r="G219"/>
  <c r="D224"/>
  <c r="O224"/>
  <c r="G225"/>
  <c r="D239"/>
  <c r="G242"/>
  <c r="M242" s="1"/>
  <c r="D243"/>
  <c r="G244"/>
  <c r="M244" s="1"/>
  <c r="G245"/>
  <c r="M245" s="1"/>
  <c r="D246"/>
  <c r="O247"/>
  <c r="D249"/>
  <c r="J249"/>
  <c r="X250"/>
  <c r="G256"/>
  <c r="M256" s="1"/>
  <c r="G293"/>
  <c r="X293" s="1"/>
  <c r="G296"/>
  <c r="M296" s="1"/>
  <c r="G297"/>
  <c r="M297" s="1"/>
  <c r="H303"/>
  <c r="N303" s="1"/>
  <c r="M308"/>
  <c r="K317"/>
  <c r="N317" s="1"/>
  <c r="U318"/>
  <c r="M324"/>
  <c r="V341"/>
  <c r="J356"/>
  <c r="M356" s="1"/>
  <c r="X365"/>
  <c r="D372"/>
  <c r="X372" s="1"/>
  <c r="X373"/>
  <c r="D376"/>
  <c r="X376" s="1"/>
  <c r="R376"/>
  <c r="D380"/>
  <c r="D383"/>
  <c r="L385"/>
  <c r="O385" s="1"/>
  <c r="X388"/>
  <c r="X157"/>
  <c r="M164"/>
  <c r="M169"/>
  <c r="N181"/>
  <c r="O183"/>
  <c r="R183"/>
  <c r="T178"/>
  <c r="T177" s="1"/>
  <c r="T127" s="1"/>
  <c r="J196"/>
  <c r="M196" s="1"/>
  <c r="J201"/>
  <c r="O204"/>
  <c r="G205"/>
  <c r="M205" s="1"/>
  <c r="D215"/>
  <c r="G216"/>
  <c r="D221"/>
  <c r="M225"/>
  <c r="G226"/>
  <c r="M226" s="1"/>
  <c r="G227"/>
  <c r="M227" s="1"/>
  <c r="G237"/>
  <c r="M237" s="1"/>
  <c r="X238"/>
  <c r="I239"/>
  <c r="O239" s="1"/>
  <c r="N242"/>
  <c r="G247"/>
  <c r="X247" s="1"/>
  <c r="N247"/>
  <c r="N262"/>
  <c r="X263"/>
  <c r="X265"/>
  <c r="I274"/>
  <c r="O274" s="1"/>
  <c r="G278"/>
  <c r="M278" s="1"/>
  <c r="I284"/>
  <c r="O284" s="1"/>
  <c r="D295"/>
  <c r="X302"/>
  <c r="U306"/>
  <c r="G310"/>
  <c r="M310" s="1"/>
  <c r="W317"/>
  <c r="W316" s="1"/>
  <c r="X320"/>
  <c r="X323"/>
  <c r="X324"/>
  <c r="M326"/>
  <c r="D329"/>
  <c r="X329" s="1"/>
  <c r="G335"/>
  <c r="U335"/>
  <c r="T341"/>
  <c r="T337" s="1"/>
  <c r="T315" s="1"/>
  <c r="K341"/>
  <c r="G345"/>
  <c r="G346"/>
  <c r="M346" s="1"/>
  <c r="G349"/>
  <c r="G351"/>
  <c r="O351"/>
  <c r="U351"/>
  <c r="N353"/>
  <c r="D361"/>
  <c r="H368"/>
  <c r="E369"/>
  <c r="D369" s="1"/>
  <c r="I369"/>
  <c r="I368" s="1"/>
  <c r="S369"/>
  <c r="W369"/>
  <c r="W368" s="1"/>
  <c r="W367" s="1"/>
  <c r="R372"/>
  <c r="G374"/>
  <c r="X374" s="1"/>
  <c r="U374"/>
  <c r="G378"/>
  <c r="U378"/>
  <c r="G380"/>
  <c r="R380"/>
  <c r="X381"/>
  <c r="R383"/>
  <c r="X384"/>
  <c r="I385"/>
  <c r="J387"/>
  <c r="M387" s="1"/>
  <c r="D392"/>
  <c r="G393"/>
  <c r="G392" s="1"/>
  <c r="I394"/>
  <c r="O394" s="1"/>
  <c r="D394"/>
  <c r="R97"/>
  <c r="U16"/>
  <c r="U21"/>
  <c r="G27"/>
  <c r="X27" s="1"/>
  <c r="U31"/>
  <c r="R33"/>
  <c r="G39"/>
  <c r="M39" s="1"/>
  <c r="R43"/>
  <c r="N47"/>
  <c r="G48"/>
  <c r="X48" s="1"/>
  <c r="X67"/>
  <c r="U70"/>
  <c r="G74"/>
  <c r="X74" s="1"/>
  <c r="K75"/>
  <c r="N75" s="1"/>
  <c r="V75"/>
  <c r="U75" s="1"/>
  <c r="R78"/>
  <c r="G83"/>
  <c r="H85"/>
  <c r="H82" s="1"/>
  <c r="H81" s="1"/>
  <c r="G89"/>
  <c r="M89" s="1"/>
  <c r="X90"/>
  <c r="G91"/>
  <c r="N93"/>
  <c r="N94"/>
  <c r="N405" s="1"/>
  <c r="M405" s="1"/>
  <c r="U98"/>
  <c r="G104"/>
  <c r="V106"/>
  <c r="U106" s="1"/>
  <c r="N107"/>
  <c r="E112"/>
  <c r="G114"/>
  <c r="M114" s="1"/>
  <c r="U116"/>
  <c r="M117"/>
  <c r="U124"/>
  <c r="G126"/>
  <c r="X126" s="1"/>
  <c r="G140"/>
  <c r="L15"/>
  <c r="X55"/>
  <c r="M55"/>
  <c r="R82"/>
  <c r="R81" s="1"/>
  <c r="U97"/>
  <c r="X100"/>
  <c r="M100"/>
  <c r="G110"/>
  <c r="X110" s="1"/>
  <c r="P92"/>
  <c r="P75" s="1"/>
  <c r="R16"/>
  <c r="R21"/>
  <c r="X22"/>
  <c r="X25"/>
  <c r="D29"/>
  <c r="X29" s="1"/>
  <c r="X32"/>
  <c r="G33"/>
  <c r="M33" s="1"/>
  <c r="O33"/>
  <c r="U33"/>
  <c r="G35"/>
  <c r="M35" s="1"/>
  <c r="D36"/>
  <c r="J36"/>
  <c r="G37"/>
  <c r="X37" s="1"/>
  <c r="X40"/>
  <c r="U43"/>
  <c r="G45"/>
  <c r="R47"/>
  <c r="X52"/>
  <c r="J56"/>
  <c r="M56" s="1"/>
  <c r="G68"/>
  <c r="X68" s="1"/>
  <c r="X69"/>
  <c r="D70"/>
  <c r="X70" s="1"/>
  <c r="X71"/>
  <c r="G72"/>
  <c r="X72" s="1"/>
  <c r="R75"/>
  <c r="G78"/>
  <c r="G79"/>
  <c r="X79" s="1"/>
  <c r="E82"/>
  <c r="E81" s="1"/>
  <c r="E80" s="1"/>
  <c r="D83"/>
  <c r="U85"/>
  <c r="U82" s="1"/>
  <c r="U81" s="1"/>
  <c r="G87"/>
  <c r="D89"/>
  <c r="H98"/>
  <c r="N98" s="1"/>
  <c r="S106"/>
  <c r="R106" s="1"/>
  <c r="G109"/>
  <c r="X109" s="1"/>
  <c r="T92"/>
  <c r="T80" s="1"/>
  <c r="T14" s="1"/>
  <c r="T13" s="1"/>
  <c r="T12" s="1"/>
  <c r="R116"/>
  <c r="J120"/>
  <c r="R124"/>
  <c r="V128"/>
  <c r="U128" s="1"/>
  <c r="X135"/>
  <c r="X138"/>
  <c r="G142"/>
  <c r="X148"/>
  <c r="R19"/>
  <c r="D21"/>
  <c r="D24"/>
  <c r="R24"/>
  <c r="I24"/>
  <c r="O24" s="1"/>
  <c r="G28"/>
  <c r="X28" s="1"/>
  <c r="X30"/>
  <c r="G34"/>
  <c r="X34" s="1"/>
  <c r="I36"/>
  <c r="O36" s="1"/>
  <c r="G38"/>
  <c r="M38" s="1"/>
  <c r="R41"/>
  <c r="G46"/>
  <c r="M46" s="1"/>
  <c r="G49"/>
  <c r="X49" s="1"/>
  <c r="U56"/>
  <c r="G60"/>
  <c r="M60" s="1"/>
  <c r="G61"/>
  <c r="G62"/>
  <c r="G63"/>
  <c r="X63" s="1"/>
  <c r="X65"/>
  <c r="K97"/>
  <c r="N112"/>
  <c r="L112"/>
  <c r="U112"/>
  <c r="G118"/>
  <c r="M118" s="1"/>
  <c r="M122"/>
  <c r="R123"/>
  <c r="X150"/>
  <c r="X155"/>
  <c r="N129"/>
  <c r="M17"/>
  <c r="X17"/>
  <c r="O85"/>
  <c r="I82"/>
  <c r="I81" s="1"/>
  <c r="M37"/>
  <c r="X31"/>
  <c r="G47"/>
  <c r="X51"/>
  <c r="X61"/>
  <c r="X45"/>
  <c r="M45"/>
  <c r="O66"/>
  <c r="G66"/>
  <c r="M66" s="1"/>
  <c r="I64"/>
  <c r="O64" s="1"/>
  <c r="O76"/>
  <c r="I75"/>
  <c r="O75" s="1"/>
  <c r="O99"/>
  <c r="G99"/>
  <c r="M99" s="1"/>
  <c r="I93"/>
  <c r="O93" s="1"/>
  <c r="E101"/>
  <c r="D102"/>
  <c r="H106"/>
  <c r="G76"/>
  <c r="M76" s="1"/>
  <c r="H75"/>
  <c r="H97"/>
  <c r="O95"/>
  <c r="G95"/>
  <c r="D107"/>
  <c r="F106"/>
  <c r="I106" s="1"/>
  <c r="I107"/>
  <c r="G107" s="1"/>
  <c r="G58"/>
  <c r="M58" s="1"/>
  <c r="G105"/>
  <c r="M105" s="1"/>
  <c r="O105"/>
  <c r="I102"/>
  <c r="X62"/>
  <c r="M78"/>
  <c r="W92"/>
  <c r="G132"/>
  <c r="X132" s="1"/>
  <c r="H129"/>
  <c r="G167"/>
  <c r="H166"/>
  <c r="N234"/>
  <c r="G234"/>
  <c r="J19"/>
  <c r="M19" s="1"/>
  <c r="U29"/>
  <c r="I42"/>
  <c r="O42" s="1"/>
  <c r="K15"/>
  <c r="H16"/>
  <c r="H19"/>
  <c r="G19" s="1"/>
  <c r="X19" s="1"/>
  <c r="J21"/>
  <c r="M21" s="1"/>
  <c r="H24"/>
  <c r="F41"/>
  <c r="I41" s="1"/>
  <c r="J41"/>
  <c r="J43"/>
  <c r="M43" s="1"/>
  <c r="D47"/>
  <c r="I50"/>
  <c r="D58"/>
  <c r="F64"/>
  <c r="D64" s="1"/>
  <c r="J64"/>
  <c r="J70"/>
  <c r="M70" s="1"/>
  <c r="E75"/>
  <c r="E409" s="1"/>
  <c r="D76"/>
  <c r="D78"/>
  <c r="X78" s="1"/>
  <c r="F82"/>
  <c r="F81" s="1"/>
  <c r="G86"/>
  <c r="M86" s="1"/>
  <c r="J87"/>
  <c r="M87" s="1"/>
  <c r="K92"/>
  <c r="F93"/>
  <c r="J93"/>
  <c r="I96"/>
  <c r="L97"/>
  <c r="F98"/>
  <c r="J98"/>
  <c r="K101"/>
  <c r="D105"/>
  <c r="L106"/>
  <c r="J107"/>
  <c r="J110"/>
  <c r="M110" s="1"/>
  <c r="S112"/>
  <c r="R112" s="1"/>
  <c r="O116"/>
  <c r="J121"/>
  <c r="F124"/>
  <c r="S128"/>
  <c r="J129"/>
  <c r="G149"/>
  <c r="M149" s="1"/>
  <c r="G154"/>
  <c r="X154" s="1"/>
  <c r="G172"/>
  <c r="M172" s="1"/>
  <c r="O175"/>
  <c r="X184"/>
  <c r="O207"/>
  <c r="N210"/>
  <c r="G212"/>
  <c r="I221"/>
  <c r="O221" s="1"/>
  <c r="O234"/>
  <c r="X244"/>
  <c r="M251"/>
  <c r="M257"/>
  <c r="X262"/>
  <c r="R178"/>
  <c r="S177"/>
  <c r="R177" s="1"/>
  <c r="O195"/>
  <c r="I194"/>
  <c r="G194" s="1"/>
  <c r="G195"/>
  <c r="M195" s="1"/>
  <c r="X206"/>
  <c r="D203"/>
  <c r="N200"/>
  <c r="M248"/>
  <c r="X248"/>
  <c r="O17"/>
  <c r="A25"/>
  <c r="X77"/>
  <c r="H102"/>
  <c r="L102"/>
  <c r="J102" s="1"/>
  <c r="X116"/>
  <c r="I409"/>
  <c r="G174"/>
  <c r="M174" s="1"/>
  <c r="G121"/>
  <c r="H120"/>
  <c r="G120" s="1"/>
  <c r="M176"/>
  <c r="X176"/>
  <c r="E400"/>
  <c r="M187"/>
  <c r="X187"/>
  <c r="O236"/>
  <c r="I200"/>
  <c r="G236"/>
  <c r="M236" s="1"/>
  <c r="I235"/>
  <c r="O235" s="1"/>
  <c r="N18"/>
  <c r="H21"/>
  <c r="G21" s="1"/>
  <c r="X21" s="1"/>
  <c r="N24"/>
  <c r="O29"/>
  <c r="D43"/>
  <c r="X43" s="1"/>
  <c r="X172"/>
  <c r="X209"/>
  <c r="M234"/>
  <c r="O258"/>
  <c r="N116"/>
  <c r="J116"/>
  <c r="M116" s="1"/>
  <c r="I158"/>
  <c r="O158" s="1"/>
  <c r="D158"/>
  <c r="F130"/>
  <c r="I165"/>
  <c r="O165" s="1"/>
  <c r="D165"/>
  <c r="K409"/>
  <c r="N166"/>
  <c r="G210"/>
  <c r="H207"/>
  <c r="G207" s="1"/>
  <c r="H202"/>
  <c r="J29"/>
  <c r="M29" s="1"/>
  <c r="J31"/>
  <c r="M31" s="1"/>
  <c r="D33"/>
  <c r="F50"/>
  <c r="D50" s="1"/>
  <c r="J50"/>
  <c r="D56"/>
  <c r="X56" s="1"/>
  <c r="J61"/>
  <c r="M61" s="1"/>
  <c r="D66"/>
  <c r="X66" s="1"/>
  <c r="F75"/>
  <c r="F409" s="1"/>
  <c r="J75"/>
  <c r="L81"/>
  <c r="K82"/>
  <c r="J83"/>
  <c r="M83" s="1"/>
  <c r="J85"/>
  <c r="H92"/>
  <c r="L92"/>
  <c r="J94"/>
  <c r="M94" s="1"/>
  <c r="J95"/>
  <c r="F96"/>
  <c r="D96" s="1"/>
  <c r="J96"/>
  <c r="D99"/>
  <c r="J112"/>
  <c r="J113"/>
  <c r="M113" s="1"/>
  <c r="D120"/>
  <c r="O123"/>
  <c r="H124"/>
  <c r="O124"/>
  <c r="D129"/>
  <c r="R129"/>
  <c r="X134"/>
  <c r="G144"/>
  <c r="X144" s="1"/>
  <c r="X147"/>
  <c r="X151"/>
  <c r="X156"/>
  <c r="G159"/>
  <c r="X159" s="1"/>
  <c r="U166"/>
  <c r="X168"/>
  <c r="X171"/>
  <c r="U178"/>
  <c r="X249"/>
  <c r="M249"/>
  <c r="X251"/>
  <c r="X254"/>
  <c r="X257"/>
  <c r="X259"/>
  <c r="X261"/>
  <c r="O262"/>
  <c r="K337"/>
  <c r="J341"/>
  <c r="A359"/>
  <c r="A360" s="1"/>
  <c r="A364" s="1"/>
  <c r="A365" s="1"/>
  <c r="A366" s="1"/>
  <c r="A357"/>
  <c r="H367"/>
  <c r="R369"/>
  <c r="L166"/>
  <c r="J166" s="1"/>
  <c r="D174"/>
  <c r="X174" s="1"/>
  <c r="J175"/>
  <c r="M175" s="1"/>
  <c r="I179"/>
  <c r="F183"/>
  <c r="D183" s="1"/>
  <c r="J183"/>
  <c r="M193"/>
  <c r="F405"/>
  <c r="E202"/>
  <c r="E199" s="1"/>
  <c r="E177" s="1"/>
  <c r="H203"/>
  <c r="H407" s="1"/>
  <c r="L203"/>
  <c r="F204"/>
  <c r="D204" s="1"/>
  <c r="J204"/>
  <c r="M206"/>
  <c r="E207"/>
  <c r="D207" s="1"/>
  <c r="X207" s="1"/>
  <c r="J210"/>
  <c r="M210" s="1"/>
  <c r="J211"/>
  <c r="E212"/>
  <c r="D212" s="1"/>
  <c r="H215"/>
  <c r="G215" s="1"/>
  <c r="X215" s="1"/>
  <c r="H218"/>
  <c r="G218" s="1"/>
  <c r="X218" s="1"/>
  <c r="L218"/>
  <c r="O218" s="1"/>
  <c r="H221"/>
  <c r="N221" s="1"/>
  <c r="J228"/>
  <c r="F232"/>
  <c r="D232" s="1"/>
  <c r="J232"/>
  <c r="F235"/>
  <c r="D235" s="1"/>
  <c r="J235"/>
  <c r="J238"/>
  <c r="M238" s="1"/>
  <c r="K239"/>
  <c r="J243"/>
  <c r="H246"/>
  <c r="G246" s="1"/>
  <c r="I255"/>
  <c r="G255" s="1"/>
  <c r="X255" s="1"/>
  <c r="G264"/>
  <c r="M264" s="1"/>
  <c r="N269"/>
  <c r="X296"/>
  <c r="X308"/>
  <c r="X322"/>
  <c r="N344"/>
  <c r="X366"/>
  <c r="U382"/>
  <c r="G271"/>
  <c r="X271" s="1"/>
  <c r="N271"/>
  <c r="M273"/>
  <c r="X273"/>
  <c r="H316"/>
  <c r="F404"/>
  <c r="F341"/>
  <c r="F337" s="1"/>
  <c r="V367"/>
  <c r="O184"/>
  <c r="O187"/>
  <c r="E405"/>
  <c r="D405" s="1"/>
  <c r="I405"/>
  <c r="L406"/>
  <c r="K407"/>
  <c r="N205"/>
  <c r="N223"/>
  <c r="N226"/>
  <c r="N227"/>
  <c r="N230"/>
  <c r="N237"/>
  <c r="N244"/>
  <c r="O259"/>
  <c r="N260"/>
  <c r="I266"/>
  <c r="G266" s="1"/>
  <c r="X266" s="1"/>
  <c r="G267"/>
  <c r="X267" s="1"/>
  <c r="N268"/>
  <c r="J268"/>
  <c r="O271"/>
  <c r="J271"/>
  <c r="N280"/>
  <c r="H277"/>
  <c r="G280"/>
  <c r="M280" s="1"/>
  <c r="G339"/>
  <c r="X339" s="1"/>
  <c r="O339"/>
  <c r="I338"/>
  <c r="H178"/>
  <c r="L178"/>
  <c r="D201"/>
  <c r="H405"/>
  <c r="L405"/>
  <c r="K202"/>
  <c r="F203"/>
  <c r="N203"/>
  <c r="N407" s="1"/>
  <c r="H204"/>
  <c r="G204" s="1"/>
  <c r="O206"/>
  <c r="D210"/>
  <c r="K212"/>
  <c r="J214"/>
  <c r="M214" s="1"/>
  <c r="J215"/>
  <c r="M215" s="1"/>
  <c r="J218"/>
  <c r="J221"/>
  <c r="H224"/>
  <c r="G224" s="1"/>
  <c r="X224" s="1"/>
  <c r="H228"/>
  <c r="G228" s="1"/>
  <c r="X228" s="1"/>
  <c r="G229"/>
  <c r="H232"/>
  <c r="G232" s="1"/>
  <c r="H235"/>
  <c r="G235" s="1"/>
  <c r="H243"/>
  <c r="J246"/>
  <c r="N259"/>
  <c r="M272"/>
  <c r="X307"/>
  <c r="D338"/>
  <c r="D342"/>
  <c r="N350"/>
  <c r="H342"/>
  <c r="N342" s="1"/>
  <c r="G344"/>
  <c r="N382"/>
  <c r="J382"/>
  <c r="M382" s="1"/>
  <c r="N385"/>
  <c r="K178"/>
  <c r="F179"/>
  <c r="J179"/>
  <c r="F181"/>
  <c r="D181" s="1"/>
  <c r="X181" s="1"/>
  <c r="J181"/>
  <c r="M181" s="1"/>
  <c r="D195"/>
  <c r="X195" s="1"/>
  <c r="G201"/>
  <c r="K405"/>
  <c r="J405" s="1"/>
  <c r="F202"/>
  <c r="F406" s="1"/>
  <c r="E407"/>
  <c r="J207"/>
  <c r="J220"/>
  <c r="M220" s="1"/>
  <c r="D234"/>
  <c r="D236"/>
  <c r="H239"/>
  <c r="G239" s="1"/>
  <c r="X239" s="1"/>
  <c r="H252"/>
  <c r="G252" s="1"/>
  <c r="X252" s="1"/>
  <c r="J255"/>
  <c r="H258"/>
  <c r="J262"/>
  <c r="M262" s="1"/>
  <c r="M275"/>
  <c r="M285"/>
  <c r="X299"/>
  <c r="L404"/>
  <c r="N347"/>
  <c r="I268"/>
  <c r="G268" s="1"/>
  <c r="X268" s="1"/>
  <c r="G276"/>
  <c r="E277"/>
  <c r="D277" s="1"/>
  <c r="I277"/>
  <c r="O277" s="1"/>
  <c r="H284"/>
  <c r="G286"/>
  <c r="X286" s="1"/>
  <c r="I287"/>
  <c r="H291"/>
  <c r="G292"/>
  <c r="M292" s="1"/>
  <c r="L301"/>
  <c r="J301" s="1"/>
  <c r="I303"/>
  <c r="G304"/>
  <c r="M304" s="1"/>
  <c r="G305"/>
  <c r="M305" s="1"/>
  <c r="F306"/>
  <c r="D306" s="1"/>
  <c r="J306"/>
  <c r="N306"/>
  <c r="O307"/>
  <c r="O308"/>
  <c r="D318"/>
  <c r="J333"/>
  <c r="M333" s="1"/>
  <c r="J335"/>
  <c r="M335" s="1"/>
  <c r="O342"/>
  <c r="U342"/>
  <c r="D343"/>
  <c r="J374"/>
  <c r="M374" s="1"/>
  <c r="G383"/>
  <c r="X383" s="1"/>
  <c r="U383"/>
  <c r="D387"/>
  <c r="G395"/>
  <c r="J401"/>
  <c r="M401" s="1"/>
  <c r="K404"/>
  <c r="X281"/>
  <c r="O285"/>
  <c r="I306"/>
  <c r="O306" s="1"/>
  <c r="K316"/>
  <c r="L317"/>
  <c r="G318"/>
  <c r="M318" s="1"/>
  <c r="J331"/>
  <c r="M331" s="1"/>
  <c r="D340"/>
  <c r="X340" s="1"/>
  <c r="E341"/>
  <c r="I341"/>
  <c r="I337" s="1"/>
  <c r="O337" s="1"/>
  <c r="S341"/>
  <c r="J342"/>
  <c r="J344"/>
  <c r="J345"/>
  <c r="M345" s="1"/>
  <c r="J347"/>
  <c r="M347" s="1"/>
  <c r="J349"/>
  <c r="M349" s="1"/>
  <c r="J350"/>
  <c r="M350" s="1"/>
  <c r="J355"/>
  <c r="M355" s="1"/>
  <c r="J361"/>
  <c r="G369"/>
  <c r="K369"/>
  <c r="O369"/>
  <c r="U369"/>
  <c r="D370"/>
  <c r="R370"/>
  <c r="J372"/>
  <c r="M372" s="1"/>
  <c r="J380"/>
  <c r="M380" s="1"/>
  <c r="E382"/>
  <c r="D382" s="1"/>
  <c r="X382" s="1"/>
  <c r="S382"/>
  <c r="R382" s="1"/>
  <c r="J383"/>
  <c r="M383" s="1"/>
  <c r="N383"/>
  <c r="J386"/>
  <c r="M386" s="1"/>
  <c r="G387"/>
  <c r="O387"/>
  <c r="U387"/>
  <c r="H392"/>
  <c r="H391" s="1"/>
  <c r="H390" s="1"/>
  <c r="H389" s="1"/>
  <c r="X395"/>
  <c r="N275"/>
  <c r="N285"/>
  <c r="O292"/>
  <c r="N293"/>
  <c r="N296"/>
  <c r="N364"/>
  <c r="E404"/>
  <c r="H274"/>
  <c r="J277"/>
  <c r="D280"/>
  <c r="H282"/>
  <c r="G282" s="1"/>
  <c r="X282" s="1"/>
  <c r="J287"/>
  <c r="H295"/>
  <c r="G295" s="1"/>
  <c r="M295" s="1"/>
  <c r="H298"/>
  <c r="G298" s="1"/>
  <c r="X298" s="1"/>
  <c r="J303"/>
  <c r="S316"/>
  <c r="V317"/>
  <c r="I318"/>
  <c r="I317" s="1"/>
  <c r="I316" s="1"/>
  <c r="J329"/>
  <c r="M329" s="1"/>
  <c r="J338"/>
  <c r="D344"/>
  <c r="D345"/>
  <c r="X345" s="1"/>
  <c r="D347"/>
  <c r="X347" s="1"/>
  <c r="D349"/>
  <c r="X349" s="1"/>
  <c r="D350"/>
  <c r="X350" s="1"/>
  <c r="J353"/>
  <c r="M353" s="1"/>
  <c r="H361"/>
  <c r="G361" s="1"/>
  <c r="X361" s="1"/>
  <c r="J370"/>
  <c r="M370" s="1"/>
  <c r="J376"/>
  <c r="M376" s="1"/>
  <c r="E389"/>
  <c r="L390"/>
  <c r="K391"/>
  <c r="J392"/>
  <c r="D163" i="68"/>
  <c r="D167"/>
  <c r="J167" s="1"/>
  <c r="D168"/>
  <c r="J63"/>
  <c r="G19"/>
  <c r="D22"/>
  <c r="J25"/>
  <c r="H28"/>
  <c r="H27" s="1"/>
  <c r="J40"/>
  <c r="J51"/>
  <c r="D54"/>
  <c r="F57"/>
  <c r="D57" s="1"/>
  <c r="J66"/>
  <c r="H69"/>
  <c r="D77"/>
  <c r="E78"/>
  <c r="D78" s="1"/>
  <c r="J83"/>
  <c r="J86"/>
  <c r="J88"/>
  <c r="J90"/>
  <c r="J94"/>
  <c r="D112"/>
  <c r="G119"/>
  <c r="D123"/>
  <c r="J135"/>
  <c r="G144"/>
  <c r="I160"/>
  <c r="I17" s="1"/>
  <c r="G168"/>
  <c r="J168" s="1"/>
  <c r="G47"/>
  <c r="I59"/>
  <c r="F69"/>
  <c r="G96"/>
  <c r="I103"/>
  <c r="G103" s="1"/>
  <c r="J64"/>
  <c r="G30"/>
  <c r="J30" s="1"/>
  <c r="D33"/>
  <c r="J33" s="1"/>
  <c r="J34"/>
  <c r="D36"/>
  <c r="J36" s="1"/>
  <c r="J41"/>
  <c r="G42"/>
  <c r="D47"/>
  <c r="I13"/>
  <c r="I14"/>
  <c r="G61"/>
  <c r="J84"/>
  <c r="G85"/>
  <c r="J87"/>
  <c r="F92"/>
  <c r="D92" s="1"/>
  <c r="J93"/>
  <c r="D128"/>
  <c r="J147"/>
  <c r="G152"/>
  <c r="J150"/>
  <c r="D148"/>
  <c r="J145"/>
  <c r="J142"/>
  <c r="D131"/>
  <c r="J132"/>
  <c r="J122"/>
  <c r="D115"/>
  <c r="J118"/>
  <c r="D109"/>
  <c r="D100"/>
  <c r="F14"/>
  <c r="D58"/>
  <c r="D96"/>
  <c r="G58"/>
  <c r="G78"/>
  <c r="G57"/>
  <c r="I53"/>
  <c r="G23"/>
  <c r="H32"/>
  <c r="G32" s="1"/>
  <c r="D39"/>
  <c r="D20"/>
  <c r="D14" s="1"/>
  <c r="I38"/>
  <c r="D42"/>
  <c r="G134"/>
  <c r="E16"/>
  <c r="H18"/>
  <c r="G20"/>
  <c r="I21"/>
  <c r="G21" s="1"/>
  <c r="G22"/>
  <c r="G24"/>
  <c r="I28"/>
  <c r="E38"/>
  <c r="D38" s="1"/>
  <c r="D50"/>
  <c r="J50" s="1"/>
  <c r="G54"/>
  <c r="J54" s="1"/>
  <c r="D61"/>
  <c r="D67"/>
  <c r="J67" s="1"/>
  <c r="G69"/>
  <c r="E75"/>
  <c r="D75" s="1"/>
  <c r="D81"/>
  <c r="G91"/>
  <c r="J91" s="1"/>
  <c r="G92"/>
  <c r="G106"/>
  <c r="G123"/>
  <c r="D125"/>
  <c r="F141"/>
  <c r="D141" s="1"/>
  <c r="G148"/>
  <c r="J148" s="1"/>
  <c r="D155"/>
  <c r="E160"/>
  <c r="E17" s="1"/>
  <c r="D17" s="1"/>
  <c r="G165"/>
  <c r="J165" s="1"/>
  <c r="G46"/>
  <c r="G17"/>
  <c r="F15"/>
  <c r="D29"/>
  <c r="J29" s="1"/>
  <c r="D71"/>
  <c r="J71" s="1"/>
  <c r="D89"/>
  <c r="G125"/>
  <c r="G128"/>
  <c r="E134"/>
  <c r="D134" s="1"/>
  <c r="D152"/>
  <c r="G155"/>
  <c r="J155" s="1"/>
  <c r="G162"/>
  <c r="E14"/>
  <c r="F32"/>
  <c r="D32" s="1"/>
  <c r="D60"/>
  <c r="J60" s="1"/>
  <c r="D72"/>
  <c r="G75"/>
  <c r="G77"/>
  <c r="D85"/>
  <c r="G99"/>
  <c r="J99" s="1"/>
  <c r="G100"/>
  <c r="D103"/>
  <c r="D106"/>
  <c r="G109"/>
  <c r="G112"/>
  <c r="J112" s="1"/>
  <c r="G115"/>
  <c r="D119"/>
  <c r="G131"/>
  <c r="J131" s="1"/>
  <c r="G137"/>
  <c r="J137" s="1"/>
  <c r="D139"/>
  <c r="J139" s="1"/>
  <c r="G141"/>
  <c r="D144"/>
  <c r="D161"/>
  <c r="J161" s="1"/>
  <c r="G163"/>
  <c r="A50"/>
  <c r="A61" s="1"/>
  <c r="A64" s="1"/>
  <c r="A69" s="1"/>
  <c r="A72" s="1"/>
  <c r="A75" s="1"/>
  <c r="A78" s="1"/>
  <c r="A81" s="1"/>
  <c r="A85" s="1"/>
  <c r="A89" s="1"/>
  <c r="A92" s="1"/>
  <c r="A96" s="1"/>
  <c r="A100" s="1"/>
  <c r="A103" s="1"/>
  <c r="A106" s="1"/>
  <c r="A109" s="1"/>
  <c r="A112" s="1"/>
  <c r="A115" s="1"/>
  <c r="A119" s="1"/>
  <c r="A46"/>
  <c r="G49"/>
  <c r="H14"/>
  <c r="H16"/>
  <c r="E21"/>
  <c r="E19"/>
  <c r="H38"/>
  <c r="E49"/>
  <c r="D49" s="1"/>
  <c r="H59"/>
  <c r="H53" s="1"/>
  <c r="D162"/>
  <c r="F24"/>
  <c r="F23" s="1"/>
  <c r="D23" s="1"/>
  <c r="I18"/>
  <c r="F46"/>
  <c r="D46" s="1"/>
  <c r="E69"/>
  <c r="D69" s="1"/>
  <c r="H89"/>
  <c r="G89" s="1"/>
  <c r="A37"/>
  <c r="F19"/>
  <c r="E28"/>
  <c r="E59"/>
  <c r="F390" i="69" l="1"/>
  <c r="F389" s="1"/>
  <c r="D391"/>
  <c r="D131"/>
  <c r="I131"/>
  <c r="G131" s="1"/>
  <c r="M112"/>
  <c r="N85"/>
  <c r="J351"/>
  <c r="M351" s="1"/>
  <c r="J123" i="68"/>
  <c r="J128"/>
  <c r="F53"/>
  <c r="J20"/>
  <c r="X99" i="69"/>
  <c r="G24"/>
  <c r="X24" s="1"/>
  <c r="M79"/>
  <c r="G85"/>
  <c r="X85" s="1"/>
  <c r="D112"/>
  <c r="X112" s="1"/>
  <c r="M269"/>
  <c r="X60"/>
  <c r="X348"/>
  <c r="G160" i="68"/>
  <c r="J100"/>
  <c r="M207" i="69"/>
  <c r="X33"/>
  <c r="X39"/>
  <c r="O112"/>
  <c r="W315"/>
  <c r="G211"/>
  <c r="X211" s="1"/>
  <c r="J77" i="68"/>
  <c r="V92" i="69"/>
  <c r="V80" s="1"/>
  <c r="U80" s="1"/>
  <c r="X331"/>
  <c r="F316"/>
  <c r="D316" s="1"/>
  <c r="D317"/>
  <c r="G367"/>
  <c r="X58"/>
  <c r="O82"/>
  <c r="I367"/>
  <c r="J69" i="68"/>
  <c r="J42"/>
  <c r="I407" i="69"/>
  <c r="G407" s="1"/>
  <c r="X335"/>
  <c r="O194"/>
  <c r="G75"/>
  <c r="M75" s="1"/>
  <c r="G368"/>
  <c r="G385"/>
  <c r="X385" s="1"/>
  <c r="X351"/>
  <c r="F367"/>
  <c r="G102"/>
  <c r="X102" s="1"/>
  <c r="M107"/>
  <c r="D409"/>
  <c r="M109"/>
  <c r="G64"/>
  <c r="X64" s="1"/>
  <c r="G82"/>
  <c r="G36"/>
  <c r="X36" s="1"/>
  <c r="X392"/>
  <c r="X386"/>
  <c r="X378"/>
  <c r="M293"/>
  <c r="X205"/>
  <c r="X305"/>
  <c r="X292"/>
  <c r="X232"/>
  <c r="I178"/>
  <c r="G178" s="1"/>
  <c r="O107"/>
  <c r="M24"/>
  <c r="X256"/>
  <c r="X278"/>
  <c r="I202"/>
  <c r="I199" s="1"/>
  <c r="I177" s="1"/>
  <c r="X346"/>
  <c r="I315"/>
  <c r="L367"/>
  <c r="O367" s="1"/>
  <c r="G306"/>
  <c r="X306" s="1"/>
  <c r="G243"/>
  <c r="X243" s="1"/>
  <c r="G277"/>
  <c r="M277" s="1"/>
  <c r="M268"/>
  <c r="M339"/>
  <c r="N277"/>
  <c r="M232"/>
  <c r="X183"/>
  <c r="X245"/>
  <c r="X180"/>
  <c r="M247"/>
  <c r="I391"/>
  <c r="U341"/>
  <c r="V337"/>
  <c r="U337" s="1"/>
  <c r="X204"/>
  <c r="X297"/>
  <c r="X236"/>
  <c r="J385"/>
  <c r="M385" s="1"/>
  <c r="M218"/>
  <c r="X210"/>
  <c r="X235"/>
  <c r="M183"/>
  <c r="N218"/>
  <c r="I129"/>
  <c r="O268"/>
  <c r="V127"/>
  <c r="U127" s="1"/>
  <c r="X380"/>
  <c r="X393"/>
  <c r="M344"/>
  <c r="X246"/>
  <c r="N232"/>
  <c r="G165"/>
  <c r="M165" s="1"/>
  <c r="F407"/>
  <c r="D407" s="1"/>
  <c r="G405"/>
  <c r="X118"/>
  <c r="X76"/>
  <c r="S92"/>
  <c r="R92" s="1"/>
  <c r="V15"/>
  <c r="U15" s="1"/>
  <c r="M126"/>
  <c r="W80"/>
  <c r="W14" s="1"/>
  <c r="W13" s="1"/>
  <c r="W12" s="1"/>
  <c r="X46"/>
  <c r="M102"/>
  <c r="M95"/>
  <c r="M85"/>
  <c r="I15"/>
  <c r="O15" s="1"/>
  <c r="X38"/>
  <c r="X86"/>
  <c r="X107"/>
  <c r="X89"/>
  <c r="X149"/>
  <c r="E127"/>
  <c r="X194"/>
  <c r="M194"/>
  <c r="O317"/>
  <c r="L316"/>
  <c r="R316"/>
  <c r="O287"/>
  <c r="G287"/>
  <c r="X287" s="1"/>
  <c r="N258"/>
  <c r="G258"/>
  <c r="N391"/>
  <c r="K390"/>
  <c r="S337"/>
  <c r="R337" s="1"/>
  <c r="R341"/>
  <c r="N316"/>
  <c r="J316"/>
  <c r="K315"/>
  <c r="N291"/>
  <c r="G291"/>
  <c r="N239"/>
  <c r="J239"/>
  <c r="M239" s="1"/>
  <c r="J337"/>
  <c r="M392"/>
  <c r="J391"/>
  <c r="U317"/>
  <c r="V316"/>
  <c r="M395"/>
  <c r="G394"/>
  <c r="N284"/>
  <c r="G284"/>
  <c r="N178"/>
  <c r="J178"/>
  <c r="N212"/>
  <c r="J212"/>
  <c r="M212" s="1"/>
  <c r="H400"/>
  <c r="G316"/>
  <c r="N82"/>
  <c r="J82"/>
  <c r="M82" s="1"/>
  <c r="K81"/>
  <c r="K400" s="1"/>
  <c r="J97"/>
  <c r="N92"/>
  <c r="J92"/>
  <c r="N16"/>
  <c r="G16"/>
  <c r="H15"/>
  <c r="N15" s="1"/>
  <c r="H409"/>
  <c r="G409" s="1"/>
  <c r="G166"/>
  <c r="X166" s="1"/>
  <c r="V14"/>
  <c r="M255"/>
  <c r="X387"/>
  <c r="M246"/>
  <c r="O341"/>
  <c r="U367"/>
  <c r="X276"/>
  <c r="M204"/>
  <c r="X369"/>
  <c r="X344"/>
  <c r="X280"/>
  <c r="M361"/>
  <c r="X304"/>
  <c r="O318"/>
  <c r="M271"/>
  <c r="I404"/>
  <c r="M286"/>
  <c r="M276"/>
  <c r="U368"/>
  <c r="N295"/>
  <c r="M243"/>
  <c r="G221"/>
  <c r="X221" s="1"/>
  <c r="X212"/>
  <c r="S368"/>
  <c r="O255"/>
  <c r="N228"/>
  <c r="G158"/>
  <c r="M158" s="1"/>
  <c r="N246"/>
  <c r="O200"/>
  <c r="X105"/>
  <c r="X47"/>
  <c r="G42"/>
  <c r="D404"/>
  <c r="H404"/>
  <c r="N404" s="1"/>
  <c r="H341"/>
  <c r="G342"/>
  <c r="M342" s="1"/>
  <c r="K406"/>
  <c r="J406" s="1"/>
  <c r="N202"/>
  <c r="N406" s="1"/>
  <c r="J202"/>
  <c r="K199"/>
  <c r="K177" s="1"/>
  <c r="L400"/>
  <c r="O178"/>
  <c r="L407"/>
  <c r="J407" s="1"/>
  <c r="O203"/>
  <c r="I400"/>
  <c r="O129"/>
  <c r="I128"/>
  <c r="G124"/>
  <c r="N124"/>
  <c r="R128"/>
  <c r="S127"/>
  <c r="R127" s="1"/>
  <c r="J106"/>
  <c r="O106"/>
  <c r="D98"/>
  <c r="F97"/>
  <c r="I98"/>
  <c r="D93"/>
  <c r="F92"/>
  <c r="O50"/>
  <c r="G50"/>
  <c r="M50" s="1"/>
  <c r="N106"/>
  <c r="G106"/>
  <c r="N361"/>
  <c r="M235"/>
  <c r="M228"/>
  <c r="L199"/>
  <c r="J203"/>
  <c r="E402"/>
  <c r="M224"/>
  <c r="N204"/>
  <c r="O179"/>
  <c r="D41"/>
  <c r="D81"/>
  <c r="F15"/>
  <c r="D82"/>
  <c r="X82" s="1"/>
  <c r="N274"/>
  <c r="G274"/>
  <c r="O303"/>
  <c r="G303"/>
  <c r="X303" s="1"/>
  <c r="O338"/>
  <c r="G338"/>
  <c r="X338" s="1"/>
  <c r="L409"/>
  <c r="O409" s="1"/>
  <c r="L128"/>
  <c r="O166"/>
  <c r="H80"/>
  <c r="G81"/>
  <c r="N409"/>
  <c r="D75"/>
  <c r="X75" s="1"/>
  <c r="E15"/>
  <c r="G129"/>
  <c r="X129" s="1"/>
  <c r="H128"/>
  <c r="N97"/>
  <c r="X318"/>
  <c r="E368"/>
  <c r="X316"/>
  <c r="N235"/>
  <c r="N207"/>
  <c r="G200"/>
  <c r="N243"/>
  <c r="D106"/>
  <c r="I92"/>
  <c r="G93"/>
  <c r="M93" s="1"/>
  <c r="O41"/>
  <c r="D341"/>
  <c r="E337"/>
  <c r="D179"/>
  <c r="F178"/>
  <c r="L389"/>
  <c r="N369"/>
  <c r="J369"/>
  <c r="M369" s="1"/>
  <c r="K368"/>
  <c r="J404"/>
  <c r="E406"/>
  <c r="D406" s="1"/>
  <c r="D202"/>
  <c r="L80"/>
  <c r="O81"/>
  <c r="H406"/>
  <c r="G202"/>
  <c r="I130"/>
  <c r="G130" s="1"/>
  <c r="D130"/>
  <c r="L101"/>
  <c r="O101" s="1"/>
  <c r="O102"/>
  <c r="A30"/>
  <c r="A26"/>
  <c r="D124"/>
  <c r="F123"/>
  <c r="D123" s="1"/>
  <c r="O96"/>
  <c r="G96"/>
  <c r="X96" s="1"/>
  <c r="K408"/>
  <c r="J15"/>
  <c r="H101"/>
  <c r="G101" s="1"/>
  <c r="D101"/>
  <c r="J317"/>
  <c r="G317"/>
  <c r="X317" s="1"/>
  <c r="X295"/>
  <c r="G179"/>
  <c r="M179" s="1"/>
  <c r="H199"/>
  <c r="N224"/>
  <c r="F199"/>
  <c r="D199" s="1"/>
  <c r="N102"/>
  <c r="G41"/>
  <c r="M41" s="1"/>
  <c r="J46" i="68"/>
  <c r="J162"/>
  <c r="J163"/>
  <c r="J47"/>
  <c r="J141"/>
  <c r="J125"/>
  <c r="J23"/>
  <c r="G13"/>
  <c r="J152"/>
  <c r="J144"/>
  <c r="J134"/>
  <c r="J119"/>
  <c r="J115"/>
  <c r="J109"/>
  <c r="J106"/>
  <c r="J103"/>
  <c r="J58"/>
  <c r="J96"/>
  <c r="J92"/>
  <c r="J89"/>
  <c r="J85"/>
  <c r="J81"/>
  <c r="J78"/>
  <c r="J75"/>
  <c r="J72"/>
  <c r="G53"/>
  <c r="J57"/>
  <c r="J61"/>
  <c r="J49"/>
  <c r="J32"/>
  <c r="J39"/>
  <c r="G38"/>
  <c r="J38" s="1"/>
  <c r="G18"/>
  <c r="G14"/>
  <c r="J14" s="1"/>
  <c r="G16"/>
  <c r="J22"/>
  <c r="J17"/>
  <c r="G28"/>
  <c r="I27"/>
  <c r="G27" s="1"/>
  <c r="D160"/>
  <c r="J160" s="1"/>
  <c r="I15"/>
  <c r="I12" s="1"/>
  <c r="D16"/>
  <c r="D21"/>
  <c r="J21" s="1"/>
  <c r="E15"/>
  <c r="A123"/>
  <c r="A125"/>
  <c r="A128" s="1"/>
  <c r="A131" s="1"/>
  <c r="A134" s="1"/>
  <c r="E27"/>
  <c r="D27" s="1"/>
  <c r="D28"/>
  <c r="G59"/>
  <c r="H15"/>
  <c r="H12" s="1"/>
  <c r="D19"/>
  <c r="J19" s="1"/>
  <c r="E18"/>
  <c r="E13"/>
  <c r="E53"/>
  <c r="D53" s="1"/>
  <c r="D59"/>
  <c r="F18"/>
  <c r="F13"/>
  <c r="F12" s="1"/>
  <c r="D24"/>
  <c r="U92" i="69" l="1"/>
  <c r="X124"/>
  <c r="M64"/>
  <c r="F315"/>
  <c r="G203"/>
  <c r="X203" s="1"/>
  <c r="M129"/>
  <c r="M211"/>
  <c r="M203"/>
  <c r="X131"/>
  <c r="D390"/>
  <c r="D389" s="1"/>
  <c r="K403"/>
  <c r="L403"/>
  <c r="M36"/>
  <c r="X277"/>
  <c r="I402"/>
  <c r="O202"/>
  <c r="O406" s="1"/>
  <c r="M406" s="1"/>
  <c r="I406"/>
  <c r="G406" s="1"/>
  <c r="X81"/>
  <c r="I80"/>
  <c r="I14" s="1"/>
  <c r="G199"/>
  <c r="M317"/>
  <c r="O199"/>
  <c r="X165"/>
  <c r="M303"/>
  <c r="O404"/>
  <c r="X158"/>
  <c r="M306"/>
  <c r="I390"/>
  <c r="O391"/>
  <c r="X342"/>
  <c r="X199"/>
  <c r="M287"/>
  <c r="X407"/>
  <c r="S80"/>
  <c r="S14" s="1"/>
  <c r="X106"/>
  <c r="F403"/>
  <c r="K127"/>
  <c r="N408"/>
  <c r="J403"/>
  <c r="F400"/>
  <c r="D400" s="1"/>
  <c r="F177"/>
  <c r="D178"/>
  <c r="X178" s="1"/>
  <c r="D337"/>
  <c r="E315"/>
  <c r="D315" s="1"/>
  <c r="D368"/>
  <c r="X368" s="1"/>
  <c r="E367"/>
  <c r="D367" s="1"/>
  <c r="X367" s="1"/>
  <c r="G128"/>
  <c r="X128" s="1"/>
  <c r="X42"/>
  <c r="M42"/>
  <c r="R368"/>
  <c r="S367"/>
  <c r="R367" s="1"/>
  <c r="U14"/>
  <c r="V13"/>
  <c r="H408"/>
  <c r="G15"/>
  <c r="M15" s="1"/>
  <c r="H14"/>
  <c r="K80"/>
  <c r="N81"/>
  <c r="J81"/>
  <c r="M81" s="1"/>
  <c r="M284"/>
  <c r="X284"/>
  <c r="V315"/>
  <c r="U315" s="1"/>
  <c r="U316"/>
  <c r="M291"/>
  <c r="X291"/>
  <c r="N101"/>
  <c r="M338"/>
  <c r="X101"/>
  <c r="J101"/>
  <c r="M101" s="1"/>
  <c r="J409"/>
  <c r="M409" s="1"/>
  <c r="X41"/>
  <c r="M96"/>
  <c r="X93"/>
  <c r="O92"/>
  <c r="I127"/>
  <c r="O407"/>
  <c r="M407" s="1"/>
  <c r="O400"/>
  <c r="E403"/>
  <c r="M221"/>
  <c r="X50"/>
  <c r="H402"/>
  <c r="G402" s="1"/>
  <c r="M178"/>
  <c r="I408"/>
  <c r="K367"/>
  <c r="N368"/>
  <c r="J368"/>
  <c r="M368" s="1"/>
  <c r="X200"/>
  <c r="M200"/>
  <c r="M274"/>
  <c r="X274"/>
  <c r="F402"/>
  <c r="D92"/>
  <c r="G123"/>
  <c r="M123" s="1"/>
  <c r="M124"/>
  <c r="G404"/>
  <c r="M404" s="1"/>
  <c r="H403"/>
  <c r="N400"/>
  <c r="J400"/>
  <c r="N390"/>
  <c r="K389"/>
  <c r="N389" s="1"/>
  <c r="L315"/>
  <c r="O315" s="1"/>
  <c r="O316"/>
  <c r="G92"/>
  <c r="M92" s="1"/>
  <c r="H177"/>
  <c r="G177" s="1"/>
  <c r="M316"/>
  <c r="E408"/>
  <c r="D15"/>
  <c r="E14"/>
  <c r="F408"/>
  <c r="I97"/>
  <c r="D97"/>
  <c r="G341"/>
  <c r="M341" s="1"/>
  <c r="H337"/>
  <c r="N341"/>
  <c r="R80"/>
  <c r="M394"/>
  <c r="X394"/>
  <c r="G391"/>
  <c r="J390"/>
  <c r="J315"/>
  <c r="X202"/>
  <c r="D402"/>
  <c r="L177"/>
  <c r="O177" s="1"/>
  <c r="M202"/>
  <c r="S315"/>
  <c r="R315" s="1"/>
  <c r="A32"/>
  <c r="A35"/>
  <c r="A37" s="1"/>
  <c r="A38" s="1"/>
  <c r="A39" s="1"/>
  <c r="A34"/>
  <c r="L14"/>
  <c r="O128"/>
  <c r="J128"/>
  <c r="L408"/>
  <c r="O408" s="1"/>
  <c r="G98"/>
  <c r="M98" s="1"/>
  <c r="O98"/>
  <c r="N199"/>
  <c r="J199"/>
  <c r="M199" s="1"/>
  <c r="X16"/>
  <c r="M16"/>
  <c r="M258"/>
  <c r="X258"/>
  <c r="X179"/>
  <c r="F80"/>
  <c r="D80" s="1"/>
  <c r="M106"/>
  <c r="L402"/>
  <c r="O402" s="1"/>
  <c r="K402"/>
  <c r="G400"/>
  <c r="M166"/>
  <c r="J24" i="68"/>
  <c r="J27"/>
  <c r="J28"/>
  <c r="G15"/>
  <c r="J59"/>
  <c r="J53"/>
  <c r="J16"/>
  <c r="G12"/>
  <c r="A141"/>
  <c r="A144" s="1"/>
  <c r="A148" s="1"/>
  <c r="A152" s="1"/>
  <c r="A155" s="1"/>
  <c r="A162" s="1"/>
  <c r="A163" s="1"/>
  <c r="A164" s="1"/>
  <c r="A165" s="1"/>
  <c r="A166" s="1"/>
  <c r="A167" s="1"/>
  <c r="A168" s="1"/>
  <c r="A139"/>
  <c r="D13"/>
  <c r="D18"/>
  <c r="E12"/>
  <c r="D12" s="1"/>
  <c r="D15"/>
  <c r="D403" i="69" l="1"/>
  <c r="X15"/>
  <c r="G80"/>
  <c r="I13"/>
  <c r="L127"/>
  <c r="O127" s="1"/>
  <c r="O80"/>
  <c r="I403"/>
  <c r="O403" s="1"/>
  <c r="I389"/>
  <c r="O389" s="1"/>
  <c r="O390"/>
  <c r="X341"/>
  <c r="X402"/>
  <c r="F14"/>
  <c r="D14" s="1"/>
  <c r="D408"/>
  <c r="X98"/>
  <c r="X404"/>
  <c r="O97"/>
  <c r="G97"/>
  <c r="M97" s="1"/>
  <c r="G390"/>
  <c r="M390" s="1"/>
  <c r="X391"/>
  <c r="E13"/>
  <c r="S13"/>
  <c r="R14"/>
  <c r="X92"/>
  <c r="X80"/>
  <c r="G408"/>
  <c r="X408" s="1"/>
  <c r="M128"/>
  <c r="X123"/>
  <c r="M391"/>
  <c r="M400"/>
  <c r="H127"/>
  <c r="G127" s="1"/>
  <c r="X400"/>
  <c r="N177"/>
  <c r="J389"/>
  <c r="G337"/>
  <c r="M337" s="1"/>
  <c r="N337"/>
  <c r="H315"/>
  <c r="G14"/>
  <c r="H13"/>
  <c r="F127"/>
  <c r="D127" s="1"/>
  <c r="D177"/>
  <c r="X177" s="1"/>
  <c r="J408"/>
  <c r="J177"/>
  <c r="M177" s="1"/>
  <c r="N367"/>
  <c r="J367"/>
  <c r="M367" s="1"/>
  <c r="N80"/>
  <c r="J80"/>
  <c r="M80" s="1"/>
  <c r="K14"/>
  <c r="V12"/>
  <c r="U12" s="1"/>
  <c r="U13"/>
  <c r="N127"/>
  <c r="N403"/>
  <c r="L13"/>
  <c r="O14"/>
  <c r="N402"/>
  <c r="J402"/>
  <c r="M402" s="1"/>
  <c r="A42"/>
  <c r="A40"/>
  <c r="J15" i="68"/>
  <c r="J12"/>
  <c r="J18"/>
  <c r="J13"/>
  <c r="O168" i="67"/>
  <c r="L168"/>
  <c r="I168"/>
  <c r="H168"/>
  <c r="F168"/>
  <c r="E168"/>
  <c r="O167"/>
  <c r="L167"/>
  <c r="I167"/>
  <c r="H167"/>
  <c r="F167"/>
  <c r="E167"/>
  <c r="O166"/>
  <c r="L166"/>
  <c r="G166"/>
  <c r="D166"/>
  <c r="R166" s="1"/>
  <c r="O165"/>
  <c r="L165"/>
  <c r="I165"/>
  <c r="H165"/>
  <c r="F165"/>
  <c r="E165"/>
  <c r="O164"/>
  <c r="L164"/>
  <c r="G164"/>
  <c r="D164"/>
  <c r="R164" s="1"/>
  <c r="O163"/>
  <c r="L163"/>
  <c r="I163"/>
  <c r="H163"/>
  <c r="F163"/>
  <c r="E163"/>
  <c r="O162"/>
  <c r="L162"/>
  <c r="I162"/>
  <c r="I160" s="1"/>
  <c r="I17" s="1"/>
  <c r="H162"/>
  <c r="F162"/>
  <c r="E162"/>
  <c r="G161"/>
  <c r="F161"/>
  <c r="E161"/>
  <c r="Q160"/>
  <c r="P160"/>
  <c r="O160" s="1"/>
  <c r="N160"/>
  <c r="M160"/>
  <c r="L160" s="1"/>
  <c r="O159"/>
  <c r="L159"/>
  <c r="G159"/>
  <c r="D159"/>
  <c r="O158"/>
  <c r="L158"/>
  <c r="G158"/>
  <c r="D158"/>
  <c r="O157"/>
  <c r="L157"/>
  <c r="G157"/>
  <c r="D157"/>
  <c r="G156"/>
  <c r="D156"/>
  <c r="R156" s="1"/>
  <c r="O155"/>
  <c r="L155"/>
  <c r="I155"/>
  <c r="H155"/>
  <c r="F155"/>
  <c r="E155"/>
  <c r="D155" s="1"/>
  <c r="R155" s="1"/>
  <c r="O154"/>
  <c r="L154"/>
  <c r="G154"/>
  <c r="D154"/>
  <c r="G153"/>
  <c r="D153"/>
  <c r="R153" s="1"/>
  <c r="O152"/>
  <c r="L152"/>
  <c r="I152"/>
  <c r="H152"/>
  <c r="F152"/>
  <c r="E152"/>
  <c r="G151"/>
  <c r="D151"/>
  <c r="R151" s="1"/>
  <c r="O150"/>
  <c r="L150"/>
  <c r="G150"/>
  <c r="D150"/>
  <c r="R150" s="1"/>
  <c r="G149"/>
  <c r="D149"/>
  <c r="O148"/>
  <c r="L148"/>
  <c r="I148"/>
  <c r="H148"/>
  <c r="F148"/>
  <c r="E148"/>
  <c r="G147"/>
  <c r="D147"/>
  <c r="O146"/>
  <c r="L146"/>
  <c r="G146"/>
  <c r="D146"/>
  <c r="O145"/>
  <c r="L145"/>
  <c r="G145"/>
  <c r="D145"/>
  <c r="O144"/>
  <c r="L144"/>
  <c r="I144"/>
  <c r="H144"/>
  <c r="G144" s="1"/>
  <c r="F144"/>
  <c r="E144"/>
  <c r="O143"/>
  <c r="L143"/>
  <c r="G143"/>
  <c r="D143"/>
  <c r="O142"/>
  <c r="L142"/>
  <c r="G142"/>
  <c r="F142"/>
  <c r="O141"/>
  <c r="L141"/>
  <c r="I141"/>
  <c r="H141"/>
  <c r="E141"/>
  <c r="O140"/>
  <c r="L140"/>
  <c r="G140"/>
  <c r="D140"/>
  <c r="R140" s="1"/>
  <c r="O139"/>
  <c r="L139"/>
  <c r="I139"/>
  <c r="H139"/>
  <c r="F139"/>
  <c r="E139"/>
  <c r="O138"/>
  <c r="L138"/>
  <c r="G138"/>
  <c r="D138"/>
  <c r="O137"/>
  <c r="L137"/>
  <c r="I137"/>
  <c r="I134" s="1"/>
  <c r="H137"/>
  <c r="F137"/>
  <c r="E137"/>
  <c r="G136"/>
  <c r="D136"/>
  <c r="O135"/>
  <c r="L135"/>
  <c r="G135"/>
  <c r="D135"/>
  <c r="O134"/>
  <c r="L134"/>
  <c r="O133"/>
  <c r="L133"/>
  <c r="G133"/>
  <c r="D133"/>
  <c r="O132"/>
  <c r="L132"/>
  <c r="G132"/>
  <c r="D132"/>
  <c r="R132" s="1"/>
  <c r="O131"/>
  <c r="L131"/>
  <c r="I131"/>
  <c r="H131"/>
  <c r="F131"/>
  <c r="E131"/>
  <c r="O130"/>
  <c r="L130"/>
  <c r="G130"/>
  <c r="D130"/>
  <c r="R130" s="1"/>
  <c r="O129"/>
  <c r="L129"/>
  <c r="G129"/>
  <c r="D129"/>
  <c r="O128"/>
  <c r="L128"/>
  <c r="I128"/>
  <c r="H128"/>
  <c r="E128"/>
  <c r="O127"/>
  <c r="L127"/>
  <c r="G127"/>
  <c r="D127"/>
  <c r="O126"/>
  <c r="O125" s="1"/>
  <c r="L126"/>
  <c r="G126"/>
  <c r="D126"/>
  <c r="R126" s="1"/>
  <c r="Q125"/>
  <c r="P125"/>
  <c r="N125"/>
  <c r="M125"/>
  <c r="K125"/>
  <c r="J125"/>
  <c r="I125"/>
  <c r="H125"/>
  <c r="F125"/>
  <c r="E125"/>
  <c r="O124"/>
  <c r="L124"/>
  <c r="G124"/>
  <c r="D124"/>
  <c r="R124" s="1"/>
  <c r="O123"/>
  <c r="L123"/>
  <c r="I123"/>
  <c r="H123"/>
  <c r="F123"/>
  <c r="E123"/>
  <c r="G122"/>
  <c r="D122"/>
  <c r="G121"/>
  <c r="D121"/>
  <c r="G120"/>
  <c r="D120"/>
  <c r="O119"/>
  <c r="L119"/>
  <c r="I119"/>
  <c r="H119"/>
  <c r="F119"/>
  <c r="E119"/>
  <c r="G118"/>
  <c r="D118"/>
  <c r="R118" s="1"/>
  <c r="G117"/>
  <c r="D117"/>
  <c r="G116"/>
  <c r="D116"/>
  <c r="R116" s="1"/>
  <c r="O115"/>
  <c r="L115"/>
  <c r="I115"/>
  <c r="H115"/>
  <c r="F115"/>
  <c r="E115"/>
  <c r="D115" s="1"/>
  <c r="G114"/>
  <c r="D114"/>
  <c r="R114" s="1"/>
  <c r="G113"/>
  <c r="D113"/>
  <c r="O112"/>
  <c r="L112"/>
  <c r="I112"/>
  <c r="H112"/>
  <c r="F112"/>
  <c r="E112"/>
  <c r="G111"/>
  <c r="D111"/>
  <c r="R111" s="1"/>
  <c r="G110"/>
  <c r="D110"/>
  <c r="O109"/>
  <c r="L109"/>
  <c r="I109"/>
  <c r="H109"/>
  <c r="F109"/>
  <c r="E109"/>
  <c r="G108"/>
  <c r="D108"/>
  <c r="G107"/>
  <c r="D107"/>
  <c r="I106"/>
  <c r="H106"/>
  <c r="F106"/>
  <c r="E106"/>
  <c r="O105"/>
  <c r="L105"/>
  <c r="G105"/>
  <c r="D105"/>
  <c r="R105" s="1"/>
  <c r="I104"/>
  <c r="D104"/>
  <c r="R104" s="1"/>
  <c r="O103"/>
  <c r="L103"/>
  <c r="H103"/>
  <c r="F103"/>
  <c r="E103"/>
  <c r="G102"/>
  <c r="D102"/>
  <c r="G101"/>
  <c r="D101"/>
  <c r="R101" s="1"/>
  <c r="O100"/>
  <c r="L100"/>
  <c r="I100"/>
  <c r="H100"/>
  <c r="F100"/>
  <c r="E100"/>
  <c r="H99"/>
  <c r="G99" s="1"/>
  <c r="D99"/>
  <c r="G98"/>
  <c r="D98"/>
  <c r="G97"/>
  <c r="D97"/>
  <c r="O96"/>
  <c r="L96"/>
  <c r="I96"/>
  <c r="F96"/>
  <c r="E96"/>
  <c r="O95"/>
  <c r="L95"/>
  <c r="D95"/>
  <c r="R95" s="1"/>
  <c r="G94"/>
  <c r="D94"/>
  <c r="O93"/>
  <c r="L93"/>
  <c r="G93"/>
  <c r="F93"/>
  <c r="F92" s="1"/>
  <c r="O92"/>
  <c r="L92"/>
  <c r="H92"/>
  <c r="E92"/>
  <c r="I91"/>
  <c r="I89" s="1"/>
  <c r="H91"/>
  <c r="F91"/>
  <c r="E91"/>
  <c r="G90"/>
  <c r="D90"/>
  <c r="O89"/>
  <c r="L89"/>
  <c r="H89"/>
  <c r="F89"/>
  <c r="G88"/>
  <c r="D88"/>
  <c r="G87"/>
  <c r="D87"/>
  <c r="G86"/>
  <c r="D86"/>
  <c r="O85"/>
  <c r="L85"/>
  <c r="I85"/>
  <c r="H85"/>
  <c r="F85"/>
  <c r="E85"/>
  <c r="D85" s="1"/>
  <c r="G84"/>
  <c r="D84"/>
  <c r="G83"/>
  <c r="D83"/>
  <c r="G82"/>
  <c r="D82"/>
  <c r="O81"/>
  <c r="L81"/>
  <c r="I81"/>
  <c r="H81"/>
  <c r="F81"/>
  <c r="E81"/>
  <c r="G80"/>
  <c r="F80"/>
  <c r="E80"/>
  <c r="G79"/>
  <c r="D79"/>
  <c r="O78"/>
  <c r="L78"/>
  <c r="I78"/>
  <c r="H78"/>
  <c r="G78" s="1"/>
  <c r="F78"/>
  <c r="E78"/>
  <c r="I77"/>
  <c r="H77"/>
  <c r="F77"/>
  <c r="E77"/>
  <c r="E75" s="1"/>
  <c r="G76"/>
  <c r="D76"/>
  <c r="O75"/>
  <c r="L75"/>
  <c r="I75"/>
  <c r="G74"/>
  <c r="D74"/>
  <c r="G73"/>
  <c r="D73"/>
  <c r="O72"/>
  <c r="L72"/>
  <c r="I72"/>
  <c r="H72"/>
  <c r="F72"/>
  <c r="E72"/>
  <c r="H71"/>
  <c r="G71" s="1"/>
  <c r="F71"/>
  <c r="F69" s="1"/>
  <c r="E71"/>
  <c r="D71" s="1"/>
  <c r="G70"/>
  <c r="D70"/>
  <c r="O69"/>
  <c r="L69"/>
  <c r="I69"/>
  <c r="H69"/>
  <c r="I67"/>
  <c r="H67"/>
  <c r="H64" s="1"/>
  <c r="F67"/>
  <c r="E67"/>
  <c r="G66"/>
  <c r="D66"/>
  <c r="R66" s="1"/>
  <c r="E64"/>
  <c r="O63"/>
  <c r="L63"/>
  <c r="G63"/>
  <c r="D63"/>
  <c r="G62"/>
  <c r="D62"/>
  <c r="R62" s="1"/>
  <c r="O61"/>
  <c r="L61"/>
  <c r="I61"/>
  <c r="H61"/>
  <c r="F61"/>
  <c r="E61"/>
  <c r="H60"/>
  <c r="F60"/>
  <c r="E60"/>
  <c r="I58"/>
  <c r="H58"/>
  <c r="F58"/>
  <c r="E58"/>
  <c r="I57"/>
  <c r="H57"/>
  <c r="E57"/>
  <c r="O55"/>
  <c r="L55"/>
  <c r="G55"/>
  <c r="D55"/>
  <c r="A55"/>
  <c r="Q54"/>
  <c r="P54"/>
  <c r="N54"/>
  <c r="M54"/>
  <c r="I54"/>
  <c r="H54"/>
  <c r="F54"/>
  <c r="E54"/>
  <c r="Q53"/>
  <c r="P53"/>
  <c r="O53" s="1"/>
  <c r="N53"/>
  <c r="M53"/>
  <c r="L53" s="1"/>
  <c r="O52"/>
  <c r="L52"/>
  <c r="G52"/>
  <c r="D52"/>
  <c r="G51"/>
  <c r="D51"/>
  <c r="Q50"/>
  <c r="Q49" s="1"/>
  <c r="P50"/>
  <c r="P49" s="1"/>
  <c r="N50"/>
  <c r="N49" s="1"/>
  <c r="M50"/>
  <c r="M49" s="1"/>
  <c r="I50"/>
  <c r="H50"/>
  <c r="F50"/>
  <c r="F49" s="1"/>
  <c r="E50"/>
  <c r="E49" s="1"/>
  <c r="H49"/>
  <c r="G48"/>
  <c r="D48"/>
  <c r="I47"/>
  <c r="I46" s="1"/>
  <c r="H47"/>
  <c r="H46" s="1"/>
  <c r="F47"/>
  <c r="F46" s="1"/>
  <c r="E47"/>
  <c r="O44"/>
  <c r="L44"/>
  <c r="G44"/>
  <c r="G43"/>
  <c r="D43"/>
  <c r="Q42"/>
  <c r="Q38" s="1"/>
  <c r="P42"/>
  <c r="N42"/>
  <c r="N38" s="1"/>
  <c r="M42"/>
  <c r="I42"/>
  <c r="G42" s="1"/>
  <c r="H42"/>
  <c r="E42"/>
  <c r="G41"/>
  <c r="D41"/>
  <c r="G40"/>
  <c r="D40"/>
  <c r="O39"/>
  <c r="L39"/>
  <c r="I39"/>
  <c r="H39"/>
  <c r="H38" s="1"/>
  <c r="F39"/>
  <c r="E39"/>
  <c r="P38"/>
  <c r="O37"/>
  <c r="L37"/>
  <c r="G37"/>
  <c r="D37"/>
  <c r="Q36"/>
  <c r="P36"/>
  <c r="N36"/>
  <c r="M36"/>
  <c r="K36"/>
  <c r="J36"/>
  <c r="I36"/>
  <c r="H36"/>
  <c r="F36"/>
  <c r="E36"/>
  <c r="O35"/>
  <c r="L35"/>
  <c r="G35"/>
  <c r="F33"/>
  <c r="G34"/>
  <c r="D34"/>
  <c r="Q33"/>
  <c r="Q32" s="1"/>
  <c r="P33"/>
  <c r="P32" s="1"/>
  <c r="N33"/>
  <c r="M33"/>
  <c r="I33"/>
  <c r="I32" s="1"/>
  <c r="H33"/>
  <c r="E33"/>
  <c r="E32" s="1"/>
  <c r="N32"/>
  <c r="M32"/>
  <c r="L32" s="1"/>
  <c r="K32"/>
  <c r="J32"/>
  <c r="O31"/>
  <c r="L31"/>
  <c r="G31"/>
  <c r="I30"/>
  <c r="H30"/>
  <c r="G30" s="1"/>
  <c r="E30"/>
  <c r="G29"/>
  <c r="F29"/>
  <c r="E29"/>
  <c r="E19" s="1"/>
  <c r="Q28"/>
  <c r="P28"/>
  <c r="O28" s="1"/>
  <c r="O27" s="1"/>
  <c r="N28"/>
  <c r="M28"/>
  <c r="M27" s="1"/>
  <c r="I28"/>
  <c r="I27" s="1"/>
  <c r="A28"/>
  <c r="A33" s="1"/>
  <c r="A37" s="1"/>
  <c r="Q27"/>
  <c r="K27"/>
  <c r="J27"/>
  <c r="O26"/>
  <c r="L26"/>
  <c r="G26"/>
  <c r="D26"/>
  <c r="O25"/>
  <c r="L25"/>
  <c r="G25"/>
  <c r="F25"/>
  <c r="Q24"/>
  <c r="Q23" s="1"/>
  <c r="P24"/>
  <c r="P23" s="1"/>
  <c r="N24"/>
  <c r="M24"/>
  <c r="M23" s="1"/>
  <c r="I24"/>
  <c r="H24"/>
  <c r="E24"/>
  <c r="E23" s="1"/>
  <c r="N23"/>
  <c r="K23"/>
  <c r="J23"/>
  <c r="I22"/>
  <c r="H22"/>
  <c r="F22"/>
  <c r="E22"/>
  <c r="I21"/>
  <c r="F21"/>
  <c r="I20"/>
  <c r="I14" s="1"/>
  <c r="H20"/>
  <c r="F20"/>
  <c r="F14" s="1"/>
  <c r="E20"/>
  <c r="E14" s="1"/>
  <c r="I19"/>
  <c r="H19"/>
  <c r="H13" s="1"/>
  <c r="Q18"/>
  <c r="P18"/>
  <c r="O18" s="1"/>
  <c r="N18"/>
  <c r="M18"/>
  <c r="L18" s="1"/>
  <c r="E16"/>
  <c r="Q12"/>
  <c r="P12"/>
  <c r="O12" s="1"/>
  <c r="N12"/>
  <c r="M12"/>
  <c r="L12" s="1"/>
  <c r="L30" i="65"/>
  <c r="K30"/>
  <c r="E30"/>
  <c r="F142"/>
  <c r="O32" i="67" l="1"/>
  <c r="H28"/>
  <c r="I38"/>
  <c r="D96"/>
  <c r="D119"/>
  <c r="R119" s="1"/>
  <c r="D47"/>
  <c r="H59"/>
  <c r="G59" s="1"/>
  <c r="G15" s="1"/>
  <c r="G125"/>
  <c r="H21"/>
  <c r="G21" s="1"/>
  <c r="L125"/>
  <c r="D152"/>
  <c r="J127" i="69"/>
  <c r="M127" s="1"/>
  <c r="F57" i="67"/>
  <c r="D57" s="1"/>
  <c r="G54"/>
  <c r="O54"/>
  <c r="D67"/>
  <c r="G72"/>
  <c r="D123"/>
  <c r="G403" i="69"/>
  <c r="G20" i="67"/>
  <c r="P27"/>
  <c r="L28"/>
  <c r="L27" s="1"/>
  <c r="L33"/>
  <c r="O33"/>
  <c r="A39"/>
  <c r="X127" i="69"/>
  <c r="I12"/>
  <c r="I410" s="1"/>
  <c r="M408"/>
  <c r="X97"/>
  <c r="F13"/>
  <c r="F12" s="1"/>
  <c r="F410" s="1"/>
  <c r="G315"/>
  <c r="N315"/>
  <c r="X14"/>
  <c r="N14"/>
  <c r="K13"/>
  <c r="J14"/>
  <c r="M14" s="1"/>
  <c r="E12"/>
  <c r="X337"/>
  <c r="H12"/>
  <c r="G13"/>
  <c r="S12"/>
  <c r="R12" s="1"/>
  <c r="R13"/>
  <c r="G389"/>
  <c r="X389" s="1"/>
  <c r="X390"/>
  <c r="A44"/>
  <c r="A45"/>
  <c r="A46" s="1"/>
  <c r="O13"/>
  <c r="L12"/>
  <c r="A42" i="67"/>
  <c r="A46" s="1"/>
  <c r="O36"/>
  <c r="D61"/>
  <c r="R61" s="1"/>
  <c r="N27"/>
  <c r="D106"/>
  <c r="R106" s="1"/>
  <c r="F16"/>
  <c r="D39"/>
  <c r="D58"/>
  <c r="D137"/>
  <c r="R137" s="1"/>
  <c r="D161"/>
  <c r="D36"/>
  <c r="R36" s="1"/>
  <c r="G50"/>
  <c r="O49"/>
  <c r="D54"/>
  <c r="F64"/>
  <c r="D64" s="1"/>
  <c r="R64" s="1"/>
  <c r="D100"/>
  <c r="R100" s="1"/>
  <c r="D131"/>
  <c r="D139"/>
  <c r="R139" s="1"/>
  <c r="D81"/>
  <c r="F134"/>
  <c r="D144"/>
  <c r="I18"/>
  <c r="I49"/>
  <c r="L50"/>
  <c r="D92"/>
  <c r="D109"/>
  <c r="D112"/>
  <c r="R112" s="1"/>
  <c r="E134"/>
  <c r="D134" s="1"/>
  <c r="R134" s="1"/>
  <c r="D148"/>
  <c r="R148" s="1"/>
  <c r="E160"/>
  <c r="E17" s="1"/>
  <c r="F160"/>
  <c r="F17" s="1"/>
  <c r="O23"/>
  <c r="L23"/>
  <c r="L49"/>
  <c r="D50"/>
  <c r="R50" s="1"/>
  <c r="O50"/>
  <c r="D72"/>
  <c r="R72" s="1"/>
  <c r="D78"/>
  <c r="O42"/>
  <c r="L54"/>
  <c r="F75"/>
  <c r="D75" s="1"/>
  <c r="R75" s="1"/>
  <c r="G81"/>
  <c r="I92"/>
  <c r="G92" s="1"/>
  <c r="D103"/>
  <c r="I103"/>
  <c r="G103" s="1"/>
  <c r="D125"/>
  <c r="R125" s="1"/>
  <c r="H160"/>
  <c r="H17" s="1"/>
  <c r="G17" s="1"/>
  <c r="G33"/>
  <c r="H32"/>
  <c r="G19"/>
  <c r="I23"/>
  <c r="R143"/>
  <c r="D22"/>
  <c r="L24"/>
  <c r="D33"/>
  <c r="R33" s="1"/>
  <c r="I13"/>
  <c r="H14"/>
  <c r="H16"/>
  <c r="H18"/>
  <c r="D20"/>
  <c r="D14" s="1"/>
  <c r="F32"/>
  <c r="D32" s="1"/>
  <c r="L36"/>
  <c r="R37"/>
  <c r="L42"/>
  <c r="E46"/>
  <c r="D46" s="1"/>
  <c r="R81"/>
  <c r="R107"/>
  <c r="R122"/>
  <c r="R138"/>
  <c r="R149"/>
  <c r="D44"/>
  <c r="D25"/>
  <c r="F19"/>
  <c r="F24"/>
  <c r="E21"/>
  <c r="E28"/>
  <c r="R133"/>
  <c r="F42"/>
  <c r="F38" s="1"/>
  <c r="R52"/>
  <c r="R85"/>
  <c r="R108"/>
  <c r="R110"/>
  <c r="R120"/>
  <c r="D31"/>
  <c r="F28"/>
  <c r="F27" s="1"/>
  <c r="G28"/>
  <c r="H27"/>
  <c r="R135"/>
  <c r="R145"/>
  <c r="G22"/>
  <c r="R26"/>
  <c r="D29"/>
  <c r="D30"/>
  <c r="E13"/>
  <c r="O24"/>
  <c r="D35"/>
  <c r="R35" s="1"/>
  <c r="O38"/>
  <c r="R67"/>
  <c r="R157"/>
  <c r="H23"/>
  <c r="G24"/>
  <c r="G36"/>
  <c r="E38"/>
  <c r="M38"/>
  <c r="L38" s="1"/>
  <c r="G46"/>
  <c r="G47"/>
  <c r="I59"/>
  <c r="I64"/>
  <c r="D68"/>
  <c r="R68" s="1"/>
  <c r="H75"/>
  <c r="D77"/>
  <c r="D80"/>
  <c r="E89"/>
  <c r="D89" s="1"/>
  <c r="R89" s="1"/>
  <c r="G91"/>
  <c r="R102"/>
  <c r="G104"/>
  <c r="G106"/>
  <c r="G109"/>
  <c r="G115"/>
  <c r="G123"/>
  <c r="R131"/>
  <c r="H134"/>
  <c r="F141"/>
  <c r="D141" s="1"/>
  <c r="R141" s="1"/>
  <c r="G141"/>
  <c r="G148"/>
  <c r="R154"/>
  <c r="G162"/>
  <c r="G163"/>
  <c r="G165"/>
  <c r="G167"/>
  <c r="G168"/>
  <c r="G58"/>
  <c r="F59"/>
  <c r="F15" s="1"/>
  <c r="R63"/>
  <c r="G69"/>
  <c r="G77"/>
  <c r="D91"/>
  <c r="D93"/>
  <c r="R96"/>
  <c r="R109"/>
  <c r="G112"/>
  <c r="R115"/>
  <c r="G119"/>
  <c r="R123"/>
  <c r="F128"/>
  <c r="D128" s="1"/>
  <c r="R128" s="1"/>
  <c r="G128"/>
  <c r="D162"/>
  <c r="R162" s="1"/>
  <c r="D163"/>
  <c r="R163" s="1"/>
  <c r="D165"/>
  <c r="R165" s="1"/>
  <c r="D167"/>
  <c r="R167" s="1"/>
  <c r="D168"/>
  <c r="R168" s="1"/>
  <c r="G38"/>
  <c r="G39"/>
  <c r="D49"/>
  <c r="R49" s="1"/>
  <c r="H53"/>
  <c r="G57"/>
  <c r="E59"/>
  <c r="I60"/>
  <c r="G61"/>
  <c r="G67"/>
  <c r="G68"/>
  <c r="E69"/>
  <c r="D69" s="1"/>
  <c r="R69" s="1"/>
  <c r="G85"/>
  <c r="G89"/>
  <c r="G95"/>
  <c r="H96"/>
  <c r="G100"/>
  <c r="G131"/>
  <c r="G137"/>
  <c r="G139"/>
  <c r="D142"/>
  <c r="R142" s="1"/>
  <c r="G152"/>
  <c r="G155"/>
  <c r="E21" i="65"/>
  <c r="L21"/>
  <c r="O161"/>
  <c r="N161"/>
  <c r="O159"/>
  <c r="N159"/>
  <c r="O158"/>
  <c r="N158"/>
  <c r="O157"/>
  <c r="N157"/>
  <c r="O156"/>
  <c r="N156"/>
  <c r="O151"/>
  <c r="N151"/>
  <c r="O147"/>
  <c r="N147"/>
  <c r="O146"/>
  <c r="N146"/>
  <c r="O140"/>
  <c r="N140"/>
  <c r="N138"/>
  <c r="O136"/>
  <c r="N136"/>
  <c r="N133"/>
  <c r="N130"/>
  <c r="O127"/>
  <c r="N127"/>
  <c r="O124"/>
  <c r="N124"/>
  <c r="O122"/>
  <c r="N122"/>
  <c r="O120"/>
  <c r="N120"/>
  <c r="O118"/>
  <c r="N118"/>
  <c r="N114"/>
  <c r="O111"/>
  <c r="N111"/>
  <c r="O110"/>
  <c r="N110"/>
  <c r="N108"/>
  <c r="O107"/>
  <c r="N107"/>
  <c r="N105"/>
  <c r="O98"/>
  <c r="N98"/>
  <c r="O97"/>
  <c r="N97"/>
  <c r="N95"/>
  <c r="O90"/>
  <c r="N90"/>
  <c r="O88"/>
  <c r="N88"/>
  <c r="O86"/>
  <c r="N86"/>
  <c r="O82"/>
  <c r="N82"/>
  <c r="O79"/>
  <c r="N79"/>
  <c r="O76"/>
  <c r="N76"/>
  <c r="O74"/>
  <c r="N74"/>
  <c r="O73"/>
  <c r="N73"/>
  <c r="O70"/>
  <c r="N70"/>
  <c r="N68"/>
  <c r="O66"/>
  <c r="N66"/>
  <c r="O65"/>
  <c r="N65"/>
  <c r="M65"/>
  <c r="N63"/>
  <c r="O56"/>
  <c r="N56"/>
  <c r="M56"/>
  <c r="O55"/>
  <c r="N55"/>
  <c r="N52"/>
  <c r="O51"/>
  <c r="N51"/>
  <c r="O48"/>
  <c r="N48"/>
  <c r="O45"/>
  <c r="N45"/>
  <c r="M45"/>
  <c r="N44"/>
  <c r="O43"/>
  <c r="N43"/>
  <c r="O41"/>
  <c r="N41"/>
  <c r="O37"/>
  <c r="N37"/>
  <c r="N35"/>
  <c r="N31"/>
  <c r="O29"/>
  <c r="N29"/>
  <c r="N26"/>
  <c r="S53"/>
  <c r="R53" s="1"/>
  <c r="T53"/>
  <c r="V53"/>
  <c r="U53" s="1"/>
  <c r="W53"/>
  <c r="S18"/>
  <c r="R18" s="1"/>
  <c r="T18"/>
  <c r="V18"/>
  <c r="U18" s="1"/>
  <c r="W18"/>
  <c r="U168"/>
  <c r="R168"/>
  <c r="L168"/>
  <c r="K168"/>
  <c r="F168"/>
  <c r="I168" s="1"/>
  <c r="E168"/>
  <c r="U167"/>
  <c r="R167"/>
  <c r="L167"/>
  <c r="K167"/>
  <c r="F167"/>
  <c r="I167" s="1"/>
  <c r="E167"/>
  <c r="U166"/>
  <c r="R166"/>
  <c r="J166"/>
  <c r="I166"/>
  <c r="O166" s="1"/>
  <c r="H166"/>
  <c r="N166" s="1"/>
  <c r="D166"/>
  <c r="U165"/>
  <c r="R165"/>
  <c r="L165"/>
  <c r="K165"/>
  <c r="F165"/>
  <c r="I165" s="1"/>
  <c r="E165"/>
  <c r="U164"/>
  <c r="R164"/>
  <c r="J164"/>
  <c r="I164"/>
  <c r="O164" s="1"/>
  <c r="H164"/>
  <c r="N164" s="1"/>
  <c r="D164"/>
  <c r="U163"/>
  <c r="R163"/>
  <c r="L163"/>
  <c r="K163"/>
  <c r="F163"/>
  <c r="I163" s="1"/>
  <c r="E163"/>
  <c r="U162"/>
  <c r="R162"/>
  <c r="L162"/>
  <c r="K162"/>
  <c r="F162"/>
  <c r="I162" s="1"/>
  <c r="E162"/>
  <c r="J161"/>
  <c r="M161" s="1"/>
  <c r="G161"/>
  <c r="F161"/>
  <c r="E161"/>
  <c r="U159"/>
  <c r="R159"/>
  <c r="J159"/>
  <c r="M159" s="1"/>
  <c r="G159"/>
  <c r="D159"/>
  <c r="U158"/>
  <c r="R158"/>
  <c r="J158"/>
  <c r="M158" s="1"/>
  <c r="G158"/>
  <c r="D158"/>
  <c r="U157"/>
  <c r="R157"/>
  <c r="J157"/>
  <c r="M157" s="1"/>
  <c r="I157"/>
  <c r="H157"/>
  <c r="D157"/>
  <c r="J156"/>
  <c r="M156" s="1"/>
  <c r="I156"/>
  <c r="H156"/>
  <c r="D156"/>
  <c r="U155"/>
  <c r="R155"/>
  <c r="L155"/>
  <c r="O155" s="1"/>
  <c r="K155"/>
  <c r="N155" s="1"/>
  <c r="F155"/>
  <c r="E155"/>
  <c r="U154"/>
  <c r="R154"/>
  <c r="J154"/>
  <c r="I154"/>
  <c r="O154" s="1"/>
  <c r="H154"/>
  <c r="N154" s="1"/>
  <c r="D154"/>
  <c r="J153"/>
  <c r="I153"/>
  <c r="I152" s="1"/>
  <c r="H153"/>
  <c r="N153" s="1"/>
  <c r="D153"/>
  <c r="U152"/>
  <c r="R152"/>
  <c r="L152"/>
  <c r="K152"/>
  <c r="F152"/>
  <c r="E152"/>
  <c r="J151"/>
  <c r="M151" s="1"/>
  <c r="I151"/>
  <c r="H151"/>
  <c r="D151"/>
  <c r="U150"/>
  <c r="R150"/>
  <c r="J150"/>
  <c r="I150"/>
  <c r="O150" s="1"/>
  <c r="H150"/>
  <c r="N150" s="1"/>
  <c r="D150"/>
  <c r="J149"/>
  <c r="I149"/>
  <c r="O149" s="1"/>
  <c r="H149"/>
  <c r="N149" s="1"/>
  <c r="D149"/>
  <c r="U148"/>
  <c r="R148"/>
  <c r="L148"/>
  <c r="K148"/>
  <c r="F148"/>
  <c r="E148"/>
  <c r="J147"/>
  <c r="M147" s="1"/>
  <c r="I147"/>
  <c r="H147"/>
  <c r="D147"/>
  <c r="U146"/>
  <c r="R146"/>
  <c r="J146"/>
  <c r="M146" s="1"/>
  <c r="I146"/>
  <c r="H146"/>
  <c r="D146"/>
  <c r="U145"/>
  <c r="R145"/>
  <c r="J145"/>
  <c r="I145"/>
  <c r="O145" s="1"/>
  <c r="H145"/>
  <c r="N145" s="1"/>
  <c r="D145"/>
  <c r="U144"/>
  <c r="R144"/>
  <c r="L144"/>
  <c r="K144"/>
  <c r="F144"/>
  <c r="E144"/>
  <c r="U143"/>
  <c r="R143"/>
  <c r="J143"/>
  <c r="I143"/>
  <c r="O143" s="1"/>
  <c r="H143"/>
  <c r="N143" s="1"/>
  <c r="D143"/>
  <c r="U142"/>
  <c r="R142"/>
  <c r="J142"/>
  <c r="H142"/>
  <c r="N142" s="1"/>
  <c r="U141"/>
  <c r="R141"/>
  <c r="L141"/>
  <c r="K141"/>
  <c r="E141"/>
  <c r="U140"/>
  <c r="R140"/>
  <c r="J140"/>
  <c r="M140" s="1"/>
  <c r="I140"/>
  <c r="I139" s="1"/>
  <c r="H140"/>
  <c r="D140"/>
  <c r="U139"/>
  <c r="R139"/>
  <c r="L139"/>
  <c r="O139" s="1"/>
  <c r="K139"/>
  <c r="N139" s="1"/>
  <c r="F139"/>
  <c r="E139"/>
  <c r="U138"/>
  <c r="R138"/>
  <c r="J138"/>
  <c r="I138"/>
  <c r="O138" s="1"/>
  <c r="H138"/>
  <c r="F138"/>
  <c r="D138" s="1"/>
  <c r="U137"/>
  <c r="R137"/>
  <c r="L137"/>
  <c r="L134" s="1"/>
  <c r="K137"/>
  <c r="F137"/>
  <c r="E137"/>
  <c r="H137" s="1"/>
  <c r="J136"/>
  <c r="M136" s="1"/>
  <c r="I136"/>
  <c r="H136"/>
  <c r="D136"/>
  <c r="U135"/>
  <c r="R135"/>
  <c r="J135"/>
  <c r="I135"/>
  <c r="O135" s="1"/>
  <c r="H135"/>
  <c r="N135" s="1"/>
  <c r="D135"/>
  <c r="U134"/>
  <c r="R134"/>
  <c r="U133"/>
  <c r="R133"/>
  <c r="J133"/>
  <c r="I133"/>
  <c r="O133" s="1"/>
  <c r="H133"/>
  <c r="D133"/>
  <c r="U132"/>
  <c r="R132"/>
  <c r="J132"/>
  <c r="I132"/>
  <c r="O132" s="1"/>
  <c r="H132"/>
  <c r="N132" s="1"/>
  <c r="D132"/>
  <c r="U131"/>
  <c r="R131"/>
  <c r="L131"/>
  <c r="K131"/>
  <c r="F131"/>
  <c r="E131"/>
  <c r="U130"/>
  <c r="R130"/>
  <c r="J130"/>
  <c r="I130"/>
  <c r="O130" s="1"/>
  <c r="H130"/>
  <c r="F130"/>
  <c r="D130" s="1"/>
  <c r="U129"/>
  <c r="R129"/>
  <c r="J129"/>
  <c r="I129"/>
  <c r="O129" s="1"/>
  <c r="H129"/>
  <c r="N129" s="1"/>
  <c r="D129"/>
  <c r="U128"/>
  <c r="R128"/>
  <c r="L128"/>
  <c r="K128"/>
  <c r="E128"/>
  <c r="U127"/>
  <c r="R127"/>
  <c r="J127"/>
  <c r="M127" s="1"/>
  <c r="I127"/>
  <c r="H127"/>
  <c r="D127"/>
  <c r="U126"/>
  <c r="R126"/>
  <c r="J126"/>
  <c r="I126"/>
  <c r="O126" s="1"/>
  <c r="H126"/>
  <c r="N126" s="1"/>
  <c r="D126"/>
  <c r="W125"/>
  <c r="V125"/>
  <c r="T125"/>
  <c r="S125"/>
  <c r="Q125"/>
  <c r="P125"/>
  <c r="L125"/>
  <c r="K125"/>
  <c r="F125"/>
  <c r="E125"/>
  <c r="U124"/>
  <c r="R124"/>
  <c r="J124"/>
  <c r="M124" s="1"/>
  <c r="I124"/>
  <c r="I123" s="1"/>
  <c r="H124"/>
  <c r="D124"/>
  <c r="U123"/>
  <c r="R123"/>
  <c r="L123"/>
  <c r="O123" s="1"/>
  <c r="K123"/>
  <c r="N123" s="1"/>
  <c r="F123"/>
  <c r="E123"/>
  <c r="J122"/>
  <c r="M122" s="1"/>
  <c r="I122"/>
  <c r="H122"/>
  <c r="D122"/>
  <c r="J121"/>
  <c r="I121"/>
  <c r="O121" s="1"/>
  <c r="H121"/>
  <c r="N121" s="1"/>
  <c r="D121"/>
  <c r="J120"/>
  <c r="M120" s="1"/>
  <c r="I120"/>
  <c r="H120"/>
  <c r="D120"/>
  <c r="U119"/>
  <c r="R119"/>
  <c r="L119"/>
  <c r="K119"/>
  <c r="F119"/>
  <c r="E119"/>
  <c r="J118"/>
  <c r="M118" s="1"/>
  <c r="I118"/>
  <c r="H118"/>
  <c r="D118"/>
  <c r="J117"/>
  <c r="I117"/>
  <c r="O117" s="1"/>
  <c r="H117"/>
  <c r="N117" s="1"/>
  <c r="D117"/>
  <c r="J116"/>
  <c r="I116"/>
  <c r="I115" s="1"/>
  <c r="H116"/>
  <c r="N116" s="1"/>
  <c r="D116"/>
  <c r="U115"/>
  <c r="R115"/>
  <c r="L115"/>
  <c r="O115" s="1"/>
  <c r="K115"/>
  <c r="F115"/>
  <c r="E115"/>
  <c r="J114"/>
  <c r="I114"/>
  <c r="O114" s="1"/>
  <c r="H114"/>
  <c r="D114"/>
  <c r="J113"/>
  <c r="I113"/>
  <c r="O113" s="1"/>
  <c r="H113"/>
  <c r="N113" s="1"/>
  <c r="D113"/>
  <c r="U112"/>
  <c r="R112"/>
  <c r="L112"/>
  <c r="K112"/>
  <c r="F112"/>
  <c r="E112"/>
  <c r="J111"/>
  <c r="M111" s="1"/>
  <c r="I111"/>
  <c r="H111"/>
  <c r="D111"/>
  <c r="J110"/>
  <c r="M110" s="1"/>
  <c r="I110"/>
  <c r="H110"/>
  <c r="D110"/>
  <c r="U109"/>
  <c r="R109"/>
  <c r="L109"/>
  <c r="O109" s="1"/>
  <c r="K109"/>
  <c r="N109" s="1"/>
  <c r="F109"/>
  <c r="E109"/>
  <c r="J108"/>
  <c r="I108"/>
  <c r="O108" s="1"/>
  <c r="H108"/>
  <c r="D108"/>
  <c r="J107"/>
  <c r="M107" s="1"/>
  <c r="I107"/>
  <c r="H107"/>
  <c r="D107"/>
  <c r="L106"/>
  <c r="K106"/>
  <c r="N106" s="1"/>
  <c r="F106"/>
  <c r="E106"/>
  <c r="U105"/>
  <c r="R105"/>
  <c r="J105"/>
  <c r="I105"/>
  <c r="H105"/>
  <c r="D105"/>
  <c r="L104"/>
  <c r="L103" s="1"/>
  <c r="O103" s="1"/>
  <c r="I104"/>
  <c r="I103" s="1"/>
  <c r="H104"/>
  <c r="N104" s="1"/>
  <c r="D104"/>
  <c r="U103"/>
  <c r="R103"/>
  <c r="K103"/>
  <c r="F103"/>
  <c r="E103"/>
  <c r="J102"/>
  <c r="I102"/>
  <c r="O102" s="1"/>
  <c r="H102"/>
  <c r="N102" s="1"/>
  <c r="D102"/>
  <c r="J101"/>
  <c r="I101"/>
  <c r="I100" s="1"/>
  <c r="H101"/>
  <c r="N101" s="1"/>
  <c r="D101"/>
  <c r="U100"/>
  <c r="R100"/>
  <c r="L100"/>
  <c r="K100"/>
  <c r="F100"/>
  <c r="E100"/>
  <c r="K99"/>
  <c r="I99"/>
  <c r="O99" s="1"/>
  <c r="H99"/>
  <c r="D99"/>
  <c r="J98"/>
  <c r="M98" s="1"/>
  <c r="I98"/>
  <c r="H98"/>
  <c r="D98"/>
  <c r="J97"/>
  <c r="M97" s="1"/>
  <c r="I97"/>
  <c r="H97"/>
  <c r="D97"/>
  <c r="U96"/>
  <c r="R96"/>
  <c r="L96"/>
  <c r="F96"/>
  <c r="E96"/>
  <c r="U95"/>
  <c r="R95"/>
  <c r="L95"/>
  <c r="O95" s="1"/>
  <c r="H95"/>
  <c r="G95" s="1"/>
  <c r="D95"/>
  <c r="J94"/>
  <c r="I94"/>
  <c r="O94" s="1"/>
  <c r="H94"/>
  <c r="N94" s="1"/>
  <c r="D94"/>
  <c r="U93"/>
  <c r="R93"/>
  <c r="J93"/>
  <c r="H93"/>
  <c r="N93" s="1"/>
  <c r="F93"/>
  <c r="D93" s="1"/>
  <c r="U92"/>
  <c r="R92"/>
  <c r="K92"/>
  <c r="E92"/>
  <c r="L91"/>
  <c r="L89" s="1"/>
  <c r="K91"/>
  <c r="F91"/>
  <c r="I91" s="1"/>
  <c r="E91"/>
  <c r="H91" s="1"/>
  <c r="J90"/>
  <c r="M90" s="1"/>
  <c r="I90"/>
  <c r="H90"/>
  <c r="D90"/>
  <c r="U89"/>
  <c r="R89"/>
  <c r="F89"/>
  <c r="J88"/>
  <c r="M88" s="1"/>
  <c r="I88"/>
  <c r="H88"/>
  <c r="D88"/>
  <c r="J87"/>
  <c r="I87"/>
  <c r="O87" s="1"/>
  <c r="H87"/>
  <c r="N87" s="1"/>
  <c r="D87"/>
  <c r="J86"/>
  <c r="M86" s="1"/>
  <c r="I86"/>
  <c r="I85" s="1"/>
  <c r="H86"/>
  <c r="D86"/>
  <c r="U85"/>
  <c r="R85"/>
  <c r="L85"/>
  <c r="K85"/>
  <c r="F85"/>
  <c r="E85"/>
  <c r="J84"/>
  <c r="I84"/>
  <c r="O84" s="1"/>
  <c r="H84"/>
  <c r="N84" s="1"/>
  <c r="D84"/>
  <c r="J83"/>
  <c r="I83"/>
  <c r="O83" s="1"/>
  <c r="H83"/>
  <c r="N83" s="1"/>
  <c r="D83"/>
  <c r="J82"/>
  <c r="I82"/>
  <c r="H82"/>
  <c r="D82"/>
  <c r="U81"/>
  <c r="R81"/>
  <c r="L81"/>
  <c r="K81"/>
  <c r="F81"/>
  <c r="E81"/>
  <c r="J80"/>
  <c r="F80"/>
  <c r="I80" s="1"/>
  <c r="O80" s="1"/>
  <c r="E80"/>
  <c r="H80" s="1"/>
  <c r="N80" s="1"/>
  <c r="J79"/>
  <c r="M79" s="1"/>
  <c r="I79"/>
  <c r="H79"/>
  <c r="D79"/>
  <c r="U78"/>
  <c r="R78"/>
  <c r="L78"/>
  <c r="K78"/>
  <c r="L77"/>
  <c r="L75" s="1"/>
  <c r="K77"/>
  <c r="K75" s="1"/>
  <c r="F77"/>
  <c r="I77" s="1"/>
  <c r="E77"/>
  <c r="E75" s="1"/>
  <c r="J76"/>
  <c r="M76" s="1"/>
  <c r="I76"/>
  <c r="H76"/>
  <c r="D76"/>
  <c r="U75"/>
  <c r="R75"/>
  <c r="J74"/>
  <c r="M74" s="1"/>
  <c r="I74"/>
  <c r="H74"/>
  <c r="D74"/>
  <c r="J73"/>
  <c r="M73" s="1"/>
  <c r="I73"/>
  <c r="I72" s="1"/>
  <c r="H73"/>
  <c r="D73"/>
  <c r="U72"/>
  <c r="R72"/>
  <c r="L72"/>
  <c r="O72" s="1"/>
  <c r="K72"/>
  <c r="N72" s="1"/>
  <c r="F72"/>
  <c r="E72"/>
  <c r="K71"/>
  <c r="J71" s="1"/>
  <c r="I71"/>
  <c r="I69" s="1"/>
  <c r="H71"/>
  <c r="H69" s="1"/>
  <c r="F71"/>
  <c r="F69" s="1"/>
  <c r="E71"/>
  <c r="J70"/>
  <c r="G70"/>
  <c r="D70"/>
  <c r="U69"/>
  <c r="R69"/>
  <c r="L69"/>
  <c r="O69" s="1"/>
  <c r="L68"/>
  <c r="H68"/>
  <c r="F68"/>
  <c r="I68" s="1"/>
  <c r="L67"/>
  <c r="K67"/>
  <c r="F67"/>
  <c r="I67" s="1"/>
  <c r="E67"/>
  <c r="H67" s="1"/>
  <c r="J66"/>
  <c r="M66" s="1"/>
  <c r="I66"/>
  <c r="H66"/>
  <c r="D66"/>
  <c r="I65"/>
  <c r="H65"/>
  <c r="U63"/>
  <c r="R63"/>
  <c r="J63"/>
  <c r="I63"/>
  <c r="O63" s="1"/>
  <c r="H63"/>
  <c r="F63"/>
  <c r="D63" s="1"/>
  <c r="J62"/>
  <c r="I62"/>
  <c r="O62" s="1"/>
  <c r="H62"/>
  <c r="N62" s="1"/>
  <c r="D62"/>
  <c r="U61"/>
  <c r="R61"/>
  <c r="L61"/>
  <c r="K61"/>
  <c r="E61"/>
  <c r="K60"/>
  <c r="N60" s="1"/>
  <c r="E60"/>
  <c r="L58"/>
  <c r="K58"/>
  <c r="F58"/>
  <c r="E58"/>
  <c r="L57"/>
  <c r="K57"/>
  <c r="E57"/>
  <c r="U55"/>
  <c r="R55"/>
  <c r="J55"/>
  <c r="M55" s="1"/>
  <c r="G55"/>
  <c r="D55"/>
  <c r="W54"/>
  <c r="V54"/>
  <c r="T54"/>
  <c r="S54"/>
  <c r="L54"/>
  <c r="O54" s="1"/>
  <c r="K54"/>
  <c r="N54" s="1"/>
  <c r="I54"/>
  <c r="H54"/>
  <c r="F54"/>
  <c r="E54"/>
  <c r="U52"/>
  <c r="R52"/>
  <c r="J52"/>
  <c r="I52"/>
  <c r="O52" s="1"/>
  <c r="H52"/>
  <c r="F52"/>
  <c r="D52" s="1"/>
  <c r="J51"/>
  <c r="G51"/>
  <c r="D51"/>
  <c r="W50"/>
  <c r="W49" s="1"/>
  <c r="V50"/>
  <c r="V49" s="1"/>
  <c r="T50"/>
  <c r="T49" s="1"/>
  <c r="S50"/>
  <c r="S49" s="1"/>
  <c r="L50"/>
  <c r="L49" s="1"/>
  <c r="K50"/>
  <c r="K49" s="1"/>
  <c r="E50"/>
  <c r="E49" s="1"/>
  <c r="H49" s="1"/>
  <c r="J48"/>
  <c r="H48"/>
  <c r="G48" s="1"/>
  <c r="D48"/>
  <c r="L47"/>
  <c r="L46" s="1"/>
  <c r="K47"/>
  <c r="K46" s="1"/>
  <c r="N46" s="1"/>
  <c r="I47"/>
  <c r="I46" s="1"/>
  <c r="F47"/>
  <c r="F46" s="1"/>
  <c r="E47"/>
  <c r="E46" s="1"/>
  <c r="U44"/>
  <c r="R44"/>
  <c r="J44"/>
  <c r="H44"/>
  <c r="H42" s="1"/>
  <c r="F44"/>
  <c r="D44" s="1"/>
  <c r="J43"/>
  <c r="G43"/>
  <c r="D43"/>
  <c r="W42"/>
  <c r="W38" s="1"/>
  <c r="V42"/>
  <c r="T42"/>
  <c r="T38" s="1"/>
  <c r="S42"/>
  <c r="S38" s="1"/>
  <c r="L42"/>
  <c r="K42"/>
  <c r="E42"/>
  <c r="J41"/>
  <c r="G41"/>
  <c r="D41"/>
  <c r="J40"/>
  <c r="I40"/>
  <c r="I39" s="1"/>
  <c r="H40"/>
  <c r="N40" s="1"/>
  <c r="D40"/>
  <c r="U39"/>
  <c r="R39"/>
  <c r="L39"/>
  <c r="K39"/>
  <c r="F39"/>
  <c r="E39"/>
  <c r="U37"/>
  <c r="R37"/>
  <c r="J37"/>
  <c r="M37" s="1"/>
  <c r="I37"/>
  <c r="H37"/>
  <c r="D37"/>
  <c r="W36"/>
  <c r="V36"/>
  <c r="T36"/>
  <c r="S36"/>
  <c r="Q36"/>
  <c r="P36"/>
  <c r="L36"/>
  <c r="O36" s="1"/>
  <c r="K36"/>
  <c r="N36" s="1"/>
  <c r="F36"/>
  <c r="I36" s="1"/>
  <c r="E36"/>
  <c r="U35"/>
  <c r="R35"/>
  <c r="J35"/>
  <c r="I35"/>
  <c r="O35" s="1"/>
  <c r="H35"/>
  <c r="F35"/>
  <c r="D35" s="1"/>
  <c r="J34"/>
  <c r="I34"/>
  <c r="O34" s="1"/>
  <c r="H34"/>
  <c r="N34" s="1"/>
  <c r="D34"/>
  <c r="W33"/>
  <c r="W32" s="1"/>
  <c r="V33"/>
  <c r="V32" s="1"/>
  <c r="T33"/>
  <c r="T32" s="1"/>
  <c r="S33"/>
  <c r="S32" s="1"/>
  <c r="L33"/>
  <c r="L32" s="1"/>
  <c r="K33"/>
  <c r="E33"/>
  <c r="H33" s="1"/>
  <c r="Q32"/>
  <c r="P32"/>
  <c r="U31"/>
  <c r="R31"/>
  <c r="J31"/>
  <c r="H31"/>
  <c r="F31"/>
  <c r="I31" s="1"/>
  <c r="O31" s="1"/>
  <c r="I30"/>
  <c r="O30" s="1"/>
  <c r="H30"/>
  <c r="N30" s="1"/>
  <c r="J29"/>
  <c r="M29" s="1"/>
  <c r="G29"/>
  <c r="F29"/>
  <c r="E29"/>
  <c r="W28"/>
  <c r="W27" s="1"/>
  <c r="V28"/>
  <c r="V27" s="1"/>
  <c r="T28"/>
  <c r="T27" s="1"/>
  <c r="S28"/>
  <c r="S27" s="1"/>
  <c r="L28"/>
  <c r="K28"/>
  <c r="Q27"/>
  <c r="P27"/>
  <c r="U26"/>
  <c r="R26"/>
  <c r="J26"/>
  <c r="I26"/>
  <c r="O26" s="1"/>
  <c r="H26"/>
  <c r="F26"/>
  <c r="D26" s="1"/>
  <c r="U25"/>
  <c r="R25"/>
  <c r="J25"/>
  <c r="H25"/>
  <c r="N25" s="1"/>
  <c r="F25"/>
  <c r="I25" s="1"/>
  <c r="O25" s="1"/>
  <c r="W24"/>
  <c r="W23" s="1"/>
  <c r="V24"/>
  <c r="V23" s="1"/>
  <c r="T24"/>
  <c r="T23" s="1"/>
  <c r="S24"/>
  <c r="L24"/>
  <c r="K24"/>
  <c r="K23" s="1"/>
  <c r="E24"/>
  <c r="H24" s="1"/>
  <c r="Q23"/>
  <c r="P23"/>
  <c r="L22"/>
  <c r="K22"/>
  <c r="N22" s="1"/>
  <c r="E22"/>
  <c r="E16" s="1"/>
  <c r="F21"/>
  <c r="L20"/>
  <c r="K20"/>
  <c r="I20"/>
  <c r="H20"/>
  <c r="F20"/>
  <c r="E20"/>
  <c r="L19"/>
  <c r="K19"/>
  <c r="L202" i="64"/>
  <c r="K202"/>
  <c r="E202"/>
  <c r="L203"/>
  <c r="K203"/>
  <c r="F203"/>
  <c r="F212"/>
  <c r="E212"/>
  <c r="O211"/>
  <c r="I211"/>
  <c r="H211"/>
  <c r="D211"/>
  <c r="L102"/>
  <c r="K102"/>
  <c r="J102" s="1"/>
  <c r="E103"/>
  <c r="E102" s="1"/>
  <c r="H94"/>
  <c r="I94"/>
  <c r="K93"/>
  <c r="J93" s="1"/>
  <c r="L93"/>
  <c r="K94"/>
  <c r="L94"/>
  <c r="J94" s="1"/>
  <c r="K95"/>
  <c r="L95"/>
  <c r="K96"/>
  <c r="L96"/>
  <c r="J96" s="1"/>
  <c r="F94"/>
  <c r="E94"/>
  <c r="O103"/>
  <c r="J103"/>
  <c r="G103"/>
  <c r="F103"/>
  <c r="F95"/>
  <c r="F387"/>
  <c r="H346"/>
  <c r="I346"/>
  <c r="H348"/>
  <c r="I348"/>
  <c r="F343"/>
  <c r="E343"/>
  <c r="K350"/>
  <c r="K347"/>
  <c r="E347"/>
  <c r="L347"/>
  <c r="F347"/>
  <c r="L344"/>
  <c r="F344"/>
  <c r="K344"/>
  <c r="E344"/>
  <c r="H344" s="1"/>
  <c r="L349"/>
  <c r="F349"/>
  <c r="I349" s="1"/>
  <c r="K349"/>
  <c r="E349"/>
  <c r="K345"/>
  <c r="E345"/>
  <c r="L345"/>
  <c r="F345"/>
  <c r="I345" s="1"/>
  <c r="L350"/>
  <c r="F350"/>
  <c r="I350" s="1"/>
  <c r="E350"/>
  <c r="H350" s="1"/>
  <c r="I189"/>
  <c r="L129"/>
  <c r="K129"/>
  <c r="E129"/>
  <c r="O132"/>
  <c r="N132"/>
  <c r="J132"/>
  <c r="M132" s="1"/>
  <c r="I132"/>
  <c r="H132"/>
  <c r="D132"/>
  <c r="L236"/>
  <c r="L222"/>
  <c r="L212"/>
  <c r="I163"/>
  <c r="E303"/>
  <c r="G94" l="1"/>
  <c r="H15" i="67"/>
  <c r="F42" i="65"/>
  <c r="N42"/>
  <c r="M43"/>
  <c r="I81"/>
  <c r="O81" s="1"/>
  <c r="O152"/>
  <c r="J81"/>
  <c r="J95" i="64"/>
  <c r="E209"/>
  <c r="J203"/>
  <c r="N20" i="65"/>
  <c r="N33"/>
  <c r="M41"/>
  <c r="M48"/>
  <c r="N49"/>
  <c r="M51"/>
  <c r="N67"/>
  <c r="O68"/>
  <c r="M70"/>
  <c r="O85"/>
  <c r="N91"/>
  <c r="N99"/>
  <c r="O100"/>
  <c r="D160" i="67"/>
  <c r="R160" s="1"/>
  <c r="X403" i="69"/>
  <c r="M403"/>
  <c r="K92" i="64"/>
  <c r="O20" i="65"/>
  <c r="O46"/>
  <c r="O67"/>
  <c r="N137"/>
  <c r="O162"/>
  <c r="O163"/>
  <c r="O165"/>
  <c r="O167"/>
  <c r="O168"/>
  <c r="D13" i="69"/>
  <c r="X13" s="1"/>
  <c r="J13"/>
  <c r="M13" s="1"/>
  <c r="K12"/>
  <c r="N13"/>
  <c r="X315"/>
  <c r="M315"/>
  <c r="M389"/>
  <c r="A48"/>
  <c r="A49" s="1"/>
  <c r="A51" s="1"/>
  <c r="A52" s="1"/>
  <c r="A53" s="1"/>
  <c r="A54" s="1"/>
  <c r="A55"/>
  <c r="H410"/>
  <c r="G410" s="1"/>
  <c r="G12"/>
  <c r="L410"/>
  <c r="O410" s="1"/>
  <c r="O12"/>
  <c r="E410"/>
  <c r="D410" s="1"/>
  <c r="D12"/>
  <c r="X12" s="1"/>
  <c r="A50" i="67"/>
  <c r="A61" s="1"/>
  <c r="A64" s="1"/>
  <c r="A69" s="1"/>
  <c r="A72" s="1"/>
  <c r="A75" s="1"/>
  <c r="A78" s="1"/>
  <c r="A81" s="1"/>
  <c r="A85" s="1"/>
  <c r="A89" s="1"/>
  <c r="A92" s="1"/>
  <c r="A96" s="1"/>
  <c r="A100" s="1"/>
  <c r="A103" s="1"/>
  <c r="A106" s="1"/>
  <c r="A109" s="1"/>
  <c r="A112" s="1"/>
  <c r="A115" s="1"/>
  <c r="A119" s="1"/>
  <c r="A125" s="1"/>
  <c r="A128" s="1"/>
  <c r="A131" s="1"/>
  <c r="A134" s="1"/>
  <c r="D38"/>
  <c r="D17"/>
  <c r="G160"/>
  <c r="G49"/>
  <c r="R57"/>
  <c r="G134"/>
  <c r="G75"/>
  <c r="D21"/>
  <c r="E15"/>
  <c r="E12" s="1"/>
  <c r="E18"/>
  <c r="G64"/>
  <c r="R129"/>
  <c r="R113"/>
  <c r="R39"/>
  <c r="E53"/>
  <c r="D59"/>
  <c r="D28"/>
  <c r="E27"/>
  <c r="H12"/>
  <c r="D42"/>
  <c r="G60"/>
  <c r="I15"/>
  <c r="F18"/>
  <c r="F13"/>
  <c r="F12" s="1"/>
  <c r="D19"/>
  <c r="G96"/>
  <c r="I16"/>
  <c r="G23"/>
  <c r="G27"/>
  <c r="F23"/>
  <c r="D24"/>
  <c r="G18"/>
  <c r="G13"/>
  <c r="G32"/>
  <c r="I53"/>
  <c r="F53"/>
  <c r="R152"/>
  <c r="R31"/>
  <c r="R32"/>
  <c r="D60"/>
  <c r="R60" s="1"/>
  <c r="G14"/>
  <c r="N24" i="65"/>
  <c r="O77"/>
  <c r="O101"/>
  <c r="O105"/>
  <c r="O153"/>
  <c r="O39"/>
  <c r="O40"/>
  <c r="O47"/>
  <c r="O71"/>
  <c r="O91"/>
  <c r="N47"/>
  <c r="N71"/>
  <c r="M82"/>
  <c r="O104"/>
  <c r="O116"/>
  <c r="K13"/>
  <c r="E28"/>
  <c r="E27" s="1"/>
  <c r="H27" s="1"/>
  <c r="D30"/>
  <c r="L13"/>
  <c r="J30"/>
  <c r="K21"/>
  <c r="L18"/>
  <c r="L160"/>
  <c r="I160"/>
  <c r="I17" s="1"/>
  <c r="F14"/>
  <c r="F160"/>
  <c r="F17" s="1"/>
  <c r="K160"/>
  <c r="E160"/>
  <c r="E17" s="1"/>
  <c r="K14"/>
  <c r="F57"/>
  <c r="L14"/>
  <c r="L60"/>
  <c r="E14"/>
  <c r="K16"/>
  <c r="N16" s="1"/>
  <c r="F19"/>
  <c r="E19"/>
  <c r="E13" s="1"/>
  <c r="F75"/>
  <c r="D75" s="1"/>
  <c r="I96"/>
  <c r="O96" s="1"/>
  <c r="I119"/>
  <c r="O119" s="1"/>
  <c r="F61"/>
  <c r="E64"/>
  <c r="D85"/>
  <c r="G98"/>
  <c r="D20"/>
  <c r="H21"/>
  <c r="D58"/>
  <c r="E32"/>
  <c r="H32" s="1"/>
  <c r="I155"/>
  <c r="D36"/>
  <c r="F128"/>
  <c r="D128" s="1"/>
  <c r="I64"/>
  <c r="G34"/>
  <c r="M34" s="1"/>
  <c r="I131"/>
  <c r="O131" s="1"/>
  <c r="G121"/>
  <c r="M121" s="1"/>
  <c r="D148"/>
  <c r="I148"/>
  <c r="O148" s="1"/>
  <c r="D165"/>
  <c r="G114"/>
  <c r="M114" s="1"/>
  <c r="D115"/>
  <c r="G133"/>
  <c r="X133" s="1"/>
  <c r="G151"/>
  <c r="X151" s="1"/>
  <c r="J24"/>
  <c r="R32"/>
  <c r="J50"/>
  <c r="I144"/>
  <c r="O144" s="1"/>
  <c r="I75"/>
  <c r="O75" s="1"/>
  <c r="F24"/>
  <c r="F23" s="1"/>
  <c r="I23" s="1"/>
  <c r="K59"/>
  <c r="J131"/>
  <c r="I21"/>
  <c r="O21" s="1"/>
  <c r="D39"/>
  <c r="G40"/>
  <c r="M40" s="1"/>
  <c r="F38"/>
  <c r="J46"/>
  <c r="J49"/>
  <c r="K89"/>
  <c r="I106"/>
  <c r="O106" s="1"/>
  <c r="H58"/>
  <c r="H14" s="1"/>
  <c r="H61"/>
  <c r="N61" s="1"/>
  <c r="H165"/>
  <c r="G165" s="1"/>
  <c r="H28"/>
  <c r="N28" s="1"/>
  <c r="L23"/>
  <c r="R24"/>
  <c r="K27"/>
  <c r="F33"/>
  <c r="D33" s="1"/>
  <c r="R33"/>
  <c r="H36"/>
  <c r="G36" s="1"/>
  <c r="D47"/>
  <c r="F59"/>
  <c r="F15" s="1"/>
  <c r="F64"/>
  <c r="E78"/>
  <c r="I78"/>
  <c r="O78" s="1"/>
  <c r="I93"/>
  <c r="H96"/>
  <c r="D106"/>
  <c r="G108"/>
  <c r="M108" s="1"/>
  <c r="G122"/>
  <c r="X122" s="1"/>
  <c r="D125"/>
  <c r="U125"/>
  <c r="F134"/>
  <c r="H141"/>
  <c r="N141" s="1"/>
  <c r="D163"/>
  <c r="D168"/>
  <c r="J19"/>
  <c r="U33"/>
  <c r="G37"/>
  <c r="X37" s="1"/>
  <c r="H47"/>
  <c r="G47" s="1"/>
  <c r="R54"/>
  <c r="D72"/>
  <c r="G73"/>
  <c r="G74"/>
  <c r="G86"/>
  <c r="G87"/>
  <c r="M87" s="1"/>
  <c r="G88"/>
  <c r="D96"/>
  <c r="D103"/>
  <c r="G104"/>
  <c r="X104" s="1"/>
  <c r="G105"/>
  <c r="X105" s="1"/>
  <c r="H125"/>
  <c r="N125" s="1"/>
  <c r="J128"/>
  <c r="G147"/>
  <c r="H148"/>
  <c r="N148" s="1"/>
  <c r="D162"/>
  <c r="D167"/>
  <c r="U28"/>
  <c r="U27" s="1"/>
  <c r="G30"/>
  <c r="R36"/>
  <c r="D61"/>
  <c r="G63"/>
  <c r="M63" s="1"/>
  <c r="K64"/>
  <c r="G66"/>
  <c r="X66" s="1"/>
  <c r="D71"/>
  <c r="F78"/>
  <c r="D81"/>
  <c r="I58"/>
  <c r="I14" s="1"/>
  <c r="E89"/>
  <c r="D89" s="1"/>
  <c r="I89"/>
  <c r="O89" s="1"/>
  <c r="F92"/>
  <c r="D92" s="1"/>
  <c r="G97"/>
  <c r="G99"/>
  <c r="I109"/>
  <c r="D123"/>
  <c r="G124"/>
  <c r="X124" s="1"/>
  <c r="I128"/>
  <c r="O128" s="1"/>
  <c r="G143"/>
  <c r="M143" s="1"/>
  <c r="G146"/>
  <c r="S23"/>
  <c r="R23" s="1"/>
  <c r="R28"/>
  <c r="R27" s="1"/>
  <c r="U23"/>
  <c r="H19"/>
  <c r="N19" s="1"/>
  <c r="I44"/>
  <c r="U49"/>
  <c r="U50"/>
  <c r="I60"/>
  <c r="H64"/>
  <c r="G68"/>
  <c r="E69"/>
  <c r="D69" s="1"/>
  <c r="G69"/>
  <c r="J77"/>
  <c r="H85"/>
  <c r="G85" s="1"/>
  <c r="J91"/>
  <c r="G102"/>
  <c r="M102" s="1"/>
  <c r="G111"/>
  <c r="X111" s="1"/>
  <c r="I112"/>
  <c r="O112" s="1"/>
  <c r="D119"/>
  <c r="G120"/>
  <c r="X120" s="1"/>
  <c r="R125"/>
  <c r="G127"/>
  <c r="D131"/>
  <c r="E134"/>
  <c r="D139"/>
  <c r="G140"/>
  <c r="G149"/>
  <c r="M149" s="1"/>
  <c r="G157"/>
  <c r="X157" s="1"/>
  <c r="W160"/>
  <c r="H162"/>
  <c r="G162" s="1"/>
  <c r="H163"/>
  <c r="N163" s="1"/>
  <c r="G166"/>
  <c r="X166" s="1"/>
  <c r="H167"/>
  <c r="N167" s="1"/>
  <c r="H168"/>
  <c r="N168" s="1"/>
  <c r="D19"/>
  <c r="E38"/>
  <c r="U42"/>
  <c r="R49"/>
  <c r="R50"/>
  <c r="G76"/>
  <c r="G82"/>
  <c r="G83"/>
  <c r="M83" s="1"/>
  <c r="G84"/>
  <c r="M84" s="1"/>
  <c r="G90"/>
  <c r="G107"/>
  <c r="X107" s="1"/>
  <c r="D109"/>
  <c r="G110"/>
  <c r="X110" s="1"/>
  <c r="D112"/>
  <c r="G113"/>
  <c r="M113" s="1"/>
  <c r="G117"/>
  <c r="M117" s="1"/>
  <c r="G118"/>
  <c r="X118" s="1"/>
  <c r="H128"/>
  <c r="N128" s="1"/>
  <c r="G130"/>
  <c r="M130" s="1"/>
  <c r="D152"/>
  <c r="D155"/>
  <c r="G156"/>
  <c r="X156" s="1"/>
  <c r="G164"/>
  <c r="X164" s="1"/>
  <c r="D29"/>
  <c r="G20"/>
  <c r="D21"/>
  <c r="U24"/>
  <c r="G26"/>
  <c r="M26" s="1"/>
  <c r="U32"/>
  <c r="G35"/>
  <c r="M35" s="1"/>
  <c r="U36"/>
  <c r="K38"/>
  <c r="D46"/>
  <c r="D54"/>
  <c r="H57"/>
  <c r="N57" s="1"/>
  <c r="F60"/>
  <c r="G62"/>
  <c r="M62" s="1"/>
  <c r="E59"/>
  <c r="E53" s="1"/>
  <c r="L59"/>
  <c r="G79"/>
  <c r="G91"/>
  <c r="D100"/>
  <c r="H134"/>
  <c r="D144"/>
  <c r="G150"/>
  <c r="M150" s="1"/>
  <c r="G153"/>
  <c r="M153" s="1"/>
  <c r="G154"/>
  <c r="M154" s="1"/>
  <c r="G31"/>
  <c r="M31" s="1"/>
  <c r="I28"/>
  <c r="O28" s="1"/>
  <c r="R38"/>
  <c r="I19"/>
  <c r="O19" s="1"/>
  <c r="G67"/>
  <c r="J20"/>
  <c r="F22"/>
  <c r="J22"/>
  <c r="E23"/>
  <c r="D25"/>
  <c r="L27"/>
  <c r="F28"/>
  <c r="F27" s="1"/>
  <c r="I27" s="1"/>
  <c r="J28"/>
  <c r="K32"/>
  <c r="N32" s="1"/>
  <c r="L38"/>
  <c r="V38"/>
  <c r="H39"/>
  <c r="N39" s="1"/>
  <c r="J42"/>
  <c r="J47"/>
  <c r="M47" s="1"/>
  <c r="F50"/>
  <c r="F49" s="1"/>
  <c r="D49" s="1"/>
  <c r="G80"/>
  <c r="M80" s="1"/>
  <c r="H22"/>
  <c r="G25"/>
  <c r="M25" s="1"/>
  <c r="J39"/>
  <c r="D42"/>
  <c r="R42"/>
  <c r="I50"/>
  <c r="I49" s="1"/>
  <c r="O49" s="1"/>
  <c r="G52"/>
  <c r="M52" s="1"/>
  <c r="X95"/>
  <c r="J23"/>
  <c r="D31"/>
  <c r="J33"/>
  <c r="J36"/>
  <c r="M36" s="1"/>
  <c r="H50"/>
  <c r="N50" s="1"/>
  <c r="G54"/>
  <c r="U54"/>
  <c r="J54"/>
  <c r="M54" s="1"/>
  <c r="J57"/>
  <c r="I61"/>
  <c r="O61" s="1"/>
  <c r="L64"/>
  <c r="O64" s="1"/>
  <c r="D67"/>
  <c r="K69"/>
  <c r="N69" s="1"/>
  <c r="H72"/>
  <c r="G72" s="1"/>
  <c r="J75"/>
  <c r="H78"/>
  <c r="G78" s="1"/>
  <c r="D80"/>
  <c r="H81"/>
  <c r="H92"/>
  <c r="N92" s="1"/>
  <c r="L92"/>
  <c r="G94"/>
  <c r="M94" s="1"/>
  <c r="H100"/>
  <c r="G100" s="1"/>
  <c r="G101"/>
  <c r="X101" s="1"/>
  <c r="J103"/>
  <c r="H106"/>
  <c r="H109"/>
  <c r="J112"/>
  <c r="H115"/>
  <c r="G115" s="1"/>
  <c r="X115" s="1"/>
  <c r="G116"/>
  <c r="M116" s="1"/>
  <c r="J119"/>
  <c r="H123"/>
  <c r="G123" s="1"/>
  <c r="I125"/>
  <c r="O125" s="1"/>
  <c r="G126"/>
  <c r="X126" s="1"/>
  <c r="G129"/>
  <c r="M129" s="1"/>
  <c r="G135"/>
  <c r="M135" s="1"/>
  <c r="J137"/>
  <c r="G145"/>
  <c r="M145" s="1"/>
  <c r="H144"/>
  <c r="N144" s="1"/>
  <c r="J152"/>
  <c r="J67"/>
  <c r="J68"/>
  <c r="M68" s="1"/>
  <c r="G71"/>
  <c r="M71" s="1"/>
  <c r="J72"/>
  <c r="M72" s="1"/>
  <c r="D77"/>
  <c r="H77"/>
  <c r="G77" s="1"/>
  <c r="J78"/>
  <c r="H89"/>
  <c r="D91"/>
  <c r="J95"/>
  <c r="M95" s="1"/>
  <c r="K96"/>
  <c r="J99"/>
  <c r="M99" s="1"/>
  <c r="J100"/>
  <c r="H103"/>
  <c r="G103" s="1"/>
  <c r="J106"/>
  <c r="J109"/>
  <c r="M109" s="1"/>
  <c r="H112"/>
  <c r="G112" s="1"/>
  <c r="J115"/>
  <c r="H119"/>
  <c r="G119" s="1"/>
  <c r="J123"/>
  <c r="M123" s="1"/>
  <c r="G136"/>
  <c r="G138"/>
  <c r="M138" s="1"/>
  <c r="X140"/>
  <c r="G132"/>
  <c r="X132" s="1"/>
  <c r="H131"/>
  <c r="N131" s="1"/>
  <c r="J139"/>
  <c r="M139" s="1"/>
  <c r="F141"/>
  <c r="D141" s="1"/>
  <c r="I142"/>
  <c r="D142"/>
  <c r="J58"/>
  <c r="H60"/>
  <c r="J61"/>
  <c r="D68"/>
  <c r="X68" s="1"/>
  <c r="J85"/>
  <c r="J104"/>
  <c r="J125"/>
  <c r="K134"/>
  <c r="T160"/>
  <c r="J155"/>
  <c r="M155" s="1"/>
  <c r="D161"/>
  <c r="I137"/>
  <c r="I59" s="1"/>
  <c r="J141"/>
  <c r="J148"/>
  <c r="J162"/>
  <c r="J163"/>
  <c r="J165"/>
  <c r="J167"/>
  <c r="J168"/>
  <c r="D137"/>
  <c r="H139"/>
  <c r="G139" s="1"/>
  <c r="J144"/>
  <c r="H152"/>
  <c r="G152" s="1"/>
  <c r="H155"/>
  <c r="N211" i="64"/>
  <c r="G211"/>
  <c r="X211" s="1"/>
  <c r="J211"/>
  <c r="D103"/>
  <c r="E93"/>
  <c r="L92"/>
  <c r="J92" s="1"/>
  <c r="I347"/>
  <c r="I344"/>
  <c r="H349"/>
  <c r="H347"/>
  <c r="H345"/>
  <c r="N345" s="1"/>
  <c r="J129"/>
  <c r="G132"/>
  <c r="L401"/>
  <c r="K401"/>
  <c r="I401"/>
  <c r="H401"/>
  <c r="F401"/>
  <c r="E401"/>
  <c r="X399"/>
  <c r="X398"/>
  <c r="X397"/>
  <c r="O396"/>
  <c r="N396"/>
  <c r="J396"/>
  <c r="M396" s="1"/>
  <c r="I396"/>
  <c r="H396"/>
  <c r="D396"/>
  <c r="A396"/>
  <c r="N395"/>
  <c r="J395"/>
  <c r="H395"/>
  <c r="F395"/>
  <c r="F394" s="1"/>
  <c r="L394"/>
  <c r="K394"/>
  <c r="N394" s="1"/>
  <c r="E394"/>
  <c r="O393"/>
  <c r="N393"/>
  <c r="J393"/>
  <c r="J392" s="1"/>
  <c r="M392" s="1"/>
  <c r="I393"/>
  <c r="H393"/>
  <c r="D393"/>
  <c r="L392"/>
  <c r="O392" s="1"/>
  <c r="K392"/>
  <c r="N392" s="1"/>
  <c r="F392"/>
  <c r="E392"/>
  <c r="U388"/>
  <c r="R388"/>
  <c r="O388"/>
  <c r="N388"/>
  <c r="J388"/>
  <c r="M388" s="1"/>
  <c r="G388"/>
  <c r="D388"/>
  <c r="W387"/>
  <c r="W386" s="1"/>
  <c r="V387"/>
  <c r="U387" s="1"/>
  <c r="T387"/>
  <c r="T385" s="1"/>
  <c r="S387"/>
  <c r="S386" s="1"/>
  <c r="R386" s="1"/>
  <c r="L387"/>
  <c r="L386" s="1"/>
  <c r="O386" s="1"/>
  <c r="K387"/>
  <c r="I387"/>
  <c r="H387"/>
  <c r="H386" s="1"/>
  <c r="E387"/>
  <c r="F386"/>
  <c r="F385"/>
  <c r="U384"/>
  <c r="R384"/>
  <c r="O384"/>
  <c r="N384"/>
  <c r="J384"/>
  <c r="M384" s="1"/>
  <c r="G384"/>
  <c r="D384"/>
  <c r="W383"/>
  <c r="W382" s="1"/>
  <c r="V383"/>
  <c r="T383"/>
  <c r="T382" s="1"/>
  <c r="S383"/>
  <c r="S382" s="1"/>
  <c r="L383"/>
  <c r="O383" s="1"/>
  <c r="K383"/>
  <c r="N383" s="1"/>
  <c r="I383"/>
  <c r="I382" s="1"/>
  <c r="H383"/>
  <c r="F383"/>
  <c r="E383"/>
  <c r="U381"/>
  <c r="R381"/>
  <c r="O381"/>
  <c r="N381"/>
  <c r="J381"/>
  <c r="M381" s="1"/>
  <c r="G381"/>
  <c r="D381"/>
  <c r="W380"/>
  <c r="V380"/>
  <c r="T380"/>
  <c r="S380"/>
  <c r="L380"/>
  <c r="O380" s="1"/>
  <c r="K380"/>
  <c r="N380" s="1"/>
  <c r="I380"/>
  <c r="H380"/>
  <c r="F380"/>
  <c r="E380"/>
  <c r="U379"/>
  <c r="R379"/>
  <c r="O379"/>
  <c r="N379"/>
  <c r="J379"/>
  <c r="M379" s="1"/>
  <c r="G379"/>
  <c r="D379"/>
  <c r="W378"/>
  <c r="V378"/>
  <c r="T378"/>
  <c r="S378"/>
  <c r="L378"/>
  <c r="K378"/>
  <c r="N378" s="1"/>
  <c r="I378"/>
  <c r="H378"/>
  <c r="F378"/>
  <c r="E378"/>
  <c r="U377"/>
  <c r="R377"/>
  <c r="O377"/>
  <c r="N377"/>
  <c r="J377"/>
  <c r="M377" s="1"/>
  <c r="G377"/>
  <c r="D377"/>
  <c r="W376"/>
  <c r="V376"/>
  <c r="T376"/>
  <c r="S376"/>
  <c r="L376"/>
  <c r="O376" s="1"/>
  <c r="K376"/>
  <c r="N376" s="1"/>
  <c r="I376"/>
  <c r="H376"/>
  <c r="F376"/>
  <c r="E376"/>
  <c r="U375"/>
  <c r="R375"/>
  <c r="O375"/>
  <c r="N375"/>
  <c r="J375"/>
  <c r="M375" s="1"/>
  <c r="G375"/>
  <c r="D375"/>
  <c r="W374"/>
  <c r="V374"/>
  <c r="T374"/>
  <c r="S374"/>
  <c r="L374"/>
  <c r="O374" s="1"/>
  <c r="K374"/>
  <c r="N374" s="1"/>
  <c r="I374"/>
  <c r="H374"/>
  <c r="F374"/>
  <c r="E374"/>
  <c r="U373"/>
  <c r="R373"/>
  <c r="O373"/>
  <c r="N373"/>
  <c r="J373"/>
  <c r="M373" s="1"/>
  <c r="G373"/>
  <c r="D373"/>
  <c r="A373"/>
  <c r="A375" s="1"/>
  <c r="A377" s="1"/>
  <c r="A379" s="1"/>
  <c r="A381" s="1"/>
  <c r="A384" s="1"/>
  <c r="W372"/>
  <c r="V372"/>
  <c r="T372"/>
  <c r="S372"/>
  <c r="L372"/>
  <c r="O372" s="1"/>
  <c r="K372"/>
  <c r="N372" s="1"/>
  <c r="I372"/>
  <c r="H372"/>
  <c r="F372"/>
  <c r="E372"/>
  <c r="U371"/>
  <c r="R371"/>
  <c r="O371"/>
  <c r="N371"/>
  <c r="J371"/>
  <c r="M371" s="1"/>
  <c r="G371"/>
  <c r="D371"/>
  <c r="W370"/>
  <c r="V370"/>
  <c r="T370"/>
  <c r="S370"/>
  <c r="L370"/>
  <c r="O370" s="1"/>
  <c r="K370"/>
  <c r="N370" s="1"/>
  <c r="I370"/>
  <c r="H370"/>
  <c r="F370"/>
  <c r="E370"/>
  <c r="U366"/>
  <c r="R366"/>
  <c r="O366"/>
  <c r="J366"/>
  <c r="H366"/>
  <c r="D366"/>
  <c r="U365"/>
  <c r="R365"/>
  <c r="N365"/>
  <c r="O365"/>
  <c r="G365"/>
  <c r="D365"/>
  <c r="U364"/>
  <c r="R364"/>
  <c r="O364"/>
  <c r="N364"/>
  <c r="G364"/>
  <c r="D364"/>
  <c r="U362"/>
  <c r="R362"/>
  <c r="O362"/>
  <c r="N362"/>
  <c r="J362"/>
  <c r="M362" s="1"/>
  <c r="G362"/>
  <c r="D362"/>
  <c r="W361"/>
  <c r="V361"/>
  <c r="T361"/>
  <c r="S361"/>
  <c r="Q361"/>
  <c r="P361"/>
  <c r="L361"/>
  <c r="I361"/>
  <c r="F361"/>
  <c r="E361"/>
  <c r="O360"/>
  <c r="N360"/>
  <c r="J360"/>
  <c r="G360"/>
  <c r="D360"/>
  <c r="O359"/>
  <c r="N359"/>
  <c r="G359"/>
  <c r="D359"/>
  <c r="X358"/>
  <c r="M358"/>
  <c r="I358"/>
  <c r="H358"/>
  <c r="F358"/>
  <c r="E358"/>
  <c r="U357"/>
  <c r="R357"/>
  <c r="O357"/>
  <c r="N357"/>
  <c r="J357"/>
  <c r="M357" s="1"/>
  <c r="G357"/>
  <c r="D357"/>
  <c r="W356"/>
  <c r="V356"/>
  <c r="T356"/>
  <c r="S356"/>
  <c r="L356"/>
  <c r="K356"/>
  <c r="N356" s="1"/>
  <c r="I356"/>
  <c r="H356"/>
  <c r="F356"/>
  <c r="E356"/>
  <c r="U355"/>
  <c r="R355"/>
  <c r="L355"/>
  <c r="O355" s="1"/>
  <c r="K355"/>
  <c r="N355" s="1"/>
  <c r="G355"/>
  <c r="D355"/>
  <c r="U354"/>
  <c r="R354"/>
  <c r="N354"/>
  <c r="J354"/>
  <c r="I354"/>
  <c r="D354"/>
  <c r="W353"/>
  <c r="V353"/>
  <c r="T353"/>
  <c r="S353"/>
  <c r="Q353"/>
  <c r="P353"/>
  <c r="H353"/>
  <c r="F353"/>
  <c r="E353"/>
  <c r="U352"/>
  <c r="R352"/>
  <c r="L352"/>
  <c r="O352" s="1"/>
  <c r="K352"/>
  <c r="N352" s="1"/>
  <c r="G352"/>
  <c r="D352"/>
  <c r="W351"/>
  <c r="U351" s="1"/>
  <c r="V351"/>
  <c r="T351"/>
  <c r="S351"/>
  <c r="I351"/>
  <c r="G351" s="1"/>
  <c r="H351"/>
  <c r="F351"/>
  <c r="E351"/>
  <c r="U350"/>
  <c r="R350"/>
  <c r="J350"/>
  <c r="O350"/>
  <c r="D350"/>
  <c r="U349"/>
  <c r="R349"/>
  <c r="O349"/>
  <c r="N349"/>
  <c r="J349"/>
  <c r="G349"/>
  <c r="D349"/>
  <c r="U348"/>
  <c r="R348"/>
  <c r="J348"/>
  <c r="O348"/>
  <c r="N348"/>
  <c r="D348"/>
  <c r="U347"/>
  <c r="R347"/>
  <c r="O347"/>
  <c r="J347"/>
  <c r="D347"/>
  <c r="U346"/>
  <c r="R346"/>
  <c r="J346"/>
  <c r="O346"/>
  <c r="G346"/>
  <c r="D346"/>
  <c r="U345"/>
  <c r="R345"/>
  <c r="O345"/>
  <c r="D345"/>
  <c r="U344"/>
  <c r="R344"/>
  <c r="N344"/>
  <c r="O344"/>
  <c r="J344"/>
  <c r="G344"/>
  <c r="D344"/>
  <c r="A344"/>
  <c r="A345" s="1"/>
  <c r="A346" s="1"/>
  <c r="A347" s="1"/>
  <c r="A348" s="1"/>
  <c r="A349" s="1"/>
  <c r="A350" s="1"/>
  <c r="A352" s="1"/>
  <c r="A354" s="1"/>
  <c r="A355" s="1"/>
  <c r="O343"/>
  <c r="N343"/>
  <c r="J343"/>
  <c r="M343" s="1"/>
  <c r="G343"/>
  <c r="D343"/>
  <c r="W342"/>
  <c r="V342"/>
  <c r="T342"/>
  <c r="S342"/>
  <c r="L342"/>
  <c r="F342"/>
  <c r="E342"/>
  <c r="U340"/>
  <c r="R340"/>
  <c r="N340"/>
  <c r="L340"/>
  <c r="O340" s="1"/>
  <c r="G340"/>
  <c r="F340"/>
  <c r="U339"/>
  <c r="R339"/>
  <c r="N339"/>
  <c r="F339"/>
  <c r="W338"/>
  <c r="V338"/>
  <c r="T338"/>
  <c r="S338"/>
  <c r="Q338"/>
  <c r="Q337" s="1"/>
  <c r="P338"/>
  <c r="P337" s="1"/>
  <c r="K338"/>
  <c r="N338" s="1"/>
  <c r="H338"/>
  <c r="E338"/>
  <c r="U336"/>
  <c r="R336"/>
  <c r="O336"/>
  <c r="N336"/>
  <c r="J336"/>
  <c r="M336" s="1"/>
  <c r="G336"/>
  <c r="D336"/>
  <c r="W335"/>
  <c r="V335"/>
  <c r="T335"/>
  <c r="S335"/>
  <c r="L335"/>
  <c r="O335" s="1"/>
  <c r="K335"/>
  <c r="N335" s="1"/>
  <c r="I335"/>
  <c r="H335"/>
  <c r="F335"/>
  <c r="E335"/>
  <c r="O334"/>
  <c r="N334"/>
  <c r="J334"/>
  <c r="G334"/>
  <c r="D334"/>
  <c r="L333"/>
  <c r="K333"/>
  <c r="N333" s="1"/>
  <c r="I333"/>
  <c r="H333"/>
  <c r="F333"/>
  <c r="E333"/>
  <c r="U332"/>
  <c r="R332"/>
  <c r="O332"/>
  <c r="N332"/>
  <c r="J332"/>
  <c r="M332" s="1"/>
  <c r="G332"/>
  <c r="D332"/>
  <c r="A332"/>
  <c r="W331"/>
  <c r="V331"/>
  <c r="T331"/>
  <c r="S331"/>
  <c r="L331"/>
  <c r="O331" s="1"/>
  <c r="K331"/>
  <c r="I331"/>
  <c r="H331"/>
  <c r="F331"/>
  <c r="E331"/>
  <c r="U330"/>
  <c r="R330"/>
  <c r="O330"/>
  <c r="N330"/>
  <c r="J330"/>
  <c r="M330" s="1"/>
  <c r="I330"/>
  <c r="G330" s="1"/>
  <c r="F330"/>
  <c r="U329"/>
  <c r="R329"/>
  <c r="L329"/>
  <c r="O329" s="1"/>
  <c r="K329"/>
  <c r="N329" s="1"/>
  <c r="H329"/>
  <c r="E329"/>
  <c r="O328"/>
  <c r="N328"/>
  <c r="J328"/>
  <c r="M328" s="1"/>
  <c r="G328"/>
  <c r="D328"/>
  <c r="U327"/>
  <c r="R327"/>
  <c r="O327"/>
  <c r="N327"/>
  <c r="J327"/>
  <c r="G327"/>
  <c r="D327"/>
  <c r="U326"/>
  <c r="R326"/>
  <c r="O326"/>
  <c r="N326"/>
  <c r="J326"/>
  <c r="G326"/>
  <c r="D326"/>
  <c r="U325"/>
  <c r="R325"/>
  <c r="O325"/>
  <c r="N325"/>
  <c r="J325"/>
  <c r="G325"/>
  <c r="D325"/>
  <c r="U324"/>
  <c r="R324"/>
  <c r="O324"/>
  <c r="N324"/>
  <c r="J324"/>
  <c r="G324"/>
  <c r="D324"/>
  <c r="U323"/>
  <c r="R323"/>
  <c r="O323"/>
  <c r="N323"/>
  <c r="J323"/>
  <c r="M323" s="1"/>
  <c r="G323"/>
  <c r="D323"/>
  <c r="U322"/>
  <c r="R322"/>
  <c r="O322"/>
  <c r="N322"/>
  <c r="J322"/>
  <c r="M322" s="1"/>
  <c r="I322"/>
  <c r="G322" s="1"/>
  <c r="F322"/>
  <c r="U321"/>
  <c r="R321"/>
  <c r="O321"/>
  <c r="N321"/>
  <c r="J321"/>
  <c r="M321" s="1"/>
  <c r="G321"/>
  <c r="D321"/>
  <c r="U320"/>
  <c r="R320"/>
  <c r="O320"/>
  <c r="N320"/>
  <c r="J320"/>
  <c r="M320" s="1"/>
  <c r="G320"/>
  <c r="D320"/>
  <c r="A320"/>
  <c r="A322" s="1"/>
  <c r="A323" s="1"/>
  <c r="A324" s="1"/>
  <c r="A325" s="1"/>
  <c r="A326" s="1"/>
  <c r="A327" s="1"/>
  <c r="U319"/>
  <c r="R319"/>
  <c r="O319"/>
  <c r="N319"/>
  <c r="J319"/>
  <c r="M319" s="1"/>
  <c r="I319"/>
  <c r="D319"/>
  <c r="W318"/>
  <c r="V318"/>
  <c r="T318"/>
  <c r="S318"/>
  <c r="Q318"/>
  <c r="Q317" s="1"/>
  <c r="P318"/>
  <c r="P317" s="1"/>
  <c r="L318"/>
  <c r="K318"/>
  <c r="N318" s="1"/>
  <c r="H318"/>
  <c r="E318"/>
  <c r="U314"/>
  <c r="R314"/>
  <c r="O314"/>
  <c r="N314"/>
  <c r="J314"/>
  <c r="M314" s="1"/>
  <c r="G314"/>
  <c r="D314"/>
  <c r="U313"/>
  <c r="R313"/>
  <c r="O313"/>
  <c r="N313"/>
  <c r="J313"/>
  <c r="M313" s="1"/>
  <c r="G313"/>
  <c r="D313"/>
  <c r="U312"/>
  <c r="R312"/>
  <c r="O312"/>
  <c r="J312"/>
  <c r="I312"/>
  <c r="H312"/>
  <c r="E312"/>
  <c r="O311"/>
  <c r="N311"/>
  <c r="J311"/>
  <c r="G311"/>
  <c r="F311"/>
  <c r="U310"/>
  <c r="R310"/>
  <c r="N310"/>
  <c r="I310"/>
  <c r="G310" s="1"/>
  <c r="F310"/>
  <c r="U309"/>
  <c r="R309"/>
  <c r="N309"/>
  <c r="I309"/>
  <c r="D309"/>
  <c r="W308"/>
  <c r="V308"/>
  <c r="T308"/>
  <c r="S308"/>
  <c r="U307"/>
  <c r="R307"/>
  <c r="J307"/>
  <c r="I307"/>
  <c r="H307"/>
  <c r="H305" s="1"/>
  <c r="D307"/>
  <c r="U306"/>
  <c r="R306"/>
  <c r="J306"/>
  <c r="I306"/>
  <c r="H306"/>
  <c r="D306"/>
  <c r="W305"/>
  <c r="V305"/>
  <c r="U305" s="1"/>
  <c r="T305"/>
  <c r="S305"/>
  <c r="R305" s="1"/>
  <c r="L305"/>
  <c r="K305"/>
  <c r="F305"/>
  <c r="E305"/>
  <c r="U304"/>
  <c r="R304"/>
  <c r="L304"/>
  <c r="L303" s="1"/>
  <c r="K304"/>
  <c r="N304" s="1"/>
  <c r="G304"/>
  <c r="D304"/>
  <c r="W303"/>
  <c r="V303"/>
  <c r="T303"/>
  <c r="S303"/>
  <c r="I303"/>
  <c r="H303"/>
  <c r="F303"/>
  <c r="U302"/>
  <c r="R302"/>
  <c r="O302"/>
  <c r="N302"/>
  <c r="J302"/>
  <c r="M302" s="1"/>
  <c r="I302"/>
  <c r="H302"/>
  <c r="D302"/>
  <c r="O301"/>
  <c r="N301"/>
  <c r="J301"/>
  <c r="M301" s="1"/>
  <c r="I301"/>
  <c r="H301"/>
  <c r="D301"/>
  <c r="U300"/>
  <c r="R300"/>
  <c r="L300"/>
  <c r="O300" s="1"/>
  <c r="K300"/>
  <c r="N300" s="1"/>
  <c r="F300"/>
  <c r="E300"/>
  <c r="U299"/>
  <c r="R299"/>
  <c r="J299"/>
  <c r="I299"/>
  <c r="H299"/>
  <c r="D299"/>
  <c r="J298"/>
  <c r="I298"/>
  <c r="H298"/>
  <c r="D298"/>
  <c r="U297"/>
  <c r="R297"/>
  <c r="L297"/>
  <c r="K297"/>
  <c r="F297"/>
  <c r="E297"/>
  <c r="O296"/>
  <c r="N296"/>
  <c r="J296"/>
  <c r="M296" s="1"/>
  <c r="I296"/>
  <c r="H296"/>
  <c r="D296"/>
  <c r="U295"/>
  <c r="R295"/>
  <c r="J295"/>
  <c r="I295"/>
  <c r="H295"/>
  <c r="D295"/>
  <c r="J294"/>
  <c r="I294"/>
  <c r="H294"/>
  <c r="D294"/>
  <c r="U293"/>
  <c r="R293"/>
  <c r="L293"/>
  <c r="K293"/>
  <c r="F293"/>
  <c r="E293"/>
  <c r="O292"/>
  <c r="N292"/>
  <c r="J292"/>
  <c r="M292" s="1"/>
  <c r="I292"/>
  <c r="H292"/>
  <c r="D292"/>
  <c r="U291"/>
  <c r="R291"/>
  <c r="O291"/>
  <c r="N291"/>
  <c r="J291"/>
  <c r="M291" s="1"/>
  <c r="I291"/>
  <c r="H291"/>
  <c r="D291"/>
  <c r="U290"/>
  <c r="R290"/>
  <c r="J290"/>
  <c r="I290"/>
  <c r="H290"/>
  <c r="D290"/>
  <c r="U289"/>
  <c r="R289"/>
  <c r="L289"/>
  <c r="K289"/>
  <c r="F289"/>
  <c r="E289"/>
  <c r="U288"/>
  <c r="R288"/>
  <c r="J288"/>
  <c r="I288"/>
  <c r="H288"/>
  <c r="H286" s="1"/>
  <c r="D288"/>
  <c r="U287"/>
  <c r="R287"/>
  <c r="J287"/>
  <c r="H287"/>
  <c r="F287"/>
  <c r="U286"/>
  <c r="R286"/>
  <c r="L286"/>
  <c r="K286"/>
  <c r="E286"/>
  <c r="U285"/>
  <c r="R285"/>
  <c r="O285"/>
  <c r="N285"/>
  <c r="J285"/>
  <c r="M285" s="1"/>
  <c r="I285"/>
  <c r="H285"/>
  <c r="D285"/>
  <c r="U284"/>
  <c r="R284"/>
  <c r="L284"/>
  <c r="O284" s="1"/>
  <c r="K284"/>
  <c r="F284"/>
  <c r="E284"/>
  <c r="U283"/>
  <c r="R283"/>
  <c r="N283"/>
  <c r="J283"/>
  <c r="I283"/>
  <c r="O283" s="1"/>
  <c r="H283"/>
  <c r="F283"/>
  <c r="U282"/>
  <c r="R282"/>
  <c r="L282"/>
  <c r="L279" s="1"/>
  <c r="K282"/>
  <c r="K279" s="1"/>
  <c r="F282"/>
  <c r="E282"/>
  <c r="E279" s="1"/>
  <c r="O281"/>
  <c r="N281"/>
  <c r="J281"/>
  <c r="M281" s="1"/>
  <c r="I281"/>
  <c r="H281"/>
  <c r="D281"/>
  <c r="U280"/>
  <c r="R280"/>
  <c r="J280"/>
  <c r="I280"/>
  <c r="H280"/>
  <c r="D280"/>
  <c r="U279"/>
  <c r="R279"/>
  <c r="U278"/>
  <c r="R278"/>
  <c r="O278"/>
  <c r="N278"/>
  <c r="J278"/>
  <c r="M278" s="1"/>
  <c r="I278"/>
  <c r="H278"/>
  <c r="D278"/>
  <c r="U277"/>
  <c r="R277"/>
  <c r="J277"/>
  <c r="I277"/>
  <c r="H277"/>
  <c r="D277"/>
  <c r="U276"/>
  <c r="R276"/>
  <c r="L276"/>
  <c r="K276"/>
  <c r="F276"/>
  <c r="E276"/>
  <c r="U275"/>
  <c r="R275"/>
  <c r="N275"/>
  <c r="J275"/>
  <c r="I275"/>
  <c r="O275" s="1"/>
  <c r="H275"/>
  <c r="F275"/>
  <c r="U274"/>
  <c r="R274"/>
  <c r="J274"/>
  <c r="I274"/>
  <c r="H274"/>
  <c r="D274"/>
  <c r="U273"/>
  <c r="R273"/>
  <c r="L273"/>
  <c r="K273"/>
  <c r="E273"/>
  <c r="U272"/>
  <c r="R272"/>
  <c r="O272"/>
  <c r="N272"/>
  <c r="J272"/>
  <c r="M272" s="1"/>
  <c r="I272"/>
  <c r="H272"/>
  <c r="D272"/>
  <c r="U271"/>
  <c r="R271"/>
  <c r="J271"/>
  <c r="I271"/>
  <c r="H271"/>
  <c r="D271"/>
  <c r="W270"/>
  <c r="W201" s="1"/>
  <c r="V270"/>
  <c r="V201" s="1"/>
  <c r="T270"/>
  <c r="T201" s="1"/>
  <c r="S270"/>
  <c r="Q270"/>
  <c r="Q201" s="1"/>
  <c r="P270"/>
  <c r="P201" s="1"/>
  <c r="L270"/>
  <c r="K270"/>
  <c r="F270"/>
  <c r="E270"/>
  <c r="U269"/>
  <c r="R269"/>
  <c r="O269"/>
  <c r="N269"/>
  <c r="J269"/>
  <c r="M269" s="1"/>
  <c r="I269"/>
  <c r="H269"/>
  <c r="D269"/>
  <c r="U268"/>
  <c r="R268"/>
  <c r="L268"/>
  <c r="O268" s="1"/>
  <c r="K268"/>
  <c r="F268"/>
  <c r="E268"/>
  <c r="O267"/>
  <c r="N267"/>
  <c r="J267"/>
  <c r="M267" s="1"/>
  <c r="I267"/>
  <c r="H267"/>
  <c r="D267"/>
  <c r="J266"/>
  <c r="I266"/>
  <c r="H266"/>
  <c r="D266"/>
  <c r="O265"/>
  <c r="N265"/>
  <c r="J265"/>
  <c r="M265" s="1"/>
  <c r="H265"/>
  <c r="D265"/>
  <c r="U264"/>
  <c r="R264"/>
  <c r="L264"/>
  <c r="K264"/>
  <c r="F264"/>
  <c r="E264"/>
  <c r="O263"/>
  <c r="N263"/>
  <c r="J263"/>
  <c r="M263" s="1"/>
  <c r="I263"/>
  <c r="H263"/>
  <c r="G263" s="1"/>
  <c r="D263"/>
  <c r="J262"/>
  <c r="I262"/>
  <c r="H262"/>
  <c r="D262"/>
  <c r="J261"/>
  <c r="I261"/>
  <c r="H261"/>
  <c r="D261"/>
  <c r="U260"/>
  <c r="R260"/>
  <c r="L260"/>
  <c r="K260"/>
  <c r="F260"/>
  <c r="E260"/>
  <c r="N259"/>
  <c r="J259"/>
  <c r="I259"/>
  <c r="H259"/>
  <c r="D259"/>
  <c r="J258"/>
  <c r="I258"/>
  <c r="H258"/>
  <c r="D258"/>
  <c r="U257"/>
  <c r="R257"/>
  <c r="L257"/>
  <c r="K257"/>
  <c r="F257"/>
  <c r="E257"/>
  <c r="O256"/>
  <c r="N256"/>
  <c r="J256"/>
  <c r="M256" s="1"/>
  <c r="I256"/>
  <c r="H256"/>
  <c r="D256"/>
  <c r="O255"/>
  <c r="N255"/>
  <c r="J255"/>
  <c r="M255" s="1"/>
  <c r="I255"/>
  <c r="H255"/>
  <c r="D255"/>
  <c r="U254"/>
  <c r="R254"/>
  <c r="L254"/>
  <c r="O254" s="1"/>
  <c r="K254"/>
  <c r="N254" s="1"/>
  <c r="F254"/>
  <c r="E254"/>
  <c r="N253"/>
  <c r="J253"/>
  <c r="I253"/>
  <c r="H253"/>
  <c r="D253"/>
  <c r="O252"/>
  <c r="N252"/>
  <c r="J252"/>
  <c r="M252" s="1"/>
  <c r="I252"/>
  <c r="H252"/>
  <c r="D252"/>
  <c r="L251"/>
  <c r="K251"/>
  <c r="N251" s="1"/>
  <c r="F251"/>
  <c r="E251"/>
  <c r="U250"/>
  <c r="R250"/>
  <c r="N250"/>
  <c r="L250"/>
  <c r="I250"/>
  <c r="H250"/>
  <c r="D250"/>
  <c r="L249"/>
  <c r="I249"/>
  <c r="H249"/>
  <c r="D249"/>
  <c r="U248"/>
  <c r="R248"/>
  <c r="K248"/>
  <c r="F248"/>
  <c r="E248"/>
  <c r="J247"/>
  <c r="I247"/>
  <c r="H247"/>
  <c r="D247"/>
  <c r="J246"/>
  <c r="I246"/>
  <c r="H246"/>
  <c r="D246"/>
  <c r="U245"/>
  <c r="R245"/>
  <c r="L245"/>
  <c r="K245"/>
  <c r="F245"/>
  <c r="E245"/>
  <c r="K244"/>
  <c r="J244" s="1"/>
  <c r="I244"/>
  <c r="H244"/>
  <c r="D244"/>
  <c r="O243"/>
  <c r="N243"/>
  <c r="J243"/>
  <c r="M243" s="1"/>
  <c r="I243"/>
  <c r="H243"/>
  <c r="D243"/>
  <c r="O242"/>
  <c r="N242"/>
  <c r="J242"/>
  <c r="M242" s="1"/>
  <c r="I242"/>
  <c r="H242"/>
  <c r="D242"/>
  <c r="U241"/>
  <c r="R241"/>
  <c r="L241"/>
  <c r="F241"/>
  <c r="E241"/>
  <c r="U240"/>
  <c r="R240"/>
  <c r="N240"/>
  <c r="L240"/>
  <c r="O240" s="1"/>
  <c r="H240"/>
  <c r="D240"/>
  <c r="J239"/>
  <c r="I239"/>
  <c r="H239"/>
  <c r="D239"/>
  <c r="U238"/>
  <c r="R238"/>
  <c r="J238"/>
  <c r="H238"/>
  <c r="F238"/>
  <c r="U237"/>
  <c r="R237"/>
  <c r="K237"/>
  <c r="E237"/>
  <c r="L234"/>
  <c r="K236"/>
  <c r="J236" s="1"/>
  <c r="F236"/>
  <c r="E236"/>
  <c r="J235"/>
  <c r="I235"/>
  <c r="H235"/>
  <c r="D235"/>
  <c r="U234"/>
  <c r="R234"/>
  <c r="F234"/>
  <c r="E234"/>
  <c r="J233"/>
  <c r="I233"/>
  <c r="H233"/>
  <c r="D233"/>
  <c r="J232"/>
  <c r="I232"/>
  <c r="H232"/>
  <c r="D232"/>
  <c r="J231"/>
  <c r="I231"/>
  <c r="H231"/>
  <c r="D231"/>
  <c r="U230"/>
  <c r="R230"/>
  <c r="L230"/>
  <c r="K230"/>
  <c r="F230"/>
  <c r="E230"/>
  <c r="J229"/>
  <c r="I229"/>
  <c r="H229"/>
  <c r="D229"/>
  <c r="J228"/>
  <c r="I228"/>
  <c r="I203" s="1"/>
  <c r="H228"/>
  <c r="D228"/>
  <c r="J227"/>
  <c r="I227"/>
  <c r="H227"/>
  <c r="D227"/>
  <c r="U226"/>
  <c r="R226"/>
  <c r="L226"/>
  <c r="K226"/>
  <c r="F226"/>
  <c r="E226"/>
  <c r="J225"/>
  <c r="F225"/>
  <c r="I225" s="1"/>
  <c r="E225"/>
  <c r="J224"/>
  <c r="I224"/>
  <c r="H224"/>
  <c r="D224"/>
  <c r="U223"/>
  <c r="R223"/>
  <c r="L223"/>
  <c r="K223"/>
  <c r="L220"/>
  <c r="K222"/>
  <c r="K220" s="1"/>
  <c r="F222"/>
  <c r="E222"/>
  <c r="J221"/>
  <c r="I221"/>
  <c r="H221"/>
  <c r="D221"/>
  <c r="U220"/>
  <c r="R220"/>
  <c r="F220"/>
  <c r="J219"/>
  <c r="I219"/>
  <c r="H219"/>
  <c r="D219"/>
  <c r="J218"/>
  <c r="I218"/>
  <c r="H218"/>
  <c r="D218"/>
  <c r="U217"/>
  <c r="R217"/>
  <c r="L217"/>
  <c r="O217" s="1"/>
  <c r="K217"/>
  <c r="N217" s="1"/>
  <c r="F217"/>
  <c r="E217"/>
  <c r="K216"/>
  <c r="J216" s="1"/>
  <c r="I216"/>
  <c r="I214" s="1"/>
  <c r="H216"/>
  <c r="H214" s="1"/>
  <c r="F216"/>
  <c r="E216"/>
  <c r="J215"/>
  <c r="G215"/>
  <c r="D215"/>
  <c r="U214"/>
  <c r="R214"/>
  <c r="L214"/>
  <c r="N213"/>
  <c r="L213"/>
  <c r="L209" s="1"/>
  <c r="H213"/>
  <c r="F213"/>
  <c r="F209" s="1"/>
  <c r="K212"/>
  <c r="K209" s="1"/>
  <c r="I212"/>
  <c r="H212"/>
  <c r="D212"/>
  <c r="I210"/>
  <c r="H210"/>
  <c r="U208"/>
  <c r="R208"/>
  <c r="N208"/>
  <c r="J208"/>
  <c r="I208"/>
  <c r="O208" s="1"/>
  <c r="H208"/>
  <c r="F208"/>
  <c r="J207"/>
  <c r="H207"/>
  <c r="F206"/>
  <c r="U206"/>
  <c r="R206"/>
  <c r="L206"/>
  <c r="K206"/>
  <c r="E206"/>
  <c r="K205"/>
  <c r="N205" s="1"/>
  <c r="E205"/>
  <c r="E203"/>
  <c r="S201"/>
  <c r="U199"/>
  <c r="R199"/>
  <c r="O199"/>
  <c r="N199"/>
  <c r="J199"/>
  <c r="M199" s="1"/>
  <c r="G199"/>
  <c r="D199"/>
  <c r="W198"/>
  <c r="V198"/>
  <c r="T198"/>
  <c r="S198"/>
  <c r="L198"/>
  <c r="O198" s="1"/>
  <c r="K198"/>
  <c r="N198" s="1"/>
  <c r="I198"/>
  <c r="H198"/>
  <c r="F198"/>
  <c r="E198"/>
  <c r="U197"/>
  <c r="R197"/>
  <c r="K196"/>
  <c r="H197"/>
  <c r="F197"/>
  <c r="D197"/>
  <c r="W196"/>
  <c r="V196"/>
  <c r="T196"/>
  <c r="S196"/>
  <c r="R196" s="1"/>
  <c r="L196"/>
  <c r="F196"/>
  <c r="E196"/>
  <c r="U195"/>
  <c r="R195"/>
  <c r="O195"/>
  <c r="N195"/>
  <c r="J195"/>
  <c r="J192" s="1"/>
  <c r="M192" s="1"/>
  <c r="G195"/>
  <c r="G192" s="1"/>
  <c r="D195"/>
  <c r="U194"/>
  <c r="R194"/>
  <c r="O194"/>
  <c r="N194"/>
  <c r="M194"/>
  <c r="U193"/>
  <c r="R193"/>
  <c r="O193"/>
  <c r="N193"/>
  <c r="M193"/>
  <c r="W192"/>
  <c r="V192"/>
  <c r="T192"/>
  <c r="S192"/>
  <c r="Q192"/>
  <c r="P192"/>
  <c r="L192"/>
  <c r="O192" s="1"/>
  <c r="K192"/>
  <c r="N192" s="1"/>
  <c r="I192"/>
  <c r="H192"/>
  <c r="F192"/>
  <c r="E192"/>
  <c r="U191"/>
  <c r="R191"/>
  <c r="O191"/>
  <c r="N191"/>
  <c r="J191"/>
  <c r="M191" s="1"/>
  <c r="G191"/>
  <c r="D191"/>
  <c r="O190"/>
  <c r="N190"/>
  <c r="J190"/>
  <c r="M190" s="1"/>
  <c r="G190"/>
  <c r="D190"/>
  <c r="U189"/>
  <c r="R189"/>
  <c r="O189"/>
  <c r="N189"/>
  <c r="J189"/>
  <c r="G189"/>
  <c r="D189"/>
  <c r="U188"/>
  <c r="R188"/>
  <c r="N188"/>
  <c r="J188"/>
  <c r="I188"/>
  <c r="G188" s="1"/>
  <c r="F188"/>
  <c r="U187"/>
  <c r="R187"/>
  <c r="O187"/>
  <c r="N187"/>
  <c r="J187"/>
  <c r="M187" s="1"/>
  <c r="G187"/>
  <c r="D187"/>
  <c r="U186"/>
  <c r="R186"/>
  <c r="N186"/>
  <c r="J186"/>
  <c r="I186"/>
  <c r="G186" s="1"/>
  <c r="F186"/>
  <c r="W185"/>
  <c r="V185"/>
  <c r="T185"/>
  <c r="S185"/>
  <c r="Q185"/>
  <c r="P185"/>
  <c r="P180" s="1"/>
  <c r="L185"/>
  <c r="K185"/>
  <c r="H185"/>
  <c r="E185"/>
  <c r="O184"/>
  <c r="J184"/>
  <c r="H184"/>
  <c r="F184"/>
  <c r="L183"/>
  <c r="K183"/>
  <c r="I183"/>
  <c r="E183"/>
  <c r="I182"/>
  <c r="I181" s="1"/>
  <c r="H182"/>
  <c r="F182"/>
  <c r="E181"/>
  <c r="U178"/>
  <c r="R178"/>
  <c r="N178"/>
  <c r="J178"/>
  <c r="I178"/>
  <c r="H178"/>
  <c r="D178"/>
  <c r="U177"/>
  <c r="R177"/>
  <c r="N177"/>
  <c r="L177"/>
  <c r="H177"/>
  <c r="I177"/>
  <c r="U176"/>
  <c r="R176"/>
  <c r="N176"/>
  <c r="J176"/>
  <c r="H176"/>
  <c r="F176"/>
  <c r="O175"/>
  <c r="N175"/>
  <c r="J175"/>
  <c r="M175" s="1"/>
  <c r="I175"/>
  <c r="H175"/>
  <c r="D175"/>
  <c r="U174"/>
  <c r="R174"/>
  <c r="N174"/>
  <c r="J174"/>
  <c r="H174"/>
  <c r="F174"/>
  <c r="U173"/>
  <c r="R173"/>
  <c r="N173"/>
  <c r="J173"/>
  <c r="H173"/>
  <c r="F173"/>
  <c r="U172"/>
  <c r="R172"/>
  <c r="O172"/>
  <c r="N172"/>
  <c r="J172"/>
  <c r="M172" s="1"/>
  <c r="H172"/>
  <c r="G172" s="1"/>
  <c r="D172"/>
  <c r="O171"/>
  <c r="N171"/>
  <c r="J171"/>
  <c r="H171"/>
  <c r="D171"/>
  <c r="N170"/>
  <c r="J170"/>
  <c r="I170"/>
  <c r="H170"/>
  <c r="D170"/>
  <c r="U169"/>
  <c r="R169"/>
  <c r="O169"/>
  <c r="N169"/>
  <c r="M169"/>
  <c r="J169"/>
  <c r="I169"/>
  <c r="H169"/>
  <c r="D169"/>
  <c r="W168"/>
  <c r="V168"/>
  <c r="T168"/>
  <c r="S168"/>
  <c r="R168" s="1"/>
  <c r="K168"/>
  <c r="E168"/>
  <c r="N167"/>
  <c r="J167"/>
  <c r="H167"/>
  <c r="F167"/>
  <c r="O166"/>
  <c r="N166"/>
  <c r="J166"/>
  <c r="H166"/>
  <c r="D166"/>
  <c r="O165"/>
  <c r="N165"/>
  <c r="J165"/>
  <c r="H165"/>
  <c r="D165"/>
  <c r="O164"/>
  <c r="N164"/>
  <c r="J164"/>
  <c r="M164" s="1"/>
  <c r="I164"/>
  <c r="H164"/>
  <c r="D164"/>
  <c r="O163"/>
  <c r="N163"/>
  <c r="J163"/>
  <c r="M163" s="1"/>
  <c r="H163"/>
  <c r="D163"/>
  <c r="O162"/>
  <c r="N162"/>
  <c r="J162"/>
  <c r="M162" s="1"/>
  <c r="I162"/>
  <c r="H162"/>
  <c r="D162"/>
  <c r="O161"/>
  <c r="N161"/>
  <c r="J161"/>
  <c r="M161" s="1"/>
  <c r="I161"/>
  <c r="H161"/>
  <c r="D161"/>
  <c r="U160"/>
  <c r="R160"/>
  <c r="O160"/>
  <c r="N160"/>
  <c r="J160"/>
  <c r="M160" s="1"/>
  <c r="I160"/>
  <c r="H160"/>
  <c r="F160"/>
  <c r="U159"/>
  <c r="R159"/>
  <c r="N159"/>
  <c r="J159"/>
  <c r="H159"/>
  <c r="F159"/>
  <c r="U158"/>
  <c r="R158"/>
  <c r="O158"/>
  <c r="N158"/>
  <c r="J158"/>
  <c r="M158" s="1"/>
  <c r="I158"/>
  <c r="H158"/>
  <c r="D158"/>
  <c r="U157"/>
  <c r="R157"/>
  <c r="O157"/>
  <c r="N157"/>
  <c r="J157"/>
  <c r="M157" s="1"/>
  <c r="I157"/>
  <c r="H157"/>
  <c r="D157"/>
  <c r="U156"/>
  <c r="R156"/>
  <c r="O156"/>
  <c r="N156"/>
  <c r="J156"/>
  <c r="M156" s="1"/>
  <c r="I156"/>
  <c r="H156"/>
  <c r="D156"/>
  <c r="U155"/>
  <c r="R155"/>
  <c r="O155"/>
  <c r="N155"/>
  <c r="J155"/>
  <c r="M155" s="1"/>
  <c r="H155"/>
  <c r="I155"/>
  <c r="U154"/>
  <c r="R154"/>
  <c r="O154"/>
  <c r="N154"/>
  <c r="J154"/>
  <c r="M154" s="1"/>
  <c r="I154"/>
  <c r="H154"/>
  <c r="D154"/>
  <c r="U153"/>
  <c r="R153"/>
  <c r="O153"/>
  <c r="N153"/>
  <c r="J153"/>
  <c r="M153" s="1"/>
  <c r="I153"/>
  <c r="H153"/>
  <c r="D153"/>
  <c r="U152"/>
  <c r="R152"/>
  <c r="N152"/>
  <c r="J152"/>
  <c r="I152"/>
  <c r="H152"/>
  <c r="D152"/>
  <c r="U151"/>
  <c r="R151"/>
  <c r="O151"/>
  <c r="N151"/>
  <c r="J151"/>
  <c r="M151" s="1"/>
  <c r="I151"/>
  <c r="H151"/>
  <c r="D151"/>
  <c r="U150"/>
  <c r="R150"/>
  <c r="N150"/>
  <c r="J150"/>
  <c r="I150"/>
  <c r="H150"/>
  <c r="D150"/>
  <c r="U149"/>
  <c r="R149"/>
  <c r="O149"/>
  <c r="N149"/>
  <c r="J149"/>
  <c r="M149" s="1"/>
  <c r="I149"/>
  <c r="H149"/>
  <c r="D149"/>
  <c r="U148"/>
  <c r="R148"/>
  <c r="N148"/>
  <c r="J148"/>
  <c r="I148"/>
  <c r="H148"/>
  <c r="D148"/>
  <c r="U147"/>
  <c r="R147"/>
  <c r="O147"/>
  <c r="N147"/>
  <c r="J147"/>
  <c r="M147" s="1"/>
  <c r="I147"/>
  <c r="H147"/>
  <c r="D147"/>
  <c r="U146"/>
  <c r="R146"/>
  <c r="O146"/>
  <c r="N146"/>
  <c r="J146"/>
  <c r="M146" s="1"/>
  <c r="I146"/>
  <c r="H146"/>
  <c r="D146"/>
  <c r="U145"/>
  <c r="R145"/>
  <c r="O145"/>
  <c r="N145"/>
  <c r="J145"/>
  <c r="M145" s="1"/>
  <c r="I145"/>
  <c r="H145"/>
  <c r="D145"/>
  <c r="U144"/>
  <c r="R144"/>
  <c r="O144"/>
  <c r="N144"/>
  <c r="J144"/>
  <c r="M144" s="1"/>
  <c r="I144"/>
  <c r="H144"/>
  <c r="D144"/>
  <c r="U143"/>
  <c r="R143"/>
  <c r="O143"/>
  <c r="N143"/>
  <c r="J143"/>
  <c r="M143" s="1"/>
  <c r="I143"/>
  <c r="H143"/>
  <c r="D143"/>
  <c r="U142"/>
  <c r="R142"/>
  <c r="O142"/>
  <c r="N142"/>
  <c r="J142"/>
  <c r="M142" s="1"/>
  <c r="H142"/>
  <c r="D142"/>
  <c r="U141"/>
  <c r="R141"/>
  <c r="O141"/>
  <c r="N141"/>
  <c r="J141"/>
  <c r="M141" s="1"/>
  <c r="I141"/>
  <c r="H141"/>
  <c r="D141"/>
  <c r="U140"/>
  <c r="R140"/>
  <c r="O140"/>
  <c r="N140"/>
  <c r="J140"/>
  <c r="M140" s="1"/>
  <c r="I140"/>
  <c r="H140"/>
  <c r="D140"/>
  <c r="U139"/>
  <c r="R139"/>
  <c r="O139"/>
  <c r="N139"/>
  <c r="J139"/>
  <c r="M139" s="1"/>
  <c r="H139"/>
  <c r="D139"/>
  <c r="U138"/>
  <c r="R138"/>
  <c r="O138"/>
  <c r="N138"/>
  <c r="J138"/>
  <c r="M138" s="1"/>
  <c r="H138"/>
  <c r="D138"/>
  <c r="U137"/>
  <c r="R137"/>
  <c r="O137"/>
  <c r="N137"/>
  <c r="J137"/>
  <c r="M137" s="1"/>
  <c r="H137"/>
  <c r="D137"/>
  <c r="U136"/>
  <c r="R136"/>
  <c r="O136"/>
  <c r="N136"/>
  <c r="J136"/>
  <c r="M136" s="1"/>
  <c r="H136"/>
  <c r="D136"/>
  <c r="U135"/>
  <c r="R135"/>
  <c r="O135"/>
  <c r="N135"/>
  <c r="J135"/>
  <c r="M135" s="1"/>
  <c r="I135"/>
  <c r="H135"/>
  <c r="D135"/>
  <c r="U134"/>
  <c r="R134"/>
  <c r="O134"/>
  <c r="N134"/>
  <c r="J134"/>
  <c r="M134" s="1"/>
  <c r="I134"/>
  <c r="H134"/>
  <c r="D134"/>
  <c r="U133"/>
  <c r="R133"/>
  <c r="O133"/>
  <c r="N133"/>
  <c r="J133"/>
  <c r="M133" s="1"/>
  <c r="H133"/>
  <c r="F133"/>
  <c r="U131"/>
  <c r="R131"/>
  <c r="O131"/>
  <c r="N131"/>
  <c r="J131"/>
  <c r="M131" s="1"/>
  <c r="H131"/>
  <c r="U130"/>
  <c r="R130"/>
  <c r="O130"/>
  <c r="N130"/>
  <c r="J130"/>
  <c r="M130" s="1"/>
  <c r="H130"/>
  <c r="W129"/>
  <c r="V129"/>
  <c r="T129"/>
  <c r="S129"/>
  <c r="T128"/>
  <c r="U126"/>
  <c r="R126"/>
  <c r="N126"/>
  <c r="J126"/>
  <c r="I126"/>
  <c r="O126" s="1"/>
  <c r="H126"/>
  <c r="F126"/>
  <c r="O125"/>
  <c r="N125"/>
  <c r="J125"/>
  <c r="G125"/>
  <c r="D125"/>
  <c r="W124"/>
  <c r="W123" s="1"/>
  <c r="V124"/>
  <c r="T124"/>
  <c r="S124"/>
  <c r="R124" s="1"/>
  <c r="L124"/>
  <c r="L123" s="1"/>
  <c r="K124"/>
  <c r="E124"/>
  <c r="T123"/>
  <c r="E123"/>
  <c r="O122"/>
  <c r="N122"/>
  <c r="J122"/>
  <c r="H122"/>
  <c r="D122"/>
  <c r="L121"/>
  <c r="L120" s="1"/>
  <c r="K121"/>
  <c r="K120" s="1"/>
  <c r="I121"/>
  <c r="I120" s="1"/>
  <c r="F121"/>
  <c r="E121"/>
  <c r="U118"/>
  <c r="R118"/>
  <c r="N118"/>
  <c r="J118"/>
  <c r="H118"/>
  <c r="F118"/>
  <c r="O117"/>
  <c r="N117"/>
  <c r="J117"/>
  <c r="G117"/>
  <c r="D117"/>
  <c r="W116"/>
  <c r="W112" s="1"/>
  <c r="V116"/>
  <c r="T116"/>
  <c r="T112" s="1"/>
  <c r="S116"/>
  <c r="L116"/>
  <c r="K116"/>
  <c r="E116"/>
  <c r="O115"/>
  <c r="N115"/>
  <c r="J115"/>
  <c r="M115" s="1"/>
  <c r="G115"/>
  <c r="D115"/>
  <c r="O114"/>
  <c r="N114"/>
  <c r="J114"/>
  <c r="M114" s="1"/>
  <c r="I114"/>
  <c r="H114"/>
  <c r="D114"/>
  <c r="U113"/>
  <c r="R113"/>
  <c r="L113"/>
  <c r="O113" s="1"/>
  <c r="K113"/>
  <c r="F113"/>
  <c r="E113"/>
  <c r="U111"/>
  <c r="R111"/>
  <c r="O111"/>
  <c r="N111"/>
  <c r="J111"/>
  <c r="M111" s="1"/>
  <c r="I111"/>
  <c r="H111"/>
  <c r="D111"/>
  <c r="W110"/>
  <c r="V110"/>
  <c r="T110"/>
  <c r="S110"/>
  <c r="Q110"/>
  <c r="P110"/>
  <c r="L110"/>
  <c r="O110" s="1"/>
  <c r="K110"/>
  <c r="F110"/>
  <c r="E110"/>
  <c r="U109"/>
  <c r="R109"/>
  <c r="N109"/>
  <c r="J109"/>
  <c r="I109"/>
  <c r="O109" s="1"/>
  <c r="H109"/>
  <c r="F109"/>
  <c r="J108"/>
  <c r="I108"/>
  <c r="H108"/>
  <c r="D108"/>
  <c r="W107"/>
  <c r="W106" s="1"/>
  <c r="V107"/>
  <c r="V106" s="1"/>
  <c r="T107"/>
  <c r="S107"/>
  <c r="L107"/>
  <c r="L106" s="1"/>
  <c r="K107"/>
  <c r="E107"/>
  <c r="S106"/>
  <c r="Q106"/>
  <c r="P106"/>
  <c r="U105"/>
  <c r="R105"/>
  <c r="N105"/>
  <c r="J105"/>
  <c r="H105"/>
  <c r="F105"/>
  <c r="F102" s="1"/>
  <c r="D102" s="1"/>
  <c r="O104"/>
  <c r="J104"/>
  <c r="I104"/>
  <c r="H104"/>
  <c r="D104"/>
  <c r="W102"/>
  <c r="W101" s="1"/>
  <c r="V102"/>
  <c r="T102"/>
  <c r="T101" s="1"/>
  <c r="S102"/>
  <c r="S101" s="1"/>
  <c r="K101"/>
  <c r="Q101"/>
  <c r="P101"/>
  <c r="L101"/>
  <c r="U100"/>
  <c r="R100"/>
  <c r="N100"/>
  <c r="J100"/>
  <c r="I100"/>
  <c r="O100" s="1"/>
  <c r="H100"/>
  <c r="F100"/>
  <c r="D100"/>
  <c r="U99"/>
  <c r="R99"/>
  <c r="J99"/>
  <c r="H99"/>
  <c r="H93" s="1"/>
  <c r="F99"/>
  <c r="F93" s="1"/>
  <c r="W98"/>
  <c r="W97" s="1"/>
  <c r="V98"/>
  <c r="T98"/>
  <c r="R98" s="1"/>
  <c r="S98"/>
  <c r="S97" s="1"/>
  <c r="L98"/>
  <c r="L97" s="1"/>
  <c r="K98"/>
  <c r="K97" s="1"/>
  <c r="F98"/>
  <c r="E98"/>
  <c r="E97" s="1"/>
  <c r="Q97"/>
  <c r="Q92" s="1"/>
  <c r="Q75" s="1"/>
  <c r="P97"/>
  <c r="N96"/>
  <c r="E96"/>
  <c r="E95"/>
  <c r="N94"/>
  <c r="N405" s="1"/>
  <c r="U91"/>
  <c r="R91"/>
  <c r="O91"/>
  <c r="N91"/>
  <c r="J91"/>
  <c r="M91" s="1"/>
  <c r="I91"/>
  <c r="H91"/>
  <c r="D91"/>
  <c r="U90"/>
  <c r="U89" s="1"/>
  <c r="R90"/>
  <c r="R89" s="1"/>
  <c r="O90"/>
  <c r="N90"/>
  <c r="J90"/>
  <c r="G90"/>
  <c r="D90"/>
  <c r="W89"/>
  <c r="V89"/>
  <c r="T89"/>
  <c r="S89"/>
  <c r="Q89"/>
  <c r="P89"/>
  <c r="L89"/>
  <c r="K89"/>
  <c r="I89"/>
  <c r="H89"/>
  <c r="F89"/>
  <c r="E89"/>
  <c r="U88"/>
  <c r="U87" s="1"/>
  <c r="R88"/>
  <c r="R87" s="1"/>
  <c r="O88"/>
  <c r="N88"/>
  <c r="J88"/>
  <c r="M88" s="1"/>
  <c r="I88"/>
  <c r="H88"/>
  <c r="D88"/>
  <c r="W87"/>
  <c r="V87"/>
  <c r="T87"/>
  <c r="S87"/>
  <c r="Q87"/>
  <c r="P87"/>
  <c r="L87"/>
  <c r="O87" s="1"/>
  <c r="K87"/>
  <c r="N87" s="1"/>
  <c r="J87"/>
  <c r="M87" s="1"/>
  <c r="F87"/>
  <c r="E87"/>
  <c r="U86"/>
  <c r="R86"/>
  <c r="J86"/>
  <c r="I86"/>
  <c r="H86"/>
  <c r="D86"/>
  <c r="W85"/>
  <c r="V85"/>
  <c r="T85"/>
  <c r="S85"/>
  <c r="L85"/>
  <c r="K85"/>
  <c r="F85"/>
  <c r="E85"/>
  <c r="U84"/>
  <c r="R84"/>
  <c r="O84"/>
  <c r="N84"/>
  <c r="J84"/>
  <c r="M84" s="1"/>
  <c r="I84"/>
  <c r="H84"/>
  <c r="D84"/>
  <c r="W83"/>
  <c r="V83"/>
  <c r="T83"/>
  <c r="S83"/>
  <c r="L83"/>
  <c r="O83" s="1"/>
  <c r="K83"/>
  <c r="N83" s="1"/>
  <c r="F83"/>
  <c r="E83"/>
  <c r="Q82"/>
  <c r="P82"/>
  <c r="U79"/>
  <c r="R79"/>
  <c r="N79"/>
  <c r="J79"/>
  <c r="I79"/>
  <c r="H79"/>
  <c r="D79"/>
  <c r="W78"/>
  <c r="V78"/>
  <c r="T78"/>
  <c r="S78"/>
  <c r="L78"/>
  <c r="K78"/>
  <c r="N78" s="1"/>
  <c r="F78"/>
  <c r="E78"/>
  <c r="U77"/>
  <c r="U76" s="1"/>
  <c r="R77"/>
  <c r="R76" s="1"/>
  <c r="N77"/>
  <c r="J77"/>
  <c r="I77"/>
  <c r="H77"/>
  <c r="D77"/>
  <c r="W76"/>
  <c r="V76"/>
  <c r="T76"/>
  <c r="S76"/>
  <c r="S75" s="1"/>
  <c r="Q76"/>
  <c r="P76"/>
  <c r="L76"/>
  <c r="K76"/>
  <c r="N76" s="1"/>
  <c r="F76"/>
  <c r="E76"/>
  <c r="U74"/>
  <c r="R74"/>
  <c r="O74"/>
  <c r="N74"/>
  <c r="J74"/>
  <c r="M74" s="1"/>
  <c r="I74"/>
  <c r="H74"/>
  <c r="D74"/>
  <c r="U73"/>
  <c r="R73"/>
  <c r="O73"/>
  <c r="N73"/>
  <c r="J73"/>
  <c r="M73" s="1"/>
  <c r="I73"/>
  <c r="H73"/>
  <c r="D73"/>
  <c r="U72"/>
  <c r="R72"/>
  <c r="O72"/>
  <c r="N72"/>
  <c r="J72"/>
  <c r="M72" s="1"/>
  <c r="I72"/>
  <c r="H72"/>
  <c r="D72"/>
  <c r="O71"/>
  <c r="N71"/>
  <c r="M71"/>
  <c r="J71"/>
  <c r="I71"/>
  <c r="H71"/>
  <c r="D71"/>
  <c r="W70"/>
  <c r="V70"/>
  <c r="T70"/>
  <c r="S70"/>
  <c r="L70"/>
  <c r="O70" s="1"/>
  <c r="K70"/>
  <c r="N70" s="1"/>
  <c r="F70"/>
  <c r="E70"/>
  <c r="U69"/>
  <c r="R69"/>
  <c r="O69"/>
  <c r="N69"/>
  <c r="J69"/>
  <c r="M69" s="1"/>
  <c r="I69"/>
  <c r="H69"/>
  <c r="D69"/>
  <c r="U68"/>
  <c r="R68"/>
  <c r="O68"/>
  <c r="N68"/>
  <c r="J68"/>
  <c r="M68" s="1"/>
  <c r="I68"/>
  <c r="H68"/>
  <c r="D68"/>
  <c r="U67"/>
  <c r="R67"/>
  <c r="O67"/>
  <c r="N67"/>
  <c r="J67"/>
  <c r="M67" s="1"/>
  <c r="H67"/>
  <c r="D67"/>
  <c r="U66"/>
  <c r="R66"/>
  <c r="N66"/>
  <c r="J66"/>
  <c r="H66"/>
  <c r="F66"/>
  <c r="U65"/>
  <c r="R65"/>
  <c r="O65"/>
  <c r="N65"/>
  <c r="J65"/>
  <c r="M65" s="1"/>
  <c r="H65"/>
  <c r="D65"/>
  <c r="W64"/>
  <c r="V64"/>
  <c r="T64"/>
  <c r="S64"/>
  <c r="L64"/>
  <c r="K64"/>
  <c r="N64" s="1"/>
  <c r="J64"/>
  <c r="E64"/>
  <c r="U63"/>
  <c r="R63"/>
  <c r="O63"/>
  <c r="N63"/>
  <c r="J63"/>
  <c r="M63" s="1"/>
  <c r="I63"/>
  <c r="H63"/>
  <c r="D63"/>
  <c r="U62"/>
  <c r="R62"/>
  <c r="O62"/>
  <c r="N62"/>
  <c r="J62"/>
  <c r="M62" s="1"/>
  <c r="I62"/>
  <c r="H62"/>
  <c r="D62"/>
  <c r="W61"/>
  <c r="V61"/>
  <c r="T61"/>
  <c r="S61"/>
  <c r="L61"/>
  <c r="O61" s="1"/>
  <c r="K61"/>
  <c r="N61" s="1"/>
  <c r="F61"/>
  <c r="E61"/>
  <c r="U60"/>
  <c r="R60"/>
  <c r="N60"/>
  <c r="J60"/>
  <c r="H60"/>
  <c r="F60"/>
  <c r="U59"/>
  <c r="R59"/>
  <c r="O59"/>
  <c r="N59"/>
  <c r="J59"/>
  <c r="M59" s="1"/>
  <c r="H59"/>
  <c r="D59"/>
  <c r="W58"/>
  <c r="V58"/>
  <c r="T58"/>
  <c r="S58"/>
  <c r="L58"/>
  <c r="K58"/>
  <c r="N58" s="1"/>
  <c r="E58"/>
  <c r="U57"/>
  <c r="R57"/>
  <c r="O57"/>
  <c r="N57"/>
  <c r="J57"/>
  <c r="M57" s="1"/>
  <c r="I57"/>
  <c r="H57"/>
  <c r="D57"/>
  <c r="W56"/>
  <c r="V56"/>
  <c r="T56"/>
  <c r="S56"/>
  <c r="L56"/>
  <c r="O56" s="1"/>
  <c r="K56"/>
  <c r="N56" s="1"/>
  <c r="F56"/>
  <c r="E56"/>
  <c r="U55"/>
  <c r="R55"/>
  <c r="N55"/>
  <c r="J55"/>
  <c r="I55"/>
  <c r="O55" s="1"/>
  <c r="H55"/>
  <c r="F55"/>
  <c r="O54"/>
  <c r="N54"/>
  <c r="J54"/>
  <c r="M54" s="1"/>
  <c r="H54"/>
  <c r="D54"/>
  <c r="O53"/>
  <c r="N53"/>
  <c r="J53"/>
  <c r="M53" s="1"/>
  <c r="H53"/>
  <c r="D53"/>
  <c r="O52"/>
  <c r="N52"/>
  <c r="J52"/>
  <c r="M52" s="1"/>
  <c r="H52"/>
  <c r="D52"/>
  <c r="U51"/>
  <c r="R51"/>
  <c r="O51"/>
  <c r="N51"/>
  <c r="J51"/>
  <c r="M51" s="1"/>
  <c r="H51"/>
  <c r="D51"/>
  <c r="W50"/>
  <c r="V50"/>
  <c r="T50"/>
  <c r="S50"/>
  <c r="R50" s="1"/>
  <c r="L50"/>
  <c r="K50"/>
  <c r="N50" s="1"/>
  <c r="E50"/>
  <c r="U49"/>
  <c r="R49"/>
  <c r="O49"/>
  <c r="N49"/>
  <c r="J49"/>
  <c r="M49" s="1"/>
  <c r="I49"/>
  <c r="H49"/>
  <c r="D49"/>
  <c r="U48"/>
  <c r="R48"/>
  <c r="O48"/>
  <c r="N48"/>
  <c r="J48"/>
  <c r="M48" s="1"/>
  <c r="I48"/>
  <c r="H48"/>
  <c r="D48"/>
  <c r="W47"/>
  <c r="V47"/>
  <c r="T47"/>
  <c r="S47"/>
  <c r="L47"/>
  <c r="O47" s="1"/>
  <c r="K47"/>
  <c r="N47" s="1"/>
  <c r="F47"/>
  <c r="E47"/>
  <c r="U46"/>
  <c r="R46"/>
  <c r="N46"/>
  <c r="J46"/>
  <c r="I46"/>
  <c r="H46"/>
  <c r="D46"/>
  <c r="U45"/>
  <c r="R45"/>
  <c r="N45"/>
  <c r="J45"/>
  <c r="I45"/>
  <c r="H45"/>
  <c r="D45"/>
  <c r="U44"/>
  <c r="R44"/>
  <c r="O44"/>
  <c r="N44"/>
  <c r="J44"/>
  <c r="M44" s="1"/>
  <c r="H44"/>
  <c r="D44"/>
  <c r="W43"/>
  <c r="V43"/>
  <c r="T43"/>
  <c r="S43"/>
  <c r="L43"/>
  <c r="K43"/>
  <c r="N43" s="1"/>
  <c r="F43"/>
  <c r="E43"/>
  <c r="U42"/>
  <c r="R42"/>
  <c r="N42"/>
  <c r="J42"/>
  <c r="H42"/>
  <c r="F42"/>
  <c r="W41"/>
  <c r="V41"/>
  <c r="T41"/>
  <c r="S41"/>
  <c r="L41"/>
  <c r="K41"/>
  <c r="N41" s="1"/>
  <c r="E41"/>
  <c r="U40"/>
  <c r="R40"/>
  <c r="O40"/>
  <c r="N40"/>
  <c r="J40"/>
  <c r="M40" s="1"/>
  <c r="I40"/>
  <c r="H40"/>
  <c r="D40"/>
  <c r="U39"/>
  <c r="R39"/>
  <c r="N39"/>
  <c r="J39"/>
  <c r="I39"/>
  <c r="H39"/>
  <c r="D39"/>
  <c r="U38"/>
  <c r="R38"/>
  <c r="N38"/>
  <c r="J38"/>
  <c r="I38"/>
  <c r="H38"/>
  <c r="D38"/>
  <c r="U37"/>
  <c r="R37"/>
  <c r="N37"/>
  <c r="J37"/>
  <c r="I37"/>
  <c r="H37"/>
  <c r="D37"/>
  <c r="W36"/>
  <c r="V36"/>
  <c r="T36"/>
  <c r="S36"/>
  <c r="Q36"/>
  <c r="P36"/>
  <c r="L36"/>
  <c r="K36"/>
  <c r="N36" s="1"/>
  <c r="F36"/>
  <c r="E36"/>
  <c r="N35"/>
  <c r="J35"/>
  <c r="I35"/>
  <c r="H35"/>
  <c r="D35"/>
  <c r="U34"/>
  <c r="R34"/>
  <c r="O34"/>
  <c r="N34"/>
  <c r="J34"/>
  <c r="M34" s="1"/>
  <c r="I34"/>
  <c r="H34"/>
  <c r="D34"/>
  <c r="W33"/>
  <c r="V33"/>
  <c r="T33"/>
  <c r="S33"/>
  <c r="L33"/>
  <c r="K33"/>
  <c r="N33" s="1"/>
  <c r="F33"/>
  <c r="E33"/>
  <c r="U32"/>
  <c r="R32"/>
  <c r="O32"/>
  <c r="N32"/>
  <c r="J32"/>
  <c r="M32" s="1"/>
  <c r="H32"/>
  <c r="G32"/>
  <c r="X32" s="1"/>
  <c r="D32"/>
  <c r="W31"/>
  <c r="V31"/>
  <c r="T31"/>
  <c r="S31"/>
  <c r="L31"/>
  <c r="O31" s="1"/>
  <c r="K31"/>
  <c r="N31" s="1"/>
  <c r="I31"/>
  <c r="F31"/>
  <c r="E31"/>
  <c r="U30"/>
  <c r="R30"/>
  <c r="O30"/>
  <c r="N30"/>
  <c r="J30"/>
  <c r="M30" s="1"/>
  <c r="H30"/>
  <c r="F30"/>
  <c r="W29"/>
  <c r="V29"/>
  <c r="T29"/>
  <c r="S29"/>
  <c r="L29"/>
  <c r="O29" s="1"/>
  <c r="K29"/>
  <c r="N29" s="1"/>
  <c r="E29"/>
  <c r="O28"/>
  <c r="N28"/>
  <c r="M28"/>
  <c r="I28"/>
  <c r="H28"/>
  <c r="D28"/>
  <c r="U27"/>
  <c r="R27"/>
  <c r="O27"/>
  <c r="N27"/>
  <c r="J27"/>
  <c r="M27" s="1"/>
  <c r="I27"/>
  <c r="H27"/>
  <c r="D27"/>
  <c r="O26"/>
  <c r="N26"/>
  <c r="J26"/>
  <c r="M26" s="1"/>
  <c r="H26"/>
  <c r="D26"/>
  <c r="U25"/>
  <c r="R25"/>
  <c r="N25"/>
  <c r="J25"/>
  <c r="I25"/>
  <c r="O25" s="1"/>
  <c r="H25"/>
  <c r="F25"/>
  <c r="D25" s="1"/>
  <c r="W24"/>
  <c r="V24"/>
  <c r="T24"/>
  <c r="S24"/>
  <c r="L24"/>
  <c r="K24"/>
  <c r="N24" s="1"/>
  <c r="E24"/>
  <c r="R23"/>
  <c r="O23"/>
  <c r="N23"/>
  <c r="J23"/>
  <c r="M23" s="1"/>
  <c r="I23"/>
  <c r="H23"/>
  <c r="D23"/>
  <c r="U22"/>
  <c r="R22"/>
  <c r="O22"/>
  <c r="N22"/>
  <c r="J22"/>
  <c r="M22" s="1"/>
  <c r="I22"/>
  <c r="H22"/>
  <c r="D22"/>
  <c r="W21"/>
  <c r="V21"/>
  <c r="T21"/>
  <c r="S21"/>
  <c r="L21"/>
  <c r="O21" s="1"/>
  <c r="K21"/>
  <c r="N21" s="1"/>
  <c r="F21"/>
  <c r="E21"/>
  <c r="U20"/>
  <c r="R20"/>
  <c r="O20"/>
  <c r="N20"/>
  <c r="J20"/>
  <c r="M20" s="1"/>
  <c r="H20"/>
  <c r="H19" s="1"/>
  <c r="D20"/>
  <c r="W19"/>
  <c r="V19"/>
  <c r="T19"/>
  <c r="S19"/>
  <c r="L19"/>
  <c r="O19" s="1"/>
  <c r="K19"/>
  <c r="N19" s="1"/>
  <c r="I19"/>
  <c r="F19"/>
  <c r="E19"/>
  <c r="O18"/>
  <c r="N18"/>
  <c r="J18"/>
  <c r="M18" s="1"/>
  <c r="I18"/>
  <c r="H18"/>
  <c r="D18"/>
  <c r="A18"/>
  <c r="A25" s="1"/>
  <c r="U17"/>
  <c r="R17"/>
  <c r="N17"/>
  <c r="J17"/>
  <c r="I17"/>
  <c r="H17"/>
  <c r="D17"/>
  <c r="W16"/>
  <c r="V16"/>
  <c r="T16"/>
  <c r="S16"/>
  <c r="L16"/>
  <c r="K16"/>
  <c r="F16"/>
  <c r="E16"/>
  <c r="F201" i="61"/>
  <c r="E200"/>
  <c r="K241"/>
  <c r="K233"/>
  <c r="L233"/>
  <c r="K219"/>
  <c r="L219"/>
  <c r="K209"/>
  <c r="L279"/>
  <c r="F279"/>
  <c r="K279"/>
  <c r="L209"/>
  <c r="K213"/>
  <c r="I17"/>
  <c r="F16"/>
  <c r="I186"/>
  <c r="I184"/>
  <c r="L123"/>
  <c r="K123"/>
  <c r="I103"/>
  <c r="H103"/>
  <c r="E267"/>
  <c r="F267"/>
  <c r="I213"/>
  <c r="I211" s="1"/>
  <c r="H213"/>
  <c r="H211" s="1"/>
  <c r="F175"/>
  <c r="F42"/>
  <c r="F104"/>
  <c r="F117"/>
  <c r="I25"/>
  <c r="F25"/>
  <c r="I100"/>
  <c r="F100"/>
  <c r="F125"/>
  <c r="I125"/>
  <c r="F108"/>
  <c r="I108"/>
  <c r="U70" i="64" l="1"/>
  <c r="T75"/>
  <c r="O249"/>
  <c r="M311"/>
  <c r="O27" i="65"/>
  <c r="X114"/>
  <c r="S180" i="64"/>
  <c r="H202"/>
  <c r="N202" s="1"/>
  <c r="E204"/>
  <c r="M165" i="65"/>
  <c r="G345" i="64"/>
  <c r="G155" i="65"/>
  <c r="N134"/>
  <c r="N14"/>
  <c r="M162"/>
  <c r="X410" i="69"/>
  <c r="U192" i="64"/>
  <c r="U64"/>
  <c r="J257"/>
  <c r="D293"/>
  <c r="N96" i="65"/>
  <c r="G81"/>
  <c r="M81" s="1"/>
  <c r="U198" i="64"/>
  <c r="H203"/>
  <c r="G203" s="1"/>
  <c r="M85" i="65"/>
  <c r="R19" i="64"/>
  <c r="U33"/>
  <c r="R78"/>
  <c r="N185"/>
  <c r="T180"/>
  <c r="R180" s="1"/>
  <c r="J209"/>
  <c r="J279"/>
  <c r="F202"/>
  <c r="I287"/>
  <c r="O287" s="1"/>
  <c r="G303"/>
  <c r="K303"/>
  <c r="W317"/>
  <c r="W316" s="1"/>
  <c r="R331"/>
  <c r="G333"/>
  <c r="M334"/>
  <c r="U353"/>
  <c r="M360"/>
  <c r="O387"/>
  <c r="M115" i="65"/>
  <c r="O23"/>
  <c r="M126"/>
  <c r="N85"/>
  <c r="R24" i="64"/>
  <c r="L82"/>
  <c r="T82"/>
  <c r="T81" s="1"/>
  <c r="W82"/>
  <c r="R107"/>
  <c r="U110"/>
  <c r="M125"/>
  <c r="O333"/>
  <c r="M119" i="65"/>
  <c r="N165"/>
  <c r="N115"/>
  <c r="O58"/>
  <c r="K410" i="69"/>
  <c r="N12"/>
  <c r="J12"/>
  <c r="M12" s="1"/>
  <c r="A60"/>
  <c r="A57"/>
  <c r="A59" s="1"/>
  <c r="A139" i="67"/>
  <c r="A141"/>
  <c r="A144" s="1"/>
  <c r="A148" s="1"/>
  <c r="A152" s="1"/>
  <c r="A155" s="1"/>
  <c r="A162" s="1"/>
  <c r="A163" s="1"/>
  <c r="A164" s="1"/>
  <c r="A165" s="1"/>
  <c r="A166" s="1"/>
  <c r="A167" s="1"/>
  <c r="A168" s="1"/>
  <c r="A123"/>
  <c r="I12"/>
  <c r="G12" s="1"/>
  <c r="G53"/>
  <c r="R103"/>
  <c r="R42"/>
  <c r="G16"/>
  <c r="R93"/>
  <c r="D15"/>
  <c r="D13"/>
  <c r="D12"/>
  <c r="R28"/>
  <c r="D53"/>
  <c r="R53" s="1"/>
  <c r="D23"/>
  <c r="D27"/>
  <c r="D16"/>
  <c r="R44"/>
  <c r="R25"/>
  <c r="R59"/>
  <c r="D18"/>
  <c r="R144"/>
  <c r="R78"/>
  <c r="M104" i="65"/>
  <c r="X119"/>
  <c r="M78"/>
  <c r="M152"/>
  <c r="M112"/>
  <c r="D59"/>
  <c r="M20"/>
  <c r="N64"/>
  <c r="O50"/>
  <c r="O137"/>
  <c r="N162"/>
  <c r="N81"/>
  <c r="N58"/>
  <c r="N112"/>
  <c r="G142"/>
  <c r="M142" s="1"/>
  <c r="O142"/>
  <c r="J59"/>
  <c r="J15" s="1"/>
  <c r="O59"/>
  <c r="G44"/>
  <c r="M44" s="1"/>
  <c r="O44"/>
  <c r="K17"/>
  <c r="L17"/>
  <c r="O17" s="1"/>
  <c r="O160"/>
  <c r="G89"/>
  <c r="X63"/>
  <c r="M103"/>
  <c r="M77"/>
  <c r="O14"/>
  <c r="N77"/>
  <c r="N152"/>
  <c r="N100"/>
  <c r="M164"/>
  <c r="N119"/>
  <c r="I92"/>
  <c r="O92" s="1"/>
  <c r="O93"/>
  <c r="J89"/>
  <c r="M89" s="1"/>
  <c r="N89"/>
  <c r="M91"/>
  <c r="M100"/>
  <c r="M67"/>
  <c r="M132"/>
  <c r="M133"/>
  <c r="M105"/>
  <c r="N78"/>
  <c r="N103"/>
  <c r="M166"/>
  <c r="M101"/>
  <c r="L16"/>
  <c r="O60"/>
  <c r="M30"/>
  <c r="N21"/>
  <c r="N27"/>
  <c r="K18"/>
  <c r="J18" s="1"/>
  <c r="J21"/>
  <c r="K15"/>
  <c r="X152"/>
  <c r="H13"/>
  <c r="N13" s="1"/>
  <c r="F13"/>
  <c r="J13"/>
  <c r="G96"/>
  <c r="D17"/>
  <c r="X150"/>
  <c r="E18"/>
  <c r="H18"/>
  <c r="F18"/>
  <c r="L53"/>
  <c r="K53"/>
  <c r="D57"/>
  <c r="D13" s="1"/>
  <c r="F53"/>
  <c r="D53" s="1"/>
  <c r="X112"/>
  <c r="J160"/>
  <c r="X103"/>
  <c r="X72"/>
  <c r="D24"/>
  <c r="G64"/>
  <c r="G144"/>
  <c r="M144" s="1"/>
  <c r="G168"/>
  <c r="X168" s="1"/>
  <c r="G109"/>
  <c r="X109" s="1"/>
  <c r="G92"/>
  <c r="X92" s="1"/>
  <c r="G93"/>
  <c r="M93" s="1"/>
  <c r="X85"/>
  <c r="H160"/>
  <c r="N160" s="1"/>
  <c r="X113"/>
  <c r="D14"/>
  <c r="H16"/>
  <c r="L15"/>
  <c r="F16"/>
  <c r="D15"/>
  <c r="E15"/>
  <c r="E12" s="1"/>
  <c r="G21"/>
  <c r="I15"/>
  <c r="J14"/>
  <c r="D64"/>
  <c r="X139"/>
  <c r="X154"/>
  <c r="G163"/>
  <c r="X163" s="1"/>
  <c r="G106"/>
  <c r="X106" s="1"/>
  <c r="I24"/>
  <c r="O24" s="1"/>
  <c r="H46"/>
  <c r="G46" s="1"/>
  <c r="M46" s="1"/>
  <c r="I22"/>
  <c r="D38"/>
  <c r="X36"/>
  <c r="J92"/>
  <c r="X162"/>
  <c r="G58"/>
  <c r="G14" s="1"/>
  <c r="G167"/>
  <c r="M167" s="1"/>
  <c r="X89"/>
  <c r="G128"/>
  <c r="M128" s="1"/>
  <c r="X153"/>
  <c r="X100"/>
  <c r="X155"/>
  <c r="X149"/>
  <c r="X96"/>
  <c r="X67"/>
  <c r="X143"/>
  <c r="X123"/>
  <c r="X108"/>
  <c r="G148"/>
  <c r="X148" s="1"/>
  <c r="X26"/>
  <c r="G28"/>
  <c r="M28" s="1"/>
  <c r="D78"/>
  <c r="X78" s="1"/>
  <c r="X165"/>
  <c r="X31"/>
  <c r="D134"/>
  <c r="J64"/>
  <c r="M64" s="1"/>
  <c r="X102"/>
  <c r="T12"/>
  <c r="I33"/>
  <c r="O33" s="1"/>
  <c r="F32"/>
  <c r="W12"/>
  <c r="G125"/>
  <c r="X125" s="1"/>
  <c r="D28"/>
  <c r="G61"/>
  <c r="X61" s="1"/>
  <c r="X130"/>
  <c r="I42"/>
  <c r="O42" s="1"/>
  <c r="X35"/>
  <c r="X69"/>
  <c r="X62"/>
  <c r="J27"/>
  <c r="G131"/>
  <c r="M131" s="1"/>
  <c r="G137"/>
  <c r="M137" s="1"/>
  <c r="I134"/>
  <c r="O134" s="1"/>
  <c r="V160"/>
  <c r="U160" s="1"/>
  <c r="J60"/>
  <c r="J32"/>
  <c r="H75"/>
  <c r="N75" s="1"/>
  <c r="X138"/>
  <c r="D60"/>
  <c r="J38"/>
  <c r="X25"/>
  <c r="D27"/>
  <c r="D22"/>
  <c r="J96"/>
  <c r="X135"/>
  <c r="X116"/>
  <c r="G60"/>
  <c r="X129"/>
  <c r="G50"/>
  <c r="M50" s="1"/>
  <c r="U38"/>
  <c r="H59"/>
  <c r="H15" s="1"/>
  <c r="X52"/>
  <c r="J134"/>
  <c r="I141"/>
  <c r="O141" s="1"/>
  <c r="I57"/>
  <c r="X145"/>
  <c r="J69"/>
  <c r="M69" s="1"/>
  <c r="G39"/>
  <c r="X39" s="1"/>
  <c r="H38"/>
  <c r="N38" s="1"/>
  <c r="H23"/>
  <c r="N23" s="1"/>
  <c r="D23"/>
  <c r="D50"/>
  <c r="G27"/>
  <c r="G19"/>
  <c r="M19" s="1"/>
  <c r="H209" i="64"/>
  <c r="M211"/>
  <c r="H96"/>
  <c r="I95"/>
  <c r="H102"/>
  <c r="H95"/>
  <c r="H29"/>
  <c r="H43"/>
  <c r="G62"/>
  <c r="I70"/>
  <c r="G70" s="1"/>
  <c r="I78"/>
  <c r="I98"/>
  <c r="I113"/>
  <c r="G138"/>
  <c r="X138" s="1"/>
  <c r="G158"/>
  <c r="X158" s="1"/>
  <c r="I173"/>
  <c r="O173" s="1"/>
  <c r="D182"/>
  <c r="D206"/>
  <c r="G228"/>
  <c r="N261"/>
  <c r="D264"/>
  <c r="O266"/>
  <c r="G20"/>
  <c r="O35"/>
  <c r="G39"/>
  <c r="M39" s="1"/>
  <c r="I43"/>
  <c r="O43" s="1"/>
  <c r="G44"/>
  <c r="X44" s="1"/>
  <c r="O45"/>
  <c r="D47"/>
  <c r="G52"/>
  <c r="F58"/>
  <c r="G67"/>
  <c r="X67" s="1"/>
  <c r="G77"/>
  <c r="G84"/>
  <c r="I85"/>
  <c r="N86"/>
  <c r="H110"/>
  <c r="N113"/>
  <c r="K112"/>
  <c r="F120"/>
  <c r="G137"/>
  <c r="G143"/>
  <c r="G147"/>
  <c r="D160"/>
  <c r="G165"/>
  <c r="N182"/>
  <c r="D186"/>
  <c r="N207"/>
  <c r="F214"/>
  <c r="I217"/>
  <c r="I223"/>
  <c r="O223" s="1"/>
  <c r="G233"/>
  <c r="I236"/>
  <c r="I238"/>
  <c r="N247"/>
  <c r="O253"/>
  <c r="D254"/>
  <c r="O261"/>
  <c r="O262"/>
  <c r="I268"/>
  <c r="N280"/>
  <c r="F279"/>
  <c r="H284"/>
  <c r="N288"/>
  <c r="O294"/>
  <c r="D297"/>
  <c r="O307"/>
  <c r="F318"/>
  <c r="D330"/>
  <c r="X334"/>
  <c r="D339"/>
  <c r="D340"/>
  <c r="X340" s="1"/>
  <c r="X349"/>
  <c r="X352"/>
  <c r="D392"/>
  <c r="Q81"/>
  <c r="X172"/>
  <c r="R185"/>
  <c r="M195"/>
  <c r="K214"/>
  <c r="N214" s="1"/>
  <c r="I226"/>
  <c r="G335"/>
  <c r="R338"/>
  <c r="U342"/>
  <c r="G347"/>
  <c r="G374"/>
  <c r="M393"/>
  <c r="I33"/>
  <c r="O33" s="1"/>
  <c r="G40"/>
  <c r="X40" s="1"/>
  <c r="G171"/>
  <c r="N184"/>
  <c r="H236"/>
  <c r="O239"/>
  <c r="D248"/>
  <c r="G253"/>
  <c r="M253" s="1"/>
  <c r="N277"/>
  <c r="N295"/>
  <c r="O299"/>
  <c r="D303"/>
  <c r="D310"/>
  <c r="X328"/>
  <c r="F341"/>
  <c r="X360"/>
  <c r="E391"/>
  <c r="G27"/>
  <c r="X27" s="1"/>
  <c r="O38"/>
  <c r="D55"/>
  <c r="H64"/>
  <c r="H70"/>
  <c r="I76"/>
  <c r="I75" s="1"/>
  <c r="D113"/>
  <c r="G114"/>
  <c r="H116"/>
  <c r="N116" s="1"/>
  <c r="H124"/>
  <c r="G139"/>
  <c r="O148"/>
  <c r="O150"/>
  <c r="D184"/>
  <c r="D208"/>
  <c r="G221"/>
  <c r="I222"/>
  <c r="I220" s="1"/>
  <c r="O220" s="1"/>
  <c r="H225"/>
  <c r="D226"/>
  <c r="G227"/>
  <c r="G240"/>
  <c r="G244"/>
  <c r="I248"/>
  <c r="G255"/>
  <c r="D270"/>
  <c r="D283"/>
  <c r="N287"/>
  <c r="G296"/>
  <c r="N298"/>
  <c r="N299"/>
  <c r="E341"/>
  <c r="E337" s="1"/>
  <c r="D353"/>
  <c r="G366"/>
  <c r="M366" s="1"/>
  <c r="E382"/>
  <c r="D387"/>
  <c r="I392"/>
  <c r="H47"/>
  <c r="R83"/>
  <c r="J120"/>
  <c r="U124"/>
  <c r="R192"/>
  <c r="Q180" s="1"/>
  <c r="U196"/>
  <c r="P168"/>
  <c r="O306"/>
  <c r="G307"/>
  <c r="N307"/>
  <c r="U335"/>
  <c r="T341"/>
  <c r="T337" s="1"/>
  <c r="N347"/>
  <c r="M349"/>
  <c r="I21"/>
  <c r="G28"/>
  <c r="O37"/>
  <c r="O46"/>
  <c r="I61"/>
  <c r="G61" s="1"/>
  <c r="G63"/>
  <c r="G65"/>
  <c r="I83"/>
  <c r="I82" s="1"/>
  <c r="I81" s="1"/>
  <c r="O170"/>
  <c r="O178"/>
  <c r="O244"/>
  <c r="N262"/>
  <c r="G292"/>
  <c r="N294"/>
  <c r="N306"/>
  <c r="X324"/>
  <c r="D331"/>
  <c r="X332"/>
  <c r="F382"/>
  <c r="D395"/>
  <c r="D394" s="1"/>
  <c r="G25"/>
  <c r="M25" s="1"/>
  <c r="D30"/>
  <c r="H33"/>
  <c r="H36"/>
  <c r="H41"/>
  <c r="G54"/>
  <c r="I56"/>
  <c r="H61"/>
  <c r="G72"/>
  <c r="X72" s="1"/>
  <c r="G73"/>
  <c r="G74"/>
  <c r="X74" s="1"/>
  <c r="H78"/>
  <c r="G78" s="1"/>
  <c r="I87"/>
  <c r="H98"/>
  <c r="D99"/>
  <c r="I16"/>
  <c r="D19"/>
  <c r="X19" s="1"/>
  <c r="F24"/>
  <c r="G26"/>
  <c r="D31"/>
  <c r="G38"/>
  <c r="M38" s="1"/>
  <c r="O39"/>
  <c r="D42"/>
  <c r="I47"/>
  <c r="H50"/>
  <c r="G51"/>
  <c r="X51" s="1"/>
  <c r="G53"/>
  <c r="X53" s="1"/>
  <c r="H56"/>
  <c r="G56" s="1"/>
  <c r="H58"/>
  <c r="G59"/>
  <c r="I66"/>
  <c r="H76"/>
  <c r="H75" s="1"/>
  <c r="G75" s="1"/>
  <c r="O77"/>
  <c r="O79"/>
  <c r="O86"/>
  <c r="H87"/>
  <c r="D109"/>
  <c r="I110"/>
  <c r="D118"/>
  <c r="H121"/>
  <c r="H123"/>
  <c r="D126"/>
  <c r="G136"/>
  <c r="X136" s="1"/>
  <c r="G142"/>
  <c r="X142" s="1"/>
  <c r="G150"/>
  <c r="X150" s="1"/>
  <c r="O152"/>
  <c r="G163"/>
  <c r="G166"/>
  <c r="M166" s="1"/>
  <c r="D167"/>
  <c r="E128"/>
  <c r="G169"/>
  <c r="I174"/>
  <c r="O174" s="1"/>
  <c r="I176"/>
  <c r="O176" s="1"/>
  <c r="D188"/>
  <c r="D192"/>
  <c r="I197"/>
  <c r="I196" s="1"/>
  <c r="H222"/>
  <c r="G222" s="1"/>
  <c r="D230"/>
  <c r="N238"/>
  <c r="O246"/>
  <c r="O247"/>
  <c r="G249"/>
  <c r="G250"/>
  <c r="I251"/>
  <c r="O251" s="1"/>
  <c r="I257"/>
  <c r="O257" s="1"/>
  <c r="O259"/>
  <c r="D260"/>
  <c r="H264"/>
  <c r="N271"/>
  <c r="O274"/>
  <c r="F273"/>
  <c r="H276"/>
  <c r="N276" s="1"/>
  <c r="O280"/>
  <c r="F286"/>
  <c r="O288"/>
  <c r="D289"/>
  <c r="O290"/>
  <c r="D305"/>
  <c r="D311"/>
  <c r="G319"/>
  <c r="G318" s="1"/>
  <c r="X320"/>
  <c r="G354"/>
  <c r="U24"/>
  <c r="U50"/>
  <c r="R64"/>
  <c r="R70"/>
  <c r="E82"/>
  <c r="R56"/>
  <c r="R58"/>
  <c r="O94"/>
  <c r="O405" s="1"/>
  <c r="U102"/>
  <c r="U101" s="1"/>
  <c r="L112"/>
  <c r="S128"/>
  <c r="R198"/>
  <c r="F223"/>
  <c r="L237"/>
  <c r="H282"/>
  <c r="H279" s="1"/>
  <c r="N279" s="1"/>
  <c r="F308"/>
  <c r="R318"/>
  <c r="M324"/>
  <c r="F329"/>
  <c r="G331"/>
  <c r="N401"/>
  <c r="E101"/>
  <c r="U370"/>
  <c r="D380"/>
  <c r="H385"/>
  <c r="D376"/>
  <c r="L385"/>
  <c r="O385" s="1"/>
  <c r="X388"/>
  <c r="E369"/>
  <c r="G383"/>
  <c r="R383"/>
  <c r="J387"/>
  <c r="M387" s="1"/>
  <c r="U374"/>
  <c r="G378"/>
  <c r="U376"/>
  <c r="D378"/>
  <c r="D370"/>
  <c r="R372"/>
  <c r="D341"/>
  <c r="I133"/>
  <c r="F129"/>
  <c r="P81"/>
  <c r="W81"/>
  <c r="F97"/>
  <c r="W92"/>
  <c r="T106"/>
  <c r="R106" s="1"/>
  <c r="F107"/>
  <c r="D107" s="1"/>
  <c r="F116"/>
  <c r="I118"/>
  <c r="I167"/>
  <c r="O167" s="1"/>
  <c r="N212"/>
  <c r="G225"/>
  <c r="O226"/>
  <c r="I276"/>
  <c r="O276" s="1"/>
  <c r="J370"/>
  <c r="M370" s="1"/>
  <c r="I369"/>
  <c r="I368" s="1"/>
  <c r="J376"/>
  <c r="M376" s="1"/>
  <c r="K386"/>
  <c r="N386" s="1"/>
  <c r="N387"/>
  <c r="O401"/>
  <c r="D21"/>
  <c r="R21"/>
  <c r="G34"/>
  <c r="X34" s="1"/>
  <c r="G37"/>
  <c r="M37" s="1"/>
  <c r="G45"/>
  <c r="M45" s="1"/>
  <c r="U47"/>
  <c r="U56"/>
  <c r="U61"/>
  <c r="G69"/>
  <c r="X69" s="1"/>
  <c r="F82"/>
  <c r="D82" s="1"/>
  <c r="V82"/>
  <c r="V81" s="1"/>
  <c r="D87"/>
  <c r="M90"/>
  <c r="D97"/>
  <c r="V101"/>
  <c r="G108"/>
  <c r="G109"/>
  <c r="M109" s="1"/>
  <c r="G121"/>
  <c r="G145"/>
  <c r="G162"/>
  <c r="G177"/>
  <c r="F185"/>
  <c r="M189"/>
  <c r="D196"/>
  <c r="G198"/>
  <c r="J230"/>
  <c r="G231"/>
  <c r="G232"/>
  <c r="D234"/>
  <c r="D241"/>
  <c r="I245"/>
  <c r="O245" s="1"/>
  <c r="D257"/>
  <c r="G258"/>
  <c r="M258" s="1"/>
  <c r="G259"/>
  <c r="G269"/>
  <c r="Q168"/>
  <c r="G272"/>
  <c r="G290"/>
  <c r="M290" s="1"/>
  <c r="J304"/>
  <c r="N305"/>
  <c r="I305"/>
  <c r="G305" s="1"/>
  <c r="X305" s="1"/>
  <c r="R308"/>
  <c r="U318"/>
  <c r="X325"/>
  <c r="M326"/>
  <c r="X355"/>
  <c r="R353"/>
  <c r="G356"/>
  <c r="L358"/>
  <c r="O358" s="1"/>
  <c r="U361"/>
  <c r="S369"/>
  <c r="S368" s="1"/>
  <c r="G372"/>
  <c r="W369"/>
  <c r="W368" s="1"/>
  <c r="W367" s="1"/>
  <c r="R380"/>
  <c r="X381"/>
  <c r="G396"/>
  <c r="X396" s="1"/>
  <c r="D312"/>
  <c r="E308"/>
  <c r="I159"/>
  <c r="N168"/>
  <c r="K128"/>
  <c r="I213"/>
  <c r="I205" s="1"/>
  <c r="D209"/>
  <c r="P92"/>
  <c r="P75" s="1"/>
  <c r="N124"/>
  <c r="U16"/>
  <c r="U21"/>
  <c r="G23"/>
  <c r="X23" s="1"/>
  <c r="R33"/>
  <c r="F41"/>
  <c r="R47"/>
  <c r="G57"/>
  <c r="X57" s="1"/>
  <c r="R61"/>
  <c r="X90"/>
  <c r="H107"/>
  <c r="N107" s="1"/>
  <c r="G111"/>
  <c r="X111" s="1"/>
  <c r="J124"/>
  <c r="H129"/>
  <c r="G148"/>
  <c r="M148" s="1"/>
  <c r="G154"/>
  <c r="G155"/>
  <c r="G156"/>
  <c r="X156" s="1"/>
  <c r="G161"/>
  <c r="G178"/>
  <c r="X178" s="1"/>
  <c r="W180"/>
  <c r="W179" s="1"/>
  <c r="W127" s="1"/>
  <c r="X189"/>
  <c r="X191"/>
  <c r="D198"/>
  <c r="G219"/>
  <c r="G242"/>
  <c r="D245"/>
  <c r="G246"/>
  <c r="X246" s="1"/>
  <c r="D251"/>
  <c r="D276"/>
  <c r="J300"/>
  <c r="M300" s="1"/>
  <c r="X303"/>
  <c r="M307"/>
  <c r="F317"/>
  <c r="M325"/>
  <c r="S317"/>
  <c r="S316" s="1"/>
  <c r="S341"/>
  <c r="R341" s="1"/>
  <c r="X345"/>
  <c r="L353"/>
  <c r="D356"/>
  <c r="R361"/>
  <c r="D372"/>
  <c r="X373"/>
  <c r="X375"/>
  <c r="U380"/>
  <c r="K385"/>
  <c r="N385" s="1"/>
  <c r="V386"/>
  <c r="U386" s="1"/>
  <c r="G401"/>
  <c r="D203"/>
  <c r="J226"/>
  <c r="J270"/>
  <c r="H205"/>
  <c r="D279"/>
  <c r="U129"/>
  <c r="W128"/>
  <c r="G141"/>
  <c r="I308"/>
  <c r="J185"/>
  <c r="S337"/>
  <c r="R337" s="1"/>
  <c r="T15"/>
  <c r="X255"/>
  <c r="I395"/>
  <c r="G395" s="1"/>
  <c r="G394" s="1"/>
  <c r="G17"/>
  <c r="M17" s="1"/>
  <c r="G18"/>
  <c r="G19"/>
  <c r="G22"/>
  <c r="X22" s="1"/>
  <c r="X28"/>
  <c r="U29"/>
  <c r="U31"/>
  <c r="R36"/>
  <c r="X37"/>
  <c r="X38"/>
  <c r="X39"/>
  <c r="J41"/>
  <c r="R41"/>
  <c r="J43"/>
  <c r="R43"/>
  <c r="G46"/>
  <c r="X46" s="1"/>
  <c r="F64"/>
  <c r="G68"/>
  <c r="X68" s="1"/>
  <c r="G71"/>
  <c r="R75"/>
  <c r="O78"/>
  <c r="U78"/>
  <c r="U83"/>
  <c r="U85"/>
  <c r="G89"/>
  <c r="G91"/>
  <c r="E106"/>
  <c r="U106"/>
  <c r="U107"/>
  <c r="D110"/>
  <c r="U116"/>
  <c r="M117"/>
  <c r="J121"/>
  <c r="G122"/>
  <c r="M122" s="1"/>
  <c r="K123"/>
  <c r="J123" s="1"/>
  <c r="V123"/>
  <c r="U123" s="1"/>
  <c r="I124"/>
  <c r="I123" s="1"/>
  <c r="O123" s="1"/>
  <c r="G126"/>
  <c r="X139"/>
  <c r="G140"/>
  <c r="X140" s="1"/>
  <c r="G152"/>
  <c r="X152" s="1"/>
  <c r="G153"/>
  <c r="X153" s="1"/>
  <c r="G157"/>
  <c r="X157" s="1"/>
  <c r="G164"/>
  <c r="X164" s="1"/>
  <c r="F168"/>
  <c r="V128"/>
  <c r="M171"/>
  <c r="O177"/>
  <c r="K181"/>
  <c r="K180" s="1"/>
  <c r="J182"/>
  <c r="V180"/>
  <c r="V179" s="1"/>
  <c r="F205"/>
  <c r="H206"/>
  <c r="N206" s="1"/>
  <c r="G212"/>
  <c r="X212" s="1"/>
  <c r="D213"/>
  <c r="O214"/>
  <c r="G216"/>
  <c r="D217"/>
  <c r="G218"/>
  <c r="E220"/>
  <c r="J222"/>
  <c r="G235"/>
  <c r="G243"/>
  <c r="X253"/>
  <c r="H254"/>
  <c r="I254"/>
  <c r="G261"/>
  <c r="M261" s="1"/>
  <c r="X263"/>
  <c r="G266"/>
  <c r="M266" s="1"/>
  <c r="G267"/>
  <c r="X267" s="1"/>
  <c r="H268"/>
  <c r="G268" s="1"/>
  <c r="R270"/>
  <c r="R201" s="1"/>
  <c r="I273"/>
  <c r="O273" s="1"/>
  <c r="G280"/>
  <c r="X280" s="1"/>
  <c r="D284"/>
  <c r="H293"/>
  <c r="X296"/>
  <c r="J305"/>
  <c r="K308"/>
  <c r="U308"/>
  <c r="O309"/>
  <c r="X310"/>
  <c r="N312"/>
  <c r="V317"/>
  <c r="U317" s="1"/>
  <c r="I318"/>
  <c r="O318" s="1"/>
  <c r="X321"/>
  <c r="X326"/>
  <c r="X327"/>
  <c r="D329"/>
  <c r="U331"/>
  <c r="D333"/>
  <c r="W341"/>
  <c r="W337" s="1"/>
  <c r="W315" s="1"/>
  <c r="V341"/>
  <c r="V337" s="1"/>
  <c r="J345"/>
  <c r="M345" s="1"/>
  <c r="M347"/>
  <c r="G350"/>
  <c r="M350" s="1"/>
  <c r="J356"/>
  <c r="M356" s="1"/>
  <c r="U356"/>
  <c r="X359"/>
  <c r="O361"/>
  <c r="X364"/>
  <c r="J365"/>
  <c r="M365" s="1"/>
  <c r="G370"/>
  <c r="U372"/>
  <c r="D374"/>
  <c r="R374"/>
  <c r="G376"/>
  <c r="R378"/>
  <c r="X379"/>
  <c r="K382"/>
  <c r="N382" s="1"/>
  <c r="U383"/>
  <c r="V385"/>
  <c r="U385" s="1"/>
  <c r="G387"/>
  <c r="X387" s="1"/>
  <c r="G393"/>
  <c r="G392" s="1"/>
  <c r="H394"/>
  <c r="D401"/>
  <c r="G124"/>
  <c r="G123" s="1"/>
  <c r="M150"/>
  <c r="O183"/>
  <c r="H196"/>
  <c r="N197"/>
  <c r="J198"/>
  <c r="M198" s="1"/>
  <c r="O212"/>
  <c r="I405"/>
  <c r="K234"/>
  <c r="J234" s="1"/>
  <c r="M246"/>
  <c r="G247"/>
  <c r="M247" s="1"/>
  <c r="J249"/>
  <c r="X250"/>
  <c r="L205"/>
  <c r="L407" s="1"/>
  <c r="M259"/>
  <c r="G277"/>
  <c r="M277" s="1"/>
  <c r="I289"/>
  <c r="O289" s="1"/>
  <c r="G306"/>
  <c r="M306" s="1"/>
  <c r="J329"/>
  <c r="M329" s="1"/>
  <c r="K317"/>
  <c r="K316" s="1"/>
  <c r="U338"/>
  <c r="K342"/>
  <c r="L351"/>
  <c r="O351" s="1"/>
  <c r="D382"/>
  <c r="L391"/>
  <c r="J21"/>
  <c r="M21" s="1"/>
  <c r="H24"/>
  <c r="X62"/>
  <c r="J70"/>
  <c r="M70" s="1"/>
  <c r="X71"/>
  <c r="D76"/>
  <c r="W75"/>
  <c r="W15" s="1"/>
  <c r="D78"/>
  <c r="G79"/>
  <c r="M79" s="1"/>
  <c r="O89"/>
  <c r="T97"/>
  <c r="N102"/>
  <c r="D16"/>
  <c r="R16"/>
  <c r="R29"/>
  <c r="R31"/>
  <c r="G35"/>
  <c r="M35" s="1"/>
  <c r="D36"/>
  <c r="I36"/>
  <c r="O36" s="1"/>
  <c r="U36"/>
  <c r="U41"/>
  <c r="U43"/>
  <c r="G48"/>
  <c r="X48" s="1"/>
  <c r="G49"/>
  <c r="X49" s="1"/>
  <c r="I50"/>
  <c r="O50" s="1"/>
  <c r="G55"/>
  <c r="M55" s="1"/>
  <c r="U58"/>
  <c r="X65"/>
  <c r="G66"/>
  <c r="M66" s="1"/>
  <c r="E75"/>
  <c r="E409" s="1"/>
  <c r="V75"/>
  <c r="V15" s="1"/>
  <c r="X79"/>
  <c r="D89"/>
  <c r="E92"/>
  <c r="U98"/>
  <c r="G104"/>
  <c r="F96"/>
  <c r="S123"/>
  <c r="R123" s="1"/>
  <c r="R129"/>
  <c r="G134"/>
  <c r="G146"/>
  <c r="G149"/>
  <c r="X149" s="1"/>
  <c r="G160"/>
  <c r="X160" s="1"/>
  <c r="H168"/>
  <c r="G175"/>
  <c r="G182"/>
  <c r="X182" s="1"/>
  <c r="O182"/>
  <c r="M188"/>
  <c r="U185"/>
  <c r="K204"/>
  <c r="K201" s="1"/>
  <c r="G213"/>
  <c r="G214"/>
  <c r="D216"/>
  <c r="E223"/>
  <c r="G224"/>
  <c r="G229"/>
  <c r="I230"/>
  <c r="O230" s="1"/>
  <c r="G239"/>
  <c r="M239" s="1"/>
  <c r="X240"/>
  <c r="I241"/>
  <c r="O241" s="1"/>
  <c r="N244"/>
  <c r="N249"/>
  <c r="H251"/>
  <c r="G252"/>
  <c r="G256"/>
  <c r="H260"/>
  <c r="N260" s="1"/>
  <c r="J264"/>
  <c r="D268"/>
  <c r="G271"/>
  <c r="M271" s="1"/>
  <c r="U270"/>
  <c r="U201" s="1"/>
  <c r="G278"/>
  <c r="X278" s="1"/>
  <c r="J284"/>
  <c r="M284" s="1"/>
  <c r="D287"/>
  <c r="G288"/>
  <c r="M288" s="1"/>
  <c r="G294"/>
  <c r="M294" s="1"/>
  <c r="J297"/>
  <c r="D300"/>
  <c r="U303"/>
  <c r="D318"/>
  <c r="J318"/>
  <c r="X323"/>
  <c r="M327"/>
  <c r="D335"/>
  <c r="R335"/>
  <c r="X336"/>
  <c r="F338"/>
  <c r="R342"/>
  <c r="M344"/>
  <c r="X347"/>
  <c r="D351"/>
  <c r="K351"/>
  <c r="N351" s="1"/>
  <c r="R351"/>
  <c r="K353"/>
  <c r="N353" s="1"/>
  <c r="R356"/>
  <c r="D361"/>
  <c r="R370"/>
  <c r="R376"/>
  <c r="X377"/>
  <c r="J378"/>
  <c r="M378" s="1"/>
  <c r="U378"/>
  <c r="G380"/>
  <c r="D383"/>
  <c r="R382"/>
  <c r="X384"/>
  <c r="F391"/>
  <c r="J394"/>
  <c r="J391" s="1"/>
  <c r="A26"/>
  <c r="A30"/>
  <c r="X45"/>
  <c r="I64"/>
  <c r="O64" s="1"/>
  <c r="O66"/>
  <c r="M77"/>
  <c r="X77"/>
  <c r="G33"/>
  <c r="X73"/>
  <c r="X20"/>
  <c r="X55"/>
  <c r="D58"/>
  <c r="I58"/>
  <c r="O58" s="1"/>
  <c r="G58"/>
  <c r="O85"/>
  <c r="X17"/>
  <c r="X52"/>
  <c r="N101"/>
  <c r="J101"/>
  <c r="N110"/>
  <c r="J110"/>
  <c r="M110" s="1"/>
  <c r="N129"/>
  <c r="M178"/>
  <c r="S15"/>
  <c r="J16"/>
  <c r="N16"/>
  <c r="O17"/>
  <c r="A20"/>
  <c r="A22" s="1"/>
  <c r="A23" s="1"/>
  <c r="J19"/>
  <c r="M19" s="1"/>
  <c r="H21"/>
  <c r="G21" s="1"/>
  <c r="X21" s="1"/>
  <c r="I42"/>
  <c r="H16"/>
  <c r="I24"/>
  <c r="F29"/>
  <c r="D29" s="1"/>
  <c r="J29"/>
  <c r="M29" s="1"/>
  <c r="J31"/>
  <c r="M31" s="1"/>
  <c r="D33"/>
  <c r="F50"/>
  <c r="J50"/>
  <c r="D56"/>
  <c r="J61"/>
  <c r="M61" s="1"/>
  <c r="D66"/>
  <c r="F75"/>
  <c r="L81"/>
  <c r="K82"/>
  <c r="S82"/>
  <c r="S81" s="1"/>
  <c r="R85"/>
  <c r="G86"/>
  <c r="M94"/>
  <c r="H97"/>
  <c r="V97"/>
  <c r="D98"/>
  <c r="N98"/>
  <c r="I99"/>
  <c r="R102"/>
  <c r="R101" s="1"/>
  <c r="F124"/>
  <c r="D124" s="1"/>
  <c r="G144"/>
  <c r="X145"/>
  <c r="G176"/>
  <c r="M176" s="1"/>
  <c r="M186"/>
  <c r="O196"/>
  <c r="M244"/>
  <c r="X252"/>
  <c r="I105"/>
  <c r="D105"/>
  <c r="H106"/>
  <c r="J107"/>
  <c r="K106"/>
  <c r="O238"/>
  <c r="G238"/>
  <c r="M238" s="1"/>
  <c r="I237"/>
  <c r="O237" s="1"/>
  <c r="N93"/>
  <c r="M405"/>
  <c r="G174"/>
  <c r="M174" s="1"/>
  <c r="H85"/>
  <c r="D85"/>
  <c r="E112"/>
  <c r="D116"/>
  <c r="I30"/>
  <c r="G30" s="1"/>
  <c r="H31"/>
  <c r="G31" s="1"/>
  <c r="J33"/>
  <c r="J36"/>
  <c r="J56"/>
  <c r="M56" s="1"/>
  <c r="D60"/>
  <c r="I60"/>
  <c r="O60" s="1"/>
  <c r="D61"/>
  <c r="L75"/>
  <c r="O75" s="1"/>
  <c r="J85"/>
  <c r="D94"/>
  <c r="J97"/>
  <c r="N99"/>
  <c r="J113"/>
  <c r="M113" s="1"/>
  <c r="D121"/>
  <c r="R128"/>
  <c r="G135"/>
  <c r="X135" s="1"/>
  <c r="H83"/>
  <c r="D83"/>
  <c r="G100"/>
  <c r="X100" s="1"/>
  <c r="S112"/>
  <c r="R116"/>
  <c r="U19"/>
  <c r="J24"/>
  <c r="D43"/>
  <c r="J47"/>
  <c r="M47" s="1"/>
  <c r="J58"/>
  <c r="D64"/>
  <c r="D70"/>
  <c r="K75"/>
  <c r="K409" s="1"/>
  <c r="J76"/>
  <c r="J78"/>
  <c r="M78" s="1"/>
  <c r="E81"/>
  <c r="J83"/>
  <c r="M83" s="1"/>
  <c r="G88"/>
  <c r="J89"/>
  <c r="N89"/>
  <c r="D95"/>
  <c r="J98"/>
  <c r="R110"/>
  <c r="G151"/>
  <c r="X151" s="1"/>
  <c r="M254"/>
  <c r="X259"/>
  <c r="N268"/>
  <c r="J268"/>
  <c r="M268" s="1"/>
  <c r="H297"/>
  <c r="G299"/>
  <c r="X299" s="1"/>
  <c r="H300"/>
  <c r="G302"/>
  <c r="X302" s="1"/>
  <c r="S315"/>
  <c r="A359"/>
  <c r="A360" s="1"/>
  <c r="A364" s="1"/>
  <c r="A365" s="1"/>
  <c r="A366" s="1"/>
  <c r="A357"/>
  <c r="M346"/>
  <c r="X346"/>
  <c r="V112"/>
  <c r="U112" s="1"/>
  <c r="H113"/>
  <c r="J116"/>
  <c r="D173"/>
  <c r="D174"/>
  <c r="D176"/>
  <c r="D177"/>
  <c r="E180"/>
  <c r="H181"/>
  <c r="L181"/>
  <c r="F183"/>
  <c r="J183"/>
  <c r="J197"/>
  <c r="J202"/>
  <c r="E405"/>
  <c r="H204"/>
  <c r="N204" s="1"/>
  <c r="L204"/>
  <c r="K407"/>
  <c r="J212"/>
  <c r="J213"/>
  <c r="E214"/>
  <c r="J217"/>
  <c r="M217" s="1"/>
  <c r="D222"/>
  <c r="J223"/>
  <c r="H234"/>
  <c r="D236"/>
  <c r="F237"/>
  <c r="J237"/>
  <c r="J240"/>
  <c r="M240" s="1"/>
  <c r="K241"/>
  <c r="J245"/>
  <c r="H248"/>
  <c r="L248"/>
  <c r="I260"/>
  <c r="G262"/>
  <c r="M262" s="1"/>
  <c r="I265"/>
  <c r="I202" s="1"/>
  <c r="H270"/>
  <c r="D273"/>
  <c r="J273"/>
  <c r="G275"/>
  <c r="M275" s="1"/>
  <c r="O277"/>
  <c r="G283"/>
  <c r="X283" s="1"/>
  <c r="N284"/>
  <c r="G291"/>
  <c r="R303"/>
  <c r="X307"/>
  <c r="G312"/>
  <c r="M312" s="1"/>
  <c r="N317"/>
  <c r="E404"/>
  <c r="D282"/>
  <c r="I282"/>
  <c r="G285"/>
  <c r="X285" s="1"/>
  <c r="I284"/>
  <c r="G295"/>
  <c r="M295" s="1"/>
  <c r="I293"/>
  <c r="G298"/>
  <c r="X298" s="1"/>
  <c r="I297"/>
  <c r="O297" s="1"/>
  <c r="O310"/>
  <c r="J310"/>
  <c r="M310" s="1"/>
  <c r="U341"/>
  <c r="O188"/>
  <c r="H405"/>
  <c r="L405"/>
  <c r="K406"/>
  <c r="N407"/>
  <c r="N239"/>
  <c r="N246"/>
  <c r="O258"/>
  <c r="N266"/>
  <c r="N290"/>
  <c r="L404"/>
  <c r="G274"/>
  <c r="X274" s="1"/>
  <c r="H273"/>
  <c r="N286"/>
  <c r="J286"/>
  <c r="G287"/>
  <c r="M287" s="1"/>
  <c r="I286"/>
  <c r="O286" s="1"/>
  <c r="G301"/>
  <c r="X301" s="1"/>
  <c r="I300"/>
  <c r="N303"/>
  <c r="J303"/>
  <c r="N316"/>
  <c r="X366"/>
  <c r="U168"/>
  <c r="G170"/>
  <c r="M170" s="1"/>
  <c r="F181"/>
  <c r="H183"/>
  <c r="G183" s="1"/>
  <c r="G184"/>
  <c r="M184" s="1"/>
  <c r="I185"/>
  <c r="O185" s="1"/>
  <c r="O186"/>
  <c r="K405"/>
  <c r="F204"/>
  <c r="E407"/>
  <c r="D207"/>
  <c r="I207"/>
  <c r="G208"/>
  <c r="H217"/>
  <c r="G217" s="1"/>
  <c r="X217" s="1"/>
  <c r="J220"/>
  <c r="H223"/>
  <c r="D225"/>
  <c r="H226"/>
  <c r="H237"/>
  <c r="N237" s="1"/>
  <c r="H245"/>
  <c r="J248"/>
  <c r="J250"/>
  <c r="M250" s="1"/>
  <c r="O250"/>
  <c r="N258"/>
  <c r="O271"/>
  <c r="D275"/>
  <c r="J276"/>
  <c r="J282"/>
  <c r="H289"/>
  <c r="M299"/>
  <c r="J289"/>
  <c r="N293"/>
  <c r="J293"/>
  <c r="G309"/>
  <c r="X309" s="1"/>
  <c r="H308"/>
  <c r="E390"/>
  <c r="E120"/>
  <c r="D133"/>
  <c r="D155"/>
  <c r="D159"/>
  <c r="L168"/>
  <c r="L128" s="1"/>
  <c r="J128" s="1"/>
  <c r="J177"/>
  <c r="S179"/>
  <c r="J196"/>
  <c r="F405"/>
  <c r="E406"/>
  <c r="J206"/>
  <c r="H230"/>
  <c r="D238"/>
  <c r="H241"/>
  <c r="J251"/>
  <c r="J254"/>
  <c r="H257"/>
  <c r="J260"/>
  <c r="I270"/>
  <c r="O270" s="1"/>
  <c r="N274"/>
  <c r="G281"/>
  <c r="O295"/>
  <c r="O298"/>
  <c r="X304"/>
  <c r="O305"/>
  <c r="L308"/>
  <c r="J309"/>
  <c r="H317"/>
  <c r="L317"/>
  <c r="T317"/>
  <c r="D322"/>
  <c r="J331"/>
  <c r="M331" s="1"/>
  <c r="N331"/>
  <c r="L338"/>
  <c r="I339"/>
  <c r="J340"/>
  <c r="M340" s="1"/>
  <c r="I342"/>
  <c r="J355"/>
  <c r="M355" s="1"/>
  <c r="O356"/>
  <c r="K358"/>
  <c r="N358" s="1"/>
  <c r="H361"/>
  <c r="G361" s="1"/>
  <c r="J364"/>
  <c r="M364" s="1"/>
  <c r="K369"/>
  <c r="J372"/>
  <c r="M372" s="1"/>
  <c r="O378"/>
  <c r="J380"/>
  <c r="M380" s="1"/>
  <c r="J383"/>
  <c r="M383" s="1"/>
  <c r="E385"/>
  <c r="I385"/>
  <c r="S385"/>
  <c r="R385" s="1"/>
  <c r="W385"/>
  <c r="J386"/>
  <c r="M386" s="1"/>
  <c r="T386"/>
  <c r="R387"/>
  <c r="J401"/>
  <c r="K404"/>
  <c r="D342"/>
  <c r="H342"/>
  <c r="G348"/>
  <c r="M348" s="1"/>
  <c r="I353"/>
  <c r="K361"/>
  <c r="E368"/>
  <c r="F369"/>
  <c r="T369"/>
  <c r="T368" s="1"/>
  <c r="T367" s="1"/>
  <c r="H382"/>
  <c r="G382" s="1"/>
  <c r="L382"/>
  <c r="O382" s="1"/>
  <c r="V382"/>
  <c r="U382" s="1"/>
  <c r="E386"/>
  <c r="I386"/>
  <c r="G386" s="1"/>
  <c r="H392"/>
  <c r="H391" s="1"/>
  <c r="H390" s="1"/>
  <c r="H389" s="1"/>
  <c r="X344"/>
  <c r="N346"/>
  <c r="N350"/>
  <c r="O354"/>
  <c r="X365"/>
  <c r="N366"/>
  <c r="V316"/>
  <c r="E317"/>
  <c r="I329"/>
  <c r="G329" s="1"/>
  <c r="X329" s="1"/>
  <c r="J333"/>
  <c r="M333" s="1"/>
  <c r="J335"/>
  <c r="M335" s="1"/>
  <c r="J339"/>
  <c r="J342"/>
  <c r="J352"/>
  <c r="M352" s="1"/>
  <c r="J359"/>
  <c r="M359" s="1"/>
  <c r="H369"/>
  <c r="L369"/>
  <c r="V369"/>
  <c r="J374"/>
  <c r="M374" s="1"/>
  <c r="L390"/>
  <c r="K391"/>
  <c r="O161" i="61"/>
  <c r="N161"/>
  <c r="J161"/>
  <c r="M161" s="1"/>
  <c r="H161"/>
  <c r="G161" s="1"/>
  <c r="D161"/>
  <c r="I158"/>
  <c r="F158"/>
  <c r="K195"/>
  <c r="L195"/>
  <c r="F195"/>
  <c r="I195"/>
  <c r="O188"/>
  <c r="N188"/>
  <c r="J188"/>
  <c r="M188" s="1"/>
  <c r="D188"/>
  <c r="K301"/>
  <c r="L301"/>
  <c r="F182"/>
  <c r="A146"/>
  <c r="F307"/>
  <c r="I307"/>
  <c r="F280"/>
  <c r="I280"/>
  <c r="I206"/>
  <c r="F206"/>
  <c r="L306"/>
  <c r="K349"/>
  <c r="L349"/>
  <c r="L336"/>
  <c r="I319"/>
  <c r="F319"/>
  <c r="H220" i="64" l="1"/>
  <c r="O213"/>
  <c r="O76"/>
  <c r="X81" i="65"/>
  <c r="T179" i="64"/>
  <c r="T127" s="1"/>
  <c r="X295"/>
  <c r="X258"/>
  <c r="G95"/>
  <c r="M95" s="1"/>
  <c r="M89"/>
  <c r="N282"/>
  <c r="M152"/>
  <c r="X290"/>
  <c r="M318"/>
  <c r="X331"/>
  <c r="M248"/>
  <c r="G226"/>
  <c r="X226" s="1"/>
  <c r="O248"/>
  <c r="H112"/>
  <c r="X25"/>
  <c r="G248"/>
  <c r="X248" s="1"/>
  <c r="X268"/>
  <c r="X318"/>
  <c r="G236"/>
  <c r="I209"/>
  <c r="O209" s="1"/>
  <c r="M163" i="65"/>
  <c r="M168"/>
  <c r="G300" i="64"/>
  <c r="X300" s="1"/>
  <c r="M394"/>
  <c r="X109"/>
  <c r="G43"/>
  <c r="H92"/>
  <c r="N92" s="1"/>
  <c r="M125" i="65"/>
  <c r="N410" i="69"/>
  <c r="J410"/>
  <c r="M410" s="1"/>
  <c r="A62"/>
  <c r="A63" s="1"/>
  <c r="A65" s="1"/>
  <c r="A66"/>
  <c r="R24" i="67"/>
  <c r="R92"/>
  <c r="R27"/>
  <c r="R22"/>
  <c r="R19"/>
  <c r="N18" i="65"/>
  <c r="M27"/>
  <c r="O15"/>
  <c r="G22"/>
  <c r="M22" s="1"/>
  <c r="O22"/>
  <c r="M96"/>
  <c r="X142"/>
  <c r="X44"/>
  <c r="M14"/>
  <c r="F12"/>
  <c r="D12" s="1"/>
  <c r="L12"/>
  <c r="M58"/>
  <c r="M148"/>
  <c r="M39"/>
  <c r="I13"/>
  <c r="O57"/>
  <c r="M92"/>
  <c r="J17"/>
  <c r="N59"/>
  <c r="M61"/>
  <c r="M106"/>
  <c r="J16"/>
  <c r="M60"/>
  <c r="M21"/>
  <c r="N15"/>
  <c r="K12"/>
  <c r="X144"/>
  <c r="G160"/>
  <c r="M160" s="1"/>
  <c r="H17"/>
  <c r="N17" s="1"/>
  <c r="X93"/>
  <c r="I18"/>
  <c r="O18" s="1"/>
  <c r="D18"/>
  <c r="J53"/>
  <c r="I53"/>
  <c r="O53" s="1"/>
  <c r="H53"/>
  <c r="N53" s="1"/>
  <c r="X64"/>
  <c r="G24"/>
  <c r="M24" s="1"/>
  <c r="X167"/>
  <c r="D16"/>
  <c r="G16"/>
  <c r="I16"/>
  <c r="O16" s="1"/>
  <c r="X22"/>
  <c r="X137"/>
  <c r="X128"/>
  <c r="X50"/>
  <c r="X28"/>
  <c r="G33"/>
  <c r="M33" s="1"/>
  <c r="I32"/>
  <c r="O32" s="1"/>
  <c r="D32"/>
  <c r="G42"/>
  <c r="M42" s="1"/>
  <c r="I38"/>
  <c r="O38" s="1"/>
  <c r="G23"/>
  <c r="M23" s="1"/>
  <c r="D160"/>
  <c r="G134"/>
  <c r="X134" s="1"/>
  <c r="X131"/>
  <c r="X27"/>
  <c r="X19"/>
  <c r="G57"/>
  <c r="G75"/>
  <c r="M75" s="1"/>
  <c r="G49"/>
  <c r="M49" s="1"/>
  <c r="G141"/>
  <c r="M141" s="1"/>
  <c r="G59"/>
  <c r="G15" s="1"/>
  <c r="M15" s="1"/>
  <c r="S160"/>
  <c r="R160" s="1"/>
  <c r="X60"/>
  <c r="M212" i="64"/>
  <c r="O98"/>
  <c r="G98"/>
  <c r="I102"/>
  <c r="G102" s="1"/>
  <c r="I96"/>
  <c r="G99"/>
  <c r="X99" s="1"/>
  <c r="I93"/>
  <c r="G87"/>
  <c r="X124"/>
  <c r="F316"/>
  <c r="D386"/>
  <c r="D214"/>
  <c r="D183"/>
  <c r="X183" s="1"/>
  <c r="X177"/>
  <c r="X70"/>
  <c r="X43"/>
  <c r="D75"/>
  <c r="X374"/>
  <c r="D220"/>
  <c r="D185"/>
  <c r="G284"/>
  <c r="X284" s="1"/>
  <c r="M354"/>
  <c r="N264"/>
  <c r="H120"/>
  <c r="G120" s="1"/>
  <c r="X186"/>
  <c r="M98"/>
  <c r="X137"/>
  <c r="D50"/>
  <c r="X30"/>
  <c r="X256"/>
  <c r="I234"/>
  <c r="G234" s="1"/>
  <c r="X234" s="1"/>
  <c r="R82"/>
  <c r="R81" s="1"/>
  <c r="M46"/>
  <c r="G47"/>
  <c r="X47" s="1"/>
  <c r="X54"/>
  <c r="G173"/>
  <c r="M173" s="1"/>
  <c r="X330"/>
  <c r="X249"/>
  <c r="G76"/>
  <c r="X76" s="1"/>
  <c r="J112"/>
  <c r="F368"/>
  <c r="D120"/>
  <c r="F180"/>
  <c r="X89"/>
  <c r="F81"/>
  <c r="D81" s="1"/>
  <c r="D286"/>
  <c r="I168"/>
  <c r="I409" s="1"/>
  <c r="O16"/>
  <c r="G251"/>
  <c r="X251" s="1"/>
  <c r="M249"/>
  <c r="X392"/>
  <c r="O197"/>
  <c r="X63"/>
  <c r="D24"/>
  <c r="M124"/>
  <c r="W80"/>
  <c r="G110"/>
  <c r="X110" s="1"/>
  <c r="D385"/>
  <c r="F406"/>
  <c r="D237"/>
  <c r="F123"/>
  <c r="D223"/>
  <c r="X78"/>
  <c r="I41"/>
  <c r="D205"/>
  <c r="X322"/>
  <c r="E201"/>
  <c r="G265"/>
  <c r="F390"/>
  <c r="D390" s="1"/>
  <c r="F337"/>
  <c r="G207"/>
  <c r="M207" s="1"/>
  <c r="X174"/>
  <c r="X98"/>
  <c r="X33"/>
  <c r="X383"/>
  <c r="X351"/>
  <c r="X335"/>
  <c r="D96"/>
  <c r="E15"/>
  <c r="X333"/>
  <c r="F130"/>
  <c r="D130" s="1"/>
  <c r="D308"/>
  <c r="F112"/>
  <c r="D112" s="1"/>
  <c r="I97"/>
  <c r="O97" s="1"/>
  <c r="J214"/>
  <c r="M214" s="1"/>
  <c r="X31"/>
  <c r="U75"/>
  <c r="M395"/>
  <c r="G245"/>
  <c r="X245" s="1"/>
  <c r="G223"/>
  <c r="G260"/>
  <c r="X260" s="1"/>
  <c r="G83"/>
  <c r="M33"/>
  <c r="O205"/>
  <c r="X188"/>
  <c r="X148"/>
  <c r="G118"/>
  <c r="M118" s="1"/>
  <c r="G24"/>
  <c r="G60"/>
  <c r="M60" s="1"/>
  <c r="M165"/>
  <c r="W14"/>
  <c r="W13" s="1"/>
  <c r="W12" s="1"/>
  <c r="X319"/>
  <c r="X269"/>
  <c r="G196"/>
  <c r="X196" s="1"/>
  <c r="O124"/>
  <c r="X376"/>
  <c r="X126"/>
  <c r="X59"/>
  <c r="G167"/>
  <c r="G197"/>
  <c r="M401"/>
  <c r="O95"/>
  <c r="H101"/>
  <c r="G385"/>
  <c r="X380"/>
  <c r="J385"/>
  <c r="M385" s="1"/>
  <c r="X378"/>
  <c r="K341"/>
  <c r="K337" s="1"/>
  <c r="N342"/>
  <c r="X350"/>
  <c r="M309"/>
  <c r="I107"/>
  <c r="O107" s="1"/>
  <c r="F106"/>
  <c r="I129"/>
  <c r="G129" s="1"/>
  <c r="G133"/>
  <c r="X133" s="1"/>
  <c r="M276"/>
  <c r="F131"/>
  <c r="J351"/>
  <c r="M351" s="1"/>
  <c r="X382"/>
  <c r="L341"/>
  <c r="X394"/>
  <c r="M177"/>
  <c r="X155"/>
  <c r="D391"/>
  <c r="X306"/>
  <c r="X277"/>
  <c r="X271"/>
  <c r="J204"/>
  <c r="F404"/>
  <c r="X176"/>
  <c r="M126"/>
  <c r="D41"/>
  <c r="H409"/>
  <c r="X401"/>
  <c r="U337"/>
  <c r="M305"/>
  <c r="M123"/>
  <c r="U82"/>
  <c r="U81" s="1"/>
  <c r="U128"/>
  <c r="O118"/>
  <c r="I116"/>
  <c r="I112" s="1"/>
  <c r="G159"/>
  <c r="M159" s="1"/>
  <c r="O159"/>
  <c r="F409"/>
  <c r="X395"/>
  <c r="O353"/>
  <c r="X361"/>
  <c r="J353"/>
  <c r="D168"/>
  <c r="X393"/>
  <c r="F128"/>
  <c r="G273"/>
  <c r="X173"/>
  <c r="M58"/>
  <c r="X56"/>
  <c r="X261"/>
  <c r="F407"/>
  <c r="D407" s="1"/>
  <c r="X294"/>
  <c r="X372"/>
  <c r="G276"/>
  <c r="L201"/>
  <c r="L402" s="1"/>
  <c r="J181"/>
  <c r="U179"/>
  <c r="V127"/>
  <c r="U127" s="1"/>
  <c r="O395"/>
  <c r="I394"/>
  <c r="N123"/>
  <c r="M283"/>
  <c r="J405"/>
  <c r="G405"/>
  <c r="G220"/>
  <c r="U180"/>
  <c r="N223"/>
  <c r="X66"/>
  <c r="G391"/>
  <c r="G390" s="1"/>
  <c r="G389" s="1"/>
  <c r="M251"/>
  <c r="G297"/>
  <c r="X297" s="1"/>
  <c r="X238"/>
  <c r="N297"/>
  <c r="X61"/>
  <c r="X184"/>
  <c r="M43"/>
  <c r="G64"/>
  <c r="M64" s="1"/>
  <c r="X247"/>
  <c r="X213"/>
  <c r="M182"/>
  <c r="D338"/>
  <c r="X288"/>
  <c r="G50"/>
  <c r="X50" s="1"/>
  <c r="N196"/>
  <c r="R97"/>
  <c r="T92"/>
  <c r="T80" s="1"/>
  <c r="T14" s="1"/>
  <c r="T13" s="1"/>
  <c r="T12" s="1"/>
  <c r="G241"/>
  <c r="X241" s="1"/>
  <c r="M280"/>
  <c r="M298"/>
  <c r="M223"/>
  <c r="D129"/>
  <c r="G254"/>
  <c r="X254" s="1"/>
  <c r="G36"/>
  <c r="X36" s="1"/>
  <c r="V368"/>
  <c r="U369"/>
  <c r="I338"/>
  <c r="G338" s="1"/>
  <c r="X338" s="1"/>
  <c r="G339"/>
  <c r="X339" s="1"/>
  <c r="E389"/>
  <c r="J390"/>
  <c r="R179"/>
  <c r="S127"/>
  <c r="R127" s="1"/>
  <c r="G270"/>
  <c r="N270"/>
  <c r="N241"/>
  <c r="J241"/>
  <c r="N409"/>
  <c r="L368"/>
  <c r="O369"/>
  <c r="D368"/>
  <c r="E367"/>
  <c r="H404"/>
  <c r="N404" s="1"/>
  <c r="G342"/>
  <c r="X342" s="1"/>
  <c r="H341"/>
  <c r="I341"/>
  <c r="O342"/>
  <c r="J338"/>
  <c r="H316"/>
  <c r="N230"/>
  <c r="G230"/>
  <c r="D406"/>
  <c r="D204"/>
  <c r="G308"/>
  <c r="X308" s="1"/>
  <c r="N308"/>
  <c r="I204"/>
  <c r="I406" s="1"/>
  <c r="O207"/>
  <c r="I206"/>
  <c r="H201"/>
  <c r="N201" s="1"/>
  <c r="K179"/>
  <c r="K127" s="1"/>
  <c r="M213"/>
  <c r="J205"/>
  <c r="E400"/>
  <c r="E179"/>
  <c r="D180"/>
  <c r="F101"/>
  <c r="O129"/>
  <c r="O105"/>
  <c r="G105"/>
  <c r="M105" s="1"/>
  <c r="I29"/>
  <c r="G29" s="1"/>
  <c r="X29" s="1"/>
  <c r="F15"/>
  <c r="R15"/>
  <c r="N128"/>
  <c r="J382"/>
  <c r="M382" s="1"/>
  <c r="X348"/>
  <c r="F201"/>
  <c r="I367"/>
  <c r="O339"/>
  <c r="R369"/>
  <c r="G237"/>
  <c r="M237" s="1"/>
  <c r="I317"/>
  <c r="I316" s="1"/>
  <c r="X287"/>
  <c r="G353"/>
  <c r="X353" s="1"/>
  <c r="M274"/>
  <c r="M245"/>
  <c r="J407"/>
  <c r="M183"/>
  <c r="N245"/>
  <c r="N183"/>
  <c r="M24"/>
  <c r="I180"/>
  <c r="O260"/>
  <c r="H407"/>
  <c r="X58"/>
  <c r="O24"/>
  <c r="L389"/>
  <c r="U316"/>
  <c r="V315"/>
  <c r="U315" s="1"/>
  <c r="L409"/>
  <c r="J168"/>
  <c r="M208"/>
  <c r="G205"/>
  <c r="X205" s="1"/>
  <c r="F400"/>
  <c r="G181"/>
  <c r="H180"/>
  <c r="N180" s="1"/>
  <c r="E80"/>
  <c r="R112"/>
  <c r="S92"/>
  <c r="O42"/>
  <c r="G42"/>
  <c r="D405"/>
  <c r="N220"/>
  <c r="G185"/>
  <c r="N234"/>
  <c r="N181"/>
  <c r="L15"/>
  <c r="L408" s="1"/>
  <c r="U15"/>
  <c r="R368"/>
  <c r="S367"/>
  <c r="R367" s="1"/>
  <c r="J404"/>
  <c r="K403"/>
  <c r="L316"/>
  <c r="J317"/>
  <c r="N257"/>
  <c r="G257"/>
  <c r="D317"/>
  <c r="E316"/>
  <c r="T316"/>
  <c r="R317"/>
  <c r="N289"/>
  <c r="G289"/>
  <c r="X289" s="1"/>
  <c r="O293"/>
  <c r="G293"/>
  <c r="O282"/>
  <c r="I279"/>
  <c r="G282"/>
  <c r="X282" s="1"/>
  <c r="I264"/>
  <c r="N209"/>
  <c r="H406"/>
  <c r="O181"/>
  <c r="L180"/>
  <c r="H128"/>
  <c r="F92"/>
  <c r="D93"/>
  <c r="N75"/>
  <c r="J75"/>
  <c r="M75" s="1"/>
  <c r="H82"/>
  <c r="N82" s="1"/>
  <c r="G85"/>
  <c r="M85" s="1"/>
  <c r="J106"/>
  <c r="N106"/>
  <c r="O99"/>
  <c r="X86"/>
  <c r="M86"/>
  <c r="L80"/>
  <c r="O81"/>
  <c r="H15"/>
  <c r="G16"/>
  <c r="X16" s="1"/>
  <c r="M260"/>
  <c r="D369"/>
  <c r="X273"/>
  <c r="N226"/>
  <c r="X208"/>
  <c r="G286"/>
  <c r="N273"/>
  <c r="D202"/>
  <c r="N97"/>
  <c r="K15"/>
  <c r="K408" s="1"/>
  <c r="J408" s="1"/>
  <c r="N391"/>
  <c r="K390"/>
  <c r="O308"/>
  <c r="J308"/>
  <c r="H368"/>
  <c r="G369"/>
  <c r="N361"/>
  <c r="J361"/>
  <c r="M361" s="1"/>
  <c r="K368"/>
  <c r="N369"/>
  <c r="J369"/>
  <c r="M369" s="1"/>
  <c r="L406"/>
  <c r="L403" s="1"/>
  <c r="N112"/>
  <c r="G113"/>
  <c r="V92"/>
  <c r="U97"/>
  <c r="K402"/>
  <c r="J82"/>
  <c r="K81"/>
  <c r="A32"/>
  <c r="A35"/>
  <c r="A37" s="1"/>
  <c r="A38" s="1"/>
  <c r="A39" s="1"/>
  <c r="A34"/>
  <c r="M339"/>
  <c r="X386"/>
  <c r="X275"/>
  <c r="M273"/>
  <c r="D181"/>
  <c r="M100"/>
  <c r="N248"/>
  <c r="X170"/>
  <c r="E402"/>
  <c r="N85"/>
  <c r="N95"/>
  <c r="N406" s="1"/>
  <c r="O82"/>
  <c r="G188" i="61"/>
  <c r="K356"/>
  <c r="L356"/>
  <c r="I55"/>
  <c r="K180"/>
  <c r="L180"/>
  <c r="I180"/>
  <c r="L247"/>
  <c r="K246"/>
  <c r="L246"/>
  <c r="L210"/>
  <c r="K309"/>
  <c r="H309"/>
  <c r="I272"/>
  <c r="L307"/>
  <c r="K352"/>
  <c r="L352"/>
  <c r="L337"/>
  <c r="I327"/>
  <c r="F327"/>
  <c r="L362"/>
  <c r="M76" i="64" l="1"/>
  <c r="X207"/>
  <c r="G409"/>
  <c r="M99"/>
  <c r="M196"/>
  <c r="X286"/>
  <c r="M226"/>
  <c r="M36"/>
  <c r="G209"/>
  <c r="X209" s="1"/>
  <c r="G107"/>
  <c r="M107" s="1"/>
  <c r="X64"/>
  <c r="X24"/>
  <c r="M134" i="65"/>
  <c r="A67" i="69"/>
  <c r="A71" s="1"/>
  <c r="A72" s="1"/>
  <c r="A73"/>
  <c r="A74" s="1"/>
  <c r="A86" s="1"/>
  <c r="A90" s="1"/>
  <c r="A98" s="1"/>
  <c r="A102" s="1"/>
  <c r="A107" s="1"/>
  <c r="A111" s="1"/>
  <c r="A113" s="1"/>
  <c r="A116" s="1"/>
  <c r="A120" s="1"/>
  <c r="A124" s="1"/>
  <c r="A132" s="1"/>
  <c r="A134" s="1"/>
  <c r="R16" i="67"/>
  <c r="R38"/>
  <c r="R18"/>
  <c r="R23"/>
  <c r="R13"/>
  <c r="J12" i="65"/>
  <c r="G13"/>
  <c r="M13" s="1"/>
  <c r="M57"/>
  <c r="M16"/>
  <c r="H12"/>
  <c r="M59"/>
  <c r="I12"/>
  <c r="O13"/>
  <c r="G17"/>
  <c r="M17" s="1"/>
  <c r="G18"/>
  <c r="M18" s="1"/>
  <c r="G53"/>
  <c r="M53" s="1"/>
  <c r="X24"/>
  <c r="X16"/>
  <c r="G38"/>
  <c r="M38" s="1"/>
  <c r="X23"/>
  <c r="G32"/>
  <c r="M32" s="1"/>
  <c r="X33"/>
  <c r="X42"/>
  <c r="X49"/>
  <c r="X141"/>
  <c r="X57"/>
  <c r="X59"/>
  <c r="X75"/>
  <c r="S12"/>
  <c r="R12" s="1"/>
  <c r="X118" i="64"/>
  <c r="G96"/>
  <c r="M96" s="1"/>
  <c r="I92"/>
  <c r="G92" s="1"/>
  <c r="G93"/>
  <c r="M93" s="1"/>
  <c r="G112"/>
  <c r="M112" s="1"/>
  <c r="X293"/>
  <c r="D15"/>
  <c r="D128"/>
  <c r="F315"/>
  <c r="X265"/>
  <c r="O41"/>
  <c r="G41"/>
  <c r="X214"/>
  <c r="F179"/>
  <c r="D179" s="1"/>
  <c r="X197"/>
  <c r="O234"/>
  <c r="H408"/>
  <c r="O168"/>
  <c r="D337"/>
  <c r="X75"/>
  <c r="I130"/>
  <c r="G130" s="1"/>
  <c r="M197"/>
  <c r="D409"/>
  <c r="D404"/>
  <c r="F389"/>
  <c r="D123"/>
  <c r="X237"/>
  <c r="X385"/>
  <c r="I128"/>
  <c r="M338"/>
  <c r="X276"/>
  <c r="X223"/>
  <c r="X60"/>
  <c r="G97"/>
  <c r="M167"/>
  <c r="X167"/>
  <c r="F367"/>
  <c r="E408"/>
  <c r="O409"/>
  <c r="G168"/>
  <c r="X168" s="1"/>
  <c r="X220"/>
  <c r="M234"/>
  <c r="X159"/>
  <c r="E14"/>
  <c r="J341"/>
  <c r="L337"/>
  <c r="L315" s="1"/>
  <c r="F403"/>
  <c r="I106"/>
  <c r="D106"/>
  <c r="D131"/>
  <c r="I131"/>
  <c r="G131" s="1"/>
  <c r="M342"/>
  <c r="M297"/>
  <c r="R92"/>
  <c r="E403"/>
  <c r="I15"/>
  <c r="S80"/>
  <c r="R80" s="1"/>
  <c r="M205"/>
  <c r="X107"/>
  <c r="O116"/>
  <c r="G116"/>
  <c r="O112"/>
  <c r="X181"/>
  <c r="O341"/>
  <c r="G406"/>
  <c r="X105"/>
  <c r="X129"/>
  <c r="O204"/>
  <c r="O406" s="1"/>
  <c r="M406" s="1"/>
  <c r="G204"/>
  <c r="M204" s="1"/>
  <c r="J201"/>
  <c r="M181"/>
  <c r="M220"/>
  <c r="M282"/>
  <c r="M293"/>
  <c r="O317"/>
  <c r="M16"/>
  <c r="O338"/>
  <c r="M241"/>
  <c r="M50"/>
  <c r="X369"/>
  <c r="D201"/>
  <c r="I337"/>
  <c r="I315" s="1"/>
  <c r="M391"/>
  <c r="X391"/>
  <c r="O394"/>
  <c r="I391"/>
  <c r="O102"/>
  <c r="J81"/>
  <c r="K80"/>
  <c r="K14" s="1"/>
  <c r="X113"/>
  <c r="K367"/>
  <c r="N368"/>
  <c r="J368"/>
  <c r="M368" s="1"/>
  <c r="G368"/>
  <c r="X368" s="1"/>
  <c r="H367"/>
  <c r="G367" s="1"/>
  <c r="H402"/>
  <c r="N402" s="1"/>
  <c r="L400"/>
  <c r="O180"/>
  <c r="L179"/>
  <c r="L127" s="1"/>
  <c r="I201"/>
  <c r="O201" s="1"/>
  <c r="O202"/>
  <c r="T315"/>
  <c r="R315" s="1"/>
  <c r="R316"/>
  <c r="J403"/>
  <c r="M185"/>
  <c r="X185"/>
  <c r="E127"/>
  <c r="G316"/>
  <c r="H403"/>
  <c r="N403" s="1"/>
  <c r="O368"/>
  <c r="L367"/>
  <c r="O367" s="1"/>
  <c r="I404"/>
  <c r="G404" s="1"/>
  <c r="A42"/>
  <c r="A40"/>
  <c r="U92"/>
  <c r="V80"/>
  <c r="N390"/>
  <c r="K389"/>
  <c r="N389" s="1"/>
  <c r="O93"/>
  <c r="G82"/>
  <c r="M82" s="1"/>
  <c r="H81"/>
  <c r="G128"/>
  <c r="M257"/>
  <c r="X257"/>
  <c r="O316"/>
  <c r="J316"/>
  <c r="L14"/>
  <c r="I400"/>
  <c r="M390"/>
  <c r="J389"/>
  <c r="M389" s="1"/>
  <c r="K315"/>
  <c r="M129"/>
  <c r="X85"/>
  <c r="M353"/>
  <c r="J406"/>
  <c r="K400"/>
  <c r="G317"/>
  <c r="X317" s="1"/>
  <c r="F408"/>
  <c r="G206"/>
  <c r="O206"/>
  <c r="G341"/>
  <c r="H337"/>
  <c r="X270"/>
  <c r="M270"/>
  <c r="X390"/>
  <c r="D389"/>
  <c r="J402"/>
  <c r="N15"/>
  <c r="J15"/>
  <c r="F402"/>
  <c r="F80"/>
  <c r="D92"/>
  <c r="G264"/>
  <c r="O264"/>
  <c r="O279"/>
  <c r="G279"/>
  <c r="D316"/>
  <c r="E315"/>
  <c r="M42"/>
  <c r="X42"/>
  <c r="G180"/>
  <c r="X180" s="1"/>
  <c r="H179"/>
  <c r="O128"/>
  <c r="O96"/>
  <c r="O407" s="1"/>
  <c r="M407" s="1"/>
  <c r="I407"/>
  <c r="G407" s="1"/>
  <c r="X407" s="1"/>
  <c r="I101"/>
  <c r="D101"/>
  <c r="X230"/>
  <c r="M230"/>
  <c r="U368"/>
  <c r="V367"/>
  <c r="U367" s="1"/>
  <c r="M308"/>
  <c r="M317"/>
  <c r="X96"/>
  <c r="M286"/>
  <c r="M289"/>
  <c r="D400"/>
  <c r="J180"/>
  <c r="G202"/>
  <c r="M202" s="1"/>
  <c r="J409"/>
  <c r="M409" s="1"/>
  <c r="N341"/>
  <c r="K231" i="61"/>
  <c r="K234"/>
  <c r="K305"/>
  <c r="L300"/>
  <c r="K300"/>
  <c r="I300"/>
  <c r="H300"/>
  <c r="K203"/>
  <c r="N203" s="1"/>
  <c r="L201"/>
  <c r="K201"/>
  <c r="L181"/>
  <c r="K181"/>
  <c r="I179"/>
  <c r="K166"/>
  <c r="L96"/>
  <c r="K96"/>
  <c r="L95"/>
  <c r="K95"/>
  <c r="L94"/>
  <c r="K94"/>
  <c r="L93"/>
  <c r="K93"/>
  <c r="L89"/>
  <c r="K89"/>
  <c r="I94"/>
  <c r="H94"/>
  <c r="N94" s="1"/>
  <c r="N402" s="1"/>
  <c r="C18" i="63"/>
  <c r="E201" i="61"/>
  <c r="D201" s="1"/>
  <c r="F223"/>
  <c r="E223"/>
  <c r="E227"/>
  <c r="E234"/>
  <c r="F238"/>
  <c r="E238"/>
  <c r="L257"/>
  <c r="K257"/>
  <c r="F257"/>
  <c r="E257"/>
  <c r="L261"/>
  <c r="K261"/>
  <c r="E261"/>
  <c r="E270"/>
  <c r="E294"/>
  <c r="O11" i="63"/>
  <c r="J19"/>
  <c r="H10"/>
  <c r="E9"/>
  <c r="C8"/>
  <c r="F15"/>
  <c r="E93" i="61"/>
  <c r="F96"/>
  <c r="L24"/>
  <c r="E96"/>
  <c r="F99"/>
  <c r="O240"/>
  <c r="N240"/>
  <c r="J239"/>
  <c r="E94"/>
  <c r="F94"/>
  <c r="J352"/>
  <c r="L341"/>
  <c r="O341" s="1"/>
  <c r="D346"/>
  <c r="K342"/>
  <c r="L342"/>
  <c r="O342" s="1"/>
  <c r="J336"/>
  <c r="F336"/>
  <c r="I336" s="1"/>
  <c r="K363"/>
  <c r="J363" s="1"/>
  <c r="K361"/>
  <c r="I71"/>
  <c r="I62"/>
  <c r="L120"/>
  <c r="L119" s="1"/>
  <c r="K120"/>
  <c r="K119" s="1"/>
  <c r="I120"/>
  <c r="I119" s="1"/>
  <c r="E120"/>
  <c r="E119" s="1"/>
  <c r="F120"/>
  <c r="F119" s="1"/>
  <c r="O121"/>
  <c r="N121"/>
  <c r="J121"/>
  <c r="H121"/>
  <c r="H120" s="1"/>
  <c r="D121"/>
  <c r="N26"/>
  <c r="J26"/>
  <c r="M26" s="1"/>
  <c r="O26"/>
  <c r="H26"/>
  <c r="G26" s="1"/>
  <c r="D26"/>
  <c r="K179"/>
  <c r="L179"/>
  <c r="F180"/>
  <c r="F165"/>
  <c r="I165" s="1"/>
  <c r="L286"/>
  <c r="K286"/>
  <c r="F286"/>
  <c r="E286"/>
  <c r="O289"/>
  <c r="N289"/>
  <c r="J289"/>
  <c r="M289" s="1"/>
  <c r="I289"/>
  <c r="H289"/>
  <c r="D289"/>
  <c r="K290"/>
  <c r="L175"/>
  <c r="J175" s="1"/>
  <c r="J285"/>
  <c r="J284"/>
  <c r="F284"/>
  <c r="F283" s="1"/>
  <c r="F174"/>
  <c r="I174" s="1"/>
  <c r="O174" s="1"/>
  <c r="L183"/>
  <c r="F184"/>
  <c r="F262"/>
  <c r="F261" s="1"/>
  <c r="J259"/>
  <c r="I259"/>
  <c r="O259" s="1"/>
  <c r="H259"/>
  <c r="N259" s="1"/>
  <c r="D259"/>
  <c r="J263"/>
  <c r="I263"/>
  <c r="O263" s="1"/>
  <c r="H263"/>
  <c r="D263"/>
  <c r="L254"/>
  <c r="F131"/>
  <c r="I131" s="1"/>
  <c r="L245"/>
  <c r="L237"/>
  <c r="J237" s="1"/>
  <c r="L231"/>
  <c r="J236"/>
  <c r="H236"/>
  <c r="N236" s="1"/>
  <c r="I236"/>
  <c r="L223"/>
  <c r="K223"/>
  <c r="J225"/>
  <c r="I225"/>
  <c r="H225"/>
  <c r="D225"/>
  <c r="L238"/>
  <c r="J240"/>
  <c r="M240" s="1"/>
  <c r="I240"/>
  <c r="H240"/>
  <c r="D240"/>
  <c r="L227"/>
  <c r="K227"/>
  <c r="F227"/>
  <c r="J229"/>
  <c r="I229"/>
  <c r="H229"/>
  <c r="D229"/>
  <c r="K242"/>
  <c r="L207"/>
  <c r="F308"/>
  <c r="D308" s="1"/>
  <c r="O308"/>
  <c r="N308"/>
  <c r="J308"/>
  <c r="G308"/>
  <c r="O164"/>
  <c r="N164"/>
  <c r="J164"/>
  <c r="H164"/>
  <c r="G164" s="1"/>
  <c r="D164"/>
  <c r="E309"/>
  <c r="E305" s="1"/>
  <c r="N163"/>
  <c r="J163"/>
  <c r="O163"/>
  <c r="H163"/>
  <c r="D163"/>
  <c r="F272"/>
  <c r="D272" s="1"/>
  <c r="L267"/>
  <c r="J278"/>
  <c r="M278" s="1"/>
  <c r="I278"/>
  <c r="O278"/>
  <c r="H278"/>
  <c r="D278"/>
  <c r="O307"/>
  <c r="O169"/>
  <c r="N169"/>
  <c r="J169"/>
  <c r="H169"/>
  <c r="G169" s="1"/>
  <c r="D169"/>
  <c r="F205"/>
  <c r="I205" s="1"/>
  <c r="L115"/>
  <c r="K115"/>
  <c r="E115"/>
  <c r="F115"/>
  <c r="O116"/>
  <c r="N116"/>
  <c r="J116"/>
  <c r="D116"/>
  <c r="L112"/>
  <c r="K112"/>
  <c r="N112" s="1"/>
  <c r="E112"/>
  <c r="F112"/>
  <c r="F111" s="1"/>
  <c r="O114"/>
  <c r="N114"/>
  <c r="J114"/>
  <c r="M114" s="1"/>
  <c r="G114"/>
  <c r="D114"/>
  <c r="O113"/>
  <c r="N113"/>
  <c r="J113"/>
  <c r="M113" s="1"/>
  <c r="I113"/>
  <c r="I112" s="1"/>
  <c r="H113"/>
  <c r="H112" s="1"/>
  <c r="H111" s="1"/>
  <c r="D113"/>
  <c r="F123"/>
  <c r="E123"/>
  <c r="O124"/>
  <c r="N124"/>
  <c r="J124"/>
  <c r="G124"/>
  <c r="D124"/>
  <c r="I309"/>
  <c r="N309"/>
  <c r="I393"/>
  <c r="H393"/>
  <c r="H392"/>
  <c r="I390"/>
  <c r="I389" s="1"/>
  <c r="H390"/>
  <c r="L389"/>
  <c r="O389" s="1"/>
  <c r="K389"/>
  <c r="I316"/>
  <c r="G316" s="1"/>
  <c r="G317"/>
  <c r="G318"/>
  <c r="G319"/>
  <c r="G320"/>
  <c r="G321"/>
  <c r="G322"/>
  <c r="G323"/>
  <c r="G324"/>
  <c r="G325"/>
  <c r="H343"/>
  <c r="I343"/>
  <c r="O343" s="1"/>
  <c r="H345"/>
  <c r="N345" s="1"/>
  <c r="I345"/>
  <c r="N346"/>
  <c r="G346"/>
  <c r="H347"/>
  <c r="N347" s="1"/>
  <c r="I351"/>
  <c r="I350" s="1"/>
  <c r="H363"/>
  <c r="H358" s="1"/>
  <c r="I306"/>
  <c r="O306" s="1"/>
  <c r="H306"/>
  <c r="H305" s="1"/>
  <c r="N305" s="1"/>
  <c r="I304"/>
  <c r="H304"/>
  <c r="I303"/>
  <c r="H303"/>
  <c r="I299"/>
  <c r="H299"/>
  <c r="I298"/>
  <c r="H298"/>
  <c r="I296"/>
  <c r="H296"/>
  <c r="N296" s="1"/>
  <c r="I295"/>
  <c r="O295" s="1"/>
  <c r="H295"/>
  <c r="I293"/>
  <c r="H293"/>
  <c r="I292"/>
  <c r="H292"/>
  <c r="N292" s="1"/>
  <c r="I291"/>
  <c r="H291"/>
  <c r="N291" s="1"/>
  <c r="I287"/>
  <c r="H287"/>
  <c r="N287" s="1"/>
  <c r="H284"/>
  <c r="H282"/>
  <c r="H281" s="1"/>
  <c r="O280"/>
  <c r="H280"/>
  <c r="I275"/>
  <c r="H275"/>
  <c r="I274"/>
  <c r="H274"/>
  <c r="N274" s="1"/>
  <c r="H272"/>
  <c r="G272" s="1"/>
  <c r="I271"/>
  <c r="I270" s="1"/>
  <c r="H271"/>
  <c r="N271" s="1"/>
  <c r="I268"/>
  <c r="H268"/>
  <c r="I266"/>
  <c r="I265" s="1"/>
  <c r="H266"/>
  <c r="H265" s="1"/>
  <c r="I264"/>
  <c r="H264"/>
  <c r="H262"/>
  <c r="I260"/>
  <c r="H260"/>
  <c r="I258"/>
  <c r="H258"/>
  <c r="I256"/>
  <c r="H256"/>
  <c r="I255"/>
  <c r="O255" s="1"/>
  <c r="H255"/>
  <c r="I253"/>
  <c r="H253"/>
  <c r="I252"/>
  <c r="H252"/>
  <c r="I250"/>
  <c r="O250" s="1"/>
  <c r="H250"/>
  <c r="I249"/>
  <c r="H249"/>
  <c r="I247"/>
  <c r="O247" s="1"/>
  <c r="H247"/>
  <c r="I246"/>
  <c r="O246" s="1"/>
  <c r="H246"/>
  <c r="N246" s="1"/>
  <c r="I244"/>
  <c r="H244"/>
  <c r="I243"/>
  <c r="H243"/>
  <c r="I241"/>
  <c r="O241" s="1"/>
  <c r="H241"/>
  <c r="N241" s="1"/>
  <c r="I239"/>
  <c r="H239"/>
  <c r="H237"/>
  <c r="H235"/>
  <c r="I232"/>
  <c r="H232"/>
  <c r="I230"/>
  <c r="H230"/>
  <c r="I228"/>
  <c r="H228"/>
  <c r="I226"/>
  <c r="H226"/>
  <c r="I224"/>
  <c r="H224"/>
  <c r="I221"/>
  <c r="H221"/>
  <c r="I218"/>
  <c r="H218"/>
  <c r="I216"/>
  <c r="H216"/>
  <c r="I215"/>
  <c r="H215"/>
  <c r="H210"/>
  <c r="H206"/>
  <c r="H205"/>
  <c r="N205" s="1"/>
  <c r="I194"/>
  <c r="H195"/>
  <c r="H194" s="1"/>
  <c r="N186"/>
  <c r="I181"/>
  <c r="H182"/>
  <c r="H181" s="1"/>
  <c r="H180"/>
  <c r="H179" s="1"/>
  <c r="I176"/>
  <c r="H176"/>
  <c r="H175"/>
  <c r="H174"/>
  <c r="H172"/>
  <c r="H171"/>
  <c r="H170"/>
  <c r="G170" s="1"/>
  <c r="I168"/>
  <c r="O168" s="1"/>
  <c r="H168"/>
  <c r="H165"/>
  <c r="I162"/>
  <c r="H162"/>
  <c r="H158"/>
  <c r="H157"/>
  <c r="I156"/>
  <c r="H156"/>
  <c r="I155"/>
  <c r="H155"/>
  <c r="I154"/>
  <c r="H154"/>
  <c r="H153"/>
  <c r="I151"/>
  <c r="H151"/>
  <c r="I150"/>
  <c r="O150" s="1"/>
  <c r="H150"/>
  <c r="I149"/>
  <c r="H149"/>
  <c r="I148"/>
  <c r="O148" s="1"/>
  <c r="H148"/>
  <c r="I147"/>
  <c r="H147"/>
  <c r="I146"/>
  <c r="H146"/>
  <c r="I143"/>
  <c r="H143"/>
  <c r="H140"/>
  <c r="G140" s="1"/>
  <c r="I138"/>
  <c r="H138"/>
  <c r="H137"/>
  <c r="G137" s="1"/>
  <c r="H136"/>
  <c r="H135"/>
  <c r="H134"/>
  <c r="I133"/>
  <c r="H133"/>
  <c r="H131"/>
  <c r="I130"/>
  <c r="H130"/>
  <c r="H125"/>
  <c r="H123" s="1"/>
  <c r="N123" s="1"/>
  <c r="I117"/>
  <c r="I115" s="1"/>
  <c r="I111" s="1"/>
  <c r="H117"/>
  <c r="H115" s="1"/>
  <c r="I110"/>
  <c r="H110"/>
  <c r="O108"/>
  <c r="H108"/>
  <c r="G108" s="1"/>
  <c r="I107"/>
  <c r="H107"/>
  <c r="I104"/>
  <c r="O104" s="1"/>
  <c r="H104"/>
  <c r="H100"/>
  <c r="G100" s="1"/>
  <c r="H99"/>
  <c r="I89"/>
  <c r="H89"/>
  <c r="I86"/>
  <c r="H86"/>
  <c r="N86" s="1"/>
  <c r="I79"/>
  <c r="H79"/>
  <c r="I77"/>
  <c r="O77" s="1"/>
  <c r="H77"/>
  <c r="I74"/>
  <c r="H74"/>
  <c r="I73"/>
  <c r="H73"/>
  <c r="I72"/>
  <c r="H72"/>
  <c r="H71"/>
  <c r="I69"/>
  <c r="H69"/>
  <c r="I68"/>
  <c r="H68"/>
  <c r="H67"/>
  <c r="H66"/>
  <c r="H65"/>
  <c r="I63"/>
  <c r="H63"/>
  <c r="H62"/>
  <c r="H59"/>
  <c r="H60"/>
  <c r="I57"/>
  <c r="O57" s="1"/>
  <c r="H57"/>
  <c r="H55"/>
  <c r="H54"/>
  <c r="G54" s="1"/>
  <c r="H53"/>
  <c r="G53" s="1"/>
  <c r="H52"/>
  <c r="G52" s="1"/>
  <c r="H51"/>
  <c r="I49"/>
  <c r="H49"/>
  <c r="I48"/>
  <c r="H48"/>
  <c r="I46"/>
  <c r="O46" s="1"/>
  <c r="H46"/>
  <c r="I45"/>
  <c r="O45" s="1"/>
  <c r="H45"/>
  <c r="H44"/>
  <c r="H42"/>
  <c r="I40"/>
  <c r="H40"/>
  <c r="I39"/>
  <c r="O39" s="1"/>
  <c r="H39"/>
  <c r="I38"/>
  <c r="O38" s="1"/>
  <c r="H38"/>
  <c r="I37"/>
  <c r="O37" s="1"/>
  <c r="H37"/>
  <c r="I35"/>
  <c r="O35" s="1"/>
  <c r="H35"/>
  <c r="H34"/>
  <c r="H32"/>
  <c r="H30"/>
  <c r="I28"/>
  <c r="H28"/>
  <c r="I27"/>
  <c r="H27"/>
  <c r="H25"/>
  <c r="I23"/>
  <c r="H23"/>
  <c r="I22"/>
  <c r="H22"/>
  <c r="I19"/>
  <c r="H20"/>
  <c r="H19" s="1"/>
  <c r="I18"/>
  <c r="H18"/>
  <c r="H17"/>
  <c r="N301"/>
  <c r="L217"/>
  <c r="K207"/>
  <c r="L204"/>
  <c r="K204"/>
  <c r="L297"/>
  <c r="O297" s="1"/>
  <c r="K297"/>
  <c r="N297" s="1"/>
  <c r="K294"/>
  <c r="L281"/>
  <c r="O281" s="1"/>
  <c r="K281"/>
  <c r="N281" s="1"/>
  <c r="L273"/>
  <c r="K273"/>
  <c r="L270"/>
  <c r="K270"/>
  <c r="L265"/>
  <c r="K265"/>
  <c r="N265" s="1"/>
  <c r="K254"/>
  <c r="L251"/>
  <c r="O251" s="1"/>
  <c r="K251"/>
  <c r="N251" s="1"/>
  <c r="L248"/>
  <c r="K248"/>
  <c r="N248" s="1"/>
  <c r="K245"/>
  <c r="K217"/>
  <c r="L214"/>
  <c r="O214" s="1"/>
  <c r="K214"/>
  <c r="N214" s="1"/>
  <c r="L211"/>
  <c r="K211"/>
  <c r="J205"/>
  <c r="J206"/>
  <c r="J209"/>
  <c r="J212"/>
  <c r="J213"/>
  <c r="J215"/>
  <c r="J216"/>
  <c r="J219"/>
  <c r="J221"/>
  <c r="L220"/>
  <c r="J224"/>
  <c r="J226"/>
  <c r="J228"/>
  <c r="J230"/>
  <c r="J232"/>
  <c r="J241"/>
  <c r="J246"/>
  <c r="J249"/>
  <c r="M249" s="1"/>
  <c r="J250"/>
  <c r="J252"/>
  <c r="M252" s="1"/>
  <c r="J253"/>
  <c r="M253" s="1"/>
  <c r="J256"/>
  <c r="J258"/>
  <c r="J260"/>
  <c r="M260" s="1"/>
  <c r="J262"/>
  <c r="M262" s="1"/>
  <c r="J264"/>
  <c r="M264" s="1"/>
  <c r="J266"/>
  <c r="M266" s="1"/>
  <c r="J269"/>
  <c r="M269" s="1"/>
  <c r="J271"/>
  <c r="J272"/>
  <c r="J274"/>
  <c r="J275"/>
  <c r="M275" s="1"/>
  <c r="J279"/>
  <c r="J280"/>
  <c r="J282"/>
  <c r="M282" s="1"/>
  <c r="J287"/>
  <c r="J288"/>
  <c r="M288" s="1"/>
  <c r="J292"/>
  <c r="J293"/>
  <c r="J296"/>
  <c r="J298"/>
  <c r="M298" s="1"/>
  <c r="J299"/>
  <c r="M299" s="1"/>
  <c r="O299"/>
  <c r="F186"/>
  <c r="J90"/>
  <c r="J337"/>
  <c r="K194"/>
  <c r="L194"/>
  <c r="O344"/>
  <c r="E339"/>
  <c r="N340"/>
  <c r="O340"/>
  <c r="D340"/>
  <c r="G340"/>
  <c r="J340"/>
  <c r="M340" s="1"/>
  <c r="L372" i="62"/>
  <c r="K372"/>
  <c r="F372"/>
  <c r="E372"/>
  <c r="X370"/>
  <c r="X369"/>
  <c r="X368"/>
  <c r="O367"/>
  <c r="N367"/>
  <c r="J367"/>
  <c r="G367"/>
  <c r="D367"/>
  <c r="A367"/>
  <c r="O366"/>
  <c r="N366"/>
  <c r="J366"/>
  <c r="G366"/>
  <c r="F366"/>
  <c r="L365"/>
  <c r="K365"/>
  <c r="K362" s="1"/>
  <c r="N362" s="1"/>
  <c r="I365"/>
  <c r="H365"/>
  <c r="H362"/>
  <c r="H361" s="1"/>
  <c r="H360" s="1"/>
  <c r="E365"/>
  <c r="E362" s="1"/>
  <c r="O364"/>
  <c r="N364"/>
  <c r="J364"/>
  <c r="M364" s="1"/>
  <c r="G364"/>
  <c r="D364"/>
  <c r="N363"/>
  <c r="L363"/>
  <c r="I363"/>
  <c r="G363" s="1"/>
  <c r="F363"/>
  <c r="E363"/>
  <c r="U359"/>
  <c r="R359"/>
  <c r="O359"/>
  <c r="N359"/>
  <c r="J359"/>
  <c r="M359" s="1"/>
  <c r="G359"/>
  <c r="D359"/>
  <c r="W358"/>
  <c r="V358"/>
  <c r="U358" s="1"/>
  <c r="T358"/>
  <c r="T357" s="1"/>
  <c r="S358"/>
  <c r="S357" s="1"/>
  <c r="R357" s="1"/>
  <c r="L358"/>
  <c r="K358"/>
  <c r="K357" s="1"/>
  <c r="N357" s="1"/>
  <c r="I358"/>
  <c r="H358"/>
  <c r="F358"/>
  <c r="F357" s="1"/>
  <c r="E358"/>
  <c r="E357" s="1"/>
  <c r="T356"/>
  <c r="U355"/>
  <c r="R355"/>
  <c r="O355"/>
  <c r="N355"/>
  <c r="J355"/>
  <c r="M355" s="1"/>
  <c r="G355"/>
  <c r="D355"/>
  <c r="W354"/>
  <c r="W353" s="1"/>
  <c r="V354"/>
  <c r="T354"/>
  <c r="S354"/>
  <c r="S353" s="1"/>
  <c r="L354"/>
  <c r="O354" s="1"/>
  <c r="K354"/>
  <c r="I354"/>
  <c r="I353" s="1"/>
  <c r="H354"/>
  <c r="H353" s="1"/>
  <c r="F354"/>
  <c r="E354"/>
  <c r="U352"/>
  <c r="R352"/>
  <c r="O352"/>
  <c r="N352"/>
  <c r="J352"/>
  <c r="M352" s="1"/>
  <c r="G352"/>
  <c r="D352"/>
  <c r="W351"/>
  <c r="V351"/>
  <c r="U351" s="1"/>
  <c r="T351"/>
  <c r="S351"/>
  <c r="L351"/>
  <c r="O351"/>
  <c r="K351"/>
  <c r="I351"/>
  <c r="H351"/>
  <c r="F351"/>
  <c r="E351"/>
  <c r="U350"/>
  <c r="R350"/>
  <c r="O350"/>
  <c r="N350"/>
  <c r="J350"/>
  <c r="M350" s="1"/>
  <c r="G350"/>
  <c r="D350"/>
  <c r="W349"/>
  <c r="V349"/>
  <c r="T349"/>
  <c r="S349"/>
  <c r="L349"/>
  <c r="O349" s="1"/>
  <c r="K349"/>
  <c r="I349"/>
  <c r="H349"/>
  <c r="G349" s="1"/>
  <c r="F349"/>
  <c r="E349"/>
  <c r="U348"/>
  <c r="R348"/>
  <c r="O348"/>
  <c r="N348"/>
  <c r="J348"/>
  <c r="M348"/>
  <c r="G348"/>
  <c r="D348"/>
  <c r="W347"/>
  <c r="V347"/>
  <c r="T347"/>
  <c r="S347"/>
  <c r="R347" s="1"/>
  <c r="L347"/>
  <c r="K347"/>
  <c r="N347" s="1"/>
  <c r="I347"/>
  <c r="H347"/>
  <c r="F347"/>
  <c r="E347"/>
  <c r="U346"/>
  <c r="R346"/>
  <c r="O346"/>
  <c r="N346"/>
  <c r="J346"/>
  <c r="M346" s="1"/>
  <c r="G346"/>
  <c r="D346"/>
  <c r="W345"/>
  <c r="V345"/>
  <c r="T345"/>
  <c r="S345"/>
  <c r="L345"/>
  <c r="O345" s="1"/>
  <c r="K345"/>
  <c r="I345"/>
  <c r="H345"/>
  <c r="F345"/>
  <c r="E345"/>
  <c r="U344"/>
  <c r="R344"/>
  <c r="O344"/>
  <c r="N344"/>
  <c r="J344"/>
  <c r="M344" s="1"/>
  <c r="G344"/>
  <c r="D344"/>
  <c r="A344"/>
  <c r="A346" s="1"/>
  <c r="A348" s="1"/>
  <c r="A350" s="1"/>
  <c r="A352" s="1"/>
  <c r="A355" s="1"/>
  <c r="A359" s="1"/>
  <c r="W343"/>
  <c r="V343"/>
  <c r="T343"/>
  <c r="S343"/>
  <c r="L343"/>
  <c r="O343" s="1"/>
  <c r="K343"/>
  <c r="I343"/>
  <c r="H343"/>
  <c r="F343"/>
  <c r="E343"/>
  <c r="U342"/>
  <c r="R342"/>
  <c r="O342"/>
  <c r="N342"/>
  <c r="J342"/>
  <c r="M342" s="1"/>
  <c r="G342"/>
  <c r="D342"/>
  <c r="W341"/>
  <c r="V341"/>
  <c r="T341"/>
  <c r="S341"/>
  <c r="L341"/>
  <c r="K341"/>
  <c r="N341" s="1"/>
  <c r="I341"/>
  <c r="H341"/>
  <c r="F341"/>
  <c r="E341"/>
  <c r="U337"/>
  <c r="R337"/>
  <c r="O337"/>
  <c r="N337"/>
  <c r="J337"/>
  <c r="M337" s="1"/>
  <c r="H337"/>
  <c r="D337"/>
  <c r="U336"/>
  <c r="R336"/>
  <c r="O336"/>
  <c r="N336"/>
  <c r="J336"/>
  <c r="G336"/>
  <c r="D336"/>
  <c r="U335"/>
  <c r="R335"/>
  <c r="O335"/>
  <c r="N335"/>
  <c r="J335"/>
  <c r="G335"/>
  <c r="D335"/>
  <c r="O334"/>
  <c r="N334"/>
  <c r="J334"/>
  <c r="M334" s="1"/>
  <c r="U333"/>
  <c r="R333"/>
  <c r="O333"/>
  <c r="N333"/>
  <c r="J333"/>
  <c r="M333" s="1"/>
  <c r="G333"/>
  <c r="D333"/>
  <c r="W332"/>
  <c r="V332"/>
  <c r="T332"/>
  <c r="S332"/>
  <c r="Q332"/>
  <c r="P332"/>
  <c r="L332"/>
  <c r="K332"/>
  <c r="I332"/>
  <c r="F332"/>
  <c r="E332"/>
  <c r="O331"/>
  <c r="N331"/>
  <c r="J331"/>
  <c r="M331" s="1"/>
  <c r="G331"/>
  <c r="D331"/>
  <c r="O330"/>
  <c r="N330"/>
  <c r="J330"/>
  <c r="M330" s="1"/>
  <c r="G330"/>
  <c r="D330"/>
  <c r="X329"/>
  <c r="M329"/>
  <c r="L329"/>
  <c r="O329" s="1"/>
  <c r="K329"/>
  <c r="N329" s="1"/>
  <c r="I329"/>
  <c r="H329"/>
  <c r="F329"/>
  <c r="E329"/>
  <c r="U328"/>
  <c r="R328"/>
  <c r="O328"/>
  <c r="N328"/>
  <c r="J328"/>
  <c r="M328" s="1"/>
  <c r="G328"/>
  <c r="D328"/>
  <c r="W327"/>
  <c r="V327"/>
  <c r="T327"/>
  <c r="S327"/>
  <c r="L327"/>
  <c r="O327" s="1"/>
  <c r="K327"/>
  <c r="I327"/>
  <c r="H327"/>
  <c r="F327"/>
  <c r="E327"/>
  <c r="U326"/>
  <c r="R326"/>
  <c r="O326"/>
  <c r="N326"/>
  <c r="J326"/>
  <c r="G326"/>
  <c r="D326"/>
  <c r="U325"/>
  <c r="R325"/>
  <c r="O325"/>
  <c r="N325"/>
  <c r="J325"/>
  <c r="M325" s="1"/>
  <c r="I325"/>
  <c r="I324" s="1"/>
  <c r="D325"/>
  <c r="W324"/>
  <c r="V324"/>
  <c r="T324"/>
  <c r="S324"/>
  <c r="Q324"/>
  <c r="P324"/>
  <c r="L324"/>
  <c r="K324"/>
  <c r="H324"/>
  <c r="F324"/>
  <c r="E324"/>
  <c r="D324" s="1"/>
  <c r="U323"/>
  <c r="R323"/>
  <c r="O323"/>
  <c r="N323"/>
  <c r="J323"/>
  <c r="G323"/>
  <c r="D323"/>
  <c r="W322"/>
  <c r="V322"/>
  <c r="T322"/>
  <c r="S322"/>
  <c r="L322"/>
  <c r="K322"/>
  <c r="I322"/>
  <c r="H322"/>
  <c r="F322"/>
  <c r="E322"/>
  <c r="U321"/>
  <c r="R321"/>
  <c r="O321"/>
  <c r="N321"/>
  <c r="J321"/>
  <c r="M321" s="1"/>
  <c r="I321"/>
  <c r="G321" s="1"/>
  <c r="F321"/>
  <c r="U320"/>
  <c r="R320"/>
  <c r="O320"/>
  <c r="N320"/>
  <c r="J320"/>
  <c r="G320"/>
  <c r="D320"/>
  <c r="U319"/>
  <c r="R319"/>
  <c r="L319"/>
  <c r="L314" s="1"/>
  <c r="K319"/>
  <c r="N319" s="1"/>
  <c r="G319"/>
  <c r="D319"/>
  <c r="U318"/>
  <c r="R318"/>
  <c r="N318"/>
  <c r="J318"/>
  <c r="I318"/>
  <c r="D318"/>
  <c r="U317"/>
  <c r="R317"/>
  <c r="O317"/>
  <c r="K317"/>
  <c r="G317"/>
  <c r="D317"/>
  <c r="U316"/>
  <c r="R316"/>
  <c r="N316"/>
  <c r="J316"/>
  <c r="I316"/>
  <c r="D316"/>
  <c r="U315"/>
  <c r="R315"/>
  <c r="N315"/>
  <c r="J315"/>
  <c r="I315"/>
  <c r="D315"/>
  <c r="A315"/>
  <c r="A316" s="1"/>
  <c r="A317" s="1"/>
  <c r="A318" s="1"/>
  <c r="A319" s="1"/>
  <c r="A320" s="1"/>
  <c r="A321" s="1"/>
  <c r="A323" s="1"/>
  <c r="A325" s="1"/>
  <c r="A326" s="1"/>
  <c r="A330" s="1"/>
  <c r="A331" s="1"/>
  <c r="A335" s="1"/>
  <c r="A336" s="1"/>
  <c r="A337" s="1"/>
  <c r="W314"/>
  <c r="V314"/>
  <c r="T314"/>
  <c r="S314"/>
  <c r="H314"/>
  <c r="E314"/>
  <c r="U312"/>
  <c r="R312"/>
  <c r="O312"/>
  <c r="N312"/>
  <c r="J312"/>
  <c r="G312"/>
  <c r="F312"/>
  <c r="D312" s="1"/>
  <c r="U311"/>
  <c r="R311"/>
  <c r="N311"/>
  <c r="J311"/>
  <c r="I311"/>
  <c r="O311" s="1"/>
  <c r="D311"/>
  <c r="W310"/>
  <c r="V310"/>
  <c r="T310"/>
  <c r="S310"/>
  <c r="Q310"/>
  <c r="Q309" s="1"/>
  <c r="P310"/>
  <c r="P309" s="1"/>
  <c r="L310"/>
  <c r="K310"/>
  <c r="H310"/>
  <c r="F310"/>
  <c r="E310"/>
  <c r="U308"/>
  <c r="R308"/>
  <c r="O308"/>
  <c r="N308"/>
  <c r="J308"/>
  <c r="M308" s="1"/>
  <c r="G308"/>
  <c r="D308"/>
  <c r="W307"/>
  <c r="V307"/>
  <c r="T307"/>
  <c r="S307"/>
  <c r="L307"/>
  <c r="O307" s="1"/>
  <c r="K307"/>
  <c r="I307"/>
  <c r="H307"/>
  <c r="F307"/>
  <c r="E307"/>
  <c r="O306"/>
  <c r="N306"/>
  <c r="J306"/>
  <c r="G306"/>
  <c r="D306"/>
  <c r="L305"/>
  <c r="K305"/>
  <c r="I305"/>
  <c r="H305"/>
  <c r="F305"/>
  <c r="E305"/>
  <c r="U304"/>
  <c r="R304"/>
  <c r="O304"/>
  <c r="N304"/>
  <c r="J304"/>
  <c r="M304" s="1"/>
  <c r="G304"/>
  <c r="D304"/>
  <c r="A304"/>
  <c r="W303"/>
  <c r="V303"/>
  <c r="T303"/>
  <c r="S303"/>
  <c r="L303"/>
  <c r="O303" s="1"/>
  <c r="K303"/>
  <c r="I303"/>
  <c r="H303"/>
  <c r="F303"/>
  <c r="E303"/>
  <c r="U302"/>
  <c r="R302"/>
  <c r="O302"/>
  <c r="N302"/>
  <c r="J302"/>
  <c r="M302" s="1"/>
  <c r="G302"/>
  <c r="D302"/>
  <c r="U301"/>
  <c r="R301"/>
  <c r="L301"/>
  <c r="O301" s="1"/>
  <c r="K301"/>
  <c r="I301"/>
  <c r="H301"/>
  <c r="F301"/>
  <c r="E301"/>
  <c r="O300"/>
  <c r="N300"/>
  <c r="J300"/>
  <c r="M300" s="1"/>
  <c r="I300"/>
  <c r="G300" s="1"/>
  <c r="D300"/>
  <c r="U299"/>
  <c r="R299"/>
  <c r="O299"/>
  <c r="N299"/>
  <c r="J299"/>
  <c r="M299" s="1"/>
  <c r="I299"/>
  <c r="G299" s="1"/>
  <c r="D299"/>
  <c r="U298"/>
  <c r="R298"/>
  <c r="O298"/>
  <c r="N298"/>
  <c r="J298"/>
  <c r="M298" s="1"/>
  <c r="I298"/>
  <c r="G298" s="1"/>
  <c r="D298"/>
  <c r="U297"/>
  <c r="R297"/>
  <c r="O297"/>
  <c r="N297"/>
  <c r="J297"/>
  <c r="M297" s="1"/>
  <c r="I297"/>
  <c r="G297" s="1"/>
  <c r="D297"/>
  <c r="U296"/>
  <c r="R296"/>
  <c r="O296"/>
  <c r="N296"/>
  <c r="J296"/>
  <c r="M296" s="1"/>
  <c r="I296"/>
  <c r="G296" s="1"/>
  <c r="D296"/>
  <c r="U295"/>
  <c r="R295"/>
  <c r="O295"/>
  <c r="N295"/>
  <c r="J295"/>
  <c r="M295" s="1"/>
  <c r="I295"/>
  <c r="G295" s="1"/>
  <c r="D295"/>
  <c r="U294"/>
  <c r="R294"/>
  <c r="O294"/>
  <c r="N294"/>
  <c r="J294"/>
  <c r="M294" s="1"/>
  <c r="I294"/>
  <c r="G294" s="1"/>
  <c r="D294"/>
  <c r="U293"/>
  <c r="R293"/>
  <c r="O293"/>
  <c r="N293"/>
  <c r="J293"/>
  <c r="M293" s="1"/>
  <c r="I293"/>
  <c r="G293" s="1"/>
  <c r="D293"/>
  <c r="U292"/>
  <c r="R292"/>
  <c r="O292"/>
  <c r="N292"/>
  <c r="J292"/>
  <c r="M292" s="1"/>
  <c r="I292"/>
  <c r="G292" s="1"/>
  <c r="D292"/>
  <c r="A292"/>
  <c r="A293" s="1"/>
  <c r="A294" s="1"/>
  <c r="A295" s="1"/>
  <c r="A296" s="1"/>
  <c r="A297" s="1"/>
  <c r="A298" s="1"/>
  <c r="A299" s="1"/>
  <c r="U291"/>
  <c r="R291"/>
  <c r="O291"/>
  <c r="N291"/>
  <c r="J291"/>
  <c r="M291" s="1"/>
  <c r="F291"/>
  <c r="D291" s="1"/>
  <c r="W290"/>
  <c r="V290"/>
  <c r="T290"/>
  <c r="S290"/>
  <c r="Q290"/>
  <c r="Q289" s="1"/>
  <c r="P290"/>
  <c r="P289" s="1"/>
  <c r="L290"/>
  <c r="K290"/>
  <c r="H290"/>
  <c r="E290"/>
  <c r="U286"/>
  <c r="R286"/>
  <c r="O286"/>
  <c r="N286"/>
  <c r="J286"/>
  <c r="M286" s="1"/>
  <c r="G286"/>
  <c r="D286"/>
  <c r="U285"/>
  <c r="R285"/>
  <c r="O285"/>
  <c r="N285"/>
  <c r="J285"/>
  <c r="M285" s="1"/>
  <c r="G285"/>
  <c r="D285"/>
  <c r="U284"/>
  <c r="R284"/>
  <c r="O284"/>
  <c r="N284"/>
  <c r="J284"/>
  <c r="M284" s="1"/>
  <c r="G284"/>
  <c r="D284"/>
  <c r="U283"/>
  <c r="R283"/>
  <c r="O283"/>
  <c r="N283"/>
  <c r="J283"/>
  <c r="G283"/>
  <c r="D283"/>
  <c r="U282"/>
  <c r="R282"/>
  <c r="O282"/>
  <c r="N282"/>
  <c r="J282"/>
  <c r="G282"/>
  <c r="D282"/>
  <c r="W281"/>
  <c r="V281"/>
  <c r="T281"/>
  <c r="S281"/>
  <c r="L281"/>
  <c r="K281"/>
  <c r="N281" s="1"/>
  <c r="I281"/>
  <c r="H281"/>
  <c r="F281"/>
  <c r="E281"/>
  <c r="U280"/>
  <c r="R280"/>
  <c r="O280"/>
  <c r="N280"/>
  <c r="J280"/>
  <c r="M280" s="1"/>
  <c r="I280"/>
  <c r="D280"/>
  <c r="U279"/>
  <c r="R279"/>
  <c r="O279"/>
  <c r="N279"/>
  <c r="J279"/>
  <c r="M279" s="1"/>
  <c r="I279"/>
  <c r="G279" s="1"/>
  <c r="D279"/>
  <c r="A279"/>
  <c r="A280" s="1"/>
  <c r="W278"/>
  <c r="V278"/>
  <c r="U278" s="1"/>
  <c r="T278"/>
  <c r="S278"/>
  <c r="R278" s="1"/>
  <c r="L278"/>
  <c r="O278" s="1"/>
  <c r="K278"/>
  <c r="H278"/>
  <c r="F278"/>
  <c r="E278"/>
  <c r="U277"/>
  <c r="R277"/>
  <c r="O277"/>
  <c r="N277"/>
  <c r="J277"/>
  <c r="G277"/>
  <c r="D277"/>
  <c r="W276"/>
  <c r="V276"/>
  <c r="T276"/>
  <c r="S276"/>
  <c r="L276"/>
  <c r="K276"/>
  <c r="N276" s="1"/>
  <c r="I276"/>
  <c r="H276"/>
  <c r="F276"/>
  <c r="E276"/>
  <c r="U275"/>
  <c r="R275"/>
  <c r="O275"/>
  <c r="N275"/>
  <c r="J275"/>
  <c r="M275" s="1"/>
  <c r="I275"/>
  <c r="H275"/>
  <c r="D275"/>
  <c r="O274"/>
  <c r="N274"/>
  <c r="J274"/>
  <c r="M274" s="1"/>
  <c r="I274"/>
  <c r="H274"/>
  <c r="D274"/>
  <c r="U273"/>
  <c r="R273"/>
  <c r="L273"/>
  <c r="O273" s="1"/>
  <c r="K273"/>
  <c r="F273"/>
  <c r="E273"/>
  <c r="U272"/>
  <c r="R272"/>
  <c r="J272"/>
  <c r="I272"/>
  <c r="O272" s="1"/>
  <c r="H272"/>
  <c r="N272" s="1"/>
  <c r="D272"/>
  <c r="J271"/>
  <c r="I271"/>
  <c r="O271" s="1"/>
  <c r="H271"/>
  <c r="D271"/>
  <c r="U270"/>
  <c r="R270"/>
  <c r="O270"/>
  <c r="N270"/>
  <c r="J270"/>
  <c r="M270" s="1"/>
  <c r="I270"/>
  <c r="H270"/>
  <c r="G270" s="1"/>
  <c r="D270"/>
  <c r="U269"/>
  <c r="R269"/>
  <c r="L269"/>
  <c r="K269"/>
  <c r="F269"/>
  <c r="E269"/>
  <c r="O268"/>
  <c r="N268"/>
  <c r="J268"/>
  <c r="M268" s="1"/>
  <c r="I268"/>
  <c r="H268"/>
  <c r="D268"/>
  <c r="U267"/>
  <c r="R267"/>
  <c r="J267"/>
  <c r="I267"/>
  <c r="O267" s="1"/>
  <c r="H267"/>
  <c r="N267" s="1"/>
  <c r="D267"/>
  <c r="J266"/>
  <c r="I266"/>
  <c r="H266"/>
  <c r="N266" s="1"/>
  <c r="D266"/>
  <c r="U265"/>
  <c r="R265"/>
  <c r="L265"/>
  <c r="K265"/>
  <c r="F265"/>
  <c r="E265"/>
  <c r="U264"/>
  <c r="R264"/>
  <c r="O264"/>
  <c r="N264"/>
  <c r="J264"/>
  <c r="M264" s="1"/>
  <c r="I264"/>
  <c r="H264"/>
  <c r="D264"/>
  <c r="U263"/>
  <c r="R263"/>
  <c r="O263"/>
  <c r="N263"/>
  <c r="J263"/>
  <c r="M263" s="1"/>
  <c r="I263"/>
  <c r="I262" s="1"/>
  <c r="H263"/>
  <c r="D263"/>
  <c r="U262"/>
  <c r="R262"/>
  <c r="L262"/>
  <c r="O262" s="1"/>
  <c r="K262"/>
  <c r="F262"/>
  <c r="E262"/>
  <c r="U261"/>
  <c r="R261"/>
  <c r="J261"/>
  <c r="I261"/>
  <c r="O261" s="1"/>
  <c r="H261"/>
  <c r="N261" s="1"/>
  <c r="D261"/>
  <c r="U260"/>
  <c r="R260"/>
  <c r="J260"/>
  <c r="I260"/>
  <c r="O260" s="1"/>
  <c r="H260"/>
  <c r="D260"/>
  <c r="U259"/>
  <c r="R259"/>
  <c r="L259"/>
  <c r="K259"/>
  <c r="F259"/>
  <c r="E259"/>
  <c r="U258"/>
  <c r="R258"/>
  <c r="O258"/>
  <c r="N258"/>
  <c r="J258"/>
  <c r="M258" s="1"/>
  <c r="H258"/>
  <c r="H257" s="1"/>
  <c r="F258"/>
  <c r="D258" s="1"/>
  <c r="U257"/>
  <c r="R257"/>
  <c r="L257"/>
  <c r="O257" s="1"/>
  <c r="K257"/>
  <c r="N257" s="1"/>
  <c r="E257"/>
  <c r="U256"/>
  <c r="R256"/>
  <c r="N256"/>
  <c r="J256"/>
  <c r="I256"/>
  <c r="H256"/>
  <c r="D256"/>
  <c r="U255"/>
  <c r="R255"/>
  <c r="O255"/>
  <c r="N255"/>
  <c r="J255"/>
  <c r="M255" s="1"/>
  <c r="F255"/>
  <c r="E255"/>
  <c r="U254"/>
  <c r="R254"/>
  <c r="J254"/>
  <c r="I254"/>
  <c r="O254" s="1"/>
  <c r="H254"/>
  <c r="D254"/>
  <c r="U253"/>
  <c r="R253"/>
  <c r="L253"/>
  <c r="K253"/>
  <c r="U252"/>
  <c r="R252"/>
  <c r="O252"/>
  <c r="N252"/>
  <c r="J252"/>
  <c r="M252" s="1"/>
  <c r="I252"/>
  <c r="H252"/>
  <c r="D252"/>
  <c r="U251"/>
  <c r="R251"/>
  <c r="O251"/>
  <c r="N251"/>
  <c r="J251"/>
  <c r="M251" s="1"/>
  <c r="I251"/>
  <c r="H251"/>
  <c r="D251"/>
  <c r="U250"/>
  <c r="R250"/>
  <c r="L250"/>
  <c r="O250" s="1"/>
  <c r="K250"/>
  <c r="F250"/>
  <c r="E250"/>
  <c r="U249"/>
  <c r="R249"/>
  <c r="O249"/>
  <c r="N249"/>
  <c r="J249"/>
  <c r="M249"/>
  <c r="I249"/>
  <c r="I247"/>
  <c r="H249"/>
  <c r="D249"/>
  <c r="U248"/>
  <c r="R248"/>
  <c r="O248"/>
  <c r="N248"/>
  <c r="J248"/>
  <c r="M248"/>
  <c r="I248"/>
  <c r="H248"/>
  <c r="D248"/>
  <c r="U247"/>
  <c r="R247"/>
  <c r="L247"/>
  <c r="O247" s="1"/>
  <c r="K247"/>
  <c r="N247" s="1"/>
  <c r="F247"/>
  <c r="E247"/>
  <c r="U246"/>
  <c r="R246"/>
  <c r="O246"/>
  <c r="N246"/>
  <c r="J246"/>
  <c r="M246" s="1"/>
  <c r="I246"/>
  <c r="H246"/>
  <c r="D246"/>
  <c r="U245"/>
  <c r="U244" s="1"/>
  <c r="R245"/>
  <c r="R244" s="1"/>
  <c r="O245"/>
  <c r="N245"/>
  <c r="J245"/>
  <c r="M245" s="1"/>
  <c r="I245"/>
  <c r="I244" s="1"/>
  <c r="H245"/>
  <c r="D245"/>
  <c r="W244"/>
  <c r="W183" s="1"/>
  <c r="V244"/>
  <c r="V183" s="1"/>
  <c r="T244"/>
  <c r="S244"/>
  <c r="Q244"/>
  <c r="Q183" s="1"/>
  <c r="P244"/>
  <c r="P183" s="1"/>
  <c r="L244"/>
  <c r="O244" s="1"/>
  <c r="K244"/>
  <c r="F244"/>
  <c r="E244"/>
  <c r="U243"/>
  <c r="R243"/>
  <c r="O243"/>
  <c r="N243"/>
  <c r="J243"/>
  <c r="M243" s="1"/>
  <c r="I243"/>
  <c r="I242" s="1"/>
  <c r="H243"/>
  <c r="H242" s="1"/>
  <c r="D243"/>
  <c r="U242"/>
  <c r="R242"/>
  <c r="L242"/>
  <c r="O242" s="1"/>
  <c r="K242"/>
  <c r="F242"/>
  <c r="E242"/>
  <c r="O241"/>
  <c r="N241"/>
  <c r="J241"/>
  <c r="M241" s="1"/>
  <c r="I241"/>
  <c r="H241"/>
  <c r="D241"/>
  <c r="O240"/>
  <c r="N240"/>
  <c r="J240"/>
  <c r="M240" s="1"/>
  <c r="I240"/>
  <c r="H240"/>
  <c r="D240"/>
  <c r="U239"/>
  <c r="R239"/>
  <c r="L239"/>
  <c r="O239" s="1"/>
  <c r="K239"/>
  <c r="N239" s="1"/>
  <c r="F239"/>
  <c r="E239"/>
  <c r="O238"/>
  <c r="N238"/>
  <c r="J238"/>
  <c r="M238" s="1"/>
  <c r="I238"/>
  <c r="H238"/>
  <c r="D238"/>
  <c r="O237"/>
  <c r="N237"/>
  <c r="J237"/>
  <c r="M237" s="1"/>
  <c r="I237"/>
  <c r="H237"/>
  <c r="D237"/>
  <c r="U236"/>
  <c r="R236"/>
  <c r="L236"/>
  <c r="K236"/>
  <c r="N236" s="1"/>
  <c r="F236"/>
  <c r="E236"/>
  <c r="D236" s="1"/>
  <c r="O235"/>
  <c r="N235"/>
  <c r="J235"/>
  <c r="M235" s="1"/>
  <c r="I235"/>
  <c r="H235"/>
  <c r="D235"/>
  <c r="J234"/>
  <c r="I234"/>
  <c r="O234" s="1"/>
  <c r="H234"/>
  <c r="D234"/>
  <c r="U233"/>
  <c r="R233"/>
  <c r="L233"/>
  <c r="K233"/>
  <c r="F233"/>
  <c r="E233"/>
  <c r="A233"/>
  <c r="A236" s="1"/>
  <c r="A239" s="1"/>
  <c r="A242" s="1"/>
  <c r="A244" s="1"/>
  <c r="A247" s="1"/>
  <c r="A250" s="1"/>
  <c r="A253" s="1"/>
  <c r="A257" s="1"/>
  <c r="A259" s="1"/>
  <c r="A262" s="1"/>
  <c r="A265" s="1"/>
  <c r="A269" s="1"/>
  <c r="A273" s="1"/>
  <c r="A277" s="1"/>
  <c r="A282" s="1"/>
  <c r="A283" s="1"/>
  <c r="A284" s="1"/>
  <c r="O232"/>
  <c r="N232"/>
  <c r="J232"/>
  <c r="M232" s="1"/>
  <c r="I232"/>
  <c r="H232"/>
  <c r="D232"/>
  <c r="O231"/>
  <c r="N231"/>
  <c r="J231"/>
  <c r="M231" s="1"/>
  <c r="I231"/>
  <c r="H231"/>
  <c r="D231"/>
  <c r="U230"/>
  <c r="R230"/>
  <c r="L230"/>
  <c r="O230" s="1"/>
  <c r="K230"/>
  <c r="N230" s="1"/>
  <c r="F230"/>
  <c r="E230"/>
  <c r="N229"/>
  <c r="J229"/>
  <c r="I229"/>
  <c r="H229"/>
  <c r="D229"/>
  <c r="O228"/>
  <c r="N228"/>
  <c r="J228"/>
  <c r="M228" s="1"/>
  <c r="I228"/>
  <c r="H228"/>
  <c r="D228"/>
  <c r="L227"/>
  <c r="K227"/>
  <c r="F227"/>
  <c r="E227"/>
  <c r="U226"/>
  <c r="R226"/>
  <c r="N226"/>
  <c r="J226"/>
  <c r="I226"/>
  <c r="H226"/>
  <c r="D226"/>
  <c r="O225"/>
  <c r="N225"/>
  <c r="J225"/>
  <c r="M225" s="1"/>
  <c r="I225"/>
  <c r="H225"/>
  <c r="D225"/>
  <c r="U224"/>
  <c r="R224"/>
  <c r="L224"/>
  <c r="K224"/>
  <c r="N224" s="1"/>
  <c r="F224"/>
  <c r="E224"/>
  <c r="O223"/>
  <c r="N223"/>
  <c r="J223"/>
  <c r="M223" s="1"/>
  <c r="I223"/>
  <c r="H223"/>
  <c r="D223"/>
  <c r="J222"/>
  <c r="I222"/>
  <c r="O222" s="1"/>
  <c r="H222"/>
  <c r="N222" s="1"/>
  <c r="D222"/>
  <c r="U221"/>
  <c r="R221"/>
  <c r="L221"/>
  <c r="K221"/>
  <c r="F221"/>
  <c r="E221"/>
  <c r="J220"/>
  <c r="I220"/>
  <c r="H220"/>
  <c r="D220"/>
  <c r="J219"/>
  <c r="I219"/>
  <c r="H219"/>
  <c r="D219"/>
  <c r="U218"/>
  <c r="R218"/>
  <c r="L218"/>
  <c r="K218"/>
  <c r="F218"/>
  <c r="I218" s="1"/>
  <c r="E218"/>
  <c r="U217"/>
  <c r="R217"/>
  <c r="O217"/>
  <c r="N217"/>
  <c r="J217"/>
  <c r="M217" s="1"/>
  <c r="H217"/>
  <c r="F217"/>
  <c r="U216"/>
  <c r="R216"/>
  <c r="J216"/>
  <c r="H216"/>
  <c r="N216" s="1"/>
  <c r="F216"/>
  <c r="U215"/>
  <c r="R215"/>
  <c r="L215"/>
  <c r="K215"/>
  <c r="E215"/>
  <c r="J214"/>
  <c r="F214"/>
  <c r="I214" s="1"/>
  <c r="E214"/>
  <c r="E212" s="1"/>
  <c r="J213"/>
  <c r="I213"/>
  <c r="H213"/>
  <c r="D213"/>
  <c r="U212"/>
  <c r="R212"/>
  <c r="L212"/>
  <c r="K212"/>
  <c r="J211"/>
  <c r="I211"/>
  <c r="H211"/>
  <c r="D211"/>
  <c r="J210"/>
  <c r="I210"/>
  <c r="H210"/>
  <c r="D210"/>
  <c r="U209"/>
  <c r="R209"/>
  <c r="L209"/>
  <c r="K209"/>
  <c r="N209" s="1"/>
  <c r="F209"/>
  <c r="E209"/>
  <c r="J208"/>
  <c r="I208"/>
  <c r="H208"/>
  <c r="D208"/>
  <c r="J207"/>
  <c r="I207"/>
  <c r="H207"/>
  <c r="D207"/>
  <c r="U206"/>
  <c r="R206"/>
  <c r="L206"/>
  <c r="K206"/>
  <c r="F206"/>
  <c r="I206" s="1"/>
  <c r="E206"/>
  <c r="J205"/>
  <c r="F205"/>
  <c r="E205"/>
  <c r="H205" s="1"/>
  <c r="J204"/>
  <c r="I204"/>
  <c r="H204"/>
  <c r="D204"/>
  <c r="U203"/>
  <c r="R203"/>
  <c r="L203"/>
  <c r="O203" s="1"/>
  <c r="K203"/>
  <c r="J202"/>
  <c r="F202"/>
  <c r="I202" s="1"/>
  <c r="E202"/>
  <c r="H202" s="1"/>
  <c r="J201"/>
  <c r="I201"/>
  <c r="H201"/>
  <c r="D201"/>
  <c r="U200"/>
  <c r="R200"/>
  <c r="L200"/>
  <c r="K200"/>
  <c r="J199"/>
  <c r="I199"/>
  <c r="H199"/>
  <c r="D199"/>
  <c r="J198"/>
  <c r="I198"/>
  <c r="H198"/>
  <c r="D198"/>
  <c r="U197"/>
  <c r="R197"/>
  <c r="L197"/>
  <c r="O197" s="1"/>
  <c r="K197"/>
  <c r="N197" s="1"/>
  <c r="F197"/>
  <c r="E197"/>
  <c r="J196"/>
  <c r="F196"/>
  <c r="E196"/>
  <c r="J195"/>
  <c r="I195"/>
  <c r="H195"/>
  <c r="D195"/>
  <c r="U194"/>
  <c r="R194"/>
  <c r="L194"/>
  <c r="K194"/>
  <c r="N193"/>
  <c r="J193"/>
  <c r="H193"/>
  <c r="F193"/>
  <c r="O192"/>
  <c r="N192"/>
  <c r="J192"/>
  <c r="M192" s="1"/>
  <c r="F192"/>
  <c r="E192"/>
  <c r="H192" s="1"/>
  <c r="I191"/>
  <c r="H191"/>
  <c r="L190"/>
  <c r="K190"/>
  <c r="U189"/>
  <c r="R189"/>
  <c r="N189"/>
  <c r="J189"/>
  <c r="I189"/>
  <c r="O189" s="1"/>
  <c r="H189"/>
  <c r="D189"/>
  <c r="O188"/>
  <c r="N188"/>
  <c r="J188"/>
  <c r="M188" s="1"/>
  <c r="I188"/>
  <c r="H188"/>
  <c r="D188"/>
  <c r="U187"/>
  <c r="R187"/>
  <c r="L187"/>
  <c r="K187"/>
  <c r="F187"/>
  <c r="E187"/>
  <c r="D187" s="1"/>
  <c r="L186"/>
  <c r="K186"/>
  <c r="N186" s="1"/>
  <c r="E186"/>
  <c r="L185"/>
  <c r="K185"/>
  <c r="L184"/>
  <c r="K184"/>
  <c r="E184"/>
  <c r="T183"/>
  <c r="S183"/>
  <c r="U182"/>
  <c r="R182"/>
  <c r="O182"/>
  <c r="N182"/>
  <c r="J182"/>
  <c r="M182" s="1"/>
  <c r="G182"/>
  <c r="D182"/>
  <c r="W181"/>
  <c r="U181" s="1"/>
  <c r="V181"/>
  <c r="T181"/>
  <c r="S181"/>
  <c r="L181"/>
  <c r="O181" s="1"/>
  <c r="K181"/>
  <c r="N181" s="1"/>
  <c r="I181"/>
  <c r="H181"/>
  <c r="F181"/>
  <c r="E181"/>
  <c r="U180"/>
  <c r="R180"/>
  <c r="J180"/>
  <c r="I180"/>
  <c r="O180" s="1"/>
  <c r="H180"/>
  <c r="H179" s="1"/>
  <c r="D180"/>
  <c r="W179"/>
  <c r="V179"/>
  <c r="T179"/>
  <c r="S179"/>
  <c r="L179"/>
  <c r="K179"/>
  <c r="F179"/>
  <c r="E179"/>
  <c r="U178"/>
  <c r="R178"/>
  <c r="O178"/>
  <c r="N178"/>
  <c r="J178"/>
  <c r="M178" s="1"/>
  <c r="G178"/>
  <c r="G175" s="1"/>
  <c r="D178"/>
  <c r="D175" s="1"/>
  <c r="U177"/>
  <c r="R177"/>
  <c r="O177"/>
  <c r="N177"/>
  <c r="M177"/>
  <c r="U176"/>
  <c r="R176"/>
  <c r="O176"/>
  <c r="N176"/>
  <c r="M176"/>
  <c r="W175"/>
  <c r="V175"/>
  <c r="T175"/>
  <c r="S175"/>
  <c r="Q175"/>
  <c r="P175"/>
  <c r="L175"/>
  <c r="O175" s="1"/>
  <c r="K175"/>
  <c r="N175" s="1"/>
  <c r="I175"/>
  <c r="H175"/>
  <c r="F175"/>
  <c r="E175"/>
  <c r="U174"/>
  <c r="R174"/>
  <c r="O174"/>
  <c r="N174"/>
  <c r="J174"/>
  <c r="M174" s="1"/>
  <c r="I174"/>
  <c r="H174"/>
  <c r="D174"/>
  <c r="U173"/>
  <c r="R173"/>
  <c r="O173"/>
  <c r="N173"/>
  <c r="J173"/>
  <c r="M173" s="1"/>
  <c r="I173"/>
  <c r="H173"/>
  <c r="D173"/>
  <c r="U172"/>
  <c r="R172"/>
  <c r="J172"/>
  <c r="I172"/>
  <c r="O172" s="1"/>
  <c r="H172"/>
  <c r="D172"/>
  <c r="U171"/>
  <c r="R171"/>
  <c r="R169" s="1"/>
  <c r="O171"/>
  <c r="N171"/>
  <c r="J171"/>
  <c r="M171" s="1"/>
  <c r="G171"/>
  <c r="D171"/>
  <c r="U170"/>
  <c r="R170"/>
  <c r="O170"/>
  <c r="N170"/>
  <c r="J170"/>
  <c r="M170" s="1"/>
  <c r="H170"/>
  <c r="F170"/>
  <c r="I170" s="1"/>
  <c r="I169" s="1"/>
  <c r="W169"/>
  <c r="V169"/>
  <c r="T169"/>
  <c r="S169"/>
  <c r="Q169"/>
  <c r="P169"/>
  <c r="P164" s="1"/>
  <c r="L169"/>
  <c r="K169"/>
  <c r="E169"/>
  <c r="O168"/>
  <c r="N168"/>
  <c r="J168"/>
  <c r="M168" s="1"/>
  <c r="I168"/>
  <c r="I167" s="1"/>
  <c r="H168"/>
  <c r="H167" s="1"/>
  <c r="D168"/>
  <c r="L167"/>
  <c r="K167"/>
  <c r="N167" s="1"/>
  <c r="F167"/>
  <c r="E167"/>
  <c r="J166"/>
  <c r="H166"/>
  <c r="N166" s="1"/>
  <c r="F166"/>
  <c r="I166" s="1"/>
  <c r="L165"/>
  <c r="K165"/>
  <c r="E165"/>
  <c r="U162"/>
  <c r="R162"/>
  <c r="O162"/>
  <c r="N162"/>
  <c r="J162"/>
  <c r="M162" s="1"/>
  <c r="I162"/>
  <c r="H162"/>
  <c r="D162"/>
  <c r="U161"/>
  <c r="R161"/>
  <c r="N161"/>
  <c r="J161"/>
  <c r="H161"/>
  <c r="F161"/>
  <c r="I161" s="1"/>
  <c r="O161" s="1"/>
  <c r="U160"/>
  <c r="R160"/>
  <c r="O160"/>
  <c r="N160"/>
  <c r="J160"/>
  <c r="M160" s="1"/>
  <c r="H160"/>
  <c r="F160"/>
  <c r="I160" s="1"/>
  <c r="O159"/>
  <c r="N159"/>
  <c r="J159"/>
  <c r="M159" s="1"/>
  <c r="I159"/>
  <c r="H159"/>
  <c r="D159"/>
  <c r="U158"/>
  <c r="R158"/>
  <c r="N158"/>
  <c r="J158"/>
  <c r="H158"/>
  <c r="F158"/>
  <c r="I158" s="1"/>
  <c r="O158" s="1"/>
  <c r="U157"/>
  <c r="R157"/>
  <c r="N157"/>
  <c r="J157"/>
  <c r="H157"/>
  <c r="F157"/>
  <c r="I157" s="1"/>
  <c r="U156"/>
  <c r="R156"/>
  <c r="O156"/>
  <c r="N156"/>
  <c r="J156"/>
  <c r="M156" s="1"/>
  <c r="H156"/>
  <c r="F156"/>
  <c r="I156" s="1"/>
  <c r="O155"/>
  <c r="N155"/>
  <c r="J155"/>
  <c r="M155" s="1"/>
  <c r="I155"/>
  <c r="H155"/>
  <c r="D155"/>
  <c r="U154"/>
  <c r="R154"/>
  <c r="O154"/>
  <c r="N154"/>
  <c r="J154"/>
  <c r="M154" s="1"/>
  <c r="I154"/>
  <c r="H154"/>
  <c r="G154" s="1"/>
  <c r="D154"/>
  <c r="W153"/>
  <c r="V153"/>
  <c r="T153"/>
  <c r="S153"/>
  <c r="L153"/>
  <c r="K153"/>
  <c r="E153"/>
  <c r="O152"/>
  <c r="N152"/>
  <c r="J152"/>
  <c r="M152" s="1"/>
  <c r="I152"/>
  <c r="H152"/>
  <c r="D152"/>
  <c r="O151"/>
  <c r="N151"/>
  <c r="J151"/>
  <c r="M151" s="1"/>
  <c r="I151"/>
  <c r="H151"/>
  <c r="D151"/>
  <c r="O150"/>
  <c r="N150"/>
  <c r="J150"/>
  <c r="M150" s="1"/>
  <c r="I150"/>
  <c r="H150"/>
  <c r="D150"/>
  <c r="O149"/>
  <c r="N149"/>
  <c r="J149"/>
  <c r="M149" s="1"/>
  <c r="I149"/>
  <c r="H149"/>
  <c r="D149"/>
  <c r="U148"/>
  <c r="R148"/>
  <c r="O148"/>
  <c r="N148"/>
  <c r="J148"/>
  <c r="M148" s="1"/>
  <c r="I148"/>
  <c r="H148"/>
  <c r="D148"/>
  <c r="U147"/>
  <c r="R147"/>
  <c r="O147"/>
  <c r="N147"/>
  <c r="J147"/>
  <c r="M147" s="1"/>
  <c r="H147"/>
  <c r="F147"/>
  <c r="U146"/>
  <c r="R146"/>
  <c r="O146"/>
  <c r="N146"/>
  <c r="J146"/>
  <c r="M146" s="1"/>
  <c r="I146"/>
  <c r="H146"/>
  <c r="D146"/>
  <c r="U145"/>
  <c r="R145"/>
  <c r="O145"/>
  <c r="N145"/>
  <c r="J145"/>
  <c r="M145" s="1"/>
  <c r="I145"/>
  <c r="H145"/>
  <c r="D145"/>
  <c r="U144"/>
  <c r="R144"/>
  <c r="O144"/>
  <c r="N144"/>
  <c r="J144"/>
  <c r="M144" s="1"/>
  <c r="I144"/>
  <c r="H144"/>
  <c r="D144"/>
  <c r="U143"/>
  <c r="R143"/>
  <c r="O143"/>
  <c r="N143"/>
  <c r="J143"/>
  <c r="M143" s="1"/>
  <c r="H143"/>
  <c r="F143"/>
  <c r="I143" s="1"/>
  <c r="U142"/>
  <c r="R142"/>
  <c r="O142"/>
  <c r="N142"/>
  <c r="J142"/>
  <c r="M142" s="1"/>
  <c r="I142"/>
  <c r="H142"/>
  <c r="D142"/>
  <c r="U141"/>
  <c r="R141"/>
  <c r="O141"/>
  <c r="N141"/>
  <c r="J141"/>
  <c r="M141" s="1"/>
  <c r="I141"/>
  <c r="H141"/>
  <c r="D141"/>
  <c r="U140"/>
  <c r="R140"/>
  <c r="N140"/>
  <c r="J140"/>
  <c r="I140"/>
  <c r="O140" s="1"/>
  <c r="H140"/>
  <c r="D140"/>
  <c r="U139"/>
  <c r="R139"/>
  <c r="O139"/>
  <c r="N139"/>
  <c r="J139"/>
  <c r="M139" s="1"/>
  <c r="H139"/>
  <c r="F139"/>
  <c r="I139" s="1"/>
  <c r="U138"/>
  <c r="R138"/>
  <c r="N138"/>
  <c r="J138"/>
  <c r="I138"/>
  <c r="O138" s="1"/>
  <c r="H138"/>
  <c r="D138"/>
  <c r="U137"/>
  <c r="R137"/>
  <c r="O137"/>
  <c r="N137"/>
  <c r="J137"/>
  <c r="M137" s="1"/>
  <c r="H137"/>
  <c r="F137"/>
  <c r="U136"/>
  <c r="R136"/>
  <c r="O136"/>
  <c r="N136"/>
  <c r="J136"/>
  <c r="M136" s="1"/>
  <c r="I136"/>
  <c r="H136"/>
  <c r="D136"/>
  <c r="U135"/>
  <c r="R135"/>
  <c r="O135"/>
  <c r="N135"/>
  <c r="J135"/>
  <c r="M135" s="1"/>
  <c r="I135"/>
  <c r="H135"/>
  <c r="D135"/>
  <c r="U134"/>
  <c r="R134"/>
  <c r="O134"/>
  <c r="N134"/>
  <c r="J134"/>
  <c r="M134" s="1"/>
  <c r="I134"/>
  <c r="H134"/>
  <c r="D134"/>
  <c r="U133"/>
  <c r="R133"/>
  <c r="O133"/>
  <c r="N133"/>
  <c r="J133"/>
  <c r="M133" s="1"/>
  <c r="H133"/>
  <c r="F133"/>
  <c r="U132"/>
  <c r="R132"/>
  <c r="O132"/>
  <c r="N132"/>
  <c r="J132"/>
  <c r="M132" s="1"/>
  <c r="I132"/>
  <c r="H132"/>
  <c r="D132"/>
  <c r="U131"/>
  <c r="R131"/>
  <c r="O131"/>
  <c r="N131"/>
  <c r="J131"/>
  <c r="M131" s="1"/>
  <c r="I131"/>
  <c r="H131"/>
  <c r="D131"/>
  <c r="U130"/>
  <c r="R130"/>
  <c r="O130"/>
  <c r="N130"/>
  <c r="J130"/>
  <c r="M130" s="1"/>
  <c r="H130"/>
  <c r="F130"/>
  <c r="U129"/>
  <c r="R129"/>
  <c r="O129"/>
  <c r="N129"/>
  <c r="J129"/>
  <c r="M129" s="1"/>
  <c r="I129"/>
  <c r="H129"/>
  <c r="D129"/>
  <c r="U128"/>
  <c r="R128"/>
  <c r="O128"/>
  <c r="N128"/>
  <c r="J128"/>
  <c r="M128" s="1"/>
  <c r="H128"/>
  <c r="F128"/>
  <c r="U127"/>
  <c r="R127"/>
  <c r="O127"/>
  <c r="N127"/>
  <c r="J127"/>
  <c r="M127" s="1"/>
  <c r="H127"/>
  <c r="F127"/>
  <c r="U126"/>
  <c r="R126"/>
  <c r="O126"/>
  <c r="N126"/>
  <c r="J126"/>
  <c r="M126" s="1"/>
  <c r="H126"/>
  <c r="F126"/>
  <c r="I126" s="1"/>
  <c r="U125"/>
  <c r="R125"/>
  <c r="O125"/>
  <c r="N125"/>
  <c r="J125"/>
  <c r="M125" s="1"/>
  <c r="H125"/>
  <c r="F125"/>
  <c r="U124"/>
  <c r="R124"/>
  <c r="O124"/>
  <c r="N124"/>
  <c r="J124"/>
  <c r="M124" s="1"/>
  <c r="H124"/>
  <c r="F124"/>
  <c r="U123"/>
  <c r="R123"/>
  <c r="O123"/>
  <c r="N123"/>
  <c r="J123"/>
  <c r="M123" s="1"/>
  <c r="I123"/>
  <c r="H123"/>
  <c r="D123"/>
  <c r="U122"/>
  <c r="R122"/>
  <c r="O122"/>
  <c r="N122"/>
  <c r="J122"/>
  <c r="M122" s="1"/>
  <c r="I122"/>
  <c r="H122"/>
  <c r="D122"/>
  <c r="U121"/>
  <c r="R121"/>
  <c r="O121"/>
  <c r="N121"/>
  <c r="J121"/>
  <c r="M121" s="1"/>
  <c r="H121"/>
  <c r="F121"/>
  <c r="U120"/>
  <c r="R120"/>
  <c r="O120"/>
  <c r="N120"/>
  <c r="J120"/>
  <c r="M120" s="1"/>
  <c r="I120"/>
  <c r="H120"/>
  <c r="D120"/>
  <c r="U119"/>
  <c r="R119"/>
  <c r="O119"/>
  <c r="N119"/>
  <c r="J119"/>
  <c r="M119" s="1"/>
  <c r="I119"/>
  <c r="H119"/>
  <c r="D119"/>
  <c r="W118"/>
  <c r="V118"/>
  <c r="T118"/>
  <c r="S118"/>
  <c r="S117" s="1"/>
  <c r="L118"/>
  <c r="L117" s="1"/>
  <c r="K118"/>
  <c r="K117" s="1"/>
  <c r="E118"/>
  <c r="U115"/>
  <c r="R115"/>
  <c r="O115"/>
  <c r="N115"/>
  <c r="J115"/>
  <c r="M115" s="1"/>
  <c r="I115"/>
  <c r="H115"/>
  <c r="D115"/>
  <c r="W114"/>
  <c r="W113" s="1"/>
  <c r="V114"/>
  <c r="T114"/>
  <c r="T113" s="1"/>
  <c r="S114"/>
  <c r="S113" s="1"/>
  <c r="L114"/>
  <c r="O114" s="1"/>
  <c r="K114"/>
  <c r="K113" s="1"/>
  <c r="F114"/>
  <c r="E114"/>
  <c r="H114" s="1"/>
  <c r="E113"/>
  <c r="U112"/>
  <c r="R112"/>
  <c r="O112"/>
  <c r="N112"/>
  <c r="J112"/>
  <c r="M112" s="1"/>
  <c r="I112"/>
  <c r="H112"/>
  <c r="D112"/>
  <c r="W111"/>
  <c r="V111"/>
  <c r="V109" s="1"/>
  <c r="T111"/>
  <c r="T109" s="1"/>
  <c r="S111"/>
  <c r="S109" s="1"/>
  <c r="L111"/>
  <c r="O111" s="1"/>
  <c r="K111"/>
  <c r="F111"/>
  <c r="E111"/>
  <c r="E109" s="1"/>
  <c r="U110"/>
  <c r="R110"/>
  <c r="O110"/>
  <c r="N110"/>
  <c r="J110"/>
  <c r="M110" s="1"/>
  <c r="I110"/>
  <c r="I92" s="1"/>
  <c r="H110"/>
  <c r="D110"/>
  <c r="W109"/>
  <c r="U108"/>
  <c r="R108"/>
  <c r="O108"/>
  <c r="N108"/>
  <c r="J108"/>
  <c r="M108" s="1"/>
  <c r="I108"/>
  <c r="H108"/>
  <c r="D108"/>
  <c r="W107"/>
  <c r="V107"/>
  <c r="T107"/>
  <c r="S107"/>
  <c r="Q107"/>
  <c r="P107"/>
  <c r="L107"/>
  <c r="O107" s="1"/>
  <c r="K107"/>
  <c r="N107" s="1"/>
  <c r="F107"/>
  <c r="I107" s="1"/>
  <c r="E107"/>
  <c r="H107" s="1"/>
  <c r="U106"/>
  <c r="R106"/>
  <c r="N106"/>
  <c r="J106"/>
  <c r="I106"/>
  <c r="O106" s="1"/>
  <c r="H106"/>
  <c r="D106"/>
  <c r="J105"/>
  <c r="I105"/>
  <c r="H105"/>
  <c r="D105"/>
  <c r="W104"/>
  <c r="W103" s="1"/>
  <c r="V104"/>
  <c r="V103" s="1"/>
  <c r="T104"/>
  <c r="T103" s="1"/>
  <c r="S104"/>
  <c r="R104" s="1"/>
  <c r="L104"/>
  <c r="L103" s="1"/>
  <c r="K104"/>
  <c r="N104" s="1"/>
  <c r="F104"/>
  <c r="F103" s="1"/>
  <c r="I103" s="1"/>
  <c r="E104"/>
  <c r="Q103"/>
  <c r="P103"/>
  <c r="K103"/>
  <c r="U102"/>
  <c r="R102"/>
  <c r="N102"/>
  <c r="J102"/>
  <c r="I102"/>
  <c r="O102" s="1"/>
  <c r="H102"/>
  <c r="D102"/>
  <c r="O101"/>
  <c r="J101"/>
  <c r="F101"/>
  <c r="F100" s="1"/>
  <c r="F99" s="1"/>
  <c r="I99" s="1"/>
  <c r="E101"/>
  <c r="E100" s="1"/>
  <c r="W100"/>
  <c r="W99" s="1"/>
  <c r="V100"/>
  <c r="V99" s="1"/>
  <c r="T100"/>
  <c r="S100"/>
  <c r="L100"/>
  <c r="K100"/>
  <c r="N100" s="1"/>
  <c r="Q99"/>
  <c r="P99"/>
  <c r="L99"/>
  <c r="U98"/>
  <c r="R98"/>
  <c r="O98"/>
  <c r="N98"/>
  <c r="J98"/>
  <c r="M98" s="1"/>
  <c r="I98"/>
  <c r="H98"/>
  <c r="D98"/>
  <c r="U97"/>
  <c r="R97"/>
  <c r="O97"/>
  <c r="N97"/>
  <c r="J97"/>
  <c r="M97" s="1"/>
  <c r="I97"/>
  <c r="H97"/>
  <c r="D97"/>
  <c r="W96"/>
  <c r="V96"/>
  <c r="T96"/>
  <c r="T95" s="1"/>
  <c r="S96"/>
  <c r="L96"/>
  <c r="K96"/>
  <c r="N96" s="1"/>
  <c r="F96"/>
  <c r="E96"/>
  <c r="E95" s="1"/>
  <c r="Q95"/>
  <c r="P95"/>
  <c r="L94"/>
  <c r="K94"/>
  <c r="F94"/>
  <c r="E94"/>
  <c r="L93"/>
  <c r="K93"/>
  <c r="L92"/>
  <c r="O92" s="1"/>
  <c r="K92"/>
  <c r="F92"/>
  <c r="E92"/>
  <c r="U90"/>
  <c r="R90"/>
  <c r="O90"/>
  <c r="N90"/>
  <c r="J90"/>
  <c r="M90" s="1"/>
  <c r="I90"/>
  <c r="H90"/>
  <c r="G90" s="1"/>
  <c r="D90"/>
  <c r="A90"/>
  <c r="U89"/>
  <c r="U88" s="1"/>
  <c r="R89"/>
  <c r="R88" s="1"/>
  <c r="J89"/>
  <c r="I89"/>
  <c r="H89"/>
  <c r="D89"/>
  <c r="W88"/>
  <c r="V88"/>
  <c r="T88"/>
  <c r="S88"/>
  <c r="Q88"/>
  <c r="P88"/>
  <c r="L88"/>
  <c r="K88"/>
  <c r="F88"/>
  <c r="E88"/>
  <c r="U87"/>
  <c r="U86" s="1"/>
  <c r="R87"/>
  <c r="R86" s="1"/>
  <c r="O87"/>
  <c r="N87"/>
  <c r="J87"/>
  <c r="M87" s="1"/>
  <c r="I87"/>
  <c r="H87"/>
  <c r="D87"/>
  <c r="W86"/>
  <c r="V86"/>
  <c r="T86"/>
  <c r="S86"/>
  <c r="Q86"/>
  <c r="P86"/>
  <c r="L86"/>
  <c r="O86" s="1"/>
  <c r="K86"/>
  <c r="N86" s="1"/>
  <c r="F86"/>
  <c r="I86" s="1"/>
  <c r="E86"/>
  <c r="U85"/>
  <c r="R85"/>
  <c r="J85"/>
  <c r="I85"/>
  <c r="O85" s="1"/>
  <c r="H85"/>
  <c r="N85" s="1"/>
  <c r="D85"/>
  <c r="W84"/>
  <c r="V84"/>
  <c r="T84"/>
  <c r="S84"/>
  <c r="L84"/>
  <c r="K84"/>
  <c r="F84"/>
  <c r="E84"/>
  <c r="U83"/>
  <c r="R83"/>
  <c r="O83"/>
  <c r="N83"/>
  <c r="J83"/>
  <c r="M83" s="1"/>
  <c r="I83"/>
  <c r="H83"/>
  <c r="D83"/>
  <c r="W82"/>
  <c r="V82"/>
  <c r="T82"/>
  <c r="S82"/>
  <c r="L82"/>
  <c r="O82" s="1"/>
  <c r="K82"/>
  <c r="N82" s="1"/>
  <c r="F82"/>
  <c r="I82" s="1"/>
  <c r="E82"/>
  <c r="H82" s="1"/>
  <c r="Q81"/>
  <c r="P81"/>
  <c r="U78"/>
  <c r="R78"/>
  <c r="N78"/>
  <c r="J78"/>
  <c r="I78"/>
  <c r="O78" s="1"/>
  <c r="H78"/>
  <c r="G78" s="1"/>
  <c r="D78"/>
  <c r="W77"/>
  <c r="V77"/>
  <c r="T77"/>
  <c r="S77"/>
  <c r="R77" s="1"/>
  <c r="L77"/>
  <c r="K77"/>
  <c r="F77"/>
  <c r="I77" s="1"/>
  <c r="E77"/>
  <c r="D77" s="1"/>
  <c r="U76"/>
  <c r="U75"/>
  <c r="R76"/>
  <c r="R75" s="1"/>
  <c r="N76"/>
  <c r="J76"/>
  <c r="I76"/>
  <c r="O76" s="1"/>
  <c r="H76"/>
  <c r="D76"/>
  <c r="W75"/>
  <c r="V75"/>
  <c r="T75"/>
  <c r="S75"/>
  <c r="S74" s="1"/>
  <c r="Q75"/>
  <c r="P75"/>
  <c r="L75"/>
  <c r="K75"/>
  <c r="F75"/>
  <c r="I75" s="1"/>
  <c r="E75"/>
  <c r="U73"/>
  <c r="R73"/>
  <c r="O73"/>
  <c r="N73"/>
  <c r="J73"/>
  <c r="M73"/>
  <c r="I73"/>
  <c r="H73"/>
  <c r="G73" s="1"/>
  <c r="D73"/>
  <c r="U72"/>
  <c r="R72"/>
  <c r="O72"/>
  <c r="N72"/>
  <c r="J72"/>
  <c r="M72" s="1"/>
  <c r="I72"/>
  <c r="H72"/>
  <c r="G72" s="1"/>
  <c r="D72"/>
  <c r="U71"/>
  <c r="R71"/>
  <c r="O71"/>
  <c r="N71"/>
  <c r="J71"/>
  <c r="M71" s="1"/>
  <c r="I71"/>
  <c r="H71"/>
  <c r="D71"/>
  <c r="O70"/>
  <c r="N70"/>
  <c r="J70"/>
  <c r="M70" s="1"/>
  <c r="I70"/>
  <c r="H70"/>
  <c r="D70"/>
  <c r="W69"/>
  <c r="V69"/>
  <c r="T69"/>
  <c r="S69"/>
  <c r="L69"/>
  <c r="O69" s="1"/>
  <c r="K69"/>
  <c r="F69"/>
  <c r="I69" s="1"/>
  <c r="E69"/>
  <c r="U68"/>
  <c r="R68"/>
  <c r="O68"/>
  <c r="N68"/>
  <c r="J68"/>
  <c r="M68" s="1"/>
  <c r="I68"/>
  <c r="H68"/>
  <c r="D68"/>
  <c r="U67"/>
  <c r="R67"/>
  <c r="O67"/>
  <c r="N67"/>
  <c r="J67"/>
  <c r="M67" s="1"/>
  <c r="I67"/>
  <c r="H67"/>
  <c r="D67"/>
  <c r="U66"/>
  <c r="R66"/>
  <c r="O66"/>
  <c r="N66"/>
  <c r="J66"/>
  <c r="M66" s="1"/>
  <c r="H66"/>
  <c r="F66"/>
  <c r="I66" s="1"/>
  <c r="U65"/>
  <c r="R65"/>
  <c r="O65"/>
  <c r="N65"/>
  <c r="J65"/>
  <c r="M65" s="1"/>
  <c r="H65"/>
  <c r="F65"/>
  <c r="U64"/>
  <c r="R64"/>
  <c r="O64"/>
  <c r="N64"/>
  <c r="J64"/>
  <c r="M64" s="1"/>
  <c r="H64"/>
  <c r="F64"/>
  <c r="W63"/>
  <c r="V63"/>
  <c r="T63"/>
  <c r="S63"/>
  <c r="R63" s="1"/>
  <c r="L63"/>
  <c r="O63" s="1"/>
  <c r="K63"/>
  <c r="N63" s="1"/>
  <c r="E63"/>
  <c r="H63" s="1"/>
  <c r="U62"/>
  <c r="R62"/>
  <c r="O62"/>
  <c r="N62"/>
  <c r="J62"/>
  <c r="M62" s="1"/>
  <c r="I62"/>
  <c r="H62"/>
  <c r="G62" s="1"/>
  <c r="D62"/>
  <c r="U61"/>
  <c r="R61"/>
  <c r="O61"/>
  <c r="N61"/>
  <c r="J61"/>
  <c r="M61" s="1"/>
  <c r="I61"/>
  <c r="H61"/>
  <c r="D61"/>
  <c r="W60"/>
  <c r="V60"/>
  <c r="U60" s="1"/>
  <c r="T60"/>
  <c r="S60"/>
  <c r="L60"/>
  <c r="O60" s="1"/>
  <c r="K60"/>
  <c r="N60" s="1"/>
  <c r="F60"/>
  <c r="I60" s="1"/>
  <c r="E60"/>
  <c r="U59"/>
  <c r="R59"/>
  <c r="N59"/>
  <c r="J59"/>
  <c r="H59"/>
  <c r="F59"/>
  <c r="F57" s="1"/>
  <c r="I57" s="1"/>
  <c r="U58"/>
  <c r="R58"/>
  <c r="O58"/>
  <c r="N58"/>
  <c r="J58"/>
  <c r="M58" s="1"/>
  <c r="I58"/>
  <c r="H58"/>
  <c r="G58" s="1"/>
  <c r="D58"/>
  <c r="W57"/>
  <c r="V57"/>
  <c r="T57"/>
  <c r="S57"/>
  <c r="L57"/>
  <c r="K57"/>
  <c r="N57" s="1"/>
  <c r="E57"/>
  <c r="U56"/>
  <c r="R56"/>
  <c r="N56"/>
  <c r="J56"/>
  <c r="I56"/>
  <c r="O56" s="1"/>
  <c r="H56"/>
  <c r="D56"/>
  <c r="W55"/>
  <c r="V55"/>
  <c r="T55"/>
  <c r="S55"/>
  <c r="L55"/>
  <c r="K55"/>
  <c r="F55"/>
  <c r="I55" s="1"/>
  <c r="E55"/>
  <c r="H55" s="1"/>
  <c r="U54"/>
  <c r="R54"/>
  <c r="O54"/>
  <c r="N54"/>
  <c r="J54"/>
  <c r="M54" s="1"/>
  <c r="H54"/>
  <c r="F54"/>
  <c r="F49" s="1"/>
  <c r="O53"/>
  <c r="N53"/>
  <c r="J53"/>
  <c r="M53" s="1"/>
  <c r="I53"/>
  <c r="H53"/>
  <c r="G53" s="1"/>
  <c r="D53"/>
  <c r="O52"/>
  <c r="N52"/>
  <c r="J52"/>
  <c r="M52" s="1"/>
  <c r="I52"/>
  <c r="H52"/>
  <c r="G52" s="1"/>
  <c r="D52"/>
  <c r="O51"/>
  <c r="N51"/>
  <c r="J51"/>
  <c r="M51" s="1"/>
  <c r="I51"/>
  <c r="H51"/>
  <c r="D51"/>
  <c r="U50"/>
  <c r="R50"/>
  <c r="O50"/>
  <c r="N50"/>
  <c r="J50"/>
  <c r="M50" s="1"/>
  <c r="I50"/>
  <c r="H50"/>
  <c r="D50"/>
  <c r="W49"/>
  <c r="V49"/>
  <c r="T49"/>
  <c r="S49"/>
  <c r="R49" s="1"/>
  <c r="L49"/>
  <c r="O49" s="1"/>
  <c r="K49"/>
  <c r="E49"/>
  <c r="H49" s="1"/>
  <c r="U48"/>
  <c r="R48"/>
  <c r="O48"/>
  <c r="N48"/>
  <c r="J48"/>
  <c r="M48" s="1"/>
  <c r="I48"/>
  <c r="H48"/>
  <c r="D48"/>
  <c r="U47"/>
  <c r="R47"/>
  <c r="O47"/>
  <c r="N47"/>
  <c r="J47"/>
  <c r="M47" s="1"/>
  <c r="I47"/>
  <c r="H47"/>
  <c r="D47"/>
  <c r="W46"/>
  <c r="V46"/>
  <c r="T46"/>
  <c r="S46"/>
  <c r="L46"/>
  <c r="O46" s="1"/>
  <c r="K46"/>
  <c r="N46" s="1"/>
  <c r="F46"/>
  <c r="I46" s="1"/>
  <c r="E46"/>
  <c r="U45"/>
  <c r="R45"/>
  <c r="O45"/>
  <c r="N45"/>
  <c r="J45"/>
  <c r="M45" s="1"/>
  <c r="I45"/>
  <c r="H45"/>
  <c r="D45"/>
  <c r="U44"/>
  <c r="R44"/>
  <c r="O44"/>
  <c r="N44"/>
  <c r="J44"/>
  <c r="M44" s="1"/>
  <c r="I44"/>
  <c r="H44"/>
  <c r="D44"/>
  <c r="U43"/>
  <c r="R43"/>
  <c r="O43"/>
  <c r="N43"/>
  <c r="J43"/>
  <c r="M43" s="1"/>
  <c r="I43"/>
  <c r="H43"/>
  <c r="D43"/>
  <c r="W42"/>
  <c r="V42"/>
  <c r="T42"/>
  <c r="S42"/>
  <c r="R42" s="1"/>
  <c r="L42"/>
  <c r="O42" s="1"/>
  <c r="K42"/>
  <c r="F42"/>
  <c r="I42"/>
  <c r="E42"/>
  <c r="H42" s="1"/>
  <c r="U41"/>
  <c r="R41"/>
  <c r="O41"/>
  <c r="N41"/>
  <c r="J41"/>
  <c r="M41" s="1"/>
  <c r="H41"/>
  <c r="F41"/>
  <c r="F40" s="1"/>
  <c r="W40"/>
  <c r="V40"/>
  <c r="T40"/>
  <c r="S40"/>
  <c r="L40"/>
  <c r="K40"/>
  <c r="N40" s="1"/>
  <c r="E40"/>
  <c r="H40" s="1"/>
  <c r="U39"/>
  <c r="R39"/>
  <c r="O39"/>
  <c r="N39"/>
  <c r="J39"/>
  <c r="M39" s="1"/>
  <c r="I39"/>
  <c r="H39"/>
  <c r="D39"/>
  <c r="U38"/>
  <c r="R38"/>
  <c r="N38"/>
  <c r="J38"/>
  <c r="I38"/>
  <c r="O38" s="1"/>
  <c r="H38"/>
  <c r="D38"/>
  <c r="U37"/>
  <c r="R37"/>
  <c r="N37"/>
  <c r="J37"/>
  <c r="I37"/>
  <c r="O37" s="1"/>
  <c r="H37"/>
  <c r="D37"/>
  <c r="U36"/>
  <c r="R36"/>
  <c r="N36"/>
  <c r="J36"/>
  <c r="I36"/>
  <c r="H36"/>
  <c r="D36"/>
  <c r="W35"/>
  <c r="V35"/>
  <c r="T35"/>
  <c r="S35"/>
  <c r="Q35"/>
  <c r="P35"/>
  <c r="L35"/>
  <c r="K35"/>
  <c r="N35" s="1"/>
  <c r="F35"/>
  <c r="I35" s="1"/>
  <c r="E35"/>
  <c r="O34"/>
  <c r="N34"/>
  <c r="J34"/>
  <c r="M34" s="1"/>
  <c r="I34"/>
  <c r="H34"/>
  <c r="D34"/>
  <c r="U33"/>
  <c r="R33"/>
  <c r="O33"/>
  <c r="N33"/>
  <c r="J33"/>
  <c r="M33" s="1"/>
  <c r="H33"/>
  <c r="F33"/>
  <c r="F32" s="1"/>
  <c r="I32" s="1"/>
  <c r="W32"/>
  <c r="V32"/>
  <c r="T32"/>
  <c r="S32"/>
  <c r="L32"/>
  <c r="O32" s="1"/>
  <c r="K32"/>
  <c r="N32" s="1"/>
  <c r="E32"/>
  <c r="H32" s="1"/>
  <c r="U31"/>
  <c r="R31"/>
  <c r="O31"/>
  <c r="N31"/>
  <c r="J31"/>
  <c r="M31" s="1"/>
  <c r="H31"/>
  <c r="F31"/>
  <c r="W30"/>
  <c r="V30"/>
  <c r="T30"/>
  <c r="S30"/>
  <c r="L30"/>
  <c r="O30" s="1"/>
  <c r="K30"/>
  <c r="N30" s="1"/>
  <c r="E30"/>
  <c r="U29"/>
  <c r="R29"/>
  <c r="O29"/>
  <c r="N29"/>
  <c r="J29"/>
  <c r="M29" s="1"/>
  <c r="H29"/>
  <c r="F29"/>
  <c r="W28"/>
  <c r="V28"/>
  <c r="T28"/>
  <c r="S28"/>
  <c r="L28"/>
  <c r="O28" s="1"/>
  <c r="K28"/>
  <c r="N28" s="1"/>
  <c r="E28"/>
  <c r="H28" s="1"/>
  <c r="O27"/>
  <c r="N27"/>
  <c r="M27"/>
  <c r="I27"/>
  <c r="H27"/>
  <c r="G27" s="1"/>
  <c r="D27"/>
  <c r="U26"/>
  <c r="R26"/>
  <c r="O26"/>
  <c r="N26"/>
  <c r="J26"/>
  <c r="M26" s="1"/>
  <c r="I26"/>
  <c r="H26"/>
  <c r="D26"/>
  <c r="U25"/>
  <c r="R25"/>
  <c r="O25"/>
  <c r="N25"/>
  <c r="J25"/>
  <c r="M25" s="1"/>
  <c r="I25"/>
  <c r="H25"/>
  <c r="D25"/>
  <c r="W24"/>
  <c r="V24"/>
  <c r="T24"/>
  <c r="S24"/>
  <c r="L24"/>
  <c r="O24" s="1"/>
  <c r="K24"/>
  <c r="N24" s="1"/>
  <c r="F24"/>
  <c r="I24"/>
  <c r="E24"/>
  <c r="H24" s="1"/>
  <c r="R23"/>
  <c r="O23"/>
  <c r="N23"/>
  <c r="J23"/>
  <c r="M23" s="1"/>
  <c r="I23"/>
  <c r="H23"/>
  <c r="D23"/>
  <c r="U22"/>
  <c r="R22"/>
  <c r="O22"/>
  <c r="N22"/>
  <c r="J22"/>
  <c r="M22" s="1"/>
  <c r="I22"/>
  <c r="H22"/>
  <c r="D22"/>
  <c r="W21"/>
  <c r="V21"/>
  <c r="T21"/>
  <c r="S21"/>
  <c r="L21"/>
  <c r="K21"/>
  <c r="F21"/>
  <c r="I21" s="1"/>
  <c r="E21"/>
  <c r="H21" s="1"/>
  <c r="U20"/>
  <c r="R20"/>
  <c r="O20"/>
  <c r="N20"/>
  <c r="J20"/>
  <c r="M20" s="1"/>
  <c r="I20"/>
  <c r="H20"/>
  <c r="D20"/>
  <c r="W19"/>
  <c r="V19"/>
  <c r="T19"/>
  <c r="S19"/>
  <c r="L19"/>
  <c r="K19"/>
  <c r="N19" s="1"/>
  <c r="F19"/>
  <c r="I19" s="1"/>
  <c r="E19"/>
  <c r="O18"/>
  <c r="N18"/>
  <c r="J18"/>
  <c r="M18" s="1"/>
  <c r="I18"/>
  <c r="H18"/>
  <c r="G18" s="1"/>
  <c r="D18"/>
  <c r="A18"/>
  <c r="A20" s="1"/>
  <c r="A22" s="1"/>
  <c r="A23" s="1"/>
  <c r="A25" s="1"/>
  <c r="A26" s="1"/>
  <c r="A27" s="1"/>
  <c r="A29" s="1"/>
  <c r="A31" s="1"/>
  <c r="A33" s="1"/>
  <c r="A34" s="1"/>
  <c r="A36" s="1"/>
  <c r="A37" s="1"/>
  <c r="A38" s="1"/>
  <c r="A39" s="1"/>
  <c r="A41" s="1"/>
  <c r="A43" s="1"/>
  <c r="A44" s="1"/>
  <c r="A45" s="1"/>
  <c r="A47" s="1"/>
  <c r="A48" s="1"/>
  <c r="A50" s="1"/>
  <c r="A51" s="1"/>
  <c r="A52" s="1"/>
  <c r="A53" s="1"/>
  <c r="A54" s="1"/>
  <c r="A56" s="1"/>
  <c r="A58" s="1"/>
  <c r="A59" s="1"/>
  <c r="A61" s="1"/>
  <c r="A62" s="1"/>
  <c r="A64" s="1"/>
  <c r="A65" s="1"/>
  <c r="A66" s="1"/>
  <c r="A67" s="1"/>
  <c r="A68" s="1"/>
  <c r="A70" s="1"/>
  <c r="A71" s="1"/>
  <c r="A72" s="1"/>
  <c r="A73" s="1"/>
  <c r="U17"/>
  <c r="R17"/>
  <c r="O17"/>
  <c r="N17"/>
  <c r="J17"/>
  <c r="M17" s="1"/>
  <c r="I17"/>
  <c r="H17"/>
  <c r="D17"/>
  <c r="W16"/>
  <c r="V16"/>
  <c r="U16" s="1"/>
  <c r="T16"/>
  <c r="S16"/>
  <c r="L16"/>
  <c r="O16" s="1"/>
  <c r="K16"/>
  <c r="F16"/>
  <c r="E16"/>
  <c r="H16" s="1"/>
  <c r="U304" i="61"/>
  <c r="R304"/>
  <c r="O304"/>
  <c r="N304"/>
  <c r="J304"/>
  <c r="M304" s="1"/>
  <c r="D304"/>
  <c r="U303"/>
  <c r="R303"/>
  <c r="O303"/>
  <c r="N303"/>
  <c r="J303"/>
  <c r="M303" s="1"/>
  <c r="D303"/>
  <c r="W302"/>
  <c r="V302"/>
  <c r="U302" s="1"/>
  <c r="T302"/>
  <c r="S302"/>
  <c r="R302" s="1"/>
  <c r="L302"/>
  <c r="O302" s="1"/>
  <c r="K302"/>
  <c r="N302" s="1"/>
  <c r="F302"/>
  <c r="E302"/>
  <c r="L384"/>
  <c r="K384"/>
  <c r="K383" s="1"/>
  <c r="N383" s="1"/>
  <c r="I384"/>
  <c r="I383" s="1"/>
  <c r="H384"/>
  <c r="F383"/>
  <c r="E384"/>
  <c r="D384" s="1"/>
  <c r="U385"/>
  <c r="R385"/>
  <c r="O385"/>
  <c r="N385"/>
  <c r="J385"/>
  <c r="M385" s="1"/>
  <c r="G385"/>
  <c r="D385"/>
  <c r="W384"/>
  <c r="W383" s="1"/>
  <c r="V384"/>
  <c r="U384" s="1"/>
  <c r="T384"/>
  <c r="T382" s="1"/>
  <c r="S384"/>
  <c r="L355"/>
  <c r="K355"/>
  <c r="I355"/>
  <c r="H355"/>
  <c r="J357"/>
  <c r="N357"/>
  <c r="M355"/>
  <c r="E355"/>
  <c r="F355"/>
  <c r="J356"/>
  <c r="G357"/>
  <c r="G356"/>
  <c r="D357"/>
  <c r="X357" s="1"/>
  <c r="D356"/>
  <c r="O357"/>
  <c r="L128"/>
  <c r="K128"/>
  <c r="I173"/>
  <c r="H173"/>
  <c r="I167"/>
  <c r="H167"/>
  <c r="I160"/>
  <c r="H160"/>
  <c r="I159"/>
  <c r="H159"/>
  <c r="I152"/>
  <c r="H152"/>
  <c r="I145"/>
  <c r="H145"/>
  <c r="I144"/>
  <c r="H144"/>
  <c r="I142"/>
  <c r="H142"/>
  <c r="I141"/>
  <c r="H141"/>
  <c r="I139"/>
  <c r="H139"/>
  <c r="I132"/>
  <c r="H132"/>
  <c r="I129"/>
  <c r="H129"/>
  <c r="I91"/>
  <c r="H91"/>
  <c r="I88"/>
  <c r="H88"/>
  <c r="I84"/>
  <c r="H84"/>
  <c r="E283"/>
  <c r="H208"/>
  <c r="I208"/>
  <c r="H269"/>
  <c r="I269"/>
  <c r="H277"/>
  <c r="N277" s="1"/>
  <c r="I277"/>
  <c r="H285"/>
  <c r="I285"/>
  <c r="O285" s="1"/>
  <c r="H288"/>
  <c r="G288" s="1"/>
  <c r="I288"/>
  <c r="F222"/>
  <c r="E222"/>
  <c r="H222" s="1"/>
  <c r="H220" s="1"/>
  <c r="I209"/>
  <c r="O209" s="1"/>
  <c r="F210"/>
  <c r="I210" s="1"/>
  <c r="L102"/>
  <c r="L101" s="1"/>
  <c r="K102"/>
  <c r="N102" s="1"/>
  <c r="E203"/>
  <c r="E404" s="1"/>
  <c r="E281"/>
  <c r="I282"/>
  <c r="U282"/>
  <c r="R282"/>
  <c r="O282"/>
  <c r="N282"/>
  <c r="F265"/>
  <c r="E265"/>
  <c r="U266"/>
  <c r="R266"/>
  <c r="O266"/>
  <c r="N266"/>
  <c r="D266"/>
  <c r="F297"/>
  <c r="E297"/>
  <c r="U299"/>
  <c r="R299"/>
  <c r="N299"/>
  <c r="D299"/>
  <c r="O298"/>
  <c r="D298"/>
  <c r="F294"/>
  <c r="U296"/>
  <c r="R296"/>
  <c r="D296"/>
  <c r="D295"/>
  <c r="F290"/>
  <c r="E290"/>
  <c r="U292"/>
  <c r="R292"/>
  <c r="D292"/>
  <c r="F251"/>
  <c r="E251"/>
  <c r="N252"/>
  <c r="O253"/>
  <c r="N253"/>
  <c r="D253"/>
  <c r="D252"/>
  <c r="U285"/>
  <c r="R285"/>
  <c r="D285"/>
  <c r="U284"/>
  <c r="R284"/>
  <c r="O264"/>
  <c r="N264"/>
  <c r="D264"/>
  <c r="O262"/>
  <c r="N262"/>
  <c r="D262"/>
  <c r="O260"/>
  <c r="N260"/>
  <c r="D260"/>
  <c r="N258"/>
  <c r="D258"/>
  <c r="F245"/>
  <c r="E245"/>
  <c r="D246"/>
  <c r="F219"/>
  <c r="I219" s="1"/>
  <c r="E219"/>
  <c r="D218"/>
  <c r="D239"/>
  <c r="D221"/>
  <c r="F233"/>
  <c r="I233" s="1"/>
  <c r="I231" s="1"/>
  <c r="E233"/>
  <c r="H233" s="1"/>
  <c r="D232"/>
  <c r="D230"/>
  <c r="D228"/>
  <c r="D226"/>
  <c r="D224"/>
  <c r="F242"/>
  <c r="E242"/>
  <c r="D244"/>
  <c r="D243"/>
  <c r="F214"/>
  <c r="E214"/>
  <c r="D215"/>
  <c r="F213"/>
  <c r="F211" s="1"/>
  <c r="E213"/>
  <c r="D212"/>
  <c r="F276"/>
  <c r="D276" s="1"/>
  <c r="E279"/>
  <c r="E276" s="1"/>
  <c r="U279"/>
  <c r="R279"/>
  <c r="D269"/>
  <c r="N269"/>
  <c r="O269"/>
  <c r="R269"/>
  <c r="U269"/>
  <c r="E16"/>
  <c r="A18"/>
  <c r="O18"/>
  <c r="N18"/>
  <c r="J18"/>
  <c r="M18" s="1"/>
  <c r="D18"/>
  <c r="L33"/>
  <c r="K33"/>
  <c r="E33"/>
  <c r="N35"/>
  <c r="J35"/>
  <c r="D35"/>
  <c r="L106"/>
  <c r="K106"/>
  <c r="F106"/>
  <c r="I106" s="1"/>
  <c r="E106"/>
  <c r="H106" s="1"/>
  <c r="J107"/>
  <c r="J103"/>
  <c r="D107"/>
  <c r="O103"/>
  <c r="L398"/>
  <c r="K398"/>
  <c r="F398"/>
  <c r="E398"/>
  <c r="X396"/>
  <c r="X395"/>
  <c r="X394"/>
  <c r="O393"/>
  <c r="N393"/>
  <c r="J393"/>
  <c r="M393" s="1"/>
  <c r="D393"/>
  <c r="A393"/>
  <c r="N392"/>
  <c r="J392"/>
  <c r="F392"/>
  <c r="I392" s="1"/>
  <c r="L391"/>
  <c r="K391"/>
  <c r="N391" s="1"/>
  <c r="E391"/>
  <c r="E388" s="1"/>
  <c r="E387" s="1"/>
  <c r="E386" s="1"/>
  <c r="O390"/>
  <c r="N390"/>
  <c r="J390"/>
  <c r="M390" s="1"/>
  <c r="D390"/>
  <c r="N389"/>
  <c r="F389"/>
  <c r="E389"/>
  <c r="U381"/>
  <c r="R381"/>
  <c r="O381"/>
  <c r="N381"/>
  <c r="J381"/>
  <c r="M381" s="1"/>
  <c r="G381"/>
  <c r="D381"/>
  <c r="W380"/>
  <c r="W379" s="1"/>
  <c r="V380"/>
  <c r="V379" s="1"/>
  <c r="T380"/>
  <c r="S380"/>
  <c r="L380"/>
  <c r="L379" s="1"/>
  <c r="O379" s="1"/>
  <c r="K380"/>
  <c r="I380"/>
  <c r="I379" s="1"/>
  <c r="H380"/>
  <c r="F380"/>
  <c r="F379" s="1"/>
  <c r="E380"/>
  <c r="U378"/>
  <c r="R378"/>
  <c r="O378"/>
  <c r="N378"/>
  <c r="J378"/>
  <c r="M378" s="1"/>
  <c r="G378"/>
  <c r="D378"/>
  <c r="W377"/>
  <c r="V377"/>
  <c r="T377"/>
  <c r="S377"/>
  <c r="L377"/>
  <c r="K377"/>
  <c r="N377" s="1"/>
  <c r="I377"/>
  <c r="H377"/>
  <c r="F377"/>
  <c r="D377" s="1"/>
  <c r="E377"/>
  <c r="U376"/>
  <c r="R376"/>
  <c r="O376"/>
  <c r="N376"/>
  <c r="J376"/>
  <c r="M376" s="1"/>
  <c r="G376"/>
  <c r="D376"/>
  <c r="W375"/>
  <c r="V375"/>
  <c r="T375"/>
  <c r="S375"/>
  <c r="L375"/>
  <c r="O375" s="1"/>
  <c r="K375"/>
  <c r="N375" s="1"/>
  <c r="I375"/>
  <c r="H375"/>
  <c r="F375"/>
  <c r="E375"/>
  <c r="U374"/>
  <c r="R374"/>
  <c r="O374"/>
  <c r="N374"/>
  <c r="J374"/>
  <c r="M374" s="1"/>
  <c r="G374"/>
  <c r="D374"/>
  <c r="W373"/>
  <c r="V373"/>
  <c r="T373"/>
  <c r="S373"/>
  <c r="L373"/>
  <c r="O373" s="1"/>
  <c r="K373"/>
  <c r="N373" s="1"/>
  <c r="I373"/>
  <c r="H373"/>
  <c r="F373"/>
  <c r="E373"/>
  <c r="U372"/>
  <c r="R372"/>
  <c r="O372"/>
  <c r="N372"/>
  <c r="J372"/>
  <c r="M372" s="1"/>
  <c r="G372"/>
  <c r="D372"/>
  <c r="W371"/>
  <c r="V371"/>
  <c r="T371"/>
  <c r="S371"/>
  <c r="R371" s="1"/>
  <c r="L371"/>
  <c r="O371" s="1"/>
  <c r="K371"/>
  <c r="N371" s="1"/>
  <c r="I371"/>
  <c r="H371"/>
  <c r="F371"/>
  <c r="E371"/>
  <c r="U370"/>
  <c r="R370"/>
  <c r="O370"/>
  <c r="N370"/>
  <c r="J370"/>
  <c r="M370" s="1"/>
  <c r="G370"/>
  <c r="D370"/>
  <c r="A370"/>
  <c r="A372" s="1"/>
  <c r="A374" s="1"/>
  <c r="A376" s="1"/>
  <c r="A378" s="1"/>
  <c r="A381" s="1"/>
  <c r="W369"/>
  <c r="V369"/>
  <c r="U369" s="1"/>
  <c r="T369"/>
  <c r="S369"/>
  <c r="L369"/>
  <c r="O369"/>
  <c r="K369"/>
  <c r="N369" s="1"/>
  <c r="I369"/>
  <c r="G369" s="1"/>
  <c r="H369"/>
  <c r="F369"/>
  <c r="E369"/>
  <c r="U368"/>
  <c r="R368"/>
  <c r="O368"/>
  <c r="N368"/>
  <c r="J368"/>
  <c r="M368" s="1"/>
  <c r="G368"/>
  <c r="D368"/>
  <c r="W367"/>
  <c r="V367"/>
  <c r="T367"/>
  <c r="S367"/>
  <c r="L367"/>
  <c r="K367"/>
  <c r="N367" s="1"/>
  <c r="I367"/>
  <c r="H367"/>
  <c r="F367"/>
  <c r="E367"/>
  <c r="U363"/>
  <c r="R363"/>
  <c r="O363"/>
  <c r="D363"/>
  <c r="U362"/>
  <c r="R362"/>
  <c r="N362"/>
  <c r="O362"/>
  <c r="G362"/>
  <c r="D362"/>
  <c r="U361"/>
  <c r="R361"/>
  <c r="O361"/>
  <c r="N361"/>
  <c r="J361"/>
  <c r="G361"/>
  <c r="D361"/>
  <c r="U359"/>
  <c r="R359"/>
  <c r="O359"/>
  <c r="N359"/>
  <c r="J359"/>
  <c r="M359" s="1"/>
  <c r="G359"/>
  <c r="D359"/>
  <c r="W358"/>
  <c r="V358"/>
  <c r="T358"/>
  <c r="S358"/>
  <c r="Q358"/>
  <c r="P358"/>
  <c r="K358"/>
  <c r="N358" s="1"/>
  <c r="I358"/>
  <c r="F358"/>
  <c r="E358"/>
  <c r="O356"/>
  <c r="N356"/>
  <c r="X355"/>
  <c r="U354"/>
  <c r="R354"/>
  <c r="O354"/>
  <c r="N354"/>
  <c r="J354"/>
  <c r="M354" s="1"/>
  <c r="G354"/>
  <c r="D354"/>
  <c r="W353"/>
  <c r="V353"/>
  <c r="T353"/>
  <c r="S353"/>
  <c r="L353"/>
  <c r="K353"/>
  <c r="N353" s="1"/>
  <c r="I353"/>
  <c r="H353"/>
  <c r="F353"/>
  <c r="E353"/>
  <c r="U352"/>
  <c r="R352"/>
  <c r="O352"/>
  <c r="G352"/>
  <c r="D352"/>
  <c r="U351"/>
  <c r="R351"/>
  <c r="O351"/>
  <c r="N351"/>
  <c r="J351"/>
  <c r="D351"/>
  <c r="W350"/>
  <c r="V350"/>
  <c r="T350"/>
  <c r="S350"/>
  <c r="Q350"/>
  <c r="P350"/>
  <c r="L350"/>
  <c r="H350"/>
  <c r="F350"/>
  <c r="E350"/>
  <c r="U349"/>
  <c r="R349"/>
  <c r="O349"/>
  <c r="N349"/>
  <c r="J349"/>
  <c r="G349"/>
  <c r="D349"/>
  <c r="W348"/>
  <c r="V348"/>
  <c r="T348"/>
  <c r="S348"/>
  <c r="R348" s="1"/>
  <c r="L348"/>
  <c r="K348"/>
  <c r="I348"/>
  <c r="H348"/>
  <c r="G348" s="1"/>
  <c r="F348"/>
  <c r="E348"/>
  <c r="U347"/>
  <c r="R347"/>
  <c r="J347"/>
  <c r="I347"/>
  <c r="O347" s="1"/>
  <c r="U346"/>
  <c r="R346"/>
  <c r="J346"/>
  <c r="U345"/>
  <c r="R345"/>
  <c r="D345"/>
  <c r="U344"/>
  <c r="R344"/>
  <c r="D344"/>
  <c r="U343"/>
  <c r="R343"/>
  <c r="D343"/>
  <c r="U342"/>
  <c r="R342"/>
  <c r="D342"/>
  <c r="U341"/>
  <c r="R341"/>
  <c r="D341"/>
  <c r="A341"/>
  <c r="A342" s="1"/>
  <c r="A343" s="1"/>
  <c r="A344" s="1"/>
  <c r="A345" s="1"/>
  <c r="A346" s="1"/>
  <c r="A347" s="1"/>
  <c r="A349" s="1"/>
  <c r="A351" s="1"/>
  <c r="A352" s="1"/>
  <c r="A354" s="1"/>
  <c r="W339"/>
  <c r="V339"/>
  <c r="T339"/>
  <c r="S339"/>
  <c r="U337"/>
  <c r="R337"/>
  <c r="O337"/>
  <c r="N337"/>
  <c r="G337"/>
  <c r="F337"/>
  <c r="D337" s="1"/>
  <c r="U336"/>
  <c r="R336"/>
  <c r="N336"/>
  <c r="D336"/>
  <c r="W335"/>
  <c r="V335"/>
  <c r="T335"/>
  <c r="S335"/>
  <c r="Q335"/>
  <c r="Q334" s="1"/>
  <c r="P335"/>
  <c r="P334" s="1"/>
  <c r="K335"/>
  <c r="N335" s="1"/>
  <c r="H335"/>
  <c r="E335"/>
  <c r="U333"/>
  <c r="R333"/>
  <c r="O333"/>
  <c r="N333"/>
  <c r="J333"/>
  <c r="M333" s="1"/>
  <c r="G333"/>
  <c r="D333"/>
  <c r="X333" s="1"/>
  <c r="W332"/>
  <c r="V332"/>
  <c r="T332"/>
  <c r="S332"/>
  <c r="L332"/>
  <c r="O332" s="1"/>
  <c r="K332"/>
  <c r="N332" s="1"/>
  <c r="I332"/>
  <c r="H332"/>
  <c r="F332"/>
  <c r="E332"/>
  <c r="O331"/>
  <c r="N331"/>
  <c r="J331"/>
  <c r="G331"/>
  <c r="D331"/>
  <c r="L330"/>
  <c r="K330"/>
  <c r="I330"/>
  <c r="H330"/>
  <c r="F330"/>
  <c r="E330"/>
  <c r="U329"/>
  <c r="R329"/>
  <c r="O329"/>
  <c r="N329"/>
  <c r="J329"/>
  <c r="M329" s="1"/>
  <c r="G329"/>
  <c r="D329"/>
  <c r="A329"/>
  <c r="W328"/>
  <c r="V328"/>
  <c r="T328"/>
  <c r="S328"/>
  <c r="L328"/>
  <c r="O328" s="1"/>
  <c r="K328"/>
  <c r="N328" s="1"/>
  <c r="I328"/>
  <c r="H328"/>
  <c r="F328"/>
  <c r="E328"/>
  <c r="U327"/>
  <c r="R327"/>
  <c r="O327"/>
  <c r="N327"/>
  <c r="J327"/>
  <c r="M327" s="1"/>
  <c r="G327"/>
  <c r="D327"/>
  <c r="U326"/>
  <c r="R326"/>
  <c r="L326"/>
  <c r="O326" s="1"/>
  <c r="K326"/>
  <c r="N326" s="1"/>
  <c r="I326"/>
  <c r="H326"/>
  <c r="G326" s="1"/>
  <c r="F326"/>
  <c r="E326"/>
  <c r="O325"/>
  <c r="N325"/>
  <c r="J325"/>
  <c r="M325" s="1"/>
  <c r="D325"/>
  <c r="U324"/>
  <c r="R324"/>
  <c r="O324"/>
  <c r="N324"/>
  <c r="J324"/>
  <c r="D324"/>
  <c r="U323"/>
  <c r="R323"/>
  <c r="O323"/>
  <c r="N323"/>
  <c r="J323"/>
  <c r="M323" s="1"/>
  <c r="D323"/>
  <c r="U322"/>
  <c r="R322"/>
  <c r="O322"/>
  <c r="N322"/>
  <c r="J322"/>
  <c r="M322" s="1"/>
  <c r="D322"/>
  <c r="U321"/>
  <c r="R321"/>
  <c r="O321"/>
  <c r="N321"/>
  <c r="J321"/>
  <c r="M321" s="1"/>
  <c r="D321"/>
  <c r="U320"/>
  <c r="R320"/>
  <c r="O320"/>
  <c r="N320"/>
  <c r="J320"/>
  <c r="M320" s="1"/>
  <c r="D320"/>
  <c r="U319"/>
  <c r="R319"/>
  <c r="O319"/>
  <c r="N319"/>
  <c r="J319"/>
  <c r="M319" s="1"/>
  <c r="D319"/>
  <c r="U318"/>
  <c r="R318"/>
  <c r="O318"/>
  <c r="N318"/>
  <c r="J318"/>
  <c r="M318" s="1"/>
  <c r="D318"/>
  <c r="U317"/>
  <c r="R317"/>
  <c r="O317"/>
  <c r="N317"/>
  <c r="J317"/>
  <c r="M317" s="1"/>
  <c r="D317"/>
  <c r="A317"/>
  <c r="U316"/>
  <c r="R316"/>
  <c r="O316"/>
  <c r="N316"/>
  <c r="J316"/>
  <c r="M316" s="1"/>
  <c r="W315"/>
  <c r="V315"/>
  <c r="T315"/>
  <c r="S315"/>
  <c r="Q315"/>
  <c r="Q314" s="1"/>
  <c r="P315"/>
  <c r="P314" s="1"/>
  <c r="L315"/>
  <c r="K315"/>
  <c r="N315" s="1"/>
  <c r="H315"/>
  <c r="E315"/>
  <c r="U311"/>
  <c r="R311"/>
  <c r="O311"/>
  <c r="N311"/>
  <c r="J311"/>
  <c r="M311" s="1"/>
  <c r="G311"/>
  <c r="D311"/>
  <c r="U310"/>
  <c r="R310"/>
  <c r="O310"/>
  <c r="N310"/>
  <c r="J310"/>
  <c r="M310" s="1"/>
  <c r="G310"/>
  <c r="D310"/>
  <c r="U309"/>
  <c r="R309"/>
  <c r="O309"/>
  <c r="J309"/>
  <c r="D309"/>
  <c r="U307"/>
  <c r="R307"/>
  <c r="N307"/>
  <c r="G307"/>
  <c r="D307"/>
  <c r="U306"/>
  <c r="R306"/>
  <c r="N306"/>
  <c r="D306"/>
  <c r="W305"/>
  <c r="V305"/>
  <c r="T305"/>
  <c r="S305"/>
  <c r="U301"/>
  <c r="R301"/>
  <c r="J301"/>
  <c r="G301"/>
  <c r="D301"/>
  <c r="W300"/>
  <c r="V300"/>
  <c r="T300"/>
  <c r="S300"/>
  <c r="F300"/>
  <c r="E300"/>
  <c r="U297"/>
  <c r="R297"/>
  <c r="U294"/>
  <c r="R294"/>
  <c r="O293"/>
  <c r="N293"/>
  <c r="D293"/>
  <c r="D291"/>
  <c r="U290"/>
  <c r="R290"/>
  <c r="U288"/>
  <c r="R288"/>
  <c r="O288"/>
  <c r="N288"/>
  <c r="D288"/>
  <c r="U287"/>
  <c r="R287"/>
  <c r="D287"/>
  <c r="U286"/>
  <c r="R286"/>
  <c r="U283"/>
  <c r="R283"/>
  <c r="U281"/>
  <c r="R281"/>
  <c r="U280"/>
  <c r="R280"/>
  <c r="N280"/>
  <c r="D280"/>
  <c r="U277"/>
  <c r="R277"/>
  <c r="U276"/>
  <c r="R276"/>
  <c r="U275"/>
  <c r="R275"/>
  <c r="O275"/>
  <c r="N275"/>
  <c r="D275"/>
  <c r="U274"/>
  <c r="R274"/>
  <c r="D274"/>
  <c r="U273"/>
  <c r="R273"/>
  <c r="F273"/>
  <c r="E273"/>
  <c r="U272"/>
  <c r="R272"/>
  <c r="O272"/>
  <c r="N272"/>
  <c r="U271"/>
  <c r="R271"/>
  <c r="O271"/>
  <c r="D271"/>
  <c r="U270"/>
  <c r="R270"/>
  <c r="U268"/>
  <c r="R268"/>
  <c r="D268"/>
  <c r="W267"/>
  <c r="W199" s="1"/>
  <c r="V267"/>
  <c r="V199" s="1"/>
  <c r="T267"/>
  <c r="T199" s="1"/>
  <c r="S267"/>
  <c r="S199" s="1"/>
  <c r="Q267"/>
  <c r="Q199" s="1"/>
  <c r="P267"/>
  <c r="P199" s="1"/>
  <c r="U265"/>
  <c r="R265"/>
  <c r="U261"/>
  <c r="R261"/>
  <c r="U257"/>
  <c r="R257"/>
  <c r="N256"/>
  <c r="D256"/>
  <c r="D255"/>
  <c r="U254"/>
  <c r="R254"/>
  <c r="F254"/>
  <c r="E254"/>
  <c r="U251"/>
  <c r="R251"/>
  <c r="N250"/>
  <c r="D250"/>
  <c r="O249"/>
  <c r="N249"/>
  <c r="D249"/>
  <c r="F248"/>
  <c r="E248"/>
  <c r="U247"/>
  <c r="R247"/>
  <c r="N247"/>
  <c r="D247"/>
  <c r="U245"/>
  <c r="R245"/>
  <c r="U242"/>
  <c r="R242"/>
  <c r="U238"/>
  <c r="R238"/>
  <c r="U237"/>
  <c r="R237"/>
  <c r="N237"/>
  <c r="U235"/>
  <c r="R235"/>
  <c r="F235"/>
  <c r="U234"/>
  <c r="R234"/>
  <c r="U231"/>
  <c r="R231"/>
  <c r="U227"/>
  <c r="R227"/>
  <c r="U223"/>
  <c r="R223"/>
  <c r="U220"/>
  <c r="R220"/>
  <c r="U217"/>
  <c r="R217"/>
  <c r="U214"/>
  <c r="R214"/>
  <c r="U211"/>
  <c r="R211"/>
  <c r="N210"/>
  <c r="U206"/>
  <c r="R206"/>
  <c r="N206"/>
  <c r="D206"/>
  <c r="U204"/>
  <c r="R204"/>
  <c r="E204"/>
  <c r="U197"/>
  <c r="R197"/>
  <c r="O197"/>
  <c r="N197"/>
  <c r="J197"/>
  <c r="M197" s="1"/>
  <c r="G197"/>
  <c r="D197"/>
  <c r="W196"/>
  <c r="V196"/>
  <c r="T196"/>
  <c r="S196"/>
  <c r="L196"/>
  <c r="O196" s="1"/>
  <c r="K196"/>
  <c r="N196" s="1"/>
  <c r="I196"/>
  <c r="H196"/>
  <c r="F196"/>
  <c r="E196"/>
  <c r="U195"/>
  <c r="R195"/>
  <c r="D195"/>
  <c r="W194"/>
  <c r="V194"/>
  <c r="T194"/>
  <c r="S194"/>
  <c r="F194"/>
  <c r="E194"/>
  <c r="U193"/>
  <c r="R193"/>
  <c r="O193"/>
  <c r="N193"/>
  <c r="J193"/>
  <c r="M193" s="1"/>
  <c r="G193"/>
  <c r="G190" s="1"/>
  <c r="D193"/>
  <c r="U192"/>
  <c r="R192"/>
  <c r="O192"/>
  <c r="N192"/>
  <c r="M192"/>
  <c r="U191"/>
  <c r="R191"/>
  <c r="O191"/>
  <c r="N191"/>
  <c r="M191"/>
  <c r="W190"/>
  <c r="V190"/>
  <c r="T190"/>
  <c r="S190"/>
  <c r="Q190"/>
  <c r="P190"/>
  <c r="L190"/>
  <c r="O190" s="1"/>
  <c r="K190"/>
  <c r="I190"/>
  <c r="H190"/>
  <c r="F190"/>
  <c r="E190"/>
  <c r="U189"/>
  <c r="R189"/>
  <c r="O189"/>
  <c r="N189"/>
  <c r="J189"/>
  <c r="M189" s="1"/>
  <c r="D189"/>
  <c r="U187"/>
  <c r="R187"/>
  <c r="O187"/>
  <c r="N187"/>
  <c r="J187"/>
  <c r="D187"/>
  <c r="U186"/>
  <c r="R186"/>
  <c r="U185"/>
  <c r="R185"/>
  <c r="O185"/>
  <c r="N185"/>
  <c r="J185"/>
  <c r="M185" s="1"/>
  <c r="G185"/>
  <c r="D185"/>
  <c r="U184"/>
  <c r="R184"/>
  <c r="O184"/>
  <c r="N184"/>
  <c r="J184"/>
  <c r="W183"/>
  <c r="V183"/>
  <c r="T183"/>
  <c r="S183"/>
  <c r="Q183"/>
  <c r="P183"/>
  <c r="E183"/>
  <c r="O182"/>
  <c r="N182"/>
  <c r="J182"/>
  <c r="D182"/>
  <c r="F181"/>
  <c r="E181"/>
  <c r="F179"/>
  <c r="E179"/>
  <c r="U176"/>
  <c r="R176"/>
  <c r="O176"/>
  <c r="N176"/>
  <c r="J176"/>
  <c r="D176"/>
  <c r="U175"/>
  <c r="R175"/>
  <c r="N175"/>
  <c r="I175"/>
  <c r="U174"/>
  <c r="R174"/>
  <c r="N174"/>
  <c r="J174"/>
  <c r="O173"/>
  <c r="N173"/>
  <c r="J173"/>
  <c r="M173" s="1"/>
  <c r="D173"/>
  <c r="U172"/>
  <c r="R172"/>
  <c r="N172"/>
  <c r="J172"/>
  <c r="F172"/>
  <c r="I172" s="1"/>
  <c r="O172" s="1"/>
  <c r="U171"/>
  <c r="R171"/>
  <c r="N171"/>
  <c r="J171"/>
  <c r="F171"/>
  <c r="I171" s="1"/>
  <c r="O171" s="1"/>
  <c r="U170"/>
  <c r="R170"/>
  <c r="O170"/>
  <c r="N170"/>
  <c r="J170"/>
  <c r="M170" s="1"/>
  <c r="N168"/>
  <c r="J168"/>
  <c r="D168"/>
  <c r="U167"/>
  <c r="R167"/>
  <c r="O167"/>
  <c r="N167"/>
  <c r="J167"/>
  <c r="M167" s="1"/>
  <c r="D167"/>
  <c r="W166"/>
  <c r="V166"/>
  <c r="T166"/>
  <c r="S166"/>
  <c r="E166"/>
  <c r="O165"/>
  <c r="N165"/>
  <c r="J165"/>
  <c r="M165" s="1"/>
  <c r="D165"/>
  <c r="O162"/>
  <c r="N162"/>
  <c r="J162"/>
  <c r="M162" s="1"/>
  <c r="D162"/>
  <c r="O160"/>
  <c r="N160"/>
  <c r="J160"/>
  <c r="M160" s="1"/>
  <c r="D160"/>
  <c r="O159"/>
  <c r="N159"/>
  <c r="J159"/>
  <c r="M159" s="1"/>
  <c r="D159"/>
  <c r="U158"/>
  <c r="R158"/>
  <c r="O158"/>
  <c r="N158"/>
  <c r="J158"/>
  <c r="M158" s="1"/>
  <c r="D158"/>
  <c r="U157"/>
  <c r="R157"/>
  <c r="O157"/>
  <c r="N157"/>
  <c r="J157"/>
  <c r="M157" s="1"/>
  <c r="F157"/>
  <c r="U156"/>
  <c r="R156"/>
  <c r="O156"/>
  <c r="N156"/>
  <c r="J156"/>
  <c r="M156" s="1"/>
  <c r="D156"/>
  <c r="U155"/>
  <c r="R155"/>
  <c r="O155"/>
  <c r="N155"/>
  <c r="J155"/>
  <c r="M155" s="1"/>
  <c r="D155"/>
  <c r="U154"/>
  <c r="R154"/>
  <c r="O154"/>
  <c r="N154"/>
  <c r="J154"/>
  <c r="M154" s="1"/>
  <c r="D154"/>
  <c r="U153"/>
  <c r="R153"/>
  <c r="O153"/>
  <c r="N153"/>
  <c r="J153"/>
  <c r="M153" s="1"/>
  <c r="F153"/>
  <c r="U152"/>
  <c r="R152"/>
  <c r="O152"/>
  <c r="N152"/>
  <c r="J152"/>
  <c r="M152" s="1"/>
  <c r="D152"/>
  <c r="U151"/>
  <c r="R151"/>
  <c r="O151"/>
  <c r="N151"/>
  <c r="J151"/>
  <c r="M151" s="1"/>
  <c r="D151"/>
  <c r="U150"/>
  <c r="R150"/>
  <c r="N150"/>
  <c r="J150"/>
  <c r="D150"/>
  <c r="U149"/>
  <c r="R149"/>
  <c r="O149"/>
  <c r="N149"/>
  <c r="J149"/>
  <c r="M149" s="1"/>
  <c r="U148"/>
  <c r="R148"/>
  <c r="N148"/>
  <c r="J148"/>
  <c r="D148"/>
  <c r="U147"/>
  <c r="R147"/>
  <c r="O147"/>
  <c r="N147"/>
  <c r="J147"/>
  <c r="M147" s="1"/>
  <c r="U146"/>
  <c r="R146"/>
  <c r="O146"/>
  <c r="N146"/>
  <c r="J146"/>
  <c r="M146" s="1"/>
  <c r="D146"/>
  <c r="U145"/>
  <c r="R145"/>
  <c r="O145"/>
  <c r="N145"/>
  <c r="J145"/>
  <c r="M145" s="1"/>
  <c r="D145"/>
  <c r="U144"/>
  <c r="R144"/>
  <c r="O144"/>
  <c r="N144"/>
  <c r="J144"/>
  <c r="M144" s="1"/>
  <c r="D144"/>
  <c r="U143"/>
  <c r="R143"/>
  <c r="O143"/>
  <c r="N143"/>
  <c r="J143"/>
  <c r="M143" s="1"/>
  <c r="U142"/>
  <c r="R142"/>
  <c r="O142"/>
  <c r="N142"/>
  <c r="J142"/>
  <c r="M142" s="1"/>
  <c r="D142"/>
  <c r="U141"/>
  <c r="R141"/>
  <c r="O141"/>
  <c r="N141"/>
  <c r="J141"/>
  <c r="M141" s="1"/>
  <c r="D141"/>
  <c r="U140"/>
  <c r="R140"/>
  <c r="O140"/>
  <c r="N140"/>
  <c r="J140"/>
  <c r="M140" s="1"/>
  <c r="U139"/>
  <c r="R139"/>
  <c r="O139"/>
  <c r="N139"/>
  <c r="J139"/>
  <c r="M139" s="1"/>
  <c r="D139"/>
  <c r="U138"/>
  <c r="R138"/>
  <c r="O138"/>
  <c r="N138"/>
  <c r="J138"/>
  <c r="M138" s="1"/>
  <c r="D138"/>
  <c r="U137"/>
  <c r="R137"/>
  <c r="O137"/>
  <c r="N137"/>
  <c r="J137"/>
  <c r="M137" s="1"/>
  <c r="U136"/>
  <c r="R136"/>
  <c r="O136"/>
  <c r="N136"/>
  <c r="J136"/>
  <c r="M136" s="1"/>
  <c r="U135"/>
  <c r="R135"/>
  <c r="O135"/>
  <c r="N135"/>
  <c r="J135"/>
  <c r="M135" s="1"/>
  <c r="U134"/>
  <c r="R134"/>
  <c r="O134"/>
  <c r="N134"/>
  <c r="J134"/>
  <c r="M134" s="1"/>
  <c r="U133"/>
  <c r="R133"/>
  <c r="O133"/>
  <c r="N133"/>
  <c r="J133"/>
  <c r="M133" s="1"/>
  <c r="D133"/>
  <c r="U132"/>
  <c r="R132"/>
  <c r="O132"/>
  <c r="N132"/>
  <c r="J132"/>
  <c r="M132" s="1"/>
  <c r="D132"/>
  <c r="U131"/>
  <c r="R131"/>
  <c r="O131"/>
  <c r="N131"/>
  <c r="J131"/>
  <c r="M131" s="1"/>
  <c r="U130"/>
  <c r="R130"/>
  <c r="O130"/>
  <c r="N130"/>
  <c r="J130"/>
  <c r="M130" s="1"/>
  <c r="D130"/>
  <c r="U129"/>
  <c r="R129"/>
  <c r="O129"/>
  <c r="N129"/>
  <c r="J129"/>
  <c r="M129" s="1"/>
  <c r="D129"/>
  <c r="W128"/>
  <c r="V128"/>
  <c r="T128"/>
  <c r="S128"/>
  <c r="E128"/>
  <c r="U125"/>
  <c r="R125"/>
  <c r="O125"/>
  <c r="N125"/>
  <c r="J125"/>
  <c r="D125"/>
  <c r="W123"/>
  <c r="V123"/>
  <c r="V122"/>
  <c r="T123"/>
  <c r="T122" s="1"/>
  <c r="S123"/>
  <c r="U117"/>
  <c r="R117"/>
  <c r="O117"/>
  <c r="N117"/>
  <c r="J117"/>
  <c r="D117"/>
  <c r="W115"/>
  <c r="W111" s="1"/>
  <c r="V115"/>
  <c r="V111" s="1"/>
  <c r="T115"/>
  <c r="T111" s="1"/>
  <c r="S115"/>
  <c r="S111" s="1"/>
  <c r="U112"/>
  <c r="R112"/>
  <c r="U110"/>
  <c r="R110"/>
  <c r="O110"/>
  <c r="N110"/>
  <c r="J110"/>
  <c r="M110" s="1"/>
  <c r="D110"/>
  <c r="W109"/>
  <c r="V109"/>
  <c r="T109"/>
  <c r="S109"/>
  <c r="Q109"/>
  <c r="P109"/>
  <c r="L109"/>
  <c r="O109" s="1"/>
  <c r="K109"/>
  <c r="N109" s="1"/>
  <c r="F109"/>
  <c r="I109" s="1"/>
  <c r="E109"/>
  <c r="H109" s="1"/>
  <c r="U108"/>
  <c r="R108"/>
  <c r="N108"/>
  <c r="J108"/>
  <c r="D108"/>
  <c r="W106"/>
  <c r="W105" s="1"/>
  <c r="V106"/>
  <c r="V105" s="1"/>
  <c r="T106"/>
  <c r="S106"/>
  <c r="S105" s="1"/>
  <c r="Q105"/>
  <c r="P105"/>
  <c r="U104"/>
  <c r="R104"/>
  <c r="N104"/>
  <c r="J104"/>
  <c r="D104"/>
  <c r="W102"/>
  <c r="W101" s="1"/>
  <c r="V102"/>
  <c r="V101" s="1"/>
  <c r="T102"/>
  <c r="T101" s="1"/>
  <c r="S102"/>
  <c r="S101" s="1"/>
  <c r="Q101"/>
  <c r="P101"/>
  <c r="U100"/>
  <c r="R100"/>
  <c r="O100"/>
  <c r="N100"/>
  <c r="J100"/>
  <c r="D100"/>
  <c r="U99"/>
  <c r="R99"/>
  <c r="J99"/>
  <c r="D99"/>
  <c r="W98"/>
  <c r="W97" s="1"/>
  <c r="V98"/>
  <c r="T98"/>
  <c r="T97" s="1"/>
  <c r="S98"/>
  <c r="S97" s="1"/>
  <c r="L98"/>
  <c r="L97" s="1"/>
  <c r="K98"/>
  <c r="K97" s="1"/>
  <c r="F98"/>
  <c r="I98" s="1"/>
  <c r="E98"/>
  <c r="E97" s="1"/>
  <c r="H97" s="1"/>
  <c r="Q97"/>
  <c r="P97"/>
  <c r="U91"/>
  <c r="R91"/>
  <c r="O91"/>
  <c r="N91"/>
  <c r="J91"/>
  <c r="M91" s="1"/>
  <c r="D91"/>
  <c r="U90"/>
  <c r="U89" s="1"/>
  <c r="R90"/>
  <c r="R89" s="1"/>
  <c r="D90"/>
  <c r="W89"/>
  <c r="V89"/>
  <c r="T89"/>
  <c r="S89"/>
  <c r="Q89"/>
  <c r="P89"/>
  <c r="F89"/>
  <c r="E89"/>
  <c r="U88"/>
  <c r="U87" s="1"/>
  <c r="R88"/>
  <c r="R87" s="1"/>
  <c r="O88"/>
  <c r="N88"/>
  <c r="J88"/>
  <c r="M88" s="1"/>
  <c r="D88"/>
  <c r="W87"/>
  <c r="V87"/>
  <c r="T87"/>
  <c r="S87"/>
  <c r="Q87"/>
  <c r="P87"/>
  <c r="L87"/>
  <c r="O87" s="1"/>
  <c r="K87"/>
  <c r="N87" s="1"/>
  <c r="F87"/>
  <c r="I87" s="1"/>
  <c r="E87"/>
  <c r="H87" s="1"/>
  <c r="U86"/>
  <c r="R86"/>
  <c r="J86"/>
  <c r="D86"/>
  <c r="W85"/>
  <c r="V85"/>
  <c r="T85"/>
  <c r="S85"/>
  <c r="L85"/>
  <c r="K85"/>
  <c r="F85"/>
  <c r="I85" s="1"/>
  <c r="E85"/>
  <c r="H85" s="1"/>
  <c r="U84"/>
  <c r="R84"/>
  <c r="O84"/>
  <c r="N84"/>
  <c r="J84"/>
  <c r="M84" s="1"/>
  <c r="D84"/>
  <c r="W83"/>
  <c r="V83"/>
  <c r="T83"/>
  <c r="S83"/>
  <c r="L83"/>
  <c r="K83"/>
  <c r="N83" s="1"/>
  <c r="F83"/>
  <c r="I83" s="1"/>
  <c r="E83"/>
  <c r="Q82"/>
  <c r="P82"/>
  <c r="U79"/>
  <c r="R79"/>
  <c r="N79"/>
  <c r="J79"/>
  <c r="D79"/>
  <c r="W78"/>
  <c r="V78"/>
  <c r="T78"/>
  <c r="S78"/>
  <c r="L78"/>
  <c r="J78" s="1"/>
  <c r="K78"/>
  <c r="N78" s="1"/>
  <c r="F78"/>
  <c r="I78" s="1"/>
  <c r="E78"/>
  <c r="H78" s="1"/>
  <c r="U77"/>
  <c r="U76" s="1"/>
  <c r="R77"/>
  <c r="R76" s="1"/>
  <c r="N77"/>
  <c r="J77"/>
  <c r="D77"/>
  <c r="W76"/>
  <c r="V76"/>
  <c r="T76"/>
  <c r="S76"/>
  <c r="Q76"/>
  <c r="P76"/>
  <c r="L76"/>
  <c r="K76"/>
  <c r="F76"/>
  <c r="I76" s="1"/>
  <c r="E76"/>
  <c r="H76" s="1"/>
  <c r="U74"/>
  <c r="R74"/>
  <c r="O74"/>
  <c r="N74"/>
  <c r="J74"/>
  <c r="M74" s="1"/>
  <c r="D74"/>
  <c r="U73"/>
  <c r="R73"/>
  <c r="O73"/>
  <c r="N73"/>
  <c r="J73"/>
  <c r="M73" s="1"/>
  <c r="D73"/>
  <c r="U72"/>
  <c r="R72"/>
  <c r="O72"/>
  <c r="N72"/>
  <c r="J72"/>
  <c r="M72" s="1"/>
  <c r="D72"/>
  <c r="O71"/>
  <c r="N71"/>
  <c r="J71"/>
  <c r="M71" s="1"/>
  <c r="W70"/>
  <c r="V70"/>
  <c r="T70"/>
  <c r="S70"/>
  <c r="L70"/>
  <c r="O70" s="1"/>
  <c r="K70"/>
  <c r="N70" s="1"/>
  <c r="E70"/>
  <c r="H70" s="1"/>
  <c r="U69"/>
  <c r="R69"/>
  <c r="O69"/>
  <c r="N69"/>
  <c r="J69"/>
  <c r="M69" s="1"/>
  <c r="D69"/>
  <c r="U68"/>
  <c r="R68"/>
  <c r="O68"/>
  <c r="N68"/>
  <c r="J68"/>
  <c r="M68" s="1"/>
  <c r="D68"/>
  <c r="U67"/>
  <c r="R67"/>
  <c r="O67"/>
  <c r="N67"/>
  <c r="J67"/>
  <c r="M67" s="1"/>
  <c r="U66"/>
  <c r="R66"/>
  <c r="N66"/>
  <c r="J66"/>
  <c r="F66"/>
  <c r="I66" s="1"/>
  <c r="O66" s="1"/>
  <c r="U65"/>
  <c r="R65"/>
  <c r="O65"/>
  <c r="N65"/>
  <c r="J65"/>
  <c r="M65" s="1"/>
  <c r="D65"/>
  <c r="W64"/>
  <c r="V64"/>
  <c r="T64"/>
  <c r="S64"/>
  <c r="L64"/>
  <c r="J64" s="1"/>
  <c r="K64"/>
  <c r="N64" s="1"/>
  <c r="E64"/>
  <c r="H64" s="1"/>
  <c r="U63"/>
  <c r="R63"/>
  <c r="O63"/>
  <c r="N63"/>
  <c r="J63"/>
  <c r="M63" s="1"/>
  <c r="D63"/>
  <c r="U62"/>
  <c r="R62"/>
  <c r="O62"/>
  <c r="N62"/>
  <c r="J62"/>
  <c r="M62" s="1"/>
  <c r="D62"/>
  <c r="W61"/>
  <c r="V61"/>
  <c r="T61"/>
  <c r="S61"/>
  <c r="L61"/>
  <c r="O61" s="1"/>
  <c r="K61"/>
  <c r="N61" s="1"/>
  <c r="F61"/>
  <c r="I61" s="1"/>
  <c r="E61"/>
  <c r="H61" s="1"/>
  <c r="U60"/>
  <c r="R60"/>
  <c r="N60"/>
  <c r="J60"/>
  <c r="F60"/>
  <c r="U59"/>
  <c r="R59"/>
  <c r="O59"/>
  <c r="N59"/>
  <c r="J59"/>
  <c r="M59" s="1"/>
  <c r="D59"/>
  <c r="W58"/>
  <c r="V58"/>
  <c r="T58"/>
  <c r="S58"/>
  <c r="L58"/>
  <c r="K58"/>
  <c r="N58" s="1"/>
  <c r="E58"/>
  <c r="H58" s="1"/>
  <c r="U57"/>
  <c r="R57"/>
  <c r="N57"/>
  <c r="J57"/>
  <c r="D57"/>
  <c r="W56"/>
  <c r="V56"/>
  <c r="T56"/>
  <c r="R56" s="1"/>
  <c r="S56"/>
  <c r="L56"/>
  <c r="K56"/>
  <c r="N56" s="1"/>
  <c r="F56"/>
  <c r="I56" s="1"/>
  <c r="E56"/>
  <c r="H56" s="1"/>
  <c r="U55"/>
  <c r="R55"/>
  <c r="N55"/>
  <c r="J55"/>
  <c r="F55"/>
  <c r="D55" s="1"/>
  <c r="O54"/>
  <c r="N54"/>
  <c r="J54"/>
  <c r="M54" s="1"/>
  <c r="D54"/>
  <c r="O53"/>
  <c r="N53"/>
  <c r="J53"/>
  <c r="M53" s="1"/>
  <c r="D53"/>
  <c r="O52"/>
  <c r="N52"/>
  <c r="J52"/>
  <c r="M52" s="1"/>
  <c r="D52"/>
  <c r="U51"/>
  <c r="R51"/>
  <c r="O51"/>
  <c r="N51"/>
  <c r="J51"/>
  <c r="M51" s="1"/>
  <c r="D51"/>
  <c r="W50"/>
  <c r="V50"/>
  <c r="T50"/>
  <c r="S50"/>
  <c r="L50"/>
  <c r="K50"/>
  <c r="N50" s="1"/>
  <c r="E50"/>
  <c r="H50" s="1"/>
  <c r="U49"/>
  <c r="R49"/>
  <c r="O49"/>
  <c r="N49"/>
  <c r="J49"/>
  <c r="M49" s="1"/>
  <c r="D49"/>
  <c r="U48"/>
  <c r="R48"/>
  <c r="O48"/>
  <c r="N48"/>
  <c r="J48"/>
  <c r="M48" s="1"/>
  <c r="D48"/>
  <c r="W47"/>
  <c r="V47"/>
  <c r="T47"/>
  <c r="S47"/>
  <c r="L47"/>
  <c r="O47" s="1"/>
  <c r="K47"/>
  <c r="N47" s="1"/>
  <c r="F47"/>
  <c r="I47" s="1"/>
  <c r="E47"/>
  <c r="H47" s="1"/>
  <c r="U46"/>
  <c r="R46"/>
  <c r="N46"/>
  <c r="J46"/>
  <c r="D46"/>
  <c r="U45"/>
  <c r="R45"/>
  <c r="N45"/>
  <c r="J45"/>
  <c r="D45"/>
  <c r="U44"/>
  <c r="R44"/>
  <c r="O44"/>
  <c r="N44"/>
  <c r="J44"/>
  <c r="M44" s="1"/>
  <c r="W43"/>
  <c r="V43"/>
  <c r="T43"/>
  <c r="S43"/>
  <c r="L43"/>
  <c r="K43"/>
  <c r="N43" s="1"/>
  <c r="E43"/>
  <c r="H43" s="1"/>
  <c r="U42"/>
  <c r="R42"/>
  <c r="N42"/>
  <c r="J42"/>
  <c r="I42"/>
  <c r="W41"/>
  <c r="V41"/>
  <c r="T41"/>
  <c r="S41"/>
  <c r="L41"/>
  <c r="K41"/>
  <c r="N41" s="1"/>
  <c r="E41"/>
  <c r="H41" s="1"/>
  <c r="U40"/>
  <c r="R40"/>
  <c r="O40"/>
  <c r="N40"/>
  <c r="J40"/>
  <c r="M40" s="1"/>
  <c r="D40"/>
  <c r="U39"/>
  <c r="R39"/>
  <c r="N39"/>
  <c r="J39"/>
  <c r="D39"/>
  <c r="U38"/>
  <c r="R38"/>
  <c r="N38"/>
  <c r="J38"/>
  <c r="D38"/>
  <c r="U37"/>
  <c r="R37"/>
  <c r="N37"/>
  <c r="J37"/>
  <c r="D37"/>
  <c r="W36"/>
  <c r="V36"/>
  <c r="T36"/>
  <c r="S36"/>
  <c r="Q36"/>
  <c r="P36"/>
  <c r="L36"/>
  <c r="K36"/>
  <c r="N36" s="1"/>
  <c r="F36"/>
  <c r="E36"/>
  <c r="U34"/>
  <c r="R34"/>
  <c r="O34"/>
  <c r="N34"/>
  <c r="J34"/>
  <c r="M34" s="1"/>
  <c r="I34"/>
  <c r="W33"/>
  <c r="V33"/>
  <c r="T33"/>
  <c r="S33"/>
  <c r="U32"/>
  <c r="R32"/>
  <c r="O32"/>
  <c r="N32"/>
  <c r="J32"/>
  <c r="M32" s="1"/>
  <c r="D32"/>
  <c r="W31"/>
  <c r="V31"/>
  <c r="T31"/>
  <c r="S31"/>
  <c r="L31"/>
  <c r="O31" s="1"/>
  <c r="K31"/>
  <c r="N31" s="1"/>
  <c r="E31"/>
  <c r="H31" s="1"/>
  <c r="U30"/>
  <c r="R30"/>
  <c r="O30"/>
  <c r="N30"/>
  <c r="J30"/>
  <c r="M30" s="1"/>
  <c r="F30"/>
  <c r="I30" s="1"/>
  <c r="W29"/>
  <c r="V29"/>
  <c r="T29"/>
  <c r="S29"/>
  <c r="L29"/>
  <c r="O29" s="1"/>
  <c r="K29"/>
  <c r="N29" s="1"/>
  <c r="E29"/>
  <c r="H29" s="1"/>
  <c r="O28"/>
  <c r="N28"/>
  <c r="M28"/>
  <c r="D28"/>
  <c r="U27"/>
  <c r="R27"/>
  <c r="O27"/>
  <c r="N27"/>
  <c r="J27"/>
  <c r="M27" s="1"/>
  <c r="D27"/>
  <c r="U25"/>
  <c r="R25"/>
  <c r="N25"/>
  <c r="J25"/>
  <c r="D25"/>
  <c r="W24"/>
  <c r="V24"/>
  <c r="T24"/>
  <c r="S24"/>
  <c r="K24"/>
  <c r="N24" s="1"/>
  <c r="F24"/>
  <c r="E24"/>
  <c r="R23"/>
  <c r="O23"/>
  <c r="N23"/>
  <c r="J23"/>
  <c r="M23" s="1"/>
  <c r="D23"/>
  <c r="U22"/>
  <c r="R22"/>
  <c r="O22"/>
  <c r="N22"/>
  <c r="J22"/>
  <c r="M22" s="1"/>
  <c r="D22"/>
  <c r="W21"/>
  <c r="V21"/>
  <c r="T21"/>
  <c r="S21"/>
  <c r="L21"/>
  <c r="O21" s="1"/>
  <c r="K21"/>
  <c r="N21" s="1"/>
  <c r="F21"/>
  <c r="E21"/>
  <c r="H21" s="1"/>
  <c r="U20"/>
  <c r="R20"/>
  <c r="O20"/>
  <c r="N20"/>
  <c r="J20"/>
  <c r="M20" s="1"/>
  <c r="D20"/>
  <c r="W19"/>
  <c r="V19"/>
  <c r="T19"/>
  <c r="S19"/>
  <c r="L19"/>
  <c r="O19" s="1"/>
  <c r="K19"/>
  <c r="N19" s="1"/>
  <c r="F19"/>
  <c r="E19"/>
  <c r="U17"/>
  <c r="R17"/>
  <c r="N17"/>
  <c r="J17"/>
  <c r="D17"/>
  <c r="W16"/>
  <c r="V16"/>
  <c r="T16"/>
  <c r="S16"/>
  <c r="L16"/>
  <c r="K16"/>
  <c r="H156" i="60"/>
  <c r="I155"/>
  <c r="O155" s="1"/>
  <c r="H155"/>
  <c r="N155" s="1"/>
  <c r="I154"/>
  <c r="H154"/>
  <c r="G154" s="1"/>
  <c r="I153"/>
  <c r="O153" s="1"/>
  <c r="H153"/>
  <c r="I152"/>
  <c r="H152"/>
  <c r="I151"/>
  <c r="O151" s="1"/>
  <c r="H151"/>
  <c r="I150"/>
  <c r="H150"/>
  <c r="I144"/>
  <c r="H144"/>
  <c r="G144" s="1"/>
  <c r="I142"/>
  <c r="O142" s="1"/>
  <c r="H142"/>
  <c r="I141"/>
  <c r="H141"/>
  <c r="I140"/>
  <c r="O140" s="1"/>
  <c r="H140"/>
  <c r="I137"/>
  <c r="H137"/>
  <c r="H136"/>
  <c r="I135"/>
  <c r="H135"/>
  <c r="N135" s="1"/>
  <c r="H134"/>
  <c r="I133"/>
  <c r="H133"/>
  <c r="I130"/>
  <c r="H130"/>
  <c r="G130" s="1"/>
  <c r="I129"/>
  <c r="H129"/>
  <c r="I127"/>
  <c r="H127"/>
  <c r="I126"/>
  <c r="H126"/>
  <c r="I123"/>
  <c r="H123"/>
  <c r="I121"/>
  <c r="H121"/>
  <c r="G121" s="1"/>
  <c r="I120"/>
  <c r="H120"/>
  <c r="I119"/>
  <c r="H119"/>
  <c r="I118"/>
  <c r="H118"/>
  <c r="I117"/>
  <c r="O117" s="1"/>
  <c r="H117"/>
  <c r="G117" s="1"/>
  <c r="I115"/>
  <c r="H115"/>
  <c r="I114"/>
  <c r="G114" s="1"/>
  <c r="H114"/>
  <c r="I113"/>
  <c r="H113"/>
  <c r="I111"/>
  <c r="H111"/>
  <c r="G111" s="1"/>
  <c r="I110"/>
  <c r="H110"/>
  <c r="I106"/>
  <c r="O106" s="1"/>
  <c r="H106"/>
  <c r="N106" s="1"/>
  <c r="H105"/>
  <c r="H104"/>
  <c r="N104" s="1"/>
  <c r="I93"/>
  <c r="H93"/>
  <c r="N93" s="1"/>
  <c r="I92"/>
  <c r="H92"/>
  <c r="I91"/>
  <c r="O91" s="1"/>
  <c r="H91"/>
  <c r="H90"/>
  <c r="I89"/>
  <c r="H89"/>
  <c r="I87"/>
  <c r="H87"/>
  <c r="I86"/>
  <c r="H86"/>
  <c r="I74"/>
  <c r="H74"/>
  <c r="H73"/>
  <c r="H72"/>
  <c r="H70"/>
  <c r="H69"/>
  <c r="H68"/>
  <c r="I67"/>
  <c r="H67"/>
  <c r="I53"/>
  <c r="H53"/>
  <c r="I50"/>
  <c r="H50"/>
  <c r="I48"/>
  <c r="H48"/>
  <c r="I46"/>
  <c r="H46"/>
  <c r="H45" s="1"/>
  <c r="I44"/>
  <c r="H44"/>
  <c r="I43"/>
  <c r="H43"/>
  <c r="G43" s="1"/>
  <c r="I40"/>
  <c r="H40"/>
  <c r="G40" s="1"/>
  <c r="I39"/>
  <c r="H39"/>
  <c r="I36"/>
  <c r="G36" s="1"/>
  <c r="H36"/>
  <c r="H32" s="1"/>
  <c r="I35"/>
  <c r="H35"/>
  <c r="I24"/>
  <c r="I23" s="1"/>
  <c r="G23" s="1"/>
  <c r="H24"/>
  <c r="I22"/>
  <c r="O22" s="1"/>
  <c r="H22"/>
  <c r="O135"/>
  <c r="A26"/>
  <c r="A29"/>
  <c r="A55"/>
  <c r="A56"/>
  <c r="A57"/>
  <c r="A58"/>
  <c r="A59" s="1"/>
  <c r="A60"/>
  <c r="A61" s="1"/>
  <c r="A62"/>
  <c r="A66"/>
  <c r="A75"/>
  <c r="A77"/>
  <c r="A78" s="1"/>
  <c r="A79" s="1"/>
  <c r="A81"/>
  <c r="W162"/>
  <c r="V162"/>
  <c r="U162" s="1"/>
  <c r="T162"/>
  <c r="S162"/>
  <c r="R162" s="1"/>
  <c r="L162"/>
  <c r="O162" s="1"/>
  <c r="K162"/>
  <c r="N162" s="1"/>
  <c r="I162"/>
  <c r="H162"/>
  <c r="G162" s="1"/>
  <c r="F162"/>
  <c r="E162"/>
  <c r="D162" s="1"/>
  <c r="O161"/>
  <c r="N161"/>
  <c r="J161"/>
  <c r="M161" s="1"/>
  <c r="U160"/>
  <c r="R160"/>
  <c r="O160"/>
  <c r="N160"/>
  <c r="J160"/>
  <c r="M160" s="1"/>
  <c r="G160"/>
  <c r="D160"/>
  <c r="U159"/>
  <c r="R159"/>
  <c r="O159"/>
  <c r="N159"/>
  <c r="J159"/>
  <c r="M159" s="1"/>
  <c r="G159"/>
  <c r="D159"/>
  <c r="W158"/>
  <c r="V158"/>
  <c r="T158"/>
  <c r="S158"/>
  <c r="L158"/>
  <c r="K158"/>
  <c r="I158"/>
  <c r="H158"/>
  <c r="F158"/>
  <c r="E158"/>
  <c r="U157"/>
  <c r="R157"/>
  <c r="O157"/>
  <c r="N157"/>
  <c r="J157"/>
  <c r="M157" s="1"/>
  <c r="G157"/>
  <c r="D157"/>
  <c r="U156"/>
  <c r="R156"/>
  <c r="O156"/>
  <c r="N156"/>
  <c r="J156"/>
  <c r="M156" s="1"/>
  <c r="F156"/>
  <c r="F149" s="1"/>
  <c r="U155"/>
  <c r="R155"/>
  <c r="J155"/>
  <c r="D155"/>
  <c r="U154"/>
  <c r="R154"/>
  <c r="L154"/>
  <c r="K154"/>
  <c r="D154"/>
  <c r="U153"/>
  <c r="R153"/>
  <c r="N153"/>
  <c r="J153"/>
  <c r="D153"/>
  <c r="U152"/>
  <c r="R152"/>
  <c r="K152"/>
  <c r="D152"/>
  <c r="U151"/>
  <c r="R151"/>
  <c r="J151"/>
  <c r="D151"/>
  <c r="U150"/>
  <c r="R150"/>
  <c r="J150"/>
  <c r="D150"/>
  <c r="W149"/>
  <c r="V149"/>
  <c r="T149"/>
  <c r="S149"/>
  <c r="E149"/>
  <c r="E148"/>
  <c r="S148"/>
  <c r="U147"/>
  <c r="R147"/>
  <c r="O147"/>
  <c r="N147"/>
  <c r="J147"/>
  <c r="M147" s="1"/>
  <c r="G147"/>
  <c r="D147"/>
  <c r="U146"/>
  <c r="R146"/>
  <c r="O146"/>
  <c r="N146"/>
  <c r="J146"/>
  <c r="M146" s="1"/>
  <c r="G146"/>
  <c r="D146"/>
  <c r="U145"/>
  <c r="R145"/>
  <c r="O145"/>
  <c r="N145"/>
  <c r="J145"/>
  <c r="M145" s="1"/>
  <c r="G145"/>
  <c r="D145"/>
  <c r="U144"/>
  <c r="R144"/>
  <c r="O144"/>
  <c r="N144"/>
  <c r="J144"/>
  <c r="M144" s="1"/>
  <c r="D144"/>
  <c r="X144" s="1"/>
  <c r="U143"/>
  <c r="R143"/>
  <c r="O143"/>
  <c r="N143"/>
  <c r="J143"/>
  <c r="M143" s="1"/>
  <c r="G143"/>
  <c r="D143"/>
  <c r="U142"/>
  <c r="R142"/>
  <c r="J142"/>
  <c r="D142"/>
  <c r="O141"/>
  <c r="N141"/>
  <c r="J141"/>
  <c r="M141" s="1"/>
  <c r="D141"/>
  <c r="J140"/>
  <c r="D140"/>
  <c r="U139"/>
  <c r="R139"/>
  <c r="L139"/>
  <c r="K139"/>
  <c r="F139"/>
  <c r="I139" s="1"/>
  <c r="E139"/>
  <c r="H139" s="1"/>
  <c r="U138"/>
  <c r="R138"/>
  <c r="O138"/>
  <c r="N138"/>
  <c r="J138"/>
  <c r="M138" s="1"/>
  <c r="G138"/>
  <c r="D138"/>
  <c r="U137"/>
  <c r="R137"/>
  <c r="O137"/>
  <c r="N137"/>
  <c r="J137"/>
  <c r="M137" s="1"/>
  <c r="D137"/>
  <c r="U136"/>
  <c r="R136"/>
  <c r="O136"/>
  <c r="N136"/>
  <c r="J136"/>
  <c r="M136" s="1"/>
  <c r="F136"/>
  <c r="D136" s="1"/>
  <c r="U135"/>
  <c r="R135"/>
  <c r="J135"/>
  <c r="D135"/>
  <c r="U134"/>
  <c r="R134"/>
  <c r="O134"/>
  <c r="N134"/>
  <c r="J134"/>
  <c r="M134" s="1"/>
  <c r="F134"/>
  <c r="I134" s="1"/>
  <c r="U133"/>
  <c r="R133"/>
  <c r="O133"/>
  <c r="N133"/>
  <c r="J133"/>
  <c r="M133" s="1"/>
  <c r="D133"/>
  <c r="U132"/>
  <c r="R132"/>
  <c r="J132"/>
  <c r="F132"/>
  <c r="E132"/>
  <c r="H132" s="1"/>
  <c r="N132" s="1"/>
  <c r="U131"/>
  <c r="R131"/>
  <c r="L131"/>
  <c r="J131" s="1"/>
  <c r="K131"/>
  <c r="U130"/>
  <c r="R130"/>
  <c r="O130"/>
  <c r="N130"/>
  <c r="J130"/>
  <c r="M130" s="1"/>
  <c r="D130"/>
  <c r="U129"/>
  <c r="R129"/>
  <c r="O129"/>
  <c r="N129"/>
  <c r="J129"/>
  <c r="M129" s="1"/>
  <c r="D129"/>
  <c r="U128"/>
  <c r="R128"/>
  <c r="L128"/>
  <c r="O128" s="1"/>
  <c r="K128"/>
  <c r="N128" s="1"/>
  <c r="F128"/>
  <c r="E128"/>
  <c r="H128" s="1"/>
  <c r="U127"/>
  <c r="R127"/>
  <c r="O127"/>
  <c r="N127"/>
  <c r="J127"/>
  <c r="M127" s="1"/>
  <c r="D127"/>
  <c r="U126"/>
  <c r="R126"/>
  <c r="O126"/>
  <c r="N126"/>
  <c r="J126"/>
  <c r="M126" s="1"/>
  <c r="D126"/>
  <c r="U125"/>
  <c r="R125"/>
  <c r="L125"/>
  <c r="O125" s="1"/>
  <c r="K125"/>
  <c r="F125"/>
  <c r="E125"/>
  <c r="U124"/>
  <c r="R124"/>
  <c r="O124"/>
  <c r="N124"/>
  <c r="J124"/>
  <c r="M124" s="1"/>
  <c r="G124"/>
  <c r="D124"/>
  <c r="U123"/>
  <c r="R123"/>
  <c r="O123"/>
  <c r="N123"/>
  <c r="J123"/>
  <c r="M123" s="1"/>
  <c r="D123"/>
  <c r="W122"/>
  <c r="W82" s="1"/>
  <c r="V122"/>
  <c r="V82" s="1"/>
  <c r="T122"/>
  <c r="S122"/>
  <c r="S82" s="1"/>
  <c r="Q122"/>
  <c r="Q82" s="1"/>
  <c r="Q65" s="1"/>
  <c r="P122"/>
  <c r="P82" s="1"/>
  <c r="P65" s="1"/>
  <c r="L122"/>
  <c r="K122"/>
  <c r="N122" s="1"/>
  <c r="F122"/>
  <c r="I122" s="1"/>
  <c r="E122"/>
  <c r="H122" s="1"/>
  <c r="U121"/>
  <c r="R121"/>
  <c r="O121"/>
  <c r="N121"/>
  <c r="J121"/>
  <c r="M121" s="1"/>
  <c r="D121"/>
  <c r="U120"/>
  <c r="R120"/>
  <c r="O120"/>
  <c r="N120"/>
  <c r="J120"/>
  <c r="M120" s="1"/>
  <c r="D120"/>
  <c r="U119"/>
  <c r="R119"/>
  <c r="O119"/>
  <c r="N119"/>
  <c r="J119"/>
  <c r="M119" s="1"/>
  <c r="D119"/>
  <c r="O118"/>
  <c r="N118"/>
  <c r="J118"/>
  <c r="M118" s="1"/>
  <c r="D118"/>
  <c r="J117"/>
  <c r="D117"/>
  <c r="U116"/>
  <c r="R116"/>
  <c r="L116"/>
  <c r="K116"/>
  <c r="F116"/>
  <c r="I116" s="1"/>
  <c r="E116"/>
  <c r="A145"/>
  <c r="U115"/>
  <c r="R115"/>
  <c r="O115"/>
  <c r="N115"/>
  <c r="J115"/>
  <c r="M115" s="1"/>
  <c r="D115"/>
  <c r="O114"/>
  <c r="N114"/>
  <c r="J114"/>
  <c r="M114" s="1"/>
  <c r="D114"/>
  <c r="O113"/>
  <c r="N113"/>
  <c r="J113"/>
  <c r="M113" s="1"/>
  <c r="D113"/>
  <c r="L112"/>
  <c r="O112" s="1"/>
  <c r="K112"/>
  <c r="F112"/>
  <c r="E112"/>
  <c r="U111"/>
  <c r="R111"/>
  <c r="O111"/>
  <c r="N111"/>
  <c r="J111"/>
  <c r="M111" s="1"/>
  <c r="D111"/>
  <c r="O110"/>
  <c r="N110"/>
  <c r="J110"/>
  <c r="M110" s="1"/>
  <c r="D110"/>
  <c r="U109"/>
  <c r="R109"/>
  <c r="O109"/>
  <c r="N109"/>
  <c r="J109"/>
  <c r="M109" s="1"/>
  <c r="G109"/>
  <c r="D109"/>
  <c r="U108"/>
  <c r="R108"/>
  <c r="L108"/>
  <c r="O108" s="1"/>
  <c r="K108"/>
  <c r="F108"/>
  <c r="I108" s="1"/>
  <c r="E108"/>
  <c r="H108" s="1"/>
  <c r="U107"/>
  <c r="R107"/>
  <c r="J107"/>
  <c r="F107"/>
  <c r="I107" s="1"/>
  <c r="O107" s="1"/>
  <c r="E107"/>
  <c r="H107" s="1"/>
  <c r="U106"/>
  <c r="R106"/>
  <c r="J106"/>
  <c r="D106"/>
  <c r="U105"/>
  <c r="R105"/>
  <c r="O105"/>
  <c r="N105"/>
  <c r="J105"/>
  <c r="M105" s="1"/>
  <c r="F105"/>
  <c r="U104"/>
  <c r="R104"/>
  <c r="J104"/>
  <c r="F104"/>
  <c r="U103"/>
  <c r="R103"/>
  <c r="O103"/>
  <c r="N103"/>
  <c r="J103"/>
  <c r="M103" s="1"/>
  <c r="G103"/>
  <c r="D103"/>
  <c r="U102"/>
  <c r="R102"/>
  <c r="O102"/>
  <c r="N102"/>
  <c r="J102"/>
  <c r="M102" s="1"/>
  <c r="G102"/>
  <c r="D102"/>
  <c r="U101"/>
  <c r="R101"/>
  <c r="O101"/>
  <c r="N101"/>
  <c r="J101"/>
  <c r="M101" s="1"/>
  <c r="G101"/>
  <c r="D101"/>
  <c r="U100"/>
  <c r="R100"/>
  <c r="L100"/>
  <c r="K100"/>
  <c r="E100"/>
  <c r="H100" s="1"/>
  <c r="U99"/>
  <c r="R99"/>
  <c r="O99"/>
  <c r="N99"/>
  <c r="J99"/>
  <c r="M99" s="1"/>
  <c r="G99"/>
  <c r="D99"/>
  <c r="U98"/>
  <c r="R98"/>
  <c r="O98"/>
  <c r="N98"/>
  <c r="J98"/>
  <c r="M98" s="1"/>
  <c r="G98"/>
  <c r="D98"/>
  <c r="U97"/>
  <c r="R97"/>
  <c r="J97"/>
  <c r="F97"/>
  <c r="I97" s="1"/>
  <c r="O97" s="1"/>
  <c r="E97"/>
  <c r="H97" s="1"/>
  <c r="U96"/>
  <c r="R96"/>
  <c r="O96"/>
  <c r="N96"/>
  <c r="J96"/>
  <c r="M96" s="1"/>
  <c r="F96"/>
  <c r="E96"/>
  <c r="H96" s="1"/>
  <c r="U95"/>
  <c r="R95"/>
  <c r="J95"/>
  <c r="F95"/>
  <c r="I95" s="1"/>
  <c r="O95" s="1"/>
  <c r="E95"/>
  <c r="U94"/>
  <c r="R94"/>
  <c r="O94"/>
  <c r="N94"/>
  <c r="J94"/>
  <c r="M94" s="1"/>
  <c r="F94"/>
  <c r="I94"/>
  <c r="E94"/>
  <c r="U93"/>
  <c r="R93"/>
  <c r="O93"/>
  <c r="J93"/>
  <c r="D93"/>
  <c r="U92"/>
  <c r="R92"/>
  <c r="O92"/>
  <c r="N92"/>
  <c r="J92"/>
  <c r="M92"/>
  <c r="D92"/>
  <c r="U91"/>
  <c r="R91"/>
  <c r="J91"/>
  <c r="D91"/>
  <c r="O90"/>
  <c r="N90"/>
  <c r="J90"/>
  <c r="M90" s="1"/>
  <c r="F90"/>
  <c r="O89"/>
  <c r="N89"/>
  <c r="J89"/>
  <c r="M89" s="1"/>
  <c r="D89"/>
  <c r="L88"/>
  <c r="O88" s="1"/>
  <c r="K88"/>
  <c r="N88"/>
  <c r="E88"/>
  <c r="H88" s="1"/>
  <c r="U87"/>
  <c r="R87"/>
  <c r="N87"/>
  <c r="J87"/>
  <c r="D87"/>
  <c r="O86"/>
  <c r="N86"/>
  <c r="J86"/>
  <c r="M86" s="1"/>
  <c r="D86"/>
  <c r="U85"/>
  <c r="R85"/>
  <c r="L85"/>
  <c r="K85"/>
  <c r="F85"/>
  <c r="I85" s="1"/>
  <c r="O85" s="1"/>
  <c r="E85"/>
  <c r="L84"/>
  <c r="K84"/>
  <c r="N84" s="1"/>
  <c r="E84"/>
  <c r="L83"/>
  <c r="K83"/>
  <c r="T82"/>
  <c r="U81"/>
  <c r="R81"/>
  <c r="O81"/>
  <c r="N81"/>
  <c r="J81"/>
  <c r="M81" s="1"/>
  <c r="G81"/>
  <c r="D81"/>
  <c r="W80"/>
  <c r="V80"/>
  <c r="T80"/>
  <c r="S80"/>
  <c r="L80"/>
  <c r="O80" s="1"/>
  <c r="K80"/>
  <c r="I80"/>
  <c r="H80"/>
  <c r="F80"/>
  <c r="E80"/>
  <c r="U79"/>
  <c r="R79"/>
  <c r="O79"/>
  <c r="N79"/>
  <c r="J79"/>
  <c r="G79"/>
  <c r="G76" s="1"/>
  <c r="D79"/>
  <c r="D76" s="1"/>
  <c r="U78"/>
  <c r="R78"/>
  <c r="O78"/>
  <c r="N78"/>
  <c r="M78"/>
  <c r="U77"/>
  <c r="U76" s="1"/>
  <c r="R77"/>
  <c r="O77"/>
  <c r="N77"/>
  <c r="M77"/>
  <c r="W76"/>
  <c r="V76"/>
  <c r="T76"/>
  <c r="S76"/>
  <c r="Q76"/>
  <c r="P76"/>
  <c r="L76"/>
  <c r="O76"/>
  <c r="K76"/>
  <c r="N76" s="1"/>
  <c r="I76"/>
  <c r="H76"/>
  <c r="F76"/>
  <c r="E76"/>
  <c r="U75"/>
  <c r="R75"/>
  <c r="O75"/>
  <c r="N75"/>
  <c r="J75"/>
  <c r="M75" s="1"/>
  <c r="G75"/>
  <c r="D75"/>
  <c r="U74"/>
  <c r="R74"/>
  <c r="O74"/>
  <c r="N74"/>
  <c r="J74"/>
  <c r="M74" s="1"/>
  <c r="D74"/>
  <c r="U73"/>
  <c r="R73"/>
  <c r="N73"/>
  <c r="J73"/>
  <c r="F73"/>
  <c r="U72"/>
  <c r="R72"/>
  <c r="O72"/>
  <c r="N72"/>
  <c r="J72"/>
  <c r="M72" s="1"/>
  <c r="F72"/>
  <c r="D72" s="1"/>
  <c r="I72"/>
  <c r="O71"/>
  <c r="N71"/>
  <c r="J71"/>
  <c r="M71" s="1"/>
  <c r="G71"/>
  <c r="D71"/>
  <c r="U70"/>
  <c r="R70"/>
  <c r="N70"/>
  <c r="J70"/>
  <c r="F70"/>
  <c r="I70" s="1"/>
  <c r="O70" s="1"/>
  <c r="U69"/>
  <c r="R69"/>
  <c r="N69"/>
  <c r="J69"/>
  <c r="F69"/>
  <c r="I69" s="1"/>
  <c r="U68"/>
  <c r="R68"/>
  <c r="O68"/>
  <c r="N68"/>
  <c r="J68"/>
  <c r="M68" s="1"/>
  <c r="F68"/>
  <c r="O67"/>
  <c r="N67"/>
  <c r="J67"/>
  <c r="M67" s="1"/>
  <c r="D67"/>
  <c r="U66"/>
  <c r="R66"/>
  <c r="O66"/>
  <c r="N66"/>
  <c r="J66"/>
  <c r="M66" s="1"/>
  <c r="G66"/>
  <c r="D66"/>
  <c r="W65"/>
  <c r="V65"/>
  <c r="T65"/>
  <c r="S65"/>
  <c r="L65"/>
  <c r="K65"/>
  <c r="N65" s="1"/>
  <c r="E65"/>
  <c r="O64"/>
  <c r="N64"/>
  <c r="J64"/>
  <c r="M64" s="1"/>
  <c r="G64"/>
  <c r="D64"/>
  <c r="O63"/>
  <c r="N63"/>
  <c r="J63"/>
  <c r="M63" s="1"/>
  <c r="G63"/>
  <c r="D63"/>
  <c r="U62"/>
  <c r="R62"/>
  <c r="O62"/>
  <c r="N62"/>
  <c r="J62"/>
  <c r="M62" s="1"/>
  <c r="G62"/>
  <c r="D62"/>
  <c r="U61"/>
  <c r="R61"/>
  <c r="O61"/>
  <c r="N61"/>
  <c r="J61"/>
  <c r="M61" s="1"/>
  <c r="G61"/>
  <c r="D61"/>
  <c r="U60"/>
  <c r="R60"/>
  <c r="O60"/>
  <c r="N60"/>
  <c r="J60"/>
  <c r="M60" s="1"/>
  <c r="G60"/>
  <c r="D60"/>
  <c r="U59"/>
  <c r="R59"/>
  <c r="O59"/>
  <c r="N59"/>
  <c r="J59"/>
  <c r="M59" s="1"/>
  <c r="G59"/>
  <c r="D59"/>
  <c r="U58"/>
  <c r="R58"/>
  <c r="O58"/>
  <c r="N58"/>
  <c r="J58"/>
  <c r="M58" s="1"/>
  <c r="G58"/>
  <c r="D58"/>
  <c r="U57"/>
  <c r="R57"/>
  <c r="O57"/>
  <c r="N57"/>
  <c r="J57"/>
  <c r="M57" s="1"/>
  <c r="G57"/>
  <c r="D57"/>
  <c r="U56"/>
  <c r="R56"/>
  <c r="O56"/>
  <c r="N56"/>
  <c r="J56"/>
  <c r="M56" s="1"/>
  <c r="G56"/>
  <c r="D56"/>
  <c r="U55"/>
  <c r="R55"/>
  <c r="O55"/>
  <c r="N55"/>
  <c r="J55"/>
  <c r="M55" s="1"/>
  <c r="G55"/>
  <c r="D55"/>
  <c r="V54"/>
  <c r="U54" s="1"/>
  <c r="U53"/>
  <c r="R53"/>
  <c r="O53"/>
  <c r="N53"/>
  <c r="J53"/>
  <c r="M53" s="1"/>
  <c r="D53"/>
  <c r="W52"/>
  <c r="W51" s="1"/>
  <c r="V52"/>
  <c r="T52"/>
  <c r="T51" s="1"/>
  <c r="S52"/>
  <c r="S51" s="1"/>
  <c r="R51" s="1"/>
  <c r="L52"/>
  <c r="O52" s="1"/>
  <c r="K52"/>
  <c r="N52" s="1"/>
  <c r="F52"/>
  <c r="I52" s="1"/>
  <c r="I51" s="1"/>
  <c r="E52"/>
  <c r="U50"/>
  <c r="R50"/>
  <c r="O50"/>
  <c r="N50"/>
  <c r="J50"/>
  <c r="M50" s="1"/>
  <c r="D50"/>
  <c r="W49"/>
  <c r="W47" s="1"/>
  <c r="V49"/>
  <c r="T49"/>
  <c r="T47" s="1"/>
  <c r="S49"/>
  <c r="R49"/>
  <c r="L49"/>
  <c r="L47"/>
  <c r="K49"/>
  <c r="K47"/>
  <c r="N47" s="1"/>
  <c r="F49"/>
  <c r="I49" s="1"/>
  <c r="E49"/>
  <c r="U48"/>
  <c r="R48"/>
  <c r="O48"/>
  <c r="N48"/>
  <c r="J48"/>
  <c r="M48"/>
  <c r="D48"/>
  <c r="U46"/>
  <c r="R46"/>
  <c r="O46"/>
  <c r="N46"/>
  <c r="J46"/>
  <c r="M46" s="1"/>
  <c r="D46"/>
  <c r="W45"/>
  <c r="V45"/>
  <c r="T45"/>
  <c r="S45"/>
  <c r="Q45"/>
  <c r="P45"/>
  <c r="L45"/>
  <c r="O45" s="1"/>
  <c r="K45"/>
  <c r="N45" s="1"/>
  <c r="F45"/>
  <c r="E45"/>
  <c r="U44"/>
  <c r="R44"/>
  <c r="N44"/>
  <c r="J44"/>
  <c r="D44"/>
  <c r="O43"/>
  <c r="N43"/>
  <c r="J43"/>
  <c r="M43" s="1"/>
  <c r="D43"/>
  <c r="W42"/>
  <c r="W41" s="1"/>
  <c r="V42"/>
  <c r="T42"/>
  <c r="S42"/>
  <c r="S41" s="1"/>
  <c r="L42"/>
  <c r="K42"/>
  <c r="F42"/>
  <c r="F41" s="1"/>
  <c r="E42"/>
  <c r="H42"/>
  <c r="Q41"/>
  <c r="P41"/>
  <c r="U40"/>
  <c r="R40"/>
  <c r="O40"/>
  <c r="N40"/>
  <c r="J40"/>
  <c r="M40"/>
  <c r="D40"/>
  <c r="O39"/>
  <c r="N39"/>
  <c r="J39"/>
  <c r="M39" s="1"/>
  <c r="D39"/>
  <c r="W38"/>
  <c r="W37" s="1"/>
  <c r="V38"/>
  <c r="T38"/>
  <c r="S38"/>
  <c r="S37" s="1"/>
  <c r="O38"/>
  <c r="K38"/>
  <c r="F38"/>
  <c r="F37" s="1"/>
  <c r="E38"/>
  <c r="E37" s="1"/>
  <c r="Q37"/>
  <c r="P37"/>
  <c r="L37"/>
  <c r="O37" s="1"/>
  <c r="U36"/>
  <c r="R36"/>
  <c r="O36"/>
  <c r="N36"/>
  <c r="J36"/>
  <c r="M36" s="1"/>
  <c r="D36"/>
  <c r="U35"/>
  <c r="R35"/>
  <c r="O35"/>
  <c r="N35"/>
  <c r="J35"/>
  <c r="M35"/>
  <c r="D35"/>
  <c r="W34"/>
  <c r="W33" s="1"/>
  <c r="V34"/>
  <c r="T34"/>
  <c r="S34"/>
  <c r="S33" s="1"/>
  <c r="L34"/>
  <c r="L33" s="1"/>
  <c r="O33" s="1"/>
  <c r="K34"/>
  <c r="F34"/>
  <c r="E34"/>
  <c r="H34" s="1"/>
  <c r="Q33"/>
  <c r="P33"/>
  <c r="P30" s="1"/>
  <c r="P20" s="1"/>
  <c r="L32"/>
  <c r="K32"/>
  <c r="F32"/>
  <c r="E32"/>
  <c r="E16" s="1"/>
  <c r="L31"/>
  <c r="K31"/>
  <c r="N31" s="1"/>
  <c r="F31"/>
  <c r="E31"/>
  <c r="U29"/>
  <c r="R29"/>
  <c r="O29"/>
  <c r="N29"/>
  <c r="J29"/>
  <c r="M29" s="1"/>
  <c r="G29"/>
  <c r="D29"/>
  <c r="U28"/>
  <c r="U27" s="1"/>
  <c r="R28"/>
  <c r="R27" s="1"/>
  <c r="O28"/>
  <c r="N28"/>
  <c r="J28"/>
  <c r="M28" s="1"/>
  <c r="G28"/>
  <c r="D28"/>
  <c r="W27"/>
  <c r="V27"/>
  <c r="T27"/>
  <c r="S27"/>
  <c r="Q27"/>
  <c r="P27"/>
  <c r="L27"/>
  <c r="O27" s="1"/>
  <c r="K27"/>
  <c r="I27"/>
  <c r="H27"/>
  <c r="F27"/>
  <c r="E27"/>
  <c r="U26"/>
  <c r="R26"/>
  <c r="O26"/>
  <c r="N26"/>
  <c r="J26"/>
  <c r="M26" s="1"/>
  <c r="G26"/>
  <c r="D26"/>
  <c r="W25"/>
  <c r="V25"/>
  <c r="T25"/>
  <c r="S25"/>
  <c r="L25"/>
  <c r="O25" s="1"/>
  <c r="K25"/>
  <c r="I25"/>
  <c r="H25"/>
  <c r="F25"/>
  <c r="E25"/>
  <c r="U24"/>
  <c r="R24"/>
  <c r="N24"/>
  <c r="J24"/>
  <c r="D24"/>
  <c r="W23"/>
  <c r="V23"/>
  <c r="T23"/>
  <c r="S23"/>
  <c r="L23"/>
  <c r="K23"/>
  <c r="H23"/>
  <c r="F23"/>
  <c r="E23"/>
  <c r="U22"/>
  <c r="U21" s="1"/>
  <c r="R22"/>
  <c r="R21" s="1"/>
  <c r="N22"/>
  <c r="J22"/>
  <c r="D22"/>
  <c r="W21"/>
  <c r="V21"/>
  <c r="T21"/>
  <c r="T20" s="1"/>
  <c r="S21"/>
  <c r="Q21"/>
  <c r="P21"/>
  <c r="L21"/>
  <c r="K21"/>
  <c r="I21"/>
  <c r="F21"/>
  <c r="F20" s="1"/>
  <c r="E21"/>
  <c r="O19"/>
  <c r="N19"/>
  <c r="M19"/>
  <c r="W18"/>
  <c r="W17" s="1"/>
  <c r="T18"/>
  <c r="T17" s="1"/>
  <c r="J304" i="57"/>
  <c r="M304" s="1"/>
  <c r="J302"/>
  <c r="J301"/>
  <c r="M301" s="1"/>
  <c r="J300"/>
  <c r="M300" s="1"/>
  <c r="J298"/>
  <c r="M298" s="1"/>
  <c r="J297"/>
  <c r="M297" s="1"/>
  <c r="J296"/>
  <c r="M296" s="1"/>
  <c r="J294"/>
  <c r="J293"/>
  <c r="M293" s="1"/>
  <c r="J291"/>
  <c r="J289"/>
  <c r="M289" s="1"/>
  <c r="J288"/>
  <c r="J286"/>
  <c r="J284"/>
  <c r="J283"/>
  <c r="J280"/>
  <c r="J279"/>
  <c r="J330"/>
  <c r="M330" s="1"/>
  <c r="J329"/>
  <c r="L328"/>
  <c r="K328"/>
  <c r="K325" s="1"/>
  <c r="K324" s="1"/>
  <c r="J327"/>
  <c r="M327" s="1"/>
  <c r="L326"/>
  <c r="J326" s="1"/>
  <c r="H328"/>
  <c r="I328"/>
  <c r="G329"/>
  <c r="N329"/>
  <c r="N330"/>
  <c r="O330"/>
  <c r="O327"/>
  <c r="N327"/>
  <c r="N326"/>
  <c r="O322"/>
  <c r="N322"/>
  <c r="O319"/>
  <c r="N319"/>
  <c r="O317"/>
  <c r="N317"/>
  <c r="O315"/>
  <c r="N315"/>
  <c r="O313"/>
  <c r="N313"/>
  <c r="O311"/>
  <c r="N311"/>
  <c r="O309"/>
  <c r="N309"/>
  <c r="O304"/>
  <c r="N304"/>
  <c r="N303"/>
  <c r="O302"/>
  <c r="N302"/>
  <c r="O301"/>
  <c r="N301"/>
  <c r="O300"/>
  <c r="N300"/>
  <c r="O298"/>
  <c r="N298"/>
  <c r="O297"/>
  <c r="N297"/>
  <c r="O296"/>
  <c r="N296"/>
  <c r="O294"/>
  <c r="N294"/>
  <c r="O293"/>
  <c r="N293"/>
  <c r="O291"/>
  <c r="N291"/>
  <c r="O289"/>
  <c r="N289"/>
  <c r="O288"/>
  <c r="N288"/>
  <c r="N286"/>
  <c r="O285"/>
  <c r="N284"/>
  <c r="N283"/>
  <c r="O280"/>
  <c r="N280"/>
  <c r="N279"/>
  <c r="O276"/>
  <c r="N276"/>
  <c r="O274"/>
  <c r="N274"/>
  <c r="O272"/>
  <c r="N272"/>
  <c r="O270"/>
  <c r="N270"/>
  <c r="O268"/>
  <c r="N268"/>
  <c r="O267"/>
  <c r="N267"/>
  <c r="O266"/>
  <c r="N266"/>
  <c r="O265"/>
  <c r="N265"/>
  <c r="O264"/>
  <c r="N264"/>
  <c r="O263"/>
  <c r="N263"/>
  <c r="O262"/>
  <c r="N262"/>
  <c r="O261"/>
  <c r="N261"/>
  <c r="O260"/>
  <c r="N260"/>
  <c r="O259"/>
  <c r="N259"/>
  <c r="O254"/>
  <c r="N254"/>
  <c r="O253"/>
  <c r="N253"/>
  <c r="O252"/>
  <c r="N252"/>
  <c r="O251"/>
  <c r="N251"/>
  <c r="O250"/>
  <c r="N250"/>
  <c r="O248"/>
  <c r="N248"/>
  <c r="O246"/>
  <c r="N246"/>
  <c r="O245"/>
  <c r="N245"/>
  <c r="O244"/>
  <c r="N244"/>
  <c r="O243"/>
  <c r="N243"/>
  <c r="O242"/>
  <c r="N242"/>
  <c r="O240"/>
  <c r="N240"/>
  <c r="O239"/>
  <c r="N239"/>
  <c r="O238"/>
  <c r="N238"/>
  <c r="O237"/>
  <c r="N237"/>
  <c r="O236"/>
  <c r="N236"/>
  <c r="O235"/>
  <c r="N235"/>
  <c r="O232"/>
  <c r="N232"/>
  <c r="O231"/>
  <c r="N231"/>
  <c r="O229"/>
  <c r="N229"/>
  <c r="O228"/>
  <c r="N228"/>
  <c r="O226"/>
  <c r="N226"/>
  <c r="O225"/>
  <c r="N225"/>
  <c r="O223"/>
  <c r="N223"/>
  <c r="O222"/>
  <c r="N222"/>
  <c r="O221"/>
  <c r="N221"/>
  <c r="O220"/>
  <c r="N220"/>
  <c r="O219"/>
  <c r="N219"/>
  <c r="O217"/>
  <c r="N217"/>
  <c r="O216"/>
  <c r="N216"/>
  <c r="O215"/>
  <c r="N215"/>
  <c r="O213"/>
  <c r="N213"/>
  <c r="O212"/>
  <c r="N212"/>
  <c r="O211"/>
  <c r="N211"/>
  <c r="O208"/>
  <c r="N208"/>
  <c r="O207"/>
  <c r="N207"/>
  <c r="N206"/>
  <c r="O205"/>
  <c r="N205"/>
  <c r="O204"/>
  <c r="N204"/>
  <c r="O203"/>
  <c r="N203"/>
  <c r="O201"/>
  <c r="N201"/>
  <c r="O200"/>
  <c r="N200"/>
  <c r="O198"/>
  <c r="N198"/>
  <c r="O196"/>
  <c r="N196"/>
  <c r="O195"/>
  <c r="N195"/>
  <c r="O194"/>
  <c r="N194"/>
  <c r="O193"/>
  <c r="N193"/>
  <c r="O192"/>
  <c r="N192"/>
  <c r="O191"/>
  <c r="N191"/>
  <c r="O189"/>
  <c r="N189"/>
  <c r="O188"/>
  <c r="N188"/>
  <c r="O183"/>
  <c r="N183"/>
  <c r="O179"/>
  <c r="N179"/>
  <c r="O178"/>
  <c r="N178"/>
  <c r="M178"/>
  <c r="O177"/>
  <c r="N177"/>
  <c r="M177"/>
  <c r="O175"/>
  <c r="N175"/>
  <c r="O174"/>
  <c r="N174"/>
  <c r="O172"/>
  <c r="N172"/>
  <c r="O171"/>
  <c r="N171"/>
  <c r="O169"/>
  <c r="N169"/>
  <c r="O163"/>
  <c r="N163"/>
  <c r="N162"/>
  <c r="O161"/>
  <c r="N161"/>
  <c r="O160"/>
  <c r="N160"/>
  <c r="N159"/>
  <c r="N158"/>
  <c r="O157"/>
  <c r="N157"/>
  <c r="O156"/>
  <c r="N156"/>
  <c r="O155"/>
  <c r="N155"/>
  <c r="O153"/>
  <c r="N153"/>
  <c r="O152"/>
  <c r="N152"/>
  <c r="O151"/>
  <c r="N151"/>
  <c r="O150"/>
  <c r="N150"/>
  <c r="O149"/>
  <c r="N149"/>
  <c r="O148"/>
  <c r="N148"/>
  <c r="O147"/>
  <c r="N147"/>
  <c r="O146"/>
  <c r="N146"/>
  <c r="O145"/>
  <c r="N145"/>
  <c r="O144"/>
  <c r="N144"/>
  <c r="O143"/>
  <c r="N143"/>
  <c r="O142"/>
  <c r="N142"/>
  <c r="O141"/>
  <c r="N141"/>
  <c r="O140"/>
  <c r="N140"/>
  <c r="N139"/>
  <c r="O138"/>
  <c r="N138"/>
  <c r="O137"/>
  <c r="N137"/>
  <c r="O136"/>
  <c r="N136"/>
  <c r="O135"/>
  <c r="N135"/>
  <c r="O134"/>
  <c r="N134"/>
  <c r="O133"/>
  <c r="N133"/>
  <c r="O132"/>
  <c r="N132"/>
  <c r="O131"/>
  <c r="N131"/>
  <c r="O130"/>
  <c r="N130"/>
  <c r="O129"/>
  <c r="N129"/>
  <c r="O128"/>
  <c r="N128"/>
  <c r="O127"/>
  <c r="N127"/>
  <c r="O126"/>
  <c r="N126"/>
  <c r="O125"/>
  <c r="N125"/>
  <c r="O124"/>
  <c r="N124"/>
  <c r="O123"/>
  <c r="N123"/>
  <c r="O122"/>
  <c r="N122"/>
  <c r="O121"/>
  <c r="N121"/>
  <c r="O120"/>
  <c r="N120"/>
  <c r="O116"/>
  <c r="N116"/>
  <c r="O113"/>
  <c r="N113"/>
  <c r="O111"/>
  <c r="N111"/>
  <c r="O109"/>
  <c r="N109"/>
  <c r="O107"/>
  <c r="N107"/>
  <c r="O106"/>
  <c r="N106"/>
  <c r="O103"/>
  <c r="N103"/>
  <c r="O102"/>
  <c r="N102"/>
  <c r="O101"/>
  <c r="O99"/>
  <c r="N99"/>
  <c r="O98"/>
  <c r="N98"/>
  <c r="O92"/>
  <c r="N92"/>
  <c r="O91"/>
  <c r="N91"/>
  <c r="O90"/>
  <c r="N90"/>
  <c r="O86"/>
  <c r="N86"/>
  <c r="O84"/>
  <c r="N84"/>
  <c r="O82"/>
  <c r="N82"/>
  <c r="O77"/>
  <c r="N77"/>
  <c r="O75"/>
  <c r="N75"/>
  <c r="O72"/>
  <c r="N72"/>
  <c r="O71"/>
  <c r="N71"/>
  <c r="O70"/>
  <c r="N70"/>
  <c r="O69"/>
  <c r="N69"/>
  <c r="O67"/>
  <c r="N67"/>
  <c r="O66"/>
  <c r="N66"/>
  <c r="O65"/>
  <c r="N65"/>
  <c r="O64"/>
  <c r="N64"/>
  <c r="O63"/>
  <c r="N63"/>
  <c r="O61"/>
  <c r="N61"/>
  <c r="O60"/>
  <c r="N60"/>
  <c r="N58"/>
  <c r="O57"/>
  <c r="N57"/>
  <c r="O55"/>
  <c r="N55"/>
  <c r="O53"/>
  <c r="N53"/>
  <c r="O52"/>
  <c r="N52"/>
  <c r="O51"/>
  <c r="N51"/>
  <c r="O50"/>
  <c r="N50"/>
  <c r="O49"/>
  <c r="N49"/>
  <c r="O47"/>
  <c r="N47"/>
  <c r="O46"/>
  <c r="N46"/>
  <c r="O44"/>
  <c r="N44"/>
  <c r="O43"/>
  <c r="N43"/>
  <c r="M43"/>
  <c r="O42"/>
  <c r="N42"/>
  <c r="O41"/>
  <c r="N41"/>
  <c r="O39"/>
  <c r="N39"/>
  <c r="O37"/>
  <c r="N37"/>
  <c r="O36"/>
  <c r="N36"/>
  <c r="O35"/>
  <c r="N35"/>
  <c r="O34"/>
  <c r="N34"/>
  <c r="O32"/>
  <c r="N32"/>
  <c r="O30"/>
  <c r="N30"/>
  <c r="O28"/>
  <c r="N28"/>
  <c r="O26"/>
  <c r="N26"/>
  <c r="M26"/>
  <c r="O25"/>
  <c r="N25"/>
  <c r="O24"/>
  <c r="N24"/>
  <c r="O22"/>
  <c r="N22"/>
  <c r="O21"/>
  <c r="N21"/>
  <c r="O19"/>
  <c r="N19"/>
  <c r="O17"/>
  <c r="N17"/>
  <c r="I279"/>
  <c r="H181"/>
  <c r="N181" s="1"/>
  <c r="I181"/>
  <c r="I153"/>
  <c r="G153" s="1"/>
  <c r="I152"/>
  <c r="G152" s="1"/>
  <c r="I149"/>
  <c r="I147"/>
  <c r="G147" s="1"/>
  <c r="I146"/>
  <c r="G146" s="1"/>
  <c r="I145"/>
  <c r="G145" s="1"/>
  <c r="I142"/>
  <c r="I141"/>
  <c r="I139"/>
  <c r="I137"/>
  <c r="G137" s="1"/>
  <c r="I124"/>
  <c r="G124" s="1"/>
  <c r="I121"/>
  <c r="G121" s="1"/>
  <c r="X298"/>
  <c r="I260"/>
  <c r="G260" s="1"/>
  <c r="I261"/>
  <c r="G261" s="1"/>
  <c r="I262"/>
  <c r="I263"/>
  <c r="G263" s="1"/>
  <c r="I264"/>
  <c r="I265"/>
  <c r="I266"/>
  <c r="G266" s="1"/>
  <c r="I267"/>
  <c r="G267" s="1"/>
  <c r="I268"/>
  <c r="G268" s="1"/>
  <c r="X268" s="1"/>
  <c r="I243"/>
  <c r="I220"/>
  <c r="G220" s="1"/>
  <c r="I216"/>
  <c r="F214"/>
  <c r="H215"/>
  <c r="G215" s="1"/>
  <c r="I191"/>
  <c r="G191" s="1"/>
  <c r="L166"/>
  <c r="K166"/>
  <c r="I175"/>
  <c r="H175"/>
  <c r="G175" s="1"/>
  <c r="I174"/>
  <c r="H174"/>
  <c r="I173"/>
  <c r="H173"/>
  <c r="H171"/>
  <c r="I169"/>
  <c r="I168" s="1"/>
  <c r="H169"/>
  <c r="H167"/>
  <c r="N167" s="1"/>
  <c r="I163"/>
  <c r="I156"/>
  <c r="G156" s="1"/>
  <c r="I60"/>
  <c r="G60" s="1"/>
  <c r="X333"/>
  <c r="X332"/>
  <c r="X331"/>
  <c r="X297"/>
  <c r="H88"/>
  <c r="N88" s="1"/>
  <c r="I88"/>
  <c r="A98" i="60"/>
  <c r="A99" s="1"/>
  <c r="O49"/>
  <c r="D27"/>
  <c r="D80"/>
  <c r="J128"/>
  <c r="M128" s="1"/>
  <c r="G158"/>
  <c r="T54"/>
  <c r="J152"/>
  <c r="F83"/>
  <c r="O158"/>
  <c r="J162"/>
  <c r="M162" s="1"/>
  <c r="W54"/>
  <c r="V148"/>
  <c r="S54"/>
  <c r="N49"/>
  <c r="D69"/>
  <c r="A159"/>
  <c r="A160"/>
  <c r="O150"/>
  <c r="O329" i="57"/>
  <c r="K299"/>
  <c r="I299"/>
  <c r="H299"/>
  <c r="G299"/>
  <c r="F299"/>
  <c r="E299"/>
  <c r="K202"/>
  <c r="L202"/>
  <c r="J50"/>
  <c r="M50" s="1"/>
  <c r="J51"/>
  <c r="M51" s="1"/>
  <c r="J52"/>
  <c r="M52" s="1"/>
  <c r="I52"/>
  <c r="G52" s="1"/>
  <c r="X52" s="1"/>
  <c r="D52"/>
  <c r="I51"/>
  <c r="G51" s="1"/>
  <c r="D51"/>
  <c r="I50"/>
  <c r="D50"/>
  <c r="I49"/>
  <c r="G49" s="1"/>
  <c r="D49"/>
  <c r="E40"/>
  <c r="I42"/>
  <c r="G42" s="1"/>
  <c r="D42"/>
  <c r="I41"/>
  <c r="G41" s="1"/>
  <c r="D41"/>
  <c r="L23"/>
  <c r="O23"/>
  <c r="K23"/>
  <c r="H23"/>
  <c r="F23"/>
  <c r="E23"/>
  <c r="D23" s="1"/>
  <c r="I26"/>
  <c r="G26" s="1"/>
  <c r="D26"/>
  <c r="I25"/>
  <c r="G25"/>
  <c r="D25"/>
  <c r="I22"/>
  <c r="I21"/>
  <c r="I65"/>
  <c r="G65" s="1"/>
  <c r="I64"/>
  <c r="I63"/>
  <c r="I39"/>
  <c r="F39"/>
  <c r="I32"/>
  <c r="I31"/>
  <c r="F32"/>
  <c r="I58"/>
  <c r="G58" s="1"/>
  <c r="F58"/>
  <c r="F64"/>
  <c r="F65"/>
  <c r="F63"/>
  <c r="D63" s="1"/>
  <c r="L186"/>
  <c r="K186"/>
  <c r="N186" s="1"/>
  <c r="H186"/>
  <c r="E186"/>
  <c r="I30"/>
  <c r="F30"/>
  <c r="I53"/>
  <c r="G53" s="1"/>
  <c r="F53"/>
  <c r="F48" s="1"/>
  <c r="I28"/>
  <c r="F28"/>
  <c r="F167"/>
  <c r="I167" s="1"/>
  <c r="O167" s="1"/>
  <c r="J152"/>
  <c r="M152" s="1"/>
  <c r="D152"/>
  <c r="F148"/>
  <c r="L241"/>
  <c r="K241"/>
  <c r="H241"/>
  <c r="F241"/>
  <c r="E241"/>
  <c r="J243"/>
  <c r="M243" s="1"/>
  <c r="D243"/>
  <c r="J242"/>
  <c r="G242"/>
  <c r="D242"/>
  <c r="F162"/>
  <c r="I162" s="1"/>
  <c r="G162" s="1"/>
  <c r="F140"/>
  <c r="I140" s="1"/>
  <c r="G140" s="1"/>
  <c r="F161"/>
  <c r="F144"/>
  <c r="F138"/>
  <c r="I138" s="1"/>
  <c r="F171"/>
  <c r="H218"/>
  <c r="E218"/>
  <c r="F218"/>
  <c r="J220"/>
  <c r="M220" s="1"/>
  <c r="D220"/>
  <c r="J219"/>
  <c r="G219"/>
  <c r="D219"/>
  <c r="F159"/>
  <c r="I159" s="1"/>
  <c r="F158"/>
  <c r="I158" s="1"/>
  <c r="F122"/>
  <c r="I122" s="1"/>
  <c r="G122" s="1"/>
  <c r="F192"/>
  <c r="F131"/>
  <c r="F129"/>
  <c r="I129" s="1"/>
  <c r="F128"/>
  <c r="F127"/>
  <c r="I127" s="1"/>
  <c r="G127" s="1"/>
  <c r="F126"/>
  <c r="I126" s="1"/>
  <c r="G126" s="1"/>
  <c r="F125"/>
  <c r="F134"/>
  <c r="L214"/>
  <c r="K214"/>
  <c r="N214" s="1"/>
  <c r="E214"/>
  <c r="D214" s="1"/>
  <c r="J216"/>
  <c r="M216" s="1"/>
  <c r="D216"/>
  <c r="J215"/>
  <c r="M215" s="1"/>
  <c r="D215"/>
  <c r="F157"/>
  <c r="I157" s="1"/>
  <c r="G157" s="1"/>
  <c r="J156"/>
  <c r="M156" s="1"/>
  <c r="D156"/>
  <c r="F259"/>
  <c r="K287"/>
  <c r="N287" s="1"/>
  <c r="L287"/>
  <c r="O287" s="1"/>
  <c r="I289"/>
  <c r="G289" s="1"/>
  <c r="F289"/>
  <c r="F282" s="1"/>
  <c r="L303"/>
  <c r="K185"/>
  <c r="J169"/>
  <c r="M169" s="1"/>
  <c r="D169"/>
  <c r="L168"/>
  <c r="O168" s="1"/>
  <c r="K168"/>
  <c r="N168" s="1"/>
  <c r="F168"/>
  <c r="E168"/>
  <c r="K285"/>
  <c r="N285" s="1"/>
  <c r="K233"/>
  <c r="L233"/>
  <c r="I286"/>
  <c r="I283"/>
  <c r="O283" s="1"/>
  <c r="I284"/>
  <c r="J268"/>
  <c r="M268" s="1"/>
  <c r="D268"/>
  <c r="I209"/>
  <c r="O209" s="1"/>
  <c r="H209"/>
  <c r="N209" s="1"/>
  <c r="I199"/>
  <c r="H199"/>
  <c r="N199" s="1"/>
  <c r="I198"/>
  <c r="H198"/>
  <c r="I197"/>
  <c r="H197"/>
  <c r="N197" s="1"/>
  <c r="I196"/>
  <c r="H196"/>
  <c r="G330"/>
  <c r="L89"/>
  <c r="O89" s="1"/>
  <c r="K89"/>
  <c r="N89" s="1"/>
  <c r="I89"/>
  <c r="H89"/>
  <c r="G89" s="1"/>
  <c r="E89"/>
  <c r="F89"/>
  <c r="J90"/>
  <c r="M90" s="1"/>
  <c r="G90"/>
  <c r="D90"/>
  <c r="F68"/>
  <c r="I68"/>
  <c r="J69"/>
  <c r="M69" s="1"/>
  <c r="G69"/>
  <c r="D69"/>
  <c r="I234"/>
  <c r="H234"/>
  <c r="I101"/>
  <c r="I100" s="1"/>
  <c r="H101"/>
  <c r="H100" s="1"/>
  <c r="E166"/>
  <c r="J167"/>
  <c r="J151"/>
  <c r="M151" s="1"/>
  <c r="G151"/>
  <c r="D151"/>
  <c r="J150"/>
  <c r="M150" s="1"/>
  <c r="G150"/>
  <c r="D150"/>
  <c r="I94"/>
  <c r="H94"/>
  <c r="E94"/>
  <c r="F94"/>
  <c r="E101"/>
  <c r="E100" s="1"/>
  <c r="F101"/>
  <c r="L105"/>
  <c r="K105"/>
  <c r="I105"/>
  <c r="H105"/>
  <c r="H104" s="1"/>
  <c r="E105"/>
  <c r="E104" s="1"/>
  <c r="F105"/>
  <c r="F104" s="1"/>
  <c r="J106"/>
  <c r="M106" s="1"/>
  <c r="G106"/>
  <c r="D106"/>
  <c r="J102"/>
  <c r="M102" s="1"/>
  <c r="G102"/>
  <c r="D102"/>
  <c r="J160"/>
  <c r="M160" s="1"/>
  <c r="G160"/>
  <c r="D160"/>
  <c r="I210"/>
  <c r="H210"/>
  <c r="F210"/>
  <c r="E210"/>
  <c r="G212"/>
  <c r="D212"/>
  <c r="F196"/>
  <c r="E196"/>
  <c r="F199"/>
  <c r="E199"/>
  <c r="F198"/>
  <c r="E198"/>
  <c r="F197"/>
  <c r="E197"/>
  <c r="F207"/>
  <c r="D207" s="1"/>
  <c r="F209"/>
  <c r="E209"/>
  <c r="F234"/>
  <c r="E234"/>
  <c r="J192"/>
  <c r="M192" s="1"/>
  <c r="J191"/>
  <c r="M191" s="1"/>
  <c r="D191"/>
  <c r="L190"/>
  <c r="O190" s="1"/>
  <c r="K190"/>
  <c r="N190" s="1"/>
  <c r="H190"/>
  <c r="E190"/>
  <c r="L187"/>
  <c r="K187"/>
  <c r="N187" s="1"/>
  <c r="H187"/>
  <c r="I187"/>
  <c r="E187"/>
  <c r="F187"/>
  <c r="J188"/>
  <c r="M188" s="1"/>
  <c r="G188"/>
  <c r="D188"/>
  <c r="I326"/>
  <c r="E326"/>
  <c r="F326"/>
  <c r="G327"/>
  <c r="D327"/>
  <c r="L230"/>
  <c r="O230" s="1"/>
  <c r="K230"/>
  <c r="N230" s="1"/>
  <c r="L227"/>
  <c r="K227"/>
  <c r="N227" s="1"/>
  <c r="L224"/>
  <c r="O224" s="1"/>
  <c r="K224"/>
  <c r="N224" s="1"/>
  <c r="L95"/>
  <c r="K95"/>
  <c r="N95" s="1"/>
  <c r="L94"/>
  <c r="O94" s="1"/>
  <c r="K94"/>
  <c r="N94" s="1"/>
  <c r="I95"/>
  <c r="H95"/>
  <c r="F95"/>
  <c r="E95"/>
  <c r="L138" i="59"/>
  <c r="K138"/>
  <c r="N138" s="1"/>
  <c r="I138"/>
  <c r="I14" s="1"/>
  <c r="H138"/>
  <c r="F138"/>
  <c r="F14" s="1"/>
  <c r="E138"/>
  <c r="E14" s="1"/>
  <c r="L134"/>
  <c r="O134" s="1"/>
  <c r="I134"/>
  <c r="H134"/>
  <c r="G134" s="1"/>
  <c r="F134"/>
  <c r="E134"/>
  <c r="D134" s="1"/>
  <c r="U129"/>
  <c r="R129"/>
  <c r="J129"/>
  <c r="G129"/>
  <c r="D129"/>
  <c r="U128"/>
  <c r="R128"/>
  <c r="O128"/>
  <c r="N128"/>
  <c r="J128"/>
  <c r="M128" s="1"/>
  <c r="G128"/>
  <c r="D128"/>
  <c r="F127"/>
  <c r="W127"/>
  <c r="V127"/>
  <c r="T127"/>
  <c r="S127"/>
  <c r="R127" s="1"/>
  <c r="L127"/>
  <c r="K127"/>
  <c r="N127" s="1"/>
  <c r="H127"/>
  <c r="E127"/>
  <c r="D127" s="1"/>
  <c r="U126"/>
  <c r="R126"/>
  <c r="O126"/>
  <c r="N126"/>
  <c r="J126"/>
  <c r="M126" s="1"/>
  <c r="G126"/>
  <c r="D126"/>
  <c r="U125"/>
  <c r="R125"/>
  <c r="O125"/>
  <c r="N125"/>
  <c r="J125"/>
  <c r="M125" s="1"/>
  <c r="G125"/>
  <c r="D125"/>
  <c r="U124"/>
  <c r="R124"/>
  <c r="O124"/>
  <c r="N124"/>
  <c r="J124"/>
  <c r="M124" s="1"/>
  <c r="G124"/>
  <c r="D124"/>
  <c r="U123"/>
  <c r="R123"/>
  <c r="O123"/>
  <c r="N123"/>
  <c r="J123"/>
  <c r="M123" s="1"/>
  <c r="G123"/>
  <c r="D123"/>
  <c r="U122"/>
  <c r="R122"/>
  <c r="O122"/>
  <c r="N122"/>
  <c r="J122"/>
  <c r="M122" s="1"/>
  <c r="G122"/>
  <c r="D122"/>
  <c r="U121"/>
  <c r="R121"/>
  <c r="O121"/>
  <c r="N121"/>
  <c r="J121"/>
  <c r="M121" s="1"/>
  <c r="G121"/>
  <c r="D121"/>
  <c r="U120"/>
  <c r="R120"/>
  <c r="O120"/>
  <c r="N120"/>
  <c r="J120"/>
  <c r="M120" s="1"/>
  <c r="G120"/>
  <c r="D120"/>
  <c r="U119"/>
  <c r="R119"/>
  <c r="O119"/>
  <c r="N119"/>
  <c r="J119"/>
  <c r="M119" s="1"/>
  <c r="G119"/>
  <c r="D119"/>
  <c r="W118"/>
  <c r="V118"/>
  <c r="T118"/>
  <c r="S118"/>
  <c r="L118"/>
  <c r="O118" s="1"/>
  <c r="K118"/>
  <c r="N118" s="1"/>
  <c r="I118"/>
  <c r="I117" s="1"/>
  <c r="I116" s="1"/>
  <c r="H118"/>
  <c r="F118"/>
  <c r="F117" s="1"/>
  <c r="F116" s="1"/>
  <c r="E118"/>
  <c r="E117"/>
  <c r="E116" s="1"/>
  <c r="P117"/>
  <c r="Q117"/>
  <c r="U115"/>
  <c r="R115"/>
  <c r="O115"/>
  <c r="N115"/>
  <c r="J115"/>
  <c r="M115" s="1"/>
  <c r="G115"/>
  <c r="D115"/>
  <c r="U114"/>
  <c r="R114"/>
  <c r="O114"/>
  <c r="N114"/>
  <c r="J114"/>
  <c r="M114" s="1"/>
  <c r="G114"/>
  <c r="D114"/>
  <c r="U113"/>
  <c r="R113"/>
  <c r="O113"/>
  <c r="N113"/>
  <c r="J113"/>
  <c r="M113" s="1"/>
  <c r="G113"/>
  <c r="D113"/>
  <c r="U112"/>
  <c r="R112"/>
  <c r="O112"/>
  <c r="N112"/>
  <c r="J112"/>
  <c r="M112" s="1"/>
  <c r="G112"/>
  <c r="D112"/>
  <c r="U111"/>
  <c r="R111"/>
  <c r="O111"/>
  <c r="N111"/>
  <c r="J111"/>
  <c r="M111" s="1"/>
  <c r="G111"/>
  <c r="D111"/>
  <c r="U110"/>
  <c r="R110"/>
  <c r="L110"/>
  <c r="O110" s="1"/>
  <c r="K110"/>
  <c r="N110" s="1"/>
  <c r="G110"/>
  <c r="D110"/>
  <c r="U109"/>
  <c r="R109"/>
  <c r="O109"/>
  <c r="N109"/>
  <c r="J109"/>
  <c r="M109" s="1"/>
  <c r="G109"/>
  <c r="D109"/>
  <c r="U108"/>
  <c r="R108"/>
  <c r="O108"/>
  <c r="N108"/>
  <c r="J108"/>
  <c r="M108" s="1"/>
  <c r="G108"/>
  <c r="D108"/>
  <c r="U107"/>
  <c r="R107"/>
  <c r="O107"/>
  <c r="N107"/>
  <c r="J107"/>
  <c r="M107" s="1"/>
  <c r="I107"/>
  <c r="G107" s="1"/>
  <c r="F107"/>
  <c r="D107" s="1"/>
  <c r="U106"/>
  <c r="R106"/>
  <c r="O106"/>
  <c r="N106"/>
  <c r="J106"/>
  <c r="G106"/>
  <c r="D106"/>
  <c r="U105"/>
  <c r="R105"/>
  <c r="O105"/>
  <c r="N105"/>
  <c r="J105"/>
  <c r="M105" s="1"/>
  <c r="I105"/>
  <c r="G105" s="1"/>
  <c r="F105"/>
  <c r="D105" s="1"/>
  <c r="U104"/>
  <c r="R104"/>
  <c r="O104"/>
  <c r="N104"/>
  <c r="J104"/>
  <c r="M104" s="1"/>
  <c r="G104"/>
  <c r="D104"/>
  <c r="U103"/>
  <c r="R103"/>
  <c r="O103"/>
  <c r="N103"/>
  <c r="J103"/>
  <c r="M103" s="1"/>
  <c r="G103"/>
  <c r="D103"/>
  <c r="U102"/>
  <c r="R102"/>
  <c r="O102"/>
  <c r="N102"/>
  <c r="J102"/>
  <c r="M102" s="1"/>
  <c r="I102"/>
  <c r="H102"/>
  <c r="F102"/>
  <c r="E102"/>
  <c r="U101"/>
  <c r="R101"/>
  <c r="O101"/>
  <c r="N101"/>
  <c r="J101"/>
  <c r="M101" s="1"/>
  <c r="G101"/>
  <c r="D101"/>
  <c r="U100"/>
  <c r="R100"/>
  <c r="O100"/>
  <c r="N100"/>
  <c r="J100"/>
  <c r="M100" s="1"/>
  <c r="G100"/>
  <c r="D100"/>
  <c r="U99"/>
  <c r="R99"/>
  <c r="O99"/>
  <c r="N99"/>
  <c r="J99"/>
  <c r="M99" s="1"/>
  <c r="I99"/>
  <c r="H99"/>
  <c r="F99"/>
  <c r="E99"/>
  <c r="U98"/>
  <c r="R98"/>
  <c r="O98"/>
  <c r="N98"/>
  <c r="J98"/>
  <c r="M98" s="1"/>
  <c r="G98"/>
  <c r="D98"/>
  <c r="U97"/>
  <c r="R97"/>
  <c r="O97"/>
  <c r="N97"/>
  <c r="J97"/>
  <c r="M97" s="1"/>
  <c r="G97"/>
  <c r="D97"/>
  <c r="U96"/>
  <c r="R96"/>
  <c r="O96"/>
  <c r="N96"/>
  <c r="J96"/>
  <c r="M96" s="1"/>
  <c r="I96"/>
  <c r="H96"/>
  <c r="F96"/>
  <c r="E96"/>
  <c r="U95"/>
  <c r="R95"/>
  <c r="O95"/>
  <c r="N95"/>
  <c r="J95"/>
  <c r="M95" s="1"/>
  <c r="G95"/>
  <c r="D95"/>
  <c r="U94"/>
  <c r="R94"/>
  <c r="O94"/>
  <c r="N94"/>
  <c r="J94"/>
  <c r="M94" s="1"/>
  <c r="G94"/>
  <c r="D94"/>
  <c r="W93"/>
  <c r="V93"/>
  <c r="V65" s="1"/>
  <c r="T93"/>
  <c r="T65" s="1"/>
  <c r="S93"/>
  <c r="S65" s="1"/>
  <c r="Q93"/>
  <c r="Q65" s="1"/>
  <c r="Q50" s="1"/>
  <c r="P93"/>
  <c r="P65" s="1"/>
  <c r="J93"/>
  <c r="I93"/>
  <c r="H93"/>
  <c r="F93"/>
  <c r="E93"/>
  <c r="U92"/>
  <c r="R92"/>
  <c r="O92"/>
  <c r="N92"/>
  <c r="J92"/>
  <c r="M92" s="1"/>
  <c r="G92"/>
  <c r="D92"/>
  <c r="U91"/>
  <c r="R91"/>
  <c r="O91"/>
  <c r="N91"/>
  <c r="J91"/>
  <c r="M91" s="1"/>
  <c r="G91"/>
  <c r="D91"/>
  <c r="U90"/>
  <c r="R90"/>
  <c r="O90"/>
  <c r="N90"/>
  <c r="J90"/>
  <c r="M90" s="1"/>
  <c r="G90"/>
  <c r="D90"/>
  <c r="U89"/>
  <c r="R89"/>
  <c r="O89"/>
  <c r="N89"/>
  <c r="J89"/>
  <c r="G89"/>
  <c r="D89"/>
  <c r="U88"/>
  <c r="R88"/>
  <c r="O88"/>
  <c r="N88"/>
  <c r="J88"/>
  <c r="M88" s="1"/>
  <c r="G88"/>
  <c r="D88"/>
  <c r="U87"/>
  <c r="R87"/>
  <c r="O87"/>
  <c r="N87"/>
  <c r="J87"/>
  <c r="M87" s="1"/>
  <c r="G87"/>
  <c r="D87"/>
  <c r="U86"/>
  <c r="R86"/>
  <c r="O86"/>
  <c r="N86"/>
  <c r="J86"/>
  <c r="M86" s="1"/>
  <c r="G86"/>
  <c r="D86"/>
  <c r="U85"/>
  <c r="R85"/>
  <c r="O85"/>
  <c r="N85"/>
  <c r="J85"/>
  <c r="M85" s="1"/>
  <c r="I85"/>
  <c r="H85"/>
  <c r="F85"/>
  <c r="E85"/>
  <c r="U84"/>
  <c r="R84"/>
  <c r="O84"/>
  <c r="N84"/>
  <c r="J84"/>
  <c r="M84" s="1"/>
  <c r="G84"/>
  <c r="D84"/>
  <c r="U83"/>
  <c r="R83"/>
  <c r="O83"/>
  <c r="N83"/>
  <c r="J83"/>
  <c r="M83" s="1"/>
  <c r="G83"/>
  <c r="D83"/>
  <c r="U82"/>
  <c r="R82"/>
  <c r="O82"/>
  <c r="N82"/>
  <c r="J82"/>
  <c r="M82" s="1"/>
  <c r="I82"/>
  <c r="F82"/>
  <c r="D82" s="1"/>
  <c r="U81"/>
  <c r="R81"/>
  <c r="O81"/>
  <c r="N81"/>
  <c r="J81"/>
  <c r="M81" s="1"/>
  <c r="I81"/>
  <c r="G81" s="1"/>
  <c r="F81"/>
  <c r="D81" s="1"/>
  <c r="U80"/>
  <c r="R80"/>
  <c r="O80"/>
  <c r="N80"/>
  <c r="J80"/>
  <c r="M80" s="1"/>
  <c r="G80"/>
  <c r="D80"/>
  <c r="U79"/>
  <c r="R79"/>
  <c r="O79"/>
  <c r="N79"/>
  <c r="J79"/>
  <c r="M79" s="1"/>
  <c r="G79"/>
  <c r="D79"/>
  <c r="U78"/>
  <c r="R78"/>
  <c r="O78"/>
  <c r="N78"/>
  <c r="J78"/>
  <c r="M78" s="1"/>
  <c r="G78"/>
  <c r="D78"/>
  <c r="U77"/>
  <c r="R77"/>
  <c r="J77"/>
  <c r="H77"/>
  <c r="N77" s="1"/>
  <c r="E77"/>
  <c r="U76"/>
  <c r="R76"/>
  <c r="O76"/>
  <c r="N76"/>
  <c r="J76"/>
  <c r="M76" s="1"/>
  <c r="G76"/>
  <c r="D76"/>
  <c r="U75"/>
  <c r="R75"/>
  <c r="O75"/>
  <c r="N75"/>
  <c r="J75"/>
  <c r="M75" s="1"/>
  <c r="G75"/>
  <c r="D75"/>
  <c r="U74"/>
  <c r="R74"/>
  <c r="O74"/>
  <c r="N74"/>
  <c r="J74"/>
  <c r="M74" s="1"/>
  <c r="G74"/>
  <c r="D74"/>
  <c r="U73"/>
  <c r="R73"/>
  <c r="O73"/>
  <c r="N73"/>
  <c r="J73"/>
  <c r="M73" s="1"/>
  <c r="G73"/>
  <c r="D73"/>
  <c r="U72"/>
  <c r="R72"/>
  <c r="O72"/>
  <c r="N72"/>
  <c r="J72"/>
  <c r="M72" s="1"/>
  <c r="G72"/>
  <c r="D72"/>
  <c r="U71"/>
  <c r="R71"/>
  <c r="O71"/>
  <c r="N71"/>
  <c r="J71"/>
  <c r="M71" s="1"/>
  <c r="G71"/>
  <c r="D71"/>
  <c r="U70"/>
  <c r="R70"/>
  <c r="O70"/>
  <c r="N70"/>
  <c r="J70"/>
  <c r="M70" s="1"/>
  <c r="G70"/>
  <c r="D70"/>
  <c r="U69"/>
  <c r="R69"/>
  <c r="O69"/>
  <c r="N69"/>
  <c r="J69"/>
  <c r="M69" s="1"/>
  <c r="G69"/>
  <c r="D69"/>
  <c r="U68"/>
  <c r="R68"/>
  <c r="J68"/>
  <c r="G68"/>
  <c r="D68"/>
  <c r="U67"/>
  <c r="R67"/>
  <c r="O67"/>
  <c r="N67"/>
  <c r="J67"/>
  <c r="M67" s="1"/>
  <c r="G67"/>
  <c r="D67"/>
  <c r="U66"/>
  <c r="R66"/>
  <c r="L66"/>
  <c r="K66"/>
  <c r="N66" s="1"/>
  <c r="I66"/>
  <c r="H66"/>
  <c r="F66"/>
  <c r="E66"/>
  <c r="W65"/>
  <c r="U64"/>
  <c r="R64"/>
  <c r="O64"/>
  <c r="N64"/>
  <c r="J64"/>
  <c r="M64" s="1"/>
  <c r="G64"/>
  <c r="D64"/>
  <c r="W63"/>
  <c r="V63"/>
  <c r="T63"/>
  <c r="S63"/>
  <c r="L63"/>
  <c r="O63" s="1"/>
  <c r="K63"/>
  <c r="I63"/>
  <c r="H63"/>
  <c r="F63"/>
  <c r="E63"/>
  <c r="U62"/>
  <c r="R62"/>
  <c r="J62"/>
  <c r="J59" s="1"/>
  <c r="G62"/>
  <c r="G59" s="1"/>
  <c r="D62"/>
  <c r="D59" s="1"/>
  <c r="U61"/>
  <c r="R61"/>
  <c r="U60"/>
  <c r="R60"/>
  <c r="W59"/>
  <c r="V59"/>
  <c r="T59"/>
  <c r="S59"/>
  <c r="Q59"/>
  <c r="P59"/>
  <c r="O59"/>
  <c r="N59"/>
  <c r="M59"/>
  <c r="L59"/>
  <c r="K59"/>
  <c r="I59"/>
  <c r="H59"/>
  <c r="F59"/>
  <c r="E59"/>
  <c r="U58"/>
  <c r="R58"/>
  <c r="J58"/>
  <c r="G58"/>
  <c r="D58"/>
  <c r="U57"/>
  <c r="R57"/>
  <c r="O57"/>
  <c r="N57"/>
  <c r="J57"/>
  <c r="M57" s="1"/>
  <c r="G57"/>
  <c r="D57"/>
  <c r="U56"/>
  <c r="R56"/>
  <c r="O56"/>
  <c r="N56"/>
  <c r="J56"/>
  <c r="M56" s="1"/>
  <c r="G56"/>
  <c r="D56"/>
  <c r="U55"/>
  <c r="R55"/>
  <c r="O55"/>
  <c r="N55"/>
  <c r="J55"/>
  <c r="M55" s="1"/>
  <c r="G55"/>
  <c r="D55"/>
  <c r="U54"/>
  <c r="R54"/>
  <c r="O54"/>
  <c r="N54"/>
  <c r="J54"/>
  <c r="M54" s="1"/>
  <c r="G54"/>
  <c r="F54"/>
  <c r="D54" s="1"/>
  <c r="U53"/>
  <c r="R53"/>
  <c r="O53"/>
  <c r="N53"/>
  <c r="J53"/>
  <c r="M53" s="1"/>
  <c r="G53"/>
  <c r="D53"/>
  <c r="U52"/>
  <c r="R52"/>
  <c r="O52"/>
  <c r="N52"/>
  <c r="J52"/>
  <c r="M52" s="1"/>
  <c r="G52"/>
  <c r="D52"/>
  <c r="U51"/>
  <c r="R51"/>
  <c r="O51"/>
  <c r="N51"/>
  <c r="J51"/>
  <c r="M51" s="1"/>
  <c r="G51"/>
  <c r="D51"/>
  <c r="A58"/>
  <c r="W50"/>
  <c r="V50"/>
  <c r="T50"/>
  <c r="S50"/>
  <c r="L50"/>
  <c r="O50" s="1"/>
  <c r="K50"/>
  <c r="I50"/>
  <c r="H50"/>
  <c r="E50"/>
  <c r="T49"/>
  <c r="U48"/>
  <c r="R48"/>
  <c r="O48"/>
  <c r="N48"/>
  <c r="J48"/>
  <c r="M48" s="1"/>
  <c r="G48"/>
  <c r="D48"/>
  <c r="W47"/>
  <c r="W46" s="1"/>
  <c r="V47"/>
  <c r="V46" s="1"/>
  <c r="T47"/>
  <c r="S47"/>
  <c r="S46" s="1"/>
  <c r="L47"/>
  <c r="L46" s="1"/>
  <c r="O46" s="1"/>
  <c r="K47"/>
  <c r="K46" s="1"/>
  <c r="I47"/>
  <c r="I46" s="1"/>
  <c r="H47"/>
  <c r="H46" s="1"/>
  <c r="F47"/>
  <c r="E47"/>
  <c r="E46" s="1"/>
  <c r="U45"/>
  <c r="R45"/>
  <c r="O45"/>
  <c r="N45"/>
  <c r="J45"/>
  <c r="M45" s="1"/>
  <c r="G45"/>
  <c r="D45"/>
  <c r="W44"/>
  <c r="W42" s="1"/>
  <c r="V44"/>
  <c r="T44"/>
  <c r="T42" s="1"/>
  <c r="S44"/>
  <c r="S42" s="1"/>
  <c r="L44"/>
  <c r="O44" s="1"/>
  <c r="K44"/>
  <c r="K42" s="1"/>
  <c r="I44"/>
  <c r="I42" s="1"/>
  <c r="H44"/>
  <c r="F44"/>
  <c r="F42" s="1"/>
  <c r="E44"/>
  <c r="E42" s="1"/>
  <c r="U43"/>
  <c r="R43"/>
  <c r="O43"/>
  <c r="N43"/>
  <c r="J43"/>
  <c r="M43" s="1"/>
  <c r="G43"/>
  <c r="D43"/>
  <c r="U41"/>
  <c r="R41"/>
  <c r="O41"/>
  <c r="N41"/>
  <c r="J41"/>
  <c r="M41" s="1"/>
  <c r="G41"/>
  <c r="D41"/>
  <c r="W40"/>
  <c r="V40"/>
  <c r="T40"/>
  <c r="S40"/>
  <c r="Q40"/>
  <c r="P40"/>
  <c r="L40"/>
  <c r="O40" s="1"/>
  <c r="K40"/>
  <c r="N40" s="1"/>
  <c r="I40"/>
  <c r="H40"/>
  <c r="F40"/>
  <c r="E40"/>
  <c r="U39"/>
  <c r="R39"/>
  <c r="O39"/>
  <c r="N39"/>
  <c r="J39"/>
  <c r="M39" s="1"/>
  <c r="G39"/>
  <c r="D39"/>
  <c r="W38"/>
  <c r="W37" s="1"/>
  <c r="V38"/>
  <c r="V37" s="1"/>
  <c r="T38"/>
  <c r="S38"/>
  <c r="S37" s="1"/>
  <c r="L38"/>
  <c r="O38" s="1"/>
  <c r="K38"/>
  <c r="K37" s="1"/>
  <c r="I38"/>
  <c r="I37" s="1"/>
  <c r="H38"/>
  <c r="F38"/>
  <c r="F37" s="1"/>
  <c r="E38"/>
  <c r="E37" s="1"/>
  <c r="Q37"/>
  <c r="P37"/>
  <c r="U36"/>
  <c r="R36"/>
  <c r="O36"/>
  <c r="N36"/>
  <c r="J36"/>
  <c r="M36" s="1"/>
  <c r="G36"/>
  <c r="D36"/>
  <c r="W35"/>
  <c r="W34" s="1"/>
  <c r="V35"/>
  <c r="V34" s="1"/>
  <c r="T35"/>
  <c r="T34" s="1"/>
  <c r="S35"/>
  <c r="S34" s="1"/>
  <c r="O35"/>
  <c r="K35"/>
  <c r="J35" s="1"/>
  <c r="M35" s="1"/>
  <c r="I35"/>
  <c r="I34" s="1"/>
  <c r="H35"/>
  <c r="F35"/>
  <c r="F34" s="1"/>
  <c r="E35"/>
  <c r="E34" s="1"/>
  <c r="Q34"/>
  <c r="P34"/>
  <c r="L34"/>
  <c r="O34" s="1"/>
  <c r="U33"/>
  <c r="R33"/>
  <c r="O33"/>
  <c r="N33"/>
  <c r="J33"/>
  <c r="M33" s="1"/>
  <c r="G33"/>
  <c r="D33"/>
  <c r="U32"/>
  <c r="R32"/>
  <c r="O32"/>
  <c r="N32"/>
  <c r="J32"/>
  <c r="M32" s="1"/>
  <c r="G32"/>
  <c r="D32"/>
  <c r="W31"/>
  <c r="W30" s="1"/>
  <c r="V31"/>
  <c r="V30" s="1"/>
  <c r="T31"/>
  <c r="T30" s="1"/>
  <c r="S31"/>
  <c r="S30" s="1"/>
  <c r="L31"/>
  <c r="O31" s="1"/>
  <c r="K31"/>
  <c r="K30" s="1"/>
  <c r="I31"/>
  <c r="I30" s="1"/>
  <c r="H31"/>
  <c r="F31"/>
  <c r="F30" s="1"/>
  <c r="E31"/>
  <c r="Q30"/>
  <c r="P30"/>
  <c r="U28"/>
  <c r="R28"/>
  <c r="J28"/>
  <c r="G28"/>
  <c r="D28"/>
  <c r="A28"/>
  <c r="K134"/>
  <c r="U27"/>
  <c r="U26" s="1"/>
  <c r="R27"/>
  <c r="R26" s="1"/>
  <c r="O27"/>
  <c r="O26" s="1"/>
  <c r="N27"/>
  <c r="N26" s="1"/>
  <c r="J27"/>
  <c r="M27" s="1"/>
  <c r="M26" s="1"/>
  <c r="G27"/>
  <c r="D27"/>
  <c r="W26"/>
  <c r="V26"/>
  <c r="T26"/>
  <c r="S26"/>
  <c r="Q26"/>
  <c r="P26"/>
  <c r="L26"/>
  <c r="K26"/>
  <c r="I26"/>
  <c r="H26"/>
  <c r="F26"/>
  <c r="E26"/>
  <c r="U25"/>
  <c r="R25"/>
  <c r="O25"/>
  <c r="N25"/>
  <c r="J25"/>
  <c r="M25" s="1"/>
  <c r="G25"/>
  <c r="D25"/>
  <c r="W24"/>
  <c r="V24"/>
  <c r="T24"/>
  <c r="S24"/>
  <c r="L24"/>
  <c r="O24" s="1"/>
  <c r="K24"/>
  <c r="N24" s="1"/>
  <c r="I24"/>
  <c r="H24"/>
  <c r="F24"/>
  <c r="E24"/>
  <c r="E133"/>
  <c r="U23"/>
  <c r="R23"/>
  <c r="O23"/>
  <c r="N23"/>
  <c r="J23"/>
  <c r="M23" s="1"/>
  <c r="G23"/>
  <c r="D23"/>
  <c r="W22"/>
  <c r="V22"/>
  <c r="T22"/>
  <c r="S22"/>
  <c r="L22"/>
  <c r="O22" s="1"/>
  <c r="K22"/>
  <c r="N22" s="1"/>
  <c r="I22"/>
  <c r="H22"/>
  <c r="F22"/>
  <c r="E22"/>
  <c r="U21"/>
  <c r="U20" s="1"/>
  <c r="R21"/>
  <c r="R20"/>
  <c r="O21"/>
  <c r="N21"/>
  <c r="J21"/>
  <c r="M21" s="1"/>
  <c r="G21"/>
  <c r="D21"/>
  <c r="W20"/>
  <c r="V20"/>
  <c r="T20"/>
  <c r="S20"/>
  <c r="Q20"/>
  <c r="P20"/>
  <c r="L20"/>
  <c r="O20" s="1"/>
  <c r="K20"/>
  <c r="N20" s="1"/>
  <c r="I20"/>
  <c r="H20"/>
  <c r="F20"/>
  <c r="E20"/>
  <c r="A25"/>
  <c r="U17"/>
  <c r="R17"/>
  <c r="O17"/>
  <c r="N17"/>
  <c r="J17"/>
  <c r="M17" s="1"/>
  <c r="G17"/>
  <c r="D17"/>
  <c r="L139"/>
  <c r="O150" i="58"/>
  <c r="N150"/>
  <c r="I107"/>
  <c r="F187"/>
  <c r="E187"/>
  <c r="F209"/>
  <c r="E209"/>
  <c r="K209" s="1"/>
  <c r="F107"/>
  <c r="AA215"/>
  <c r="X215"/>
  <c r="U215"/>
  <c r="T215"/>
  <c r="P215"/>
  <c r="S215" s="1"/>
  <c r="M215"/>
  <c r="L215"/>
  <c r="K215"/>
  <c r="G215"/>
  <c r="D215"/>
  <c r="AA193"/>
  <c r="X193"/>
  <c r="U193"/>
  <c r="T193"/>
  <c r="P193"/>
  <c r="S193" s="1"/>
  <c r="M193"/>
  <c r="L193"/>
  <c r="K193"/>
  <c r="G193"/>
  <c r="D193"/>
  <c r="AA178"/>
  <c r="X178"/>
  <c r="U178"/>
  <c r="T178"/>
  <c r="P178"/>
  <c r="S178" s="1"/>
  <c r="M178"/>
  <c r="L178"/>
  <c r="K178"/>
  <c r="G178"/>
  <c r="D178"/>
  <c r="AA177"/>
  <c r="X177"/>
  <c r="U177"/>
  <c r="T177"/>
  <c r="P177"/>
  <c r="S177" s="1"/>
  <c r="M177"/>
  <c r="L177"/>
  <c r="K177"/>
  <c r="G177"/>
  <c r="D177"/>
  <c r="AA176"/>
  <c r="X176"/>
  <c r="U176"/>
  <c r="T176"/>
  <c r="P176"/>
  <c r="S176" s="1"/>
  <c r="M176"/>
  <c r="L176"/>
  <c r="K176"/>
  <c r="G176"/>
  <c r="D176"/>
  <c r="K183"/>
  <c r="K184"/>
  <c r="N182"/>
  <c r="T182" s="1"/>
  <c r="H182"/>
  <c r="F182"/>
  <c r="E182"/>
  <c r="M122"/>
  <c r="P122"/>
  <c r="K122"/>
  <c r="L122"/>
  <c r="G122"/>
  <c r="D122"/>
  <c r="F100"/>
  <c r="F98" s="1"/>
  <c r="F103"/>
  <c r="F102" s="1"/>
  <c r="E87"/>
  <c r="E86" s="1"/>
  <c r="F76"/>
  <c r="K16"/>
  <c r="L16"/>
  <c r="K18"/>
  <c r="L18"/>
  <c r="K20"/>
  <c r="L20"/>
  <c r="K21"/>
  <c r="L21"/>
  <c r="K23"/>
  <c r="L23"/>
  <c r="K24"/>
  <c r="L24"/>
  <c r="K26"/>
  <c r="L26"/>
  <c r="K28"/>
  <c r="L28"/>
  <c r="K30"/>
  <c r="L30"/>
  <c r="K32"/>
  <c r="L32"/>
  <c r="K33"/>
  <c r="L33"/>
  <c r="K34"/>
  <c r="L34"/>
  <c r="K35"/>
  <c r="L35"/>
  <c r="K37"/>
  <c r="L37"/>
  <c r="K39"/>
  <c r="L39"/>
  <c r="K40"/>
  <c r="L40"/>
  <c r="K41"/>
  <c r="L41"/>
  <c r="K43"/>
  <c r="L43"/>
  <c r="K44"/>
  <c r="L44"/>
  <c r="K46"/>
  <c r="L46"/>
  <c r="K47"/>
  <c r="L47"/>
  <c r="K49"/>
  <c r="L49"/>
  <c r="K51"/>
  <c r="L51"/>
  <c r="K52"/>
  <c r="L52"/>
  <c r="K54"/>
  <c r="L54"/>
  <c r="K55"/>
  <c r="L55"/>
  <c r="K57"/>
  <c r="L57"/>
  <c r="K58"/>
  <c r="L58"/>
  <c r="K59"/>
  <c r="L59"/>
  <c r="K60"/>
  <c r="L60"/>
  <c r="K61"/>
  <c r="L61"/>
  <c r="K63"/>
  <c r="L63"/>
  <c r="K64"/>
  <c r="L64"/>
  <c r="K65"/>
  <c r="L65"/>
  <c r="K68"/>
  <c r="L68"/>
  <c r="K70"/>
  <c r="L70"/>
  <c r="K75"/>
  <c r="L75"/>
  <c r="K77"/>
  <c r="L77"/>
  <c r="K79"/>
  <c r="L79"/>
  <c r="K81"/>
  <c r="L81"/>
  <c r="K83"/>
  <c r="L83"/>
  <c r="K84"/>
  <c r="L84"/>
  <c r="K88"/>
  <c r="L88"/>
  <c r="K89"/>
  <c r="L89"/>
  <c r="K92"/>
  <c r="L92"/>
  <c r="K95"/>
  <c r="L95"/>
  <c r="K97"/>
  <c r="L97"/>
  <c r="K99"/>
  <c r="L99"/>
  <c r="K101"/>
  <c r="L101"/>
  <c r="K104"/>
  <c r="L104"/>
  <c r="K108"/>
  <c r="L108"/>
  <c r="K109"/>
  <c r="L109"/>
  <c r="K110"/>
  <c r="L110"/>
  <c r="K111"/>
  <c r="L111"/>
  <c r="K112"/>
  <c r="L112"/>
  <c r="K113"/>
  <c r="L113"/>
  <c r="K114"/>
  <c r="L114"/>
  <c r="K115"/>
  <c r="L115"/>
  <c r="K116"/>
  <c r="L116"/>
  <c r="K117"/>
  <c r="L117"/>
  <c r="K118"/>
  <c r="L118"/>
  <c r="K119"/>
  <c r="L119"/>
  <c r="K120"/>
  <c r="L120"/>
  <c r="K121"/>
  <c r="L121"/>
  <c r="K123"/>
  <c r="L123"/>
  <c r="K124"/>
  <c r="L124"/>
  <c r="K125"/>
  <c r="L125"/>
  <c r="K126"/>
  <c r="L126"/>
  <c r="K127"/>
  <c r="L127"/>
  <c r="K128"/>
  <c r="L128"/>
  <c r="K129"/>
  <c r="L129"/>
  <c r="K130"/>
  <c r="L130"/>
  <c r="K131"/>
  <c r="L131"/>
  <c r="K132"/>
  <c r="L132"/>
  <c r="K133"/>
  <c r="L133"/>
  <c r="K134"/>
  <c r="L134"/>
  <c r="K135"/>
  <c r="L135"/>
  <c r="K136"/>
  <c r="L136"/>
  <c r="K137"/>
  <c r="L137"/>
  <c r="K138"/>
  <c r="L138"/>
  <c r="K139"/>
  <c r="L139"/>
  <c r="K141"/>
  <c r="L141"/>
  <c r="K142"/>
  <c r="L142"/>
  <c r="K143"/>
  <c r="L143"/>
  <c r="K144"/>
  <c r="K145"/>
  <c r="L145"/>
  <c r="K146"/>
  <c r="L146"/>
  <c r="K147"/>
  <c r="L147"/>
  <c r="K151"/>
  <c r="L151"/>
  <c r="K152"/>
  <c r="L152"/>
  <c r="K153"/>
  <c r="L153"/>
  <c r="K154"/>
  <c r="L154"/>
  <c r="K155"/>
  <c r="L155"/>
  <c r="J157"/>
  <c r="K157"/>
  <c r="L157"/>
  <c r="J158"/>
  <c r="K158"/>
  <c r="L158"/>
  <c r="K159"/>
  <c r="L159"/>
  <c r="K161"/>
  <c r="L161"/>
  <c r="K163"/>
  <c r="L163"/>
  <c r="K166"/>
  <c r="L166"/>
  <c r="L167"/>
  <c r="K168"/>
  <c r="L168"/>
  <c r="K169"/>
  <c r="L169"/>
  <c r="K170"/>
  <c r="L170"/>
  <c r="K171"/>
  <c r="L171"/>
  <c r="K172"/>
  <c r="L172"/>
  <c r="K173"/>
  <c r="L173"/>
  <c r="K174"/>
  <c r="L174"/>
  <c r="K175"/>
  <c r="L175"/>
  <c r="K179"/>
  <c r="L179"/>
  <c r="K180"/>
  <c r="L180"/>
  <c r="K181"/>
  <c r="L181"/>
  <c r="K185"/>
  <c r="L185"/>
  <c r="K186"/>
  <c r="L186"/>
  <c r="K188"/>
  <c r="L188"/>
  <c r="K189"/>
  <c r="L189"/>
  <c r="K190"/>
  <c r="L190"/>
  <c r="K191"/>
  <c r="L191"/>
  <c r="K192"/>
  <c r="L192"/>
  <c r="K194"/>
  <c r="L194"/>
  <c r="K196"/>
  <c r="L196"/>
  <c r="K197"/>
  <c r="L197"/>
  <c r="K199"/>
  <c r="L199"/>
  <c r="K200"/>
  <c r="L200"/>
  <c r="K202"/>
  <c r="L202"/>
  <c r="K203"/>
  <c r="L203"/>
  <c r="K205"/>
  <c r="L205"/>
  <c r="K206"/>
  <c r="L206"/>
  <c r="K207"/>
  <c r="K208"/>
  <c r="L208"/>
  <c r="K210"/>
  <c r="L210"/>
  <c r="K211"/>
  <c r="L211"/>
  <c r="K212"/>
  <c r="L212"/>
  <c r="K213"/>
  <c r="L213"/>
  <c r="K214"/>
  <c r="L214"/>
  <c r="K217"/>
  <c r="L217"/>
  <c r="K219"/>
  <c r="L219"/>
  <c r="K220"/>
  <c r="L220"/>
  <c r="K221"/>
  <c r="L221"/>
  <c r="K222"/>
  <c r="L222"/>
  <c r="K223"/>
  <c r="L223"/>
  <c r="D223"/>
  <c r="D222"/>
  <c r="D221"/>
  <c r="D220"/>
  <c r="D219"/>
  <c r="F218"/>
  <c r="E218"/>
  <c r="D217"/>
  <c r="F216"/>
  <c r="E216"/>
  <c r="D214"/>
  <c r="D213"/>
  <c r="D212"/>
  <c r="D211"/>
  <c r="D210"/>
  <c r="D208"/>
  <c r="D207"/>
  <c r="D206"/>
  <c r="D205"/>
  <c r="F204"/>
  <c r="E204"/>
  <c r="D203"/>
  <c r="D202"/>
  <c r="F201"/>
  <c r="E201"/>
  <c r="D200"/>
  <c r="D199"/>
  <c r="F198"/>
  <c r="E198"/>
  <c r="D197"/>
  <c r="D196"/>
  <c r="F195"/>
  <c r="E195"/>
  <c r="D194"/>
  <c r="D192"/>
  <c r="D191"/>
  <c r="D190"/>
  <c r="D189"/>
  <c r="D188"/>
  <c r="D186"/>
  <c r="D185"/>
  <c r="D184"/>
  <c r="D183"/>
  <c r="D181"/>
  <c r="D180"/>
  <c r="D179"/>
  <c r="D175"/>
  <c r="D174"/>
  <c r="D173"/>
  <c r="D172"/>
  <c r="D171"/>
  <c r="D170"/>
  <c r="D169"/>
  <c r="D168"/>
  <c r="D166"/>
  <c r="F165"/>
  <c r="E165"/>
  <c r="D163"/>
  <c r="F162"/>
  <c r="E162"/>
  <c r="D161"/>
  <c r="F160"/>
  <c r="E160"/>
  <c r="D159"/>
  <c r="D156" s="1"/>
  <c r="F156"/>
  <c r="E156"/>
  <c r="D155"/>
  <c r="D154"/>
  <c r="D153"/>
  <c r="D152"/>
  <c r="D151"/>
  <c r="F150"/>
  <c r="E150"/>
  <c r="D147"/>
  <c r="D146"/>
  <c r="D145"/>
  <c r="D144"/>
  <c r="D143"/>
  <c r="D142"/>
  <c r="D141"/>
  <c r="F140"/>
  <c r="E140"/>
  <c r="D139"/>
  <c r="D138"/>
  <c r="D137"/>
  <c r="D136"/>
  <c r="D135"/>
  <c r="D134"/>
  <c r="D133"/>
  <c r="D132"/>
  <c r="D131"/>
  <c r="D130"/>
  <c r="D129"/>
  <c r="D128"/>
  <c r="D127"/>
  <c r="D126"/>
  <c r="D125"/>
  <c r="D124"/>
  <c r="D123"/>
  <c r="D121"/>
  <c r="D120"/>
  <c r="D119"/>
  <c r="D118"/>
  <c r="D117"/>
  <c r="D116"/>
  <c r="D115"/>
  <c r="D114"/>
  <c r="D113"/>
  <c r="D112"/>
  <c r="D111"/>
  <c r="D110"/>
  <c r="D109"/>
  <c r="D108"/>
  <c r="E107"/>
  <c r="D104"/>
  <c r="E103"/>
  <c r="E102" s="1"/>
  <c r="D101"/>
  <c r="E100"/>
  <c r="D99"/>
  <c r="D97"/>
  <c r="F96"/>
  <c r="E96"/>
  <c r="D95"/>
  <c r="F94"/>
  <c r="F93" s="1"/>
  <c r="E94"/>
  <c r="D92"/>
  <c r="F91"/>
  <c r="F90"/>
  <c r="E91"/>
  <c r="D89"/>
  <c r="D88"/>
  <c r="F87"/>
  <c r="D84"/>
  <c r="D83"/>
  <c r="F82"/>
  <c r="E82"/>
  <c r="D81"/>
  <c r="F80"/>
  <c r="E80"/>
  <c r="D79"/>
  <c r="F78"/>
  <c r="E78"/>
  <c r="D77"/>
  <c r="E76"/>
  <c r="D75"/>
  <c r="F74"/>
  <c r="E74"/>
  <c r="D70"/>
  <c r="F69"/>
  <c r="E69"/>
  <c r="D68"/>
  <c r="F67"/>
  <c r="E67"/>
  <c r="D65"/>
  <c r="D64"/>
  <c r="D63"/>
  <c r="F62"/>
  <c r="E62"/>
  <c r="D61"/>
  <c r="D60"/>
  <c r="D59"/>
  <c r="D58"/>
  <c r="D57"/>
  <c r="F56"/>
  <c r="E56"/>
  <c r="D55"/>
  <c r="D54"/>
  <c r="F53"/>
  <c r="E53"/>
  <c r="D52"/>
  <c r="D51"/>
  <c r="F50"/>
  <c r="E50"/>
  <c r="D49"/>
  <c r="F48"/>
  <c r="E48"/>
  <c r="D47"/>
  <c r="D46"/>
  <c r="F45"/>
  <c r="E45"/>
  <c r="D44"/>
  <c r="D43"/>
  <c r="F42"/>
  <c r="E42"/>
  <c r="D41"/>
  <c r="D40"/>
  <c r="D39"/>
  <c r="F38"/>
  <c r="E38"/>
  <c r="D37"/>
  <c r="F36"/>
  <c r="E36"/>
  <c r="D35"/>
  <c r="D34"/>
  <c r="D33"/>
  <c r="D32"/>
  <c r="F31"/>
  <c r="E31"/>
  <c r="D30"/>
  <c r="F29"/>
  <c r="E29"/>
  <c r="D28"/>
  <c r="F27"/>
  <c r="E27"/>
  <c r="D26"/>
  <c r="F25"/>
  <c r="E25"/>
  <c r="D24"/>
  <c r="D23"/>
  <c r="F22"/>
  <c r="E22"/>
  <c r="D21"/>
  <c r="D20"/>
  <c r="F19"/>
  <c r="E19"/>
  <c r="D19" s="1"/>
  <c r="D18"/>
  <c r="F17"/>
  <c r="E17"/>
  <c r="D16"/>
  <c r="F15"/>
  <c r="E15"/>
  <c r="AA223"/>
  <c r="X223"/>
  <c r="U223"/>
  <c r="T223"/>
  <c r="P223"/>
  <c r="S223" s="1"/>
  <c r="M223"/>
  <c r="G223"/>
  <c r="AA222"/>
  <c r="X222"/>
  <c r="U222"/>
  <c r="T222"/>
  <c r="P222"/>
  <c r="S222" s="1"/>
  <c r="M222"/>
  <c r="G222"/>
  <c r="AA221"/>
  <c r="X221"/>
  <c r="U221"/>
  <c r="T221"/>
  <c r="P221"/>
  <c r="S221"/>
  <c r="M221"/>
  <c r="G221"/>
  <c r="J221" s="1"/>
  <c r="AA220"/>
  <c r="X220"/>
  <c r="U220"/>
  <c r="T220"/>
  <c r="P220"/>
  <c r="S220" s="1"/>
  <c r="M220"/>
  <c r="G220"/>
  <c r="AA219"/>
  <c r="X219"/>
  <c r="U219"/>
  <c r="T219"/>
  <c r="P219"/>
  <c r="S219" s="1"/>
  <c r="M219"/>
  <c r="G219"/>
  <c r="J219" s="1"/>
  <c r="AC218"/>
  <c r="AB218"/>
  <c r="Z218"/>
  <c r="Y218"/>
  <c r="R218"/>
  <c r="U218" s="1"/>
  <c r="Q218"/>
  <c r="T218" s="1"/>
  <c r="O218"/>
  <c r="N218"/>
  <c r="I218"/>
  <c r="H218"/>
  <c r="AA217"/>
  <c r="X217"/>
  <c r="U217"/>
  <c r="T217"/>
  <c r="P217"/>
  <c r="S217" s="1"/>
  <c r="M217"/>
  <c r="G217"/>
  <c r="AC216"/>
  <c r="AB216"/>
  <c r="Z216"/>
  <c r="Y216"/>
  <c r="R216"/>
  <c r="U216" s="1"/>
  <c r="Q216"/>
  <c r="T216" s="1"/>
  <c r="O216"/>
  <c r="N216"/>
  <c r="I216"/>
  <c r="L216" s="1"/>
  <c r="H216"/>
  <c r="AA214"/>
  <c r="X214"/>
  <c r="U214"/>
  <c r="T214"/>
  <c r="P214"/>
  <c r="S214" s="1"/>
  <c r="M214"/>
  <c r="G214"/>
  <c r="AA213"/>
  <c r="X213"/>
  <c r="U213"/>
  <c r="T213"/>
  <c r="P213"/>
  <c r="S213" s="1"/>
  <c r="M213"/>
  <c r="G213"/>
  <c r="AA212"/>
  <c r="X212"/>
  <c r="R212"/>
  <c r="Q212"/>
  <c r="T212" s="1"/>
  <c r="M212"/>
  <c r="G212"/>
  <c r="J212" s="1"/>
  <c r="AA211"/>
  <c r="X211"/>
  <c r="U211"/>
  <c r="T211"/>
  <c r="P211"/>
  <c r="S211" s="1"/>
  <c r="M211"/>
  <c r="G211"/>
  <c r="AA210"/>
  <c r="X210"/>
  <c r="U210"/>
  <c r="T210"/>
  <c r="P210"/>
  <c r="S210" s="1"/>
  <c r="M210"/>
  <c r="G210"/>
  <c r="AA209"/>
  <c r="X209"/>
  <c r="U209"/>
  <c r="T209"/>
  <c r="P209"/>
  <c r="S209" s="1"/>
  <c r="O209"/>
  <c r="M209" s="1"/>
  <c r="I209"/>
  <c r="AA208"/>
  <c r="X208"/>
  <c r="U208"/>
  <c r="T208"/>
  <c r="P208"/>
  <c r="M208"/>
  <c r="G208"/>
  <c r="AA207"/>
  <c r="X207"/>
  <c r="U207"/>
  <c r="T207"/>
  <c r="P207"/>
  <c r="S207" s="1"/>
  <c r="O207"/>
  <c r="M207" s="1"/>
  <c r="I207"/>
  <c r="AA206"/>
  <c r="X206"/>
  <c r="U206"/>
  <c r="T206"/>
  <c r="P206"/>
  <c r="S206" s="1"/>
  <c r="M206"/>
  <c r="G206"/>
  <c r="AA205"/>
  <c r="X205"/>
  <c r="U205"/>
  <c r="T205"/>
  <c r="P205"/>
  <c r="S205" s="1"/>
  <c r="M205"/>
  <c r="G205"/>
  <c r="AA204"/>
  <c r="X204"/>
  <c r="U204"/>
  <c r="T204"/>
  <c r="P204"/>
  <c r="S204" s="1"/>
  <c r="O204"/>
  <c r="N204"/>
  <c r="I204"/>
  <c r="H204"/>
  <c r="K204" s="1"/>
  <c r="AA203"/>
  <c r="X203"/>
  <c r="U203"/>
  <c r="T203"/>
  <c r="P203"/>
  <c r="S203" s="1"/>
  <c r="M203"/>
  <c r="G203"/>
  <c r="AA202"/>
  <c r="X202"/>
  <c r="U202"/>
  <c r="T202"/>
  <c r="P202"/>
  <c r="S202" s="1"/>
  <c r="M202"/>
  <c r="G202"/>
  <c r="AA201"/>
  <c r="X201"/>
  <c r="U201"/>
  <c r="T201"/>
  <c r="P201"/>
  <c r="S201" s="1"/>
  <c r="O201"/>
  <c r="N201"/>
  <c r="I201"/>
  <c r="H201"/>
  <c r="AA200"/>
  <c r="X200"/>
  <c r="U200"/>
  <c r="T200"/>
  <c r="P200"/>
  <c r="S200" s="1"/>
  <c r="M200"/>
  <c r="G200"/>
  <c r="AA199"/>
  <c r="X199"/>
  <c r="U199"/>
  <c r="T199"/>
  <c r="P199"/>
  <c r="S199" s="1"/>
  <c r="M199"/>
  <c r="G199"/>
  <c r="J199" s="1"/>
  <c r="AA198"/>
  <c r="X198"/>
  <c r="U198"/>
  <c r="T198"/>
  <c r="P198"/>
  <c r="S198" s="1"/>
  <c r="O198"/>
  <c r="N198"/>
  <c r="I198"/>
  <c r="L198"/>
  <c r="H198"/>
  <c r="AA197"/>
  <c r="X197"/>
  <c r="U197"/>
  <c r="T197"/>
  <c r="P197"/>
  <c r="S197" s="1"/>
  <c r="M197"/>
  <c r="G197"/>
  <c r="AA196"/>
  <c r="X196"/>
  <c r="U196"/>
  <c r="T196"/>
  <c r="P196"/>
  <c r="S196" s="1"/>
  <c r="M196"/>
  <c r="G196"/>
  <c r="AC195"/>
  <c r="AC164" s="1"/>
  <c r="AB195"/>
  <c r="AB164" s="1"/>
  <c r="Z195"/>
  <c r="Z164" s="1"/>
  <c r="Y195"/>
  <c r="Y164" s="1"/>
  <c r="W195"/>
  <c r="W164" s="1"/>
  <c r="V195"/>
  <c r="V164" s="1"/>
  <c r="P195"/>
  <c r="O195"/>
  <c r="N195"/>
  <c r="I195"/>
  <c r="H195"/>
  <c r="K195" s="1"/>
  <c r="AA194"/>
  <c r="X194"/>
  <c r="U194"/>
  <c r="T194"/>
  <c r="P194"/>
  <c r="S194" s="1"/>
  <c r="M194"/>
  <c r="G194"/>
  <c r="AA192"/>
  <c r="X192"/>
  <c r="U192"/>
  <c r="T192"/>
  <c r="P192"/>
  <c r="S192" s="1"/>
  <c r="M192"/>
  <c r="G192"/>
  <c r="AA191"/>
  <c r="X191"/>
  <c r="U191"/>
  <c r="T191"/>
  <c r="P191"/>
  <c r="S191" s="1"/>
  <c r="M191"/>
  <c r="G191"/>
  <c r="AA190"/>
  <c r="X190"/>
  <c r="U190"/>
  <c r="T190"/>
  <c r="P190"/>
  <c r="M190"/>
  <c r="G190"/>
  <c r="J190" s="1"/>
  <c r="AA189"/>
  <c r="X189"/>
  <c r="U189"/>
  <c r="T189"/>
  <c r="P189"/>
  <c r="S189" s="1"/>
  <c r="M189"/>
  <c r="G189"/>
  <c r="AA188"/>
  <c r="X188"/>
  <c r="U188"/>
  <c r="T188"/>
  <c r="P188"/>
  <c r="S188" s="1"/>
  <c r="M188"/>
  <c r="G188"/>
  <c r="AA187"/>
  <c r="X187"/>
  <c r="U187"/>
  <c r="T187"/>
  <c r="P187"/>
  <c r="S187" s="1"/>
  <c r="O187"/>
  <c r="N187"/>
  <c r="I187"/>
  <c r="H187"/>
  <c r="AA186"/>
  <c r="X186"/>
  <c r="U186"/>
  <c r="T186"/>
  <c r="P186"/>
  <c r="S186" s="1"/>
  <c r="M186"/>
  <c r="G186"/>
  <c r="AA185"/>
  <c r="X185"/>
  <c r="U185"/>
  <c r="T185"/>
  <c r="P185"/>
  <c r="S185" s="1"/>
  <c r="M185"/>
  <c r="G185"/>
  <c r="J185" s="1"/>
  <c r="AA184"/>
  <c r="X184"/>
  <c r="U184"/>
  <c r="T184"/>
  <c r="P184"/>
  <c r="S184" s="1"/>
  <c r="O184"/>
  <c r="M184" s="1"/>
  <c r="I184"/>
  <c r="G184" s="1"/>
  <c r="AA183"/>
  <c r="X183"/>
  <c r="U183"/>
  <c r="T183"/>
  <c r="P183"/>
  <c r="S183" s="1"/>
  <c r="O183"/>
  <c r="M183" s="1"/>
  <c r="I183"/>
  <c r="G183" s="1"/>
  <c r="AA181"/>
  <c r="X181"/>
  <c r="U181"/>
  <c r="T181"/>
  <c r="P181"/>
  <c r="S181" s="1"/>
  <c r="M181"/>
  <c r="G181"/>
  <c r="AA180"/>
  <c r="X180"/>
  <c r="U180"/>
  <c r="T180"/>
  <c r="P180"/>
  <c r="S180" s="1"/>
  <c r="M180"/>
  <c r="G180"/>
  <c r="AA179"/>
  <c r="X179"/>
  <c r="U179"/>
  <c r="T179"/>
  <c r="P179"/>
  <c r="S179" s="1"/>
  <c r="M179"/>
  <c r="G179"/>
  <c r="AA182"/>
  <c r="X182"/>
  <c r="P182"/>
  <c r="AA175"/>
  <c r="X175"/>
  <c r="U175"/>
  <c r="T175"/>
  <c r="P175"/>
  <c r="S175" s="1"/>
  <c r="M175"/>
  <c r="G175"/>
  <c r="AA174"/>
  <c r="X174"/>
  <c r="U174"/>
  <c r="T174"/>
  <c r="P174"/>
  <c r="S174" s="1"/>
  <c r="M174"/>
  <c r="G174"/>
  <c r="AA173"/>
  <c r="X173"/>
  <c r="U173"/>
  <c r="T173"/>
  <c r="P173"/>
  <c r="S173" s="1"/>
  <c r="M173"/>
  <c r="G173"/>
  <c r="J173" s="1"/>
  <c r="AA172"/>
  <c r="X172"/>
  <c r="U172"/>
  <c r="T172"/>
  <c r="P172"/>
  <c r="S172" s="1"/>
  <c r="M172"/>
  <c r="G172"/>
  <c r="AA171"/>
  <c r="X171"/>
  <c r="U171"/>
  <c r="T171"/>
  <c r="P171"/>
  <c r="S171" s="1"/>
  <c r="M171"/>
  <c r="G171"/>
  <c r="AA170"/>
  <c r="X170"/>
  <c r="U170"/>
  <c r="T170"/>
  <c r="P170"/>
  <c r="S170" s="1"/>
  <c r="M170"/>
  <c r="G170"/>
  <c r="AA169"/>
  <c r="X169"/>
  <c r="U169"/>
  <c r="T169"/>
  <c r="P169"/>
  <c r="S169" s="1"/>
  <c r="M169"/>
  <c r="G169"/>
  <c r="AA168"/>
  <c r="X168"/>
  <c r="U168"/>
  <c r="T168"/>
  <c r="P168"/>
  <c r="S168" s="1"/>
  <c r="M168"/>
  <c r="G168"/>
  <c r="AA167"/>
  <c r="X167"/>
  <c r="P167"/>
  <c r="M167"/>
  <c r="G167"/>
  <c r="AA166"/>
  <c r="X166"/>
  <c r="U166"/>
  <c r="T166"/>
  <c r="P166"/>
  <c r="S166" s="1"/>
  <c r="M166"/>
  <c r="G166"/>
  <c r="AA165"/>
  <c r="X165"/>
  <c r="R165"/>
  <c r="Q165"/>
  <c r="T165" s="1"/>
  <c r="O165"/>
  <c r="N165"/>
  <c r="I165"/>
  <c r="H165"/>
  <c r="AA163"/>
  <c r="X163"/>
  <c r="U163"/>
  <c r="T163"/>
  <c r="P163"/>
  <c r="S163" s="1"/>
  <c r="M163"/>
  <c r="G163"/>
  <c r="AC162"/>
  <c r="AB162"/>
  <c r="Z162"/>
  <c r="Y162"/>
  <c r="R162"/>
  <c r="U162" s="1"/>
  <c r="Q162"/>
  <c r="T162" s="1"/>
  <c r="O162"/>
  <c r="N162"/>
  <c r="I162"/>
  <c r="H162"/>
  <c r="AA161"/>
  <c r="X161"/>
  <c r="U161"/>
  <c r="T161"/>
  <c r="P161"/>
  <c r="S161" s="1"/>
  <c r="M161"/>
  <c r="G161"/>
  <c r="AC160"/>
  <c r="AB160"/>
  <c r="Z160"/>
  <c r="Y160"/>
  <c r="R160"/>
  <c r="U160" s="1"/>
  <c r="Q160"/>
  <c r="O160"/>
  <c r="N160"/>
  <c r="I160"/>
  <c r="H160"/>
  <c r="AA159"/>
  <c r="X159"/>
  <c r="P159"/>
  <c r="P156" s="1"/>
  <c r="M159"/>
  <c r="M156" s="1"/>
  <c r="G159"/>
  <c r="G156" s="1"/>
  <c r="AA158"/>
  <c r="X158"/>
  <c r="AA157"/>
  <c r="X157"/>
  <c r="AC156"/>
  <c r="AB156"/>
  <c r="Z156"/>
  <c r="Y156"/>
  <c r="W156"/>
  <c r="V156"/>
  <c r="U156"/>
  <c r="T156"/>
  <c r="S156"/>
  <c r="R156"/>
  <c r="Q156"/>
  <c r="O156"/>
  <c r="O149" s="1"/>
  <c r="N156"/>
  <c r="I156"/>
  <c r="L156" s="1"/>
  <c r="H156"/>
  <c r="AA155"/>
  <c r="X155"/>
  <c r="U155"/>
  <c r="T155"/>
  <c r="P155"/>
  <c r="S155" s="1"/>
  <c r="M155"/>
  <c r="G155"/>
  <c r="AA154"/>
  <c r="X154"/>
  <c r="U154"/>
  <c r="T154"/>
  <c r="P154"/>
  <c r="S154" s="1"/>
  <c r="M154"/>
  <c r="G154"/>
  <c r="J154" s="1"/>
  <c r="AA153"/>
  <c r="X153"/>
  <c r="U153"/>
  <c r="T153"/>
  <c r="P153"/>
  <c r="S153"/>
  <c r="M153"/>
  <c r="G153"/>
  <c r="J153" s="1"/>
  <c r="AA152"/>
  <c r="X152"/>
  <c r="P152"/>
  <c r="M152"/>
  <c r="G152"/>
  <c r="AA151"/>
  <c r="X151"/>
  <c r="U151"/>
  <c r="T151"/>
  <c r="T150"/>
  <c r="P151"/>
  <c r="S151" s="1"/>
  <c r="M151"/>
  <c r="G151"/>
  <c r="J151" s="1"/>
  <c r="AC150"/>
  <c r="AB150"/>
  <c r="Z150"/>
  <c r="Y150"/>
  <c r="W150"/>
  <c r="V150"/>
  <c r="R150"/>
  <c r="Q150"/>
  <c r="I150"/>
  <c r="L150" s="1"/>
  <c r="H150"/>
  <c r="K150" s="1"/>
  <c r="AA147"/>
  <c r="X147"/>
  <c r="U147"/>
  <c r="T147"/>
  <c r="P147"/>
  <c r="S147" s="1"/>
  <c r="M147"/>
  <c r="G147"/>
  <c r="AA146"/>
  <c r="X146"/>
  <c r="U146"/>
  <c r="T146"/>
  <c r="P146"/>
  <c r="S146" s="1"/>
  <c r="M146"/>
  <c r="G146"/>
  <c r="AA145"/>
  <c r="X145"/>
  <c r="U145"/>
  <c r="T145"/>
  <c r="P145"/>
  <c r="S145" s="1"/>
  <c r="M145"/>
  <c r="G145"/>
  <c r="J145" s="1"/>
  <c r="AA144"/>
  <c r="X144"/>
  <c r="U144"/>
  <c r="T144"/>
  <c r="P144"/>
  <c r="S144" s="1"/>
  <c r="M144"/>
  <c r="I144"/>
  <c r="G144" s="1"/>
  <c r="AA143"/>
  <c r="X143"/>
  <c r="U143"/>
  <c r="T143"/>
  <c r="P143"/>
  <c r="S143" s="1"/>
  <c r="M143"/>
  <c r="G143"/>
  <c r="AA142"/>
  <c r="X142"/>
  <c r="U142"/>
  <c r="T142"/>
  <c r="P142"/>
  <c r="S142" s="1"/>
  <c r="M142"/>
  <c r="G142"/>
  <c r="AA141"/>
  <c r="X141"/>
  <c r="U141"/>
  <c r="T141"/>
  <c r="P141"/>
  <c r="S141" s="1"/>
  <c r="M141"/>
  <c r="G141"/>
  <c r="A141"/>
  <c r="A151" s="1"/>
  <c r="A152" s="1"/>
  <c r="AC140"/>
  <c r="AB140"/>
  <c r="Z140"/>
  <c r="Y140"/>
  <c r="R140"/>
  <c r="Q140"/>
  <c r="T140" s="1"/>
  <c r="O140"/>
  <c r="N140"/>
  <c r="H140"/>
  <c r="U139"/>
  <c r="T139"/>
  <c r="P139"/>
  <c r="S139" s="1"/>
  <c r="M139"/>
  <c r="G139"/>
  <c r="AA138"/>
  <c r="X138"/>
  <c r="U138"/>
  <c r="T138"/>
  <c r="P138"/>
  <c r="S138" s="1"/>
  <c r="M138"/>
  <c r="G138"/>
  <c r="AA137"/>
  <c r="X137"/>
  <c r="U137"/>
  <c r="T137"/>
  <c r="P137"/>
  <c r="S137" s="1"/>
  <c r="M137"/>
  <c r="G137"/>
  <c r="AA136"/>
  <c r="X136"/>
  <c r="U136"/>
  <c r="T136"/>
  <c r="P136"/>
  <c r="S136" s="1"/>
  <c r="M136"/>
  <c r="G136"/>
  <c r="AA135"/>
  <c r="X135"/>
  <c r="U135"/>
  <c r="T135"/>
  <c r="P135"/>
  <c r="S135" s="1"/>
  <c r="M135"/>
  <c r="G135"/>
  <c r="J135" s="1"/>
  <c r="AA134"/>
  <c r="X134"/>
  <c r="U134"/>
  <c r="T134"/>
  <c r="P134"/>
  <c r="S134" s="1"/>
  <c r="M134"/>
  <c r="G134"/>
  <c r="AA133"/>
  <c r="X133"/>
  <c r="U133"/>
  <c r="T133"/>
  <c r="P133"/>
  <c r="S133" s="1"/>
  <c r="M133"/>
  <c r="G133"/>
  <c r="J133" s="1"/>
  <c r="AA132"/>
  <c r="X132"/>
  <c r="U132"/>
  <c r="T132"/>
  <c r="P132"/>
  <c r="S132" s="1"/>
  <c r="M132"/>
  <c r="G132"/>
  <c r="AA131"/>
  <c r="X131"/>
  <c r="U131"/>
  <c r="T131"/>
  <c r="P131"/>
  <c r="S131" s="1"/>
  <c r="M131"/>
  <c r="G131"/>
  <c r="J131" s="1"/>
  <c r="AA130"/>
  <c r="X130"/>
  <c r="U130"/>
  <c r="T130"/>
  <c r="P130"/>
  <c r="S130" s="1"/>
  <c r="M130"/>
  <c r="G130"/>
  <c r="AA129"/>
  <c r="X129"/>
  <c r="U129"/>
  <c r="T129"/>
  <c r="P129"/>
  <c r="S129" s="1"/>
  <c r="M129"/>
  <c r="G129"/>
  <c r="J129" s="1"/>
  <c r="AA128"/>
  <c r="X128"/>
  <c r="U128"/>
  <c r="T128"/>
  <c r="P128"/>
  <c r="M128"/>
  <c r="G128"/>
  <c r="AA127"/>
  <c r="X127"/>
  <c r="U127"/>
  <c r="T127"/>
  <c r="P127"/>
  <c r="S127" s="1"/>
  <c r="M127"/>
  <c r="G127"/>
  <c r="AA126"/>
  <c r="X126"/>
  <c r="U126"/>
  <c r="T126"/>
  <c r="P126"/>
  <c r="S126" s="1"/>
  <c r="M126"/>
  <c r="G126"/>
  <c r="AA125"/>
  <c r="X125"/>
  <c r="U125"/>
  <c r="T125"/>
  <c r="P125"/>
  <c r="S125" s="1"/>
  <c r="M125"/>
  <c r="G125"/>
  <c r="AA124"/>
  <c r="X124"/>
  <c r="U124"/>
  <c r="T124"/>
  <c r="P124"/>
  <c r="S124" s="1"/>
  <c r="M124"/>
  <c r="G124"/>
  <c r="AA123"/>
  <c r="X123"/>
  <c r="U123"/>
  <c r="T123"/>
  <c r="P123"/>
  <c r="S123" s="1"/>
  <c r="M123"/>
  <c r="G123"/>
  <c r="AA121"/>
  <c r="X121"/>
  <c r="U121"/>
  <c r="T121"/>
  <c r="P121"/>
  <c r="S121" s="1"/>
  <c r="M121"/>
  <c r="G121"/>
  <c r="J121" s="1"/>
  <c r="AA120"/>
  <c r="X120"/>
  <c r="U120"/>
  <c r="T120"/>
  <c r="P120"/>
  <c r="S120" s="1"/>
  <c r="M120"/>
  <c r="G120"/>
  <c r="J120" s="1"/>
  <c r="AA119"/>
  <c r="X119"/>
  <c r="U119"/>
  <c r="T119"/>
  <c r="P119"/>
  <c r="S119" s="1"/>
  <c r="M119"/>
  <c r="G119"/>
  <c r="AA118"/>
  <c r="X118"/>
  <c r="U118"/>
  <c r="T118"/>
  <c r="P118"/>
  <c r="S118" s="1"/>
  <c r="M118"/>
  <c r="G118"/>
  <c r="AA117"/>
  <c r="X117"/>
  <c r="U117"/>
  <c r="T117"/>
  <c r="P117"/>
  <c r="S117" s="1"/>
  <c r="M117"/>
  <c r="G117"/>
  <c r="AA116"/>
  <c r="X116"/>
  <c r="U116"/>
  <c r="T116"/>
  <c r="P116"/>
  <c r="S116" s="1"/>
  <c r="M116"/>
  <c r="G116"/>
  <c r="J116" s="1"/>
  <c r="AA115"/>
  <c r="X115"/>
  <c r="U115"/>
  <c r="T115"/>
  <c r="P115"/>
  <c r="S115" s="1"/>
  <c r="M115"/>
  <c r="G115"/>
  <c r="AA114"/>
  <c r="X114"/>
  <c r="U114"/>
  <c r="T114"/>
  <c r="P114"/>
  <c r="S114" s="1"/>
  <c r="M114"/>
  <c r="G114"/>
  <c r="AA113"/>
  <c r="X113"/>
  <c r="U113"/>
  <c r="T113"/>
  <c r="P113"/>
  <c r="S113" s="1"/>
  <c r="M113"/>
  <c r="G113"/>
  <c r="J113" s="1"/>
  <c r="AA112"/>
  <c r="X112"/>
  <c r="U112"/>
  <c r="T112"/>
  <c r="P112"/>
  <c r="S112" s="1"/>
  <c r="M112"/>
  <c r="G112"/>
  <c r="AA111"/>
  <c r="X111"/>
  <c r="U111"/>
  <c r="T111"/>
  <c r="P111"/>
  <c r="S111" s="1"/>
  <c r="M111"/>
  <c r="G111"/>
  <c r="AA110"/>
  <c r="X110"/>
  <c r="U110"/>
  <c r="T110"/>
  <c r="P110"/>
  <c r="S110" s="1"/>
  <c r="M110"/>
  <c r="G110"/>
  <c r="AA109"/>
  <c r="X109"/>
  <c r="U109"/>
  <c r="T109"/>
  <c r="P109"/>
  <c r="S109" s="1"/>
  <c r="M109"/>
  <c r="G109"/>
  <c r="AA108"/>
  <c r="X108"/>
  <c r="U108"/>
  <c r="T108"/>
  <c r="P108"/>
  <c r="S108" s="1"/>
  <c r="M108"/>
  <c r="G108"/>
  <c r="AC107"/>
  <c r="AB107"/>
  <c r="Z107"/>
  <c r="Y107"/>
  <c r="R107"/>
  <c r="Q107"/>
  <c r="T107" s="1"/>
  <c r="O107"/>
  <c r="N107"/>
  <c r="H107"/>
  <c r="AA104"/>
  <c r="X104"/>
  <c r="U104"/>
  <c r="T104"/>
  <c r="P104"/>
  <c r="S104" s="1"/>
  <c r="M104"/>
  <c r="G104"/>
  <c r="J104" s="1"/>
  <c r="AC103"/>
  <c r="AC102" s="1"/>
  <c r="AB103"/>
  <c r="Z103"/>
  <c r="Z102"/>
  <c r="Y103"/>
  <c r="Y102" s="1"/>
  <c r="R103"/>
  <c r="R102" s="1"/>
  <c r="Q103"/>
  <c r="O103"/>
  <c r="O102" s="1"/>
  <c r="N103"/>
  <c r="I103"/>
  <c r="I102" s="1"/>
  <c r="L102" s="1"/>
  <c r="H103"/>
  <c r="AA101"/>
  <c r="X101"/>
  <c r="U101"/>
  <c r="T101"/>
  <c r="P101"/>
  <c r="S101" s="1"/>
  <c r="M101"/>
  <c r="G101"/>
  <c r="AC100"/>
  <c r="AC98" s="1"/>
  <c r="AB100"/>
  <c r="Z100"/>
  <c r="Z98" s="1"/>
  <c r="Y100"/>
  <c r="Y98" s="1"/>
  <c r="R100"/>
  <c r="U100"/>
  <c r="Q100"/>
  <c r="T100" s="1"/>
  <c r="O100"/>
  <c r="O98" s="1"/>
  <c r="N100"/>
  <c r="I100"/>
  <c r="H100"/>
  <c r="H98" s="1"/>
  <c r="AA99"/>
  <c r="X99"/>
  <c r="U99"/>
  <c r="T99"/>
  <c r="P99"/>
  <c r="S99" s="1"/>
  <c r="M99"/>
  <c r="G99"/>
  <c r="AA97"/>
  <c r="X97"/>
  <c r="U97"/>
  <c r="T97"/>
  <c r="P97"/>
  <c r="S97" s="1"/>
  <c r="M97"/>
  <c r="G97"/>
  <c r="AC96"/>
  <c r="AB96"/>
  <c r="Z96"/>
  <c r="Y96"/>
  <c r="W96"/>
  <c r="V96"/>
  <c r="R96"/>
  <c r="U96" s="1"/>
  <c r="Q96"/>
  <c r="T96" s="1"/>
  <c r="O96"/>
  <c r="N96"/>
  <c r="I96"/>
  <c r="H96"/>
  <c r="AA95"/>
  <c r="X95"/>
  <c r="U95"/>
  <c r="T95"/>
  <c r="P95"/>
  <c r="S95" s="1"/>
  <c r="M95"/>
  <c r="G95"/>
  <c r="AC94"/>
  <c r="AC93" s="1"/>
  <c r="AB94"/>
  <c r="AB93" s="1"/>
  <c r="Z94"/>
  <c r="Z93" s="1"/>
  <c r="Y94"/>
  <c r="Y93" s="1"/>
  <c r="R94"/>
  <c r="R93" s="1"/>
  <c r="U93" s="1"/>
  <c r="Q94"/>
  <c r="Q93" s="1"/>
  <c r="O94"/>
  <c r="O93" s="1"/>
  <c r="N94"/>
  <c r="N93" s="1"/>
  <c r="I94"/>
  <c r="I93" s="1"/>
  <c r="H94"/>
  <c r="W93"/>
  <c r="V93"/>
  <c r="AA92"/>
  <c r="X92"/>
  <c r="U92"/>
  <c r="T92"/>
  <c r="P92"/>
  <c r="S92" s="1"/>
  <c r="M92"/>
  <c r="G92"/>
  <c r="AC91"/>
  <c r="AB91"/>
  <c r="AB90" s="1"/>
  <c r="Z91"/>
  <c r="Z90" s="1"/>
  <c r="Y91"/>
  <c r="U91"/>
  <c r="Q91"/>
  <c r="P91" s="1"/>
  <c r="S91" s="1"/>
  <c r="O91"/>
  <c r="O90" s="1"/>
  <c r="N91"/>
  <c r="I91"/>
  <c r="I90" s="1"/>
  <c r="H91"/>
  <c r="A91"/>
  <c r="A94" s="1"/>
  <c r="A97" s="1"/>
  <c r="A99" s="1"/>
  <c r="A100" s="1"/>
  <c r="A103" s="1"/>
  <c r="A108" s="1"/>
  <c r="A109" s="1"/>
  <c r="A110" s="1"/>
  <c r="A111" s="1"/>
  <c r="A112" s="1"/>
  <c r="A113" s="1"/>
  <c r="A114" s="1"/>
  <c r="A115" s="1"/>
  <c r="A116" s="1"/>
  <c r="A117" s="1"/>
  <c r="A118" s="1"/>
  <c r="A119" s="1"/>
  <c r="A120" s="1"/>
  <c r="A121" s="1"/>
  <c r="A122" s="1"/>
  <c r="A123" s="1"/>
  <c r="A124" s="1"/>
  <c r="W90"/>
  <c r="V90"/>
  <c r="R90"/>
  <c r="U90" s="1"/>
  <c r="AA89"/>
  <c r="X89"/>
  <c r="U89"/>
  <c r="T89"/>
  <c r="P89"/>
  <c r="S89" s="1"/>
  <c r="M89"/>
  <c r="G89"/>
  <c r="AA88"/>
  <c r="X88"/>
  <c r="U88"/>
  <c r="T88"/>
  <c r="P88"/>
  <c r="S88" s="1"/>
  <c r="M88"/>
  <c r="G88"/>
  <c r="AC87"/>
  <c r="AC86" s="1"/>
  <c r="AB87"/>
  <c r="AB86" s="1"/>
  <c r="Z87"/>
  <c r="Z86" s="1"/>
  <c r="Y87"/>
  <c r="Y86" s="1"/>
  <c r="R87"/>
  <c r="R86" s="1"/>
  <c r="Q87"/>
  <c r="Q86" s="1"/>
  <c r="O87"/>
  <c r="O86" s="1"/>
  <c r="N87"/>
  <c r="N86" s="1"/>
  <c r="I87"/>
  <c r="H87"/>
  <c r="H86" s="1"/>
  <c r="W86"/>
  <c r="V86"/>
  <c r="AA84"/>
  <c r="X84"/>
  <c r="P84"/>
  <c r="M84"/>
  <c r="G84"/>
  <c r="J84" s="1"/>
  <c r="A84"/>
  <c r="AA83"/>
  <c r="X83"/>
  <c r="U83"/>
  <c r="T83"/>
  <c r="P83"/>
  <c r="S83" s="1"/>
  <c r="M83"/>
  <c r="G83"/>
  <c r="J83" s="1"/>
  <c r="AC82"/>
  <c r="AB82"/>
  <c r="Z82"/>
  <c r="Y82"/>
  <c r="R82"/>
  <c r="U82" s="1"/>
  <c r="Q82"/>
  <c r="O82"/>
  <c r="N82"/>
  <c r="I82"/>
  <c r="L82" s="1"/>
  <c r="H82"/>
  <c r="AA81"/>
  <c r="AA80" s="1"/>
  <c r="X81"/>
  <c r="X80"/>
  <c r="U81"/>
  <c r="U80"/>
  <c r="Q81"/>
  <c r="M81"/>
  <c r="G81"/>
  <c r="J81" s="1"/>
  <c r="A81"/>
  <c r="AC80"/>
  <c r="AB80"/>
  <c r="Z80"/>
  <c r="Y80"/>
  <c r="W80"/>
  <c r="V80"/>
  <c r="R80"/>
  <c r="O80"/>
  <c r="N80"/>
  <c r="I80"/>
  <c r="H80"/>
  <c r="AA79"/>
  <c r="AA78" s="1"/>
  <c r="X79"/>
  <c r="X78" s="1"/>
  <c r="U79"/>
  <c r="U78" s="1"/>
  <c r="T79"/>
  <c r="T78" s="1"/>
  <c r="P79"/>
  <c r="S79" s="1"/>
  <c r="S78" s="1"/>
  <c r="M79"/>
  <c r="G79"/>
  <c r="AC78"/>
  <c r="AB78"/>
  <c r="Z78"/>
  <c r="Y78"/>
  <c r="W78"/>
  <c r="V78"/>
  <c r="R78"/>
  <c r="Q78"/>
  <c r="O78"/>
  <c r="N78"/>
  <c r="I78"/>
  <c r="H78"/>
  <c r="AA77"/>
  <c r="X77"/>
  <c r="U77"/>
  <c r="T77"/>
  <c r="P77"/>
  <c r="S77" s="1"/>
  <c r="M77"/>
  <c r="G77"/>
  <c r="J77" s="1"/>
  <c r="AC76"/>
  <c r="AB76"/>
  <c r="Z76"/>
  <c r="Y76"/>
  <c r="R76"/>
  <c r="U76" s="1"/>
  <c r="Q76"/>
  <c r="O76"/>
  <c r="N76"/>
  <c r="I76"/>
  <c r="L76" s="1"/>
  <c r="H76"/>
  <c r="AA75"/>
  <c r="X75"/>
  <c r="U75"/>
  <c r="T75"/>
  <c r="P75"/>
  <c r="S75" s="1"/>
  <c r="M75"/>
  <c r="G75"/>
  <c r="AC74"/>
  <c r="AB74"/>
  <c r="Z74"/>
  <c r="Y74"/>
  <c r="R74"/>
  <c r="U74" s="1"/>
  <c r="Q74"/>
  <c r="O74"/>
  <c r="N74"/>
  <c r="I74"/>
  <c r="L74" s="1"/>
  <c r="H74"/>
  <c r="W73"/>
  <c r="V73"/>
  <c r="AA70"/>
  <c r="X70"/>
  <c r="U70"/>
  <c r="T70"/>
  <c r="P70"/>
  <c r="S70" s="1"/>
  <c r="M70"/>
  <c r="G70"/>
  <c r="AC69"/>
  <c r="AB69"/>
  <c r="Z69"/>
  <c r="Y69"/>
  <c r="R69"/>
  <c r="U69" s="1"/>
  <c r="Q69"/>
  <c r="T69" s="1"/>
  <c r="O69"/>
  <c r="N69"/>
  <c r="I69"/>
  <c r="H69"/>
  <c r="K69" s="1"/>
  <c r="AA68"/>
  <c r="AA67" s="1"/>
  <c r="X68"/>
  <c r="X67" s="1"/>
  <c r="U68"/>
  <c r="T68"/>
  <c r="P68"/>
  <c r="S68" s="1"/>
  <c r="M68"/>
  <c r="G68"/>
  <c r="AC67"/>
  <c r="AB67"/>
  <c r="Z67"/>
  <c r="Y67"/>
  <c r="W67"/>
  <c r="V67"/>
  <c r="R67"/>
  <c r="U67" s="1"/>
  <c r="Q67"/>
  <c r="T67" s="1"/>
  <c r="O67"/>
  <c r="N67"/>
  <c r="I67"/>
  <c r="H67"/>
  <c r="AA65"/>
  <c r="X65"/>
  <c r="U65"/>
  <c r="T65"/>
  <c r="P65"/>
  <c r="S65" s="1"/>
  <c r="M65"/>
  <c r="G65"/>
  <c r="J65" s="1"/>
  <c r="AA64"/>
  <c r="X64"/>
  <c r="U64"/>
  <c r="T64"/>
  <c r="P64"/>
  <c r="S64" s="1"/>
  <c r="M64"/>
  <c r="G64"/>
  <c r="AA63"/>
  <c r="X63"/>
  <c r="U63"/>
  <c r="T63"/>
  <c r="P63"/>
  <c r="S63" s="1"/>
  <c r="M63"/>
  <c r="G63"/>
  <c r="AC62"/>
  <c r="AB62"/>
  <c r="Z62"/>
  <c r="Y62"/>
  <c r="R62"/>
  <c r="Q62"/>
  <c r="T62" s="1"/>
  <c r="O62"/>
  <c r="N62"/>
  <c r="I62"/>
  <c r="H62"/>
  <c r="K62" s="1"/>
  <c r="AA61"/>
  <c r="X61"/>
  <c r="U61"/>
  <c r="T61"/>
  <c r="P61"/>
  <c r="S61" s="1"/>
  <c r="M61"/>
  <c r="G61"/>
  <c r="J61" s="1"/>
  <c r="AA60"/>
  <c r="X60"/>
  <c r="U60"/>
  <c r="T60"/>
  <c r="P60"/>
  <c r="S60" s="1"/>
  <c r="M60"/>
  <c r="G60"/>
  <c r="AA59"/>
  <c r="X59"/>
  <c r="U59"/>
  <c r="T59"/>
  <c r="P59"/>
  <c r="S59" s="1"/>
  <c r="M59"/>
  <c r="G59"/>
  <c r="AA58"/>
  <c r="X58"/>
  <c r="U58"/>
  <c r="T58"/>
  <c r="P58"/>
  <c r="S58" s="1"/>
  <c r="M58"/>
  <c r="G58"/>
  <c r="J58"/>
  <c r="AA57"/>
  <c r="X57"/>
  <c r="U57"/>
  <c r="T57"/>
  <c r="P57"/>
  <c r="S57" s="1"/>
  <c r="M57"/>
  <c r="G57"/>
  <c r="AC56"/>
  <c r="AB56"/>
  <c r="Z56"/>
  <c r="Y56"/>
  <c r="R56"/>
  <c r="U56" s="1"/>
  <c r="Q56"/>
  <c r="T56" s="1"/>
  <c r="O56"/>
  <c r="N56"/>
  <c r="I56"/>
  <c r="H56"/>
  <c r="AA55"/>
  <c r="X55"/>
  <c r="U55"/>
  <c r="T55"/>
  <c r="P55"/>
  <c r="S55" s="1"/>
  <c r="M55"/>
  <c r="G55"/>
  <c r="AA54"/>
  <c r="X54"/>
  <c r="U54"/>
  <c r="T54"/>
  <c r="P54"/>
  <c r="S54" s="1"/>
  <c r="M54"/>
  <c r="G54"/>
  <c r="AC53"/>
  <c r="AB53"/>
  <c r="Z53"/>
  <c r="Y53"/>
  <c r="R53"/>
  <c r="U53" s="1"/>
  <c r="Q53"/>
  <c r="T53" s="1"/>
  <c r="O53"/>
  <c r="N53"/>
  <c r="I53"/>
  <c r="H53"/>
  <c r="AA52"/>
  <c r="X52"/>
  <c r="U52"/>
  <c r="T52"/>
  <c r="P52"/>
  <c r="S52" s="1"/>
  <c r="M52"/>
  <c r="G52"/>
  <c r="AA51"/>
  <c r="X51"/>
  <c r="U51"/>
  <c r="T51"/>
  <c r="P51"/>
  <c r="S51" s="1"/>
  <c r="M51"/>
  <c r="G51"/>
  <c r="AC50"/>
  <c r="AB50"/>
  <c r="Z50"/>
  <c r="Y50"/>
  <c r="R50"/>
  <c r="U50" s="1"/>
  <c r="Q50"/>
  <c r="T50" s="1"/>
  <c r="O50"/>
  <c r="N50"/>
  <c r="I50"/>
  <c r="H50"/>
  <c r="AA49"/>
  <c r="X49"/>
  <c r="U49"/>
  <c r="T49"/>
  <c r="P49"/>
  <c r="S49" s="1"/>
  <c r="M49"/>
  <c r="G49"/>
  <c r="J49" s="1"/>
  <c r="AC48"/>
  <c r="AB48"/>
  <c r="Z48"/>
  <c r="Y48"/>
  <c r="R48"/>
  <c r="U48" s="1"/>
  <c r="Q48"/>
  <c r="T48" s="1"/>
  <c r="O48"/>
  <c r="N48"/>
  <c r="I48"/>
  <c r="H48"/>
  <c r="AA47"/>
  <c r="X47"/>
  <c r="U47"/>
  <c r="T47"/>
  <c r="P47"/>
  <c r="S47" s="1"/>
  <c r="M47"/>
  <c r="G47"/>
  <c r="AA46"/>
  <c r="X46"/>
  <c r="U46"/>
  <c r="T46"/>
  <c r="P46"/>
  <c r="S46" s="1"/>
  <c r="M46"/>
  <c r="G46"/>
  <c r="J46" s="1"/>
  <c r="AC45"/>
  <c r="AB45"/>
  <c r="Z45"/>
  <c r="Y45"/>
  <c r="R45"/>
  <c r="U45" s="1"/>
  <c r="Q45"/>
  <c r="T45" s="1"/>
  <c r="O45"/>
  <c r="N45"/>
  <c r="I45"/>
  <c r="H45"/>
  <c r="AA44"/>
  <c r="X44"/>
  <c r="U44"/>
  <c r="T44"/>
  <c r="P44"/>
  <c r="S44" s="1"/>
  <c r="M44"/>
  <c r="G44"/>
  <c r="AA43"/>
  <c r="X43"/>
  <c r="U43"/>
  <c r="T43"/>
  <c r="P43"/>
  <c r="S43" s="1"/>
  <c r="M43"/>
  <c r="G43"/>
  <c r="J43" s="1"/>
  <c r="A43"/>
  <c r="A44" s="1"/>
  <c r="A46" s="1"/>
  <c r="A47" s="1"/>
  <c r="A49" s="1"/>
  <c r="A51" s="1"/>
  <c r="A52" s="1"/>
  <c r="A54" s="1"/>
  <c r="A55" s="1"/>
  <c r="A57" s="1"/>
  <c r="A58" s="1"/>
  <c r="A59" s="1"/>
  <c r="A60" s="1"/>
  <c r="A61" s="1"/>
  <c r="A63" s="1"/>
  <c r="A64" s="1"/>
  <c r="A65" s="1"/>
  <c r="A75" s="1"/>
  <c r="AC42"/>
  <c r="AB42"/>
  <c r="Z42"/>
  <c r="Y42"/>
  <c r="R42"/>
  <c r="U42" s="1"/>
  <c r="Q42"/>
  <c r="T42" s="1"/>
  <c r="O42"/>
  <c r="N42"/>
  <c r="I42"/>
  <c r="H42"/>
  <c r="AA41"/>
  <c r="X41"/>
  <c r="U41"/>
  <c r="T41"/>
  <c r="P41"/>
  <c r="S41" s="1"/>
  <c r="M41"/>
  <c r="G41"/>
  <c r="AA40"/>
  <c r="X40"/>
  <c r="U40"/>
  <c r="T40"/>
  <c r="P40"/>
  <c r="S40" s="1"/>
  <c r="M40"/>
  <c r="G40"/>
  <c r="AA39"/>
  <c r="X39"/>
  <c r="U39"/>
  <c r="T39"/>
  <c r="P39"/>
  <c r="S39" s="1"/>
  <c r="M39"/>
  <c r="G39"/>
  <c r="AC38"/>
  <c r="AB38"/>
  <c r="Z38"/>
  <c r="Y38"/>
  <c r="R38"/>
  <c r="U38" s="1"/>
  <c r="Q38"/>
  <c r="T38" s="1"/>
  <c r="O38"/>
  <c r="N38"/>
  <c r="I38"/>
  <c r="H38"/>
  <c r="K38" s="1"/>
  <c r="AA37"/>
  <c r="X37"/>
  <c r="U37"/>
  <c r="T37"/>
  <c r="P37"/>
  <c r="S37" s="1"/>
  <c r="M37"/>
  <c r="G37"/>
  <c r="J37" s="1"/>
  <c r="AC36"/>
  <c r="AB36"/>
  <c r="AA36" s="1"/>
  <c r="Z36"/>
  <c r="Y36"/>
  <c r="R36"/>
  <c r="Q36"/>
  <c r="O36"/>
  <c r="N36"/>
  <c r="I36"/>
  <c r="H36"/>
  <c r="AA35"/>
  <c r="X35"/>
  <c r="U35"/>
  <c r="T35"/>
  <c r="P35"/>
  <c r="S35" s="1"/>
  <c r="M35"/>
  <c r="G35"/>
  <c r="AA34"/>
  <c r="X34"/>
  <c r="U34"/>
  <c r="T34"/>
  <c r="P34"/>
  <c r="S34" s="1"/>
  <c r="M34"/>
  <c r="G34"/>
  <c r="AA33"/>
  <c r="X33"/>
  <c r="U33"/>
  <c r="T33"/>
  <c r="P33"/>
  <c r="S33" s="1"/>
  <c r="M33"/>
  <c r="G33"/>
  <c r="AA32"/>
  <c r="X32"/>
  <c r="U32"/>
  <c r="T32"/>
  <c r="P32"/>
  <c r="S32" s="1"/>
  <c r="M32"/>
  <c r="G32"/>
  <c r="AC31"/>
  <c r="AB31"/>
  <c r="Z31"/>
  <c r="Y31"/>
  <c r="W31"/>
  <c r="V31"/>
  <c r="R31"/>
  <c r="Q31"/>
  <c r="T31" s="1"/>
  <c r="O31"/>
  <c r="N31"/>
  <c r="I31"/>
  <c r="H31"/>
  <c r="K31" s="1"/>
  <c r="AA30"/>
  <c r="X30"/>
  <c r="U30"/>
  <c r="T30"/>
  <c r="P30"/>
  <c r="S30" s="1"/>
  <c r="M30"/>
  <c r="G30"/>
  <c r="AC29"/>
  <c r="AB29"/>
  <c r="Z29"/>
  <c r="Y29"/>
  <c r="R29"/>
  <c r="U29" s="1"/>
  <c r="Q29"/>
  <c r="T29" s="1"/>
  <c r="O29"/>
  <c r="N29"/>
  <c r="I29"/>
  <c r="L29" s="1"/>
  <c r="H29"/>
  <c r="AA28"/>
  <c r="X28"/>
  <c r="U28"/>
  <c r="T28"/>
  <c r="P28"/>
  <c r="S28" s="1"/>
  <c r="M28"/>
  <c r="G28"/>
  <c r="J28" s="1"/>
  <c r="AC27"/>
  <c r="AB27"/>
  <c r="Z27"/>
  <c r="Y27"/>
  <c r="R27"/>
  <c r="U27" s="1"/>
  <c r="Q27"/>
  <c r="T27" s="1"/>
  <c r="O27"/>
  <c r="N27"/>
  <c r="I27"/>
  <c r="H27"/>
  <c r="AA26"/>
  <c r="X26"/>
  <c r="U26"/>
  <c r="T26"/>
  <c r="P26"/>
  <c r="S26" s="1"/>
  <c r="M26"/>
  <c r="G26"/>
  <c r="J26" s="1"/>
  <c r="AC25"/>
  <c r="AB25"/>
  <c r="Z25"/>
  <c r="Y25"/>
  <c r="R25"/>
  <c r="U25" s="1"/>
  <c r="Q25"/>
  <c r="T25" s="1"/>
  <c r="O25"/>
  <c r="N25"/>
  <c r="I25"/>
  <c r="L25" s="1"/>
  <c r="H25"/>
  <c r="AA24"/>
  <c r="X24"/>
  <c r="U24"/>
  <c r="T24"/>
  <c r="P24"/>
  <c r="S24" s="1"/>
  <c r="M24"/>
  <c r="G24"/>
  <c r="AA23"/>
  <c r="X23"/>
  <c r="U23"/>
  <c r="T23"/>
  <c r="P23"/>
  <c r="S23" s="1"/>
  <c r="M23"/>
  <c r="G23"/>
  <c r="AC22"/>
  <c r="AB22"/>
  <c r="Z22"/>
  <c r="Y22"/>
  <c r="R22"/>
  <c r="Q22"/>
  <c r="T22" s="1"/>
  <c r="O22"/>
  <c r="N22"/>
  <c r="I22"/>
  <c r="H22"/>
  <c r="X21"/>
  <c r="U21"/>
  <c r="T21"/>
  <c r="P21"/>
  <c r="S21" s="1"/>
  <c r="M21"/>
  <c r="G21"/>
  <c r="J21" s="1"/>
  <c r="AA20"/>
  <c r="X20"/>
  <c r="U20"/>
  <c r="T20"/>
  <c r="P20"/>
  <c r="S20"/>
  <c r="M20"/>
  <c r="G20"/>
  <c r="J20" s="1"/>
  <c r="AC19"/>
  <c r="AB19"/>
  <c r="Z19"/>
  <c r="Y19"/>
  <c r="R19"/>
  <c r="Q19"/>
  <c r="T19" s="1"/>
  <c r="O19"/>
  <c r="N19"/>
  <c r="I19"/>
  <c r="L19" s="1"/>
  <c r="H19"/>
  <c r="AA18"/>
  <c r="X18"/>
  <c r="U18"/>
  <c r="T18"/>
  <c r="P18"/>
  <c r="S18" s="1"/>
  <c r="M18"/>
  <c r="G18"/>
  <c r="A18"/>
  <c r="A20" s="1"/>
  <c r="A21" s="1"/>
  <c r="A23" s="1"/>
  <c r="A24" s="1"/>
  <c r="A26" s="1"/>
  <c r="A28" s="1"/>
  <c r="A30" s="1"/>
  <c r="A32" s="1"/>
  <c r="A33" s="1"/>
  <c r="A34" s="1"/>
  <c r="A35" s="1"/>
  <c r="A37" s="1"/>
  <c r="A39" s="1"/>
  <c r="AC17"/>
  <c r="AB17"/>
  <c r="Z17"/>
  <c r="Y17"/>
  <c r="R17"/>
  <c r="U17" s="1"/>
  <c r="Q17"/>
  <c r="T17" s="1"/>
  <c r="O17"/>
  <c r="N17"/>
  <c r="I17"/>
  <c r="H17"/>
  <c r="AA16"/>
  <c r="X16"/>
  <c r="U16"/>
  <c r="T16"/>
  <c r="P16"/>
  <c r="S16" s="1"/>
  <c r="M16"/>
  <c r="G16"/>
  <c r="AC15"/>
  <c r="AB15"/>
  <c r="Z15"/>
  <c r="Y15"/>
  <c r="R15"/>
  <c r="U15" s="1"/>
  <c r="Q15"/>
  <c r="O15"/>
  <c r="N15"/>
  <c r="I15"/>
  <c r="H15"/>
  <c r="L119" i="57"/>
  <c r="K119"/>
  <c r="N119" s="1"/>
  <c r="H119"/>
  <c r="E119"/>
  <c r="A172"/>
  <c r="J153"/>
  <c r="M153" s="1"/>
  <c r="D153"/>
  <c r="J274"/>
  <c r="G274"/>
  <c r="D274"/>
  <c r="L273"/>
  <c r="K273"/>
  <c r="N273" s="1"/>
  <c r="I273"/>
  <c r="H273"/>
  <c r="F273"/>
  <c r="E273"/>
  <c r="F295"/>
  <c r="F280"/>
  <c r="F278" s="1"/>
  <c r="F329"/>
  <c r="D329" s="1"/>
  <c r="A330"/>
  <c r="E328"/>
  <c r="E325" s="1"/>
  <c r="O328"/>
  <c r="D330"/>
  <c r="G296"/>
  <c r="H335"/>
  <c r="E335"/>
  <c r="F335"/>
  <c r="G254"/>
  <c r="G253"/>
  <c r="G252"/>
  <c r="G251"/>
  <c r="G250"/>
  <c r="I249"/>
  <c r="H249"/>
  <c r="G248"/>
  <c r="I247"/>
  <c r="H247"/>
  <c r="G246"/>
  <c r="G245"/>
  <c r="G244"/>
  <c r="G240"/>
  <c r="G239"/>
  <c r="I238"/>
  <c r="G238" s="1"/>
  <c r="G237"/>
  <c r="I236"/>
  <c r="G236" s="1"/>
  <c r="G235"/>
  <c r="G232"/>
  <c r="G231"/>
  <c r="I230"/>
  <c r="H230"/>
  <c r="G229"/>
  <c r="G228"/>
  <c r="I227"/>
  <c r="H227"/>
  <c r="G226"/>
  <c r="G225"/>
  <c r="I224"/>
  <c r="H224"/>
  <c r="G223"/>
  <c r="G222"/>
  <c r="G221"/>
  <c r="G217"/>
  <c r="G213"/>
  <c r="G211"/>
  <c r="G208"/>
  <c r="I207"/>
  <c r="I206"/>
  <c r="O206" s="1"/>
  <c r="G205"/>
  <c r="G204"/>
  <c r="G203"/>
  <c r="H202"/>
  <c r="G201"/>
  <c r="G200"/>
  <c r="G195"/>
  <c r="G194"/>
  <c r="G193"/>
  <c r="G189"/>
  <c r="G183"/>
  <c r="I182"/>
  <c r="H182"/>
  <c r="H180"/>
  <c r="G179"/>
  <c r="G176" s="1"/>
  <c r="I176"/>
  <c r="H176"/>
  <c r="G174"/>
  <c r="G172"/>
  <c r="G163"/>
  <c r="G155"/>
  <c r="H154"/>
  <c r="G149"/>
  <c r="G143"/>
  <c r="G142"/>
  <c r="G141"/>
  <c r="G138"/>
  <c r="G136"/>
  <c r="G135"/>
  <c r="G133"/>
  <c r="G132"/>
  <c r="G130"/>
  <c r="G129"/>
  <c r="G123"/>
  <c r="G120"/>
  <c r="G116"/>
  <c r="I115"/>
  <c r="I114" s="1"/>
  <c r="H115"/>
  <c r="H114" s="1"/>
  <c r="G113"/>
  <c r="I112"/>
  <c r="I110" s="1"/>
  <c r="H112"/>
  <c r="H110" s="1"/>
  <c r="G111"/>
  <c r="G109"/>
  <c r="I108"/>
  <c r="H108"/>
  <c r="G107"/>
  <c r="I104"/>
  <c r="G103"/>
  <c r="G99"/>
  <c r="G98"/>
  <c r="I97"/>
  <c r="I96" s="1"/>
  <c r="H97"/>
  <c r="H96" s="1"/>
  <c r="G92"/>
  <c r="G91"/>
  <c r="H87"/>
  <c r="G86"/>
  <c r="I85"/>
  <c r="H85"/>
  <c r="G84"/>
  <c r="I83"/>
  <c r="H83"/>
  <c r="G82"/>
  <c r="I81"/>
  <c r="H81"/>
  <c r="G77"/>
  <c r="I76"/>
  <c r="H76"/>
  <c r="G75"/>
  <c r="I74"/>
  <c r="H74"/>
  <c r="G72"/>
  <c r="G71"/>
  <c r="G70"/>
  <c r="H68"/>
  <c r="G67"/>
  <c r="G66"/>
  <c r="G64"/>
  <c r="H62"/>
  <c r="G61"/>
  <c r="I59"/>
  <c r="H59"/>
  <c r="G57"/>
  <c r="H56"/>
  <c r="G55"/>
  <c r="I54"/>
  <c r="H54"/>
  <c r="H48"/>
  <c r="G47"/>
  <c r="G46"/>
  <c r="I45"/>
  <c r="H45"/>
  <c r="G44"/>
  <c r="I40"/>
  <c r="H40"/>
  <c r="G39"/>
  <c r="I38"/>
  <c r="H38"/>
  <c r="G37"/>
  <c r="G36"/>
  <c r="G35"/>
  <c r="G34"/>
  <c r="I33"/>
  <c r="H33"/>
  <c r="G32"/>
  <c r="H31"/>
  <c r="G30"/>
  <c r="I29"/>
  <c r="H29"/>
  <c r="G28"/>
  <c r="I27"/>
  <c r="H27"/>
  <c r="G24"/>
  <c r="G21"/>
  <c r="H20"/>
  <c r="G19"/>
  <c r="I18"/>
  <c r="H18"/>
  <c r="G17"/>
  <c r="I16"/>
  <c r="H16"/>
  <c r="G322"/>
  <c r="I321"/>
  <c r="I320" s="1"/>
  <c r="H321"/>
  <c r="H320" s="1"/>
  <c r="G319"/>
  <c r="I318"/>
  <c r="H318"/>
  <c r="G317"/>
  <c r="I316"/>
  <c r="H316"/>
  <c r="G315"/>
  <c r="I314"/>
  <c r="H314"/>
  <c r="G313"/>
  <c r="I312"/>
  <c r="H312"/>
  <c r="G311"/>
  <c r="I310"/>
  <c r="H310"/>
  <c r="G309"/>
  <c r="I308"/>
  <c r="H308"/>
  <c r="G304"/>
  <c r="G303"/>
  <c r="G302"/>
  <c r="G300"/>
  <c r="I295"/>
  <c r="H295"/>
  <c r="G294"/>
  <c r="G293"/>
  <c r="I292"/>
  <c r="H292"/>
  <c r="G291"/>
  <c r="I290"/>
  <c r="H290"/>
  <c r="G288"/>
  <c r="G287"/>
  <c r="G285"/>
  <c r="G283"/>
  <c r="H282"/>
  <c r="G280"/>
  <c r="I278"/>
  <c r="H278"/>
  <c r="G276"/>
  <c r="I275"/>
  <c r="H275"/>
  <c r="G272"/>
  <c r="I271"/>
  <c r="H271"/>
  <c r="G270"/>
  <c r="I269"/>
  <c r="H269"/>
  <c r="G265"/>
  <c r="G264"/>
  <c r="G262"/>
  <c r="H258"/>
  <c r="W154"/>
  <c r="V154"/>
  <c r="T154"/>
  <c r="S154"/>
  <c r="L154"/>
  <c r="K154"/>
  <c r="N154" s="1"/>
  <c r="E154"/>
  <c r="K31" i="56"/>
  <c r="N31"/>
  <c r="Q31"/>
  <c r="T31" s="1"/>
  <c r="U31"/>
  <c r="V31"/>
  <c r="E16" i="57"/>
  <c r="F16"/>
  <c r="K16"/>
  <c r="N16" s="1"/>
  <c r="L16"/>
  <c r="O16" s="1"/>
  <c r="S16"/>
  <c r="T16"/>
  <c r="V16"/>
  <c r="W16"/>
  <c r="D17"/>
  <c r="J17"/>
  <c r="M17" s="1"/>
  <c r="R17"/>
  <c r="U17"/>
  <c r="E18"/>
  <c r="F18"/>
  <c r="K18"/>
  <c r="N18" s="1"/>
  <c r="L18"/>
  <c r="O18" s="1"/>
  <c r="S18"/>
  <c r="T18"/>
  <c r="V18"/>
  <c r="W18"/>
  <c r="A19"/>
  <c r="A21" s="1"/>
  <c r="A22" s="1"/>
  <c r="A24" s="1"/>
  <c r="A25" s="1"/>
  <c r="A26" s="1"/>
  <c r="A28" s="1"/>
  <c r="A30" s="1"/>
  <c r="A32" s="1"/>
  <c r="A34" s="1"/>
  <c r="A35" s="1"/>
  <c r="A36" s="1"/>
  <c r="A37" s="1"/>
  <c r="A39" s="1"/>
  <c r="A41" s="1"/>
  <c r="A42" s="1"/>
  <c r="A44" s="1"/>
  <c r="A46" s="1"/>
  <c r="A47" s="1"/>
  <c r="A49" s="1"/>
  <c r="A50" s="1"/>
  <c r="A51" s="1"/>
  <c r="A52" s="1"/>
  <c r="A53" s="1"/>
  <c r="A55" s="1"/>
  <c r="A57" s="1"/>
  <c r="A58" s="1"/>
  <c r="A60" s="1"/>
  <c r="A61" s="1"/>
  <c r="A63" s="1"/>
  <c r="A64" s="1"/>
  <c r="A65" s="1"/>
  <c r="A66" s="1"/>
  <c r="A67" s="1"/>
  <c r="A69" s="1"/>
  <c r="A70" s="1"/>
  <c r="A71" s="1"/>
  <c r="A72" s="1"/>
  <c r="D19"/>
  <c r="J19"/>
  <c r="M19" s="1"/>
  <c r="R19"/>
  <c r="U19"/>
  <c r="E20"/>
  <c r="F20"/>
  <c r="K20"/>
  <c r="N20" s="1"/>
  <c r="L20"/>
  <c r="O20" s="1"/>
  <c r="S20"/>
  <c r="T20"/>
  <c r="V20"/>
  <c r="W20"/>
  <c r="D21"/>
  <c r="J21"/>
  <c r="M21" s="1"/>
  <c r="R21"/>
  <c r="U21"/>
  <c r="D22"/>
  <c r="J22"/>
  <c r="M22" s="1"/>
  <c r="R22"/>
  <c r="S23"/>
  <c r="T23"/>
  <c r="V23"/>
  <c r="W23"/>
  <c r="D24"/>
  <c r="X24" s="1"/>
  <c r="J24"/>
  <c r="M24" s="1"/>
  <c r="R24"/>
  <c r="U24"/>
  <c r="J25"/>
  <c r="M25" s="1"/>
  <c r="R25"/>
  <c r="U25"/>
  <c r="E27"/>
  <c r="K27"/>
  <c r="N27" s="1"/>
  <c r="L27"/>
  <c r="O27" s="1"/>
  <c r="S27"/>
  <c r="T27"/>
  <c r="V27"/>
  <c r="W27"/>
  <c r="J28"/>
  <c r="M28" s="1"/>
  <c r="R28"/>
  <c r="U28"/>
  <c r="E29"/>
  <c r="K29"/>
  <c r="N29" s="1"/>
  <c r="L29"/>
  <c r="O29" s="1"/>
  <c r="S29"/>
  <c r="T29"/>
  <c r="V29"/>
  <c r="W29"/>
  <c r="J30"/>
  <c r="M30" s="1"/>
  <c r="R30"/>
  <c r="U30"/>
  <c r="E31"/>
  <c r="K31"/>
  <c r="N31" s="1"/>
  <c r="L31"/>
  <c r="O31" s="1"/>
  <c r="S31"/>
  <c r="T31"/>
  <c r="V31"/>
  <c r="W31"/>
  <c r="J32"/>
  <c r="M32" s="1"/>
  <c r="R32"/>
  <c r="U32"/>
  <c r="E33"/>
  <c r="F33"/>
  <c r="K33"/>
  <c r="N33" s="1"/>
  <c r="L33"/>
  <c r="P33"/>
  <c r="Q33"/>
  <c r="S33"/>
  <c r="T33"/>
  <c r="V33"/>
  <c r="W33"/>
  <c r="D34"/>
  <c r="J34"/>
  <c r="R34"/>
  <c r="U34"/>
  <c r="D35"/>
  <c r="X35" s="1"/>
  <c r="J35"/>
  <c r="M35" s="1"/>
  <c r="R35"/>
  <c r="U35"/>
  <c r="D36"/>
  <c r="J36"/>
  <c r="R36"/>
  <c r="U36"/>
  <c r="D37"/>
  <c r="J37"/>
  <c r="M37" s="1"/>
  <c r="R37"/>
  <c r="U37"/>
  <c r="E38"/>
  <c r="K38"/>
  <c r="N38" s="1"/>
  <c r="L38"/>
  <c r="O38" s="1"/>
  <c r="S38"/>
  <c r="T38"/>
  <c r="V38"/>
  <c r="W38"/>
  <c r="J39"/>
  <c r="M39" s="1"/>
  <c r="R39"/>
  <c r="U39"/>
  <c r="F40"/>
  <c r="K40"/>
  <c r="N40" s="1"/>
  <c r="L40"/>
  <c r="O40" s="1"/>
  <c r="S40"/>
  <c r="T40"/>
  <c r="V40"/>
  <c r="W40"/>
  <c r="J41"/>
  <c r="M41" s="1"/>
  <c r="R41"/>
  <c r="U41"/>
  <c r="J42"/>
  <c r="M42" s="1"/>
  <c r="R42"/>
  <c r="U42"/>
  <c r="D44"/>
  <c r="J44"/>
  <c r="M44" s="1"/>
  <c r="R44"/>
  <c r="U44"/>
  <c r="E45"/>
  <c r="F45"/>
  <c r="K45"/>
  <c r="N45" s="1"/>
  <c r="L45"/>
  <c r="O45" s="1"/>
  <c r="S45"/>
  <c r="T45"/>
  <c r="V45"/>
  <c r="W45"/>
  <c r="D46"/>
  <c r="J46"/>
  <c r="M46" s="1"/>
  <c r="R46"/>
  <c r="U46"/>
  <c r="D47"/>
  <c r="X47" s="1"/>
  <c r="J47"/>
  <c r="M47" s="1"/>
  <c r="R47"/>
  <c r="U47"/>
  <c r="E48"/>
  <c r="D48" s="1"/>
  <c r="K48"/>
  <c r="N48" s="1"/>
  <c r="L48"/>
  <c r="O48" s="1"/>
  <c r="S48"/>
  <c r="T48"/>
  <c r="V48"/>
  <c r="W48"/>
  <c r="J49"/>
  <c r="M49" s="1"/>
  <c r="R49"/>
  <c r="U49"/>
  <c r="D53"/>
  <c r="X53" s="1"/>
  <c r="J53"/>
  <c r="M53" s="1"/>
  <c r="R53"/>
  <c r="U53"/>
  <c r="E54"/>
  <c r="F54"/>
  <c r="K54"/>
  <c r="N54" s="1"/>
  <c r="L54"/>
  <c r="S54"/>
  <c r="T54"/>
  <c r="V54"/>
  <c r="W54"/>
  <c r="D55"/>
  <c r="J55"/>
  <c r="R55"/>
  <c r="U55"/>
  <c r="E56"/>
  <c r="F56"/>
  <c r="K56"/>
  <c r="N56" s="1"/>
  <c r="L56"/>
  <c r="S56"/>
  <c r="T56"/>
  <c r="V56"/>
  <c r="W56"/>
  <c r="D57"/>
  <c r="J57"/>
  <c r="M57" s="1"/>
  <c r="R57"/>
  <c r="U57"/>
  <c r="D58"/>
  <c r="J58"/>
  <c r="R58"/>
  <c r="U58"/>
  <c r="E59"/>
  <c r="F59"/>
  <c r="K59"/>
  <c r="N59" s="1"/>
  <c r="L59"/>
  <c r="S59"/>
  <c r="T59"/>
  <c r="V59"/>
  <c r="W59"/>
  <c r="D60"/>
  <c r="J60"/>
  <c r="M60" s="1"/>
  <c r="R60"/>
  <c r="U60"/>
  <c r="D61"/>
  <c r="J61"/>
  <c r="M61" s="1"/>
  <c r="R61"/>
  <c r="U61"/>
  <c r="E62"/>
  <c r="K62"/>
  <c r="N62" s="1"/>
  <c r="L62"/>
  <c r="O62" s="1"/>
  <c r="S62"/>
  <c r="T62"/>
  <c r="V62"/>
  <c r="W62"/>
  <c r="J63"/>
  <c r="M63" s="1"/>
  <c r="R63"/>
  <c r="U63"/>
  <c r="J64"/>
  <c r="M64" s="1"/>
  <c r="R64"/>
  <c r="U64"/>
  <c r="D65"/>
  <c r="J65"/>
  <c r="M65" s="1"/>
  <c r="R65"/>
  <c r="U65"/>
  <c r="D66"/>
  <c r="J66"/>
  <c r="M66" s="1"/>
  <c r="R66"/>
  <c r="U66"/>
  <c r="D67"/>
  <c r="J67"/>
  <c r="M67" s="1"/>
  <c r="R67"/>
  <c r="U67"/>
  <c r="E68"/>
  <c r="D68" s="1"/>
  <c r="K68"/>
  <c r="N68" s="1"/>
  <c r="L68"/>
  <c r="O68" s="1"/>
  <c r="S68"/>
  <c r="T68"/>
  <c r="V68"/>
  <c r="W68"/>
  <c r="D70"/>
  <c r="J70"/>
  <c r="M70" s="1"/>
  <c r="R70"/>
  <c r="U70"/>
  <c r="D71"/>
  <c r="J71"/>
  <c r="M71" s="1"/>
  <c r="R71"/>
  <c r="U71"/>
  <c r="D72"/>
  <c r="J72"/>
  <c r="M72" s="1"/>
  <c r="R72"/>
  <c r="U72"/>
  <c r="E74"/>
  <c r="F74"/>
  <c r="K74"/>
  <c r="N74" s="1"/>
  <c r="L74"/>
  <c r="O74" s="1"/>
  <c r="P74"/>
  <c r="Q74"/>
  <c r="S74"/>
  <c r="T74"/>
  <c r="V74"/>
  <c r="W74"/>
  <c r="D75"/>
  <c r="J75"/>
  <c r="R75"/>
  <c r="R74" s="1"/>
  <c r="U75"/>
  <c r="U74" s="1"/>
  <c r="E76"/>
  <c r="F76"/>
  <c r="K76"/>
  <c r="L76"/>
  <c r="S76"/>
  <c r="T76"/>
  <c r="V76"/>
  <c r="W76"/>
  <c r="D77"/>
  <c r="J77"/>
  <c r="M77" s="1"/>
  <c r="R77"/>
  <c r="U77"/>
  <c r="P80"/>
  <c r="Q80"/>
  <c r="E81"/>
  <c r="F81"/>
  <c r="K81"/>
  <c r="N81" s="1"/>
  <c r="L81"/>
  <c r="O81" s="1"/>
  <c r="S81"/>
  <c r="T81"/>
  <c r="V81"/>
  <c r="W81"/>
  <c r="D82"/>
  <c r="J82"/>
  <c r="M82" s="1"/>
  <c r="R82"/>
  <c r="U82"/>
  <c r="E83"/>
  <c r="F83"/>
  <c r="K83"/>
  <c r="L83"/>
  <c r="S83"/>
  <c r="T83"/>
  <c r="V83"/>
  <c r="W83"/>
  <c r="D84"/>
  <c r="J84"/>
  <c r="R84"/>
  <c r="U84"/>
  <c r="E85"/>
  <c r="F85"/>
  <c r="K85"/>
  <c r="N85" s="1"/>
  <c r="L85"/>
  <c r="O85" s="1"/>
  <c r="P85"/>
  <c r="Q85"/>
  <c r="S85"/>
  <c r="T85"/>
  <c r="V85"/>
  <c r="W85"/>
  <c r="D86"/>
  <c r="J86"/>
  <c r="M86" s="1"/>
  <c r="R86"/>
  <c r="R85" s="1"/>
  <c r="U86"/>
  <c r="U85" s="1"/>
  <c r="E87"/>
  <c r="F87"/>
  <c r="P87"/>
  <c r="Q87"/>
  <c r="S87"/>
  <c r="T87"/>
  <c r="V87"/>
  <c r="W87"/>
  <c r="D88"/>
  <c r="R88"/>
  <c r="R87" s="1"/>
  <c r="U88"/>
  <c r="U87" s="1"/>
  <c r="S89"/>
  <c r="T89"/>
  <c r="V89"/>
  <c r="W89"/>
  <c r="D91"/>
  <c r="J91"/>
  <c r="M91" s="1"/>
  <c r="R91"/>
  <c r="U91"/>
  <c r="A174"/>
  <c r="A175" s="1"/>
  <c r="D92"/>
  <c r="J92"/>
  <c r="M92" s="1"/>
  <c r="R92"/>
  <c r="U92"/>
  <c r="P96"/>
  <c r="Q96"/>
  <c r="E97"/>
  <c r="E96" s="1"/>
  <c r="F97"/>
  <c r="F96" s="1"/>
  <c r="K97"/>
  <c r="N97" s="1"/>
  <c r="L97"/>
  <c r="O97" s="1"/>
  <c r="S97"/>
  <c r="T97"/>
  <c r="T96" s="1"/>
  <c r="V97"/>
  <c r="V96" s="1"/>
  <c r="W97"/>
  <c r="W96" s="1"/>
  <c r="D98"/>
  <c r="J98"/>
  <c r="M98" s="1"/>
  <c r="R98"/>
  <c r="U98"/>
  <c r="D99"/>
  <c r="X99" s="1"/>
  <c r="J99"/>
  <c r="M99"/>
  <c r="R99"/>
  <c r="U99"/>
  <c r="L100"/>
  <c r="O100"/>
  <c r="P100"/>
  <c r="Q100"/>
  <c r="F100"/>
  <c r="K101"/>
  <c r="N101" s="1"/>
  <c r="S101"/>
  <c r="S100" s="1"/>
  <c r="T101"/>
  <c r="T100" s="1"/>
  <c r="V101"/>
  <c r="V100" s="1"/>
  <c r="W101"/>
  <c r="W100" s="1"/>
  <c r="D103"/>
  <c r="X103"/>
  <c r="J103"/>
  <c r="M103" s="1"/>
  <c r="R103"/>
  <c r="U103"/>
  <c r="P104"/>
  <c r="Q104"/>
  <c r="S105"/>
  <c r="T105"/>
  <c r="T104" s="1"/>
  <c r="V105"/>
  <c r="W105"/>
  <c r="W104" s="1"/>
  <c r="D107"/>
  <c r="X107" s="1"/>
  <c r="J107"/>
  <c r="R107"/>
  <c r="U107"/>
  <c r="E108"/>
  <c r="D108" s="1"/>
  <c r="F108"/>
  <c r="K108"/>
  <c r="N108" s="1"/>
  <c r="L108"/>
  <c r="P108"/>
  <c r="Q108"/>
  <c r="S108"/>
  <c r="T108"/>
  <c r="V108"/>
  <c r="W108"/>
  <c r="D109"/>
  <c r="J109"/>
  <c r="M109" s="1"/>
  <c r="R109"/>
  <c r="U109"/>
  <c r="D111"/>
  <c r="J111"/>
  <c r="M111" s="1"/>
  <c r="R111"/>
  <c r="U111"/>
  <c r="E112"/>
  <c r="F112"/>
  <c r="F110" s="1"/>
  <c r="K112"/>
  <c r="N112" s="1"/>
  <c r="L112"/>
  <c r="O112" s="1"/>
  <c r="S112"/>
  <c r="T112"/>
  <c r="V112"/>
  <c r="V110" s="1"/>
  <c r="W112"/>
  <c r="W110" s="1"/>
  <c r="D113"/>
  <c r="X113" s="1"/>
  <c r="J113"/>
  <c r="M113" s="1"/>
  <c r="R113"/>
  <c r="U113"/>
  <c r="E115"/>
  <c r="F115"/>
  <c r="F114" s="1"/>
  <c r="K115"/>
  <c r="L115"/>
  <c r="O115"/>
  <c r="S115"/>
  <c r="T115"/>
  <c r="T114" s="1"/>
  <c r="V115"/>
  <c r="W115"/>
  <c r="W114" s="1"/>
  <c r="D116"/>
  <c r="J116"/>
  <c r="M116" s="1"/>
  <c r="R116"/>
  <c r="U116"/>
  <c r="S119"/>
  <c r="T119"/>
  <c r="V119"/>
  <c r="W119"/>
  <c r="D120"/>
  <c r="J120"/>
  <c r="M120" s="1"/>
  <c r="R120"/>
  <c r="U120"/>
  <c r="D121"/>
  <c r="J121"/>
  <c r="M121" s="1"/>
  <c r="R121"/>
  <c r="U121"/>
  <c r="D122"/>
  <c r="J122"/>
  <c r="M122" s="1"/>
  <c r="R122"/>
  <c r="U122"/>
  <c r="D123"/>
  <c r="J123"/>
  <c r="M123" s="1"/>
  <c r="R123"/>
  <c r="U123"/>
  <c r="D124"/>
  <c r="J124"/>
  <c r="M124" s="1"/>
  <c r="R124"/>
  <c r="U124"/>
  <c r="D125"/>
  <c r="J125"/>
  <c r="M125" s="1"/>
  <c r="R125"/>
  <c r="U125"/>
  <c r="J126"/>
  <c r="M126" s="1"/>
  <c r="R126"/>
  <c r="U126"/>
  <c r="D127"/>
  <c r="X127" s="1"/>
  <c r="J127"/>
  <c r="M127" s="1"/>
  <c r="R127"/>
  <c r="U127"/>
  <c r="J128"/>
  <c r="M128" s="1"/>
  <c r="R128"/>
  <c r="U128"/>
  <c r="D129"/>
  <c r="J129"/>
  <c r="M129" s="1"/>
  <c r="R129"/>
  <c r="U129"/>
  <c r="D130"/>
  <c r="J130"/>
  <c r="M130" s="1"/>
  <c r="R130"/>
  <c r="U130"/>
  <c r="J131"/>
  <c r="M131" s="1"/>
  <c r="R131"/>
  <c r="U131"/>
  <c r="D132"/>
  <c r="J132"/>
  <c r="M132" s="1"/>
  <c r="R132"/>
  <c r="U132"/>
  <c r="D133"/>
  <c r="J133"/>
  <c r="M133" s="1"/>
  <c r="R133"/>
  <c r="U133"/>
  <c r="J134"/>
  <c r="M134" s="1"/>
  <c r="R134"/>
  <c r="U134"/>
  <c r="D135"/>
  <c r="J135"/>
  <c r="M135" s="1"/>
  <c r="R135"/>
  <c r="U135"/>
  <c r="D136"/>
  <c r="J136"/>
  <c r="M136" s="1"/>
  <c r="R136"/>
  <c r="U136"/>
  <c r="D137"/>
  <c r="J137"/>
  <c r="M137" s="1"/>
  <c r="R137"/>
  <c r="U137"/>
  <c r="D138"/>
  <c r="X138" s="1"/>
  <c r="J138"/>
  <c r="M138" s="1"/>
  <c r="R138"/>
  <c r="U138"/>
  <c r="D139"/>
  <c r="J139"/>
  <c r="R139"/>
  <c r="U139"/>
  <c r="D140"/>
  <c r="J140"/>
  <c r="M140" s="1"/>
  <c r="R140"/>
  <c r="U140"/>
  <c r="D141"/>
  <c r="J141"/>
  <c r="M141" s="1"/>
  <c r="R141"/>
  <c r="U141"/>
  <c r="D142"/>
  <c r="X142" s="1"/>
  <c r="J142"/>
  <c r="M142" s="1"/>
  <c r="R142"/>
  <c r="U142"/>
  <c r="D143"/>
  <c r="J143"/>
  <c r="M143" s="1"/>
  <c r="R143"/>
  <c r="U143"/>
  <c r="J144"/>
  <c r="M144" s="1"/>
  <c r="R144"/>
  <c r="U144"/>
  <c r="D145"/>
  <c r="J145"/>
  <c r="M145" s="1"/>
  <c r="R145"/>
  <c r="U145"/>
  <c r="D146"/>
  <c r="J146"/>
  <c r="M146" s="1"/>
  <c r="R146"/>
  <c r="U146"/>
  <c r="J148"/>
  <c r="M148" s="1"/>
  <c r="R148"/>
  <c r="U148"/>
  <c r="D147"/>
  <c r="J147"/>
  <c r="M147" s="1"/>
  <c r="R147"/>
  <c r="U147"/>
  <c r="D149"/>
  <c r="X149" s="1"/>
  <c r="J149"/>
  <c r="M149" s="1"/>
  <c r="R149"/>
  <c r="U149"/>
  <c r="D158"/>
  <c r="J158"/>
  <c r="R158"/>
  <c r="U158"/>
  <c r="J159"/>
  <c r="R159"/>
  <c r="U159"/>
  <c r="D157"/>
  <c r="J157"/>
  <c r="M157" s="1"/>
  <c r="R157"/>
  <c r="U157"/>
  <c r="D155"/>
  <c r="J155"/>
  <c r="M155" s="1"/>
  <c r="R155"/>
  <c r="U155"/>
  <c r="J161"/>
  <c r="M161" s="1"/>
  <c r="R161"/>
  <c r="U161"/>
  <c r="J162"/>
  <c r="R162"/>
  <c r="U162"/>
  <c r="D163"/>
  <c r="X163" s="1"/>
  <c r="J163"/>
  <c r="M163" s="1"/>
  <c r="R163"/>
  <c r="U163"/>
  <c r="E170"/>
  <c r="K170"/>
  <c r="L170"/>
  <c r="P170"/>
  <c r="Q170"/>
  <c r="S170"/>
  <c r="T170"/>
  <c r="V170"/>
  <c r="W170"/>
  <c r="J171"/>
  <c r="M171" s="1"/>
  <c r="R171"/>
  <c r="U171"/>
  <c r="D172"/>
  <c r="J172"/>
  <c r="M172" s="1"/>
  <c r="R172"/>
  <c r="U172"/>
  <c r="D173"/>
  <c r="J173"/>
  <c r="R173"/>
  <c r="U173"/>
  <c r="D174"/>
  <c r="J174"/>
  <c r="M174" s="1"/>
  <c r="R174"/>
  <c r="U174"/>
  <c r="D175"/>
  <c r="J175"/>
  <c r="M175" s="1"/>
  <c r="R175"/>
  <c r="U175"/>
  <c r="E176"/>
  <c r="F176"/>
  <c r="K176"/>
  <c r="N176" s="1"/>
  <c r="L176"/>
  <c r="O176" s="1"/>
  <c r="P176"/>
  <c r="Q176"/>
  <c r="S176"/>
  <c r="T176"/>
  <c r="V176"/>
  <c r="W176"/>
  <c r="R177"/>
  <c r="U177"/>
  <c r="R178"/>
  <c r="U178"/>
  <c r="D179"/>
  <c r="D176" s="1"/>
  <c r="J179"/>
  <c r="R179"/>
  <c r="U179"/>
  <c r="E180"/>
  <c r="F180"/>
  <c r="K180"/>
  <c r="L180"/>
  <c r="S180"/>
  <c r="T180"/>
  <c r="V180"/>
  <c r="W180"/>
  <c r="D181"/>
  <c r="J181"/>
  <c r="R181"/>
  <c r="U181"/>
  <c r="E182"/>
  <c r="F182"/>
  <c r="K182"/>
  <c r="N182" s="1"/>
  <c r="L182"/>
  <c r="O182" s="1"/>
  <c r="S182"/>
  <c r="T182"/>
  <c r="V182"/>
  <c r="W182"/>
  <c r="D183"/>
  <c r="J183"/>
  <c r="M183"/>
  <c r="R183"/>
  <c r="U183"/>
  <c r="R187"/>
  <c r="U187"/>
  <c r="D189"/>
  <c r="J189"/>
  <c r="R189"/>
  <c r="U189"/>
  <c r="D193"/>
  <c r="J193"/>
  <c r="M193" s="1"/>
  <c r="R193"/>
  <c r="U193"/>
  <c r="D194"/>
  <c r="J194"/>
  <c r="M194" s="1"/>
  <c r="R194"/>
  <c r="U194"/>
  <c r="D195"/>
  <c r="J195"/>
  <c r="R195"/>
  <c r="U195"/>
  <c r="J196"/>
  <c r="M196" s="1"/>
  <c r="R196"/>
  <c r="U196"/>
  <c r="J197"/>
  <c r="R197"/>
  <c r="U197"/>
  <c r="D198"/>
  <c r="J198"/>
  <c r="M198" s="1"/>
  <c r="R198"/>
  <c r="U198"/>
  <c r="J199"/>
  <c r="R199"/>
  <c r="U199"/>
  <c r="D200"/>
  <c r="J200"/>
  <c r="M200" s="1"/>
  <c r="R200"/>
  <c r="U200"/>
  <c r="D201"/>
  <c r="J201"/>
  <c r="M201" s="1"/>
  <c r="R201"/>
  <c r="U201"/>
  <c r="E202"/>
  <c r="R202"/>
  <c r="U202"/>
  <c r="D203"/>
  <c r="J203"/>
  <c r="M203" s="1"/>
  <c r="R203"/>
  <c r="U203"/>
  <c r="D204"/>
  <c r="J204"/>
  <c r="M204" s="1"/>
  <c r="R204"/>
  <c r="U204"/>
  <c r="D205"/>
  <c r="J205"/>
  <c r="M205" s="1"/>
  <c r="R205"/>
  <c r="U205"/>
  <c r="F206"/>
  <c r="J206"/>
  <c r="R206"/>
  <c r="U206"/>
  <c r="J207"/>
  <c r="M207" s="1"/>
  <c r="R207"/>
  <c r="U207"/>
  <c r="D208"/>
  <c r="J208"/>
  <c r="R208"/>
  <c r="U208"/>
  <c r="J209"/>
  <c r="R209"/>
  <c r="U209"/>
  <c r="R210"/>
  <c r="U210"/>
  <c r="D211"/>
  <c r="J211"/>
  <c r="M211" s="1"/>
  <c r="R211"/>
  <c r="U211"/>
  <c r="D213"/>
  <c r="J213"/>
  <c r="M213"/>
  <c r="R213"/>
  <c r="U213"/>
  <c r="D217"/>
  <c r="X217"/>
  <c r="J217"/>
  <c r="M217" s="1"/>
  <c r="R217"/>
  <c r="U217"/>
  <c r="D218"/>
  <c r="R218"/>
  <c r="U218"/>
  <c r="D221"/>
  <c r="J221"/>
  <c r="M221" s="1"/>
  <c r="R221"/>
  <c r="U221"/>
  <c r="D222"/>
  <c r="X222" s="1"/>
  <c r="J222"/>
  <c r="M222" s="1"/>
  <c r="R222"/>
  <c r="U222"/>
  <c r="D223"/>
  <c r="J223"/>
  <c r="M223" s="1"/>
  <c r="R223"/>
  <c r="U223"/>
  <c r="E224"/>
  <c r="F224"/>
  <c r="P224"/>
  <c r="P184" s="1"/>
  <c r="Q224"/>
  <c r="Q184" s="1"/>
  <c r="S224"/>
  <c r="S184" s="1"/>
  <c r="T224"/>
  <c r="T184" s="1"/>
  <c r="V224"/>
  <c r="V184" s="1"/>
  <c r="W224"/>
  <c r="W184" s="1"/>
  <c r="D225"/>
  <c r="X225" s="1"/>
  <c r="J225"/>
  <c r="M225" s="1"/>
  <c r="R225"/>
  <c r="U225"/>
  <c r="D226"/>
  <c r="J226"/>
  <c r="M226" s="1"/>
  <c r="R226"/>
  <c r="U226"/>
  <c r="E227"/>
  <c r="F227"/>
  <c r="R227"/>
  <c r="U227"/>
  <c r="D228"/>
  <c r="X228" s="1"/>
  <c r="J228"/>
  <c r="M228" s="1"/>
  <c r="R228"/>
  <c r="U228"/>
  <c r="D229"/>
  <c r="J229"/>
  <c r="M229" s="1"/>
  <c r="R229"/>
  <c r="U229"/>
  <c r="E230"/>
  <c r="F230"/>
  <c r="R230"/>
  <c r="U230"/>
  <c r="D231"/>
  <c r="X231" s="1"/>
  <c r="J231"/>
  <c r="M231" s="1"/>
  <c r="R231"/>
  <c r="U231"/>
  <c r="D232"/>
  <c r="J232"/>
  <c r="M232" s="1"/>
  <c r="R232"/>
  <c r="U232"/>
  <c r="E233"/>
  <c r="F233"/>
  <c r="R233"/>
  <c r="U233"/>
  <c r="D234"/>
  <c r="J234"/>
  <c r="R234"/>
  <c r="U234"/>
  <c r="D235"/>
  <c r="J235"/>
  <c r="M235" s="1"/>
  <c r="R235"/>
  <c r="U235"/>
  <c r="F236"/>
  <c r="J236"/>
  <c r="M236" s="1"/>
  <c r="R236"/>
  <c r="U236"/>
  <c r="D237"/>
  <c r="J237"/>
  <c r="M237" s="1"/>
  <c r="R237"/>
  <c r="U237"/>
  <c r="F238"/>
  <c r="D238" s="1"/>
  <c r="J238"/>
  <c r="M238" s="1"/>
  <c r="R238"/>
  <c r="U238"/>
  <c r="D239"/>
  <c r="X239" s="1"/>
  <c r="J239"/>
  <c r="M239" s="1"/>
  <c r="R239"/>
  <c r="U239"/>
  <c r="D240"/>
  <c r="J240"/>
  <c r="M240" s="1"/>
  <c r="R240"/>
  <c r="U240"/>
  <c r="R241"/>
  <c r="U241"/>
  <c r="D244"/>
  <c r="J244"/>
  <c r="R244"/>
  <c r="U244"/>
  <c r="D245"/>
  <c r="J245"/>
  <c r="M245" s="1"/>
  <c r="R245"/>
  <c r="U245"/>
  <c r="D246"/>
  <c r="X246" s="1"/>
  <c r="J246"/>
  <c r="M246" s="1"/>
  <c r="R246"/>
  <c r="U246"/>
  <c r="E247"/>
  <c r="F247"/>
  <c r="K247"/>
  <c r="N247" s="1"/>
  <c r="L247"/>
  <c r="O247" s="1"/>
  <c r="S247"/>
  <c r="T247"/>
  <c r="V247"/>
  <c r="W247"/>
  <c r="D248"/>
  <c r="J248"/>
  <c r="R248"/>
  <c r="U248"/>
  <c r="E249"/>
  <c r="F249"/>
  <c r="K249"/>
  <c r="N249" s="1"/>
  <c r="L249"/>
  <c r="S249"/>
  <c r="T249"/>
  <c r="V249"/>
  <c r="W249"/>
  <c r="D250"/>
  <c r="X250" s="1"/>
  <c r="J250"/>
  <c r="M250" s="1"/>
  <c r="R250"/>
  <c r="U250"/>
  <c r="D251"/>
  <c r="J251"/>
  <c r="M251" s="1"/>
  <c r="R251"/>
  <c r="U251"/>
  <c r="D252"/>
  <c r="J252"/>
  <c r="M252" s="1"/>
  <c r="R252"/>
  <c r="U252"/>
  <c r="D253"/>
  <c r="J253"/>
  <c r="M253" s="1"/>
  <c r="R253"/>
  <c r="U253"/>
  <c r="D254"/>
  <c r="J254"/>
  <c r="M254" s="1"/>
  <c r="R254"/>
  <c r="U254"/>
  <c r="E258"/>
  <c r="K258"/>
  <c r="N258" s="1"/>
  <c r="L258"/>
  <c r="O258" s="1"/>
  <c r="P258"/>
  <c r="P257" s="1"/>
  <c r="Q258"/>
  <c r="Q257" s="1"/>
  <c r="S258"/>
  <c r="T258"/>
  <c r="V258"/>
  <c r="W258"/>
  <c r="D259"/>
  <c r="J259"/>
  <c r="M259" s="1"/>
  <c r="R259"/>
  <c r="U259"/>
  <c r="A260"/>
  <c r="A261" s="1"/>
  <c r="A262" s="1"/>
  <c r="A263" s="1"/>
  <c r="A264" s="1"/>
  <c r="A265" s="1"/>
  <c r="A266" s="1"/>
  <c r="A267" s="1"/>
  <c r="A272"/>
  <c r="A283"/>
  <c r="A284" s="1"/>
  <c r="A285" s="1"/>
  <c r="A286" s="1"/>
  <c r="A287" s="1"/>
  <c r="A288" s="1"/>
  <c r="A289" s="1"/>
  <c r="A291" s="1"/>
  <c r="A294" s="1"/>
  <c r="A298" s="1"/>
  <c r="A302" s="1"/>
  <c r="D260"/>
  <c r="X260" s="1"/>
  <c r="J260"/>
  <c r="M260" s="1"/>
  <c r="R260"/>
  <c r="U260"/>
  <c r="D261"/>
  <c r="J261"/>
  <c r="M261" s="1"/>
  <c r="R261"/>
  <c r="U261"/>
  <c r="D262"/>
  <c r="J262"/>
  <c r="M262" s="1"/>
  <c r="R262"/>
  <c r="U262"/>
  <c r="D263"/>
  <c r="J263"/>
  <c r="M263" s="1"/>
  <c r="R263"/>
  <c r="U263"/>
  <c r="D264"/>
  <c r="X264" s="1"/>
  <c r="J264"/>
  <c r="M264" s="1"/>
  <c r="R264"/>
  <c r="U264"/>
  <c r="D265"/>
  <c r="X265" s="1"/>
  <c r="J265"/>
  <c r="M265" s="1"/>
  <c r="R265"/>
  <c r="U265"/>
  <c r="D266"/>
  <c r="J266"/>
  <c r="M266" s="1"/>
  <c r="R266"/>
  <c r="U266"/>
  <c r="D267"/>
  <c r="J267"/>
  <c r="M267" s="1"/>
  <c r="R267"/>
  <c r="U267"/>
  <c r="E269"/>
  <c r="F269"/>
  <c r="K269"/>
  <c r="N269" s="1"/>
  <c r="L269"/>
  <c r="O269" s="1"/>
  <c r="R269"/>
  <c r="U269"/>
  <c r="D270"/>
  <c r="J270"/>
  <c r="M270" s="1"/>
  <c r="R270"/>
  <c r="U270"/>
  <c r="E271"/>
  <c r="F271"/>
  <c r="K271"/>
  <c r="N271" s="1"/>
  <c r="L271"/>
  <c r="O271" s="1"/>
  <c r="S271"/>
  <c r="T271"/>
  <c r="V271"/>
  <c r="W271"/>
  <c r="D272"/>
  <c r="J272"/>
  <c r="M272" s="1"/>
  <c r="R272"/>
  <c r="U272"/>
  <c r="E275"/>
  <c r="F275"/>
  <c r="K275"/>
  <c r="N275" s="1"/>
  <c r="L275"/>
  <c r="O275" s="1"/>
  <c r="S275"/>
  <c r="T275"/>
  <c r="V275"/>
  <c r="W275"/>
  <c r="D276"/>
  <c r="J276"/>
  <c r="M276" s="1"/>
  <c r="R276"/>
  <c r="U276"/>
  <c r="E278"/>
  <c r="K278"/>
  <c r="L278"/>
  <c r="P278"/>
  <c r="P277" s="1"/>
  <c r="Q278"/>
  <c r="Q277" s="1"/>
  <c r="S278"/>
  <c r="T278"/>
  <c r="V278"/>
  <c r="W278"/>
  <c r="D279"/>
  <c r="R279"/>
  <c r="U279"/>
  <c r="R280"/>
  <c r="U280"/>
  <c r="E282"/>
  <c r="K282"/>
  <c r="S282"/>
  <c r="T282"/>
  <c r="V282"/>
  <c r="W282"/>
  <c r="D283"/>
  <c r="X283" s="1"/>
  <c r="R283"/>
  <c r="U283"/>
  <c r="D284"/>
  <c r="R284"/>
  <c r="U284"/>
  <c r="D285"/>
  <c r="R285"/>
  <c r="U285"/>
  <c r="D286"/>
  <c r="R286"/>
  <c r="U286"/>
  <c r="D287"/>
  <c r="X287" s="1"/>
  <c r="R287"/>
  <c r="U287"/>
  <c r="D288"/>
  <c r="R288"/>
  <c r="U288"/>
  <c r="D289"/>
  <c r="R289"/>
  <c r="U289"/>
  <c r="E290"/>
  <c r="F290"/>
  <c r="K290"/>
  <c r="L290"/>
  <c r="O290" s="1"/>
  <c r="S290"/>
  <c r="T290"/>
  <c r="V290"/>
  <c r="W290"/>
  <c r="D291"/>
  <c r="X291" s="1"/>
  <c r="R291"/>
  <c r="U291"/>
  <c r="E292"/>
  <c r="F292"/>
  <c r="K292"/>
  <c r="N292" s="1"/>
  <c r="L292"/>
  <c r="P292"/>
  <c r="Q292"/>
  <c r="S292"/>
  <c r="T292"/>
  <c r="V292"/>
  <c r="W292"/>
  <c r="D293"/>
  <c r="R293"/>
  <c r="U293"/>
  <c r="D294"/>
  <c r="X294" s="1"/>
  <c r="R294"/>
  <c r="U294"/>
  <c r="E295"/>
  <c r="K295"/>
  <c r="L295"/>
  <c r="O295" s="1"/>
  <c r="S295"/>
  <c r="T295"/>
  <c r="V295"/>
  <c r="W295"/>
  <c r="R296"/>
  <c r="U296"/>
  <c r="P299"/>
  <c r="Q299"/>
  <c r="S299"/>
  <c r="T299"/>
  <c r="V299"/>
  <c r="W299"/>
  <c r="D300"/>
  <c r="R300"/>
  <c r="U300"/>
  <c r="D302"/>
  <c r="R302"/>
  <c r="U302"/>
  <c r="D303"/>
  <c r="R303"/>
  <c r="U303"/>
  <c r="D304"/>
  <c r="R304"/>
  <c r="U304"/>
  <c r="E308"/>
  <c r="F308"/>
  <c r="K308"/>
  <c r="N308"/>
  <c r="L308"/>
  <c r="O308" s="1"/>
  <c r="S308"/>
  <c r="T308"/>
  <c r="V308"/>
  <c r="W308"/>
  <c r="D309"/>
  <c r="J309"/>
  <c r="M309" s="1"/>
  <c r="R309"/>
  <c r="U309"/>
  <c r="E310"/>
  <c r="F310"/>
  <c r="K310"/>
  <c r="N310" s="1"/>
  <c r="L310"/>
  <c r="O310" s="1"/>
  <c r="S310"/>
  <c r="T310"/>
  <c r="V310"/>
  <c r="W310"/>
  <c r="A311"/>
  <c r="A313" s="1"/>
  <c r="A315" s="1"/>
  <c r="A317" s="1"/>
  <c r="A319" s="1"/>
  <c r="A322" s="1"/>
  <c r="D311"/>
  <c r="J311"/>
  <c r="M311" s="1"/>
  <c r="R311"/>
  <c r="U311"/>
  <c r="E312"/>
  <c r="F312"/>
  <c r="K312"/>
  <c r="N312" s="1"/>
  <c r="L312"/>
  <c r="O312" s="1"/>
  <c r="S312"/>
  <c r="T312"/>
  <c r="V312"/>
  <c r="W312"/>
  <c r="D313"/>
  <c r="J313"/>
  <c r="M313" s="1"/>
  <c r="R313"/>
  <c r="U313"/>
  <c r="E314"/>
  <c r="F314"/>
  <c r="K314"/>
  <c r="N314" s="1"/>
  <c r="L314"/>
  <c r="O314" s="1"/>
  <c r="S314"/>
  <c r="T314"/>
  <c r="V314"/>
  <c r="W314"/>
  <c r="D315"/>
  <c r="J315"/>
  <c r="M315" s="1"/>
  <c r="R315"/>
  <c r="U315"/>
  <c r="E316"/>
  <c r="F316"/>
  <c r="K316"/>
  <c r="N316" s="1"/>
  <c r="L316"/>
  <c r="O316" s="1"/>
  <c r="S316"/>
  <c r="T316"/>
  <c r="V316"/>
  <c r="W316"/>
  <c r="D317"/>
  <c r="J317"/>
  <c r="M317" s="1"/>
  <c r="R317"/>
  <c r="U317"/>
  <c r="E318"/>
  <c r="F318"/>
  <c r="K318"/>
  <c r="N318" s="1"/>
  <c r="L318"/>
  <c r="O318" s="1"/>
  <c r="S318"/>
  <c r="T318"/>
  <c r="V318"/>
  <c r="W318"/>
  <c r="D319"/>
  <c r="J319"/>
  <c r="M319" s="1"/>
  <c r="R319"/>
  <c r="U319"/>
  <c r="E321"/>
  <c r="E320" s="1"/>
  <c r="F321"/>
  <c r="K321"/>
  <c r="N321" s="1"/>
  <c r="L321"/>
  <c r="O321" s="1"/>
  <c r="S321"/>
  <c r="S320" s="1"/>
  <c r="T321"/>
  <c r="V321"/>
  <c r="W321"/>
  <c r="W320" s="1"/>
  <c r="D322"/>
  <c r="X322" s="1"/>
  <c r="J322"/>
  <c r="M322" s="1"/>
  <c r="R322"/>
  <c r="U322"/>
  <c r="C4" i="54"/>
  <c r="R12"/>
  <c r="Q12" s="1"/>
  <c r="S12"/>
  <c r="R15"/>
  <c r="S15"/>
  <c r="S14" s="1"/>
  <c r="S13" s="1"/>
  <c r="D16"/>
  <c r="E16"/>
  <c r="G16"/>
  <c r="H16"/>
  <c r="J16"/>
  <c r="M16" s="1"/>
  <c r="K16"/>
  <c r="N16" s="1"/>
  <c r="R16"/>
  <c r="Q16" s="1"/>
  <c r="S16"/>
  <c r="C17"/>
  <c r="F17"/>
  <c r="I17"/>
  <c r="L17" s="1"/>
  <c r="M17"/>
  <c r="N17"/>
  <c r="Q17"/>
  <c r="C18"/>
  <c r="F18"/>
  <c r="I18"/>
  <c r="L18" s="1"/>
  <c r="M18"/>
  <c r="N18"/>
  <c r="Q18"/>
  <c r="D19"/>
  <c r="E19"/>
  <c r="G19"/>
  <c r="H19"/>
  <c r="J19"/>
  <c r="M19" s="1"/>
  <c r="K19"/>
  <c r="R19"/>
  <c r="S19"/>
  <c r="C20"/>
  <c r="F20"/>
  <c r="I20"/>
  <c r="L20" s="1"/>
  <c r="M20"/>
  <c r="N20"/>
  <c r="Q20"/>
  <c r="D21"/>
  <c r="E21"/>
  <c r="G21"/>
  <c r="H21"/>
  <c r="J21"/>
  <c r="M21" s="1"/>
  <c r="K21"/>
  <c r="N21" s="1"/>
  <c r="R21"/>
  <c r="S21"/>
  <c r="C22"/>
  <c r="F22"/>
  <c r="I22"/>
  <c r="L22" s="1"/>
  <c r="M22"/>
  <c r="N22"/>
  <c r="Q22"/>
  <c r="D23"/>
  <c r="E23"/>
  <c r="G23"/>
  <c r="H23"/>
  <c r="J23"/>
  <c r="K23"/>
  <c r="R23"/>
  <c r="R37" s="1"/>
  <c r="S23"/>
  <c r="S37" s="1"/>
  <c r="C24"/>
  <c r="F24"/>
  <c r="I24"/>
  <c r="L24" s="1"/>
  <c r="M24"/>
  <c r="N24"/>
  <c r="Q24"/>
  <c r="D25"/>
  <c r="E25"/>
  <c r="G25"/>
  <c r="H25"/>
  <c r="J25"/>
  <c r="M25" s="1"/>
  <c r="K25"/>
  <c r="N25" s="1"/>
  <c r="R25"/>
  <c r="S25"/>
  <c r="C26"/>
  <c r="F26"/>
  <c r="I26"/>
  <c r="L26" s="1"/>
  <c r="M26"/>
  <c r="N26"/>
  <c r="Q26"/>
  <c r="D27"/>
  <c r="E27"/>
  <c r="G27"/>
  <c r="H27"/>
  <c r="J27"/>
  <c r="K27"/>
  <c r="R27"/>
  <c r="S27"/>
  <c r="C28"/>
  <c r="F28"/>
  <c r="I28"/>
  <c r="L28" s="1"/>
  <c r="M28"/>
  <c r="N28"/>
  <c r="Q28"/>
  <c r="D29"/>
  <c r="E29"/>
  <c r="G29"/>
  <c r="H29"/>
  <c r="J29"/>
  <c r="M29" s="1"/>
  <c r="K29"/>
  <c r="N29" s="1"/>
  <c r="R29"/>
  <c r="S29"/>
  <c r="C30"/>
  <c r="F30"/>
  <c r="I30"/>
  <c r="L30"/>
  <c r="M30"/>
  <c r="N30"/>
  <c r="Q30"/>
  <c r="D31"/>
  <c r="E31"/>
  <c r="G31"/>
  <c r="H31"/>
  <c r="J31"/>
  <c r="K31"/>
  <c r="N31" s="1"/>
  <c r="R31"/>
  <c r="Q31" s="1"/>
  <c r="S31"/>
  <c r="C32"/>
  <c r="F32"/>
  <c r="I32"/>
  <c r="L32" s="1"/>
  <c r="M32"/>
  <c r="N32"/>
  <c r="Q32"/>
  <c r="D33"/>
  <c r="E33"/>
  <c r="G33"/>
  <c r="F33" s="1"/>
  <c r="H33"/>
  <c r="J33"/>
  <c r="M33" s="1"/>
  <c r="K33"/>
  <c r="R33"/>
  <c r="Q33" s="1"/>
  <c r="S33"/>
  <c r="C34"/>
  <c r="F34"/>
  <c r="I34"/>
  <c r="L34" s="1"/>
  <c r="M34"/>
  <c r="N34"/>
  <c r="Q34"/>
  <c r="D35"/>
  <c r="E35"/>
  <c r="G35"/>
  <c r="H35"/>
  <c r="J35"/>
  <c r="M35" s="1"/>
  <c r="K35"/>
  <c r="R35"/>
  <c r="S35"/>
  <c r="C36"/>
  <c r="F36"/>
  <c r="I36"/>
  <c r="L36" s="1"/>
  <c r="M36"/>
  <c r="N36"/>
  <c r="Q36"/>
  <c r="D37"/>
  <c r="E37"/>
  <c r="G37"/>
  <c r="H37"/>
  <c r="J37"/>
  <c r="M37" s="1"/>
  <c r="K37"/>
  <c r="N37" s="1"/>
  <c r="C38"/>
  <c r="F38"/>
  <c r="I38"/>
  <c r="L38" s="1"/>
  <c r="M38"/>
  <c r="N38"/>
  <c r="Q38"/>
  <c r="D39"/>
  <c r="E39"/>
  <c r="G39"/>
  <c r="H39"/>
  <c r="J39"/>
  <c r="M39" s="1"/>
  <c r="K39"/>
  <c r="N39" s="1"/>
  <c r="R39"/>
  <c r="S39"/>
  <c r="C40"/>
  <c r="F40"/>
  <c r="I40"/>
  <c r="L40" s="1"/>
  <c r="M40"/>
  <c r="N40"/>
  <c r="Q40"/>
  <c r="C41"/>
  <c r="F41"/>
  <c r="I41"/>
  <c r="L41" s="1"/>
  <c r="M41"/>
  <c r="N41"/>
  <c r="Q41"/>
  <c r="C42"/>
  <c r="F42"/>
  <c r="I42"/>
  <c r="L42" s="1"/>
  <c r="M42"/>
  <c r="N42"/>
  <c r="Q42"/>
  <c r="C43"/>
  <c r="F43"/>
  <c r="I43"/>
  <c r="L43" s="1"/>
  <c r="M43"/>
  <c r="N43"/>
  <c r="Q43"/>
  <c r="C44"/>
  <c r="F44"/>
  <c r="I44"/>
  <c r="L44" s="1"/>
  <c r="M44"/>
  <c r="N44"/>
  <c r="Q44"/>
  <c r="D45"/>
  <c r="E45"/>
  <c r="G45"/>
  <c r="H45"/>
  <c r="J45"/>
  <c r="M45" s="1"/>
  <c r="K45"/>
  <c r="R45"/>
  <c r="Q45" s="1"/>
  <c r="S45"/>
  <c r="C46"/>
  <c r="F46"/>
  <c r="I46"/>
  <c r="L46" s="1"/>
  <c r="M46"/>
  <c r="N46"/>
  <c r="Q46"/>
  <c r="C47"/>
  <c r="F47"/>
  <c r="I47"/>
  <c r="L47" s="1"/>
  <c r="M47"/>
  <c r="N47"/>
  <c r="Q47"/>
  <c r="C48"/>
  <c r="F48"/>
  <c r="I48"/>
  <c r="L48" s="1"/>
  <c r="M48"/>
  <c r="N48"/>
  <c r="Q48"/>
  <c r="R49"/>
  <c r="Q49" s="1"/>
  <c r="S49"/>
  <c r="D52"/>
  <c r="E52"/>
  <c r="E51" s="1"/>
  <c r="G52"/>
  <c r="G51" s="1"/>
  <c r="H52"/>
  <c r="H51" s="1"/>
  <c r="J52"/>
  <c r="M52" s="1"/>
  <c r="K52"/>
  <c r="C53"/>
  <c r="F53"/>
  <c r="I53"/>
  <c r="L53" s="1"/>
  <c r="M53"/>
  <c r="N53"/>
  <c r="Q53"/>
  <c r="D54"/>
  <c r="E54"/>
  <c r="G54"/>
  <c r="H54"/>
  <c r="J54"/>
  <c r="M54" s="1"/>
  <c r="K54"/>
  <c r="C55"/>
  <c r="F55"/>
  <c r="I55"/>
  <c r="L55" s="1"/>
  <c r="M55"/>
  <c r="N55"/>
  <c r="Q55"/>
  <c r="R56"/>
  <c r="S56"/>
  <c r="S52" s="1"/>
  <c r="R57"/>
  <c r="Q57" s="1"/>
  <c r="S57"/>
  <c r="D58"/>
  <c r="E58"/>
  <c r="E57" s="1"/>
  <c r="G58"/>
  <c r="H58"/>
  <c r="H57" s="1"/>
  <c r="J58"/>
  <c r="K58"/>
  <c r="C59"/>
  <c r="F59"/>
  <c r="I59"/>
  <c r="L59" s="1"/>
  <c r="M59"/>
  <c r="N59"/>
  <c r="Q59"/>
  <c r="C60"/>
  <c r="F60"/>
  <c r="I60"/>
  <c r="L60" s="1"/>
  <c r="M60"/>
  <c r="N60"/>
  <c r="Q60"/>
  <c r="C61"/>
  <c r="F61"/>
  <c r="I61"/>
  <c r="L61" s="1"/>
  <c r="M61"/>
  <c r="N61"/>
  <c r="Q61"/>
  <c r="C62"/>
  <c r="F62"/>
  <c r="I62"/>
  <c r="L62" s="1"/>
  <c r="M62"/>
  <c r="N62"/>
  <c r="Q62"/>
  <c r="C63"/>
  <c r="F63"/>
  <c r="I63"/>
  <c r="L63" s="1"/>
  <c r="M63"/>
  <c r="N63"/>
  <c r="Q63"/>
  <c r="C64"/>
  <c r="F64"/>
  <c r="I64"/>
  <c r="L64" s="1"/>
  <c r="M64"/>
  <c r="N64"/>
  <c r="Q64"/>
  <c r="C65"/>
  <c r="F65"/>
  <c r="I65"/>
  <c r="L65" s="1"/>
  <c r="M65"/>
  <c r="N65"/>
  <c r="Q65"/>
  <c r="C66"/>
  <c r="F66"/>
  <c r="I66"/>
  <c r="L66" s="1"/>
  <c r="M66"/>
  <c r="N66"/>
  <c r="Q66"/>
  <c r="C67"/>
  <c r="F67"/>
  <c r="I67"/>
  <c r="L67" s="1"/>
  <c r="M67"/>
  <c r="N67"/>
  <c r="Q67"/>
  <c r="C68"/>
  <c r="F68"/>
  <c r="I68"/>
  <c r="L68" s="1"/>
  <c r="M68"/>
  <c r="N68"/>
  <c r="Q68"/>
  <c r="C69"/>
  <c r="F69"/>
  <c r="I69"/>
  <c r="L69" s="1"/>
  <c r="M69"/>
  <c r="N69"/>
  <c r="Q69"/>
  <c r="C70"/>
  <c r="F70"/>
  <c r="I70"/>
  <c r="L70" s="1"/>
  <c r="M70"/>
  <c r="N70"/>
  <c r="Q70"/>
  <c r="C71"/>
  <c r="F71"/>
  <c r="I71"/>
  <c r="L71" s="1"/>
  <c r="M71"/>
  <c r="N71"/>
  <c r="Q71"/>
  <c r="C72"/>
  <c r="F72"/>
  <c r="I72"/>
  <c r="L72"/>
  <c r="M72"/>
  <c r="N72"/>
  <c r="Q72"/>
  <c r="C73"/>
  <c r="F73"/>
  <c r="I73"/>
  <c r="L73" s="1"/>
  <c r="M73"/>
  <c r="N73"/>
  <c r="Q73"/>
  <c r="C74"/>
  <c r="F74"/>
  <c r="I74"/>
  <c r="L74" s="1"/>
  <c r="M74"/>
  <c r="N74"/>
  <c r="Q74"/>
  <c r="C75"/>
  <c r="F75"/>
  <c r="I75"/>
  <c r="L75" s="1"/>
  <c r="M75"/>
  <c r="N75"/>
  <c r="Q75"/>
  <c r="C76"/>
  <c r="F76"/>
  <c r="I76"/>
  <c r="L76" s="1"/>
  <c r="M76"/>
  <c r="N76"/>
  <c r="Q76"/>
  <c r="C77"/>
  <c r="F77"/>
  <c r="I77"/>
  <c r="L77" s="1"/>
  <c r="M77"/>
  <c r="N77"/>
  <c r="Q77"/>
  <c r="C78"/>
  <c r="F78"/>
  <c r="I78"/>
  <c r="L78" s="1"/>
  <c r="M78"/>
  <c r="N78"/>
  <c r="R78"/>
  <c r="S78"/>
  <c r="R79"/>
  <c r="Q79" s="1"/>
  <c r="S79"/>
  <c r="D81"/>
  <c r="E81"/>
  <c r="G81"/>
  <c r="H81"/>
  <c r="J81"/>
  <c r="K81"/>
  <c r="N81" s="1"/>
  <c r="C82"/>
  <c r="F82"/>
  <c r="I82"/>
  <c r="L82" s="1"/>
  <c r="M82"/>
  <c r="N82"/>
  <c r="R82"/>
  <c r="S82"/>
  <c r="C83"/>
  <c r="F83"/>
  <c r="I83"/>
  <c r="L83" s="1"/>
  <c r="M83"/>
  <c r="N83"/>
  <c r="R83"/>
  <c r="S83"/>
  <c r="C84"/>
  <c r="F84"/>
  <c r="I84"/>
  <c r="L84" s="1"/>
  <c r="M84"/>
  <c r="N84"/>
  <c r="R84"/>
  <c r="S84"/>
  <c r="C85"/>
  <c r="T85" s="1"/>
  <c r="F85"/>
  <c r="I85"/>
  <c r="L85" s="1"/>
  <c r="M85"/>
  <c r="N85"/>
  <c r="R85"/>
  <c r="S85"/>
  <c r="D86"/>
  <c r="E86"/>
  <c r="G86"/>
  <c r="H86"/>
  <c r="J86"/>
  <c r="M86" s="1"/>
  <c r="K86"/>
  <c r="N86" s="1"/>
  <c r="C87"/>
  <c r="F87"/>
  <c r="I87"/>
  <c r="L87" s="1"/>
  <c r="M87"/>
  <c r="N87"/>
  <c r="R87"/>
  <c r="S87"/>
  <c r="D88"/>
  <c r="E88"/>
  <c r="G88"/>
  <c r="H88"/>
  <c r="J88"/>
  <c r="K88"/>
  <c r="N88" s="1"/>
  <c r="C89"/>
  <c r="F89"/>
  <c r="I89"/>
  <c r="L89" s="1"/>
  <c r="M89"/>
  <c r="N89"/>
  <c r="Q89"/>
  <c r="C90"/>
  <c r="F90"/>
  <c r="I90"/>
  <c r="L90" s="1"/>
  <c r="M90"/>
  <c r="N90"/>
  <c r="Q90"/>
  <c r="C91"/>
  <c r="F91"/>
  <c r="I91"/>
  <c r="L91" s="1"/>
  <c r="M91"/>
  <c r="N91"/>
  <c r="Q91"/>
  <c r="C92"/>
  <c r="F92"/>
  <c r="I92"/>
  <c r="L92" s="1"/>
  <c r="M92"/>
  <c r="N92"/>
  <c r="Q92"/>
  <c r="C93"/>
  <c r="F93"/>
  <c r="I93"/>
  <c r="L93" s="1"/>
  <c r="M93"/>
  <c r="N93"/>
  <c r="Q93"/>
  <c r="C94"/>
  <c r="F94"/>
  <c r="I94"/>
  <c r="L94" s="1"/>
  <c r="M94"/>
  <c r="N94"/>
  <c r="Q94"/>
  <c r="C95"/>
  <c r="F95"/>
  <c r="I95"/>
  <c r="L95" s="1"/>
  <c r="M95"/>
  <c r="N95"/>
  <c r="Q95"/>
  <c r="C96"/>
  <c r="F96"/>
  <c r="I96"/>
  <c r="L96" s="1"/>
  <c r="M96"/>
  <c r="N96"/>
  <c r="Q96"/>
  <c r="C97"/>
  <c r="F97"/>
  <c r="I97"/>
  <c r="L97" s="1"/>
  <c r="M97"/>
  <c r="N97"/>
  <c r="Q97"/>
  <c r="C98"/>
  <c r="F98"/>
  <c r="T98" s="1"/>
  <c r="I98"/>
  <c r="L98" s="1"/>
  <c r="M98"/>
  <c r="N98"/>
  <c r="R98"/>
  <c r="S98"/>
  <c r="S88" s="1"/>
  <c r="C99"/>
  <c r="F99"/>
  <c r="I99"/>
  <c r="L99" s="1"/>
  <c r="M99"/>
  <c r="N99"/>
  <c r="Q99"/>
  <c r="C100"/>
  <c r="F100"/>
  <c r="I100"/>
  <c r="L100" s="1"/>
  <c r="M100"/>
  <c r="N100"/>
  <c r="Q100"/>
  <c r="C101"/>
  <c r="F101"/>
  <c r="I101"/>
  <c r="L101" s="1"/>
  <c r="M101"/>
  <c r="N101"/>
  <c r="Q101"/>
  <c r="C102"/>
  <c r="T102" s="1"/>
  <c r="F102"/>
  <c r="I102"/>
  <c r="L102" s="1"/>
  <c r="M102"/>
  <c r="N102"/>
  <c r="Q102"/>
  <c r="C103"/>
  <c r="F103"/>
  <c r="I103"/>
  <c r="L103" s="1"/>
  <c r="M103"/>
  <c r="N103"/>
  <c r="Q103"/>
  <c r="C104"/>
  <c r="F104"/>
  <c r="I104"/>
  <c r="L104" s="1"/>
  <c r="M104"/>
  <c r="N104"/>
  <c r="Q104"/>
  <c r="C105"/>
  <c r="F105"/>
  <c r="I105"/>
  <c r="L105" s="1"/>
  <c r="M105"/>
  <c r="N105"/>
  <c r="Q105"/>
  <c r="C106"/>
  <c r="F106"/>
  <c r="I106"/>
  <c r="L106" s="1"/>
  <c r="M106"/>
  <c r="N106"/>
  <c r="R106"/>
  <c r="Q106" s="1"/>
  <c r="S106"/>
  <c r="C107"/>
  <c r="F107"/>
  <c r="I107"/>
  <c r="L107"/>
  <c r="M107"/>
  <c r="N107"/>
  <c r="Q107"/>
  <c r="C108"/>
  <c r="F108"/>
  <c r="I108"/>
  <c r="L108" s="1"/>
  <c r="M108"/>
  <c r="N108"/>
  <c r="Q108"/>
  <c r="C109"/>
  <c r="F109"/>
  <c r="I109"/>
  <c r="L109" s="1"/>
  <c r="M109"/>
  <c r="N109"/>
  <c r="Q109"/>
  <c r="C110"/>
  <c r="F110"/>
  <c r="I110"/>
  <c r="L110" s="1"/>
  <c r="M110"/>
  <c r="N110"/>
  <c r="R110"/>
  <c r="S110"/>
  <c r="D111"/>
  <c r="E111"/>
  <c r="G111"/>
  <c r="H111"/>
  <c r="J111"/>
  <c r="M111" s="1"/>
  <c r="K111"/>
  <c r="N111" s="1"/>
  <c r="C112"/>
  <c r="F112"/>
  <c r="I112"/>
  <c r="L112" s="1"/>
  <c r="M112"/>
  <c r="N112"/>
  <c r="Q112"/>
  <c r="D113"/>
  <c r="E113"/>
  <c r="G113"/>
  <c r="H113"/>
  <c r="J113"/>
  <c r="M113" s="1"/>
  <c r="K113"/>
  <c r="N113" s="1"/>
  <c r="C114"/>
  <c r="F114"/>
  <c r="I114"/>
  <c r="L114" s="1"/>
  <c r="M114"/>
  <c r="N114"/>
  <c r="Q114"/>
  <c r="C115"/>
  <c r="F115"/>
  <c r="I115"/>
  <c r="L115" s="1"/>
  <c r="M115"/>
  <c r="N115"/>
  <c r="Q115"/>
  <c r="C116"/>
  <c r="F116"/>
  <c r="I116"/>
  <c r="L116" s="1"/>
  <c r="M116"/>
  <c r="N116"/>
  <c r="Q116"/>
  <c r="R117"/>
  <c r="R111" s="1"/>
  <c r="Q111" s="1"/>
  <c r="S117"/>
  <c r="S111" s="1"/>
  <c r="R119"/>
  <c r="R118" s="1"/>
  <c r="Q118" s="1"/>
  <c r="S119"/>
  <c r="S118" s="1"/>
  <c r="D120"/>
  <c r="D119" s="1"/>
  <c r="E120"/>
  <c r="E119" s="1"/>
  <c r="E118" s="1"/>
  <c r="G120"/>
  <c r="G119" s="1"/>
  <c r="G118" s="1"/>
  <c r="H120"/>
  <c r="J120"/>
  <c r="K120"/>
  <c r="K119" s="1"/>
  <c r="K118" s="1"/>
  <c r="Q120"/>
  <c r="C121"/>
  <c r="F121"/>
  <c r="I121"/>
  <c r="L121" s="1"/>
  <c r="M121"/>
  <c r="N121"/>
  <c r="Q121"/>
  <c r="R122"/>
  <c r="Q122" s="1"/>
  <c r="S122"/>
  <c r="D123"/>
  <c r="E123"/>
  <c r="G123"/>
  <c r="F123" s="1"/>
  <c r="H123"/>
  <c r="J123"/>
  <c r="M123" s="1"/>
  <c r="K123"/>
  <c r="N123" s="1"/>
  <c r="R123"/>
  <c r="Q123" s="1"/>
  <c r="S123"/>
  <c r="C124"/>
  <c r="F124"/>
  <c r="I124"/>
  <c r="L124" s="1"/>
  <c r="M124"/>
  <c r="N124"/>
  <c r="Q124"/>
  <c r="C125"/>
  <c r="F125"/>
  <c r="I125"/>
  <c r="L125" s="1"/>
  <c r="M125"/>
  <c r="N125"/>
  <c r="Q125"/>
  <c r="R126"/>
  <c r="Q126"/>
  <c r="S126"/>
  <c r="D127"/>
  <c r="E127"/>
  <c r="G127"/>
  <c r="H127"/>
  <c r="J127"/>
  <c r="K127"/>
  <c r="R127"/>
  <c r="S127"/>
  <c r="C128"/>
  <c r="F128"/>
  <c r="I128"/>
  <c r="L128" s="1"/>
  <c r="M128"/>
  <c r="N128"/>
  <c r="Q128"/>
  <c r="C129"/>
  <c r="F129"/>
  <c r="I129"/>
  <c r="L129" s="1"/>
  <c r="M129"/>
  <c r="N129"/>
  <c r="Q129"/>
  <c r="C130"/>
  <c r="F130"/>
  <c r="I130"/>
  <c r="L130" s="1"/>
  <c r="M130"/>
  <c r="N130"/>
  <c r="Q130"/>
  <c r="C131"/>
  <c r="F131"/>
  <c r="I131"/>
  <c r="L131" s="1"/>
  <c r="M131"/>
  <c r="N131"/>
  <c r="Q131"/>
  <c r="C132"/>
  <c r="F132"/>
  <c r="I132"/>
  <c r="L132" s="1"/>
  <c r="M132"/>
  <c r="N132"/>
  <c r="Q132"/>
  <c r="C133"/>
  <c r="F133"/>
  <c r="I133"/>
  <c r="L133" s="1"/>
  <c r="M133"/>
  <c r="N133"/>
  <c r="Q133"/>
  <c r="C134"/>
  <c r="F134"/>
  <c r="I134"/>
  <c r="L134" s="1"/>
  <c r="M134"/>
  <c r="N134"/>
  <c r="Q134"/>
  <c r="D135"/>
  <c r="E135"/>
  <c r="G135"/>
  <c r="H135"/>
  <c r="J135"/>
  <c r="K135"/>
  <c r="N135"/>
  <c r="R135"/>
  <c r="S135"/>
  <c r="C136"/>
  <c r="T136" s="1"/>
  <c r="F136"/>
  <c r="I136"/>
  <c r="L136" s="1"/>
  <c r="M136"/>
  <c r="N136"/>
  <c r="Q136"/>
  <c r="D137"/>
  <c r="E137"/>
  <c r="G137"/>
  <c r="H137"/>
  <c r="J137"/>
  <c r="M137" s="1"/>
  <c r="K137"/>
  <c r="N137" s="1"/>
  <c r="R137"/>
  <c r="Q137" s="1"/>
  <c r="C138"/>
  <c r="F138"/>
  <c r="I138"/>
  <c r="L138" s="1"/>
  <c r="M138"/>
  <c r="N138"/>
  <c r="Q138"/>
  <c r="D139"/>
  <c r="E139"/>
  <c r="G139"/>
  <c r="H139"/>
  <c r="J139"/>
  <c r="K139"/>
  <c r="N139" s="1"/>
  <c r="C140"/>
  <c r="F140"/>
  <c r="I140"/>
  <c r="L140" s="1"/>
  <c r="M140"/>
  <c r="N140"/>
  <c r="Q140"/>
  <c r="R141"/>
  <c r="S141"/>
  <c r="S139" s="1"/>
  <c r="R143"/>
  <c r="Q143" s="1"/>
  <c r="S143"/>
  <c r="S142" s="1"/>
  <c r="D144"/>
  <c r="E144"/>
  <c r="G144"/>
  <c r="H144"/>
  <c r="J144"/>
  <c r="M144" s="1"/>
  <c r="K144"/>
  <c r="N144" s="1"/>
  <c r="Q144"/>
  <c r="C145"/>
  <c r="T145" s="1"/>
  <c r="F145"/>
  <c r="I145"/>
  <c r="L145" s="1"/>
  <c r="M145"/>
  <c r="N145"/>
  <c r="Q145"/>
  <c r="D146"/>
  <c r="E146"/>
  <c r="G146"/>
  <c r="H146"/>
  <c r="J146"/>
  <c r="K146"/>
  <c r="Q146"/>
  <c r="C147"/>
  <c r="F147"/>
  <c r="I147"/>
  <c r="L147" s="1"/>
  <c r="M147"/>
  <c r="N147"/>
  <c r="Q147"/>
  <c r="R148"/>
  <c r="Q148" s="1"/>
  <c r="S148"/>
  <c r="D149"/>
  <c r="E149"/>
  <c r="E148" s="1"/>
  <c r="G149"/>
  <c r="H149"/>
  <c r="H148" s="1"/>
  <c r="J149"/>
  <c r="K149"/>
  <c r="N149" s="1"/>
  <c r="Q149"/>
  <c r="C150"/>
  <c r="F150"/>
  <c r="I150"/>
  <c r="L150" s="1"/>
  <c r="M150"/>
  <c r="N150"/>
  <c r="Q150"/>
  <c r="T151"/>
  <c r="T152"/>
  <c r="R153"/>
  <c r="Q153" s="1"/>
  <c r="S153"/>
  <c r="D154"/>
  <c r="E154"/>
  <c r="G154"/>
  <c r="H154"/>
  <c r="J154"/>
  <c r="K154"/>
  <c r="N154" s="1"/>
  <c r="R156"/>
  <c r="Q156" s="1"/>
  <c r="S156"/>
  <c r="C4" i="55"/>
  <c r="D16"/>
  <c r="E16"/>
  <c r="G16"/>
  <c r="H16"/>
  <c r="J16"/>
  <c r="K16"/>
  <c r="C17"/>
  <c r="F17"/>
  <c r="I17"/>
  <c r="L17" s="1"/>
  <c r="M17"/>
  <c r="N17"/>
  <c r="C18"/>
  <c r="F18"/>
  <c r="I18"/>
  <c r="L18" s="1"/>
  <c r="M18"/>
  <c r="N18"/>
  <c r="D19"/>
  <c r="E19"/>
  <c r="G19"/>
  <c r="H19"/>
  <c r="J19"/>
  <c r="M19" s="1"/>
  <c r="K19"/>
  <c r="N19" s="1"/>
  <c r="C20"/>
  <c r="F20"/>
  <c r="I20"/>
  <c r="L20" s="1"/>
  <c r="M20"/>
  <c r="N20"/>
  <c r="D21"/>
  <c r="E21"/>
  <c r="G21"/>
  <c r="H21"/>
  <c r="J21"/>
  <c r="M21" s="1"/>
  <c r="K21"/>
  <c r="N21"/>
  <c r="C22"/>
  <c r="F22"/>
  <c r="I22"/>
  <c r="L22" s="1"/>
  <c r="M22"/>
  <c r="N22"/>
  <c r="D23"/>
  <c r="E23"/>
  <c r="G23"/>
  <c r="F23" s="1"/>
  <c r="H23"/>
  <c r="J23"/>
  <c r="M23" s="1"/>
  <c r="K23"/>
  <c r="N23" s="1"/>
  <c r="C24"/>
  <c r="F24"/>
  <c r="I24"/>
  <c r="L24" s="1"/>
  <c r="M24"/>
  <c r="N24"/>
  <c r="D25"/>
  <c r="E25"/>
  <c r="G25"/>
  <c r="H25"/>
  <c r="J25"/>
  <c r="K25"/>
  <c r="N25" s="1"/>
  <c r="C26"/>
  <c r="F26"/>
  <c r="I26"/>
  <c r="L26" s="1"/>
  <c r="M26"/>
  <c r="N26"/>
  <c r="D27"/>
  <c r="E27"/>
  <c r="G27"/>
  <c r="H27"/>
  <c r="J27"/>
  <c r="M27" s="1"/>
  <c r="K27"/>
  <c r="N27" s="1"/>
  <c r="C28"/>
  <c r="Q28" s="1"/>
  <c r="F28"/>
  <c r="I28"/>
  <c r="L28" s="1"/>
  <c r="M28"/>
  <c r="N28"/>
  <c r="D29"/>
  <c r="E29"/>
  <c r="G29"/>
  <c r="H29"/>
  <c r="J29"/>
  <c r="K29"/>
  <c r="N29" s="1"/>
  <c r="C30"/>
  <c r="F30"/>
  <c r="I30"/>
  <c r="L30" s="1"/>
  <c r="M30"/>
  <c r="N30"/>
  <c r="D31"/>
  <c r="E31"/>
  <c r="G31"/>
  <c r="H31"/>
  <c r="J31"/>
  <c r="M31" s="1"/>
  <c r="K31"/>
  <c r="N31" s="1"/>
  <c r="C32"/>
  <c r="F32"/>
  <c r="I32"/>
  <c r="L32" s="1"/>
  <c r="M32"/>
  <c r="N32"/>
  <c r="D33"/>
  <c r="E33"/>
  <c r="G33"/>
  <c r="H33"/>
  <c r="J33"/>
  <c r="K33"/>
  <c r="N33" s="1"/>
  <c r="C34"/>
  <c r="F34"/>
  <c r="I34"/>
  <c r="L34" s="1"/>
  <c r="M34"/>
  <c r="N34"/>
  <c r="D35"/>
  <c r="E35"/>
  <c r="G35"/>
  <c r="H35"/>
  <c r="J35"/>
  <c r="K35"/>
  <c r="N35" s="1"/>
  <c r="C36"/>
  <c r="F36"/>
  <c r="I36"/>
  <c r="L36" s="1"/>
  <c r="M36"/>
  <c r="N36"/>
  <c r="D37"/>
  <c r="E37"/>
  <c r="G37"/>
  <c r="H37"/>
  <c r="J37"/>
  <c r="K37"/>
  <c r="N37" s="1"/>
  <c r="C38"/>
  <c r="F38"/>
  <c r="I38"/>
  <c r="L38" s="1"/>
  <c r="M38"/>
  <c r="N38"/>
  <c r="D39"/>
  <c r="E39"/>
  <c r="G39"/>
  <c r="H39"/>
  <c r="J39"/>
  <c r="M39" s="1"/>
  <c r="K39"/>
  <c r="N39" s="1"/>
  <c r="C40"/>
  <c r="F40"/>
  <c r="I40"/>
  <c r="L40" s="1"/>
  <c r="M40"/>
  <c r="N40"/>
  <c r="C41"/>
  <c r="F41"/>
  <c r="I41"/>
  <c r="L41" s="1"/>
  <c r="M41"/>
  <c r="N41"/>
  <c r="C42"/>
  <c r="F42"/>
  <c r="I42"/>
  <c r="L42" s="1"/>
  <c r="M42"/>
  <c r="N42"/>
  <c r="C43"/>
  <c r="F43"/>
  <c r="I43"/>
  <c r="L43" s="1"/>
  <c r="M43"/>
  <c r="N43"/>
  <c r="C44"/>
  <c r="F44"/>
  <c r="I44"/>
  <c r="L44" s="1"/>
  <c r="M44"/>
  <c r="N44"/>
  <c r="D45"/>
  <c r="E45"/>
  <c r="G45"/>
  <c r="H45"/>
  <c r="J45"/>
  <c r="M45" s="1"/>
  <c r="K45"/>
  <c r="C46"/>
  <c r="F46"/>
  <c r="I46"/>
  <c r="L46" s="1"/>
  <c r="M46"/>
  <c r="N46"/>
  <c r="C47"/>
  <c r="F47"/>
  <c r="I47"/>
  <c r="L47" s="1"/>
  <c r="M47"/>
  <c r="N47"/>
  <c r="C48"/>
  <c r="F48"/>
  <c r="I48"/>
  <c r="L48" s="1"/>
  <c r="M48"/>
  <c r="N48"/>
  <c r="D52"/>
  <c r="D51" s="1"/>
  <c r="E52"/>
  <c r="E51" s="1"/>
  <c r="G52"/>
  <c r="G51" s="1"/>
  <c r="H52"/>
  <c r="J52"/>
  <c r="J155"/>
  <c r="K52"/>
  <c r="C53"/>
  <c r="F53"/>
  <c r="I53"/>
  <c r="L53" s="1"/>
  <c r="M53"/>
  <c r="N53"/>
  <c r="D54"/>
  <c r="E54"/>
  <c r="G54"/>
  <c r="H54"/>
  <c r="J54"/>
  <c r="K54"/>
  <c r="N54" s="1"/>
  <c r="C55"/>
  <c r="F55"/>
  <c r="I55"/>
  <c r="L55" s="1"/>
  <c r="M55"/>
  <c r="N55"/>
  <c r="D58"/>
  <c r="E58"/>
  <c r="E57" s="1"/>
  <c r="G58"/>
  <c r="G57" s="1"/>
  <c r="H58"/>
  <c r="H57" s="1"/>
  <c r="J58"/>
  <c r="K58"/>
  <c r="K57" s="1"/>
  <c r="C59"/>
  <c r="F59"/>
  <c r="I59"/>
  <c r="L59" s="1"/>
  <c r="M59"/>
  <c r="N59"/>
  <c r="C60"/>
  <c r="F60"/>
  <c r="I60"/>
  <c r="L60" s="1"/>
  <c r="M60"/>
  <c r="N60"/>
  <c r="C61"/>
  <c r="F61"/>
  <c r="I61"/>
  <c r="L61" s="1"/>
  <c r="M61"/>
  <c r="N61"/>
  <c r="C62"/>
  <c r="F62"/>
  <c r="I62"/>
  <c r="L62" s="1"/>
  <c r="M62"/>
  <c r="N62"/>
  <c r="C63"/>
  <c r="F63"/>
  <c r="Q63" s="1"/>
  <c r="I63"/>
  <c r="L63" s="1"/>
  <c r="M63"/>
  <c r="N63"/>
  <c r="C64"/>
  <c r="F64"/>
  <c r="I64"/>
  <c r="L64" s="1"/>
  <c r="M64"/>
  <c r="N64"/>
  <c r="C65"/>
  <c r="F65"/>
  <c r="I65"/>
  <c r="L65" s="1"/>
  <c r="M65"/>
  <c r="N65"/>
  <c r="C66"/>
  <c r="F66"/>
  <c r="I66"/>
  <c r="L66" s="1"/>
  <c r="M66"/>
  <c r="N66"/>
  <c r="C67"/>
  <c r="F67"/>
  <c r="I67"/>
  <c r="L67" s="1"/>
  <c r="M67"/>
  <c r="N67"/>
  <c r="C68"/>
  <c r="F68"/>
  <c r="I68"/>
  <c r="L68" s="1"/>
  <c r="M68"/>
  <c r="N68"/>
  <c r="C69"/>
  <c r="F69"/>
  <c r="I69"/>
  <c r="L69" s="1"/>
  <c r="M69"/>
  <c r="N69"/>
  <c r="C70"/>
  <c r="F70"/>
  <c r="I70"/>
  <c r="L70" s="1"/>
  <c r="M70"/>
  <c r="N70"/>
  <c r="C71"/>
  <c r="F71"/>
  <c r="I71"/>
  <c r="L71" s="1"/>
  <c r="M71"/>
  <c r="N71"/>
  <c r="C72"/>
  <c r="F72"/>
  <c r="I72"/>
  <c r="L72" s="1"/>
  <c r="M72"/>
  <c r="N72"/>
  <c r="C73"/>
  <c r="F73"/>
  <c r="I73"/>
  <c r="L73" s="1"/>
  <c r="M73"/>
  <c r="N73"/>
  <c r="C74"/>
  <c r="F74"/>
  <c r="I74"/>
  <c r="L74" s="1"/>
  <c r="M74"/>
  <c r="N74"/>
  <c r="C75"/>
  <c r="F75"/>
  <c r="I75"/>
  <c r="L75" s="1"/>
  <c r="M75"/>
  <c r="N75"/>
  <c r="C76"/>
  <c r="F76"/>
  <c r="I76"/>
  <c r="L76" s="1"/>
  <c r="M76"/>
  <c r="N76"/>
  <c r="C77"/>
  <c r="F77"/>
  <c r="I77"/>
  <c r="L77" s="1"/>
  <c r="M77"/>
  <c r="N77"/>
  <c r="C78"/>
  <c r="F78"/>
  <c r="I78"/>
  <c r="L78" s="1"/>
  <c r="M78"/>
  <c r="N78"/>
  <c r="D81"/>
  <c r="E81"/>
  <c r="G81"/>
  <c r="H81"/>
  <c r="J81"/>
  <c r="K81"/>
  <c r="N81" s="1"/>
  <c r="C82"/>
  <c r="F82"/>
  <c r="I82"/>
  <c r="L82" s="1"/>
  <c r="M82"/>
  <c r="N82"/>
  <c r="C83"/>
  <c r="F83"/>
  <c r="I83"/>
  <c r="L83" s="1"/>
  <c r="M83"/>
  <c r="N83"/>
  <c r="C84"/>
  <c r="F84"/>
  <c r="I84"/>
  <c r="L84" s="1"/>
  <c r="M84"/>
  <c r="N84"/>
  <c r="C85"/>
  <c r="F85"/>
  <c r="I85"/>
  <c r="L85" s="1"/>
  <c r="M85"/>
  <c r="N85"/>
  <c r="D86"/>
  <c r="E86"/>
  <c r="E80" s="1"/>
  <c r="G86"/>
  <c r="H86"/>
  <c r="J86"/>
  <c r="K86"/>
  <c r="C87"/>
  <c r="F87"/>
  <c r="I87"/>
  <c r="L87" s="1"/>
  <c r="M87"/>
  <c r="N87"/>
  <c r="D88"/>
  <c r="E88"/>
  <c r="G88"/>
  <c r="H88"/>
  <c r="J88"/>
  <c r="K88"/>
  <c r="C89"/>
  <c r="F89"/>
  <c r="I89"/>
  <c r="L89" s="1"/>
  <c r="M89"/>
  <c r="N89"/>
  <c r="C90"/>
  <c r="F90"/>
  <c r="I90"/>
  <c r="L90" s="1"/>
  <c r="M90"/>
  <c r="N90"/>
  <c r="C91"/>
  <c r="F91"/>
  <c r="Q91" s="1"/>
  <c r="I91"/>
  <c r="L91" s="1"/>
  <c r="M91"/>
  <c r="N91"/>
  <c r="C92"/>
  <c r="F92"/>
  <c r="I92"/>
  <c r="L92" s="1"/>
  <c r="M92"/>
  <c r="N92"/>
  <c r="C93"/>
  <c r="F93"/>
  <c r="I93"/>
  <c r="L93" s="1"/>
  <c r="M93"/>
  <c r="N93"/>
  <c r="C94"/>
  <c r="F94"/>
  <c r="I94"/>
  <c r="L94" s="1"/>
  <c r="M94"/>
  <c r="N94"/>
  <c r="C95"/>
  <c r="F95"/>
  <c r="I95"/>
  <c r="L95" s="1"/>
  <c r="M95"/>
  <c r="N95"/>
  <c r="C96"/>
  <c r="Q96" s="1"/>
  <c r="F96"/>
  <c r="I96"/>
  <c r="L96" s="1"/>
  <c r="M96"/>
  <c r="N96"/>
  <c r="C97"/>
  <c r="F97"/>
  <c r="I97"/>
  <c r="L97" s="1"/>
  <c r="M97"/>
  <c r="N97"/>
  <c r="C98"/>
  <c r="F98"/>
  <c r="I98"/>
  <c r="L98" s="1"/>
  <c r="M98"/>
  <c r="N98"/>
  <c r="C99"/>
  <c r="F99"/>
  <c r="I99"/>
  <c r="L99" s="1"/>
  <c r="M99"/>
  <c r="N99"/>
  <c r="C100"/>
  <c r="F100"/>
  <c r="I100"/>
  <c r="L100" s="1"/>
  <c r="M100"/>
  <c r="N100"/>
  <c r="C101"/>
  <c r="F101"/>
  <c r="I101"/>
  <c r="L101" s="1"/>
  <c r="M101"/>
  <c r="N101"/>
  <c r="C102"/>
  <c r="F102"/>
  <c r="I102"/>
  <c r="L102" s="1"/>
  <c r="M102"/>
  <c r="N102"/>
  <c r="C103"/>
  <c r="F103"/>
  <c r="I103"/>
  <c r="L103" s="1"/>
  <c r="M103"/>
  <c r="N103"/>
  <c r="C104"/>
  <c r="F104"/>
  <c r="I104"/>
  <c r="L104" s="1"/>
  <c r="M104"/>
  <c r="N104"/>
  <c r="C105"/>
  <c r="F105"/>
  <c r="I105"/>
  <c r="L105" s="1"/>
  <c r="M105"/>
  <c r="N105"/>
  <c r="C106"/>
  <c r="F106"/>
  <c r="I106"/>
  <c r="L106"/>
  <c r="M106"/>
  <c r="N106"/>
  <c r="C107"/>
  <c r="F107"/>
  <c r="I107"/>
  <c r="L107" s="1"/>
  <c r="M107"/>
  <c r="N107"/>
  <c r="C108"/>
  <c r="F108"/>
  <c r="I108"/>
  <c r="L108" s="1"/>
  <c r="M108"/>
  <c r="N108"/>
  <c r="C109"/>
  <c r="F109"/>
  <c r="I109"/>
  <c r="L109" s="1"/>
  <c r="M109"/>
  <c r="N109"/>
  <c r="C110"/>
  <c r="F110"/>
  <c r="I110"/>
  <c r="L110" s="1"/>
  <c r="M110"/>
  <c r="N110"/>
  <c r="D111"/>
  <c r="E111"/>
  <c r="G111"/>
  <c r="H111"/>
  <c r="J111"/>
  <c r="M111" s="1"/>
  <c r="K111"/>
  <c r="N111" s="1"/>
  <c r="C112"/>
  <c r="F112"/>
  <c r="I112"/>
  <c r="L112" s="1"/>
  <c r="M112"/>
  <c r="N112"/>
  <c r="D113"/>
  <c r="E113"/>
  <c r="G113"/>
  <c r="H113"/>
  <c r="J113"/>
  <c r="K113"/>
  <c r="N113" s="1"/>
  <c r="C114"/>
  <c r="F114"/>
  <c r="I114"/>
  <c r="L114" s="1"/>
  <c r="M114"/>
  <c r="N114"/>
  <c r="C115"/>
  <c r="F115"/>
  <c r="I115"/>
  <c r="L115" s="1"/>
  <c r="M115"/>
  <c r="N115"/>
  <c r="C116"/>
  <c r="F116"/>
  <c r="I116"/>
  <c r="L116" s="1"/>
  <c r="M116"/>
  <c r="N116"/>
  <c r="D120"/>
  <c r="E120"/>
  <c r="E119" s="1"/>
  <c r="E118" s="1"/>
  <c r="G120"/>
  <c r="G119" s="1"/>
  <c r="H120"/>
  <c r="H119" s="1"/>
  <c r="H118" s="1"/>
  <c r="J120"/>
  <c r="K120"/>
  <c r="C121"/>
  <c r="F121"/>
  <c r="I121"/>
  <c r="L121" s="1"/>
  <c r="M121"/>
  <c r="N121"/>
  <c r="D123"/>
  <c r="E123"/>
  <c r="G123"/>
  <c r="H123"/>
  <c r="J123"/>
  <c r="K123"/>
  <c r="N123" s="1"/>
  <c r="C124"/>
  <c r="F124"/>
  <c r="I124"/>
  <c r="L124" s="1"/>
  <c r="M124"/>
  <c r="N124"/>
  <c r="C125"/>
  <c r="F125"/>
  <c r="I125"/>
  <c r="L125" s="1"/>
  <c r="M125"/>
  <c r="N125"/>
  <c r="D127"/>
  <c r="E127"/>
  <c r="G127"/>
  <c r="H127"/>
  <c r="J127"/>
  <c r="K127"/>
  <c r="C128"/>
  <c r="F128"/>
  <c r="I128"/>
  <c r="L128" s="1"/>
  <c r="M128"/>
  <c r="N128"/>
  <c r="C129"/>
  <c r="F129"/>
  <c r="I129"/>
  <c r="L129" s="1"/>
  <c r="M129"/>
  <c r="N129"/>
  <c r="C130"/>
  <c r="F130"/>
  <c r="I130"/>
  <c r="L130" s="1"/>
  <c r="M130"/>
  <c r="N130"/>
  <c r="C131"/>
  <c r="F131"/>
  <c r="I131"/>
  <c r="L131" s="1"/>
  <c r="M131"/>
  <c r="N131"/>
  <c r="C132"/>
  <c r="F132"/>
  <c r="I132"/>
  <c r="L132" s="1"/>
  <c r="M132"/>
  <c r="N132"/>
  <c r="C133"/>
  <c r="F133"/>
  <c r="I133"/>
  <c r="L133" s="1"/>
  <c r="M133"/>
  <c r="N133"/>
  <c r="C134"/>
  <c r="F134"/>
  <c r="I134"/>
  <c r="L134" s="1"/>
  <c r="M134"/>
  <c r="N134"/>
  <c r="D135"/>
  <c r="E135"/>
  <c r="G135"/>
  <c r="H135"/>
  <c r="J135"/>
  <c r="K135"/>
  <c r="N135" s="1"/>
  <c r="C136"/>
  <c r="F136"/>
  <c r="I136"/>
  <c r="L136" s="1"/>
  <c r="M136"/>
  <c r="N136"/>
  <c r="D137"/>
  <c r="E137"/>
  <c r="G137"/>
  <c r="H137"/>
  <c r="J137"/>
  <c r="K137"/>
  <c r="N137" s="1"/>
  <c r="C138"/>
  <c r="F138"/>
  <c r="I138"/>
  <c r="L138" s="1"/>
  <c r="M138"/>
  <c r="N138"/>
  <c r="D139"/>
  <c r="E139"/>
  <c r="G139"/>
  <c r="H139"/>
  <c r="J139"/>
  <c r="K139"/>
  <c r="N139" s="1"/>
  <c r="C140"/>
  <c r="F140"/>
  <c r="I140"/>
  <c r="L140" s="1"/>
  <c r="M140"/>
  <c r="N140"/>
  <c r="D144"/>
  <c r="E144"/>
  <c r="G144"/>
  <c r="H144"/>
  <c r="J144"/>
  <c r="K144"/>
  <c r="C145"/>
  <c r="F145"/>
  <c r="I145"/>
  <c r="L145" s="1"/>
  <c r="M145"/>
  <c r="N145"/>
  <c r="D146"/>
  <c r="E146"/>
  <c r="G146"/>
  <c r="H146"/>
  <c r="J146"/>
  <c r="K146"/>
  <c r="C147"/>
  <c r="F147"/>
  <c r="I147"/>
  <c r="L147" s="1"/>
  <c r="M147"/>
  <c r="N147"/>
  <c r="D149"/>
  <c r="E149"/>
  <c r="E148" s="1"/>
  <c r="G149"/>
  <c r="H149"/>
  <c r="H148" s="1"/>
  <c r="J149"/>
  <c r="J148" s="1"/>
  <c r="M148" s="1"/>
  <c r="K149"/>
  <c r="C150"/>
  <c r="F150"/>
  <c r="I150"/>
  <c r="L150" s="1"/>
  <c r="M150"/>
  <c r="N150"/>
  <c r="Q151"/>
  <c r="Q152"/>
  <c r="D154"/>
  <c r="E154"/>
  <c r="G154"/>
  <c r="H154"/>
  <c r="F154" s="1"/>
  <c r="J154"/>
  <c r="M154" s="1"/>
  <c r="K154"/>
  <c r="N154" s="1"/>
  <c r="E13" i="53"/>
  <c r="G13"/>
  <c r="D4" i="52"/>
  <c r="S12"/>
  <c r="R12" s="1"/>
  <c r="T12"/>
  <c r="S15"/>
  <c r="T15"/>
  <c r="T14" s="1"/>
  <c r="T13" s="1"/>
  <c r="E16"/>
  <c r="F16"/>
  <c r="H16"/>
  <c r="I16"/>
  <c r="K16"/>
  <c r="L16"/>
  <c r="D17"/>
  <c r="G17"/>
  <c r="J17"/>
  <c r="M17" s="1"/>
  <c r="N17"/>
  <c r="O17"/>
  <c r="D18"/>
  <c r="G18"/>
  <c r="J18"/>
  <c r="N18"/>
  <c r="O18"/>
  <c r="E19"/>
  <c r="F19"/>
  <c r="H19"/>
  <c r="I19"/>
  <c r="K19"/>
  <c r="L19"/>
  <c r="S19"/>
  <c r="R19" s="1"/>
  <c r="T19"/>
  <c r="D20"/>
  <c r="G20"/>
  <c r="J20"/>
  <c r="M20" s="1"/>
  <c r="N20"/>
  <c r="O20"/>
  <c r="D21"/>
  <c r="G21"/>
  <c r="J21"/>
  <c r="M21" s="1"/>
  <c r="N21"/>
  <c r="O21"/>
  <c r="R21"/>
  <c r="D22"/>
  <c r="G22"/>
  <c r="J22"/>
  <c r="M22" s="1"/>
  <c r="N22"/>
  <c r="O22"/>
  <c r="R22"/>
  <c r="E23"/>
  <c r="F23"/>
  <c r="H23"/>
  <c r="I23"/>
  <c r="K23"/>
  <c r="L23"/>
  <c r="S23"/>
  <c r="T23"/>
  <c r="D24"/>
  <c r="G24"/>
  <c r="J24"/>
  <c r="M24" s="1"/>
  <c r="N24"/>
  <c r="O24"/>
  <c r="D25"/>
  <c r="G25"/>
  <c r="J25"/>
  <c r="N25"/>
  <c r="O25"/>
  <c r="R25"/>
  <c r="E26"/>
  <c r="F26"/>
  <c r="H26"/>
  <c r="I26"/>
  <c r="K26"/>
  <c r="L26"/>
  <c r="S26"/>
  <c r="T26"/>
  <c r="D27"/>
  <c r="G27"/>
  <c r="J27"/>
  <c r="M27" s="1"/>
  <c r="N27"/>
  <c r="O27"/>
  <c r="D28"/>
  <c r="G28"/>
  <c r="J28"/>
  <c r="M28" s="1"/>
  <c r="N28"/>
  <c r="O28"/>
  <c r="R28"/>
  <c r="E29"/>
  <c r="F29"/>
  <c r="H29"/>
  <c r="I29"/>
  <c r="K29"/>
  <c r="L29"/>
  <c r="O29" s="1"/>
  <c r="S29"/>
  <c r="S53" s="1"/>
  <c r="T29"/>
  <c r="T53" s="1"/>
  <c r="D30"/>
  <c r="G30"/>
  <c r="J30"/>
  <c r="M30" s="1"/>
  <c r="N30"/>
  <c r="O30"/>
  <c r="R30"/>
  <c r="E31"/>
  <c r="F31"/>
  <c r="D31" s="1"/>
  <c r="H31"/>
  <c r="I31"/>
  <c r="K31"/>
  <c r="N31" s="1"/>
  <c r="L31"/>
  <c r="O31" s="1"/>
  <c r="S31"/>
  <c r="T31"/>
  <c r="D32"/>
  <c r="G32"/>
  <c r="J32"/>
  <c r="M32" s="1"/>
  <c r="N32"/>
  <c r="O32"/>
  <c r="D33"/>
  <c r="G33"/>
  <c r="J33"/>
  <c r="M33" s="1"/>
  <c r="N33"/>
  <c r="O33"/>
  <c r="R33"/>
  <c r="E34"/>
  <c r="F34"/>
  <c r="H34"/>
  <c r="I34"/>
  <c r="K34"/>
  <c r="L34"/>
  <c r="P34"/>
  <c r="Q34"/>
  <c r="S34"/>
  <c r="T34"/>
  <c r="D35"/>
  <c r="G35"/>
  <c r="J35"/>
  <c r="N35"/>
  <c r="O35"/>
  <c r="D36"/>
  <c r="G36"/>
  <c r="J36"/>
  <c r="M36" s="1"/>
  <c r="N36"/>
  <c r="O36"/>
  <c r="D37"/>
  <c r="G37"/>
  <c r="J37"/>
  <c r="M37" s="1"/>
  <c r="N37"/>
  <c r="O37"/>
  <c r="D38"/>
  <c r="G38"/>
  <c r="J38"/>
  <c r="M38" s="1"/>
  <c r="N38"/>
  <c r="O38"/>
  <c r="R38"/>
  <c r="R34" s="1"/>
  <c r="E39"/>
  <c r="F39"/>
  <c r="H39"/>
  <c r="I39"/>
  <c r="K39"/>
  <c r="L39"/>
  <c r="S39"/>
  <c r="R39" s="1"/>
  <c r="T39"/>
  <c r="D40"/>
  <c r="G40"/>
  <c r="J40"/>
  <c r="M40" s="1"/>
  <c r="N40"/>
  <c r="O40"/>
  <c r="R40"/>
  <c r="E41"/>
  <c r="D41" s="1"/>
  <c r="F41"/>
  <c r="H41"/>
  <c r="I41"/>
  <c r="K41"/>
  <c r="L41"/>
  <c r="D42"/>
  <c r="G42"/>
  <c r="J42"/>
  <c r="M42" s="1"/>
  <c r="N42"/>
  <c r="O42"/>
  <c r="D43"/>
  <c r="G43"/>
  <c r="J43"/>
  <c r="M43" s="1"/>
  <c r="N43"/>
  <c r="O43"/>
  <c r="D44"/>
  <c r="G44"/>
  <c r="J44"/>
  <c r="M44" s="1"/>
  <c r="N44"/>
  <c r="O44"/>
  <c r="E45"/>
  <c r="D45" s="1"/>
  <c r="F45"/>
  <c r="H45"/>
  <c r="I45"/>
  <c r="K45"/>
  <c r="L45"/>
  <c r="S45"/>
  <c r="T45"/>
  <c r="D46"/>
  <c r="G46"/>
  <c r="J46"/>
  <c r="N46"/>
  <c r="O46"/>
  <c r="D47"/>
  <c r="G47"/>
  <c r="J47"/>
  <c r="M47" s="1"/>
  <c r="D48"/>
  <c r="G48"/>
  <c r="J48"/>
  <c r="M48" s="1"/>
  <c r="N48"/>
  <c r="O48"/>
  <c r="R48"/>
  <c r="E49"/>
  <c r="F49"/>
  <c r="H49"/>
  <c r="I49"/>
  <c r="K49"/>
  <c r="L49"/>
  <c r="O49" s="1"/>
  <c r="S49"/>
  <c r="T49"/>
  <c r="D50"/>
  <c r="G50"/>
  <c r="J50"/>
  <c r="M50" s="1"/>
  <c r="N50"/>
  <c r="O50"/>
  <c r="R50"/>
  <c r="E51"/>
  <c r="F51"/>
  <c r="H51"/>
  <c r="I51"/>
  <c r="K51"/>
  <c r="L51"/>
  <c r="O51" s="1"/>
  <c r="S51"/>
  <c r="T51"/>
  <c r="D52"/>
  <c r="G52"/>
  <c r="J52"/>
  <c r="M52" s="1"/>
  <c r="N52"/>
  <c r="O52"/>
  <c r="R52"/>
  <c r="E53"/>
  <c r="F53"/>
  <c r="H53"/>
  <c r="I53"/>
  <c r="K53"/>
  <c r="L53"/>
  <c r="D54"/>
  <c r="G54"/>
  <c r="G53" s="1"/>
  <c r="J54"/>
  <c r="N54"/>
  <c r="N53" s="1"/>
  <c r="O54"/>
  <c r="O53" s="1"/>
  <c r="R54"/>
  <c r="E55"/>
  <c r="F55"/>
  <c r="H55"/>
  <c r="I55"/>
  <c r="K55"/>
  <c r="L55"/>
  <c r="D56"/>
  <c r="G56"/>
  <c r="J56"/>
  <c r="M56" s="1"/>
  <c r="N56"/>
  <c r="N55" s="1"/>
  <c r="O56"/>
  <c r="O55" s="1"/>
  <c r="D57"/>
  <c r="G57"/>
  <c r="J57"/>
  <c r="D58"/>
  <c r="G58"/>
  <c r="J58"/>
  <c r="M58" s="1"/>
  <c r="D59"/>
  <c r="G59"/>
  <c r="J59"/>
  <c r="M59" s="1"/>
  <c r="E60"/>
  <c r="F60"/>
  <c r="H60"/>
  <c r="I60"/>
  <c r="K60"/>
  <c r="L60"/>
  <c r="O60" s="1"/>
  <c r="S60"/>
  <c r="T60"/>
  <c r="D61"/>
  <c r="G61"/>
  <c r="J61"/>
  <c r="M61" s="1"/>
  <c r="N61"/>
  <c r="O61"/>
  <c r="R61"/>
  <c r="D62"/>
  <c r="G62"/>
  <c r="J62"/>
  <c r="M62" s="1"/>
  <c r="N62"/>
  <c r="O62"/>
  <c r="D63"/>
  <c r="G63"/>
  <c r="J63"/>
  <c r="M63" s="1"/>
  <c r="N63"/>
  <c r="O63"/>
  <c r="D64"/>
  <c r="G64"/>
  <c r="J64"/>
  <c r="M64" s="1"/>
  <c r="N64"/>
  <c r="O64"/>
  <c r="D65"/>
  <c r="G65"/>
  <c r="J65"/>
  <c r="M65" s="1"/>
  <c r="N65"/>
  <c r="O65"/>
  <c r="R65"/>
  <c r="D66"/>
  <c r="G66"/>
  <c r="J66"/>
  <c r="M66" s="1"/>
  <c r="N66"/>
  <c r="O66"/>
  <c r="R66"/>
  <c r="D67"/>
  <c r="G67"/>
  <c r="J67"/>
  <c r="M67" s="1"/>
  <c r="N67"/>
  <c r="O67"/>
  <c r="D68"/>
  <c r="G68"/>
  <c r="J68"/>
  <c r="M68" s="1"/>
  <c r="N68"/>
  <c r="O68"/>
  <c r="R68"/>
  <c r="D69"/>
  <c r="G69"/>
  <c r="J69"/>
  <c r="M69" s="1"/>
  <c r="N69"/>
  <c r="O69"/>
  <c r="R69"/>
  <c r="E70"/>
  <c r="F70"/>
  <c r="H70"/>
  <c r="I70"/>
  <c r="K70"/>
  <c r="N70"/>
  <c r="L70"/>
  <c r="S70"/>
  <c r="R70" s="1"/>
  <c r="T70"/>
  <c r="D71"/>
  <c r="G71"/>
  <c r="J71"/>
  <c r="M71" s="1"/>
  <c r="N71"/>
  <c r="O71"/>
  <c r="R71"/>
  <c r="D72"/>
  <c r="G72"/>
  <c r="J72"/>
  <c r="M72"/>
  <c r="N72"/>
  <c r="O72"/>
  <c r="R72"/>
  <c r="D73"/>
  <c r="G73"/>
  <c r="J73"/>
  <c r="M73" s="1"/>
  <c r="N73"/>
  <c r="O73"/>
  <c r="R73"/>
  <c r="S74"/>
  <c r="R74" s="1"/>
  <c r="T74"/>
  <c r="P76"/>
  <c r="P75" s="1"/>
  <c r="Q76"/>
  <c r="Q75" s="1"/>
  <c r="E77"/>
  <c r="E76" s="1"/>
  <c r="F77"/>
  <c r="F76" s="1"/>
  <c r="H77"/>
  <c r="H76" s="1"/>
  <c r="I77"/>
  <c r="K77"/>
  <c r="L77"/>
  <c r="D78"/>
  <c r="G78"/>
  <c r="J78"/>
  <c r="M78" s="1"/>
  <c r="N78"/>
  <c r="O78"/>
  <c r="R78"/>
  <c r="E79"/>
  <c r="F79"/>
  <c r="H79"/>
  <c r="I79"/>
  <c r="K79"/>
  <c r="L79"/>
  <c r="D80"/>
  <c r="G80"/>
  <c r="J80"/>
  <c r="N80"/>
  <c r="N79" s="1"/>
  <c r="O80"/>
  <c r="O79" s="1"/>
  <c r="R80"/>
  <c r="E82"/>
  <c r="F82"/>
  <c r="H82"/>
  <c r="I82"/>
  <c r="K82"/>
  <c r="L82"/>
  <c r="M82"/>
  <c r="N82"/>
  <c r="O82"/>
  <c r="P82"/>
  <c r="Q82"/>
  <c r="R82"/>
  <c r="S82"/>
  <c r="T82"/>
  <c r="U82"/>
  <c r="D83"/>
  <c r="G83"/>
  <c r="G82" s="1"/>
  <c r="J83"/>
  <c r="J82" s="1"/>
  <c r="E84"/>
  <c r="F84"/>
  <c r="H84"/>
  <c r="I84"/>
  <c r="K84"/>
  <c r="L84"/>
  <c r="P84"/>
  <c r="Q84"/>
  <c r="R84"/>
  <c r="S84"/>
  <c r="T84"/>
  <c r="U84"/>
  <c r="D85"/>
  <c r="G85"/>
  <c r="G84" s="1"/>
  <c r="J85"/>
  <c r="N85"/>
  <c r="N84" s="1"/>
  <c r="O85"/>
  <c r="O84" s="1"/>
  <c r="E86"/>
  <c r="F86"/>
  <c r="H86"/>
  <c r="I86"/>
  <c r="K86"/>
  <c r="L86"/>
  <c r="D87"/>
  <c r="G87"/>
  <c r="J87"/>
  <c r="N87"/>
  <c r="N86" s="1"/>
  <c r="O87"/>
  <c r="O86" s="1"/>
  <c r="S88"/>
  <c r="R88" s="1"/>
  <c r="T88"/>
  <c r="S89"/>
  <c r="R89" s="1"/>
  <c r="T89"/>
  <c r="E90"/>
  <c r="E89" s="1"/>
  <c r="F90"/>
  <c r="F89" s="1"/>
  <c r="H90"/>
  <c r="I90"/>
  <c r="I89" s="1"/>
  <c r="K90"/>
  <c r="L90"/>
  <c r="D91"/>
  <c r="G91"/>
  <c r="J91"/>
  <c r="M91" s="1"/>
  <c r="N91"/>
  <c r="O91"/>
  <c r="R91"/>
  <c r="D92"/>
  <c r="G92"/>
  <c r="J92"/>
  <c r="M92" s="1"/>
  <c r="N92"/>
  <c r="O92"/>
  <c r="R92"/>
  <c r="D93"/>
  <c r="G93"/>
  <c r="J93"/>
  <c r="M93" s="1"/>
  <c r="N93"/>
  <c r="O93"/>
  <c r="R93"/>
  <c r="D94"/>
  <c r="G94"/>
  <c r="J94"/>
  <c r="M94" s="1"/>
  <c r="N94"/>
  <c r="O94"/>
  <c r="R94"/>
  <c r="D95"/>
  <c r="G95"/>
  <c r="J95"/>
  <c r="M95" s="1"/>
  <c r="N95"/>
  <c r="O95"/>
  <c r="R95"/>
  <c r="D96"/>
  <c r="G96"/>
  <c r="J96"/>
  <c r="M96"/>
  <c r="N96"/>
  <c r="O96"/>
  <c r="R96"/>
  <c r="D97"/>
  <c r="G97"/>
  <c r="J97"/>
  <c r="M97" s="1"/>
  <c r="N97"/>
  <c r="O97"/>
  <c r="R97"/>
  <c r="D98"/>
  <c r="G98"/>
  <c r="J98"/>
  <c r="M98" s="1"/>
  <c r="N98"/>
  <c r="O98"/>
  <c r="R98"/>
  <c r="D99"/>
  <c r="G99"/>
  <c r="J99"/>
  <c r="M99" s="1"/>
  <c r="N99"/>
  <c r="O99"/>
  <c r="R99"/>
  <c r="D100"/>
  <c r="U100" s="1"/>
  <c r="G100"/>
  <c r="J100"/>
  <c r="M100" s="1"/>
  <c r="N100"/>
  <c r="O100"/>
  <c r="R100"/>
  <c r="D101"/>
  <c r="G101"/>
  <c r="J101"/>
  <c r="M101" s="1"/>
  <c r="N101"/>
  <c r="O101"/>
  <c r="R101"/>
  <c r="D102"/>
  <c r="G102"/>
  <c r="J102"/>
  <c r="M102" s="1"/>
  <c r="D103"/>
  <c r="G103"/>
  <c r="J103"/>
  <c r="M103" s="1"/>
  <c r="N103"/>
  <c r="O103"/>
  <c r="R103"/>
  <c r="D104"/>
  <c r="G104"/>
  <c r="J104"/>
  <c r="M104" s="1"/>
  <c r="N104"/>
  <c r="O104"/>
  <c r="R104"/>
  <c r="D105"/>
  <c r="G105"/>
  <c r="J105"/>
  <c r="M105" s="1"/>
  <c r="N105"/>
  <c r="O105"/>
  <c r="R105"/>
  <c r="D106"/>
  <c r="G106"/>
  <c r="J106"/>
  <c r="M106" s="1"/>
  <c r="D107"/>
  <c r="G107"/>
  <c r="J107"/>
  <c r="M107" s="1"/>
  <c r="D108"/>
  <c r="G108"/>
  <c r="J108"/>
  <c r="M108" s="1"/>
  <c r="D109"/>
  <c r="G109"/>
  <c r="J109"/>
  <c r="M109" s="1"/>
  <c r="N109"/>
  <c r="O109"/>
  <c r="R109"/>
  <c r="D110"/>
  <c r="G110"/>
  <c r="J110"/>
  <c r="M110" s="1"/>
  <c r="N110"/>
  <c r="O110"/>
  <c r="R110"/>
  <c r="D111"/>
  <c r="G111"/>
  <c r="J111"/>
  <c r="M111" s="1"/>
  <c r="N111"/>
  <c r="O111"/>
  <c r="R111"/>
  <c r="D112"/>
  <c r="G112"/>
  <c r="J112"/>
  <c r="M112" s="1"/>
  <c r="N112"/>
  <c r="O112"/>
  <c r="R112"/>
  <c r="D113"/>
  <c r="G113"/>
  <c r="J113"/>
  <c r="M113" s="1"/>
  <c r="N113"/>
  <c r="O113"/>
  <c r="R113"/>
  <c r="D114"/>
  <c r="G114"/>
  <c r="J114"/>
  <c r="M114" s="1"/>
  <c r="N114"/>
  <c r="O114"/>
  <c r="S114"/>
  <c r="T114"/>
  <c r="S115"/>
  <c r="R115" s="1"/>
  <c r="T115"/>
  <c r="E117"/>
  <c r="F117"/>
  <c r="H117"/>
  <c r="K117"/>
  <c r="L117"/>
  <c r="D118"/>
  <c r="G118"/>
  <c r="J118"/>
  <c r="M118" s="1"/>
  <c r="N118"/>
  <c r="O118"/>
  <c r="S118"/>
  <c r="T118"/>
  <c r="D119"/>
  <c r="G119"/>
  <c r="J119"/>
  <c r="M119" s="1"/>
  <c r="N119"/>
  <c r="O119"/>
  <c r="S119"/>
  <c r="T119"/>
  <c r="D120"/>
  <c r="G120"/>
  <c r="J120"/>
  <c r="M120" s="1"/>
  <c r="D121"/>
  <c r="I121"/>
  <c r="J121"/>
  <c r="M121" s="1"/>
  <c r="D122"/>
  <c r="G122"/>
  <c r="J122"/>
  <c r="M122" s="1"/>
  <c r="D123"/>
  <c r="G123"/>
  <c r="J123"/>
  <c r="M123" s="1"/>
  <c r="N123"/>
  <c r="O123"/>
  <c r="S123"/>
  <c r="T123"/>
  <c r="D124"/>
  <c r="G124"/>
  <c r="J124"/>
  <c r="M124" s="1"/>
  <c r="N124"/>
  <c r="O124"/>
  <c r="S124"/>
  <c r="T124"/>
  <c r="E125"/>
  <c r="F125"/>
  <c r="H125"/>
  <c r="I125"/>
  <c r="K125"/>
  <c r="N125" s="1"/>
  <c r="L125"/>
  <c r="D126"/>
  <c r="G126"/>
  <c r="J126"/>
  <c r="M126" s="1"/>
  <c r="N126"/>
  <c r="O126"/>
  <c r="S126"/>
  <c r="T126"/>
  <c r="E127"/>
  <c r="H127"/>
  <c r="K127"/>
  <c r="L127"/>
  <c r="D128"/>
  <c r="G128"/>
  <c r="J128"/>
  <c r="M128" s="1"/>
  <c r="D129"/>
  <c r="G129"/>
  <c r="J129"/>
  <c r="M129" s="1"/>
  <c r="D130"/>
  <c r="G130"/>
  <c r="J130"/>
  <c r="M130" s="1"/>
  <c r="D131"/>
  <c r="G131"/>
  <c r="J131"/>
  <c r="M131" s="1"/>
  <c r="D132"/>
  <c r="G132"/>
  <c r="J132"/>
  <c r="M132" s="1"/>
  <c r="D133"/>
  <c r="G133"/>
  <c r="J133"/>
  <c r="M133" s="1"/>
  <c r="D134"/>
  <c r="G134"/>
  <c r="J134"/>
  <c r="M134" s="1"/>
  <c r="D135"/>
  <c r="G135"/>
  <c r="J135"/>
  <c r="M135" s="1"/>
  <c r="D136"/>
  <c r="G136"/>
  <c r="J136"/>
  <c r="M136" s="1"/>
  <c r="D137"/>
  <c r="G137"/>
  <c r="J137"/>
  <c r="M137" s="1"/>
  <c r="D138"/>
  <c r="G138"/>
  <c r="J138"/>
  <c r="M138" s="1"/>
  <c r="D139"/>
  <c r="G139"/>
  <c r="J139"/>
  <c r="M139" s="1"/>
  <c r="N139"/>
  <c r="O139"/>
  <c r="R139"/>
  <c r="D140"/>
  <c r="G140"/>
  <c r="J140"/>
  <c r="M140" s="1"/>
  <c r="N140"/>
  <c r="O140"/>
  <c r="R140"/>
  <c r="F141"/>
  <c r="D141" s="1"/>
  <c r="I141"/>
  <c r="J141"/>
  <c r="M141" s="1"/>
  <c r="N141"/>
  <c r="O141"/>
  <c r="R141"/>
  <c r="D142"/>
  <c r="G142"/>
  <c r="J142"/>
  <c r="M142" s="1"/>
  <c r="N142"/>
  <c r="O142"/>
  <c r="R142"/>
  <c r="D143"/>
  <c r="G143"/>
  <c r="U143"/>
  <c r="J143"/>
  <c r="M143" s="1"/>
  <c r="N143"/>
  <c r="O143"/>
  <c r="R143"/>
  <c r="D144"/>
  <c r="G144"/>
  <c r="J144"/>
  <c r="M144" s="1"/>
  <c r="N144"/>
  <c r="O144"/>
  <c r="R144"/>
  <c r="D145"/>
  <c r="G145"/>
  <c r="J145"/>
  <c r="M145" s="1"/>
  <c r="N145"/>
  <c r="O145"/>
  <c r="R145"/>
  <c r="D146"/>
  <c r="G146"/>
  <c r="J146"/>
  <c r="M146" s="1"/>
  <c r="N146"/>
  <c r="O146"/>
  <c r="R146"/>
  <c r="D147"/>
  <c r="G147"/>
  <c r="J147"/>
  <c r="M147" s="1"/>
  <c r="N147"/>
  <c r="O147"/>
  <c r="S147"/>
  <c r="T147"/>
  <c r="T127" s="1"/>
  <c r="D148"/>
  <c r="G148"/>
  <c r="J148"/>
  <c r="M148" s="1"/>
  <c r="N148"/>
  <c r="O148"/>
  <c r="D149"/>
  <c r="G149"/>
  <c r="J149"/>
  <c r="M149" s="1"/>
  <c r="N149"/>
  <c r="O149"/>
  <c r="D150"/>
  <c r="G150"/>
  <c r="J150"/>
  <c r="M150" s="1"/>
  <c r="N150"/>
  <c r="O150"/>
  <c r="D151"/>
  <c r="G151"/>
  <c r="J151"/>
  <c r="M151" s="1"/>
  <c r="N151"/>
  <c r="O151"/>
  <c r="R151"/>
  <c r="D152"/>
  <c r="G152"/>
  <c r="J152"/>
  <c r="M152" s="1"/>
  <c r="N152"/>
  <c r="O152"/>
  <c r="R152"/>
  <c r="D153"/>
  <c r="G153"/>
  <c r="J153"/>
  <c r="M153" s="1"/>
  <c r="N153"/>
  <c r="O153"/>
  <c r="R153"/>
  <c r="D154"/>
  <c r="G154"/>
  <c r="J154"/>
  <c r="M154" s="1"/>
  <c r="N154"/>
  <c r="O154"/>
  <c r="R154"/>
  <c r="D155"/>
  <c r="G155"/>
  <c r="J155"/>
  <c r="M155" s="1"/>
  <c r="N155"/>
  <c r="O155"/>
  <c r="R155"/>
  <c r="F156"/>
  <c r="D156" s="1"/>
  <c r="I156"/>
  <c r="G156" s="1"/>
  <c r="J156"/>
  <c r="M156" s="1"/>
  <c r="N156"/>
  <c r="O156"/>
  <c r="R156"/>
  <c r="F157"/>
  <c r="D157" s="1"/>
  <c r="G157"/>
  <c r="J157"/>
  <c r="M157" s="1"/>
  <c r="N157"/>
  <c r="O157"/>
  <c r="R157"/>
  <c r="D158"/>
  <c r="G158"/>
  <c r="J158"/>
  <c r="M158" s="1"/>
  <c r="N158"/>
  <c r="O158"/>
  <c r="S158"/>
  <c r="R158" s="1"/>
  <c r="T158"/>
  <c r="F159"/>
  <c r="D159" s="1"/>
  <c r="G159"/>
  <c r="J159"/>
  <c r="M159" s="1"/>
  <c r="N159"/>
  <c r="O159"/>
  <c r="R159"/>
  <c r="D160"/>
  <c r="G160"/>
  <c r="J160"/>
  <c r="M160" s="1"/>
  <c r="D161"/>
  <c r="G161"/>
  <c r="J161"/>
  <c r="M161" s="1"/>
  <c r="D162"/>
  <c r="G162"/>
  <c r="J162"/>
  <c r="M162" s="1"/>
  <c r="N162"/>
  <c r="O162"/>
  <c r="R162"/>
  <c r="D164"/>
  <c r="G164"/>
  <c r="J164"/>
  <c r="M164" s="1"/>
  <c r="N164"/>
  <c r="O164"/>
  <c r="D165"/>
  <c r="G165"/>
  <c r="J165"/>
  <c r="M165" s="1"/>
  <c r="N165"/>
  <c r="O165"/>
  <c r="R165"/>
  <c r="D166"/>
  <c r="G166"/>
  <c r="J166"/>
  <c r="M166" s="1"/>
  <c r="N166"/>
  <c r="O166"/>
  <c r="S166"/>
  <c r="T166"/>
  <c r="E167"/>
  <c r="F167"/>
  <c r="H167"/>
  <c r="I167"/>
  <c r="K167"/>
  <c r="L167"/>
  <c r="O167" s="1"/>
  <c r="D168"/>
  <c r="G168"/>
  <c r="J168"/>
  <c r="M168" s="1"/>
  <c r="N168"/>
  <c r="O168"/>
  <c r="R168"/>
  <c r="E169"/>
  <c r="F169"/>
  <c r="H169"/>
  <c r="I169"/>
  <c r="K169"/>
  <c r="L169"/>
  <c r="D170"/>
  <c r="G170"/>
  <c r="J170"/>
  <c r="M170" s="1"/>
  <c r="N170"/>
  <c r="O170"/>
  <c r="R170"/>
  <c r="D171"/>
  <c r="G171"/>
  <c r="J171"/>
  <c r="M171" s="1"/>
  <c r="N171"/>
  <c r="O171"/>
  <c r="R171"/>
  <c r="D172"/>
  <c r="G172"/>
  <c r="J172"/>
  <c r="M172" s="1"/>
  <c r="N172"/>
  <c r="O172"/>
  <c r="R172"/>
  <c r="S173"/>
  <c r="T173"/>
  <c r="T167" s="1"/>
  <c r="E176"/>
  <c r="F176"/>
  <c r="H176"/>
  <c r="I176"/>
  <c r="K176"/>
  <c r="L176"/>
  <c r="N176"/>
  <c r="O176"/>
  <c r="P176"/>
  <c r="P175" s="1"/>
  <c r="Q176"/>
  <c r="Q175" s="1"/>
  <c r="R176"/>
  <c r="S176"/>
  <c r="S175" s="1"/>
  <c r="S174" s="1"/>
  <c r="T176"/>
  <c r="T175" s="1"/>
  <c r="T174" s="1"/>
  <c r="U176"/>
  <c r="U175" s="1"/>
  <c r="D177"/>
  <c r="G177"/>
  <c r="J177"/>
  <c r="M177"/>
  <c r="D178"/>
  <c r="G178"/>
  <c r="J178"/>
  <c r="M178"/>
  <c r="D179"/>
  <c r="G179"/>
  <c r="J179"/>
  <c r="M179"/>
  <c r="D180"/>
  <c r="G180"/>
  <c r="J180"/>
  <c r="M180"/>
  <c r="D181"/>
  <c r="G181"/>
  <c r="J181"/>
  <c r="M181"/>
  <c r="D182"/>
  <c r="G182"/>
  <c r="J182"/>
  <c r="M182"/>
  <c r="D183"/>
  <c r="G183"/>
  <c r="J183"/>
  <c r="M183" s="1"/>
  <c r="D184"/>
  <c r="G184"/>
  <c r="J184"/>
  <c r="M184"/>
  <c r="D185"/>
  <c r="G185"/>
  <c r="J185"/>
  <c r="M185"/>
  <c r="D186"/>
  <c r="G186"/>
  <c r="J186"/>
  <c r="M186"/>
  <c r="E187"/>
  <c r="F187"/>
  <c r="H187"/>
  <c r="I187"/>
  <c r="K187"/>
  <c r="L187"/>
  <c r="O187" s="1"/>
  <c r="G188"/>
  <c r="J188"/>
  <c r="M188" s="1"/>
  <c r="N188"/>
  <c r="O188"/>
  <c r="E189"/>
  <c r="F189"/>
  <c r="H189"/>
  <c r="I189"/>
  <c r="K189"/>
  <c r="N189" s="1"/>
  <c r="L189"/>
  <c r="R189"/>
  <c r="D190"/>
  <c r="G190"/>
  <c r="J190"/>
  <c r="M190" s="1"/>
  <c r="N190"/>
  <c r="O190"/>
  <c r="R190"/>
  <c r="P191"/>
  <c r="Q191"/>
  <c r="E192"/>
  <c r="F192"/>
  <c r="K192"/>
  <c r="L192"/>
  <c r="O192" s="1"/>
  <c r="S192"/>
  <c r="R192" s="1"/>
  <c r="T192"/>
  <c r="D193"/>
  <c r="H193"/>
  <c r="I193"/>
  <c r="J193"/>
  <c r="M193" s="1"/>
  <c r="N193"/>
  <c r="O193"/>
  <c r="R193"/>
  <c r="D194"/>
  <c r="H194"/>
  <c r="I194"/>
  <c r="J194"/>
  <c r="M194"/>
  <c r="N194"/>
  <c r="O194"/>
  <c r="R194"/>
  <c r="S195"/>
  <c r="T195"/>
  <c r="T191" s="1"/>
  <c r="E196"/>
  <c r="F196"/>
  <c r="K196"/>
  <c r="L196"/>
  <c r="S196"/>
  <c r="T196"/>
  <c r="D197"/>
  <c r="H197"/>
  <c r="I197"/>
  <c r="G197" s="1"/>
  <c r="J197"/>
  <c r="M197" s="1"/>
  <c r="N197"/>
  <c r="O197"/>
  <c r="R197"/>
  <c r="D198"/>
  <c r="H198"/>
  <c r="I198"/>
  <c r="J198"/>
  <c r="M198" s="1"/>
  <c r="N198"/>
  <c r="O198"/>
  <c r="R198"/>
  <c r="D199"/>
  <c r="H199"/>
  <c r="I199"/>
  <c r="J199"/>
  <c r="M199" s="1"/>
  <c r="N199"/>
  <c r="O199"/>
  <c r="R199"/>
  <c r="D200"/>
  <c r="H200"/>
  <c r="I200"/>
  <c r="J200"/>
  <c r="M200" s="1"/>
  <c r="N200"/>
  <c r="O200"/>
  <c r="R200"/>
  <c r="D201"/>
  <c r="H201"/>
  <c r="I201"/>
  <c r="J201"/>
  <c r="M201" s="1"/>
  <c r="N201"/>
  <c r="O201"/>
  <c r="R201"/>
  <c r="D202"/>
  <c r="H202"/>
  <c r="I202"/>
  <c r="J202"/>
  <c r="M202" s="1"/>
  <c r="N202"/>
  <c r="O202"/>
  <c r="R202"/>
  <c r="D203"/>
  <c r="H203"/>
  <c r="I203"/>
  <c r="J203"/>
  <c r="M203" s="1"/>
  <c r="N203"/>
  <c r="O203"/>
  <c r="R203"/>
  <c r="E204"/>
  <c r="F204"/>
  <c r="K204"/>
  <c r="L204"/>
  <c r="S204"/>
  <c r="T204"/>
  <c r="D205"/>
  <c r="H205"/>
  <c r="H204" s="1"/>
  <c r="I205"/>
  <c r="I204" s="1"/>
  <c r="J205"/>
  <c r="N205"/>
  <c r="N204" s="1"/>
  <c r="O205"/>
  <c r="O204" s="1"/>
  <c r="R205"/>
  <c r="E206"/>
  <c r="F206"/>
  <c r="K206"/>
  <c r="L206"/>
  <c r="S206"/>
  <c r="R206" s="1"/>
  <c r="D207"/>
  <c r="H207"/>
  <c r="G207" s="1"/>
  <c r="J207"/>
  <c r="M207" s="1"/>
  <c r="N207"/>
  <c r="O207"/>
  <c r="D208"/>
  <c r="G208"/>
  <c r="J208"/>
  <c r="M208" s="1"/>
  <c r="N208"/>
  <c r="O208"/>
  <c r="D209"/>
  <c r="H209"/>
  <c r="I209"/>
  <c r="I206" s="1"/>
  <c r="J209"/>
  <c r="M209" s="1"/>
  <c r="N209"/>
  <c r="O209"/>
  <c r="R209"/>
  <c r="E210"/>
  <c r="F210"/>
  <c r="K210"/>
  <c r="N210" s="1"/>
  <c r="L210"/>
  <c r="D211"/>
  <c r="H211"/>
  <c r="I211"/>
  <c r="J211"/>
  <c r="M211" s="1"/>
  <c r="N211"/>
  <c r="O211"/>
  <c r="R211"/>
  <c r="S212"/>
  <c r="T212"/>
  <c r="T210" s="1"/>
  <c r="S214"/>
  <c r="T214"/>
  <c r="T213" s="1"/>
  <c r="E215"/>
  <c r="F215"/>
  <c r="H215"/>
  <c r="I215"/>
  <c r="K215"/>
  <c r="N215"/>
  <c r="L215"/>
  <c r="O215" s="1"/>
  <c r="D216"/>
  <c r="G216"/>
  <c r="J216"/>
  <c r="M216" s="1"/>
  <c r="N216"/>
  <c r="O216"/>
  <c r="E217"/>
  <c r="F217"/>
  <c r="H217"/>
  <c r="I217"/>
  <c r="K217"/>
  <c r="N217" s="1"/>
  <c r="L217"/>
  <c r="O217" s="1"/>
  <c r="D218"/>
  <c r="G218"/>
  <c r="J218"/>
  <c r="M218" s="1"/>
  <c r="N218"/>
  <c r="O218"/>
  <c r="E219"/>
  <c r="F219"/>
  <c r="H219"/>
  <c r="I219"/>
  <c r="K219"/>
  <c r="N219" s="1"/>
  <c r="L219"/>
  <c r="O219" s="1"/>
  <c r="R219"/>
  <c r="D220"/>
  <c r="G220"/>
  <c r="J220"/>
  <c r="M220" s="1"/>
  <c r="N220"/>
  <c r="O220"/>
  <c r="R220"/>
  <c r="E221"/>
  <c r="F221"/>
  <c r="H221"/>
  <c r="I221"/>
  <c r="K221"/>
  <c r="L221"/>
  <c r="O221" s="1"/>
  <c r="D222"/>
  <c r="G222"/>
  <c r="J222"/>
  <c r="M222" s="1"/>
  <c r="N222"/>
  <c r="O222"/>
  <c r="E223"/>
  <c r="F223"/>
  <c r="H223"/>
  <c r="I223"/>
  <c r="K223"/>
  <c r="L223"/>
  <c r="O223" s="1"/>
  <c r="D224"/>
  <c r="G224"/>
  <c r="J224"/>
  <c r="M224" s="1"/>
  <c r="N224"/>
  <c r="O224"/>
  <c r="E225"/>
  <c r="F225"/>
  <c r="H225"/>
  <c r="I225"/>
  <c r="K225"/>
  <c r="N225" s="1"/>
  <c r="L225"/>
  <c r="O225" s="1"/>
  <c r="R225"/>
  <c r="D226"/>
  <c r="G226"/>
  <c r="J226"/>
  <c r="M226" s="1"/>
  <c r="N226"/>
  <c r="O226"/>
  <c r="R226"/>
  <c r="S227"/>
  <c r="R227" s="1"/>
  <c r="T227"/>
  <c r="E228"/>
  <c r="F228"/>
  <c r="H228"/>
  <c r="I228"/>
  <c r="K228"/>
  <c r="N228" s="1"/>
  <c r="L228"/>
  <c r="E230"/>
  <c r="F230"/>
  <c r="H230"/>
  <c r="I230"/>
  <c r="K230"/>
  <c r="L230"/>
  <c r="O230" s="1"/>
  <c r="R230"/>
  <c r="D231"/>
  <c r="G231"/>
  <c r="J231"/>
  <c r="M231" s="1"/>
  <c r="N231"/>
  <c r="O231"/>
  <c r="R231"/>
  <c r="U232"/>
  <c r="U233"/>
  <c r="S234"/>
  <c r="R234" s="1"/>
  <c r="T234"/>
  <c r="E235"/>
  <c r="F235"/>
  <c r="H235"/>
  <c r="I235"/>
  <c r="K235"/>
  <c r="L235"/>
  <c r="H236"/>
  <c r="S236"/>
  <c r="R236" s="1"/>
  <c r="T236"/>
  <c r="S238"/>
  <c r="R238"/>
  <c r="T238"/>
  <c r="C4" i="51"/>
  <c r="C16"/>
  <c r="G16"/>
  <c r="H16"/>
  <c r="I16"/>
  <c r="L16" s="1"/>
  <c r="M16"/>
  <c r="N16"/>
  <c r="C17"/>
  <c r="G17"/>
  <c r="M17" s="1"/>
  <c r="H17"/>
  <c r="I17"/>
  <c r="N17"/>
  <c r="C18"/>
  <c r="C246" s="1"/>
  <c r="G18"/>
  <c r="F18" s="1"/>
  <c r="F246" s="1"/>
  <c r="R18"/>
  <c r="J18"/>
  <c r="J246" s="1"/>
  <c r="K18"/>
  <c r="S18"/>
  <c r="AC18"/>
  <c r="C19"/>
  <c r="F19"/>
  <c r="I19"/>
  <c r="M19"/>
  <c r="N19"/>
  <c r="R19"/>
  <c r="S19"/>
  <c r="AB19"/>
  <c r="AC19"/>
  <c r="C20"/>
  <c r="F20"/>
  <c r="I20"/>
  <c r="L20" s="1"/>
  <c r="M20"/>
  <c r="N20"/>
  <c r="AB20"/>
  <c r="AC20"/>
  <c r="C21"/>
  <c r="F21"/>
  <c r="I21"/>
  <c r="M21"/>
  <c r="N21"/>
  <c r="R21"/>
  <c r="S21"/>
  <c r="AB21"/>
  <c r="AC21"/>
  <c r="C22"/>
  <c r="F22"/>
  <c r="I22"/>
  <c r="L22" s="1"/>
  <c r="M22"/>
  <c r="N22"/>
  <c r="R22"/>
  <c r="S22"/>
  <c r="AB22"/>
  <c r="AC22"/>
  <c r="C23"/>
  <c r="Q23" s="1"/>
  <c r="F23"/>
  <c r="I23"/>
  <c r="L23" s="1"/>
  <c r="M23"/>
  <c r="N23"/>
  <c r="R23"/>
  <c r="S23"/>
  <c r="AB23"/>
  <c r="AC23"/>
  <c r="D24"/>
  <c r="E24"/>
  <c r="G24"/>
  <c r="J24"/>
  <c r="K24"/>
  <c r="N24" s="1"/>
  <c r="C25"/>
  <c r="H25"/>
  <c r="I25"/>
  <c r="L25" s="1"/>
  <c r="M25"/>
  <c r="N25"/>
  <c r="R25"/>
  <c r="AB25"/>
  <c r="C26"/>
  <c r="F26"/>
  <c r="I26"/>
  <c r="L26" s="1"/>
  <c r="M26"/>
  <c r="N26"/>
  <c r="R26"/>
  <c r="S26"/>
  <c r="AB26"/>
  <c r="AC26"/>
  <c r="D27"/>
  <c r="E27"/>
  <c r="G27"/>
  <c r="J27"/>
  <c r="K27"/>
  <c r="C28"/>
  <c r="H28"/>
  <c r="I28"/>
  <c r="L28" s="1"/>
  <c r="M28"/>
  <c r="N28"/>
  <c r="R28"/>
  <c r="AB28"/>
  <c r="C29"/>
  <c r="F29"/>
  <c r="I29"/>
  <c r="L29" s="1"/>
  <c r="M29"/>
  <c r="N29"/>
  <c r="R29"/>
  <c r="S29"/>
  <c r="AB29"/>
  <c r="AC29"/>
  <c r="D30"/>
  <c r="E30"/>
  <c r="G30"/>
  <c r="H30"/>
  <c r="J30"/>
  <c r="K30"/>
  <c r="N30" s="1"/>
  <c r="C31"/>
  <c r="F31"/>
  <c r="I31"/>
  <c r="L31" s="1"/>
  <c r="M31"/>
  <c r="N31"/>
  <c r="R31"/>
  <c r="S31"/>
  <c r="AB31"/>
  <c r="AC31"/>
  <c r="C32"/>
  <c r="F32"/>
  <c r="I32"/>
  <c r="M32"/>
  <c r="N32"/>
  <c r="R32"/>
  <c r="S32"/>
  <c r="AB32"/>
  <c r="AC32"/>
  <c r="C33"/>
  <c r="F33"/>
  <c r="I33"/>
  <c r="M33"/>
  <c r="N33"/>
  <c r="R33"/>
  <c r="S33"/>
  <c r="AB33"/>
  <c r="AC33"/>
  <c r="C34"/>
  <c r="F34"/>
  <c r="I34"/>
  <c r="L34" s="1"/>
  <c r="M34"/>
  <c r="N34"/>
  <c r="AB34"/>
  <c r="AC34"/>
  <c r="C35"/>
  <c r="F35"/>
  <c r="K35"/>
  <c r="M35"/>
  <c r="R35"/>
  <c r="S35"/>
  <c r="AB35"/>
  <c r="AC35"/>
  <c r="C36"/>
  <c r="F36"/>
  <c r="R36"/>
  <c r="S36"/>
  <c r="AB36"/>
  <c r="AC36"/>
  <c r="C37"/>
  <c r="F37"/>
  <c r="I37"/>
  <c r="L37" s="1"/>
  <c r="M37"/>
  <c r="N37"/>
  <c r="R37"/>
  <c r="S37"/>
  <c r="AB37"/>
  <c r="AC37"/>
  <c r="C38"/>
  <c r="F38"/>
  <c r="I38"/>
  <c r="L38" s="1"/>
  <c r="M38"/>
  <c r="N38"/>
  <c r="R38"/>
  <c r="S38"/>
  <c r="AB38"/>
  <c r="AC38"/>
  <c r="C39"/>
  <c r="F39"/>
  <c r="I39"/>
  <c r="L39" s="1"/>
  <c r="M39"/>
  <c r="N39"/>
  <c r="R39"/>
  <c r="S39"/>
  <c r="AB39"/>
  <c r="AC39"/>
  <c r="C40"/>
  <c r="F40"/>
  <c r="I40"/>
  <c r="M40"/>
  <c r="N40"/>
  <c r="R40"/>
  <c r="S40"/>
  <c r="AB40"/>
  <c r="AC40"/>
  <c r="C41"/>
  <c r="F41"/>
  <c r="I41"/>
  <c r="L41" s="1"/>
  <c r="M41"/>
  <c r="N41"/>
  <c r="AB41"/>
  <c r="AC41"/>
  <c r="C42"/>
  <c r="F42"/>
  <c r="I42"/>
  <c r="M42"/>
  <c r="N42"/>
  <c r="R42"/>
  <c r="S42"/>
  <c r="AB42"/>
  <c r="AC42"/>
  <c r="C43"/>
  <c r="F43"/>
  <c r="M43"/>
  <c r="R43"/>
  <c r="S43"/>
  <c r="AB43"/>
  <c r="AC43"/>
  <c r="C44"/>
  <c r="F44"/>
  <c r="K44"/>
  <c r="M44"/>
  <c r="AB44"/>
  <c r="AC44"/>
  <c r="C45"/>
  <c r="F45"/>
  <c r="I45"/>
  <c r="M45"/>
  <c r="N45"/>
  <c r="R45"/>
  <c r="S45"/>
  <c r="AB45"/>
  <c r="AC45"/>
  <c r="C46"/>
  <c r="F46"/>
  <c r="I46"/>
  <c r="L46" s="1"/>
  <c r="M46"/>
  <c r="N46"/>
  <c r="R46"/>
  <c r="S46"/>
  <c r="AB46"/>
  <c r="AC46"/>
  <c r="C47"/>
  <c r="F47"/>
  <c r="I47"/>
  <c r="L47" s="1"/>
  <c r="M47"/>
  <c r="N47"/>
  <c r="R47"/>
  <c r="S47"/>
  <c r="AB47"/>
  <c r="AC47"/>
  <c r="C48"/>
  <c r="F48"/>
  <c r="I48"/>
  <c r="L48" s="1"/>
  <c r="M48"/>
  <c r="N48"/>
  <c r="R48"/>
  <c r="S48"/>
  <c r="AB48"/>
  <c r="AC48"/>
  <c r="C49"/>
  <c r="F49"/>
  <c r="I49"/>
  <c r="L49" s="1"/>
  <c r="M49"/>
  <c r="N49"/>
  <c r="R49"/>
  <c r="S49"/>
  <c r="AB49"/>
  <c r="AC49"/>
  <c r="C50"/>
  <c r="F50"/>
  <c r="I50"/>
  <c r="L50" s="1"/>
  <c r="M50"/>
  <c r="N50"/>
  <c r="R50"/>
  <c r="S50"/>
  <c r="AB50"/>
  <c r="AC50"/>
  <c r="C51"/>
  <c r="F51"/>
  <c r="I51"/>
  <c r="L51" s="1"/>
  <c r="M51"/>
  <c r="N51"/>
  <c r="R51"/>
  <c r="S51"/>
  <c r="AB51"/>
  <c r="AC51"/>
  <c r="C52"/>
  <c r="G52"/>
  <c r="I52"/>
  <c r="L52" s="1"/>
  <c r="M52"/>
  <c r="N52"/>
  <c r="S52"/>
  <c r="AC52"/>
  <c r="E53"/>
  <c r="H53"/>
  <c r="I53"/>
  <c r="L53" s="1"/>
  <c r="M53"/>
  <c r="N53"/>
  <c r="R53"/>
  <c r="AB53"/>
  <c r="C54"/>
  <c r="F54"/>
  <c r="L54"/>
  <c r="M54"/>
  <c r="N54"/>
  <c r="R54"/>
  <c r="S54"/>
  <c r="AB54"/>
  <c r="AC54"/>
  <c r="D55"/>
  <c r="E55"/>
  <c r="G55"/>
  <c r="H55"/>
  <c r="I55"/>
  <c r="L55" s="1"/>
  <c r="M55"/>
  <c r="N55"/>
  <c r="C56"/>
  <c r="F56"/>
  <c r="I56"/>
  <c r="L56" s="1"/>
  <c r="M56"/>
  <c r="N56"/>
  <c r="R56"/>
  <c r="S56"/>
  <c r="AB56"/>
  <c r="AC56"/>
  <c r="C57"/>
  <c r="F57"/>
  <c r="R57"/>
  <c r="S57"/>
  <c r="AB57"/>
  <c r="AC57"/>
  <c r="C58"/>
  <c r="F58"/>
  <c r="R58"/>
  <c r="S58"/>
  <c r="AB58"/>
  <c r="AC58"/>
  <c r="C59"/>
  <c r="F59"/>
  <c r="I59"/>
  <c r="L59" s="1"/>
  <c r="M59"/>
  <c r="N59"/>
  <c r="R59"/>
  <c r="S59"/>
  <c r="AB59"/>
  <c r="AC59"/>
  <c r="C60"/>
  <c r="F60"/>
  <c r="L60"/>
  <c r="M60"/>
  <c r="N60"/>
  <c r="R60"/>
  <c r="S60"/>
  <c r="AB60"/>
  <c r="AC60"/>
  <c r="D63"/>
  <c r="C63" s="1"/>
  <c r="H63"/>
  <c r="J63"/>
  <c r="K63"/>
  <c r="D64"/>
  <c r="E64"/>
  <c r="J64"/>
  <c r="K64"/>
  <c r="D66"/>
  <c r="G66" s="1"/>
  <c r="E66"/>
  <c r="J66"/>
  <c r="K66"/>
  <c r="D67"/>
  <c r="G67" s="1"/>
  <c r="E67"/>
  <c r="H67" s="1"/>
  <c r="J67"/>
  <c r="K67"/>
  <c r="D68"/>
  <c r="C68" s="1"/>
  <c r="E68"/>
  <c r="J68"/>
  <c r="K68"/>
  <c r="C69"/>
  <c r="G69"/>
  <c r="G68" s="1"/>
  <c r="H69"/>
  <c r="I69"/>
  <c r="D70"/>
  <c r="E70"/>
  <c r="J70"/>
  <c r="K70"/>
  <c r="C71"/>
  <c r="G71"/>
  <c r="H71"/>
  <c r="N71" s="1"/>
  <c r="I71"/>
  <c r="C72"/>
  <c r="F72"/>
  <c r="I72"/>
  <c r="L72" s="1"/>
  <c r="M72"/>
  <c r="N72"/>
  <c r="R72"/>
  <c r="S72"/>
  <c r="AB72"/>
  <c r="AC72"/>
  <c r="C73"/>
  <c r="G73"/>
  <c r="H73"/>
  <c r="I73"/>
  <c r="L73" s="1"/>
  <c r="M73"/>
  <c r="N73"/>
  <c r="D74"/>
  <c r="E74"/>
  <c r="J74"/>
  <c r="K74"/>
  <c r="C75"/>
  <c r="G75"/>
  <c r="AB75" s="1"/>
  <c r="H75"/>
  <c r="I75"/>
  <c r="C76"/>
  <c r="G76"/>
  <c r="H76"/>
  <c r="I76"/>
  <c r="L76" s="1"/>
  <c r="M76"/>
  <c r="N76"/>
  <c r="D77"/>
  <c r="E77"/>
  <c r="F77"/>
  <c r="J77"/>
  <c r="N77"/>
  <c r="C78"/>
  <c r="G78"/>
  <c r="H78"/>
  <c r="N78" s="1"/>
  <c r="I78"/>
  <c r="C81"/>
  <c r="G81"/>
  <c r="H81"/>
  <c r="S81" s="1"/>
  <c r="J81"/>
  <c r="C82"/>
  <c r="F82"/>
  <c r="I82"/>
  <c r="M82"/>
  <c r="N82"/>
  <c r="R82"/>
  <c r="S82"/>
  <c r="AB82"/>
  <c r="AC82"/>
  <c r="C83"/>
  <c r="F83"/>
  <c r="I83"/>
  <c r="M83"/>
  <c r="N83"/>
  <c r="R83"/>
  <c r="S83"/>
  <c r="AB83"/>
  <c r="AC83"/>
  <c r="C84"/>
  <c r="F84"/>
  <c r="I84"/>
  <c r="M84"/>
  <c r="N84"/>
  <c r="R84"/>
  <c r="S84"/>
  <c r="AB84"/>
  <c r="AC84"/>
  <c r="C85"/>
  <c r="H85"/>
  <c r="I85"/>
  <c r="M85"/>
  <c r="N85"/>
  <c r="R85"/>
  <c r="AB85"/>
  <c r="C86"/>
  <c r="F86"/>
  <c r="I86"/>
  <c r="M86"/>
  <c r="N86"/>
  <c r="R86"/>
  <c r="S86"/>
  <c r="AB86"/>
  <c r="AC86"/>
  <c r="C87"/>
  <c r="F87"/>
  <c r="I87"/>
  <c r="M87"/>
  <c r="N87"/>
  <c r="R87"/>
  <c r="S87"/>
  <c r="AB87"/>
  <c r="AC87"/>
  <c r="C88"/>
  <c r="F88"/>
  <c r="I88"/>
  <c r="M88"/>
  <c r="N88"/>
  <c r="R88"/>
  <c r="S88"/>
  <c r="AB88"/>
  <c r="AC88"/>
  <c r="C89"/>
  <c r="F89"/>
  <c r="Q89" s="1"/>
  <c r="I89"/>
  <c r="M89"/>
  <c r="N89"/>
  <c r="R89"/>
  <c r="S89"/>
  <c r="AB89"/>
  <c r="AC89"/>
  <c r="C90"/>
  <c r="H90"/>
  <c r="F90" s="1"/>
  <c r="I90"/>
  <c r="M90"/>
  <c r="N90"/>
  <c r="R90"/>
  <c r="AB90"/>
  <c r="D91"/>
  <c r="E91"/>
  <c r="G91"/>
  <c r="H91"/>
  <c r="I91"/>
  <c r="L91" s="1"/>
  <c r="M91"/>
  <c r="N91"/>
  <c r="D92"/>
  <c r="E92"/>
  <c r="G92"/>
  <c r="H92"/>
  <c r="D93"/>
  <c r="E93"/>
  <c r="G93"/>
  <c r="M93" s="1"/>
  <c r="I93"/>
  <c r="C94"/>
  <c r="F94"/>
  <c r="I94"/>
  <c r="M94"/>
  <c r="N94"/>
  <c r="R94"/>
  <c r="S94"/>
  <c r="AB94"/>
  <c r="AC94"/>
  <c r="C95"/>
  <c r="F95"/>
  <c r="I95"/>
  <c r="L95" s="1"/>
  <c r="M95"/>
  <c r="N95"/>
  <c r="R95"/>
  <c r="S95"/>
  <c r="AB95"/>
  <c r="AC95"/>
  <c r="C96"/>
  <c r="F96"/>
  <c r="I96"/>
  <c r="L96"/>
  <c r="M96"/>
  <c r="N96"/>
  <c r="R96"/>
  <c r="S96"/>
  <c r="AB96"/>
  <c r="AC96"/>
  <c r="C97"/>
  <c r="F97"/>
  <c r="AA97" s="1"/>
  <c r="I97"/>
  <c r="L97" s="1"/>
  <c r="M97"/>
  <c r="N97"/>
  <c r="R97"/>
  <c r="S97"/>
  <c r="AB97"/>
  <c r="AC97"/>
  <c r="C98"/>
  <c r="F98"/>
  <c r="I98"/>
  <c r="L98" s="1"/>
  <c r="M98"/>
  <c r="N98"/>
  <c r="R98"/>
  <c r="S98"/>
  <c r="AB98"/>
  <c r="AC98"/>
  <c r="C99"/>
  <c r="F99"/>
  <c r="I99"/>
  <c r="M99"/>
  <c r="N99"/>
  <c r="R99"/>
  <c r="S99"/>
  <c r="AB99"/>
  <c r="AC99"/>
  <c r="C100"/>
  <c r="H100"/>
  <c r="F100" s="1"/>
  <c r="I100"/>
  <c r="L100" s="1"/>
  <c r="M100"/>
  <c r="N100"/>
  <c r="R100"/>
  <c r="AB100"/>
  <c r="C101"/>
  <c r="F101"/>
  <c r="I101"/>
  <c r="M101"/>
  <c r="N101"/>
  <c r="R101"/>
  <c r="S101"/>
  <c r="AB101"/>
  <c r="AC101"/>
  <c r="C102"/>
  <c r="F102"/>
  <c r="I102"/>
  <c r="M102"/>
  <c r="N102"/>
  <c r="R102"/>
  <c r="S102"/>
  <c r="AB102"/>
  <c r="AC102"/>
  <c r="C103"/>
  <c r="F103"/>
  <c r="I103"/>
  <c r="L103" s="1"/>
  <c r="M103"/>
  <c r="N103"/>
  <c r="R103"/>
  <c r="S103"/>
  <c r="AB103"/>
  <c r="AC103"/>
  <c r="C104"/>
  <c r="F104"/>
  <c r="I104"/>
  <c r="M104"/>
  <c r="N104"/>
  <c r="R104"/>
  <c r="S104"/>
  <c r="AB104"/>
  <c r="AC104"/>
  <c r="C105"/>
  <c r="F105"/>
  <c r="I105"/>
  <c r="L105"/>
  <c r="M105"/>
  <c r="N105"/>
  <c r="R105"/>
  <c r="S105"/>
  <c r="AB105"/>
  <c r="AC105"/>
  <c r="C106"/>
  <c r="F106"/>
  <c r="I106"/>
  <c r="L106" s="1"/>
  <c r="M106"/>
  <c r="N106"/>
  <c r="R106"/>
  <c r="S106"/>
  <c r="AB106"/>
  <c r="AC106"/>
  <c r="C107"/>
  <c r="F107"/>
  <c r="I107"/>
  <c r="L107" s="1"/>
  <c r="M107"/>
  <c r="N107"/>
  <c r="R107"/>
  <c r="S107"/>
  <c r="AB107"/>
  <c r="AC107"/>
  <c r="C108"/>
  <c r="F108"/>
  <c r="I108"/>
  <c r="L108" s="1"/>
  <c r="M108"/>
  <c r="N108"/>
  <c r="R108"/>
  <c r="S108"/>
  <c r="AB108"/>
  <c r="AC108"/>
  <c r="C109"/>
  <c r="F109"/>
  <c r="I109"/>
  <c r="L109" s="1"/>
  <c r="M109"/>
  <c r="N109"/>
  <c r="R109"/>
  <c r="S109"/>
  <c r="AB109"/>
  <c r="AC109"/>
  <c r="C110"/>
  <c r="F110"/>
  <c r="L110" s="1"/>
  <c r="I110"/>
  <c r="M110"/>
  <c r="N110"/>
  <c r="R110"/>
  <c r="S110"/>
  <c r="AB110"/>
  <c r="AC110"/>
  <c r="C111"/>
  <c r="F111"/>
  <c r="I111"/>
  <c r="L111" s="1"/>
  <c r="M111"/>
  <c r="N111"/>
  <c r="R111"/>
  <c r="S111"/>
  <c r="AB111"/>
  <c r="AC111"/>
  <c r="C112"/>
  <c r="F112"/>
  <c r="I112"/>
  <c r="L112" s="1"/>
  <c r="M112"/>
  <c r="N112"/>
  <c r="R112"/>
  <c r="S112"/>
  <c r="AB112"/>
  <c r="AC112"/>
  <c r="C113"/>
  <c r="F113"/>
  <c r="I113"/>
  <c r="L113" s="1"/>
  <c r="M113"/>
  <c r="N113"/>
  <c r="R113"/>
  <c r="S113"/>
  <c r="AB113"/>
  <c r="AC113"/>
  <c r="C114"/>
  <c r="F114"/>
  <c r="I114"/>
  <c r="M114"/>
  <c r="N114"/>
  <c r="AB114"/>
  <c r="AC114"/>
  <c r="C115"/>
  <c r="H115"/>
  <c r="I115"/>
  <c r="L115" s="1"/>
  <c r="M115"/>
  <c r="N115"/>
  <c r="R115"/>
  <c r="AB115"/>
  <c r="C116"/>
  <c r="H116"/>
  <c r="I116"/>
  <c r="L116"/>
  <c r="M116"/>
  <c r="N116"/>
  <c r="R116"/>
  <c r="AB116"/>
  <c r="C117"/>
  <c r="H117"/>
  <c r="I117"/>
  <c r="L117" s="1"/>
  <c r="M117"/>
  <c r="N117"/>
  <c r="R117"/>
  <c r="AB117"/>
  <c r="C118"/>
  <c r="H118"/>
  <c r="I118"/>
  <c r="L118" s="1"/>
  <c r="M118"/>
  <c r="N118"/>
  <c r="R118"/>
  <c r="AB118"/>
  <c r="C119"/>
  <c r="H119"/>
  <c r="I119"/>
  <c r="L119" s="1"/>
  <c r="M119"/>
  <c r="N119"/>
  <c r="R119"/>
  <c r="AB119"/>
  <c r="C120"/>
  <c r="H120"/>
  <c r="I120"/>
  <c r="L120" s="1"/>
  <c r="M120"/>
  <c r="N120"/>
  <c r="R120"/>
  <c r="AB120"/>
  <c r="C121"/>
  <c r="H121"/>
  <c r="I121"/>
  <c r="L121" s="1"/>
  <c r="M121"/>
  <c r="N121"/>
  <c r="R121"/>
  <c r="AB121"/>
  <c r="C122"/>
  <c r="H122"/>
  <c r="S122" s="1"/>
  <c r="I122"/>
  <c r="L122" s="1"/>
  <c r="M122"/>
  <c r="N122"/>
  <c r="R122"/>
  <c r="AB122"/>
  <c r="C123"/>
  <c r="H123"/>
  <c r="I123"/>
  <c r="L123" s="1"/>
  <c r="M123"/>
  <c r="N123"/>
  <c r="R123"/>
  <c r="AB123"/>
  <c r="C124"/>
  <c r="H124"/>
  <c r="S124" s="1"/>
  <c r="I124"/>
  <c r="L124" s="1"/>
  <c r="M124"/>
  <c r="N124"/>
  <c r="R124"/>
  <c r="AB124"/>
  <c r="C125"/>
  <c r="H125"/>
  <c r="I125"/>
  <c r="L125" s="1"/>
  <c r="M125"/>
  <c r="N125"/>
  <c r="R125"/>
  <c r="AB125"/>
  <c r="C126"/>
  <c r="H126"/>
  <c r="S126" s="1"/>
  <c r="I126"/>
  <c r="L126" s="1"/>
  <c r="M126"/>
  <c r="N126"/>
  <c r="R126"/>
  <c r="AB126"/>
  <c r="AC126"/>
  <c r="C127"/>
  <c r="H127"/>
  <c r="I127"/>
  <c r="L127" s="1"/>
  <c r="M127"/>
  <c r="N127"/>
  <c r="R127"/>
  <c r="AB127"/>
  <c r="C128"/>
  <c r="H128"/>
  <c r="S128" s="1"/>
  <c r="I128"/>
  <c r="L128" s="1"/>
  <c r="M128"/>
  <c r="N128"/>
  <c r="R128"/>
  <c r="AB128"/>
  <c r="C129"/>
  <c r="H129"/>
  <c r="I129"/>
  <c r="M129"/>
  <c r="AB129"/>
  <c r="E130"/>
  <c r="C130" s="1"/>
  <c r="G130"/>
  <c r="R130" s="1"/>
  <c r="I130"/>
  <c r="M130"/>
  <c r="AD130"/>
  <c r="C131"/>
  <c r="G131"/>
  <c r="H131"/>
  <c r="S131" s="1"/>
  <c r="I131"/>
  <c r="L131" s="1"/>
  <c r="M131"/>
  <c r="N131"/>
  <c r="AD131"/>
  <c r="C132"/>
  <c r="G132"/>
  <c r="H132"/>
  <c r="N132" s="1"/>
  <c r="I132"/>
  <c r="M132"/>
  <c r="C133"/>
  <c r="G133"/>
  <c r="AB133" s="1"/>
  <c r="H133"/>
  <c r="I133"/>
  <c r="L133" s="1"/>
  <c r="M133"/>
  <c r="N133"/>
  <c r="C134"/>
  <c r="G134"/>
  <c r="H134"/>
  <c r="I134"/>
  <c r="L134" s="1"/>
  <c r="M134"/>
  <c r="N134"/>
  <c r="C136"/>
  <c r="F136"/>
  <c r="I136"/>
  <c r="M136"/>
  <c r="N136"/>
  <c r="R136"/>
  <c r="S136"/>
  <c r="AB136"/>
  <c r="AC136"/>
  <c r="C137"/>
  <c r="F137"/>
  <c r="I137"/>
  <c r="L137" s="1"/>
  <c r="M137"/>
  <c r="N137"/>
  <c r="R137"/>
  <c r="S137"/>
  <c r="AB137"/>
  <c r="AC137"/>
  <c r="C138"/>
  <c r="F138"/>
  <c r="I138"/>
  <c r="L138" s="1"/>
  <c r="M138"/>
  <c r="N138"/>
  <c r="R138"/>
  <c r="S138"/>
  <c r="AB138"/>
  <c r="AC138"/>
  <c r="C139"/>
  <c r="F139"/>
  <c r="I139"/>
  <c r="M139"/>
  <c r="N139"/>
  <c r="R139"/>
  <c r="S139"/>
  <c r="AB139"/>
  <c r="AC139"/>
  <c r="C140"/>
  <c r="F140"/>
  <c r="I140"/>
  <c r="L140" s="1"/>
  <c r="M140"/>
  <c r="N140"/>
  <c r="R140"/>
  <c r="S140"/>
  <c r="AB140"/>
  <c r="AC140"/>
  <c r="C141"/>
  <c r="F141"/>
  <c r="I141"/>
  <c r="M141"/>
  <c r="N141"/>
  <c r="R141"/>
  <c r="S141"/>
  <c r="AB141"/>
  <c r="AC141"/>
  <c r="C142"/>
  <c r="F142"/>
  <c r="I142"/>
  <c r="L142" s="1"/>
  <c r="M142"/>
  <c r="N142"/>
  <c r="R142"/>
  <c r="S142"/>
  <c r="AB142"/>
  <c r="AC142"/>
  <c r="C143"/>
  <c r="F143"/>
  <c r="I143"/>
  <c r="L143" s="1"/>
  <c r="M143"/>
  <c r="N143"/>
  <c r="R143"/>
  <c r="S143"/>
  <c r="AB143"/>
  <c r="AC143"/>
  <c r="C144"/>
  <c r="F144"/>
  <c r="I144"/>
  <c r="R144"/>
  <c r="S144"/>
  <c r="AB144"/>
  <c r="AC144"/>
  <c r="C145"/>
  <c r="F145"/>
  <c r="I145"/>
  <c r="R145"/>
  <c r="S145"/>
  <c r="AB145"/>
  <c r="AC145"/>
  <c r="C146"/>
  <c r="F146"/>
  <c r="I146"/>
  <c r="R146"/>
  <c r="S146"/>
  <c r="AB146"/>
  <c r="AC146"/>
  <c r="C147"/>
  <c r="F147"/>
  <c r="I147"/>
  <c r="R147"/>
  <c r="S147"/>
  <c r="AB147"/>
  <c r="AC147"/>
  <c r="C148"/>
  <c r="F148"/>
  <c r="I148"/>
  <c r="R148"/>
  <c r="S148"/>
  <c r="AB148"/>
  <c r="AC148"/>
  <c r="C149"/>
  <c r="F149"/>
  <c r="I149"/>
  <c r="R149"/>
  <c r="S149"/>
  <c r="AB149"/>
  <c r="AC149"/>
  <c r="C150"/>
  <c r="F150"/>
  <c r="I150"/>
  <c r="M150"/>
  <c r="N150"/>
  <c r="R150"/>
  <c r="S150"/>
  <c r="AB150"/>
  <c r="AC150"/>
  <c r="C151"/>
  <c r="F151"/>
  <c r="I151"/>
  <c r="M151"/>
  <c r="N151"/>
  <c r="R151"/>
  <c r="S151"/>
  <c r="AB151"/>
  <c r="AC151"/>
  <c r="C152"/>
  <c r="F152"/>
  <c r="I152"/>
  <c r="M152"/>
  <c r="N152"/>
  <c r="R152"/>
  <c r="S152"/>
  <c r="AB152"/>
  <c r="AC152"/>
  <c r="C153"/>
  <c r="F153"/>
  <c r="I153"/>
  <c r="L153" s="1"/>
  <c r="M153"/>
  <c r="N153"/>
  <c r="R153"/>
  <c r="S153"/>
  <c r="AB153"/>
  <c r="AC153"/>
  <c r="C154"/>
  <c r="F154"/>
  <c r="I154"/>
  <c r="M154"/>
  <c r="N154"/>
  <c r="R154"/>
  <c r="S154"/>
  <c r="AB154"/>
  <c r="AC154"/>
  <c r="C155"/>
  <c r="F155"/>
  <c r="I155"/>
  <c r="M155"/>
  <c r="N155"/>
  <c r="R155"/>
  <c r="S155"/>
  <c r="AB155"/>
  <c r="AC155"/>
  <c r="C156"/>
  <c r="F156"/>
  <c r="I156"/>
  <c r="L156" s="1"/>
  <c r="M156"/>
  <c r="N156"/>
  <c r="R156"/>
  <c r="S156"/>
  <c r="AB156"/>
  <c r="AC156"/>
  <c r="C157"/>
  <c r="F157"/>
  <c r="I157"/>
  <c r="L157" s="1"/>
  <c r="M157"/>
  <c r="N157"/>
  <c r="R157"/>
  <c r="S157"/>
  <c r="AB157"/>
  <c r="AC157"/>
  <c r="C158"/>
  <c r="F158"/>
  <c r="I158"/>
  <c r="L158" s="1"/>
  <c r="M158"/>
  <c r="N158"/>
  <c r="R158"/>
  <c r="S158"/>
  <c r="AB158"/>
  <c r="AC158"/>
  <c r="C159"/>
  <c r="F159"/>
  <c r="I159"/>
  <c r="L159" s="1"/>
  <c r="M159"/>
  <c r="N159"/>
  <c r="R159"/>
  <c r="S159"/>
  <c r="AB159"/>
  <c r="AC159"/>
  <c r="C160"/>
  <c r="F160"/>
  <c r="I160"/>
  <c r="L160" s="1"/>
  <c r="M160"/>
  <c r="N160"/>
  <c r="R160"/>
  <c r="S160"/>
  <c r="AB160"/>
  <c r="AC160"/>
  <c r="C161"/>
  <c r="F161"/>
  <c r="J161"/>
  <c r="K161"/>
  <c r="R161"/>
  <c r="S161"/>
  <c r="AB161"/>
  <c r="AC161"/>
  <c r="C162"/>
  <c r="F162"/>
  <c r="J162"/>
  <c r="K162"/>
  <c r="N162" s="1"/>
  <c r="R162"/>
  <c r="S162"/>
  <c r="AB162"/>
  <c r="AC162"/>
  <c r="D163"/>
  <c r="AB163" s="1"/>
  <c r="E163"/>
  <c r="F163"/>
  <c r="I163"/>
  <c r="L163" s="1"/>
  <c r="M163"/>
  <c r="N163"/>
  <c r="D164"/>
  <c r="E164"/>
  <c r="F164"/>
  <c r="J164"/>
  <c r="K164"/>
  <c r="N164" s="1"/>
  <c r="D165"/>
  <c r="R165" s="1"/>
  <c r="E165"/>
  <c r="F165"/>
  <c r="I165"/>
  <c r="L165"/>
  <c r="M165"/>
  <c r="N165"/>
  <c r="D166"/>
  <c r="F166"/>
  <c r="J166"/>
  <c r="K166"/>
  <c r="N166" s="1"/>
  <c r="S166"/>
  <c r="AC166"/>
  <c r="C167"/>
  <c r="F167"/>
  <c r="I167"/>
  <c r="M167"/>
  <c r="N167"/>
  <c r="R167"/>
  <c r="S167"/>
  <c r="AB167"/>
  <c r="AC167"/>
  <c r="C168"/>
  <c r="F168"/>
  <c r="J168"/>
  <c r="K168"/>
  <c r="N168" s="1"/>
  <c r="R168"/>
  <c r="S168"/>
  <c r="AB168"/>
  <c r="AC168"/>
  <c r="D169"/>
  <c r="E169"/>
  <c r="F169"/>
  <c r="J169"/>
  <c r="K169"/>
  <c r="N169" s="1"/>
  <c r="C170"/>
  <c r="F170"/>
  <c r="I170"/>
  <c r="L170" s="1"/>
  <c r="M170"/>
  <c r="N170"/>
  <c r="R170"/>
  <c r="S170"/>
  <c r="AB170"/>
  <c r="AC170"/>
  <c r="C171"/>
  <c r="F171"/>
  <c r="I171"/>
  <c r="M171"/>
  <c r="N171"/>
  <c r="R171"/>
  <c r="S171"/>
  <c r="AB171"/>
  <c r="AC171"/>
  <c r="D172"/>
  <c r="E172"/>
  <c r="F172"/>
  <c r="I172"/>
  <c r="L172" s="1"/>
  <c r="M172"/>
  <c r="N172"/>
  <c r="D173"/>
  <c r="E173"/>
  <c r="AC173" s="1"/>
  <c r="F173"/>
  <c r="C174"/>
  <c r="F174"/>
  <c r="I174"/>
  <c r="L174" s="1"/>
  <c r="M174"/>
  <c r="N174"/>
  <c r="R174"/>
  <c r="S174"/>
  <c r="AB174"/>
  <c r="AC174"/>
  <c r="C175"/>
  <c r="F175"/>
  <c r="I175"/>
  <c r="L175" s="1"/>
  <c r="M175"/>
  <c r="N175"/>
  <c r="R175"/>
  <c r="S175"/>
  <c r="AB175"/>
  <c r="AC175"/>
  <c r="C176"/>
  <c r="F176"/>
  <c r="I176"/>
  <c r="L176" s="1"/>
  <c r="M176"/>
  <c r="N176"/>
  <c r="R176"/>
  <c r="S176"/>
  <c r="AB176"/>
  <c r="AC176"/>
  <c r="C177"/>
  <c r="F177"/>
  <c r="R177"/>
  <c r="S177"/>
  <c r="AB177"/>
  <c r="AC177"/>
  <c r="C178"/>
  <c r="F178"/>
  <c r="R178"/>
  <c r="S178"/>
  <c r="AB178"/>
  <c r="AC178"/>
  <c r="D179"/>
  <c r="E179"/>
  <c r="F179"/>
  <c r="I179"/>
  <c r="M179"/>
  <c r="N179"/>
  <c r="D180"/>
  <c r="E180"/>
  <c r="F180"/>
  <c r="I180"/>
  <c r="L180" s="1"/>
  <c r="M180"/>
  <c r="N180"/>
  <c r="D181"/>
  <c r="E181"/>
  <c r="H181" s="1"/>
  <c r="I181"/>
  <c r="C182"/>
  <c r="G182"/>
  <c r="H182"/>
  <c r="S182" s="1"/>
  <c r="I182"/>
  <c r="L182" s="1"/>
  <c r="M182"/>
  <c r="N182"/>
  <c r="C183"/>
  <c r="F183"/>
  <c r="I183"/>
  <c r="M183"/>
  <c r="N183"/>
  <c r="R183"/>
  <c r="S183"/>
  <c r="AB183"/>
  <c r="AC183"/>
  <c r="C184"/>
  <c r="F184"/>
  <c r="I184"/>
  <c r="L184" s="1"/>
  <c r="M184"/>
  <c r="N184"/>
  <c r="R184"/>
  <c r="S184"/>
  <c r="AB184"/>
  <c r="AC184"/>
  <c r="C185"/>
  <c r="F185"/>
  <c r="I185"/>
  <c r="M185"/>
  <c r="N185"/>
  <c r="R185"/>
  <c r="S185"/>
  <c r="AB185"/>
  <c r="AC185"/>
  <c r="D186"/>
  <c r="R186" s="1"/>
  <c r="E186"/>
  <c r="F186"/>
  <c r="J186"/>
  <c r="K186"/>
  <c r="N186" s="1"/>
  <c r="C187"/>
  <c r="F187"/>
  <c r="I187"/>
  <c r="L187" s="1"/>
  <c r="M187"/>
  <c r="N187"/>
  <c r="AB187"/>
  <c r="AC187"/>
  <c r="C188"/>
  <c r="F188"/>
  <c r="I188"/>
  <c r="M188"/>
  <c r="N188"/>
  <c r="R188"/>
  <c r="S188"/>
  <c r="AB188"/>
  <c r="AC188"/>
  <c r="C189"/>
  <c r="F189"/>
  <c r="I189"/>
  <c r="L189" s="1"/>
  <c r="M189"/>
  <c r="N189"/>
  <c r="R189"/>
  <c r="S189"/>
  <c r="AB189"/>
  <c r="AC189"/>
  <c r="C190"/>
  <c r="F190"/>
  <c r="J190"/>
  <c r="K190"/>
  <c r="N190" s="1"/>
  <c r="R190"/>
  <c r="S190"/>
  <c r="AB190"/>
  <c r="AC190"/>
  <c r="C191"/>
  <c r="F191"/>
  <c r="I191"/>
  <c r="M191"/>
  <c r="N191"/>
  <c r="R191"/>
  <c r="S191"/>
  <c r="AB191"/>
  <c r="AC191"/>
  <c r="D192"/>
  <c r="R192" s="1"/>
  <c r="E192"/>
  <c r="F192"/>
  <c r="I192"/>
  <c r="M192"/>
  <c r="N192"/>
  <c r="C193"/>
  <c r="F193"/>
  <c r="I193"/>
  <c r="M193"/>
  <c r="N193"/>
  <c r="R193"/>
  <c r="S193"/>
  <c r="AB193"/>
  <c r="AC193"/>
  <c r="C194"/>
  <c r="F194"/>
  <c r="I194"/>
  <c r="L194" s="1"/>
  <c r="M194"/>
  <c r="N194"/>
  <c r="R194"/>
  <c r="S194"/>
  <c r="AB194"/>
  <c r="AC194"/>
  <c r="D195"/>
  <c r="E195"/>
  <c r="F195"/>
  <c r="J195"/>
  <c r="K195"/>
  <c r="N195" s="1"/>
  <c r="D197"/>
  <c r="E197"/>
  <c r="G197"/>
  <c r="H197"/>
  <c r="J197"/>
  <c r="K197"/>
  <c r="N197" s="1"/>
  <c r="C198"/>
  <c r="F198"/>
  <c r="I198"/>
  <c r="L198" s="1"/>
  <c r="M198"/>
  <c r="N198"/>
  <c r="AB198"/>
  <c r="AC198"/>
  <c r="C199"/>
  <c r="F199"/>
  <c r="I199"/>
  <c r="L199" s="1"/>
  <c r="M199"/>
  <c r="N199"/>
  <c r="AB199"/>
  <c r="AC199"/>
  <c r="C200"/>
  <c r="F200"/>
  <c r="I200"/>
  <c r="L200" s="1"/>
  <c r="M200"/>
  <c r="N200"/>
  <c r="AB200"/>
  <c r="AC200"/>
  <c r="C201"/>
  <c r="F201"/>
  <c r="I201"/>
  <c r="L201" s="1"/>
  <c r="M201"/>
  <c r="N201"/>
  <c r="AB201"/>
  <c r="AC201"/>
  <c r="C202"/>
  <c r="F202"/>
  <c r="I202"/>
  <c r="L202" s="1"/>
  <c r="M202"/>
  <c r="N202"/>
  <c r="AB202"/>
  <c r="AC202"/>
  <c r="C203"/>
  <c r="F203"/>
  <c r="I203"/>
  <c r="L203" s="1"/>
  <c r="M203"/>
  <c r="N203"/>
  <c r="AB203"/>
  <c r="AC203"/>
  <c r="C204"/>
  <c r="F204"/>
  <c r="I204"/>
  <c r="L204" s="1"/>
  <c r="M204"/>
  <c r="N204"/>
  <c r="AB204"/>
  <c r="AC204"/>
  <c r="C205"/>
  <c r="F205"/>
  <c r="I205"/>
  <c r="L205" s="1"/>
  <c r="M205"/>
  <c r="N205"/>
  <c r="AB205"/>
  <c r="AC205"/>
  <c r="C206"/>
  <c r="F206"/>
  <c r="I206"/>
  <c r="L206" s="1"/>
  <c r="M206"/>
  <c r="N206"/>
  <c r="AB206"/>
  <c r="AC206"/>
  <c r="C207"/>
  <c r="F207"/>
  <c r="I207"/>
  <c r="L207" s="1"/>
  <c r="M207"/>
  <c r="N207"/>
  <c r="AB207"/>
  <c r="AC207"/>
  <c r="C208"/>
  <c r="F208"/>
  <c r="I208"/>
  <c r="L208" s="1"/>
  <c r="M208"/>
  <c r="N208"/>
  <c r="AB208"/>
  <c r="AC208"/>
  <c r="C209"/>
  <c r="F209"/>
  <c r="I209"/>
  <c r="L209" s="1"/>
  <c r="M209"/>
  <c r="N209"/>
  <c r="R209"/>
  <c r="S209"/>
  <c r="AB209"/>
  <c r="AC209"/>
  <c r="C210"/>
  <c r="F210"/>
  <c r="I210"/>
  <c r="L210" s="1"/>
  <c r="R210"/>
  <c r="S210"/>
  <c r="AB210"/>
  <c r="AC210"/>
  <c r="C211"/>
  <c r="F211"/>
  <c r="I211"/>
  <c r="L211" s="1"/>
  <c r="M211"/>
  <c r="N211"/>
  <c r="R211"/>
  <c r="S211"/>
  <c r="AB211"/>
  <c r="AC211"/>
  <c r="C212"/>
  <c r="F212"/>
  <c r="I212"/>
  <c r="L212" s="1"/>
  <c r="M212"/>
  <c r="N212"/>
  <c r="AB212"/>
  <c r="AC212"/>
  <c r="C213"/>
  <c r="F213"/>
  <c r="I213"/>
  <c r="L213" s="1"/>
  <c r="M213"/>
  <c r="N213"/>
  <c r="R213"/>
  <c r="S213"/>
  <c r="AB213"/>
  <c r="AC213"/>
  <c r="D216"/>
  <c r="J216"/>
  <c r="N216"/>
  <c r="AC216"/>
  <c r="C217"/>
  <c r="G217"/>
  <c r="AB217" s="1"/>
  <c r="H217"/>
  <c r="AC217" s="1"/>
  <c r="I217"/>
  <c r="L217" s="1"/>
  <c r="M217"/>
  <c r="N217"/>
  <c r="C218"/>
  <c r="G218"/>
  <c r="H218"/>
  <c r="I218"/>
  <c r="N218"/>
  <c r="D219"/>
  <c r="E219"/>
  <c r="G219"/>
  <c r="H219"/>
  <c r="C220"/>
  <c r="F220"/>
  <c r="I220"/>
  <c r="L220" s="1"/>
  <c r="M220"/>
  <c r="N220"/>
  <c r="R220"/>
  <c r="S220"/>
  <c r="AB220"/>
  <c r="AC220"/>
  <c r="C221"/>
  <c r="F221"/>
  <c r="J221"/>
  <c r="K221"/>
  <c r="R221"/>
  <c r="S221"/>
  <c r="AB221"/>
  <c r="AC221"/>
  <c r="C222"/>
  <c r="F222"/>
  <c r="I222"/>
  <c r="M222"/>
  <c r="N222"/>
  <c r="R222"/>
  <c r="S222"/>
  <c r="AB222"/>
  <c r="AC222"/>
  <c r="C223"/>
  <c r="F223"/>
  <c r="I223"/>
  <c r="M223"/>
  <c r="N223"/>
  <c r="R223"/>
  <c r="S223"/>
  <c r="AB223"/>
  <c r="AC223"/>
  <c r="C224"/>
  <c r="F224"/>
  <c r="I224"/>
  <c r="M224"/>
  <c r="N224"/>
  <c r="R224"/>
  <c r="S224"/>
  <c r="AB224"/>
  <c r="AC224"/>
  <c r="C225"/>
  <c r="F225"/>
  <c r="I225"/>
  <c r="M225"/>
  <c r="N225"/>
  <c r="R225"/>
  <c r="S225"/>
  <c r="AB225"/>
  <c r="AC225"/>
  <c r="C226"/>
  <c r="F226"/>
  <c r="I226"/>
  <c r="M226"/>
  <c r="N226"/>
  <c r="R226"/>
  <c r="S226"/>
  <c r="AB226"/>
  <c r="AC226"/>
  <c r="C227"/>
  <c r="F227"/>
  <c r="J227"/>
  <c r="K227"/>
  <c r="N227" s="1"/>
  <c r="R227"/>
  <c r="S227"/>
  <c r="AB227"/>
  <c r="AC227"/>
  <c r="C228"/>
  <c r="F228"/>
  <c r="I228"/>
  <c r="M228"/>
  <c r="N228"/>
  <c r="R228"/>
  <c r="S228"/>
  <c r="AB228"/>
  <c r="AC228"/>
  <c r="C229"/>
  <c r="F229"/>
  <c r="I229"/>
  <c r="M229"/>
  <c r="N229"/>
  <c r="R229"/>
  <c r="S229"/>
  <c r="AB229"/>
  <c r="AC229"/>
  <c r="C230"/>
  <c r="F230"/>
  <c r="I230"/>
  <c r="L230" s="1"/>
  <c r="M230"/>
  <c r="N230"/>
  <c r="R230"/>
  <c r="S230"/>
  <c r="AB230"/>
  <c r="AC230"/>
  <c r="C231"/>
  <c r="F231"/>
  <c r="I231"/>
  <c r="L231" s="1"/>
  <c r="M231"/>
  <c r="N231"/>
  <c r="R231"/>
  <c r="S231"/>
  <c r="AB231"/>
  <c r="AC231"/>
  <c r="D232"/>
  <c r="E232"/>
  <c r="G232"/>
  <c r="H232"/>
  <c r="C233"/>
  <c r="F233"/>
  <c r="J233"/>
  <c r="M233" s="1"/>
  <c r="K233"/>
  <c r="K232" s="1"/>
  <c r="R233"/>
  <c r="S233"/>
  <c r="AB233"/>
  <c r="AC233"/>
  <c r="D234"/>
  <c r="E234"/>
  <c r="G234"/>
  <c r="H234"/>
  <c r="J234"/>
  <c r="M234" s="1"/>
  <c r="C235"/>
  <c r="F235"/>
  <c r="I235"/>
  <c r="L235" s="1"/>
  <c r="M235"/>
  <c r="N235"/>
  <c r="AB235"/>
  <c r="AC235"/>
  <c r="C236"/>
  <c r="F236"/>
  <c r="I236"/>
  <c r="R236"/>
  <c r="S236"/>
  <c r="AB236"/>
  <c r="AC236"/>
  <c r="C237"/>
  <c r="F237"/>
  <c r="I237"/>
  <c r="M237"/>
  <c r="N237"/>
  <c r="R237"/>
  <c r="S237"/>
  <c r="AB237"/>
  <c r="AC237"/>
  <c r="C238"/>
  <c r="F238"/>
  <c r="K238"/>
  <c r="M238"/>
  <c r="R238"/>
  <c r="S238"/>
  <c r="AB238"/>
  <c r="AC238"/>
  <c r="D240"/>
  <c r="E240"/>
  <c r="G240"/>
  <c r="H240"/>
  <c r="H239" s="1"/>
  <c r="J240"/>
  <c r="K240"/>
  <c r="C241"/>
  <c r="F241"/>
  <c r="I241"/>
  <c r="L241" s="1"/>
  <c r="M241"/>
  <c r="N241"/>
  <c r="R241"/>
  <c r="S241"/>
  <c r="AB241"/>
  <c r="AC241"/>
  <c r="C242"/>
  <c r="F242"/>
  <c r="I242"/>
  <c r="L242" s="1"/>
  <c r="M242"/>
  <c r="N242"/>
  <c r="Q243"/>
  <c r="R243"/>
  <c r="S243"/>
  <c r="Z243"/>
  <c r="AA243"/>
  <c r="AB243"/>
  <c r="AC243"/>
  <c r="Q244"/>
  <c r="R244"/>
  <c r="S244"/>
  <c r="Z244"/>
  <c r="AA244"/>
  <c r="AB244"/>
  <c r="AC244"/>
  <c r="D245"/>
  <c r="E245"/>
  <c r="D246"/>
  <c r="E246"/>
  <c r="G246"/>
  <c r="H246"/>
  <c r="J247"/>
  <c r="K247"/>
  <c r="D250"/>
  <c r="E250"/>
  <c r="G250"/>
  <c r="H250"/>
  <c r="J250"/>
  <c r="K250"/>
  <c r="D251"/>
  <c r="E251"/>
  <c r="J251"/>
  <c r="K251"/>
  <c r="C4" i="43"/>
  <c r="Q15"/>
  <c r="R15"/>
  <c r="S15"/>
  <c r="Z15"/>
  <c r="C18"/>
  <c r="F18"/>
  <c r="I18"/>
  <c r="L18" s="1"/>
  <c r="M18"/>
  <c r="N18"/>
  <c r="R18"/>
  <c r="S18"/>
  <c r="C19"/>
  <c r="F19"/>
  <c r="I19"/>
  <c r="L19" s="1"/>
  <c r="M19"/>
  <c r="N19"/>
  <c r="R19"/>
  <c r="R256" s="1"/>
  <c r="S19"/>
  <c r="S256"/>
  <c r="C20"/>
  <c r="F20"/>
  <c r="I20"/>
  <c r="M20"/>
  <c r="N20"/>
  <c r="R20"/>
  <c r="S20"/>
  <c r="C21"/>
  <c r="F21"/>
  <c r="I21"/>
  <c r="L21" s="1"/>
  <c r="M21"/>
  <c r="N21"/>
  <c r="R21"/>
  <c r="S21"/>
  <c r="D22"/>
  <c r="E22"/>
  <c r="G22"/>
  <c r="H22"/>
  <c r="J22"/>
  <c r="K22"/>
  <c r="N22" s="1"/>
  <c r="C23"/>
  <c r="F23"/>
  <c r="I23"/>
  <c r="L23" s="1"/>
  <c r="M23"/>
  <c r="N23"/>
  <c r="C24"/>
  <c r="F24"/>
  <c r="I24"/>
  <c r="L24" s="1"/>
  <c r="M24"/>
  <c r="N24"/>
  <c r="R24"/>
  <c r="S24"/>
  <c r="D25"/>
  <c r="E25"/>
  <c r="G25"/>
  <c r="H25"/>
  <c r="J25"/>
  <c r="K25"/>
  <c r="N25" s="1"/>
  <c r="C26"/>
  <c r="F26"/>
  <c r="I26"/>
  <c r="L26" s="1"/>
  <c r="M26"/>
  <c r="N26"/>
  <c r="R26"/>
  <c r="S26"/>
  <c r="D27"/>
  <c r="E27"/>
  <c r="G27"/>
  <c r="H27"/>
  <c r="J27"/>
  <c r="M27"/>
  <c r="K27"/>
  <c r="C28"/>
  <c r="F28"/>
  <c r="I28"/>
  <c r="L28" s="1"/>
  <c r="M28"/>
  <c r="N28"/>
  <c r="R28"/>
  <c r="S28"/>
  <c r="C29"/>
  <c r="F29"/>
  <c r="I29"/>
  <c r="L29" s="1"/>
  <c r="M29"/>
  <c r="N29"/>
  <c r="R29"/>
  <c r="S29"/>
  <c r="D30"/>
  <c r="E30"/>
  <c r="G30"/>
  <c r="H30"/>
  <c r="J30"/>
  <c r="K30"/>
  <c r="N30" s="1"/>
  <c r="C31"/>
  <c r="Q31" s="1"/>
  <c r="F31"/>
  <c r="I31"/>
  <c r="L31" s="1"/>
  <c r="M31"/>
  <c r="N31"/>
  <c r="R31"/>
  <c r="S31"/>
  <c r="C32"/>
  <c r="F32"/>
  <c r="I32"/>
  <c r="L32" s="1"/>
  <c r="M32"/>
  <c r="N32"/>
  <c r="R32"/>
  <c r="S32"/>
  <c r="D33"/>
  <c r="E33"/>
  <c r="G33"/>
  <c r="H33"/>
  <c r="J33"/>
  <c r="M33" s="1"/>
  <c r="K33"/>
  <c r="N33" s="1"/>
  <c r="C34"/>
  <c r="F34"/>
  <c r="I34"/>
  <c r="L34" s="1"/>
  <c r="M34"/>
  <c r="N34"/>
  <c r="R34"/>
  <c r="S34"/>
  <c r="D35"/>
  <c r="E35"/>
  <c r="G35"/>
  <c r="H35"/>
  <c r="J35"/>
  <c r="K35"/>
  <c r="N35" s="1"/>
  <c r="C36"/>
  <c r="F36"/>
  <c r="I36"/>
  <c r="M36"/>
  <c r="N36"/>
  <c r="R36"/>
  <c r="S36"/>
  <c r="C37"/>
  <c r="F37"/>
  <c r="I37"/>
  <c r="L37" s="1"/>
  <c r="M37"/>
  <c r="N37"/>
  <c r="C38"/>
  <c r="F38"/>
  <c r="I38"/>
  <c r="L38" s="1"/>
  <c r="M38"/>
  <c r="N38"/>
  <c r="R38"/>
  <c r="S38"/>
  <c r="C39"/>
  <c r="F39"/>
  <c r="R39"/>
  <c r="S39"/>
  <c r="D40"/>
  <c r="E40"/>
  <c r="G40"/>
  <c r="R40" s="1"/>
  <c r="H40"/>
  <c r="J40"/>
  <c r="M40" s="1"/>
  <c r="K40"/>
  <c r="N40" s="1"/>
  <c r="C41"/>
  <c r="F41"/>
  <c r="I41"/>
  <c r="L41" s="1"/>
  <c r="M41"/>
  <c r="N41"/>
  <c r="C42"/>
  <c r="F42"/>
  <c r="I42"/>
  <c r="L42" s="1"/>
  <c r="M42"/>
  <c r="N42"/>
  <c r="R42"/>
  <c r="S42"/>
  <c r="C43"/>
  <c r="F43"/>
  <c r="I43"/>
  <c r="L43" s="1"/>
  <c r="M43"/>
  <c r="N43"/>
  <c r="R43"/>
  <c r="S43"/>
  <c r="D44"/>
  <c r="E44"/>
  <c r="G44"/>
  <c r="H44"/>
  <c r="J44"/>
  <c r="K44"/>
  <c r="C45"/>
  <c r="F45"/>
  <c r="I45"/>
  <c r="L45" s="1"/>
  <c r="M45"/>
  <c r="N45"/>
  <c r="C46"/>
  <c r="F46"/>
  <c r="I46"/>
  <c r="M46"/>
  <c r="N46"/>
  <c r="R46"/>
  <c r="S46"/>
  <c r="D47"/>
  <c r="E47"/>
  <c r="G47"/>
  <c r="H47"/>
  <c r="J47"/>
  <c r="K47"/>
  <c r="N47" s="1"/>
  <c r="C48"/>
  <c r="F48"/>
  <c r="I48"/>
  <c r="L48" s="1"/>
  <c r="M48"/>
  <c r="N48"/>
  <c r="R48"/>
  <c r="S48"/>
  <c r="D49"/>
  <c r="E49"/>
  <c r="G49"/>
  <c r="H49"/>
  <c r="J49"/>
  <c r="K49"/>
  <c r="N49" s="1"/>
  <c r="C50"/>
  <c r="F50"/>
  <c r="I50"/>
  <c r="L50" s="1"/>
  <c r="M50"/>
  <c r="N50"/>
  <c r="C51"/>
  <c r="F51"/>
  <c r="I51"/>
  <c r="L51" s="1"/>
  <c r="M51"/>
  <c r="N51"/>
  <c r="R51"/>
  <c r="S51"/>
  <c r="C52"/>
  <c r="F52"/>
  <c r="I52"/>
  <c r="L52" s="1"/>
  <c r="M52"/>
  <c r="N52"/>
  <c r="R52"/>
  <c r="S52"/>
  <c r="D53"/>
  <c r="E53"/>
  <c r="G53"/>
  <c r="H53"/>
  <c r="J53"/>
  <c r="K53"/>
  <c r="N53" s="1"/>
  <c r="C54"/>
  <c r="F54"/>
  <c r="I54"/>
  <c r="L54" s="1"/>
  <c r="M54"/>
  <c r="N54"/>
  <c r="R54"/>
  <c r="S54"/>
  <c r="C55"/>
  <c r="F55"/>
  <c r="I55"/>
  <c r="L55" s="1"/>
  <c r="M55"/>
  <c r="N55"/>
  <c r="R55"/>
  <c r="S55"/>
  <c r="D56"/>
  <c r="E56"/>
  <c r="G56"/>
  <c r="R56" s="1"/>
  <c r="H56"/>
  <c r="J56"/>
  <c r="M56" s="1"/>
  <c r="K56"/>
  <c r="N56" s="1"/>
  <c r="C57"/>
  <c r="F57"/>
  <c r="I57"/>
  <c r="L57" s="1"/>
  <c r="M57"/>
  <c r="N57"/>
  <c r="R57"/>
  <c r="S57"/>
  <c r="D58"/>
  <c r="E58"/>
  <c r="G58"/>
  <c r="H58"/>
  <c r="J58"/>
  <c r="K58"/>
  <c r="N58" s="1"/>
  <c r="C59"/>
  <c r="F59"/>
  <c r="I59"/>
  <c r="L59" s="1"/>
  <c r="M59"/>
  <c r="N59"/>
  <c r="R59"/>
  <c r="S59"/>
  <c r="D60"/>
  <c r="E60"/>
  <c r="G60"/>
  <c r="H60"/>
  <c r="J60"/>
  <c r="M60" s="1"/>
  <c r="K60"/>
  <c r="C61"/>
  <c r="F61"/>
  <c r="I61"/>
  <c r="L61" s="1"/>
  <c r="M61"/>
  <c r="N61"/>
  <c r="R61"/>
  <c r="S61"/>
  <c r="D62"/>
  <c r="E62"/>
  <c r="G62"/>
  <c r="H62"/>
  <c r="J62"/>
  <c r="K62"/>
  <c r="N62" s="1"/>
  <c r="C63"/>
  <c r="F63"/>
  <c r="L63"/>
  <c r="M63"/>
  <c r="N63"/>
  <c r="R63"/>
  <c r="S63"/>
  <c r="D64"/>
  <c r="E64"/>
  <c r="G64"/>
  <c r="H64"/>
  <c r="J64"/>
  <c r="K64"/>
  <c r="N64" s="1"/>
  <c r="C65"/>
  <c r="F65"/>
  <c r="I65"/>
  <c r="L65" s="1"/>
  <c r="M65"/>
  <c r="N65"/>
  <c r="R65"/>
  <c r="S65"/>
  <c r="C66"/>
  <c r="F66"/>
  <c r="R66"/>
  <c r="S66"/>
  <c r="C67"/>
  <c r="F67"/>
  <c r="R67"/>
  <c r="S67"/>
  <c r="C68"/>
  <c r="F68"/>
  <c r="R68"/>
  <c r="S68"/>
  <c r="C69"/>
  <c r="F69"/>
  <c r="R69"/>
  <c r="S69"/>
  <c r="J71"/>
  <c r="K71"/>
  <c r="D72"/>
  <c r="G72" s="1"/>
  <c r="E72"/>
  <c r="H72" s="1"/>
  <c r="I72"/>
  <c r="D73"/>
  <c r="E73"/>
  <c r="I73"/>
  <c r="J74"/>
  <c r="K74"/>
  <c r="N74" s="1"/>
  <c r="D75"/>
  <c r="E75"/>
  <c r="I75"/>
  <c r="L75" s="1"/>
  <c r="M75"/>
  <c r="N75"/>
  <c r="D76"/>
  <c r="E76"/>
  <c r="I76"/>
  <c r="L76" s="1"/>
  <c r="M76"/>
  <c r="N76"/>
  <c r="D77"/>
  <c r="E77"/>
  <c r="J77"/>
  <c r="K77"/>
  <c r="C78"/>
  <c r="G78"/>
  <c r="H78"/>
  <c r="I78"/>
  <c r="D79"/>
  <c r="E79"/>
  <c r="J79"/>
  <c r="K79"/>
  <c r="C80"/>
  <c r="G80"/>
  <c r="H80"/>
  <c r="I80"/>
  <c r="J81"/>
  <c r="K81"/>
  <c r="D82"/>
  <c r="E82"/>
  <c r="E81" s="1"/>
  <c r="I82"/>
  <c r="J83"/>
  <c r="K83"/>
  <c r="D84"/>
  <c r="E84"/>
  <c r="I84"/>
  <c r="D85"/>
  <c r="G85" s="1"/>
  <c r="E85"/>
  <c r="I85"/>
  <c r="L85" s="1"/>
  <c r="M85"/>
  <c r="N85"/>
  <c r="J86"/>
  <c r="K86"/>
  <c r="D87"/>
  <c r="D86" s="1"/>
  <c r="E87"/>
  <c r="E86" s="1"/>
  <c r="I87"/>
  <c r="C90"/>
  <c r="G90"/>
  <c r="I90"/>
  <c r="M90"/>
  <c r="N90"/>
  <c r="S90"/>
  <c r="C91"/>
  <c r="F91"/>
  <c r="I91"/>
  <c r="M91"/>
  <c r="N91"/>
  <c r="R91"/>
  <c r="S91"/>
  <c r="C92"/>
  <c r="F92"/>
  <c r="I92"/>
  <c r="M92"/>
  <c r="N92"/>
  <c r="R92"/>
  <c r="S92"/>
  <c r="C93"/>
  <c r="Z93" s="1"/>
  <c r="F93"/>
  <c r="I93"/>
  <c r="M93"/>
  <c r="N93"/>
  <c r="R93"/>
  <c r="S93"/>
  <c r="C94"/>
  <c r="F94"/>
  <c r="I94"/>
  <c r="M94"/>
  <c r="N94"/>
  <c r="R94"/>
  <c r="S94"/>
  <c r="C95"/>
  <c r="F95"/>
  <c r="I95"/>
  <c r="M95"/>
  <c r="N95"/>
  <c r="R95"/>
  <c r="S95"/>
  <c r="C96"/>
  <c r="F96"/>
  <c r="I96"/>
  <c r="M96"/>
  <c r="N96"/>
  <c r="R96"/>
  <c r="S96"/>
  <c r="C97"/>
  <c r="F97"/>
  <c r="I97"/>
  <c r="M97"/>
  <c r="N97"/>
  <c r="R97"/>
  <c r="S97"/>
  <c r="C98"/>
  <c r="F98"/>
  <c r="I98"/>
  <c r="M98"/>
  <c r="N98"/>
  <c r="R98"/>
  <c r="S98"/>
  <c r="C99"/>
  <c r="F99"/>
  <c r="I99"/>
  <c r="M99"/>
  <c r="N99"/>
  <c r="R99"/>
  <c r="S99"/>
  <c r="D100"/>
  <c r="E100"/>
  <c r="G100"/>
  <c r="H100"/>
  <c r="I100"/>
  <c r="L100" s="1"/>
  <c r="M100"/>
  <c r="N100"/>
  <c r="D101"/>
  <c r="E101"/>
  <c r="G101"/>
  <c r="H101"/>
  <c r="D102"/>
  <c r="E102"/>
  <c r="S102" s="1"/>
  <c r="G102"/>
  <c r="I102"/>
  <c r="N102"/>
  <c r="C103"/>
  <c r="F103"/>
  <c r="I103"/>
  <c r="M103"/>
  <c r="N103"/>
  <c r="R103"/>
  <c r="S103"/>
  <c r="C104"/>
  <c r="F104"/>
  <c r="I104"/>
  <c r="L104" s="1"/>
  <c r="M104"/>
  <c r="N104"/>
  <c r="R104"/>
  <c r="S104"/>
  <c r="C105"/>
  <c r="F105"/>
  <c r="I105"/>
  <c r="L105" s="1"/>
  <c r="M105"/>
  <c r="N105"/>
  <c r="R105"/>
  <c r="S105"/>
  <c r="C106"/>
  <c r="F106"/>
  <c r="I106"/>
  <c r="L106" s="1"/>
  <c r="M106"/>
  <c r="N106"/>
  <c r="R106"/>
  <c r="S106"/>
  <c r="C107"/>
  <c r="F107"/>
  <c r="I107"/>
  <c r="L107" s="1"/>
  <c r="M107"/>
  <c r="N107"/>
  <c r="R107"/>
  <c r="S107"/>
  <c r="C108"/>
  <c r="F108"/>
  <c r="Q108" s="1"/>
  <c r="I108"/>
  <c r="M108"/>
  <c r="N108"/>
  <c r="R108"/>
  <c r="S108"/>
  <c r="C109"/>
  <c r="F109"/>
  <c r="I109"/>
  <c r="L109" s="1"/>
  <c r="M109"/>
  <c r="N109"/>
  <c r="R109"/>
  <c r="S109"/>
  <c r="C110"/>
  <c r="F110"/>
  <c r="I110"/>
  <c r="L110" s="1"/>
  <c r="M110"/>
  <c r="N110"/>
  <c r="R110"/>
  <c r="S110"/>
  <c r="C111"/>
  <c r="F111"/>
  <c r="I111"/>
  <c r="M111"/>
  <c r="N111"/>
  <c r="R111"/>
  <c r="S111"/>
  <c r="C112"/>
  <c r="F112"/>
  <c r="I112"/>
  <c r="L112" s="1"/>
  <c r="M112"/>
  <c r="N112"/>
  <c r="R112"/>
  <c r="S112"/>
  <c r="C113"/>
  <c r="F113"/>
  <c r="I113"/>
  <c r="L113" s="1"/>
  <c r="M113"/>
  <c r="N113"/>
  <c r="R113"/>
  <c r="S113"/>
  <c r="C114"/>
  <c r="F114"/>
  <c r="I114"/>
  <c r="L114" s="1"/>
  <c r="M114"/>
  <c r="N114"/>
  <c r="R114"/>
  <c r="S114"/>
  <c r="C115"/>
  <c r="F115"/>
  <c r="I115"/>
  <c r="L115" s="1"/>
  <c r="M115"/>
  <c r="N115"/>
  <c r="R115"/>
  <c r="S115"/>
  <c r="C116"/>
  <c r="F116"/>
  <c r="I116"/>
  <c r="L116" s="1"/>
  <c r="M116"/>
  <c r="N116"/>
  <c r="R116"/>
  <c r="S116"/>
  <c r="C117"/>
  <c r="F117"/>
  <c r="I117"/>
  <c r="L117" s="1"/>
  <c r="M117"/>
  <c r="N117"/>
  <c r="R117"/>
  <c r="S117"/>
  <c r="C118"/>
  <c r="F118"/>
  <c r="I118"/>
  <c r="L118" s="1"/>
  <c r="M118"/>
  <c r="N118"/>
  <c r="R118"/>
  <c r="S118"/>
  <c r="C119"/>
  <c r="F119"/>
  <c r="I119"/>
  <c r="L119" s="1"/>
  <c r="M119"/>
  <c r="N119"/>
  <c r="R119"/>
  <c r="S119"/>
  <c r="C120"/>
  <c r="F120"/>
  <c r="I120"/>
  <c r="L120" s="1"/>
  <c r="M120"/>
  <c r="N120"/>
  <c r="R120"/>
  <c r="S120"/>
  <c r="C121"/>
  <c r="F121"/>
  <c r="I121"/>
  <c r="L121" s="1"/>
  <c r="M121"/>
  <c r="N121"/>
  <c r="R121"/>
  <c r="S121"/>
  <c r="C122"/>
  <c r="F122"/>
  <c r="I122"/>
  <c r="L122" s="1"/>
  <c r="M122"/>
  <c r="N122"/>
  <c r="R122"/>
  <c r="S122"/>
  <c r="C123"/>
  <c r="F123"/>
  <c r="I123"/>
  <c r="L123" s="1"/>
  <c r="M123"/>
  <c r="N123"/>
  <c r="R123"/>
  <c r="S123"/>
  <c r="C124"/>
  <c r="F124"/>
  <c r="I124"/>
  <c r="L124" s="1"/>
  <c r="M124"/>
  <c r="N124"/>
  <c r="R124"/>
  <c r="S124"/>
  <c r="C125"/>
  <c r="F125"/>
  <c r="I125"/>
  <c r="M125"/>
  <c r="N125"/>
  <c r="C126"/>
  <c r="H126"/>
  <c r="I126"/>
  <c r="L126" s="1"/>
  <c r="M126"/>
  <c r="N126"/>
  <c r="R126"/>
  <c r="C127"/>
  <c r="H127"/>
  <c r="I127"/>
  <c r="L127" s="1"/>
  <c r="M127"/>
  <c r="N127"/>
  <c r="R127"/>
  <c r="C128"/>
  <c r="H128"/>
  <c r="I128"/>
  <c r="L128" s="1"/>
  <c r="M128"/>
  <c r="N128"/>
  <c r="R128"/>
  <c r="C129"/>
  <c r="H129"/>
  <c r="F129" s="1"/>
  <c r="I129"/>
  <c r="L129" s="1"/>
  <c r="M129"/>
  <c r="N129"/>
  <c r="R129"/>
  <c r="C130"/>
  <c r="H130"/>
  <c r="I130"/>
  <c r="L130" s="1"/>
  <c r="M130"/>
  <c r="N130"/>
  <c r="R130"/>
  <c r="C131"/>
  <c r="H131"/>
  <c r="F131" s="1"/>
  <c r="I131"/>
  <c r="L131" s="1"/>
  <c r="M131"/>
  <c r="N131"/>
  <c r="R131"/>
  <c r="C132"/>
  <c r="H132"/>
  <c r="I132"/>
  <c r="L132" s="1"/>
  <c r="M132"/>
  <c r="N132"/>
  <c r="R132"/>
  <c r="C133"/>
  <c r="H133"/>
  <c r="F133" s="1"/>
  <c r="I133"/>
  <c r="L133" s="1"/>
  <c r="M133"/>
  <c r="N133"/>
  <c r="R133"/>
  <c r="C134"/>
  <c r="H134"/>
  <c r="I134"/>
  <c r="L134" s="1"/>
  <c r="M134"/>
  <c r="N134"/>
  <c r="R134"/>
  <c r="C135"/>
  <c r="H135"/>
  <c r="I135"/>
  <c r="L135" s="1"/>
  <c r="M135"/>
  <c r="N135"/>
  <c r="R135"/>
  <c r="C136"/>
  <c r="H136"/>
  <c r="I136"/>
  <c r="L136" s="1"/>
  <c r="M136"/>
  <c r="N136"/>
  <c r="R136"/>
  <c r="C137"/>
  <c r="H137"/>
  <c r="F137" s="1"/>
  <c r="I137"/>
  <c r="L137" s="1"/>
  <c r="M137"/>
  <c r="N137"/>
  <c r="R137"/>
  <c r="C138"/>
  <c r="H138"/>
  <c r="I138"/>
  <c r="L138" s="1"/>
  <c r="M138"/>
  <c r="N138"/>
  <c r="R138"/>
  <c r="C139"/>
  <c r="H139"/>
  <c r="I139"/>
  <c r="L139" s="1"/>
  <c r="M139"/>
  <c r="N139"/>
  <c r="R139"/>
  <c r="C140"/>
  <c r="H140"/>
  <c r="F140" s="1"/>
  <c r="I140"/>
  <c r="L140" s="1"/>
  <c r="M140"/>
  <c r="N140"/>
  <c r="C141"/>
  <c r="H141"/>
  <c r="I141"/>
  <c r="L141" s="1"/>
  <c r="M141"/>
  <c r="N141"/>
  <c r="R141"/>
  <c r="C142"/>
  <c r="H142"/>
  <c r="F142" s="1"/>
  <c r="I142"/>
  <c r="L142" s="1"/>
  <c r="M142"/>
  <c r="N142"/>
  <c r="R142"/>
  <c r="C143"/>
  <c r="H143"/>
  <c r="F143" s="1"/>
  <c r="I143"/>
  <c r="L143" s="1"/>
  <c r="M143"/>
  <c r="N143"/>
  <c r="J144"/>
  <c r="J89" s="1"/>
  <c r="K144"/>
  <c r="K89" s="1"/>
  <c r="C145"/>
  <c r="G145"/>
  <c r="H145"/>
  <c r="S145" s="1"/>
  <c r="I145"/>
  <c r="M145"/>
  <c r="C146"/>
  <c r="G146"/>
  <c r="H146"/>
  <c r="S146" s="1"/>
  <c r="I146"/>
  <c r="L146" s="1"/>
  <c r="M146"/>
  <c r="N146"/>
  <c r="C147"/>
  <c r="G147"/>
  <c r="H147"/>
  <c r="S147" s="1"/>
  <c r="I147"/>
  <c r="L147" s="1"/>
  <c r="M147"/>
  <c r="N147"/>
  <c r="C148"/>
  <c r="G148"/>
  <c r="H148"/>
  <c r="I148"/>
  <c r="M148"/>
  <c r="E149"/>
  <c r="G149"/>
  <c r="I149"/>
  <c r="L149" s="1"/>
  <c r="M149"/>
  <c r="N149"/>
  <c r="E150"/>
  <c r="G150"/>
  <c r="I150"/>
  <c r="L150" s="1"/>
  <c r="M150"/>
  <c r="N150"/>
  <c r="C151"/>
  <c r="G151"/>
  <c r="H151"/>
  <c r="S151" s="1"/>
  <c r="I151"/>
  <c r="L151" s="1"/>
  <c r="M151"/>
  <c r="N151"/>
  <c r="C152"/>
  <c r="G152"/>
  <c r="H152"/>
  <c r="S152" s="1"/>
  <c r="I152"/>
  <c r="L152" s="1"/>
  <c r="M152"/>
  <c r="N152"/>
  <c r="C153"/>
  <c r="G153"/>
  <c r="H153"/>
  <c r="S153" s="1"/>
  <c r="I153"/>
  <c r="C154"/>
  <c r="G154"/>
  <c r="R154" s="1"/>
  <c r="H154"/>
  <c r="S154" s="1"/>
  <c r="I154"/>
  <c r="C155"/>
  <c r="G155"/>
  <c r="R155" s="1"/>
  <c r="H155"/>
  <c r="S155" s="1"/>
  <c r="I155"/>
  <c r="C156"/>
  <c r="G156"/>
  <c r="H156"/>
  <c r="S156"/>
  <c r="I156"/>
  <c r="R156"/>
  <c r="C157"/>
  <c r="G157"/>
  <c r="H157"/>
  <c r="S157" s="1"/>
  <c r="I157"/>
  <c r="C158"/>
  <c r="G158"/>
  <c r="H158"/>
  <c r="S158" s="1"/>
  <c r="I158"/>
  <c r="C159"/>
  <c r="G159"/>
  <c r="H159"/>
  <c r="S159" s="1"/>
  <c r="I159"/>
  <c r="M159"/>
  <c r="C160"/>
  <c r="G160"/>
  <c r="H160"/>
  <c r="S160" s="1"/>
  <c r="I160"/>
  <c r="M160"/>
  <c r="C161"/>
  <c r="G161"/>
  <c r="H161"/>
  <c r="I161"/>
  <c r="M161"/>
  <c r="D162"/>
  <c r="E162"/>
  <c r="I162"/>
  <c r="L162" s="1"/>
  <c r="M162"/>
  <c r="N162"/>
  <c r="D163"/>
  <c r="E163"/>
  <c r="I163"/>
  <c r="D164"/>
  <c r="E164"/>
  <c r="I164"/>
  <c r="D165"/>
  <c r="E165"/>
  <c r="I165"/>
  <c r="L165" s="1"/>
  <c r="M165"/>
  <c r="N165"/>
  <c r="D166"/>
  <c r="E166"/>
  <c r="I166"/>
  <c r="L166" s="1"/>
  <c r="M166"/>
  <c r="N166"/>
  <c r="D167"/>
  <c r="E167"/>
  <c r="I167"/>
  <c r="L167"/>
  <c r="M167"/>
  <c r="N167"/>
  <c r="D168"/>
  <c r="G168" s="1"/>
  <c r="E168"/>
  <c r="I168"/>
  <c r="L168" s="1"/>
  <c r="M168"/>
  <c r="N168"/>
  <c r="D169"/>
  <c r="E169"/>
  <c r="I169"/>
  <c r="L169" s="1"/>
  <c r="M169"/>
  <c r="N169"/>
  <c r="D170"/>
  <c r="G170"/>
  <c r="M170" s="1"/>
  <c r="E170"/>
  <c r="H170" s="1"/>
  <c r="I170"/>
  <c r="D171"/>
  <c r="E171"/>
  <c r="H171" s="1"/>
  <c r="S171" s="1"/>
  <c r="I171"/>
  <c r="L171" s="1"/>
  <c r="M171"/>
  <c r="N171"/>
  <c r="D172"/>
  <c r="E172"/>
  <c r="I172"/>
  <c r="L172" s="1"/>
  <c r="M172"/>
  <c r="N172"/>
  <c r="D173"/>
  <c r="E173"/>
  <c r="I173"/>
  <c r="L173" s="1"/>
  <c r="M173"/>
  <c r="N173"/>
  <c r="D174"/>
  <c r="G174" s="1"/>
  <c r="E174"/>
  <c r="I174"/>
  <c r="L174" s="1"/>
  <c r="M174"/>
  <c r="N174"/>
  <c r="D175"/>
  <c r="E175"/>
  <c r="I175"/>
  <c r="C176"/>
  <c r="G176"/>
  <c r="R176" s="1"/>
  <c r="H176"/>
  <c r="I176"/>
  <c r="M176"/>
  <c r="D177"/>
  <c r="G177" s="1"/>
  <c r="E177"/>
  <c r="H177" s="1"/>
  <c r="I177"/>
  <c r="D178"/>
  <c r="G178" s="1"/>
  <c r="E178"/>
  <c r="I178"/>
  <c r="C179"/>
  <c r="G179"/>
  <c r="H179"/>
  <c r="S179"/>
  <c r="I179"/>
  <c r="L179" s="1"/>
  <c r="M179"/>
  <c r="N179"/>
  <c r="C180"/>
  <c r="G180"/>
  <c r="H180"/>
  <c r="S180" s="1"/>
  <c r="I180"/>
  <c r="L180" s="1"/>
  <c r="M180"/>
  <c r="N180"/>
  <c r="D181"/>
  <c r="G181" s="1"/>
  <c r="E181"/>
  <c r="H181" s="1"/>
  <c r="I181"/>
  <c r="L181" s="1"/>
  <c r="M181"/>
  <c r="N181"/>
  <c r="D182"/>
  <c r="C182" s="1"/>
  <c r="E182"/>
  <c r="C183"/>
  <c r="G183"/>
  <c r="H183"/>
  <c r="S183" s="1"/>
  <c r="I183"/>
  <c r="L183" s="1"/>
  <c r="M183"/>
  <c r="N183"/>
  <c r="C184"/>
  <c r="G184"/>
  <c r="R184" s="1"/>
  <c r="H184"/>
  <c r="S184" s="1"/>
  <c r="I184"/>
  <c r="L184" s="1"/>
  <c r="M184"/>
  <c r="N184"/>
  <c r="C185"/>
  <c r="G185"/>
  <c r="R185" s="1"/>
  <c r="H185"/>
  <c r="S185" s="1"/>
  <c r="C186"/>
  <c r="G186"/>
  <c r="R186" s="1"/>
  <c r="H186"/>
  <c r="S186" s="1"/>
  <c r="D187"/>
  <c r="E187"/>
  <c r="H187" s="1"/>
  <c r="N187" s="1"/>
  <c r="I187"/>
  <c r="D188"/>
  <c r="E188"/>
  <c r="I188"/>
  <c r="L188" s="1"/>
  <c r="M188"/>
  <c r="N188"/>
  <c r="C189"/>
  <c r="G189"/>
  <c r="H189"/>
  <c r="I189"/>
  <c r="L189" s="1"/>
  <c r="M189"/>
  <c r="N189"/>
  <c r="C190"/>
  <c r="G190"/>
  <c r="R190" s="1"/>
  <c r="H190"/>
  <c r="S190" s="1"/>
  <c r="I190"/>
  <c r="L190" s="1"/>
  <c r="M190"/>
  <c r="N190"/>
  <c r="C191"/>
  <c r="G191"/>
  <c r="H191"/>
  <c r="S191" s="1"/>
  <c r="I191"/>
  <c r="L191" s="1"/>
  <c r="M191"/>
  <c r="N191"/>
  <c r="C192"/>
  <c r="G192"/>
  <c r="R192" s="1"/>
  <c r="H192"/>
  <c r="I192"/>
  <c r="M192"/>
  <c r="C193"/>
  <c r="G193"/>
  <c r="H193"/>
  <c r="I193"/>
  <c r="L193" s="1"/>
  <c r="M193"/>
  <c r="N193"/>
  <c r="C194"/>
  <c r="G194"/>
  <c r="R194" s="1"/>
  <c r="H194"/>
  <c r="S194" s="1"/>
  <c r="I194"/>
  <c r="L194" s="1"/>
  <c r="M194"/>
  <c r="N194"/>
  <c r="C195"/>
  <c r="G195"/>
  <c r="H195"/>
  <c r="S195" s="1"/>
  <c r="I195"/>
  <c r="L195" s="1"/>
  <c r="M195"/>
  <c r="N195"/>
  <c r="C196"/>
  <c r="G196"/>
  <c r="M196" s="1"/>
  <c r="H196"/>
  <c r="I196"/>
  <c r="C197"/>
  <c r="G197"/>
  <c r="H197"/>
  <c r="S197" s="1"/>
  <c r="I197"/>
  <c r="L197" s="1"/>
  <c r="M197"/>
  <c r="N197"/>
  <c r="D198"/>
  <c r="E198"/>
  <c r="I198"/>
  <c r="C199"/>
  <c r="G199"/>
  <c r="H199"/>
  <c r="S199"/>
  <c r="I199"/>
  <c r="L199"/>
  <c r="M199"/>
  <c r="N199"/>
  <c r="C200"/>
  <c r="G200"/>
  <c r="H200"/>
  <c r="S200"/>
  <c r="I200"/>
  <c r="L200"/>
  <c r="M200"/>
  <c r="N200"/>
  <c r="D201"/>
  <c r="E201"/>
  <c r="I201"/>
  <c r="D204"/>
  <c r="E204"/>
  <c r="G204"/>
  <c r="H204"/>
  <c r="J204"/>
  <c r="K204"/>
  <c r="C205"/>
  <c r="F205"/>
  <c r="I205"/>
  <c r="L205" s="1"/>
  <c r="M205"/>
  <c r="N205"/>
  <c r="C206"/>
  <c r="F206"/>
  <c r="I206"/>
  <c r="L206" s="1"/>
  <c r="M206"/>
  <c r="N206"/>
  <c r="C207"/>
  <c r="F207"/>
  <c r="I207"/>
  <c r="L207" s="1"/>
  <c r="M207"/>
  <c r="N207"/>
  <c r="C208"/>
  <c r="F208"/>
  <c r="I208"/>
  <c r="L208"/>
  <c r="M208"/>
  <c r="N208"/>
  <c r="C209"/>
  <c r="F209"/>
  <c r="I209"/>
  <c r="L209" s="1"/>
  <c r="M209"/>
  <c r="N209"/>
  <c r="C210"/>
  <c r="F210"/>
  <c r="Z210" s="1"/>
  <c r="I210"/>
  <c r="L210" s="1"/>
  <c r="M210"/>
  <c r="N210"/>
  <c r="C211"/>
  <c r="F211"/>
  <c r="I211"/>
  <c r="L211" s="1"/>
  <c r="M211"/>
  <c r="N211"/>
  <c r="C212"/>
  <c r="F212"/>
  <c r="I212"/>
  <c r="L212" s="1"/>
  <c r="M212"/>
  <c r="N212"/>
  <c r="C213"/>
  <c r="F213"/>
  <c r="I213"/>
  <c r="L213" s="1"/>
  <c r="M213"/>
  <c r="N213"/>
  <c r="C214"/>
  <c r="F214"/>
  <c r="I214"/>
  <c r="L214" s="1"/>
  <c r="M214"/>
  <c r="N214"/>
  <c r="C215"/>
  <c r="Z215" s="1"/>
  <c r="F215"/>
  <c r="I215"/>
  <c r="L215" s="1"/>
  <c r="M215"/>
  <c r="N215"/>
  <c r="D216"/>
  <c r="E216"/>
  <c r="G216"/>
  <c r="H216"/>
  <c r="J216"/>
  <c r="K216"/>
  <c r="C217"/>
  <c r="F217"/>
  <c r="I217"/>
  <c r="L217" s="1"/>
  <c r="M217"/>
  <c r="N217"/>
  <c r="R217"/>
  <c r="S217"/>
  <c r="D218"/>
  <c r="E218"/>
  <c r="G218"/>
  <c r="H218"/>
  <c r="J218"/>
  <c r="K218"/>
  <c r="N218" s="1"/>
  <c r="C219"/>
  <c r="F219"/>
  <c r="I219"/>
  <c r="L219" s="1"/>
  <c r="M219"/>
  <c r="N219"/>
  <c r="R219"/>
  <c r="S219"/>
  <c r="D220"/>
  <c r="E220"/>
  <c r="G220"/>
  <c r="J220"/>
  <c r="K220"/>
  <c r="N220" s="1"/>
  <c r="C221"/>
  <c r="H221"/>
  <c r="H220" s="1"/>
  <c r="I221"/>
  <c r="L221" s="1"/>
  <c r="M221"/>
  <c r="N221"/>
  <c r="D224"/>
  <c r="E224"/>
  <c r="J224"/>
  <c r="K224"/>
  <c r="C225"/>
  <c r="F225"/>
  <c r="I225"/>
  <c r="L225" s="1"/>
  <c r="M225"/>
  <c r="N225"/>
  <c r="C226"/>
  <c r="G226"/>
  <c r="M226" s="1"/>
  <c r="H226"/>
  <c r="N226" s="1"/>
  <c r="I226"/>
  <c r="C227"/>
  <c r="G227"/>
  <c r="M227" s="1"/>
  <c r="H227"/>
  <c r="N227" s="1"/>
  <c r="I227"/>
  <c r="C228"/>
  <c r="G228"/>
  <c r="R228" s="1"/>
  <c r="H228"/>
  <c r="S228" s="1"/>
  <c r="I228"/>
  <c r="L228" s="1"/>
  <c r="M228"/>
  <c r="N228"/>
  <c r="C229"/>
  <c r="G229"/>
  <c r="H229"/>
  <c r="I229"/>
  <c r="C230"/>
  <c r="G230"/>
  <c r="H230"/>
  <c r="S230" s="1"/>
  <c r="I230"/>
  <c r="L230" s="1"/>
  <c r="M230"/>
  <c r="N230"/>
  <c r="C231"/>
  <c r="G231"/>
  <c r="H231"/>
  <c r="N231" s="1"/>
  <c r="I231"/>
  <c r="C232"/>
  <c r="G232"/>
  <c r="H232"/>
  <c r="I232"/>
  <c r="C233"/>
  <c r="G233"/>
  <c r="H233"/>
  <c r="I233"/>
  <c r="C234"/>
  <c r="G234"/>
  <c r="R234"/>
  <c r="H234"/>
  <c r="S234" s="1"/>
  <c r="I234"/>
  <c r="C235"/>
  <c r="G235"/>
  <c r="H235"/>
  <c r="S235" s="1"/>
  <c r="I235"/>
  <c r="L235" s="1"/>
  <c r="M235"/>
  <c r="N235"/>
  <c r="C236"/>
  <c r="G236"/>
  <c r="R236" s="1"/>
  <c r="H236"/>
  <c r="S236" s="1"/>
  <c r="I236"/>
  <c r="L236" s="1"/>
  <c r="M236"/>
  <c r="N236"/>
  <c r="D237"/>
  <c r="E237"/>
  <c r="J237"/>
  <c r="J223" s="1"/>
  <c r="K237"/>
  <c r="C238"/>
  <c r="G238"/>
  <c r="H238"/>
  <c r="I238"/>
  <c r="D239"/>
  <c r="E239"/>
  <c r="J239"/>
  <c r="K239"/>
  <c r="C240"/>
  <c r="G240"/>
  <c r="R240" s="1"/>
  <c r="H240"/>
  <c r="I240"/>
  <c r="L240" s="1"/>
  <c r="M240"/>
  <c r="N240"/>
  <c r="C241"/>
  <c r="G241"/>
  <c r="H241"/>
  <c r="F241" s="1"/>
  <c r="I241"/>
  <c r="C242"/>
  <c r="G242"/>
  <c r="H242"/>
  <c r="N242" s="1"/>
  <c r="I242"/>
  <c r="M242"/>
  <c r="C243"/>
  <c r="G243"/>
  <c r="H243"/>
  <c r="N243" s="1"/>
  <c r="I243"/>
  <c r="M243"/>
  <c r="Q244"/>
  <c r="R244"/>
  <c r="S244"/>
  <c r="Z244"/>
  <c r="D245"/>
  <c r="E245"/>
  <c r="G245"/>
  <c r="H245"/>
  <c r="J245"/>
  <c r="K245"/>
  <c r="J246"/>
  <c r="K246"/>
  <c r="D249"/>
  <c r="J249"/>
  <c r="K249"/>
  <c r="D250"/>
  <c r="E250"/>
  <c r="G250"/>
  <c r="J250"/>
  <c r="K250"/>
  <c r="C4" i="34"/>
  <c r="O14"/>
  <c r="P14"/>
  <c r="C17"/>
  <c r="F17"/>
  <c r="I17"/>
  <c r="L17" s="1"/>
  <c r="M17"/>
  <c r="N17"/>
  <c r="O17"/>
  <c r="P17"/>
  <c r="C18"/>
  <c r="F18"/>
  <c r="I18"/>
  <c r="L18" s="1"/>
  <c r="M18"/>
  <c r="N18"/>
  <c r="O18"/>
  <c r="P18"/>
  <c r="D19"/>
  <c r="E19"/>
  <c r="G19"/>
  <c r="H19"/>
  <c r="J19"/>
  <c r="M19" s="1"/>
  <c r="K19"/>
  <c r="N19" s="1"/>
  <c r="C20"/>
  <c r="F20"/>
  <c r="I20"/>
  <c r="L20" s="1"/>
  <c r="M20"/>
  <c r="N20"/>
  <c r="D21"/>
  <c r="E21"/>
  <c r="G21"/>
  <c r="H21"/>
  <c r="J21"/>
  <c r="K21"/>
  <c r="C22"/>
  <c r="F22"/>
  <c r="L22"/>
  <c r="M22"/>
  <c r="N22"/>
  <c r="C23"/>
  <c r="F23"/>
  <c r="L23"/>
  <c r="M23"/>
  <c r="N23"/>
  <c r="C24"/>
  <c r="F24"/>
  <c r="L24"/>
  <c r="M24"/>
  <c r="N24"/>
  <c r="D25"/>
  <c r="E25"/>
  <c r="G25"/>
  <c r="H25"/>
  <c r="J25"/>
  <c r="K25"/>
  <c r="N25" s="1"/>
  <c r="C26"/>
  <c r="F26"/>
  <c r="I26"/>
  <c r="L26" s="1"/>
  <c r="M26"/>
  <c r="N26"/>
  <c r="D27"/>
  <c r="E27"/>
  <c r="G27"/>
  <c r="H27"/>
  <c r="J27"/>
  <c r="M27" s="1"/>
  <c r="K27"/>
  <c r="N27" s="1"/>
  <c r="C28"/>
  <c r="F28"/>
  <c r="I28"/>
  <c r="L28" s="1"/>
  <c r="M28"/>
  <c r="N28"/>
  <c r="C29"/>
  <c r="F29"/>
  <c r="I29"/>
  <c r="L29" s="1"/>
  <c r="M29"/>
  <c r="N29"/>
  <c r="D30"/>
  <c r="E30"/>
  <c r="G30"/>
  <c r="H30"/>
  <c r="J30"/>
  <c r="K30"/>
  <c r="N30" s="1"/>
  <c r="C31"/>
  <c r="F31"/>
  <c r="I31"/>
  <c r="L31" s="1"/>
  <c r="M31"/>
  <c r="N31"/>
  <c r="D32"/>
  <c r="E32"/>
  <c r="G32"/>
  <c r="H32"/>
  <c r="J32"/>
  <c r="K32"/>
  <c r="N32" s="1"/>
  <c r="C33"/>
  <c r="F33"/>
  <c r="I33"/>
  <c r="L33" s="1"/>
  <c r="M33"/>
  <c r="N33"/>
  <c r="C34"/>
  <c r="F34"/>
  <c r="I34"/>
  <c r="L34" s="1"/>
  <c r="M34"/>
  <c r="N34"/>
  <c r="C35"/>
  <c r="F35"/>
  <c r="I35"/>
  <c r="L35"/>
  <c r="M35"/>
  <c r="N35"/>
  <c r="D36"/>
  <c r="E36"/>
  <c r="G36"/>
  <c r="H36"/>
  <c r="J36"/>
  <c r="M36"/>
  <c r="K36"/>
  <c r="C37"/>
  <c r="F37"/>
  <c r="I37"/>
  <c r="L37" s="1"/>
  <c r="M37"/>
  <c r="N37"/>
  <c r="C38"/>
  <c r="F38"/>
  <c r="I38"/>
  <c r="L38" s="1"/>
  <c r="M38"/>
  <c r="N38"/>
  <c r="D39"/>
  <c r="E39"/>
  <c r="G39"/>
  <c r="H39"/>
  <c r="J39"/>
  <c r="K39"/>
  <c r="N39" s="1"/>
  <c r="C40"/>
  <c r="F40"/>
  <c r="I40"/>
  <c r="L40" s="1"/>
  <c r="M40"/>
  <c r="N40"/>
  <c r="D41"/>
  <c r="E41"/>
  <c r="G41"/>
  <c r="H41"/>
  <c r="J41"/>
  <c r="K41"/>
  <c r="C42"/>
  <c r="F42"/>
  <c r="L42"/>
  <c r="M42"/>
  <c r="N42"/>
  <c r="D43"/>
  <c r="E43"/>
  <c r="G43"/>
  <c r="H43"/>
  <c r="J43"/>
  <c r="K43"/>
  <c r="N43" s="1"/>
  <c r="C44"/>
  <c r="F44"/>
  <c r="L44"/>
  <c r="M44"/>
  <c r="N44"/>
  <c r="D45"/>
  <c r="E45"/>
  <c r="G45"/>
  <c r="H45"/>
  <c r="J45"/>
  <c r="M45" s="1"/>
  <c r="K45"/>
  <c r="N45" s="1"/>
  <c r="C46"/>
  <c r="F46"/>
  <c r="L46"/>
  <c r="M46"/>
  <c r="N46"/>
  <c r="D47"/>
  <c r="E47"/>
  <c r="G47"/>
  <c r="H47"/>
  <c r="J47"/>
  <c r="M47" s="1"/>
  <c r="K47"/>
  <c r="N47" s="1"/>
  <c r="C48"/>
  <c r="F48"/>
  <c r="L48"/>
  <c r="M48"/>
  <c r="N48"/>
  <c r="D49"/>
  <c r="E49"/>
  <c r="G49"/>
  <c r="H49"/>
  <c r="F49" s="1"/>
  <c r="J49"/>
  <c r="K49"/>
  <c r="N49" s="1"/>
  <c r="C50"/>
  <c r="F50"/>
  <c r="L50"/>
  <c r="M50"/>
  <c r="N50"/>
  <c r="D51"/>
  <c r="E51"/>
  <c r="G51"/>
  <c r="H51"/>
  <c r="J51"/>
  <c r="K51"/>
  <c r="N51" s="1"/>
  <c r="C52"/>
  <c r="F52"/>
  <c r="L52"/>
  <c r="M52"/>
  <c r="N52"/>
  <c r="D53"/>
  <c r="E53"/>
  <c r="G53"/>
  <c r="H53"/>
  <c r="J53"/>
  <c r="K53"/>
  <c r="N53" s="1"/>
  <c r="C54"/>
  <c r="F54"/>
  <c r="L54"/>
  <c r="M54"/>
  <c r="N54"/>
  <c r="C55"/>
  <c r="F55"/>
  <c r="L55"/>
  <c r="M55"/>
  <c r="N55"/>
  <c r="C56"/>
  <c r="F56"/>
  <c r="L56"/>
  <c r="M56"/>
  <c r="N56"/>
  <c r="C57"/>
  <c r="F57"/>
  <c r="L57"/>
  <c r="M57"/>
  <c r="N57"/>
  <c r="C58"/>
  <c r="F58"/>
  <c r="L58"/>
  <c r="M58"/>
  <c r="N58"/>
  <c r="D60"/>
  <c r="E60"/>
  <c r="G60"/>
  <c r="H60"/>
  <c r="F60" s="1"/>
  <c r="J60"/>
  <c r="K60"/>
  <c r="C61"/>
  <c r="F61"/>
  <c r="I61"/>
  <c r="L61" s="1"/>
  <c r="M61"/>
  <c r="N61"/>
  <c r="C62"/>
  <c r="F62"/>
  <c r="I62"/>
  <c r="L62" s="1"/>
  <c r="M62"/>
  <c r="N62"/>
  <c r="D63"/>
  <c r="E63"/>
  <c r="G63"/>
  <c r="H63"/>
  <c r="J63"/>
  <c r="K63"/>
  <c r="N63" s="1"/>
  <c r="C64"/>
  <c r="F64"/>
  <c r="I64"/>
  <c r="L64" s="1"/>
  <c r="M64"/>
  <c r="N64"/>
  <c r="O64"/>
  <c r="P64"/>
  <c r="C65"/>
  <c r="F65"/>
  <c r="I65"/>
  <c r="L65" s="1"/>
  <c r="M65"/>
  <c r="N65"/>
  <c r="D66"/>
  <c r="E66"/>
  <c r="G66"/>
  <c r="H66"/>
  <c r="J66"/>
  <c r="K66"/>
  <c r="N66" s="1"/>
  <c r="C67"/>
  <c r="F67"/>
  <c r="I67"/>
  <c r="L67" s="1"/>
  <c r="M67"/>
  <c r="N67"/>
  <c r="O67"/>
  <c r="P67"/>
  <c r="D68"/>
  <c r="E68"/>
  <c r="G68"/>
  <c r="H68"/>
  <c r="J68"/>
  <c r="K68"/>
  <c r="N68" s="1"/>
  <c r="C69"/>
  <c r="F69"/>
  <c r="I69"/>
  <c r="L69" s="1"/>
  <c r="M69"/>
  <c r="N69"/>
  <c r="O69"/>
  <c r="P69"/>
  <c r="D70"/>
  <c r="E70"/>
  <c r="G70"/>
  <c r="H70"/>
  <c r="J70"/>
  <c r="M70" s="1"/>
  <c r="K70"/>
  <c r="N70" s="1"/>
  <c r="C71"/>
  <c r="F71"/>
  <c r="I71"/>
  <c r="L71" s="1"/>
  <c r="M71"/>
  <c r="N71"/>
  <c r="E72"/>
  <c r="G72"/>
  <c r="H72"/>
  <c r="J72"/>
  <c r="K72"/>
  <c r="N72" s="1"/>
  <c r="D73"/>
  <c r="F73"/>
  <c r="I73"/>
  <c r="L73" s="1"/>
  <c r="M73"/>
  <c r="N73"/>
  <c r="C74"/>
  <c r="F74"/>
  <c r="I74"/>
  <c r="L74" s="1"/>
  <c r="M74"/>
  <c r="N74"/>
  <c r="D75"/>
  <c r="E75"/>
  <c r="G75"/>
  <c r="H75"/>
  <c r="J75"/>
  <c r="K75"/>
  <c r="C76"/>
  <c r="F76"/>
  <c r="I76"/>
  <c r="L76" s="1"/>
  <c r="M76"/>
  <c r="N76"/>
  <c r="C79"/>
  <c r="F79"/>
  <c r="I79"/>
  <c r="M79"/>
  <c r="N79"/>
  <c r="C80"/>
  <c r="F80"/>
  <c r="I80"/>
  <c r="M80"/>
  <c r="N80"/>
  <c r="C81"/>
  <c r="F81"/>
  <c r="I81"/>
  <c r="M81"/>
  <c r="N81"/>
  <c r="C82"/>
  <c r="F82"/>
  <c r="I82"/>
  <c r="M82"/>
  <c r="N82"/>
  <c r="C83"/>
  <c r="F83"/>
  <c r="I83"/>
  <c r="M83"/>
  <c r="N83"/>
  <c r="C84"/>
  <c r="F84"/>
  <c r="I84"/>
  <c r="M84"/>
  <c r="N84"/>
  <c r="C85"/>
  <c r="F85"/>
  <c r="I85"/>
  <c r="M85"/>
  <c r="N85"/>
  <c r="D86"/>
  <c r="E86"/>
  <c r="G86"/>
  <c r="H86"/>
  <c r="I86"/>
  <c r="L86" s="1"/>
  <c r="M86"/>
  <c r="N86"/>
  <c r="D87"/>
  <c r="E87"/>
  <c r="G87"/>
  <c r="H87"/>
  <c r="I87"/>
  <c r="L87" s="1"/>
  <c r="M87"/>
  <c r="N87"/>
  <c r="C88"/>
  <c r="F88"/>
  <c r="I88"/>
  <c r="L88" s="1"/>
  <c r="M88"/>
  <c r="N88"/>
  <c r="C89"/>
  <c r="F89"/>
  <c r="I89"/>
  <c r="L89"/>
  <c r="M89"/>
  <c r="N89"/>
  <c r="C90"/>
  <c r="F90"/>
  <c r="I90"/>
  <c r="L90" s="1"/>
  <c r="M90"/>
  <c r="N90"/>
  <c r="C91"/>
  <c r="F91"/>
  <c r="I91"/>
  <c r="L91" s="1"/>
  <c r="M91"/>
  <c r="N91"/>
  <c r="C92"/>
  <c r="F92"/>
  <c r="I92"/>
  <c r="L92" s="1"/>
  <c r="M92"/>
  <c r="N92"/>
  <c r="C93"/>
  <c r="F93"/>
  <c r="I93"/>
  <c r="L93" s="1"/>
  <c r="M93"/>
  <c r="N93"/>
  <c r="C94"/>
  <c r="F94"/>
  <c r="I94"/>
  <c r="L94" s="1"/>
  <c r="M94"/>
  <c r="N94"/>
  <c r="C95"/>
  <c r="F95"/>
  <c r="I95"/>
  <c r="L95" s="1"/>
  <c r="M95"/>
  <c r="N95"/>
  <c r="C96"/>
  <c r="F96"/>
  <c r="I96"/>
  <c r="L96" s="1"/>
  <c r="M96"/>
  <c r="N96"/>
  <c r="C97"/>
  <c r="F97"/>
  <c r="I97"/>
  <c r="L97" s="1"/>
  <c r="M97"/>
  <c r="N97"/>
  <c r="C98"/>
  <c r="F98"/>
  <c r="I98"/>
  <c r="L98" s="1"/>
  <c r="M98"/>
  <c r="N98"/>
  <c r="C99"/>
  <c r="F99"/>
  <c r="I99"/>
  <c r="L99" s="1"/>
  <c r="M99"/>
  <c r="N99"/>
  <c r="C100"/>
  <c r="F100"/>
  <c r="I100"/>
  <c r="L100" s="1"/>
  <c r="M100"/>
  <c r="N100"/>
  <c r="C101"/>
  <c r="F101"/>
  <c r="I101"/>
  <c r="L101" s="1"/>
  <c r="M101"/>
  <c r="N101"/>
  <c r="C102"/>
  <c r="F102"/>
  <c r="I102"/>
  <c r="L102" s="1"/>
  <c r="M102"/>
  <c r="N102"/>
  <c r="C103"/>
  <c r="F103"/>
  <c r="I103"/>
  <c r="L103" s="1"/>
  <c r="M103"/>
  <c r="N103"/>
  <c r="C104"/>
  <c r="F104"/>
  <c r="I104"/>
  <c r="L104" s="1"/>
  <c r="M104"/>
  <c r="N104"/>
  <c r="E105"/>
  <c r="C105" s="1"/>
  <c r="H105"/>
  <c r="F105" s="1"/>
  <c r="I105"/>
  <c r="L105" s="1"/>
  <c r="M105"/>
  <c r="N105"/>
  <c r="E106"/>
  <c r="C106" s="1"/>
  <c r="H106"/>
  <c r="F106" s="1"/>
  <c r="I106"/>
  <c r="L106" s="1"/>
  <c r="M106"/>
  <c r="N106"/>
  <c r="C107"/>
  <c r="F107"/>
  <c r="I107"/>
  <c r="L107" s="1"/>
  <c r="M107"/>
  <c r="N107"/>
  <c r="J108"/>
  <c r="K108"/>
  <c r="K78" s="1"/>
  <c r="K13" s="1"/>
  <c r="D109"/>
  <c r="E109"/>
  <c r="G109"/>
  <c r="H109"/>
  <c r="I109"/>
  <c r="L109" s="1"/>
  <c r="M109"/>
  <c r="N109"/>
  <c r="D110"/>
  <c r="E110"/>
  <c r="G110"/>
  <c r="H110"/>
  <c r="I110"/>
  <c r="L110" s="1"/>
  <c r="M110"/>
  <c r="N110"/>
  <c r="D111"/>
  <c r="E111"/>
  <c r="G111"/>
  <c r="H111"/>
  <c r="I111"/>
  <c r="L111" s="1"/>
  <c r="M111"/>
  <c r="N111"/>
  <c r="D112"/>
  <c r="E112"/>
  <c r="G112"/>
  <c r="H112"/>
  <c r="I112"/>
  <c r="L112" s="1"/>
  <c r="M112"/>
  <c r="N112"/>
  <c r="D113"/>
  <c r="E113"/>
  <c r="G113"/>
  <c r="H113"/>
  <c r="I113"/>
  <c r="L113" s="1"/>
  <c r="M113"/>
  <c r="N113"/>
  <c r="D114"/>
  <c r="E114"/>
  <c r="G114"/>
  <c r="H114"/>
  <c r="I114"/>
  <c r="L114" s="1"/>
  <c r="M114"/>
  <c r="N114"/>
  <c r="D115"/>
  <c r="E115"/>
  <c r="G115"/>
  <c r="H115"/>
  <c r="I115"/>
  <c r="L115" s="1"/>
  <c r="M115"/>
  <c r="N115"/>
  <c r="C116"/>
  <c r="F116"/>
  <c r="I116"/>
  <c r="L116" s="1"/>
  <c r="M116"/>
  <c r="N116"/>
  <c r="C117"/>
  <c r="F117"/>
  <c r="I117"/>
  <c r="L117" s="1"/>
  <c r="M117"/>
  <c r="N117"/>
  <c r="C118"/>
  <c r="F118"/>
  <c r="I118"/>
  <c r="L118" s="1"/>
  <c r="M118"/>
  <c r="N118"/>
  <c r="C119"/>
  <c r="F119"/>
  <c r="I119"/>
  <c r="L119" s="1"/>
  <c r="M119"/>
  <c r="N119"/>
  <c r="C120"/>
  <c r="F120"/>
  <c r="I120"/>
  <c r="L120" s="1"/>
  <c r="M120"/>
  <c r="N120"/>
  <c r="C121"/>
  <c r="F121"/>
  <c r="I121"/>
  <c r="L121" s="1"/>
  <c r="M121"/>
  <c r="N121"/>
  <c r="C122"/>
  <c r="F122"/>
  <c r="I122"/>
  <c r="L122" s="1"/>
  <c r="M122"/>
  <c r="N122"/>
  <c r="C123"/>
  <c r="F123"/>
  <c r="I123"/>
  <c r="L123" s="1"/>
  <c r="M123"/>
  <c r="N123"/>
  <c r="C124"/>
  <c r="F124"/>
  <c r="I124"/>
  <c r="L124" s="1"/>
  <c r="M124"/>
  <c r="N124"/>
  <c r="C125"/>
  <c r="F125"/>
  <c r="I125"/>
  <c r="L125" s="1"/>
  <c r="M125"/>
  <c r="N125"/>
  <c r="C126"/>
  <c r="F126"/>
  <c r="I126"/>
  <c r="L126" s="1"/>
  <c r="M126"/>
  <c r="N126"/>
  <c r="C127"/>
  <c r="F127"/>
  <c r="I127"/>
  <c r="L127" s="1"/>
  <c r="M127"/>
  <c r="N127"/>
  <c r="C128"/>
  <c r="F128"/>
  <c r="I128"/>
  <c r="L128" s="1"/>
  <c r="M128"/>
  <c r="N128"/>
  <c r="C129"/>
  <c r="F129"/>
  <c r="I129"/>
  <c r="L129" s="1"/>
  <c r="M129"/>
  <c r="N129"/>
  <c r="E130"/>
  <c r="H130"/>
  <c r="I130"/>
  <c r="L130" s="1"/>
  <c r="M130"/>
  <c r="N130"/>
  <c r="C131"/>
  <c r="F131"/>
  <c r="I131"/>
  <c r="L131" s="1"/>
  <c r="M131"/>
  <c r="N131"/>
  <c r="C132"/>
  <c r="F132"/>
  <c r="I132"/>
  <c r="L132" s="1"/>
  <c r="M132"/>
  <c r="N132"/>
  <c r="C133"/>
  <c r="F133"/>
  <c r="I133"/>
  <c r="L133" s="1"/>
  <c r="M133"/>
  <c r="N133"/>
  <c r="D134"/>
  <c r="E134"/>
  <c r="G134"/>
  <c r="H134"/>
  <c r="I134"/>
  <c r="L134" s="1"/>
  <c r="M134"/>
  <c r="N134"/>
  <c r="C135"/>
  <c r="F135"/>
  <c r="I135"/>
  <c r="L135" s="1"/>
  <c r="M135"/>
  <c r="N135"/>
  <c r="D136"/>
  <c r="E136"/>
  <c r="G136"/>
  <c r="H136"/>
  <c r="I136"/>
  <c r="L136" s="1"/>
  <c r="M136"/>
  <c r="N136"/>
  <c r="C137"/>
  <c r="F137"/>
  <c r="I137"/>
  <c r="L137" s="1"/>
  <c r="M137"/>
  <c r="N137"/>
  <c r="D138"/>
  <c r="E138"/>
  <c r="G138"/>
  <c r="H138"/>
  <c r="I138"/>
  <c r="L138" s="1"/>
  <c r="M138"/>
  <c r="N138"/>
  <c r="C139"/>
  <c r="F139"/>
  <c r="I139"/>
  <c r="L139" s="1"/>
  <c r="M139"/>
  <c r="N139"/>
  <c r="D140"/>
  <c r="E140"/>
  <c r="G140"/>
  <c r="H140"/>
  <c r="I140"/>
  <c r="L140" s="1"/>
  <c r="M140"/>
  <c r="N140"/>
  <c r="D141"/>
  <c r="E141"/>
  <c r="G141"/>
  <c r="H141"/>
  <c r="I141"/>
  <c r="L141" s="1"/>
  <c r="M141"/>
  <c r="N141"/>
  <c r="C142"/>
  <c r="F142"/>
  <c r="I142"/>
  <c r="L142" s="1"/>
  <c r="M142"/>
  <c r="N142"/>
  <c r="C143"/>
  <c r="F143"/>
  <c r="I143"/>
  <c r="L143" s="1"/>
  <c r="M143"/>
  <c r="N143"/>
  <c r="C144"/>
  <c r="F144"/>
  <c r="I144"/>
  <c r="L144" s="1"/>
  <c r="M144"/>
  <c r="N144"/>
  <c r="D145"/>
  <c r="E145"/>
  <c r="G145"/>
  <c r="H145"/>
  <c r="I145"/>
  <c r="L145" s="1"/>
  <c r="M145"/>
  <c r="N145"/>
  <c r="D146"/>
  <c r="E146"/>
  <c r="C146" s="1"/>
  <c r="G146"/>
  <c r="H146"/>
  <c r="I146"/>
  <c r="L146" s="1"/>
  <c r="M146"/>
  <c r="N146"/>
  <c r="D147"/>
  <c r="E147"/>
  <c r="C147" s="1"/>
  <c r="G147"/>
  <c r="H147"/>
  <c r="I147"/>
  <c r="L147" s="1"/>
  <c r="M147"/>
  <c r="N147"/>
  <c r="D148"/>
  <c r="E148"/>
  <c r="G148"/>
  <c r="H148"/>
  <c r="I148"/>
  <c r="L148" s="1"/>
  <c r="M148"/>
  <c r="N148"/>
  <c r="D149"/>
  <c r="E149"/>
  <c r="G149"/>
  <c r="H149"/>
  <c r="I149"/>
  <c r="L149" s="1"/>
  <c r="M149"/>
  <c r="N149"/>
  <c r="C150"/>
  <c r="F150"/>
  <c r="I150"/>
  <c r="L150" s="1"/>
  <c r="M150"/>
  <c r="N150"/>
  <c r="C151"/>
  <c r="F151"/>
  <c r="I151"/>
  <c r="L151" s="1"/>
  <c r="M151"/>
  <c r="N151"/>
  <c r="C152"/>
  <c r="F152"/>
  <c r="I152"/>
  <c r="L152" s="1"/>
  <c r="M152"/>
  <c r="N152"/>
  <c r="C153"/>
  <c r="F153"/>
  <c r="I153"/>
  <c r="L153" s="1"/>
  <c r="M153"/>
  <c r="N153"/>
  <c r="C154"/>
  <c r="F154"/>
  <c r="I154"/>
  <c r="L154" s="1"/>
  <c r="M154"/>
  <c r="N154"/>
  <c r="D156"/>
  <c r="G156"/>
  <c r="J156"/>
  <c r="K156"/>
  <c r="N156" s="1"/>
  <c r="E157"/>
  <c r="E156" s="1"/>
  <c r="H157"/>
  <c r="I157"/>
  <c r="L157" s="1"/>
  <c r="M157"/>
  <c r="N157"/>
  <c r="D160"/>
  <c r="E160"/>
  <c r="G160"/>
  <c r="H160"/>
  <c r="J160"/>
  <c r="K160"/>
  <c r="C161"/>
  <c r="F161"/>
  <c r="I161"/>
  <c r="L161" s="1"/>
  <c r="M161"/>
  <c r="N161"/>
  <c r="C162"/>
  <c r="F162"/>
  <c r="I162"/>
  <c r="L162" s="1"/>
  <c r="M162"/>
  <c r="N162"/>
  <c r="C163"/>
  <c r="F163"/>
  <c r="I163"/>
  <c r="L163" s="1"/>
  <c r="M163"/>
  <c r="N163"/>
  <c r="C164"/>
  <c r="F164"/>
  <c r="I164"/>
  <c r="L164" s="1"/>
  <c r="M164"/>
  <c r="N164"/>
  <c r="C165"/>
  <c r="F165"/>
  <c r="I165"/>
  <c r="L165" s="1"/>
  <c r="M165"/>
  <c r="N165"/>
  <c r="C166"/>
  <c r="F166"/>
  <c r="I166"/>
  <c r="L166" s="1"/>
  <c r="M166"/>
  <c r="N166"/>
  <c r="C167"/>
  <c r="F167"/>
  <c r="I167"/>
  <c r="L167" s="1"/>
  <c r="M167"/>
  <c r="N167"/>
  <c r="C168"/>
  <c r="F168"/>
  <c r="I168"/>
  <c r="L168" s="1"/>
  <c r="M168"/>
  <c r="N168"/>
  <c r="C169"/>
  <c r="F169"/>
  <c r="I169"/>
  <c r="L169" s="1"/>
  <c r="M169"/>
  <c r="N169"/>
  <c r="C170"/>
  <c r="F170"/>
  <c r="I170"/>
  <c r="L170" s="1"/>
  <c r="M170"/>
  <c r="N170"/>
  <c r="C171"/>
  <c r="F171"/>
  <c r="I171"/>
  <c r="L171"/>
  <c r="M171"/>
  <c r="N171"/>
  <c r="C172"/>
  <c r="F172"/>
  <c r="I172"/>
  <c r="L172" s="1"/>
  <c r="M172"/>
  <c r="N172"/>
  <c r="D173"/>
  <c r="E173"/>
  <c r="G173"/>
  <c r="H173"/>
  <c r="J173"/>
  <c r="K173"/>
  <c r="C174"/>
  <c r="F174"/>
  <c r="I174"/>
  <c r="L174" s="1"/>
  <c r="M174"/>
  <c r="N174"/>
  <c r="D175"/>
  <c r="E175"/>
  <c r="G175"/>
  <c r="H175"/>
  <c r="J175"/>
  <c r="M175" s="1"/>
  <c r="K175"/>
  <c r="C176"/>
  <c r="F176"/>
  <c r="I176"/>
  <c r="L176" s="1"/>
  <c r="M176"/>
  <c r="N176"/>
  <c r="C177"/>
  <c r="F177"/>
  <c r="I177"/>
  <c r="L177" s="1"/>
  <c r="M177"/>
  <c r="N177"/>
  <c r="O178"/>
  <c r="P178"/>
  <c r="D180"/>
  <c r="G180"/>
  <c r="J180"/>
  <c r="M180"/>
  <c r="K181"/>
  <c r="I181" s="1"/>
  <c r="E182"/>
  <c r="C182" s="1"/>
  <c r="H182"/>
  <c r="F182" s="1"/>
  <c r="K182"/>
  <c r="I182" s="1"/>
  <c r="C4" i="36"/>
  <c r="H4"/>
  <c r="M4"/>
  <c r="U4"/>
  <c r="Z4"/>
  <c r="D9"/>
  <c r="N9" s="1"/>
  <c r="F9"/>
  <c r="G9" s="1"/>
  <c r="H9"/>
  <c r="J9" s="1"/>
  <c r="L9"/>
  <c r="P9"/>
  <c r="T9"/>
  <c r="U9"/>
  <c r="W9" s="1"/>
  <c r="Y9"/>
  <c r="AA9"/>
  <c r="AB9"/>
  <c r="D10"/>
  <c r="F10"/>
  <c r="O10" s="1"/>
  <c r="H10"/>
  <c r="J10" s="1"/>
  <c r="L10"/>
  <c r="P10"/>
  <c r="R10"/>
  <c r="T10"/>
  <c r="U10"/>
  <c r="W10" s="1"/>
  <c r="Y10"/>
  <c r="AA10"/>
  <c r="AB10"/>
  <c r="I11"/>
  <c r="K11"/>
  <c r="Q11"/>
  <c r="S11"/>
  <c r="V11"/>
  <c r="X11"/>
  <c r="D14"/>
  <c r="F14"/>
  <c r="O14" s="1"/>
  <c r="H14"/>
  <c r="L14"/>
  <c r="U14"/>
  <c r="W14" s="1"/>
  <c r="Y14"/>
  <c r="D15"/>
  <c r="F15"/>
  <c r="H15"/>
  <c r="J15" s="1"/>
  <c r="L15"/>
  <c r="U15"/>
  <c r="Y15"/>
  <c r="D16"/>
  <c r="N16" s="1"/>
  <c r="F16"/>
  <c r="H16"/>
  <c r="J16" s="1"/>
  <c r="L16"/>
  <c r="U16"/>
  <c r="W16" s="1"/>
  <c r="Y16"/>
  <c r="I17"/>
  <c r="K17"/>
  <c r="P17"/>
  <c r="V17"/>
  <c r="X17"/>
  <c r="Q20"/>
  <c r="C4" i="37"/>
  <c r="O15"/>
  <c r="P15"/>
  <c r="Q15"/>
  <c r="C18"/>
  <c r="F18"/>
  <c r="I18"/>
  <c r="L18" s="1"/>
  <c r="M18"/>
  <c r="N18"/>
  <c r="P18"/>
  <c r="Q18"/>
  <c r="C19"/>
  <c r="F19"/>
  <c r="I19"/>
  <c r="L19" s="1"/>
  <c r="M19"/>
  <c r="N19"/>
  <c r="P19"/>
  <c r="P249" s="1"/>
  <c r="Q19"/>
  <c r="Q249" s="1"/>
  <c r="C20"/>
  <c r="F20"/>
  <c r="I20"/>
  <c r="M20"/>
  <c r="N20"/>
  <c r="P20"/>
  <c r="Q20"/>
  <c r="C21"/>
  <c r="F21"/>
  <c r="I21"/>
  <c r="L21" s="1"/>
  <c r="M21"/>
  <c r="N21"/>
  <c r="P21"/>
  <c r="Q21"/>
  <c r="D22"/>
  <c r="E22"/>
  <c r="G22"/>
  <c r="H22"/>
  <c r="J22"/>
  <c r="K22"/>
  <c r="N22" s="1"/>
  <c r="C23"/>
  <c r="F23"/>
  <c r="I23"/>
  <c r="L23" s="1"/>
  <c r="M23"/>
  <c r="N23"/>
  <c r="C24"/>
  <c r="F24"/>
  <c r="I24"/>
  <c r="L24" s="1"/>
  <c r="M24"/>
  <c r="N24"/>
  <c r="P24"/>
  <c r="Q24"/>
  <c r="C25"/>
  <c r="F25"/>
  <c r="I25"/>
  <c r="L25" s="1"/>
  <c r="M25"/>
  <c r="N25"/>
  <c r="P25"/>
  <c r="Q25"/>
  <c r="D26"/>
  <c r="E26"/>
  <c r="G26"/>
  <c r="H26"/>
  <c r="J26"/>
  <c r="K26"/>
  <c r="N26" s="1"/>
  <c r="C27"/>
  <c r="F27"/>
  <c r="L27"/>
  <c r="M27"/>
  <c r="N27"/>
  <c r="P27"/>
  <c r="Q27"/>
  <c r="D28"/>
  <c r="E28"/>
  <c r="G28"/>
  <c r="H28"/>
  <c r="J28"/>
  <c r="M28" s="1"/>
  <c r="K28"/>
  <c r="C29"/>
  <c r="F29"/>
  <c r="I29"/>
  <c r="L29" s="1"/>
  <c r="M29"/>
  <c r="N29"/>
  <c r="P29"/>
  <c r="Q29"/>
  <c r="C30"/>
  <c r="F30"/>
  <c r="I30"/>
  <c r="L30" s="1"/>
  <c r="M30"/>
  <c r="N30"/>
  <c r="P30"/>
  <c r="Q30"/>
  <c r="D31"/>
  <c r="E31"/>
  <c r="G31"/>
  <c r="H31"/>
  <c r="J31"/>
  <c r="K31"/>
  <c r="C32"/>
  <c r="F32"/>
  <c r="I32"/>
  <c r="L32" s="1"/>
  <c r="M32"/>
  <c r="N32"/>
  <c r="P32"/>
  <c r="Q32"/>
  <c r="C33"/>
  <c r="F33"/>
  <c r="I33"/>
  <c r="L33" s="1"/>
  <c r="M33"/>
  <c r="N33"/>
  <c r="P33"/>
  <c r="Q33"/>
  <c r="D34"/>
  <c r="E34"/>
  <c r="G34"/>
  <c r="H34"/>
  <c r="J34"/>
  <c r="K34"/>
  <c r="N34" s="1"/>
  <c r="C35"/>
  <c r="F35"/>
  <c r="I35"/>
  <c r="L35" s="1"/>
  <c r="M35"/>
  <c r="N35"/>
  <c r="P35"/>
  <c r="Q35"/>
  <c r="D36"/>
  <c r="E36"/>
  <c r="G36"/>
  <c r="H36"/>
  <c r="J36"/>
  <c r="K36"/>
  <c r="C37"/>
  <c r="F37"/>
  <c r="I37"/>
  <c r="M37"/>
  <c r="N37"/>
  <c r="P37"/>
  <c r="Q37"/>
  <c r="C38"/>
  <c r="F38"/>
  <c r="I38"/>
  <c r="L38" s="1"/>
  <c r="M38"/>
  <c r="N38"/>
  <c r="C39"/>
  <c r="F39"/>
  <c r="I39"/>
  <c r="L39" s="1"/>
  <c r="M39"/>
  <c r="N39"/>
  <c r="P39"/>
  <c r="Q39"/>
  <c r="C40"/>
  <c r="F40"/>
  <c r="P40"/>
  <c r="Q40"/>
  <c r="D41"/>
  <c r="E41"/>
  <c r="G41"/>
  <c r="H41"/>
  <c r="J41"/>
  <c r="M41" s="1"/>
  <c r="K41"/>
  <c r="N41" s="1"/>
  <c r="C42"/>
  <c r="F42"/>
  <c r="I42"/>
  <c r="L42" s="1"/>
  <c r="M42"/>
  <c r="N42"/>
  <c r="C43"/>
  <c r="F43"/>
  <c r="I43"/>
  <c r="L43" s="1"/>
  <c r="M43"/>
  <c r="N43"/>
  <c r="P43"/>
  <c r="Q43"/>
  <c r="C44"/>
  <c r="F44"/>
  <c r="I44"/>
  <c r="L44" s="1"/>
  <c r="M44"/>
  <c r="N44"/>
  <c r="P44"/>
  <c r="Q44"/>
  <c r="D45"/>
  <c r="E45"/>
  <c r="G45"/>
  <c r="H45"/>
  <c r="J45"/>
  <c r="K45"/>
  <c r="N45" s="1"/>
  <c r="C46"/>
  <c r="F46"/>
  <c r="I46"/>
  <c r="L46" s="1"/>
  <c r="M46"/>
  <c r="N46"/>
  <c r="C47"/>
  <c r="F47"/>
  <c r="I47"/>
  <c r="L47" s="1"/>
  <c r="M47"/>
  <c r="N47"/>
  <c r="P47"/>
  <c r="Q47"/>
  <c r="D48"/>
  <c r="E48"/>
  <c r="G48"/>
  <c r="H48"/>
  <c r="J48"/>
  <c r="M48" s="1"/>
  <c r="K48"/>
  <c r="N48" s="1"/>
  <c r="C49"/>
  <c r="F49"/>
  <c r="O49" s="1"/>
  <c r="I49"/>
  <c r="L49" s="1"/>
  <c r="M49"/>
  <c r="N49"/>
  <c r="P49"/>
  <c r="Q49"/>
  <c r="D50"/>
  <c r="E50"/>
  <c r="G50"/>
  <c r="H50"/>
  <c r="J50"/>
  <c r="M50" s="1"/>
  <c r="K50"/>
  <c r="N50" s="1"/>
  <c r="C51"/>
  <c r="F51"/>
  <c r="I51"/>
  <c r="L51" s="1"/>
  <c r="M51"/>
  <c r="N51"/>
  <c r="C52"/>
  <c r="F52"/>
  <c r="I52"/>
  <c r="L52" s="1"/>
  <c r="M52"/>
  <c r="N52"/>
  <c r="P52"/>
  <c r="Q52"/>
  <c r="C53"/>
  <c r="F53"/>
  <c r="I53"/>
  <c r="L53" s="1"/>
  <c r="M53"/>
  <c r="N53"/>
  <c r="P53"/>
  <c r="Q53"/>
  <c r="D54"/>
  <c r="E54"/>
  <c r="G54"/>
  <c r="H54"/>
  <c r="J54"/>
  <c r="K54"/>
  <c r="C55"/>
  <c r="F55"/>
  <c r="I55"/>
  <c r="L55"/>
  <c r="M55"/>
  <c r="N55"/>
  <c r="P55"/>
  <c r="Q55"/>
  <c r="C56"/>
  <c r="F56"/>
  <c r="I56"/>
  <c r="L56"/>
  <c r="M56"/>
  <c r="N56"/>
  <c r="P56"/>
  <c r="Q56"/>
  <c r="D57"/>
  <c r="E57"/>
  <c r="G57"/>
  <c r="H57"/>
  <c r="J57"/>
  <c r="K57"/>
  <c r="N57" s="1"/>
  <c r="C58"/>
  <c r="F58"/>
  <c r="I58"/>
  <c r="L58" s="1"/>
  <c r="M58"/>
  <c r="N58"/>
  <c r="P58"/>
  <c r="Q58"/>
  <c r="D59"/>
  <c r="E59"/>
  <c r="G59"/>
  <c r="H59"/>
  <c r="J59"/>
  <c r="K59"/>
  <c r="N59" s="1"/>
  <c r="C60"/>
  <c r="F60"/>
  <c r="I60"/>
  <c r="L60" s="1"/>
  <c r="M60"/>
  <c r="N60"/>
  <c r="P60"/>
  <c r="Q60"/>
  <c r="D61"/>
  <c r="E61"/>
  <c r="G61"/>
  <c r="H61"/>
  <c r="J61"/>
  <c r="K61"/>
  <c r="N61" s="1"/>
  <c r="C62"/>
  <c r="F62"/>
  <c r="I62"/>
  <c r="L62" s="1"/>
  <c r="M62"/>
  <c r="N62"/>
  <c r="P62"/>
  <c r="Q62"/>
  <c r="D63"/>
  <c r="E63"/>
  <c r="G63"/>
  <c r="H63"/>
  <c r="J63"/>
  <c r="M63" s="1"/>
  <c r="K63"/>
  <c r="N63" s="1"/>
  <c r="C64"/>
  <c r="F64"/>
  <c r="L64"/>
  <c r="M64"/>
  <c r="N64"/>
  <c r="P64"/>
  <c r="Q64"/>
  <c r="D65"/>
  <c r="E65"/>
  <c r="G65"/>
  <c r="H65"/>
  <c r="J65"/>
  <c r="M65" s="1"/>
  <c r="K65"/>
  <c r="N65" s="1"/>
  <c r="C66"/>
  <c r="F66"/>
  <c r="O66" s="1"/>
  <c r="L66"/>
  <c r="M66"/>
  <c r="N66"/>
  <c r="P66"/>
  <c r="Q66"/>
  <c r="C67"/>
  <c r="F67"/>
  <c r="P67"/>
  <c r="Q67"/>
  <c r="C68"/>
  <c r="F68"/>
  <c r="P68"/>
  <c r="Q68"/>
  <c r="C69"/>
  <c r="F69"/>
  <c r="P69"/>
  <c r="Q69"/>
  <c r="C70"/>
  <c r="F70"/>
  <c r="P70"/>
  <c r="Q70"/>
  <c r="D72"/>
  <c r="E72"/>
  <c r="G72"/>
  <c r="H72"/>
  <c r="J72"/>
  <c r="M72" s="1"/>
  <c r="K72"/>
  <c r="C73"/>
  <c r="F73"/>
  <c r="I73"/>
  <c r="L73"/>
  <c r="M73"/>
  <c r="N73"/>
  <c r="P73"/>
  <c r="Q73"/>
  <c r="C74"/>
  <c r="F74"/>
  <c r="I74"/>
  <c r="L74"/>
  <c r="M74"/>
  <c r="N74"/>
  <c r="P74"/>
  <c r="Q74"/>
  <c r="D75"/>
  <c r="E75"/>
  <c r="G75"/>
  <c r="H75"/>
  <c r="J75"/>
  <c r="K75"/>
  <c r="N75" s="1"/>
  <c r="C76"/>
  <c r="F76"/>
  <c r="I76"/>
  <c r="L76" s="1"/>
  <c r="M76"/>
  <c r="N76"/>
  <c r="P76"/>
  <c r="Q76"/>
  <c r="C77"/>
  <c r="F77"/>
  <c r="I77"/>
  <c r="L77" s="1"/>
  <c r="M77"/>
  <c r="N77"/>
  <c r="P77"/>
  <c r="Q77"/>
  <c r="D78"/>
  <c r="E78"/>
  <c r="G78"/>
  <c r="H78"/>
  <c r="J78"/>
  <c r="K78"/>
  <c r="N78" s="1"/>
  <c r="C79"/>
  <c r="F79"/>
  <c r="I79"/>
  <c r="M79"/>
  <c r="N79"/>
  <c r="P79"/>
  <c r="Q79"/>
  <c r="D80"/>
  <c r="E80"/>
  <c r="G80"/>
  <c r="H80"/>
  <c r="J80"/>
  <c r="K80"/>
  <c r="N80" s="1"/>
  <c r="C81"/>
  <c r="F81"/>
  <c r="I81"/>
  <c r="L81" s="1"/>
  <c r="M81"/>
  <c r="N81"/>
  <c r="P81"/>
  <c r="Q81"/>
  <c r="D82"/>
  <c r="E82"/>
  <c r="G82"/>
  <c r="H82"/>
  <c r="J82"/>
  <c r="K82"/>
  <c r="N82" s="1"/>
  <c r="C83"/>
  <c r="F83"/>
  <c r="I83"/>
  <c r="L83" s="1"/>
  <c r="M83"/>
  <c r="N83"/>
  <c r="P83"/>
  <c r="Q83"/>
  <c r="G84"/>
  <c r="H84"/>
  <c r="J84"/>
  <c r="K84"/>
  <c r="N84" s="1"/>
  <c r="D85"/>
  <c r="D84" s="1"/>
  <c r="E85"/>
  <c r="F85"/>
  <c r="I85"/>
  <c r="L85" s="1"/>
  <c r="M85"/>
  <c r="N85"/>
  <c r="C86"/>
  <c r="F86"/>
  <c r="I86"/>
  <c r="L86" s="1"/>
  <c r="M86"/>
  <c r="N86"/>
  <c r="P86"/>
  <c r="Q86"/>
  <c r="D87"/>
  <c r="E87"/>
  <c r="G87"/>
  <c r="H87"/>
  <c r="J87"/>
  <c r="K87"/>
  <c r="N87" s="1"/>
  <c r="C88"/>
  <c r="F88"/>
  <c r="I88"/>
  <c r="L88" s="1"/>
  <c r="M88"/>
  <c r="N88"/>
  <c r="P88"/>
  <c r="Q88"/>
  <c r="C91"/>
  <c r="G91"/>
  <c r="G239" s="1"/>
  <c r="I91"/>
  <c r="M91"/>
  <c r="N91"/>
  <c r="Q91"/>
  <c r="C92"/>
  <c r="F92"/>
  <c r="I92"/>
  <c r="M92"/>
  <c r="N92"/>
  <c r="P92"/>
  <c r="Q92"/>
  <c r="C93"/>
  <c r="O93" s="1"/>
  <c r="F93"/>
  <c r="I93"/>
  <c r="M93"/>
  <c r="N93"/>
  <c r="P93"/>
  <c r="Q93"/>
  <c r="C94"/>
  <c r="F94"/>
  <c r="I94"/>
  <c r="M94"/>
  <c r="N94"/>
  <c r="P94"/>
  <c r="Q94"/>
  <c r="C95"/>
  <c r="F95"/>
  <c r="I95"/>
  <c r="M95"/>
  <c r="N95"/>
  <c r="P95"/>
  <c r="Q95"/>
  <c r="C96"/>
  <c r="F96"/>
  <c r="I96"/>
  <c r="M96"/>
  <c r="N96"/>
  <c r="P96"/>
  <c r="Q96"/>
  <c r="C97"/>
  <c r="O97" s="1"/>
  <c r="F97"/>
  <c r="I97"/>
  <c r="M97"/>
  <c r="N97"/>
  <c r="P97"/>
  <c r="Q97"/>
  <c r="C98"/>
  <c r="F98"/>
  <c r="I98"/>
  <c r="M98"/>
  <c r="N98"/>
  <c r="P98"/>
  <c r="Q98"/>
  <c r="C99"/>
  <c r="F99"/>
  <c r="O99" s="1"/>
  <c r="I99"/>
  <c r="M99"/>
  <c r="N99"/>
  <c r="P99"/>
  <c r="Q99"/>
  <c r="C100"/>
  <c r="F100"/>
  <c r="I100"/>
  <c r="M100"/>
  <c r="N100"/>
  <c r="P100"/>
  <c r="Q100"/>
  <c r="D101"/>
  <c r="E101"/>
  <c r="G101"/>
  <c r="H101"/>
  <c r="I101"/>
  <c r="L101" s="1"/>
  <c r="M101"/>
  <c r="N101"/>
  <c r="D102"/>
  <c r="E102"/>
  <c r="G102"/>
  <c r="H102"/>
  <c r="C103"/>
  <c r="O103" s="1"/>
  <c r="F103"/>
  <c r="I103"/>
  <c r="M103"/>
  <c r="N103"/>
  <c r="P103"/>
  <c r="Q103"/>
  <c r="C104"/>
  <c r="F104"/>
  <c r="I104"/>
  <c r="M104"/>
  <c r="N104"/>
  <c r="P104"/>
  <c r="Q104"/>
  <c r="C105"/>
  <c r="F105"/>
  <c r="I105"/>
  <c r="L105" s="1"/>
  <c r="M105"/>
  <c r="N105"/>
  <c r="P105"/>
  <c r="Q105"/>
  <c r="C106"/>
  <c r="F106"/>
  <c r="I106"/>
  <c r="L106" s="1"/>
  <c r="M106"/>
  <c r="N106"/>
  <c r="P106"/>
  <c r="Q106"/>
  <c r="C107"/>
  <c r="F107"/>
  <c r="I107"/>
  <c r="L107" s="1"/>
  <c r="M107"/>
  <c r="N107"/>
  <c r="P107"/>
  <c r="Q107"/>
  <c r="C108"/>
  <c r="F108"/>
  <c r="I108"/>
  <c r="L108" s="1"/>
  <c r="M108"/>
  <c r="N108"/>
  <c r="P108"/>
  <c r="Q108"/>
  <c r="C109"/>
  <c r="F109"/>
  <c r="I109"/>
  <c r="L109" s="1"/>
  <c r="M109"/>
  <c r="N109"/>
  <c r="P109"/>
  <c r="Q109"/>
  <c r="C110"/>
  <c r="F110"/>
  <c r="I110"/>
  <c r="M110"/>
  <c r="N110"/>
  <c r="P110"/>
  <c r="Q110"/>
  <c r="C111"/>
  <c r="F111"/>
  <c r="I111"/>
  <c r="L111" s="1"/>
  <c r="M111"/>
  <c r="N111"/>
  <c r="P111"/>
  <c r="Q111"/>
  <c r="C112"/>
  <c r="F112"/>
  <c r="I112"/>
  <c r="L112" s="1"/>
  <c r="M112"/>
  <c r="N112"/>
  <c r="P112"/>
  <c r="Q112"/>
  <c r="C113"/>
  <c r="F113"/>
  <c r="I113"/>
  <c r="L113" s="1"/>
  <c r="M113"/>
  <c r="N113"/>
  <c r="P113"/>
  <c r="Q113"/>
  <c r="C114"/>
  <c r="F114"/>
  <c r="I114"/>
  <c r="L114" s="1"/>
  <c r="M114"/>
  <c r="N114"/>
  <c r="P114"/>
  <c r="Q114"/>
  <c r="C115"/>
  <c r="F115"/>
  <c r="I115"/>
  <c r="L115" s="1"/>
  <c r="M115"/>
  <c r="N115"/>
  <c r="P115"/>
  <c r="Q115"/>
  <c r="C116"/>
  <c r="F116"/>
  <c r="I116"/>
  <c r="L116" s="1"/>
  <c r="M116"/>
  <c r="N116"/>
  <c r="P116"/>
  <c r="Q116"/>
  <c r="C117"/>
  <c r="F117"/>
  <c r="I117"/>
  <c r="L117" s="1"/>
  <c r="M117"/>
  <c r="N117"/>
  <c r="P117"/>
  <c r="Q117"/>
  <c r="C118"/>
  <c r="F118"/>
  <c r="I118"/>
  <c r="L118"/>
  <c r="M118"/>
  <c r="N118"/>
  <c r="P118"/>
  <c r="Q118"/>
  <c r="C119"/>
  <c r="F119"/>
  <c r="I119"/>
  <c r="L119" s="1"/>
  <c r="M119"/>
  <c r="N119"/>
  <c r="P119"/>
  <c r="Q119"/>
  <c r="C120"/>
  <c r="F120"/>
  <c r="I120"/>
  <c r="L120" s="1"/>
  <c r="M120"/>
  <c r="N120"/>
  <c r="P120"/>
  <c r="Q120"/>
  <c r="C121"/>
  <c r="F121"/>
  <c r="I121"/>
  <c r="L121" s="1"/>
  <c r="M121"/>
  <c r="N121"/>
  <c r="P121"/>
  <c r="Q121"/>
  <c r="C122"/>
  <c r="F122"/>
  <c r="I122"/>
  <c r="L122" s="1"/>
  <c r="M122"/>
  <c r="N122"/>
  <c r="P122"/>
  <c r="Q122"/>
  <c r="C123"/>
  <c r="F123"/>
  <c r="I123"/>
  <c r="L123" s="1"/>
  <c r="M123"/>
  <c r="N123"/>
  <c r="P123"/>
  <c r="Q123"/>
  <c r="C124"/>
  <c r="F124"/>
  <c r="I124"/>
  <c r="L124" s="1"/>
  <c r="M124"/>
  <c r="N124"/>
  <c r="P124"/>
  <c r="Q124"/>
  <c r="C125"/>
  <c r="F125"/>
  <c r="I125"/>
  <c r="L125" s="1"/>
  <c r="M125"/>
  <c r="N125"/>
  <c r="P125"/>
  <c r="Q125"/>
  <c r="C126"/>
  <c r="O126" s="1"/>
  <c r="F126"/>
  <c r="I126"/>
  <c r="L126" s="1"/>
  <c r="M126"/>
  <c r="N126"/>
  <c r="P126"/>
  <c r="Q126"/>
  <c r="C127"/>
  <c r="F127"/>
  <c r="O127" s="1"/>
  <c r="I127"/>
  <c r="L127" s="1"/>
  <c r="M127"/>
  <c r="N127"/>
  <c r="P127"/>
  <c r="Q127"/>
  <c r="C128"/>
  <c r="F128"/>
  <c r="I128"/>
  <c r="L128" s="1"/>
  <c r="M128"/>
  <c r="N128"/>
  <c r="C129"/>
  <c r="F129"/>
  <c r="I129"/>
  <c r="L129" s="1"/>
  <c r="M129"/>
  <c r="N129"/>
  <c r="P129"/>
  <c r="Q129"/>
  <c r="C130"/>
  <c r="F130"/>
  <c r="I130"/>
  <c r="L130" s="1"/>
  <c r="M130"/>
  <c r="N130"/>
  <c r="P130"/>
  <c r="Q130"/>
  <c r="C131"/>
  <c r="F131"/>
  <c r="I131"/>
  <c r="L131" s="1"/>
  <c r="M131"/>
  <c r="N131"/>
  <c r="P131"/>
  <c r="Q131"/>
  <c r="C132"/>
  <c r="F132"/>
  <c r="I132"/>
  <c r="L132" s="1"/>
  <c r="M132"/>
  <c r="N132"/>
  <c r="P132"/>
  <c r="Q132"/>
  <c r="C133"/>
  <c r="F133"/>
  <c r="I133"/>
  <c r="L133" s="1"/>
  <c r="M133"/>
  <c r="N133"/>
  <c r="P133"/>
  <c r="Q133"/>
  <c r="C134"/>
  <c r="F134"/>
  <c r="I134"/>
  <c r="L134" s="1"/>
  <c r="M134"/>
  <c r="N134"/>
  <c r="P134"/>
  <c r="Q134"/>
  <c r="C135"/>
  <c r="F135"/>
  <c r="I135"/>
  <c r="L135" s="1"/>
  <c r="M135"/>
  <c r="N135"/>
  <c r="P135"/>
  <c r="Q135"/>
  <c r="C136"/>
  <c r="F136"/>
  <c r="I136"/>
  <c r="L136" s="1"/>
  <c r="M136"/>
  <c r="N136"/>
  <c r="P136"/>
  <c r="Q136"/>
  <c r="C137"/>
  <c r="F137"/>
  <c r="I137"/>
  <c r="L137" s="1"/>
  <c r="M137"/>
  <c r="N137"/>
  <c r="P137"/>
  <c r="Q137"/>
  <c r="C138"/>
  <c r="F138"/>
  <c r="I138"/>
  <c r="L138" s="1"/>
  <c r="M138"/>
  <c r="N138"/>
  <c r="P138"/>
  <c r="Q138"/>
  <c r="C139"/>
  <c r="F139"/>
  <c r="I139"/>
  <c r="L139" s="1"/>
  <c r="M139"/>
  <c r="N139"/>
  <c r="P139"/>
  <c r="Q139"/>
  <c r="C140"/>
  <c r="F140"/>
  <c r="I140"/>
  <c r="L140" s="1"/>
  <c r="M140"/>
  <c r="N140"/>
  <c r="P140"/>
  <c r="Q140"/>
  <c r="C141"/>
  <c r="F141"/>
  <c r="I141"/>
  <c r="L141" s="1"/>
  <c r="M141"/>
  <c r="N141"/>
  <c r="P141"/>
  <c r="Q141"/>
  <c r="C142"/>
  <c r="F142"/>
  <c r="I142"/>
  <c r="L142" s="1"/>
  <c r="M142"/>
  <c r="N142"/>
  <c r="P142"/>
  <c r="Q142"/>
  <c r="C143"/>
  <c r="F143"/>
  <c r="O143" s="1"/>
  <c r="I143"/>
  <c r="L143" s="1"/>
  <c r="M143"/>
  <c r="N143"/>
  <c r="P143"/>
  <c r="Q143"/>
  <c r="C144"/>
  <c r="F144"/>
  <c r="I144"/>
  <c r="L144" s="1"/>
  <c r="M144"/>
  <c r="N144"/>
  <c r="P144"/>
  <c r="Q144"/>
  <c r="J145"/>
  <c r="K145"/>
  <c r="K90" s="1"/>
  <c r="C146"/>
  <c r="O146" s="1"/>
  <c r="F146"/>
  <c r="I146"/>
  <c r="L146" s="1"/>
  <c r="M146"/>
  <c r="N146"/>
  <c r="P146"/>
  <c r="Q146"/>
  <c r="C147"/>
  <c r="F147"/>
  <c r="I147"/>
  <c r="L147"/>
  <c r="M147"/>
  <c r="N147"/>
  <c r="P147"/>
  <c r="Q147"/>
  <c r="C148"/>
  <c r="F148"/>
  <c r="I148"/>
  <c r="L148"/>
  <c r="M148"/>
  <c r="N148"/>
  <c r="P148"/>
  <c r="Q148"/>
  <c r="C149"/>
  <c r="O149" s="1"/>
  <c r="F149"/>
  <c r="I149"/>
  <c r="L149" s="1"/>
  <c r="M149"/>
  <c r="N149"/>
  <c r="P149"/>
  <c r="Q149"/>
  <c r="C150"/>
  <c r="F150"/>
  <c r="I150"/>
  <c r="L150" s="1"/>
  <c r="M150"/>
  <c r="N150"/>
  <c r="P150"/>
  <c r="Q150"/>
  <c r="E151"/>
  <c r="F151"/>
  <c r="I151"/>
  <c r="L151" s="1"/>
  <c r="M151"/>
  <c r="N151"/>
  <c r="P151"/>
  <c r="E152"/>
  <c r="F152"/>
  <c r="I152"/>
  <c r="L152" s="1"/>
  <c r="M152"/>
  <c r="N152"/>
  <c r="P152"/>
  <c r="C153"/>
  <c r="F153"/>
  <c r="I153"/>
  <c r="L153" s="1"/>
  <c r="M153"/>
  <c r="N153"/>
  <c r="P153"/>
  <c r="Q153"/>
  <c r="C154"/>
  <c r="F154"/>
  <c r="I154"/>
  <c r="L154" s="1"/>
  <c r="M154"/>
  <c r="N154"/>
  <c r="P154"/>
  <c r="Q154"/>
  <c r="C155"/>
  <c r="F155"/>
  <c r="I155"/>
  <c r="P155"/>
  <c r="Q155"/>
  <c r="C156"/>
  <c r="F156"/>
  <c r="I156"/>
  <c r="P156"/>
  <c r="Q156"/>
  <c r="C157"/>
  <c r="F157"/>
  <c r="I157"/>
  <c r="P157"/>
  <c r="Q157"/>
  <c r="C158"/>
  <c r="F158"/>
  <c r="I158"/>
  <c r="P158"/>
  <c r="Q158"/>
  <c r="C159"/>
  <c r="F159"/>
  <c r="I159"/>
  <c r="P159"/>
  <c r="Q159"/>
  <c r="C160"/>
  <c r="F160"/>
  <c r="I160"/>
  <c r="P160"/>
  <c r="Q160"/>
  <c r="C161"/>
  <c r="F161"/>
  <c r="I161"/>
  <c r="L161" s="1"/>
  <c r="M161"/>
  <c r="N161"/>
  <c r="P161"/>
  <c r="Q161"/>
  <c r="C162"/>
  <c r="F162"/>
  <c r="I162"/>
  <c r="L162" s="1"/>
  <c r="M162"/>
  <c r="N162"/>
  <c r="P162"/>
  <c r="Q162"/>
  <c r="C163"/>
  <c r="F163"/>
  <c r="I163"/>
  <c r="M163"/>
  <c r="N163"/>
  <c r="P163"/>
  <c r="Q163"/>
  <c r="C164"/>
  <c r="F164"/>
  <c r="I164"/>
  <c r="L164" s="1"/>
  <c r="M164"/>
  <c r="N164"/>
  <c r="P164"/>
  <c r="Q164"/>
  <c r="C165"/>
  <c r="F165"/>
  <c r="I165"/>
  <c r="L165" s="1"/>
  <c r="M165"/>
  <c r="N165"/>
  <c r="P165"/>
  <c r="Q165"/>
  <c r="C166"/>
  <c r="F166"/>
  <c r="I166"/>
  <c r="L166"/>
  <c r="M166"/>
  <c r="N166"/>
  <c r="P166"/>
  <c r="Q166"/>
  <c r="C167"/>
  <c r="F167"/>
  <c r="I167"/>
  <c r="L167" s="1"/>
  <c r="M167"/>
  <c r="N167"/>
  <c r="P167"/>
  <c r="Q167"/>
  <c r="C168"/>
  <c r="F168"/>
  <c r="I168"/>
  <c r="L168" s="1"/>
  <c r="M168"/>
  <c r="N168"/>
  <c r="P168"/>
  <c r="Q168"/>
  <c r="C169"/>
  <c r="F169"/>
  <c r="I169"/>
  <c r="M169"/>
  <c r="N169"/>
  <c r="P169"/>
  <c r="Q169"/>
  <c r="C170"/>
  <c r="F170"/>
  <c r="I170"/>
  <c r="L170" s="1"/>
  <c r="M170"/>
  <c r="N170"/>
  <c r="P170"/>
  <c r="Q170"/>
  <c r="C171"/>
  <c r="F171"/>
  <c r="I171"/>
  <c r="L171" s="1"/>
  <c r="M171"/>
  <c r="N171"/>
  <c r="P171"/>
  <c r="Q171"/>
  <c r="C172"/>
  <c r="F172"/>
  <c r="I172"/>
  <c r="L172" s="1"/>
  <c r="M172"/>
  <c r="N172"/>
  <c r="P172"/>
  <c r="Q172"/>
  <c r="C173"/>
  <c r="F173"/>
  <c r="I173"/>
  <c r="L173" s="1"/>
  <c r="M173"/>
  <c r="N173"/>
  <c r="P173"/>
  <c r="Q173"/>
  <c r="D174"/>
  <c r="F174"/>
  <c r="I174"/>
  <c r="M174"/>
  <c r="N174"/>
  <c r="Q174"/>
  <c r="E176"/>
  <c r="H176"/>
  <c r="F176" s="1"/>
  <c r="H242"/>
  <c r="I176"/>
  <c r="M176"/>
  <c r="P176"/>
  <c r="C177"/>
  <c r="F177"/>
  <c r="I177"/>
  <c r="M177"/>
  <c r="N177"/>
  <c r="P177"/>
  <c r="Q177"/>
  <c r="C178"/>
  <c r="F178"/>
  <c r="I178"/>
  <c r="M178"/>
  <c r="N178"/>
  <c r="P178"/>
  <c r="Q178"/>
  <c r="C179"/>
  <c r="F179"/>
  <c r="I179"/>
  <c r="L179" s="1"/>
  <c r="M179"/>
  <c r="N179"/>
  <c r="P179"/>
  <c r="Q179"/>
  <c r="C180"/>
  <c r="F180"/>
  <c r="I180"/>
  <c r="L180" s="1"/>
  <c r="M180"/>
  <c r="N180"/>
  <c r="P180"/>
  <c r="Q180"/>
  <c r="D181"/>
  <c r="E181"/>
  <c r="G181"/>
  <c r="H181"/>
  <c r="I181"/>
  <c r="L181" s="1"/>
  <c r="M181"/>
  <c r="N181"/>
  <c r="D182"/>
  <c r="E182"/>
  <c r="G182"/>
  <c r="H182"/>
  <c r="C183"/>
  <c r="F183"/>
  <c r="I183"/>
  <c r="L183" s="1"/>
  <c r="M183"/>
  <c r="N183"/>
  <c r="P183"/>
  <c r="Q183"/>
  <c r="C184"/>
  <c r="F184"/>
  <c r="I184"/>
  <c r="L184" s="1"/>
  <c r="M184"/>
  <c r="N184"/>
  <c r="P184"/>
  <c r="Q184"/>
  <c r="C185"/>
  <c r="F185"/>
  <c r="I185"/>
  <c r="L185" s="1"/>
  <c r="M185"/>
  <c r="N185"/>
  <c r="P185"/>
  <c r="Q185"/>
  <c r="C186"/>
  <c r="F186"/>
  <c r="P186"/>
  <c r="Q186"/>
  <c r="C187"/>
  <c r="F187"/>
  <c r="P187"/>
  <c r="Q187"/>
  <c r="C188"/>
  <c r="F188"/>
  <c r="I188"/>
  <c r="L188" s="1"/>
  <c r="M188"/>
  <c r="N188"/>
  <c r="P188"/>
  <c r="Q188"/>
  <c r="C189"/>
  <c r="F189"/>
  <c r="I189"/>
  <c r="M189"/>
  <c r="N189"/>
  <c r="P189"/>
  <c r="Q189"/>
  <c r="C190"/>
  <c r="F190"/>
  <c r="I190"/>
  <c r="L190" s="1"/>
  <c r="M190"/>
  <c r="N190"/>
  <c r="P190"/>
  <c r="Q190"/>
  <c r="C191"/>
  <c r="O191" s="1"/>
  <c r="F191"/>
  <c r="I191"/>
  <c r="L191" s="1"/>
  <c r="M191"/>
  <c r="N191"/>
  <c r="P191"/>
  <c r="Q191"/>
  <c r="C192"/>
  <c r="F192"/>
  <c r="I192"/>
  <c r="L192" s="1"/>
  <c r="M192"/>
  <c r="N192"/>
  <c r="P192"/>
  <c r="Q192"/>
  <c r="C193"/>
  <c r="F193"/>
  <c r="I193"/>
  <c r="L193" s="1"/>
  <c r="M193"/>
  <c r="N193"/>
  <c r="P193"/>
  <c r="Q193"/>
  <c r="C194"/>
  <c r="F194"/>
  <c r="I194"/>
  <c r="L194" s="1"/>
  <c r="M194"/>
  <c r="N194"/>
  <c r="P194"/>
  <c r="Q194"/>
  <c r="C195"/>
  <c r="F195"/>
  <c r="O195" s="1"/>
  <c r="I195"/>
  <c r="L195" s="1"/>
  <c r="M195"/>
  <c r="N195"/>
  <c r="P195"/>
  <c r="Q195"/>
  <c r="C196"/>
  <c r="F196"/>
  <c r="I196"/>
  <c r="L196" s="1"/>
  <c r="M196"/>
  <c r="N196"/>
  <c r="P196"/>
  <c r="Q196"/>
  <c r="C197"/>
  <c r="F197"/>
  <c r="I197"/>
  <c r="L197" s="1"/>
  <c r="M197"/>
  <c r="N197"/>
  <c r="P197"/>
  <c r="Q197"/>
  <c r="C198"/>
  <c r="F198"/>
  <c r="I198"/>
  <c r="L198" s="1"/>
  <c r="M198"/>
  <c r="N198"/>
  <c r="P198"/>
  <c r="Q198"/>
  <c r="C199"/>
  <c r="F199"/>
  <c r="I199"/>
  <c r="L199" s="1"/>
  <c r="M199"/>
  <c r="N199"/>
  <c r="P199"/>
  <c r="Q199"/>
  <c r="C200"/>
  <c r="F200"/>
  <c r="I200"/>
  <c r="M200"/>
  <c r="N200"/>
  <c r="P200"/>
  <c r="Q200"/>
  <c r="C201"/>
  <c r="F201"/>
  <c r="I201"/>
  <c r="L201" s="1"/>
  <c r="M201"/>
  <c r="N201"/>
  <c r="P201"/>
  <c r="Q201"/>
  <c r="C202"/>
  <c r="F202"/>
  <c r="I202"/>
  <c r="M202"/>
  <c r="N202"/>
  <c r="P202"/>
  <c r="Q202"/>
  <c r="C203"/>
  <c r="F203"/>
  <c r="I203"/>
  <c r="L203"/>
  <c r="M203"/>
  <c r="N203"/>
  <c r="P203"/>
  <c r="Q203"/>
  <c r="C204"/>
  <c r="F204"/>
  <c r="I204"/>
  <c r="L204"/>
  <c r="M204"/>
  <c r="N204"/>
  <c r="P204"/>
  <c r="Q204"/>
  <c r="C205"/>
  <c r="F205"/>
  <c r="I205"/>
  <c r="M205"/>
  <c r="N205"/>
  <c r="P205"/>
  <c r="Q205"/>
  <c r="D208"/>
  <c r="E208"/>
  <c r="G208"/>
  <c r="F208" s="1"/>
  <c r="H208"/>
  <c r="J208"/>
  <c r="K208"/>
  <c r="C209"/>
  <c r="F209"/>
  <c r="I209"/>
  <c r="L209" s="1"/>
  <c r="M209"/>
  <c r="N209"/>
  <c r="D210"/>
  <c r="E210"/>
  <c r="G210"/>
  <c r="H210"/>
  <c r="J210"/>
  <c r="K210"/>
  <c r="N210" s="1"/>
  <c r="C211"/>
  <c r="F211"/>
  <c r="I211"/>
  <c r="L211" s="1"/>
  <c r="M211"/>
  <c r="N211"/>
  <c r="P211"/>
  <c r="Q211"/>
  <c r="D212"/>
  <c r="E212"/>
  <c r="G212"/>
  <c r="H212"/>
  <c r="J212"/>
  <c r="K212"/>
  <c r="C213"/>
  <c r="F213"/>
  <c r="I213"/>
  <c r="L213" s="1"/>
  <c r="M213"/>
  <c r="N213"/>
  <c r="P213"/>
  <c r="Q213"/>
  <c r="D214"/>
  <c r="E214"/>
  <c r="G214"/>
  <c r="H214"/>
  <c r="J214"/>
  <c r="K214"/>
  <c r="N214" s="1"/>
  <c r="C215"/>
  <c r="F215"/>
  <c r="I215"/>
  <c r="L215" s="1"/>
  <c r="M215"/>
  <c r="N215"/>
  <c r="D218"/>
  <c r="E218"/>
  <c r="J218"/>
  <c r="K218"/>
  <c r="C219"/>
  <c r="F219"/>
  <c r="I219"/>
  <c r="L219" s="1"/>
  <c r="M219"/>
  <c r="N219"/>
  <c r="C220"/>
  <c r="G220"/>
  <c r="H220"/>
  <c r="Q220" s="1"/>
  <c r="I220"/>
  <c r="L220" s="1"/>
  <c r="M220"/>
  <c r="N220"/>
  <c r="C221"/>
  <c r="F221"/>
  <c r="I221"/>
  <c r="M221"/>
  <c r="N221"/>
  <c r="N242" s="1"/>
  <c r="P221"/>
  <c r="Q221"/>
  <c r="C222"/>
  <c r="G222"/>
  <c r="H222"/>
  <c r="Q222" s="1"/>
  <c r="I222"/>
  <c r="L222" s="1"/>
  <c r="M222"/>
  <c r="N222"/>
  <c r="C223"/>
  <c r="G223"/>
  <c r="P223" s="1"/>
  <c r="H223"/>
  <c r="I223"/>
  <c r="L223" s="1"/>
  <c r="M223"/>
  <c r="N223"/>
  <c r="C224"/>
  <c r="G224"/>
  <c r="P224" s="1"/>
  <c r="H224"/>
  <c r="Q224" s="1"/>
  <c r="I224"/>
  <c r="L224" s="1"/>
  <c r="M224"/>
  <c r="N224"/>
  <c r="C225"/>
  <c r="G225"/>
  <c r="H225"/>
  <c r="I225"/>
  <c r="C226"/>
  <c r="G226"/>
  <c r="M226" s="1"/>
  <c r="H226"/>
  <c r="N226" s="1"/>
  <c r="I226"/>
  <c r="C227"/>
  <c r="G227"/>
  <c r="H227"/>
  <c r="N227" s="1"/>
  <c r="I227"/>
  <c r="C228"/>
  <c r="G228"/>
  <c r="H228"/>
  <c r="I228"/>
  <c r="C229"/>
  <c r="G229"/>
  <c r="H229"/>
  <c r="Q229" s="1"/>
  <c r="I229"/>
  <c r="L229" s="1"/>
  <c r="M229"/>
  <c r="N229"/>
  <c r="C230"/>
  <c r="G230"/>
  <c r="H230"/>
  <c r="Q230" s="1"/>
  <c r="I230"/>
  <c r="L230" s="1"/>
  <c r="M230"/>
  <c r="N230"/>
  <c r="C231"/>
  <c r="G231"/>
  <c r="H231"/>
  <c r="I231"/>
  <c r="L231" s="1"/>
  <c r="M231"/>
  <c r="N231"/>
  <c r="D232"/>
  <c r="E232"/>
  <c r="E217" s="1"/>
  <c r="E216" s="1"/>
  <c r="G232"/>
  <c r="H232"/>
  <c r="J232"/>
  <c r="M232" s="1"/>
  <c r="K232"/>
  <c r="C233"/>
  <c r="F233"/>
  <c r="I233"/>
  <c r="L233" s="1"/>
  <c r="M233"/>
  <c r="N233"/>
  <c r="P233"/>
  <c r="Q233"/>
  <c r="D234"/>
  <c r="E234"/>
  <c r="G234"/>
  <c r="H234"/>
  <c r="J234"/>
  <c r="K234"/>
  <c r="C235"/>
  <c r="F235"/>
  <c r="I235"/>
  <c r="L235" s="1"/>
  <c r="M235"/>
  <c r="N235"/>
  <c r="P235"/>
  <c r="Q235"/>
  <c r="C236"/>
  <c r="F236"/>
  <c r="I236"/>
  <c r="L236" s="1"/>
  <c r="M236"/>
  <c r="N236"/>
  <c r="P236"/>
  <c r="Q236"/>
  <c r="C237"/>
  <c r="F237"/>
  <c r="I237"/>
  <c r="M237"/>
  <c r="N237"/>
  <c r="P237"/>
  <c r="Q237"/>
  <c r="O238"/>
  <c r="P238"/>
  <c r="Q238"/>
  <c r="D239"/>
  <c r="E239"/>
  <c r="H239"/>
  <c r="J239"/>
  <c r="K239"/>
  <c r="D242"/>
  <c r="G242"/>
  <c r="J242"/>
  <c r="K242"/>
  <c r="D243"/>
  <c r="E243"/>
  <c r="G243"/>
  <c r="H243"/>
  <c r="J243"/>
  <c r="K243"/>
  <c r="C4" i="46"/>
  <c r="C13"/>
  <c r="F13"/>
  <c r="C14"/>
  <c r="F14"/>
  <c r="C15"/>
  <c r="F15"/>
  <c r="C16"/>
  <c r="F16"/>
  <c r="C17"/>
  <c r="F17"/>
  <c r="C18"/>
  <c r="F18"/>
  <c r="C19"/>
  <c r="F19"/>
  <c r="C20"/>
  <c r="F20"/>
  <c r="C21"/>
  <c r="F21"/>
  <c r="C22"/>
  <c r="F22"/>
  <c r="C23"/>
  <c r="F23"/>
  <c r="C24"/>
  <c r="F24"/>
  <c r="C25"/>
  <c r="F25"/>
  <c r="C26"/>
  <c r="F26"/>
  <c r="C27"/>
  <c r="F27"/>
  <c r="C28"/>
  <c r="F28"/>
  <c r="C29"/>
  <c r="F29"/>
  <c r="C30"/>
  <c r="F30"/>
  <c r="C31"/>
  <c r="F31"/>
  <c r="C32"/>
  <c r="F32"/>
  <c r="C33"/>
  <c r="F33"/>
  <c r="C34"/>
  <c r="F34"/>
  <c r="C35"/>
  <c r="F35"/>
  <c r="C36"/>
  <c r="F36"/>
  <c r="C37"/>
  <c r="F37"/>
  <c r="C39"/>
  <c r="F39"/>
  <c r="C40"/>
  <c r="F40"/>
  <c r="C41"/>
  <c r="F41"/>
  <c r="C42"/>
  <c r="F42"/>
  <c r="E43"/>
  <c r="F43"/>
  <c r="E44"/>
  <c r="C44" s="1"/>
  <c r="F44"/>
  <c r="C45"/>
  <c r="F45"/>
  <c r="C46"/>
  <c r="F46"/>
  <c r="C47"/>
  <c r="F47"/>
  <c r="C48"/>
  <c r="F48"/>
  <c r="C49"/>
  <c r="F49"/>
  <c r="C50"/>
  <c r="F50"/>
  <c r="C51"/>
  <c r="F51"/>
  <c r="C52"/>
  <c r="F52"/>
  <c r="C53"/>
  <c r="F53"/>
  <c r="C54"/>
  <c r="F54"/>
  <c r="C55"/>
  <c r="F55"/>
  <c r="D56"/>
  <c r="E56"/>
  <c r="F56"/>
  <c r="D57"/>
  <c r="E57"/>
  <c r="F57"/>
  <c r="D58"/>
  <c r="E58"/>
  <c r="F58"/>
  <c r="D59"/>
  <c r="E59"/>
  <c r="F59"/>
  <c r="D60"/>
  <c r="E60"/>
  <c r="F60"/>
  <c r="D61"/>
  <c r="E61"/>
  <c r="F61"/>
  <c r="D62"/>
  <c r="E62"/>
  <c r="F62"/>
  <c r="D63"/>
  <c r="E63"/>
  <c r="F63"/>
  <c r="D64"/>
  <c r="E64"/>
  <c r="G64"/>
  <c r="H64"/>
  <c r="H38" s="1"/>
  <c r="H12" s="1"/>
  <c r="D65"/>
  <c r="C65" s="1"/>
  <c r="E65"/>
  <c r="F65"/>
  <c r="C4" i="50"/>
  <c r="C12"/>
  <c r="F12"/>
  <c r="I12"/>
  <c r="L12"/>
  <c r="C13"/>
  <c r="F13"/>
  <c r="I13"/>
  <c r="L13"/>
  <c r="D14"/>
  <c r="E14"/>
  <c r="F14"/>
  <c r="I14"/>
  <c r="L14"/>
  <c r="D15"/>
  <c r="E15"/>
  <c r="F15"/>
  <c r="I15"/>
  <c r="L15"/>
  <c r="D16"/>
  <c r="E16"/>
  <c r="F16"/>
  <c r="I16"/>
  <c r="L16"/>
  <c r="D17"/>
  <c r="E17"/>
  <c r="F17"/>
  <c r="I17"/>
  <c r="L17"/>
  <c r="D18"/>
  <c r="E18"/>
  <c r="F18"/>
  <c r="I18"/>
  <c r="L18"/>
  <c r="C19"/>
  <c r="F19"/>
  <c r="I19"/>
  <c r="L19"/>
  <c r="C4" i="49"/>
  <c r="C13"/>
  <c r="F13"/>
  <c r="C14"/>
  <c r="C25" s="1"/>
  <c r="F14"/>
  <c r="F25" s="1"/>
  <c r="D15"/>
  <c r="E15"/>
  <c r="G15"/>
  <c r="H15"/>
  <c r="C16"/>
  <c r="F16"/>
  <c r="C17"/>
  <c r="F17"/>
  <c r="C18"/>
  <c r="F18"/>
  <c r="D19"/>
  <c r="E19"/>
  <c r="F19"/>
  <c r="D20"/>
  <c r="E20"/>
  <c r="D21"/>
  <c r="E21"/>
  <c r="F21"/>
  <c r="C22"/>
  <c r="F22"/>
  <c r="D25"/>
  <c r="E25"/>
  <c r="G25"/>
  <c r="H25"/>
  <c r="G26"/>
  <c r="H26"/>
  <c r="C4" i="47"/>
  <c r="C16"/>
  <c r="F16"/>
  <c r="I16"/>
  <c r="L16" s="1"/>
  <c r="M16"/>
  <c r="N16"/>
  <c r="R16"/>
  <c r="R263" s="1"/>
  <c r="S16"/>
  <c r="S263" s="1"/>
  <c r="AB16"/>
  <c r="AC16"/>
  <c r="C17"/>
  <c r="F17"/>
  <c r="I17"/>
  <c r="M17"/>
  <c r="N17"/>
  <c r="R17"/>
  <c r="S17"/>
  <c r="AB17"/>
  <c r="AC17"/>
  <c r="C18"/>
  <c r="C250" s="1"/>
  <c r="F18"/>
  <c r="F250" s="1"/>
  <c r="I18"/>
  <c r="M18"/>
  <c r="N18"/>
  <c r="R18"/>
  <c r="S18"/>
  <c r="AB18"/>
  <c r="AC18"/>
  <c r="D19"/>
  <c r="E19"/>
  <c r="G19"/>
  <c r="J19"/>
  <c r="M19" s="1"/>
  <c r="K19"/>
  <c r="C20"/>
  <c r="F20"/>
  <c r="I20"/>
  <c r="L20" s="1"/>
  <c r="M20"/>
  <c r="N20"/>
  <c r="AB20"/>
  <c r="AC20"/>
  <c r="C21"/>
  <c r="H21"/>
  <c r="S21" s="1"/>
  <c r="I21"/>
  <c r="M21"/>
  <c r="R21"/>
  <c r="AB21"/>
  <c r="D22"/>
  <c r="E22"/>
  <c r="G22"/>
  <c r="H22"/>
  <c r="J22"/>
  <c r="K22"/>
  <c r="C23"/>
  <c r="F23"/>
  <c r="I23"/>
  <c r="L23" s="1"/>
  <c r="M23"/>
  <c r="N23"/>
  <c r="R23"/>
  <c r="S23"/>
  <c r="AB23"/>
  <c r="AC23"/>
  <c r="D24"/>
  <c r="E24"/>
  <c r="G24"/>
  <c r="J24"/>
  <c r="K24"/>
  <c r="N24" s="1"/>
  <c r="C25"/>
  <c r="H25"/>
  <c r="I25"/>
  <c r="L25" s="1"/>
  <c r="M25"/>
  <c r="N25"/>
  <c r="R25"/>
  <c r="AB25"/>
  <c r="C26"/>
  <c r="F26"/>
  <c r="I26"/>
  <c r="L26" s="1"/>
  <c r="M26"/>
  <c r="N26"/>
  <c r="R26"/>
  <c r="S26"/>
  <c r="AB26"/>
  <c r="AC26"/>
  <c r="D27"/>
  <c r="E27"/>
  <c r="G27"/>
  <c r="J27"/>
  <c r="M27" s="1"/>
  <c r="K27"/>
  <c r="N27" s="1"/>
  <c r="C28"/>
  <c r="H28"/>
  <c r="H27" s="1"/>
  <c r="I28"/>
  <c r="L28" s="1"/>
  <c r="M28"/>
  <c r="N28"/>
  <c r="R28"/>
  <c r="AB28"/>
  <c r="C29"/>
  <c r="F29"/>
  <c r="I29"/>
  <c r="L29" s="1"/>
  <c r="M29"/>
  <c r="N29"/>
  <c r="R29"/>
  <c r="S29"/>
  <c r="AB29"/>
  <c r="AC29"/>
  <c r="D30"/>
  <c r="E30"/>
  <c r="G30"/>
  <c r="H30"/>
  <c r="J30"/>
  <c r="K30"/>
  <c r="N30" s="1"/>
  <c r="C31"/>
  <c r="F31"/>
  <c r="I31"/>
  <c r="L31" s="1"/>
  <c r="M31"/>
  <c r="N31"/>
  <c r="R31"/>
  <c r="S31"/>
  <c r="AB31"/>
  <c r="AC31"/>
  <c r="D32"/>
  <c r="E32"/>
  <c r="G32"/>
  <c r="H32"/>
  <c r="J32"/>
  <c r="K32"/>
  <c r="C33"/>
  <c r="F33"/>
  <c r="I33"/>
  <c r="L33" s="1"/>
  <c r="M33"/>
  <c r="N33"/>
  <c r="R33"/>
  <c r="S33"/>
  <c r="AB33"/>
  <c r="AC33"/>
  <c r="C34"/>
  <c r="F34"/>
  <c r="I34"/>
  <c r="L34" s="1"/>
  <c r="M34"/>
  <c r="N34"/>
  <c r="AB34"/>
  <c r="AC34"/>
  <c r="C35"/>
  <c r="F35"/>
  <c r="I35"/>
  <c r="M35"/>
  <c r="N35"/>
  <c r="R35"/>
  <c r="S35"/>
  <c r="AB35"/>
  <c r="AC35"/>
  <c r="C36"/>
  <c r="F36"/>
  <c r="R36"/>
  <c r="S36"/>
  <c r="AB36"/>
  <c r="AC36"/>
  <c r="D37"/>
  <c r="E37"/>
  <c r="G37"/>
  <c r="J37"/>
  <c r="K37"/>
  <c r="C38"/>
  <c r="F38"/>
  <c r="I38"/>
  <c r="L38" s="1"/>
  <c r="M38"/>
  <c r="N38"/>
  <c r="AB38"/>
  <c r="AC38"/>
  <c r="C39"/>
  <c r="H39"/>
  <c r="I39"/>
  <c r="L39" s="1"/>
  <c r="M39"/>
  <c r="N39"/>
  <c r="R39"/>
  <c r="AB39"/>
  <c r="C40"/>
  <c r="Q40" s="1"/>
  <c r="F40"/>
  <c r="I40"/>
  <c r="L40" s="1"/>
  <c r="M40"/>
  <c r="N40"/>
  <c r="R40"/>
  <c r="S40"/>
  <c r="AB40"/>
  <c r="AC40"/>
  <c r="D41"/>
  <c r="E41"/>
  <c r="G41"/>
  <c r="J41"/>
  <c r="K41"/>
  <c r="C42"/>
  <c r="H42"/>
  <c r="F42" s="1"/>
  <c r="I42"/>
  <c r="L42" s="1"/>
  <c r="M42"/>
  <c r="N42"/>
  <c r="AB42"/>
  <c r="C43"/>
  <c r="F43"/>
  <c r="I43"/>
  <c r="M43"/>
  <c r="N43"/>
  <c r="R43"/>
  <c r="S43"/>
  <c r="AB43"/>
  <c r="AC43"/>
  <c r="D44"/>
  <c r="E44"/>
  <c r="G44"/>
  <c r="H44"/>
  <c r="J44"/>
  <c r="M44" s="1"/>
  <c r="K44"/>
  <c r="C45"/>
  <c r="F45"/>
  <c r="I45"/>
  <c r="L45" s="1"/>
  <c r="M45"/>
  <c r="N45"/>
  <c r="R45"/>
  <c r="S45"/>
  <c r="AB45"/>
  <c r="AC45"/>
  <c r="D46"/>
  <c r="G46"/>
  <c r="J46"/>
  <c r="M46" s="1"/>
  <c r="K46"/>
  <c r="E47"/>
  <c r="H47"/>
  <c r="N47" s="1"/>
  <c r="I47"/>
  <c r="M47"/>
  <c r="AB47"/>
  <c r="C48"/>
  <c r="F48"/>
  <c r="I48"/>
  <c r="L48" s="1"/>
  <c r="M48"/>
  <c r="N48"/>
  <c r="R48"/>
  <c r="S48"/>
  <c r="AB48"/>
  <c r="AC48"/>
  <c r="C49"/>
  <c r="F49"/>
  <c r="I49"/>
  <c r="L49" s="1"/>
  <c r="M49"/>
  <c r="N49"/>
  <c r="R49"/>
  <c r="S49"/>
  <c r="AB49"/>
  <c r="AC49"/>
  <c r="D50"/>
  <c r="E50"/>
  <c r="G50"/>
  <c r="H50"/>
  <c r="J50"/>
  <c r="K50"/>
  <c r="N50" s="1"/>
  <c r="C51"/>
  <c r="F51"/>
  <c r="I51"/>
  <c r="L51" s="1"/>
  <c r="M51"/>
  <c r="N51"/>
  <c r="R51"/>
  <c r="S51"/>
  <c r="AB51"/>
  <c r="AC51"/>
  <c r="C52"/>
  <c r="F52"/>
  <c r="I52"/>
  <c r="L52" s="1"/>
  <c r="M52"/>
  <c r="N52"/>
  <c r="R52"/>
  <c r="S52"/>
  <c r="AB52"/>
  <c r="AC52"/>
  <c r="D53"/>
  <c r="E53"/>
  <c r="G53"/>
  <c r="H53"/>
  <c r="J53"/>
  <c r="K53"/>
  <c r="N53" s="1"/>
  <c r="C54"/>
  <c r="F54"/>
  <c r="I54"/>
  <c r="L54" s="1"/>
  <c r="M54"/>
  <c r="N54"/>
  <c r="R54"/>
  <c r="S54"/>
  <c r="AB54"/>
  <c r="AC54"/>
  <c r="D55"/>
  <c r="E55"/>
  <c r="G55"/>
  <c r="H55"/>
  <c r="J55"/>
  <c r="M55" s="1"/>
  <c r="K55"/>
  <c r="N55" s="1"/>
  <c r="C56"/>
  <c r="F56"/>
  <c r="I56"/>
  <c r="L56" s="1"/>
  <c r="M56"/>
  <c r="N56"/>
  <c r="R56"/>
  <c r="S56"/>
  <c r="AB56"/>
  <c r="AC56"/>
  <c r="D57"/>
  <c r="E57"/>
  <c r="G57"/>
  <c r="H57"/>
  <c r="J57"/>
  <c r="M57" s="1"/>
  <c r="K57"/>
  <c r="N57" s="1"/>
  <c r="C58"/>
  <c r="F58"/>
  <c r="I58"/>
  <c r="L58"/>
  <c r="M58"/>
  <c r="N58"/>
  <c r="R58"/>
  <c r="S58"/>
  <c r="AB58"/>
  <c r="AC58"/>
  <c r="D59"/>
  <c r="E59"/>
  <c r="G59"/>
  <c r="H59"/>
  <c r="J59"/>
  <c r="M59" s="1"/>
  <c r="K59"/>
  <c r="N59" s="1"/>
  <c r="C60"/>
  <c r="F60"/>
  <c r="L60"/>
  <c r="M60"/>
  <c r="N60"/>
  <c r="R60"/>
  <c r="S60"/>
  <c r="AB60"/>
  <c r="AC60"/>
  <c r="D61"/>
  <c r="E61"/>
  <c r="G61"/>
  <c r="J61"/>
  <c r="K61"/>
  <c r="N61" s="1"/>
  <c r="C62"/>
  <c r="H62"/>
  <c r="I62"/>
  <c r="L62" s="1"/>
  <c r="M62"/>
  <c r="N62"/>
  <c r="R62"/>
  <c r="AB62"/>
  <c r="C63"/>
  <c r="H63"/>
  <c r="R63"/>
  <c r="AB63"/>
  <c r="C64"/>
  <c r="H64"/>
  <c r="AC64" s="1"/>
  <c r="R64"/>
  <c r="AB64"/>
  <c r="C65"/>
  <c r="H65"/>
  <c r="I65"/>
  <c r="L65"/>
  <c r="M65"/>
  <c r="N65"/>
  <c r="R65"/>
  <c r="AB65"/>
  <c r="C66"/>
  <c r="H66"/>
  <c r="L66"/>
  <c r="M66"/>
  <c r="N66"/>
  <c r="R66"/>
  <c r="AB66"/>
  <c r="D69"/>
  <c r="H69"/>
  <c r="I69"/>
  <c r="D70"/>
  <c r="D68"/>
  <c r="E70"/>
  <c r="H70" s="1"/>
  <c r="J70"/>
  <c r="K70"/>
  <c r="K68" s="1"/>
  <c r="J71"/>
  <c r="K71"/>
  <c r="D72"/>
  <c r="E72"/>
  <c r="I72"/>
  <c r="D73"/>
  <c r="E73"/>
  <c r="I73"/>
  <c r="D74"/>
  <c r="E74"/>
  <c r="J74"/>
  <c r="K74"/>
  <c r="C75"/>
  <c r="G75"/>
  <c r="M75"/>
  <c r="H75"/>
  <c r="S75" s="1"/>
  <c r="I75"/>
  <c r="D76"/>
  <c r="E76"/>
  <c r="J76"/>
  <c r="K76"/>
  <c r="C77"/>
  <c r="G77"/>
  <c r="M77" s="1"/>
  <c r="H77"/>
  <c r="I77"/>
  <c r="J78"/>
  <c r="K78"/>
  <c r="N78"/>
  <c r="D79"/>
  <c r="D78"/>
  <c r="E79"/>
  <c r="E78" s="1"/>
  <c r="I79"/>
  <c r="L79" s="1"/>
  <c r="M79"/>
  <c r="N79"/>
  <c r="J80"/>
  <c r="K80"/>
  <c r="D81"/>
  <c r="G81" s="1"/>
  <c r="M81" s="1"/>
  <c r="E81"/>
  <c r="I81"/>
  <c r="D82"/>
  <c r="E82"/>
  <c r="I82"/>
  <c r="L82" s="1"/>
  <c r="M82"/>
  <c r="N82"/>
  <c r="J83"/>
  <c r="K83"/>
  <c r="D84"/>
  <c r="E84"/>
  <c r="I84"/>
  <c r="O86"/>
  <c r="P86"/>
  <c r="T86"/>
  <c r="U86"/>
  <c r="V86"/>
  <c r="W86"/>
  <c r="X86"/>
  <c r="Y86"/>
  <c r="C88"/>
  <c r="G88"/>
  <c r="I88"/>
  <c r="M88"/>
  <c r="N88"/>
  <c r="S88"/>
  <c r="AC88"/>
  <c r="C89"/>
  <c r="F89"/>
  <c r="I89"/>
  <c r="M89"/>
  <c r="N89"/>
  <c r="R89"/>
  <c r="S89"/>
  <c r="AB89"/>
  <c r="AC89"/>
  <c r="C90"/>
  <c r="F90"/>
  <c r="AA90" s="1"/>
  <c r="I90"/>
  <c r="M90"/>
  <c r="N90"/>
  <c r="R90"/>
  <c r="S90"/>
  <c r="AB90"/>
  <c r="AC90"/>
  <c r="C91"/>
  <c r="F91"/>
  <c r="I91"/>
  <c r="M91"/>
  <c r="N91"/>
  <c r="R91"/>
  <c r="S91"/>
  <c r="AB91"/>
  <c r="AC91"/>
  <c r="C92"/>
  <c r="H92"/>
  <c r="I92"/>
  <c r="M92"/>
  <c r="N92"/>
  <c r="R92"/>
  <c r="AB92"/>
  <c r="C93"/>
  <c r="F93"/>
  <c r="I93"/>
  <c r="M93"/>
  <c r="N93"/>
  <c r="R93"/>
  <c r="S93"/>
  <c r="AB93"/>
  <c r="AC93"/>
  <c r="C94"/>
  <c r="F94"/>
  <c r="I94"/>
  <c r="M94"/>
  <c r="N94"/>
  <c r="R94"/>
  <c r="S94"/>
  <c r="AB94"/>
  <c r="AC94"/>
  <c r="C95"/>
  <c r="F95"/>
  <c r="I95"/>
  <c r="M95"/>
  <c r="N95"/>
  <c r="R95"/>
  <c r="S95"/>
  <c r="AB95"/>
  <c r="AC95"/>
  <c r="C96"/>
  <c r="F96"/>
  <c r="I96"/>
  <c r="M96"/>
  <c r="N96"/>
  <c r="R96"/>
  <c r="S96"/>
  <c r="AB96"/>
  <c r="AC96"/>
  <c r="C97"/>
  <c r="H97"/>
  <c r="I97"/>
  <c r="M97"/>
  <c r="N97"/>
  <c r="R97"/>
  <c r="AB97"/>
  <c r="D98"/>
  <c r="E98"/>
  <c r="G98"/>
  <c r="H98"/>
  <c r="I98"/>
  <c r="L98" s="1"/>
  <c r="M98"/>
  <c r="N98"/>
  <c r="D99"/>
  <c r="E99"/>
  <c r="G99"/>
  <c r="H99"/>
  <c r="D100"/>
  <c r="E100"/>
  <c r="G100"/>
  <c r="M100" s="1"/>
  <c r="I100"/>
  <c r="C101"/>
  <c r="F101"/>
  <c r="I101"/>
  <c r="M101"/>
  <c r="N101"/>
  <c r="R101"/>
  <c r="S101"/>
  <c r="AB101"/>
  <c r="AC101"/>
  <c r="C102"/>
  <c r="F102"/>
  <c r="I102"/>
  <c r="L102" s="1"/>
  <c r="M102"/>
  <c r="N102"/>
  <c r="R102"/>
  <c r="S102"/>
  <c r="AB102"/>
  <c r="AC102"/>
  <c r="C103"/>
  <c r="F103"/>
  <c r="I103"/>
  <c r="L103" s="1"/>
  <c r="M103"/>
  <c r="N103"/>
  <c r="R103"/>
  <c r="S103"/>
  <c r="AB103"/>
  <c r="AC103"/>
  <c r="C104"/>
  <c r="F104"/>
  <c r="I104"/>
  <c r="L104" s="1"/>
  <c r="M104"/>
  <c r="N104"/>
  <c r="R104"/>
  <c r="S104"/>
  <c r="AB104"/>
  <c r="AC104"/>
  <c r="C105"/>
  <c r="F105"/>
  <c r="I105"/>
  <c r="L105" s="1"/>
  <c r="M105"/>
  <c r="N105"/>
  <c r="R105"/>
  <c r="S105"/>
  <c r="AB105"/>
  <c r="AC105"/>
  <c r="C106"/>
  <c r="F106"/>
  <c r="I106"/>
  <c r="M106"/>
  <c r="N106"/>
  <c r="R106"/>
  <c r="S106"/>
  <c r="AB106"/>
  <c r="AC106"/>
  <c r="AB107"/>
  <c r="AC107"/>
  <c r="C108"/>
  <c r="F108"/>
  <c r="I108"/>
  <c r="L108" s="1"/>
  <c r="M108"/>
  <c r="N108"/>
  <c r="R108"/>
  <c r="S108"/>
  <c r="AB108"/>
  <c r="AC108"/>
  <c r="C109"/>
  <c r="F109"/>
  <c r="I109"/>
  <c r="L109" s="1"/>
  <c r="M109"/>
  <c r="N109"/>
  <c r="R109"/>
  <c r="S109"/>
  <c r="AB109"/>
  <c r="AC109"/>
  <c r="C110"/>
  <c r="F110"/>
  <c r="I110"/>
  <c r="M110"/>
  <c r="N110"/>
  <c r="R110"/>
  <c r="S110"/>
  <c r="AB110"/>
  <c r="AC110"/>
  <c r="C111"/>
  <c r="F111"/>
  <c r="I111"/>
  <c r="L111" s="1"/>
  <c r="M111"/>
  <c r="N111"/>
  <c r="R111"/>
  <c r="S111"/>
  <c r="AB111"/>
  <c r="AC111"/>
  <c r="AB112"/>
  <c r="AC112"/>
  <c r="C113"/>
  <c r="F113"/>
  <c r="I113"/>
  <c r="L113" s="1"/>
  <c r="M113"/>
  <c r="N113"/>
  <c r="R113"/>
  <c r="S113"/>
  <c r="AB113"/>
  <c r="AC113"/>
  <c r="C114"/>
  <c r="F114"/>
  <c r="I114"/>
  <c r="L114" s="1"/>
  <c r="M114"/>
  <c r="N114"/>
  <c r="R114"/>
  <c r="S114"/>
  <c r="AB114"/>
  <c r="AC114"/>
  <c r="C115"/>
  <c r="F115"/>
  <c r="I115"/>
  <c r="L115" s="1"/>
  <c r="M115"/>
  <c r="N115"/>
  <c r="R115"/>
  <c r="S115"/>
  <c r="AB115"/>
  <c r="AC115"/>
  <c r="C116"/>
  <c r="F116"/>
  <c r="I116"/>
  <c r="L116" s="1"/>
  <c r="M116"/>
  <c r="N116"/>
  <c r="R116"/>
  <c r="S116"/>
  <c r="AB116"/>
  <c r="AC116"/>
  <c r="C117"/>
  <c r="F117"/>
  <c r="I117"/>
  <c r="L117" s="1"/>
  <c r="M117"/>
  <c r="N117"/>
  <c r="R117"/>
  <c r="S117"/>
  <c r="AB117"/>
  <c r="AC117"/>
  <c r="C118"/>
  <c r="F118"/>
  <c r="I118"/>
  <c r="L118" s="1"/>
  <c r="M118"/>
  <c r="N118"/>
  <c r="R118"/>
  <c r="S118"/>
  <c r="AB118"/>
  <c r="AC118"/>
  <c r="C119"/>
  <c r="F119"/>
  <c r="I119"/>
  <c r="L119" s="1"/>
  <c r="M119"/>
  <c r="N119"/>
  <c r="R119"/>
  <c r="S119"/>
  <c r="AB119"/>
  <c r="AC119"/>
  <c r="C120"/>
  <c r="F120"/>
  <c r="I120"/>
  <c r="L120" s="1"/>
  <c r="M120"/>
  <c r="N120"/>
  <c r="R120"/>
  <c r="S120"/>
  <c r="AB120"/>
  <c r="AC120"/>
  <c r="C121"/>
  <c r="F121"/>
  <c r="I121"/>
  <c r="L121" s="1"/>
  <c r="M121"/>
  <c r="N121"/>
  <c r="R121"/>
  <c r="S121"/>
  <c r="AB121"/>
  <c r="AC121"/>
  <c r="C122"/>
  <c r="F122"/>
  <c r="I122"/>
  <c r="L122" s="1"/>
  <c r="M122"/>
  <c r="N122"/>
  <c r="R122"/>
  <c r="S122"/>
  <c r="AB122"/>
  <c r="AC122"/>
  <c r="C123"/>
  <c r="F123"/>
  <c r="I123"/>
  <c r="M123"/>
  <c r="N123"/>
  <c r="AB123"/>
  <c r="AC123"/>
  <c r="C124"/>
  <c r="H124"/>
  <c r="I124"/>
  <c r="L124" s="1"/>
  <c r="M124"/>
  <c r="N124"/>
  <c r="R124"/>
  <c r="AB124"/>
  <c r="C125"/>
  <c r="H125"/>
  <c r="AC125" s="1"/>
  <c r="I125"/>
  <c r="L125" s="1"/>
  <c r="M125"/>
  <c r="N125"/>
  <c r="R125"/>
  <c r="AB125"/>
  <c r="C126"/>
  <c r="H126"/>
  <c r="I126"/>
  <c r="L126"/>
  <c r="M126"/>
  <c r="N126"/>
  <c r="R126"/>
  <c r="AB126"/>
  <c r="C127"/>
  <c r="H127"/>
  <c r="I127"/>
  <c r="L127" s="1"/>
  <c r="M127"/>
  <c r="N127"/>
  <c r="R127"/>
  <c r="AB127"/>
  <c r="C128"/>
  <c r="H128"/>
  <c r="I128"/>
  <c r="L128" s="1"/>
  <c r="M128"/>
  <c r="N128"/>
  <c r="R128"/>
  <c r="AB128"/>
  <c r="C129"/>
  <c r="H129"/>
  <c r="I129"/>
  <c r="L129" s="1"/>
  <c r="M129"/>
  <c r="N129"/>
  <c r="R129"/>
  <c r="AB129"/>
  <c r="C130"/>
  <c r="H130"/>
  <c r="I130"/>
  <c r="L130" s="1"/>
  <c r="M130"/>
  <c r="N130"/>
  <c r="R130"/>
  <c r="AB130"/>
  <c r="C131"/>
  <c r="H131"/>
  <c r="I131"/>
  <c r="L131" s="1"/>
  <c r="M131"/>
  <c r="N131"/>
  <c r="R131"/>
  <c r="AB131"/>
  <c r="C132"/>
  <c r="H132"/>
  <c r="I132"/>
  <c r="L132" s="1"/>
  <c r="M132"/>
  <c r="N132"/>
  <c r="R132"/>
  <c r="AB132"/>
  <c r="C133"/>
  <c r="H133"/>
  <c r="AC133" s="1"/>
  <c r="I133"/>
  <c r="L133" s="1"/>
  <c r="M133"/>
  <c r="N133"/>
  <c r="R133"/>
  <c r="AB133"/>
  <c r="C134"/>
  <c r="H134"/>
  <c r="AC134" s="1"/>
  <c r="I134"/>
  <c r="L134" s="1"/>
  <c r="M134"/>
  <c r="N134"/>
  <c r="R134"/>
  <c r="AB134"/>
  <c r="C135"/>
  <c r="H135"/>
  <c r="I135"/>
  <c r="L135" s="1"/>
  <c r="M135"/>
  <c r="N135"/>
  <c r="R135"/>
  <c r="AB135"/>
  <c r="C136"/>
  <c r="H136"/>
  <c r="I136"/>
  <c r="L136" s="1"/>
  <c r="M136"/>
  <c r="N136"/>
  <c r="R136"/>
  <c r="AB136"/>
  <c r="C137"/>
  <c r="H137"/>
  <c r="S137" s="1"/>
  <c r="I137"/>
  <c r="L137" s="1"/>
  <c r="M137"/>
  <c r="N137"/>
  <c r="R137"/>
  <c r="AB137"/>
  <c r="C138"/>
  <c r="H138"/>
  <c r="I138"/>
  <c r="L138" s="1"/>
  <c r="M138"/>
  <c r="N138"/>
  <c r="AB138"/>
  <c r="E139"/>
  <c r="C139" s="1"/>
  <c r="AA139" s="1"/>
  <c r="F139"/>
  <c r="I139"/>
  <c r="M139"/>
  <c r="N139"/>
  <c r="R139"/>
  <c r="AB139"/>
  <c r="C140"/>
  <c r="F140"/>
  <c r="I140"/>
  <c r="L140" s="1"/>
  <c r="M140"/>
  <c r="N140"/>
  <c r="R140"/>
  <c r="S140"/>
  <c r="AB140"/>
  <c r="AC140"/>
  <c r="C141"/>
  <c r="H141"/>
  <c r="F141" s="1"/>
  <c r="I141"/>
  <c r="L141" s="1"/>
  <c r="M141"/>
  <c r="N141"/>
  <c r="AB141"/>
  <c r="C142"/>
  <c r="H142"/>
  <c r="F142" s="1"/>
  <c r="I142"/>
  <c r="L142" s="1"/>
  <c r="AB142"/>
  <c r="C144"/>
  <c r="G144"/>
  <c r="H144"/>
  <c r="N144" s="1"/>
  <c r="I144"/>
  <c r="M144"/>
  <c r="C145"/>
  <c r="G145"/>
  <c r="H145"/>
  <c r="S145" s="1"/>
  <c r="I145"/>
  <c r="L145"/>
  <c r="M145"/>
  <c r="N145"/>
  <c r="C146"/>
  <c r="G146"/>
  <c r="R146" s="1"/>
  <c r="H146"/>
  <c r="I146"/>
  <c r="L146" s="1"/>
  <c r="M146"/>
  <c r="N146"/>
  <c r="C147"/>
  <c r="G147"/>
  <c r="H147"/>
  <c r="AC147" s="1"/>
  <c r="I147"/>
  <c r="M147"/>
  <c r="E148"/>
  <c r="G148"/>
  <c r="I148"/>
  <c r="L148" s="1"/>
  <c r="M148"/>
  <c r="N148"/>
  <c r="E149"/>
  <c r="C149" s="1"/>
  <c r="G149"/>
  <c r="I149"/>
  <c r="L149" s="1"/>
  <c r="M149"/>
  <c r="N149"/>
  <c r="C150"/>
  <c r="G150"/>
  <c r="H150"/>
  <c r="I150"/>
  <c r="L150" s="1"/>
  <c r="M150"/>
  <c r="N150"/>
  <c r="C151"/>
  <c r="G151"/>
  <c r="H151"/>
  <c r="S151" s="1"/>
  <c r="I151"/>
  <c r="L151" s="1"/>
  <c r="M151"/>
  <c r="N151"/>
  <c r="C152"/>
  <c r="G152"/>
  <c r="AB152" s="1"/>
  <c r="H152"/>
  <c r="S152" s="1"/>
  <c r="I152"/>
  <c r="C153"/>
  <c r="G153"/>
  <c r="H153"/>
  <c r="I153"/>
  <c r="C154"/>
  <c r="G154"/>
  <c r="R154" s="1"/>
  <c r="H154"/>
  <c r="I154"/>
  <c r="C155"/>
  <c r="G155"/>
  <c r="R155" s="1"/>
  <c r="H155"/>
  <c r="S155" s="1"/>
  <c r="I155"/>
  <c r="C156"/>
  <c r="G156"/>
  <c r="H156"/>
  <c r="AC156" s="1"/>
  <c r="I156"/>
  <c r="C157"/>
  <c r="G157"/>
  <c r="AB157" s="1"/>
  <c r="H157"/>
  <c r="I157"/>
  <c r="C158"/>
  <c r="G158"/>
  <c r="AB158" s="1"/>
  <c r="H158"/>
  <c r="S158" s="1"/>
  <c r="I158"/>
  <c r="M158"/>
  <c r="C159"/>
  <c r="G159"/>
  <c r="H159"/>
  <c r="I159"/>
  <c r="M159"/>
  <c r="C160"/>
  <c r="G160"/>
  <c r="H160"/>
  <c r="N160" s="1"/>
  <c r="I160"/>
  <c r="M160"/>
  <c r="D161"/>
  <c r="G161" s="1"/>
  <c r="E161"/>
  <c r="I161"/>
  <c r="L161" s="1"/>
  <c r="M161"/>
  <c r="N161"/>
  <c r="D162"/>
  <c r="E162"/>
  <c r="I162"/>
  <c r="D163"/>
  <c r="E163"/>
  <c r="I163"/>
  <c r="D164"/>
  <c r="E164"/>
  <c r="H164" s="1"/>
  <c r="I164"/>
  <c r="L164" s="1"/>
  <c r="M164"/>
  <c r="N164"/>
  <c r="D165"/>
  <c r="E165"/>
  <c r="I165"/>
  <c r="L165" s="1"/>
  <c r="M165"/>
  <c r="N165"/>
  <c r="D166"/>
  <c r="G166" s="1"/>
  <c r="E166"/>
  <c r="H166" s="1"/>
  <c r="I166"/>
  <c r="L166" s="1"/>
  <c r="M166"/>
  <c r="N166"/>
  <c r="D167"/>
  <c r="E167"/>
  <c r="I167"/>
  <c r="L167" s="1"/>
  <c r="M167"/>
  <c r="N167"/>
  <c r="D168"/>
  <c r="E168"/>
  <c r="I168"/>
  <c r="L168" s="1"/>
  <c r="M168"/>
  <c r="N168"/>
  <c r="D169"/>
  <c r="E169"/>
  <c r="H169" s="1"/>
  <c r="J169"/>
  <c r="K169"/>
  <c r="D170"/>
  <c r="E170"/>
  <c r="I170"/>
  <c r="L170" s="1"/>
  <c r="M170"/>
  <c r="N170"/>
  <c r="D171"/>
  <c r="E171"/>
  <c r="H171" s="1"/>
  <c r="I171"/>
  <c r="L171" s="1"/>
  <c r="M171"/>
  <c r="N171"/>
  <c r="D172"/>
  <c r="E172"/>
  <c r="I172"/>
  <c r="D173"/>
  <c r="E173"/>
  <c r="I173"/>
  <c r="L173" s="1"/>
  <c r="M173"/>
  <c r="N173"/>
  <c r="D174"/>
  <c r="E174"/>
  <c r="I174"/>
  <c r="C175"/>
  <c r="G175"/>
  <c r="H175"/>
  <c r="S175" s="1"/>
  <c r="I175"/>
  <c r="M175"/>
  <c r="D176"/>
  <c r="E176"/>
  <c r="I176"/>
  <c r="D177"/>
  <c r="E177"/>
  <c r="I177"/>
  <c r="C178"/>
  <c r="G178"/>
  <c r="F178" s="1"/>
  <c r="H178"/>
  <c r="I178"/>
  <c r="L178" s="1"/>
  <c r="M178"/>
  <c r="N178"/>
  <c r="C179"/>
  <c r="G179"/>
  <c r="H179"/>
  <c r="S179" s="1"/>
  <c r="I179"/>
  <c r="M179"/>
  <c r="D180"/>
  <c r="E180"/>
  <c r="I180"/>
  <c r="L180" s="1"/>
  <c r="M180"/>
  <c r="N180"/>
  <c r="D181"/>
  <c r="G181" s="1"/>
  <c r="E181"/>
  <c r="H181" s="1"/>
  <c r="C182"/>
  <c r="G182"/>
  <c r="H182"/>
  <c r="I182"/>
  <c r="L182" s="1"/>
  <c r="M182"/>
  <c r="N182"/>
  <c r="C183"/>
  <c r="G183"/>
  <c r="H183"/>
  <c r="S183" s="1"/>
  <c r="I183"/>
  <c r="L183" s="1"/>
  <c r="M183"/>
  <c r="N183"/>
  <c r="C184"/>
  <c r="G184"/>
  <c r="AB184" s="1"/>
  <c r="H184"/>
  <c r="S184" s="1"/>
  <c r="C185"/>
  <c r="G185"/>
  <c r="H185"/>
  <c r="AC185" s="1"/>
  <c r="D186"/>
  <c r="E186"/>
  <c r="H186" s="1"/>
  <c r="G186"/>
  <c r="I186"/>
  <c r="D187"/>
  <c r="E187"/>
  <c r="I187"/>
  <c r="L187" s="1"/>
  <c r="M187"/>
  <c r="N187"/>
  <c r="D188"/>
  <c r="E188"/>
  <c r="H188" s="1"/>
  <c r="I188"/>
  <c r="L188" s="1"/>
  <c r="M188"/>
  <c r="N188"/>
  <c r="C189"/>
  <c r="G189"/>
  <c r="R189" s="1"/>
  <c r="H189"/>
  <c r="S189" s="1"/>
  <c r="I189"/>
  <c r="L189" s="1"/>
  <c r="M189"/>
  <c r="N189"/>
  <c r="C190"/>
  <c r="G190"/>
  <c r="H190"/>
  <c r="S190" s="1"/>
  <c r="I190"/>
  <c r="M190"/>
  <c r="C191"/>
  <c r="G191"/>
  <c r="H191"/>
  <c r="I191"/>
  <c r="L191" s="1"/>
  <c r="M191"/>
  <c r="N191"/>
  <c r="C192"/>
  <c r="G192"/>
  <c r="H192"/>
  <c r="I192"/>
  <c r="M192"/>
  <c r="D193"/>
  <c r="E193"/>
  <c r="I193"/>
  <c r="L193" s="1"/>
  <c r="M193"/>
  <c r="N193"/>
  <c r="C194"/>
  <c r="G194"/>
  <c r="H194"/>
  <c r="I194"/>
  <c r="L194" s="1"/>
  <c r="M194"/>
  <c r="N194"/>
  <c r="C195"/>
  <c r="F195"/>
  <c r="I195"/>
  <c r="M195"/>
  <c r="N195"/>
  <c r="AB195"/>
  <c r="AC195"/>
  <c r="C196"/>
  <c r="G196"/>
  <c r="H196"/>
  <c r="I196"/>
  <c r="L196" s="1"/>
  <c r="M196"/>
  <c r="N196"/>
  <c r="C197"/>
  <c r="G197"/>
  <c r="H197"/>
  <c r="I197"/>
  <c r="C198"/>
  <c r="G198"/>
  <c r="M198" s="1"/>
  <c r="AB198"/>
  <c r="H198"/>
  <c r="I198"/>
  <c r="S198"/>
  <c r="D199"/>
  <c r="E199"/>
  <c r="I199"/>
  <c r="C200"/>
  <c r="G200"/>
  <c r="H200"/>
  <c r="I200"/>
  <c r="L200" s="1"/>
  <c r="M200"/>
  <c r="N200"/>
  <c r="C201"/>
  <c r="G201"/>
  <c r="H201"/>
  <c r="S201" s="1"/>
  <c r="I201"/>
  <c r="L201" s="1"/>
  <c r="M201"/>
  <c r="N201"/>
  <c r="D202"/>
  <c r="E202"/>
  <c r="H202" s="1"/>
  <c r="I202"/>
  <c r="D205"/>
  <c r="E205"/>
  <c r="G205"/>
  <c r="H205"/>
  <c r="J205"/>
  <c r="K205"/>
  <c r="N205" s="1"/>
  <c r="C206"/>
  <c r="F206"/>
  <c r="I206"/>
  <c r="L206" s="1"/>
  <c r="M206"/>
  <c r="N206"/>
  <c r="AB206"/>
  <c r="AC206"/>
  <c r="C207"/>
  <c r="F207"/>
  <c r="I207"/>
  <c r="L207" s="1"/>
  <c r="M207"/>
  <c r="N207"/>
  <c r="AB207"/>
  <c r="AC207"/>
  <c r="C208"/>
  <c r="F208"/>
  <c r="I208"/>
  <c r="L208" s="1"/>
  <c r="M208"/>
  <c r="N208"/>
  <c r="AB208"/>
  <c r="AC208"/>
  <c r="C209"/>
  <c r="F209"/>
  <c r="I209"/>
  <c r="L209" s="1"/>
  <c r="M209"/>
  <c r="N209"/>
  <c r="AB209"/>
  <c r="AC209"/>
  <c r="C210"/>
  <c r="F210"/>
  <c r="I210"/>
  <c r="L210" s="1"/>
  <c r="M210"/>
  <c r="N210"/>
  <c r="AB210"/>
  <c r="AC210"/>
  <c r="C211"/>
  <c r="F211"/>
  <c r="I211"/>
  <c r="L211" s="1"/>
  <c r="M211"/>
  <c r="N211"/>
  <c r="AB211"/>
  <c r="AC211"/>
  <c r="C212"/>
  <c r="F212"/>
  <c r="I212"/>
  <c r="L212" s="1"/>
  <c r="M212"/>
  <c r="N212"/>
  <c r="AB212"/>
  <c r="AC212"/>
  <c r="C213"/>
  <c r="F213"/>
  <c r="I213"/>
  <c r="L213" s="1"/>
  <c r="M213"/>
  <c r="N213"/>
  <c r="AB213"/>
  <c r="AC213"/>
  <c r="C214"/>
  <c r="F214"/>
  <c r="I214"/>
  <c r="L214" s="1"/>
  <c r="M214"/>
  <c r="N214"/>
  <c r="AB214"/>
  <c r="AC214"/>
  <c r="C215"/>
  <c r="F215"/>
  <c r="I215"/>
  <c r="L215" s="1"/>
  <c r="M215"/>
  <c r="N215"/>
  <c r="AB215"/>
  <c r="AC215"/>
  <c r="C216"/>
  <c r="F216"/>
  <c r="I216"/>
  <c r="L216" s="1"/>
  <c r="M216"/>
  <c r="N216"/>
  <c r="AB216"/>
  <c r="AC216"/>
  <c r="D217"/>
  <c r="E217"/>
  <c r="G217"/>
  <c r="H217"/>
  <c r="J217"/>
  <c r="K217"/>
  <c r="C218"/>
  <c r="F218"/>
  <c r="I218"/>
  <c r="L218" s="1"/>
  <c r="M218"/>
  <c r="N218"/>
  <c r="R218"/>
  <c r="S218"/>
  <c r="AB218"/>
  <c r="AC218"/>
  <c r="AB219"/>
  <c r="AC219"/>
  <c r="AB220"/>
  <c r="AC220"/>
  <c r="D221"/>
  <c r="E221"/>
  <c r="G221"/>
  <c r="J221"/>
  <c r="K221"/>
  <c r="N221" s="1"/>
  <c r="C222"/>
  <c r="H222"/>
  <c r="H221" s="1"/>
  <c r="I222"/>
  <c r="L222" s="1"/>
  <c r="M222"/>
  <c r="N222"/>
  <c r="AB222"/>
  <c r="D225"/>
  <c r="E225"/>
  <c r="J225"/>
  <c r="K225"/>
  <c r="C226"/>
  <c r="G226"/>
  <c r="AB226" s="1"/>
  <c r="H226"/>
  <c r="I226"/>
  <c r="L226" s="1"/>
  <c r="M226"/>
  <c r="N226"/>
  <c r="C227"/>
  <c r="G227"/>
  <c r="H227"/>
  <c r="I227"/>
  <c r="L227" s="1"/>
  <c r="M227"/>
  <c r="N227"/>
  <c r="D228"/>
  <c r="E228"/>
  <c r="J228"/>
  <c r="K228"/>
  <c r="C229"/>
  <c r="F229"/>
  <c r="I229"/>
  <c r="L229" s="1"/>
  <c r="M229"/>
  <c r="N229"/>
  <c r="AB229"/>
  <c r="AC229"/>
  <c r="C230"/>
  <c r="G230"/>
  <c r="H230"/>
  <c r="AC230" s="1"/>
  <c r="I230"/>
  <c r="C231"/>
  <c r="G231"/>
  <c r="M231" s="1"/>
  <c r="H231"/>
  <c r="I231"/>
  <c r="C232"/>
  <c r="G232"/>
  <c r="H232"/>
  <c r="N232" s="1"/>
  <c r="I232"/>
  <c r="C233"/>
  <c r="G233"/>
  <c r="M233" s="1"/>
  <c r="H233"/>
  <c r="I233"/>
  <c r="C234"/>
  <c r="G234"/>
  <c r="M234" s="1"/>
  <c r="H234"/>
  <c r="I234"/>
  <c r="C235"/>
  <c r="G235"/>
  <c r="M235" s="1"/>
  <c r="H235"/>
  <c r="I235"/>
  <c r="C236"/>
  <c r="G236"/>
  <c r="M236" s="1"/>
  <c r="H236"/>
  <c r="I236"/>
  <c r="C237"/>
  <c r="G237"/>
  <c r="R237" s="1"/>
  <c r="H237"/>
  <c r="I237"/>
  <c r="C238"/>
  <c r="G238"/>
  <c r="AB238" s="1"/>
  <c r="H238"/>
  <c r="I238"/>
  <c r="C239"/>
  <c r="G239"/>
  <c r="H239"/>
  <c r="S239" s="1"/>
  <c r="I239"/>
  <c r="L239" s="1"/>
  <c r="M239"/>
  <c r="N239"/>
  <c r="C240"/>
  <c r="G240"/>
  <c r="H240"/>
  <c r="I240"/>
  <c r="L240" s="1"/>
  <c r="M240"/>
  <c r="N240"/>
  <c r="D241"/>
  <c r="E241"/>
  <c r="J241"/>
  <c r="K241"/>
  <c r="C242"/>
  <c r="G242"/>
  <c r="H242"/>
  <c r="AC242" s="1"/>
  <c r="I242"/>
  <c r="D243"/>
  <c r="E243"/>
  <c r="J243"/>
  <c r="M243"/>
  <c r="K243"/>
  <c r="C244"/>
  <c r="G244"/>
  <c r="H244"/>
  <c r="I244"/>
  <c r="L244" s="1"/>
  <c r="M244"/>
  <c r="N244"/>
  <c r="C245"/>
  <c r="G245"/>
  <c r="AB245" s="1"/>
  <c r="H245"/>
  <c r="I245"/>
  <c r="C246"/>
  <c r="G246"/>
  <c r="H246"/>
  <c r="N246" s="1"/>
  <c r="I246"/>
  <c r="M246"/>
  <c r="C247"/>
  <c r="G247"/>
  <c r="R247" s="1"/>
  <c r="H247"/>
  <c r="S247" s="1"/>
  <c r="I247"/>
  <c r="M247"/>
  <c r="Q248"/>
  <c r="R248"/>
  <c r="S248"/>
  <c r="Z248"/>
  <c r="AA248"/>
  <c r="AB248"/>
  <c r="AC248"/>
  <c r="D249"/>
  <c r="E249"/>
  <c r="H249"/>
  <c r="J249"/>
  <c r="K249"/>
  <c r="I249" s="1"/>
  <c r="D250"/>
  <c r="E250"/>
  <c r="G250"/>
  <c r="H250"/>
  <c r="J250"/>
  <c r="K250"/>
  <c r="J251"/>
  <c r="K251"/>
  <c r="D254"/>
  <c r="J254"/>
  <c r="K254"/>
  <c r="D255"/>
  <c r="E255"/>
  <c r="G255"/>
  <c r="J255"/>
  <c r="K255"/>
  <c r="C4" i="45"/>
  <c r="Q14"/>
  <c r="R14"/>
  <c r="S14"/>
  <c r="Z14"/>
  <c r="AA14"/>
  <c r="AB14"/>
  <c r="C17"/>
  <c r="F17"/>
  <c r="I17"/>
  <c r="L17" s="1"/>
  <c r="M17"/>
  <c r="N17"/>
  <c r="R17"/>
  <c r="S17"/>
  <c r="AB17"/>
  <c r="C18"/>
  <c r="F18"/>
  <c r="I18"/>
  <c r="L18" s="1"/>
  <c r="M18"/>
  <c r="N18"/>
  <c r="R18"/>
  <c r="R264" s="1"/>
  <c r="S18"/>
  <c r="S264" s="1"/>
  <c r="AB18"/>
  <c r="C19"/>
  <c r="F19"/>
  <c r="I19"/>
  <c r="M19"/>
  <c r="N19"/>
  <c r="R19"/>
  <c r="S19"/>
  <c r="AB19"/>
  <c r="C20"/>
  <c r="F20"/>
  <c r="F251" s="1"/>
  <c r="I20"/>
  <c r="I251" s="1"/>
  <c r="M20"/>
  <c r="N20"/>
  <c r="R20"/>
  <c r="S20"/>
  <c r="AB20"/>
  <c r="D21"/>
  <c r="E21"/>
  <c r="G21"/>
  <c r="F21" s="1"/>
  <c r="H21"/>
  <c r="J21"/>
  <c r="K21"/>
  <c r="C22"/>
  <c r="F22"/>
  <c r="I22"/>
  <c r="L22" s="1"/>
  <c r="M22"/>
  <c r="N22"/>
  <c r="AB22"/>
  <c r="C23"/>
  <c r="F23"/>
  <c r="I23"/>
  <c r="M23"/>
  <c r="N23"/>
  <c r="R23"/>
  <c r="S23"/>
  <c r="AB23"/>
  <c r="D24"/>
  <c r="E24"/>
  <c r="G24"/>
  <c r="H24"/>
  <c r="J24"/>
  <c r="K24"/>
  <c r="N24" s="1"/>
  <c r="C25"/>
  <c r="F25"/>
  <c r="I25"/>
  <c r="L25" s="1"/>
  <c r="M25"/>
  <c r="N25"/>
  <c r="R25"/>
  <c r="S25"/>
  <c r="AB25"/>
  <c r="D26"/>
  <c r="E26"/>
  <c r="G26"/>
  <c r="H26"/>
  <c r="J26"/>
  <c r="M26" s="1"/>
  <c r="K26"/>
  <c r="N26" s="1"/>
  <c r="C27"/>
  <c r="F27"/>
  <c r="I27"/>
  <c r="L27" s="1"/>
  <c r="M27"/>
  <c r="N27"/>
  <c r="R27"/>
  <c r="S27"/>
  <c r="AB27"/>
  <c r="C28"/>
  <c r="F28"/>
  <c r="I28"/>
  <c r="L28" s="1"/>
  <c r="M28"/>
  <c r="N28"/>
  <c r="R28"/>
  <c r="S28"/>
  <c r="AB28"/>
  <c r="D29"/>
  <c r="E29"/>
  <c r="G29"/>
  <c r="H29"/>
  <c r="J29"/>
  <c r="K29"/>
  <c r="C30"/>
  <c r="F30"/>
  <c r="I30"/>
  <c r="L30" s="1"/>
  <c r="M30"/>
  <c r="N30"/>
  <c r="R30"/>
  <c r="S30"/>
  <c r="AB30"/>
  <c r="C31"/>
  <c r="F31"/>
  <c r="I31"/>
  <c r="L31" s="1"/>
  <c r="M31"/>
  <c r="N31"/>
  <c r="R31"/>
  <c r="S31"/>
  <c r="AB31"/>
  <c r="D32"/>
  <c r="E32"/>
  <c r="G32"/>
  <c r="H32"/>
  <c r="J32"/>
  <c r="K32"/>
  <c r="N32" s="1"/>
  <c r="C33"/>
  <c r="F33"/>
  <c r="I33"/>
  <c r="L33" s="1"/>
  <c r="M33"/>
  <c r="N33"/>
  <c r="R33"/>
  <c r="S33"/>
  <c r="AB33"/>
  <c r="D34"/>
  <c r="E34"/>
  <c r="G34"/>
  <c r="H34"/>
  <c r="J34"/>
  <c r="M34" s="1"/>
  <c r="K34"/>
  <c r="C35"/>
  <c r="F35"/>
  <c r="I35"/>
  <c r="M35"/>
  <c r="N35"/>
  <c r="R35"/>
  <c r="S35"/>
  <c r="AB35"/>
  <c r="C36"/>
  <c r="F36"/>
  <c r="I36"/>
  <c r="L36" s="1"/>
  <c r="M36"/>
  <c r="N36"/>
  <c r="AB36"/>
  <c r="C37"/>
  <c r="F37"/>
  <c r="I37"/>
  <c r="M37"/>
  <c r="N37"/>
  <c r="R37"/>
  <c r="S37"/>
  <c r="AB37"/>
  <c r="C38"/>
  <c r="F38"/>
  <c r="R38"/>
  <c r="S38"/>
  <c r="AB38"/>
  <c r="D39"/>
  <c r="E39"/>
  <c r="G39"/>
  <c r="H39"/>
  <c r="J39"/>
  <c r="M39" s="1"/>
  <c r="K39"/>
  <c r="N39" s="1"/>
  <c r="C40"/>
  <c r="F40"/>
  <c r="I40"/>
  <c r="L40" s="1"/>
  <c r="M40"/>
  <c r="N40"/>
  <c r="AB40"/>
  <c r="C41"/>
  <c r="F41"/>
  <c r="I41"/>
  <c r="L41" s="1"/>
  <c r="M41"/>
  <c r="N41"/>
  <c r="R41"/>
  <c r="S41"/>
  <c r="AB41"/>
  <c r="C42"/>
  <c r="F42"/>
  <c r="I42"/>
  <c r="L42" s="1"/>
  <c r="M42"/>
  <c r="N42"/>
  <c r="R42"/>
  <c r="S42"/>
  <c r="AB42"/>
  <c r="D43"/>
  <c r="E43"/>
  <c r="G43"/>
  <c r="F43" s="1"/>
  <c r="H43"/>
  <c r="J43"/>
  <c r="M43" s="1"/>
  <c r="K43"/>
  <c r="N43" s="1"/>
  <c r="C44"/>
  <c r="F44"/>
  <c r="I44"/>
  <c r="L44" s="1"/>
  <c r="M44"/>
  <c r="N44"/>
  <c r="AB44"/>
  <c r="C45"/>
  <c r="F45"/>
  <c r="I45"/>
  <c r="M45"/>
  <c r="N45"/>
  <c r="R45"/>
  <c r="S45"/>
  <c r="AB45"/>
  <c r="D46"/>
  <c r="E46"/>
  <c r="G46"/>
  <c r="H46"/>
  <c r="J46"/>
  <c r="K46"/>
  <c r="N46" s="1"/>
  <c r="C47"/>
  <c r="F47"/>
  <c r="I47"/>
  <c r="L47" s="1"/>
  <c r="M47"/>
  <c r="N47"/>
  <c r="R47"/>
  <c r="S47"/>
  <c r="AB47"/>
  <c r="D48"/>
  <c r="E48"/>
  <c r="G48"/>
  <c r="H48"/>
  <c r="J48"/>
  <c r="M48" s="1"/>
  <c r="K48"/>
  <c r="C49"/>
  <c r="F49"/>
  <c r="I49"/>
  <c r="M49"/>
  <c r="N49"/>
  <c r="AB49"/>
  <c r="C50"/>
  <c r="F50"/>
  <c r="I50"/>
  <c r="L50" s="1"/>
  <c r="M50"/>
  <c r="N50"/>
  <c r="R50"/>
  <c r="S50"/>
  <c r="AB50"/>
  <c r="C51"/>
  <c r="F51"/>
  <c r="I51"/>
  <c r="L51" s="1"/>
  <c r="M51"/>
  <c r="N51"/>
  <c r="R51"/>
  <c r="S51"/>
  <c r="AB51"/>
  <c r="D52"/>
  <c r="E52"/>
  <c r="G52"/>
  <c r="H52"/>
  <c r="J52"/>
  <c r="K52"/>
  <c r="N52" s="1"/>
  <c r="C53"/>
  <c r="F53"/>
  <c r="I53"/>
  <c r="L53" s="1"/>
  <c r="M53"/>
  <c r="N53"/>
  <c r="R53"/>
  <c r="S53"/>
  <c r="AB53"/>
  <c r="C54"/>
  <c r="F54"/>
  <c r="I54"/>
  <c r="L54" s="1"/>
  <c r="M54"/>
  <c r="N54"/>
  <c r="R54"/>
  <c r="S54"/>
  <c r="AB54"/>
  <c r="D55"/>
  <c r="E55"/>
  <c r="G55"/>
  <c r="H55"/>
  <c r="J55"/>
  <c r="K55"/>
  <c r="C56"/>
  <c r="F56"/>
  <c r="I56"/>
  <c r="L56" s="1"/>
  <c r="M56"/>
  <c r="N56"/>
  <c r="R56"/>
  <c r="S56"/>
  <c r="AB56"/>
  <c r="D57"/>
  <c r="E57"/>
  <c r="G57"/>
  <c r="H57"/>
  <c r="J57"/>
  <c r="M57" s="1"/>
  <c r="K57"/>
  <c r="C58"/>
  <c r="F58"/>
  <c r="I58"/>
  <c r="L58" s="1"/>
  <c r="M58"/>
  <c r="N58"/>
  <c r="R58"/>
  <c r="S58"/>
  <c r="AB58"/>
  <c r="D59"/>
  <c r="E59"/>
  <c r="G59"/>
  <c r="H59"/>
  <c r="J59"/>
  <c r="K59"/>
  <c r="C60"/>
  <c r="F60"/>
  <c r="I60"/>
  <c r="L60" s="1"/>
  <c r="M60"/>
  <c r="N60"/>
  <c r="R60"/>
  <c r="S60"/>
  <c r="AB60"/>
  <c r="D61"/>
  <c r="E61"/>
  <c r="G61"/>
  <c r="H61"/>
  <c r="J61"/>
  <c r="K61"/>
  <c r="N61" s="1"/>
  <c r="C62"/>
  <c r="F62"/>
  <c r="L62"/>
  <c r="M62"/>
  <c r="N62"/>
  <c r="R62"/>
  <c r="S62"/>
  <c r="AB62"/>
  <c r="D63"/>
  <c r="E63"/>
  <c r="G63"/>
  <c r="H63"/>
  <c r="J63"/>
  <c r="K63"/>
  <c r="N63" s="1"/>
  <c r="C64"/>
  <c r="F64"/>
  <c r="I64"/>
  <c r="L64" s="1"/>
  <c r="M64"/>
  <c r="N64"/>
  <c r="R64"/>
  <c r="S64"/>
  <c r="AB64"/>
  <c r="C65"/>
  <c r="F65"/>
  <c r="R65"/>
  <c r="S65"/>
  <c r="AB65"/>
  <c r="C66"/>
  <c r="F66"/>
  <c r="R66"/>
  <c r="S66"/>
  <c r="AB66"/>
  <c r="C67"/>
  <c r="F67"/>
  <c r="R67"/>
  <c r="S67"/>
  <c r="AB67"/>
  <c r="C68"/>
  <c r="F68"/>
  <c r="R68"/>
  <c r="S68"/>
  <c r="AB68"/>
  <c r="D71"/>
  <c r="G71" s="1"/>
  <c r="E71"/>
  <c r="I71"/>
  <c r="D72"/>
  <c r="E72"/>
  <c r="J72"/>
  <c r="K72"/>
  <c r="K73"/>
  <c r="D74"/>
  <c r="E74"/>
  <c r="I74"/>
  <c r="D75"/>
  <c r="E75"/>
  <c r="H75" s="1"/>
  <c r="J75"/>
  <c r="D76"/>
  <c r="E76"/>
  <c r="J76"/>
  <c r="K76"/>
  <c r="I76" s="1"/>
  <c r="C77"/>
  <c r="G77"/>
  <c r="R77" s="1"/>
  <c r="H77"/>
  <c r="I77"/>
  <c r="D78"/>
  <c r="E78"/>
  <c r="J78"/>
  <c r="K78"/>
  <c r="C79"/>
  <c r="G79"/>
  <c r="G78" s="1"/>
  <c r="H79"/>
  <c r="I79"/>
  <c r="J80"/>
  <c r="K80"/>
  <c r="D81"/>
  <c r="G81" s="1"/>
  <c r="E81"/>
  <c r="I81"/>
  <c r="J82"/>
  <c r="K82"/>
  <c r="D83"/>
  <c r="E83"/>
  <c r="H83" s="1"/>
  <c r="I83"/>
  <c r="D84"/>
  <c r="E84"/>
  <c r="I84"/>
  <c r="L84" s="1"/>
  <c r="M84"/>
  <c r="N84"/>
  <c r="J85"/>
  <c r="K85"/>
  <c r="D86"/>
  <c r="E86"/>
  <c r="H86" s="1"/>
  <c r="I86"/>
  <c r="C89"/>
  <c r="G89"/>
  <c r="I89"/>
  <c r="M89"/>
  <c r="N89"/>
  <c r="S89"/>
  <c r="AB89"/>
  <c r="C90"/>
  <c r="F90"/>
  <c r="I90"/>
  <c r="M90"/>
  <c r="N90"/>
  <c r="R90"/>
  <c r="S90"/>
  <c r="AB90"/>
  <c r="C91"/>
  <c r="F91"/>
  <c r="I91"/>
  <c r="M91"/>
  <c r="N91"/>
  <c r="R91"/>
  <c r="S91"/>
  <c r="AB91"/>
  <c r="C92"/>
  <c r="F92"/>
  <c r="I92"/>
  <c r="M92"/>
  <c r="N92"/>
  <c r="R92"/>
  <c r="S92"/>
  <c r="AB92"/>
  <c r="C93"/>
  <c r="H93"/>
  <c r="I93"/>
  <c r="M93"/>
  <c r="N93"/>
  <c r="R93"/>
  <c r="C94"/>
  <c r="F94"/>
  <c r="I94"/>
  <c r="M94"/>
  <c r="N94"/>
  <c r="R94"/>
  <c r="S94"/>
  <c r="AB94"/>
  <c r="C95"/>
  <c r="F95"/>
  <c r="I95"/>
  <c r="M95"/>
  <c r="N95"/>
  <c r="R95"/>
  <c r="S95"/>
  <c r="AB95"/>
  <c r="C96"/>
  <c r="F96"/>
  <c r="I96"/>
  <c r="M96"/>
  <c r="N96"/>
  <c r="R96"/>
  <c r="S96"/>
  <c r="AB96"/>
  <c r="C97"/>
  <c r="F97"/>
  <c r="I97"/>
  <c r="M97"/>
  <c r="N97"/>
  <c r="R97"/>
  <c r="S97"/>
  <c r="AB97"/>
  <c r="C98"/>
  <c r="H98"/>
  <c r="AB98"/>
  <c r="I98"/>
  <c r="M98"/>
  <c r="N98"/>
  <c r="R98"/>
  <c r="D99"/>
  <c r="E99"/>
  <c r="G99"/>
  <c r="H99"/>
  <c r="I99"/>
  <c r="L99"/>
  <c r="M99"/>
  <c r="N99"/>
  <c r="D100"/>
  <c r="E100"/>
  <c r="G100"/>
  <c r="R100" s="1"/>
  <c r="H100"/>
  <c r="D101"/>
  <c r="E101"/>
  <c r="G101"/>
  <c r="I101"/>
  <c r="C102"/>
  <c r="F102"/>
  <c r="I102"/>
  <c r="M102"/>
  <c r="N102"/>
  <c r="R102"/>
  <c r="S102"/>
  <c r="AB102"/>
  <c r="C103"/>
  <c r="F103"/>
  <c r="I103"/>
  <c r="L103" s="1"/>
  <c r="M103"/>
  <c r="N103"/>
  <c r="R103"/>
  <c r="S103"/>
  <c r="AB103"/>
  <c r="C104"/>
  <c r="F104"/>
  <c r="I104"/>
  <c r="L104" s="1"/>
  <c r="M104"/>
  <c r="N104"/>
  <c r="R104"/>
  <c r="S104"/>
  <c r="AB104"/>
  <c r="C105"/>
  <c r="F105"/>
  <c r="I105"/>
  <c r="L105" s="1"/>
  <c r="M105"/>
  <c r="N105"/>
  <c r="R105"/>
  <c r="S105"/>
  <c r="AB105"/>
  <c r="C106"/>
  <c r="F106"/>
  <c r="I106"/>
  <c r="L106" s="1"/>
  <c r="M106"/>
  <c r="N106"/>
  <c r="R106"/>
  <c r="S106"/>
  <c r="AB106"/>
  <c r="C107"/>
  <c r="F107"/>
  <c r="I107"/>
  <c r="M107"/>
  <c r="N107"/>
  <c r="R107"/>
  <c r="S107"/>
  <c r="AB107"/>
  <c r="C108"/>
  <c r="F108"/>
  <c r="I108"/>
  <c r="L108"/>
  <c r="M108"/>
  <c r="N108"/>
  <c r="R108"/>
  <c r="S108"/>
  <c r="AB108"/>
  <c r="C109"/>
  <c r="F109"/>
  <c r="I109"/>
  <c r="L109" s="1"/>
  <c r="M109"/>
  <c r="N109"/>
  <c r="R109"/>
  <c r="S109"/>
  <c r="AB109"/>
  <c r="C110"/>
  <c r="F110"/>
  <c r="I110"/>
  <c r="M110"/>
  <c r="N110"/>
  <c r="R110"/>
  <c r="S110"/>
  <c r="AB110"/>
  <c r="C111"/>
  <c r="F111"/>
  <c r="I111"/>
  <c r="L111" s="1"/>
  <c r="M111"/>
  <c r="N111"/>
  <c r="R111"/>
  <c r="S111"/>
  <c r="AB111"/>
  <c r="C112"/>
  <c r="F112"/>
  <c r="I112"/>
  <c r="L112" s="1"/>
  <c r="M112"/>
  <c r="N112"/>
  <c r="R112"/>
  <c r="S112"/>
  <c r="AB112"/>
  <c r="C113"/>
  <c r="F113"/>
  <c r="I113"/>
  <c r="L113" s="1"/>
  <c r="M113"/>
  <c r="N113"/>
  <c r="R113"/>
  <c r="S113"/>
  <c r="AB113"/>
  <c r="C114"/>
  <c r="F114"/>
  <c r="I114"/>
  <c r="M114"/>
  <c r="N114"/>
  <c r="R114"/>
  <c r="S114"/>
  <c r="AB114"/>
  <c r="C115"/>
  <c r="F115"/>
  <c r="I115"/>
  <c r="L115" s="1"/>
  <c r="M115"/>
  <c r="N115"/>
  <c r="R115"/>
  <c r="S115"/>
  <c r="AB115"/>
  <c r="C116"/>
  <c r="F116"/>
  <c r="I116"/>
  <c r="L116" s="1"/>
  <c r="M116"/>
  <c r="N116"/>
  <c r="R116"/>
  <c r="S116"/>
  <c r="AB116"/>
  <c r="C117"/>
  <c r="F117"/>
  <c r="I117"/>
  <c r="L117" s="1"/>
  <c r="M117"/>
  <c r="N117"/>
  <c r="R117"/>
  <c r="S117"/>
  <c r="AB117"/>
  <c r="C118"/>
  <c r="F118"/>
  <c r="I118"/>
  <c r="L118" s="1"/>
  <c r="M118"/>
  <c r="N118"/>
  <c r="R118"/>
  <c r="S118"/>
  <c r="AB118"/>
  <c r="C119"/>
  <c r="F119"/>
  <c r="I119"/>
  <c r="L119" s="1"/>
  <c r="M119"/>
  <c r="N119"/>
  <c r="R119"/>
  <c r="S119"/>
  <c r="AB119"/>
  <c r="C120"/>
  <c r="F120"/>
  <c r="I120"/>
  <c r="L120" s="1"/>
  <c r="M120"/>
  <c r="N120"/>
  <c r="R120"/>
  <c r="S120"/>
  <c r="AB120"/>
  <c r="C121"/>
  <c r="F121"/>
  <c r="I121"/>
  <c r="L121" s="1"/>
  <c r="M121"/>
  <c r="N121"/>
  <c r="R121"/>
  <c r="S121"/>
  <c r="AB121"/>
  <c r="C122"/>
  <c r="F122"/>
  <c r="I122"/>
  <c r="L122" s="1"/>
  <c r="M122"/>
  <c r="N122"/>
  <c r="R122"/>
  <c r="S122"/>
  <c r="AB122"/>
  <c r="C123"/>
  <c r="F123"/>
  <c r="I123"/>
  <c r="L123"/>
  <c r="M123"/>
  <c r="N123"/>
  <c r="R123"/>
  <c r="S123"/>
  <c r="AB123"/>
  <c r="C124"/>
  <c r="F124"/>
  <c r="Z124"/>
  <c r="I124"/>
  <c r="M124"/>
  <c r="N124"/>
  <c r="AB124"/>
  <c r="C125"/>
  <c r="H125"/>
  <c r="S125" s="1"/>
  <c r="I125"/>
  <c r="L125" s="1"/>
  <c r="M125"/>
  <c r="N125"/>
  <c r="R125"/>
  <c r="C126"/>
  <c r="H126"/>
  <c r="S126" s="1"/>
  <c r="I126"/>
  <c r="L126" s="1"/>
  <c r="M126"/>
  <c r="N126"/>
  <c r="R126"/>
  <c r="C127"/>
  <c r="H127"/>
  <c r="AB127" s="1"/>
  <c r="I127"/>
  <c r="L127" s="1"/>
  <c r="M127"/>
  <c r="N127"/>
  <c r="R127"/>
  <c r="C128"/>
  <c r="H128"/>
  <c r="S128" s="1"/>
  <c r="I128"/>
  <c r="L128" s="1"/>
  <c r="M128"/>
  <c r="N128"/>
  <c r="R128"/>
  <c r="C129"/>
  <c r="H129"/>
  <c r="F129" s="1"/>
  <c r="I129"/>
  <c r="L129" s="1"/>
  <c r="M129"/>
  <c r="N129"/>
  <c r="R129"/>
  <c r="C130"/>
  <c r="H130"/>
  <c r="I130"/>
  <c r="L130" s="1"/>
  <c r="M130"/>
  <c r="N130"/>
  <c r="R130"/>
  <c r="C131"/>
  <c r="H131"/>
  <c r="I131"/>
  <c r="L131" s="1"/>
  <c r="M131"/>
  <c r="N131"/>
  <c r="R131"/>
  <c r="C132"/>
  <c r="H132"/>
  <c r="I132"/>
  <c r="L132" s="1"/>
  <c r="M132"/>
  <c r="N132"/>
  <c r="R132"/>
  <c r="C133"/>
  <c r="H133"/>
  <c r="I133"/>
  <c r="L133" s="1"/>
  <c r="M133"/>
  <c r="N133"/>
  <c r="R133"/>
  <c r="C134"/>
  <c r="H134"/>
  <c r="S134" s="1"/>
  <c r="I134"/>
  <c r="L134" s="1"/>
  <c r="M134"/>
  <c r="N134"/>
  <c r="R134"/>
  <c r="C135"/>
  <c r="H135"/>
  <c r="I135"/>
  <c r="L135" s="1"/>
  <c r="M135"/>
  <c r="N135"/>
  <c r="R135"/>
  <c r="C136"/>
  <c r="H136"/>
  <c r="I136"/>
  <c r="L136" s="1"/>
  <c r="M136"/>
  <c r="N136"/>
  <c r="R136"/>
  <c r="C137"/>
  <c r="H137"/>
  <c r="I137"/>
  <c r="L137"/>
  <c r="M137"/>
  <c r="N137"/>
  <c r="R137"/>
  <c r="C138"/>
  <c r="H138"/>
  <c r="F138"/>
  <c r="I138"/>
  <c r="L138"/>
  <c r="M138"/>
  <c r="N138"/>
  <c r="R138"/>
  <c r="C139"/>
  <c r="H139"/>
  <c r="F139"/>
  <c r="I139"/>
  <c r="L139"/>
  <c r="M139"/>
  <c r="N139"/>
  <c r="C140"/>
  <c r="H140"/>
  <c r="F140" s="1"/>
  <c r="I140"/>
  <c r="M140"/>
  <c r="R140"/>
  <c r="C141"/>
  <c r="H141"/>
  <c r="S141" s="1"/>
  <c r="I141"/>
  <c r="L141" s="1"/>
  <c r="M141"/>
  <c r="N141"/>
  <c r="R141"/>
  <c r="C142"/>
  <c r="H142"/>
  <c r="F142" s="1"/>
  <c r="I142"/>
  <c r="L142" s="1"/>
  <c r="M142"/>
  <c r="N142"/>
  <c r="C143"/>
  <c r="H143"/>
  <c r="I143"/>
  <c r="L143" s="1"/>
  <c r="C145"/>
  <c r="G145"/>
  <c r="R145" s="1"/>
  <c r="H145"/>
  <c r="F145" s="1"/>
  <c r="I145"/>
  <c r="M145"/>
  <c r="C146"/>
  <c r="G146"/>
  <c r="R146" s="1"/>
  <c r="H146"/>
  <c r="I146"/>
  <c r="L146" s="1"/>
  <c r="M146"/>
  <c r="N146"/>
  <c r="C147"/>
  <c r="G147"/>
  <c r="H147"/>
  <c r="AB147" s="1"/>
  <c r="I147"/>
  <c r="L147" s="1"/>
  <c r="M147"/>
  <c r="N147"/>
  <c r="C148"/>
  <c r="G148"/>
  <c r="R148" s="1"/>
  <c r="H148"/>
  <c r="I148"/>
  <c r="M148"/>
  <c r="E149"/>
  <c r="C149" s="1"/>
  <c r="G149"/>
  <c r="I149"/>
  <c r="L149" s="1"/>
  <c r="M149"/>
  <c r="N149"/>
  <c r="E150"/>
  <c r="G150"/>
  <c r="R150" s="1"/>
  <c r="I150"/>
  <c r="L150" s="1"/>
  <c r="M150"/>
  <c r="N150"/>
  <c r="C151"/>
  <c r="G151"/>
  <c r="H151"/>
  <c r="I151"/>
  <c r="L151" s="1"/>
  <c r="M151"/>
  <c r="N151"/>
  <c r="C152"/>
  <c r="G152"/>
  <c r="R152" s="1"/>
  <c r="H152"/>
  <c r="I152"/>
  <c r="L152" s="1"/>
  <c r="M152"/>
  <c r="N152"/>
  <c r="C153"/>
  <c r="G153"/>
  <c r="H153"/>
  <c r="S153" s="1"/>
  <c r="I153"/>
  <c r="C154"/>
  <c r="G154"/>
  <c r="H154"/>
  <c r="I154"/>
  <c r="C155"/>
  <c r="G155"/>
  <c r="R155" s="1"/>
  <c r="H155"/>
  <c r="I155"/>
  <c r="C156"/>
  <c r="G156"/>
  <c r="H156"/>
  <c r="S156" s="1"/>
  <c r="I156"/>
  <c r="C157"/>
  <c r="G157"/>
  <c r="H157"/>
  <c r="AB157" s="1"/>
  <c r="I157"/>
  <c r="C158"/>
  <c r="G158"/>
  <c r="H158"/>
  <c r="I158"/>
  <c r="C159"/>
  <c r="G159"/>
  <c r="R159" s="1"/>
  <c r="H159"/>
  <c r="I159"/>
  <c r="M159"/>
  <c r="C160"/>
  <c r="G160"/>
  <c r="H160"/>
  <c r="S160" s="1"/>
  <c r="I160"/>
  <c r="M160"/>
  <c r="C161"/>
  <c r="G161"/>
  <c r="R161" s="1"/>
  <c r="H161"/>
  <c r="I161"/>
  <c r="M161"/>
  <c r="D162"/>
  <c r="E162"/>
  <c r="I162"/>
  <c r="L162" s="1"/>
  <c r="M162"/>
  <c r="N162"/>
  <c r="D163"/>
  <c r="E163"/>
  <c r="I163"/>
  <c r="D164"/>
  <c r="E164"/>
  <c r="I164"/>
  <c r="D165"/>
  <c r="E165"/>
  <c r="I165"/>
  <c r="L165" s="1"/>
  <c r="M165"/>
  <c r="N165"/>
  <c r="D166"/>
  <c r="E166"/>
  <c r="I166"/>
  <c r="L166" s="1"/>
  <c r="M166"/>
  <c r="N166"/>
  <c r="D167"/>
  <c r="E167"/>
  <c r="I167"/>
  <c r="L167" s="1"/>
  <c r="M167"/>
  <c r="N167"/>
  <c r="D168"/>
  <c r="E168"/>
  <c r="I168"/>
  <c r="L168" s="1"/>
  <c r="M168"/>
  <c r="N168"/>
  <c r="D169"/>
  <c r="E169"/>
  <c r="I169"/>
  <c r="L169" s="1"/>
  <c r="M169"/>
  <c r="N169"/>
  <c r="D170"/>
  <c r="E170"/>
  <c r="J170"/>
  <c r="K170"/>
  <c r="K144" s="1"/>
  <c r="K88" s="1"/>
  <c r="K87" s="1"/>
  <c r="D171"/>
  <c r="E171"/>
  <c r="H171" s="1"/>
  <c r="I171"/>
  <c r="L171" s="1"/>
  <c r="M171"/>
  <c r="N171"/>
  <c r="D172"/>
  <c r="E172"/>
  <c r="I172"/>
  <c r="L172" s="1"/>
  <c r="M172"/>
  <c r="N172"/>
  <c r="D173"/>
  <c r="G173" s="1"/>
  <c r="E173"/>
  <c r="H173" s="1"/>
  <c r="I173"/>
  <c r="D174"/>
  <c r="E174"/>
  <c r="I174"/>
  <c r="L174"/>
  <c r="M174"/>
  <c r="N174"/>
  <c r="D175"/>
  <c r="E175"/>
  <c r="H175" s="1"/>
  <c r="I175"/>
  <c r="C176"/>
  <c r="G176"/>
  <c r="H176"/>
  <c r="I176"/>
  <c r="M176"/>
  <c r="R176"/>
  <c r="D177"/>
  <c r="E177"/>
  <c r="I177"/>
  <c r="D178"/>
  <c r="E178"/>
  <c r="I178"/>
  <c r="C179"/>
  <c r="G179"/>
  <c r="H179"/>
  <c r="I179"/>
  <c r="L179" s="1"/>
  <c r="M179"/>
  <c r="N179"/>
  <c r="C180"/>
  <c r="G180"/>
  <c r="H180"/>
  <c r="N180" s="1"/>
  <c r="I180"/>
  <c r="M180"/>
  <c r="D181"/>
  <c r="E181"/>
  <c r="I181"/>
  <c r="L181" s="1"/>
  <c r="M181"/>
  <c r="N181"/>
  <c r="D182"/>
  <c r="E182"/>
  <c r="C183"/>
  <c r="G183"/>
  <c r="H183"/>
  <c r="AB183" s="1"/>
  <c r="I183"/>
  <c r="L183" s="1"/>
  <c r="M183"/>
  <c r="N183"/>
  <c r="C184"/>
  <c r="G184"/>
  <c r="R184" s="1"/>
  <c r="H184"/>
  <c r="S184" s="1"/>
  <c r="I184"/>
  <c r="L184" s="1"/>
  <c r="M184"/>
  <c r="N184"/>
  <c r="C185"/>
  <c r="G185"/>
  <c r="H185"/>
  <c r="C186"/>
  <c r="G186"/>
  <c r="H186"/>
  <c r="AB186" s="1"/>
  <c r="D187"/>
  <c r="E187"/>
  <c r="I187"/>
  <c r="D188"/>
  <c r="E188"/>
  <c r="I188"/>
  <c r="L188" s="1"/>
  <c r="M188"/>
  <c r="N188"/>
  <c r="D189"/>
  <c r="E189"/>
  <c r="I189"/>
  <c r="L189" s="1"/>
  <c r="M189"/>
  <c r="N189"/>
  <c r="C190"/>
  <c r="G190"/>
  <c r="H190"/>
  <c r="I190"/>
  <c r="L190" s="1"/>
  <c r="M190"/>
  <c r="N190"/>
  <c r="C191"/>
  <c r="G191"/>
  <c r="R191" s="1"/>
  <c r="H191"/>
  <c r="I191"/>
  <c r="M191"/>
  <c r="C192"/>
  <c r="G192"/>
  <c r="H192"/>
  <c r="AB192" s="1"/>
  <c r="I192"/>
  <c r="L192" s="1"/>
  <c r="M192"/>
  <c r="N192"/>
  <c r="C193"/>
  <c r="G193"/>
  <c r="H193"/>
  <c r="I193"/>
  <c r="M193"/>
  <c r="D194"/>
  <c r="E194"/>
  <c r="I194"/>
  <c r="L194" s="1"/>
  <c r="M194"/>
  <c r="N194"/>
  <c r="C195"/>
  <c r="G195"/>
  <c r="H195"/>
  <c r="I195"/>
  <c r="L195" s="1"/>
  <c r="M195"/>
  <c r="N195"/>
  <c r="C196"/>
  <c r="F196"/>
  <c r="I196"/>
  <c r="M196"/>
  <c r="N196"/>
  <c r="AB196"/>
  <c r="C197"/>
  <c r="G197"/>
  <c r="R197" s="1"/>
  <c r="H197"/>
  <c r="I197"/>
  <c r="L197" s="1"/>
  <c r="M197"/>
  <c r="N197"/>
  <c r="C198"/>
  <c r="G198"/>
  <c r="H198"/>
  <c r="I198"/>
  <c r="C199"/>
  <c r="G199"/>
  <c r="R199" s="1"/>
  <c r="H199"/>
  <c r="AB199" s="1"/>
  <c r="I199"/>
  <c r="L199" s="1"/>
  <c r="M199"/>
  <c r="N199"/>
  <c r="D200"/>
  <c r="E200"/>
  <c r="I200"/>
  <c r="C201"/>
  <c r="G201"/>
  <c r="H201"/>
  <c r="AB201" s="1"/>
  <c r="I201"/>
  <c r="L201" s="1"/>
  <c r="M201"/>
  <c r="N201"/>
  <c r="C202"/>
  <c r="G202"/>
  <c r="R202" s="1"/>
  <c r="H202"/>
  <c r="I202"/>
  <c r="L202" s="1"/>
  <c r="M202"/>
  <c r="N202"/>
  <c r="D203"/>
  <c r="E203"/>
  <c r="I203"/>
  <c r="D206"/>
  <c r="E206"/>
  <c r="G206"/>
  <c r="H206"/>
  <c r="J206"/>
  <c r="M206"/>
  <c r="K206"/>
  <c r="N206" s="1"/>
  <c r="C207"/>
  <c r="AA207" s="1"/>
  <c r="F207"/>
  <c r="I207"/>
  <c r="L207" s="1"/>
  <c r="M207"/>
  <c r="N207"/>
  <c r="AB207"/>
  <c r="C208"/>
  <c r="F208"/>
  <c r="I208"/>
  <c r="L208" s="1"/>
  <c r="M208"/>
  <c r="N208"/>
  <c r="AB208"/>
  <c r="C209"/>
  <c r="F209"/>
  <c r="I209"/>
  <c r="L209" s="1"/>
  <c r="M209"/>
  <c r="N209"/>
  <c r="AB209"/>
  <c r="C210"/>
  <c r="F210"/>
  <c r="I210"/>
  <c r="L210" s="1"/>
  <c r="M210"/>
  <c r="N210"/>
  <c r="AB210"/>
  <c r="C211"/>
  <c r="F211"/>
  <c r="I211"/>
  <c r="L211" s="1"/>
  <c r="M211"/>
  <c r="N211"/>
  <c r="AB211"/>
  <c r="C212"/>
  <c r="F212"/>
  <c r="I212"/>
  <c r="L212" s="1"/>
  <c r="M212"/>
  <c r="N212"/>
  <c r="AB212"/>
  <c r="C213"/>
  <c r="F213"/>
  <c r="I213"/>
  <c r="L213" s="1"/>
  <c r="M213"/>
  <c r="N213"/>
  <c r="AB213"/>
  <c r="C214"/>
  <c r="F214"/>
  <c r="I214"/>
  <c r="L214" s="1"/>
  <c r="M214"/>
  <c r="N214"/>
  <c r="AB214"/>
  <c r="C215"/>
  <c r="F215"/>
  <c r="I215"/>
  <c r="L215" s="1"/>
  <c r="M215"/>
  <c r="N215"/>
  <c r="AB215"/>
  <c r="C216"/>
  <c r="F216"/>
  <c r="I216"/>
  <c r="L216" s="1"/>
  <c r="M216"/>
  <c r="N216"/>
  <c r="AB216"/>
  <c r="C217"/>
  <c r="F217"/>
  <c r="I217"/>
  <c r="L217" s="1"/>
  <c r="M217"/>
  <c r="N217"/>
  <c r="AB217"/>
  <c r="D218"/>
  <c r="E218"/>
  <c r="G218"/>
  <c r="H218"/>
  <c r="J218"/>
  <c r="K218"/>
  <c r="C219"/>
  <c r="F219"/>
  <c r="I219"/>
  <c r="L219" s="1"/>
  <c r="M219"/>
  <c r="N219"/>
  <c r="R219"/>
  <c r="S219"/>
  <c r="AB219"/>
  <c r="D220"/>
  <c r="E220"/>
  <c r="G220"/>
  <c r="R220" s="1"/>
  <c r="H220"/>
  <c r="J220"/>
  <c r="K220"/>
  <c r="N220" s="1"/>
  <c r="C221"/>
  <c r="F221"/>
  <c r="I221"/>
  <c r="L221"/>
  <c r="M221"/>
  <c r="N221"/>
  <c r="R221"/>
  <c r="S221"/>
  <c r="AB221"/>
  <c r="D222"/>
  <c r="E222"/>
  <c r="G222"/>
  <c r="J222"/>
  <c r="K222"/>
  <c r="C223"/>
  <c r="H223"/>
  <c r="H222" s="1"/>
  <c r="I223"/>
  <c r="L223" s="1"/>
  <c r="M223"/>
  <c r="N223"/>
  <c r="D226"/>
  <c r="E226"/>
  <c r="J226"/>
  <c r="K226"/>
  <c r="C227"/>
  <c r="F227" s="1"/>
  <c r="AA227" s="1"/>
  <c r="G227"/>
  <c r="H227"/>
  <c r="AB227" s="1"/>
  <c r="I227"/>
  <c r="L227" s="1"/>
  <c r="M227"/>
  <c r="N227"/>
  <c r="C228"/>
  <c r="F228" s="1"/>
  <c r="G228"/>
  <c r="H228"/>
  <c r="AB228" s="1"/>
  <c r="I228"/>
  <c r="L228" s="1"/>
  <c r="M228"/>
  <c r="N228"/>
  <c r="D229"/>
  <c r="E229"/>
  <c r="J229"/>
  <c r="K229"/>
  <c r="C230"/>
  <c r="F230"/>
  <c r="I230"/>
  <c r="L230" s="1"/>
  <c r="M230"/>
  <c r="N230"/>
  <c r="AB230"/>
  <c r="C231"/>
  <c r="G231"/>
  <c r="M231" s="1"/>
  <c r="H231"/>
  <c r="I231"/>
  <c r="C232"/>
  <c r="G232"/>
  <c r="H232"/>
  <c r="S232"/>
  <c r="I232"/>
  <c r="C233"/>
  <c r="G233"/>
  <c r="M233" s="1"/>
  <c r="H233"/>
  <c r="I233"/>
  <c r="C234"/>
  <c r="G234"/>
  <c r="H234"/>
  <c r="I234"/>
  <c r="AB234"/>
  <c r="C235"/>
  <c r="G235"/>
  <c r="M235" s="1"/>
  <c r="H235"/>
  <c r="I235"/>
  <c r="C236"/>
  <c r="G236"/>
  <c r="H236"/>
  <c r="I236"/>
  <c r="C237"/>
  <c r="G237"/>
  <c r="M237" s="1"/>
  <c r="H237"/>
  <c r="AB237" s="1"/>
  <c r="I237"/>
  <c r="C238"/>
  <c r="G238"/>
  <c r="M238" s="1"/>
  <c r="H238"/>
  <c r="I238"/>
  <c r="C239"/>
  <c r="G239"/>
  <c r="M239" s="1"/>
  <c r="H239"/>
  <c r="N239" s="1"/>
  <c r="I239"/>
  <c r="C240"/>
  <c r="G240"/>
  <c r="H240"/>
  <c r="S240" s="1"/>
  <c r="I240"/>
  <c r="L240" s="1"/>
  <c r="M240"/>
  <c r="N240"/>
  <c r="C241"/>
  <c r="G241"/>
  <c r="H241"/>
  <c r="I241"/>
  <c r="L241" s="1"/>
  <c r="M241"/>
  <c r="N241"/>
  <c r="D242"/>
  <c r="E242"/>
  <c r="J242"/>
  <c r="K242"/>
  <c r="C243"/>
  <c r="G243"/>
  <c r="G242" s="1"/>
  <c r="H243"/>
  <c r="I243"/>
  <c r="D244"/>
  <c r="E244"/>
  <c r="J244"/>
  <c r="M244" s="1"/>
  <c r="K244"/>
  <c r="C245"/>
  <c r="G245"/>
  <c r="R245" s="1"/>
  <c r="H245"/>
  <c r="S245" s="1"/>
  <c r="I245"/>
  <c r="L245" s="1"/>
  <c r="M245"/>
  <c r="N245"/>
  <c r="C246"/>
  <c r="G246"/>
  <c r="H246"/>
  <c r="I246"/>
  <c r="C247"/>
  <c r="G247"/>
  <c r="R247" s="1"/>
  <c r="H247"/>
  <c r="S247" s="1"/>
  <c r="I247"/>
  <c r="M247"/>
  <c r="C248"/>
  <c r="G248"/>
  <c r="R248" s="1"/>
  <c r="H248"/>
  <c r="I248"/>
  <c r="M248"/>
  <c r="Q249"/>
  <c r="R249"/>
  <c r="S249"/>
  <c r="Z249"/>
  <c r="AA249"/>
  <c r="D250"/>
  <c r="E250"/>
  <c r="H250"/>
  <c r="J250"/>
  <c r="K250"/>
  <c r="D251"/>
  <c r="E251"/>
  <c r="G251"/>
  <c r="H251"/>
  <c r="J251"/>
  <c r="K251"/>
  <c r="J252"/>
  <c r="K252"/>
  <c r="D255"/>
  <c r="J255"/>
  <c r="K255"/>
  <c r="D256"/>
  <c r="E256"/>
  <c r="G256"/>
  <c r="J256"/>
  <c r="K256"/>
  <c r="C4" i="44"/>
  <c r="Q14"/>
  <c r="R14"/>
  <c r="S14"/>
  <c r="Z14"/>
  <c r="AA14"/>
  <c r="AB14"/>
  <c r="C17"/>
  <c r="F17"/>
  <c r="I17"/>
  <c r="L17" s="1"/>
  <c r="M17"/>
  <c r="N17"/>
  <c r="R17"/>
  <c r="S17"/>
  <c r="AB17"/>
  <c r="C18"/>
  <c r="F18"/>
  <c r="I18"/>
  <c r="L18" s="1"/>
  <c r="M18"/>
  <c r="N18"/>
  <c r="R18"/>
  <c r="R263" s="1"/>
  <c r="S18"/>
  <c r="S263" s="1"/>
  <c r="AB18"/>
  <c r="C19"/>
  <c r="F19"/>
  <c r="I19"/>
  <c r="M19"/>
  <c r="N19"/>
  <c r="R19"/>
  <c r="S19"/>
  <c r="AB19"/>
  <c r="C20"/>
  <c r="F20"/>
  <c r="I20"/>
  <c r="M20"/>
  <c r="N20"/>
  <c r="R20"/>
  <c r="S20"/>
  <c r="AB20"/>
  <c r="D21"/>
  <c r="E21"/>
  <c r="G21"/>
  <c r="H21"/>
  <c r="J21"/>
  <c r="K21"/>
  <c r="C22"/>
  <c r="F22"/>
  <c r="Z22" s="1"/>
  <c r="I22"/>
  <c r="L22" s="1"/>
  <c r="M22"/>
  <c r="N22"/>
  <c r="AB22"/>
  <c r="C23"/>
  <c r="F23"/>
  <c r="I23"/>
  <c r="L23" s="1"/>
  <c r="M23"/>
  <c r="N23"/>
  <c r="R23"/>
  <c r="S23"/>
  <c r="AB23"/>
  <c r="D24"/>
  <c r="E24"/>
  <c r="G24"/>
  <c r="H24"/>
  <c r="J24"/>
  <c r="K24"/>
  <c r="N24" s="1"/>
  <c r="C25"/>
  <c r="F25"/>
  <c r="I25"/>
  <c r="L25" s="1"/>
  <c r="M25"/>
  <c r="N25"/>
  <c r="R25"/>
  <c r="S25"/>
  <c r="AB25"/>
  <c r="D26"/>
  <c r="E26"/>
  <c r="G26"/>
  <c r="H26"/>
  <c r="J26"/>
  <c r="M26" s="1"/>
  <c r="K26"/>
  <c r="N26" s="1"/>
  <c r="C27"/>
  <c r="F27"/>
  <c r="I27"/>
  <c r="L27" s="1"/>
  <c r="M27"/>
  <c r="N27"/>
  <c r="R27"/>
  <c r="S27"/>
  <c r="AB27"/>
  <c r="C28"/>
  <c r="F28"/>
  <c r="I28"/>
  <c r="L28" s="1"/>
  <c r="M28"/>
  <c r="N28"/>
  <c r="R28"/>
  <c r="S28"/>
  <c r="AB28"/>
  <c r="D29"/>
  <c r="E29"/>
  <c r="G29"/>
  <c r="H29"/>
  <c r="J29"/>
  <c r="K29"/>
  <c r="N29"/>
  <c r="C30"/>
  <c r="F30"/>
  <c r="I30"/>
  <c r="L30" s="1"/>
  <c r="M30"/>
  <c r="N30"/>
  <c r="R30"/>
  <c r="S30"/>
  <c r="AB30"/>
  <c r="C31"/>
  <c r="F31"/>
  <c r="I31"/>
  <c r="L31" s="1"/>
  <c r="M31"/>
  <c r="N31"/>
  <c r="R31"/>
  <c r="S31"/>
  <c r="AB31"/>
  <c r="D32"/>
  <c r="E32"/>
  <c r="G32"/>
  <c r="H32"/>
  <c r="J32"/>
  <c r="M32" s="1"/>
  <c r="K32"/>
  <c r="N32" s="1"/>
  <c r="C33"/>
  <c r="AA33" s="1"/>
  <c r="F33"/>
  <c r="I33"/>
  <c r="L33" s="1"/>
  <c r="M33"/>
  <c r="N33"/>
  <c r="R33"/>
  <c r="S33"/>
  <c r="AB33"/>
  <c r="D34"/>
  <c r="E34"/>
  <c r="G34"/>
  <c r="H34"/>
  <c r="J34"/>
  <c r="K34"/>
  <c r="C35"/>
  <c r="F35"/>
  <c r="Z35"/>
  <c r="I35"/>
  <c r="M35"/>
  <c r="N35"/>
  <c r="R35"/>
  <c r="S35"/>
  <c r="AB35"/>
  <c r="C36"/>
  <c r="F36"/>
  <c r="I36"/>
  <c r="L36" s="1"/>
  <c r="M36"/>
  <c r="N36"/>
  <c r="AB36"/>
  <c r="C37"/>
  <c r="F37"/>
  <c r="I37"/>
  <c r="M37"/>
  <c r="N37"/>
  <c r="R37"/>
  <c r="S37"/>
  <c r="AB37"/>
  <c r="C38"/>
  <c r="F38"/>
  <c r="R38"/>
  <c r="S38"/>
  <c r="AB38"/>
  <c r="D39"/>
  <c r="E39"/>
  <c r="G39"/>
  <c r="H39"/>
  <c r="J39"/>
  <c r="M39" s="1"/>
  <c r="K39"/>
  <c r="N39" s="1"/>
  <c r="C40"/>
  <c r="F40"/>
  <c r="I40"/>
  <c r="L40" s="1"/>
  <c r="M40"/>
  <c r="N40"/>
  <c r="AB40"/>
  <c r="C41"/>
  <c r="F41"/>
  <c r="I41"/>
  <c r="L41" s="1"/>
  <c r="M41"/>
  <c r="N41"/>
  <c r="R41"/>
  <c r="S41"/>
  <c r="AB41"/>
  <c r="C42"/>
  <c r="F42"/>
  <c r="I42"/>
  <c r="L42" s="1"/>
  <c r="M42"/>
  <c r="N42"/>
  <c r="R42"/>
  <c r="S42"/>
  <c r="AB42"/>
  <c r="D43"/>
  <c r="E43"/>
  <c r="G43"/>
  <c r="H43"/>
  <c r="J43"/>
  <c r="M43" s="1"/>
  <c r="K43"/>
  <c r="C44"/>
  <c r="F44"/>
  <c r="I44"/>
  <c r="L44" s="1"/>
  <c r="M44"/>
  <c r="N44"/>
  <c r="AB44"/>
  <c r="C45"/>
  <c r="F45"/>
  <c r="I45"/>
  <c r="M45"/>
  <c r="N45"/>
  <c r="R45"/>
  <c r="S45"/>
  <c r="AB45"/>
  <c r="D46"/>
  <c r="E46"/>
  <c r="G46"/>
  <c r="H46"/>
  <c r="J46"/>
  <c r="K46"/>
  <c r="N46" s="1"/>
  <c r="C47"/>
  <c r="F47"/>
  <c r="I47"/>
  <c r="L47" s="1"/>
  <c r="M47"/>
  <c r="N47"/>
  <c r="R47"/>
  <c r="S47"/>
  <c r="AB47"/>
  <c r="D48"/>
  <c r="E48"/>
  <c r="G48"/>
  <c r="H48"/>
  <c r="J48"/>
  <c r="K48"/>
  <c r="C49"/>
  <c r="F49"/>
  <c r="I49"/>
  <c r="L49" s="1"/>
  <c r="M49"/>
  <c r="N49"/>
  <c r="AB49"/>
  <c r="C50"/>
  <c r="F50"/>
  <c r="I50"/>
  <c r="L50" s="1"/>
  <c r="M50"/>
  <c r="N50"/>
  <c r="R50"/>
  <c r="S50"/>
  <c r="AB50"/>
  <c r="C51"/>
  <c r="F51"/>
  <c r="I51"/>
  <c r="L51" s="1"/>
  <c r="M51"/>
  <c r="N51"/>
  <c r="R51"/>
  <c r="S51"/>
  <c r="AB51"/>
  <c r="D52"/>
  <c r="E52"/>
  <c r="G52"/>
  <c r="H52"/>
  <c r="J52"/>
  <c r="M52" s="1"/>
  <c r="K52"/>
  <c r="N52" s="1"/>
  <c r="C53"/>
  <c r="Q53" s="1"/>
  <c r="F53"/>
  <c r="I53"/>
  <c r="L53" s="1"/>
  <c r="M53"/>
  <c r="N53"/>
  <c r="R53"/>
  <c r="S53"/>
  <c r="AB53"/>
  <c r="C54"/>
  <c r="F54"/>
  <c r="I54"/>
  <c r="L54" s="1"/>
  <c r="M54"/>
  <c r="N54"/>
  <c r="R54"/>
  <c r="S54"/>
  <c r="AB54"/>
  <c r="D55"/>
  <c r="E55"/>
  <c r="G55"/>
  <c r="H55"/>
  <c r="J55"/>
  <c r="K55"/>
  <c r="N55" s="1"/>
  <c r="C56"/>
  <c r="F56"/>
  <c r="I56"/>
  <c r="L56" s="1"/>
  <c r="M56"/>
  <c r="N56"/>
  <c r="R56"/>
  <c r="S56"/>
  <c r="AB56"/>
  <c r="D57"/>
  <c r="E57"/>
  <c r="G57"/>
  <c r="H57"/>
  <c r="J57"/>
  <c r="K57"/>
  <c r="N57" s="1"/>
  <c r="C58"/>
  <c r="F58"/>
  <c r="I58"/>
  <c r="L58" s="1"/>
  <c r="M58"/>
  <c r="N58"/>
  <c r="R58"/>
  <c r="S58"/>
  <c r="AB58"/>
  <c r="D59"/>
  <c r="E59"/>
  <c r="G59"/>
  <c r="H59"/>
  <c r="J59"/>
  <c r="K59"/>
  <c r="N59" s="1"/>
  <c r="C60"/>
  <c r="F60"/>
  <c r="I60"/>
  <c r="L60" s="1"/>
  <c r="M60"/>
  <c r="N60"/>
  <c r="R60"/>
  <c r="S60"/>
  <c r="AB60"/>
  <c r="D61"/>
  <c r="E61"/>
  <c r="G61"/>
  <c r="H61"/>
  <c r="J61"/>
  <c r="M61" s="1"/>
  <c r="K61"/>
  <c r="N61" s="1"/>
  <c r="C62"/>
  <c r="F62"/>
  <c r="L62"/>
  <c r="M62"/>
  <c r="N62"/>
  <c r="R62"/>
  <c r="S62"/>
  <c r="AB62"/>
  <c r="D63"/>
  <c r="E63"/>
  <c r="G63"/>
  <c r="H63"/>
  <c r="J63"/>
  <c r="K63"/>
  <c r="N63" s="1"/>
  <c r="C64"/>
  <c r="F64"/>
  <c r="Q64" s="1"/>
  <c r="I64"/>
  <c r="L64" s="1"/>
  <c r="M64"/>
  <c r="N64"/>
  <c r="R64"/>
  <c r="S64"/>
  <c r="AB64"/>
  <c r="C65"/>
  <c r="F65"/>
  <c r="R65"/>
  <c r="S65"/>
  <c r="AB65"/>
  <c r="C66"/>
  <c r="Z66" s="1"/>
  <c r="F66"/>
  <c r="R66"/>
  <c r="S66"/>
  <c r="AB66"/>
  <c r="C67"/>
  <c r="F67"/>
  <c r="R67"/>
  <c r="S67"/>
  <c r="AB67"/>
  <c r="C68"/>
  <c r="F68"/>
  <c r="R68"/>
  <c r="S68"/>
  <c r="AB68"/>
  <c r="D71"/>
  <c r="E71"/>
  <c r="I71"/>
  <c r="D72"/>
  <c r="G72" s="1"/>
  <c r="E72"/>
  <c r="H72" s="1"/>
  <c r="J72"/>
  <c r="K72"/>
  <c r="K73"/>
  <c r="D74"/>
  <c r="E74"/>
  <c r="I74"/>
  <c r="D75"/>
  <c r="E75"/>
  <c r="J75"/>
  <c r="D76"/>
  <c r="E76"/>
  <c r="J76"/>
  <c r="K76"/>
  <c r="C77"/>
  <c r="G77"/>
  <c r="M77" s="1"/>
  <c r="H77"/>
  <c r="I77"/>
  <c r="D78"/>
  <c r="E78"/>
  <c r="C78" s="1"/>
  <c r="J78"/>
  <c r="K78"/>
  <c r="C79"/>
  <c r="G79"/>
  <c r="H79"/>
  <c r="I79"/>
  <c r="J80"/>
  <c r="K80"/>
  <c r="I80" s="1"/>
  <c r="D81"/>
  <c r="E81"/>
  <c r="H81" s="1"/>
  <c r="I81"/>
  <c r="J82"/>
  <c r="K82"/>
  <c r="D83"/>
  <c r="E83"/>
  <c r="I83"/>
  <c r="D84"/>
  <c r="E84"/>
  <c r="I84"/>
  <c r="L84" s="1"/>
  <c r="M84"/>
  <c r="N84"/>
  <c r="J85"/>
  <c r="K85"/>
  <c r="D86"/>
  <c r="G86" s="1"/>
  <c r="E86"/>
  <c r="E85" s="1"/>
  <c r="H86"/>
  <c r="I86"/>
  <c r="C89"/>
  <c r="G89"/>
  <c r="G250" s="1"/>
  <c r="K89"/>
  <c r="M89"/>
  <c r="S89"/>
  <c r="AB89"/>
  <c r="C90"/>
  <c r="F90"/>
  <c r="I90"/>
  <c r="M90"/>
  <c r="N90"/>
  <c r="R90"/>
  <c r="S90"/>
  <c r="AB90"/>
  <c r="C91"/>
  <c r="F91"/>
  <c r="I91"/>
  <c r="M91"/>
  <c r="N91"/>
  <c r="R91"/>
  <c r="S91"/>
  <c r="AB91"/>
  <c r="C92"/>
  <c r="F92"/>
  <c r="I92"/>
  <c r="M92"/>
  <c r="N92"/>
  <c r="R92"/>
  <c r="S92"/>
  <c r="AB92"/>
  <c r="C93"/>
  <c r="F93"/>
  <c r="I93"/>
  <c r="M93"/>
  <c r="N93"/>
  <c r="R93"/>
  <c r="S93"/>
  <c r="AB93"/>
  <c r="C94"/>
  <c r="F94"/>
  <c r="I94"/>
  <c r="M94"/>
  <c r="N94"/>
  <c r="R94"/>
  <c r="S94"/>
  <c r="AB94"/>
  <c r="C95"/>
  <c r="F95"/>
  <c r="I95"/>
  <c r="M95"/>
  <c r="N95"/>
  <c r="R95"/>
  <c r="S95"/>
  <c r="AB95"/>
  <c r="C96"/>
  <c r="F96"/>
  <c r="I96"/>
  <c r="M96"/>
  <c r="N96"/>
  <c r="R96"/>
  <c r="S96"/>
  <c r="AB96"/>
  <c r="C97"/>
  <c r="F97"/>
  <c r="I97"/>
  <c r="M97"/>
  <c r="N97"/>
  <c r="R97"/>
  <c r="S97"/>
  <c r="AB97"/>
  <c r="E98"/>
  <c r="I98"/>
  <c r="M98"/>
  <c r="N98"/>
  <c r="R98"/>
  <c r="D99"/>
  <c r="E99"/>
  <c r="G99"/>
  <c r="H99"/>
  <c r="I99"/>
  <c r="L99" s="1"/>
  <c r="M99"/>
  <c r="N99"/>
  <c r="D100"/>
  <c r="E100"/>
  <c r="G100"/>
  <c r="H100"/>
  <c r="D101"/>
  <c r="E101"/>
  <c r="G101"/>
  <c r="M101" s="1"/>
  <c r="I101"/>
  <c r="C102"/>
  <c r="F102"/>
  <c r="I102"/>
  <c r="M102"/>
  <c r="N102"/>
  <c r="R102"/>
  <c r="S102"/>
  <c r="AB102"/>
  <c r="C103"/>
  <c r="F103"/>
  <c r="I103"/>
  <c r="L103" s="1"/>
  <c r="M103"/>
  <c r="N103"/>
  <c r="R103"/>
  <c r="S103"/>
  <c r="AB103"/>
  <c r="C104"/>
  <c r="F104"/>
  <c r="I104"/>
  <c r="L104" s="1"/>
  <c r="M104"/>
  <c r="N104"/>
  <c r="R104"/>
  <c r="S104"/>
  <c r="AB104"/>
  <c r="C105"/>
  <c r="F105"/>
  <c r="I105"/>
  <c r="L105" s="1"/>
  <c r="M105"/>
  <c r="N105"/>
  <c r="R105"/>
  <c r="S105"/>
  <c r="AB105"/>
  <c r="C106"/>
  <c r="F106"/>
  <c r="I106"/>
  <c r="L106" s="1"/>
  <c r="M106"/>
  <c r="N106"/>
  <c r="R106"/>
  <c r="S106"/>
  <c r="AB106"/>
  <c r="C107"/>
  <c r="F107"/>
  <c r="I107"/>
  <c r="M107"/>
  <c r="N107"/>
  <c r="R107"/>
  <c r="S107"/>
  <c r="AB107"/>
  <c r="C108"/>
  <c r="F108"/>
  <c r="I108"/>
  <c r="L108" s="1"/>
  <c r="M108"/>
  <c r="N108"/>
  <c r="R108"/>
  <c r="S108"/>
  <c r="AB108"/>
  <c r="C109"/>
  <c r="F109"/>
  <c r="I109"/>
  <c r="L109" s="1"/>
  <c r="M109"/>
  <c r="N109"/>
  <c r="R109"/>
  <c r="S109"/>
  <c r="AB109"/>
  <c r="C110"/>
  <c r="F110"/>
  <c r="I110"/>
  <c r="M110"/>
  <c r="N110"/>
  <c r="R110"/>
  <c r="S110"/>
  <c r="AB110"/>
  <c r="C111"/>
  <c r="F111"/>
  <c r="I111"/>
  <c r="M111"/>
  <c r="N111"/>
  <c r="R111"/>
  <c r="S111"/>
  <c r="AB111"/>
  <c r="C112"/>
  <c r="F112"/>
  <c r="I112"/>
  <c r="L112" s="1"/>
  <c r="M112"/>
  <c r="N112"/>
  <c r="R112"/>
  <c r="S112"/>
  <c r="AB112"/>
  <c r="C113"/>
  <c r="F113"/>
  <c r="I113"/>
  <c r="L113" s="1"/>
  <c r="M113"/>
  <c r="N113"/>
  <c r="R113"/>
  <c r="S113"/>
  <c r="AB113"/>
  <c r="C114"/>
  <c r="F114"/>
  <c r="I114"/>
  <c r="M114"/>
  <c r="N114"/>
  <c r="R114"/>
  <c r="S114"/>
  <c r="AB114"/>
  <c r="C115"/>
  <c r="F115"/>
  <c r="I115"/>
  <c r="L115" s="1"/>
  <c r="M115"/>
  <c r="N115"/>
  <c r="R115"/>
  <c r="S115"/>
  <c r="AB115"/>
  <c r="C116"/>
  <c r="F116"/>
  <c r="I116"/>
  <c r="L116" s="1"/>
  <c r="M116"/>
  <c r="N116"/>
  <c r="R116"/>
  <c r="S116"/>
  <c r="AB116"/>
  <c r="C117"/>
  <c r="F117"/>
  <c r="I117"/>
  <c r="L117" s="1"/>
  <c r="M117"/>
  <c r="N117"/>
  <c r="R117"/>
  <c r="S117"/>
  <c r="AB117"/>
  <c r="C118"/>
  <c r="F118"/>
  <c r="I118"/>
  <c r="L118" s="1"/>
  <c r="M118"/>
  <c r="N118"/>
  <c r="R118"/>
  <c r="S118"/>
  <c r="AB118"/>
  <c r="C119"/>
  <c r="F119"/>
  <c r="I119"/>
  <c r="L119" s="1"/>
  <c r="M119"/>
  <c r="N119"/>
  <c r="R119"/>
  <c r="S119"/>
  <c r="AB119"/>
  <c r="C120"/>
  <c r="F120"/>
  <c r="I120"/>
  <c r="L120" s="1"/>
  <c r="M120"/>
  <c r="N120"/>
  <c r="R120"/>
  <c r="S120"/>
  <c r="AB120"/>
  <c r="C121"/>
  <c r="F121"/>
  <c r="I121"/>
  <c r="L121" s="1"/>
  <c r="M121"/>
  <c r="N121"/>
  <c r="R121"/>
  <c r="S121"/>
  <c r="AB121"/>
  <c r="C122"/>
  <c r="F122"/>
  <c r="I122"/>
  <c r="L122" s="1"/>
  <c r="M122"/>
  <c r="N122"/>
  <c r="R122"/>
  <c r="S122"/>
  <c r="AB122"/>
  <c r="C123"/>
  <c r="F123"/>
  <c r="AA123" s="1"/>
  <c r="I123"/>
  <c r="L123" s="1"/>
  <c r="M123"/>
  <c r="N123"/>
  <c r="R123"/>
  <c r="S123"/>
  <c r="AB123"/>
  <c r="C124"/>
  <c r="F124"/>
  <c r="I124"/>
  <c r="M124"/>
  <c r="N124"/>
  <c r="AB124"/>
  <c r="C125"/>
  <c r="H125"/>
  <c r="F125" s="1"/>
  <c r="I125"/>
  <c r="L125" s="1"/>
  <c r="M125"/>
  <c r="N125"/>
  <c r="R125"/>
  <c r="C126"/>
  <c r="H126"/>
  <c r="I126"/>
  <c r="L126" s="1"/>
  <c r="M126"/>
  <c r="N126"/>
  <c r="R126"/>
  <c r="C127"/>
  <c r="H127"/>
  <c r="I127"/>
  <c r="L127" s="1"/>
  <c r="M127"/>
  <c r="N127"/>
  <c r="R127"/>
  <c r="C128"/>
  <c r="H128"/>
  <c r="F128" s="1"/>
  <c r="I128"/>
  <c r="L128" s="1"/>
  <c r="M128"/>
  <c r="N128"/>
  <c r="R128"/>
  <c r="C129"/>
  <c r="H129"/>
  <c r="S129" s="1"/>
  <c r="I129"/>
  <c r="L129" s="1"/>
  <c r="M129"/>
  <c r="N129"/>
  <c r="R129"/>
  <c r="C130"/>
  <c r="H130"/>
  <c r="F130" s="1"/>
  <c r="I130"/>
  <c r="L130" s="1"/>
  <c r="M130"/>
  <c r="N130"/>
  <c r="R130"/>
  <c r="C131"/>
  <c r="H131"/>
  <c r="I131"/>
  <c r="L131" s="1"/>
  <c r="M131"/>
  <c r="N131"/>
  <c r="R131"/>
  <c r="C132"/>
  <c r="H132"/>
  <c r="I132"/>
  <c r="L132" s="1"/>
  <c r="M132"/>
  <c r="N132"/>
  <c r="R132"/>
  <c r="C133"/>
  <c r="H133"/>
  <c r="I133"/>
  <c r="L133"/>
  <c r="M133"/>
  <c r="N133"/>
  <c r="R133"/>
  <c r="C134"/>
  <c r="H134"/>
  <c r="I134"/>
  <c r="L134" s="1"/>
  <c r="M134"/>
  <c r="N134"/>
  <c r="R134"/>
  <c r="C135"/>
  <c r="H135"/>
  <c r="I135"/>
  <c r="L135" s="1"/>
  <c r="M135"/>
  <c r="N135"/>
  <c r="R135"/>
  <c r="C136"/>
  <c r="H136"/>
  <c r="AB136" s="1"/>
  <c r="I136"/>
  <c r="L136" s="1"/>
  <c r="M136"/>
  <c r="N136"/>
  <c r="R136"/>
  <c r="C137"/>
  <c r="H137"/>
  <c r="S137" s="1"/>
  <c r="I137"/>
  <c r="L137" s="1"/>
  <c r="M137"/>
  <c r="N137"/>
  <c r="R137"/>
  <c r="C138"/>
  <c r="H138"/>
  <c r="F138" s="1"/>
  <c r="I138"/>
  <c r="L138" s="1"/>
  <c r="M138"/>
  <c r="N138"/>
  <c r="R138"/>
  <c r="C139"/>
  <c r="H139"/>
  <c r="I139"/>
  <c r="L139"/>
  <c r="M139"/>
  <c r="N139"/>
  <c r="C140"/>
  <c r="H140"/>
  <c r="I140"/>
  <c r="M140"/>
  <c r="R140"/>
  <c r="C141"/>
  <c r="H141"/>
  <c r="AB141"/>
  <c r="I141"/>
  <c r="L141" s="1"/>
  <c r="M141"/>
  <c r="N141"/>
  <c r="R141"/>
  <c r="C142"/>
  <c r="H142"/>
  <c r="I142"/>
  <c r="L142" s="1"/>
  <c r="M142"/>
  <c r="N142"/>
  <c r="C143"/>
  <c r="H143"/>
  <c r="F143" s="1"/>
  <c r="I143"/>
  <c r="L143" s="1"/>
  <c r="C145"/>
  <c r="G145"/>
  <c r="H145"/>
  <c r="I145"/>
  <c r="M145"/>
  <c r="C146"/>
  <c r="G146"/>
  <c r="H146"/>
  <c r="S146" s="1"/>
  <c r="I146"/>
  <c r="L146" s="1"/>
  <c r="M146"/>
  <c r="N146"/>
  <c r="C147"/>
  <c r="G147"/>
  <c r="H147"/>
  <c r="I147"/>
  <c r="L147" s="1"/>
  <c r="M147"/>
  <c r="N147"/>
  <c r="C148"/>
  <c r="G148"/>
  <c r="H148"/>
  <c r="I148"/>
  <c r="M148"/>
  <c r="E149"/>
  <c r="G149"/>
  <c r="I149"/>
  <c r="L149" s="1"/>
  <c r="M149"/>
  <c r="N149"/>
  <c r="E150"/>
  <c r="C150" s="1"/>
  <c r="G150"/>
  <c r="I150"/>
  <c r="L150" s="1"/>
  <c r="M150"/>
  <c r="N150"/>
  <c r="C151"/>
  <c r="G151"/>
  <c r="R151" s="1"/>
  <c r="H151"/>
  <c r="AB151" s="1"/>
  <c r="I151"/>
  <c r="L151" s="1"/>
  <c r="M151"/>
  <c r="N151"/>
  <c r="C152"/>
  <c r="G152"/>
  <c r="H152"/>
  <c r="I152"/>
  <c r="L152" s="1"/>
  <c r="M152"/>
  <c r="N152"/>
  <c r="C153"/>
  <c r="G153"/>
  <c r="H153"/>
  <c r="I153"/>
  <c r="C154"/>
  <c r="G154"/>
  <c r="R154" s="1"/>
  <c r="H154"/>
  <c r="S154" s="1"/>
  <c r="I154"/>
  <c r="C155"/>
  <c r="G155"/>
  <c r="H155"/>
  <c r="I155"/>
  <c r="C156"/>
  <c r="G156"/>
  <c r="H156"/>
  <c r="AB156" s="1"/>
  <c r="I156"/>
  <c r="C157"/>
  <c r="G157"/>
  <c r="H157"/>
  <c r="I157"/>
  <c r="C158"/>
  <c r="G158"/>
  <c r="R158" s="1"/>
  <c r="H158"/>
  <c r="I158"/>
  <c r="C159"/>
  <c r="G159"/>
  <c r="H159"/>
  <c r="I159"/>
  <c r="M159"/>
  <c r="C160"/>
  <c r="G160"/>
  <c r="H160"/>
  <c r="I160"/>
  <c r="M160"/>
  <c r="C161"/>
  <c r="G161"/>
  <c r="H161"/>
  <c r="I161"/>
  <c r="M161"/>
  <c r="D162"/>
  <c r="E162"/>
  <c r="I162"/>
  <c r="L162" s="1"/>
  <c r="M162"/>
  <c r="N162"/>
  <c r="D163"/>
  <c r="E163"/>
  <c r="I163"/>
  <c r="D164"/>
  <c r="E164"/>
  <c r="I164"/>
  <c r="D165"/>
  <c r="E165"/>
  <c r="I165"/>
  <c r="L165" s="1"/>
  <c r="M165"/>
  <c r="N165"/>
  <c r="D166"/>
  <c r="E166"/>
  <c r="I166"/>
  <c r="L166" s="1"/>
  <c r="M166"/>
  <c r="N166"/>
  <c r="D167"/>
  <c r="E167"/>
  <c r="H167" s="1"/>
  <c r="S167" s="1"/>
  <c r="I167"/>
  <c r="L167" s="1"/>
  <c r="M167"/>
  <c r="N167"/>
  <c r="D168"/>
  <c r="E168"/>
  <c r="I168"/>
  <c r="L168" s="1"/>
  <c r="M168"/>
  <c r="N168"/>
  <c r="D169"/>
  <c r="E169"/>
  <c r="I169"/>
  <c r="L169" s="1"/>
  <c r="M169"/>
  <c r="N169"/>
  <c r="D170"/>
  <c r="E170"/>
  <c r="H170" s="1"/>
  <c r="J170"/>
  <c r="J144" s="1"/>
  <c r="K170"/>
  <c r="K144" s="1"/>
  <c r="D171"/>
  <c r="G171" s="1"/>
  <c r="E171"/>
  <c r="I171"/>
  <c r="L171" s="1"/>
  <c r="M171"/>
  <c r="N171"/>
  <c r="D172"/>
  <c r="G172" s="1"/>
  <c r="R172" s="1"/>
  <c r="E172"/>
  <c r="I172"/>
  <c r="L172" s="1"/>
  <c r="M172"/>
  <c r="N172"/>
  <c r="D173"/>
  <c r="E173"/>
  <c r="I173"/>
  <c r="D174"/>
  <c r="E174"/>
  <c r="I174"/>
  <c r="L174" s="1"/>
  <c r="M174"/>
  <c r="N174"/>
  <c r="D175"/>
  <c r="E175"/>
  <c r="I175"/>
  <c r="C176"/>
  <c r="G176"/>
  <c r="H176"/>
  <c r="I176"/>
  <c r="M176"/>
  <c r="D177"/>
  <c r="G177" s="1"/>
  <c r="M177" s="1"/>
  <c r="E177"/>
  <c r="H177" s="1"/>
  <c r="N177" s="1"/>
  <c r="I177"/>
  <c r="D178"/>
  <c r="E178"/>
  <c r="H178" s="1"/>
  <c r="I178"/>
  <c r="C179"/>
  <c r="G179"/>
  <c r="H179"/>
  <c r="I179"/>
  <c r="L179" s="1"/>
  <c r="M179"/>
  <c r="N179"/>
  <c r="C180"/>
  <c r="G180"/>
  <c r="H180"/>
  <c r="N180" s="1"/>
  <c r="I180"/>
  <c r="M180"/>
  <c r="D181"/>
  <c r="E181"/>
  <c r="I181"/>
  <c r="L181" s="1"/>
  <c r="M181"/>
  <c r="N181"/>
  <c r="D182"/>
  <c r="E182"/>
  <c r="C183"/>
  <c r="G183"/>
  <c r="H183"/>
  <c r="S183" s="1"/>
  <c r="I183"/>
  <c r="L183" s="1"/>
  <c r="M183"/>
  <c r="N183"/>
  <c r="AB183"/>
  <c r="C184"/>
  <c r="G184"/>
  <c r="H184"/>
  <c r="I184"/>
  <c r="L184" s="1"/>
  <c r="M184"/>
  <c r="N184"/>
  <c r="C185"/>
  <c r="G185"/>
  <c r="H185"/>
  <c r="C186"/>
  <c r="G186"/>
  <c r="H186"/>
  <c r="D187"/>
  <c r="E187"/>
  <c r="I187"/>
  <c r="D188"/>
  <c r="E188"/>
  <c r="I188"/>
  <c r="L188" s="1"/>
  <c r="M188"/>
  <c r="N188"/>
  <c r="D189"/>
  <c r="E189"/>
  <c r="I189"/>
  <c r="L189" s="1"/>
  <c r="M189"/>
  <c r="N189"/>
  <c r="C190"/>
  <c r="G190"/>
  <c r="R190" s="1"/>
  <c r="H190"/>
  <c r="I190"/>
  <c r="L190" s="1"/>
  <c r="M190"/>
  <c r="N190"/>
  <c r="C191"/>
  <c r="G191"/>
  <c r="H191"/>
  <c r="N191" s="1"/>
  <c r="I191"/>
  <c r="M191"/>
  <c r="C192"/>
  <c r="G192"/>
  <c r="R192"/>
  <c r="H192"/>
  <c r="S192" s="1"/>
  <c r="AB192"/>
  <c r="I192"/>
  <c r="L192" s="1"/>
  <c r="M192"/>
  <c r="N192"/>
  <c r="C193"/>
  <c r="G193"/>
  <c r="H193"/>
  <c r="N193" s="1"/>
  <c r="I193"/>
  <c r="M193"/>
  <c r="D194"/>
  <c r="E194"/>
  <c r="I194"/>
  <c r="L194" s="1"/>
  <c r="M194"/>
  <c r="N194"/>
  <c r="C195"/>
  <c r="G195"/>
  <c r="H195"/>
  <c r="I195"/>
  <c r="L195" s="1"/>
  <c r="M195"/>
  <c r="N195"/>
  <c r="C196"/>
  <c r="F196"/>
  <c r="I196"/>
  <c r="M196"/>
  <c r="N196"/>
  <c r="AB196"/>
  <c r="C197"/>
  <c r="G197"/>
  <c r="H197"/>
  <c r="I197"/>
  <c r="L197" s="1"/>
  <c r="M197"/>
  <c r="N197"/>
  <c r="C198"/>
  <c r="G198"/>
  <c r="M198" s="1"/>
  <c r="H198"/>
  <c r="I198"/>
  <c r="C199"/>
  <c r="G199"/>
  <c r="H199"/>
  <c r="I199"/>
  <c r="L199" s="1"/>
  <c r="M199"/>
  <c r="N199"/>
  <c r="D200"/>
  <c r="E200"/>
  <c r="I200"/>
  <c r="C201"/>
  <c r="G201"/>
  <c r="R201" s="1"/>
  <c r="H201"/>
  <c r="I201"/>
  <c r="L201" s="1"/>
  <c r="M201"/>
  <c r="N201"/>
  <c r="S201"/>
  <c r="C202"/>
  <c r="G202"/>
  <c r="H202"/>
  <c r="I202"/>
  <c r="L202" s="1"/>
  <c r="M202"/>
  <c r="N202"/>
  <c r="D203"/>
  <c r="E203"/>
  <c r="I203"/>
  <c r="D206"/>
  <c r="E206"/>
  <c r="G206"/>
  <c r="H206"/>
  <c r="J206"/>
  <c r="K206"/>
  <c r="C207"/>
  <c r="F207"/>
  <c r="I207"/>
  <c r="L207" s="1"/>
  <c r="M207"/>
  <c r="N207"/>
  <c r="AB207"/>
  <c r="C208"/>
  <c r="F208"/>
  <c r="I208"/>
  <c r="L208" s="1"/>
  <c r="M208"/>
  <c r="N208"/>
  <c r="AB208"/>
  <c r="C209"/>
  <c r="F209"/>
  <c r="I209"/>
  <c r="L209" s="1"/>
  <c r="M209"/>
  <c r="N209"/>
  <c r="AB209"/>
  <c r="C210"/>
  <c r="F210"/>
  <c r="I210"/>
  <c r="L210"/>
  <c r="M210"/>
  <c r="N210"/>
  <c r="AB210"/>
  <c r="C211"/>
  <c r="F211"/>
  <c r="I211"/>
  <c r="L211" s="1"/>
  <c r="M211"/>
  <c r="N211"/>
  <c r="AB211"/>
  <c r="C212"/>
  <c r="F212"/>
  <c r="I212"/>
  <c r="L212" s="1"/>
  <c r="M212"/>
  <c r="N212"/>
  <c r="AB212"/>
  <c r="C213"/>
  <c r="F213"/>
  <c r="I213"/>
  <c r="L213" s="1"/>
  <c r="M213"/>
  <c r="N213"/>
  <c r="AB213"/>
  <c r="C214"/>
  <c r="AA214" s="1"/>
  <c r="F214"/>
  <c r="I214"/>
  <c r="L214" s="1"/>
  <c r="M214"/>
  <c r="N214"/>
  <c r="AB214"/>
  <c r="C215"/>
  <c r="F215"/>
  <c r="I215"/>
  <c r="L215" s="1"/>
  <c r="M215"/>
  <c r="N215"/>
  <c r="AB215"/>
  <c r="C216"/>
  <c r="F216"/>
  <c r="I216"/>
  <c r="L216" s="1"/>
  <c r="M216"/>
  <c r="N216"/>
  <c r="AB216"/>
  <c r="C217"/>
  <c r="AA217" s="1"/>
  <c r="F217"/>
  <c r="I217"/>
  <c r="L217" s="1"/>
  <c r="M217"/>
  <c r="N217"/>
  <c r="AB217"/>
  <c r="D218"/>
  <c r="E218"/>
  <c r="G218"/>
  <c r="H218"/>
  <c r="J218"/>
  <c r="K218"/>
  <c r="N218" s="1"/>
  <c r="C219"/>
  <c r="F219"/>
  <c r="I219"/>
  <c r="L219" s="1"/>
  <c r="M219"/>
  <c r="N219"/>
  <c r="R219"/>
  <c r="S219"/>
  <c r="AB219"/>
  <c r="D220"/>
  <c r="E220"/>
  <c r="G220"/>
  <c r="H220"/>
  <c r="J220"/>
  <c r="K220"/>
  <c r="N220" s="1"/>
  <c r="C221"/>
  <c r="F221"/>
  <c r="I221"/>
  <c r="L221" s="1"/>
  <c r="M221"/>
  <c r="N221"/>
  <c r="R221"/>
  <c r="S221"/>
  <c r="AB221"/>
  <c r="D222"/>
  <c r="E222"/>
  <c r="G222"/>
  <c r="J222"/>
  <c r="K222"/>
  <c r="C223"/>
  <c r="H223"/>
  <c r="I223"/>
  <c r="L223" s="1"/>
  <c r="M223"/>
  <c r="N223"/>
  <c r="D226"/>
  <c r="E226"/>
  <c r="J226"/>
  <c r="K226"/>
  <c r="C227"/>
  <c r="G227"/>
  <c r="H227"/>
  <c r="I227"/>
  <c r="L227" s="1"/>
  <c r="M227"/>
  <c r="N227"/>
  <c r="C228"/>
  <c r="G228"/>
  <c r="H228"/>
  <c r="AB228" s="1"/>
  <c r="I228"/>
  <c r="L228" s="1"/>
  <c r="M228"/>
  <c r="N228"/>
  <c r="D229"/>
  <c r="E229"/>
  <c r="J229"/>
  <c r="K229"/>
  <c r="C230"/>
  <c r="F230"/>
  <c r="I230"/>
  <c r="L230" s="1"/>
  <c r="M230"/>
  <c r="N230"/>
  <c r="AB230"/>
  <c r="C231"/>
  <c r="G231"/>
  <c r="M231" s="1"/>
  <c r="H231"/>
  <c r="I231"/>
  <c r="C232"/>
  <c r="G232"/>
  <c r="M232" s="1"/>
  <c r="H232"/>
  <c r="I232"/>
  <c r="C233"/>
  <c r="G233"/>
  <c r="M233" s="1"/>
  <c r="H233"/>
  <c r="S233" s="1"/>
  <c r="I233"/>
  <c r="C234"/>
  <c r="G234"/>
  <c r="H234"/>
  <c r="I234"/>
  <c r="C235"/>
  <c r="G235"/>
  <c r="M235" s="1"/>
  <c r="H235"/>
  <c r="I235"/>
  <c r="C236"/>
  <c r="G236"/>
  <c r="R236" s="1"/>
  <c r="H236"/>
  <c r="AB236" s="1"/>
  <c r="I236"/>
  <c r="C237"/>
  <c r="G237"/>
  <c r="M237" s="1"/>
  <c r="H237"/>
  <c r="S237" s="1"/>
  <c r="I237"/>
  <c r="C238"/>
  <c r="G238"/>
  <c r="R238" s="1"/>
  <c r="H238"/>
  <c r="I238"/>
  <c r="C239"/>
  <c r="G239"/>
  <c r="M239" s="1"/>
  <c r="H239"/>
  <c r="I239"/>
  <c r="C240"/>
  <c r="G240"/>
  <c r="R240" s="1"/>
  <c r="H240"/>
  <c r="I240"/>
  <c r="L240" s="1"/>
  <c r="M240"/>
  <c r="N240"/>
  <c r="C241"/>
  <c r="G241"/>
  <c r="H241"/>
  <c r="AB241" s="1"/>
  <c r="I241"/>
  <c r="L241" s="1"/>
  <c r="M241"/>
  <c r="N241"/>
  <c r="D242"/>
  <c r="E242"/>
  <c r="J242"/>
  <c r="K242"/>
  <c r="K225" s="1"/>
  <c r="C243"/>
  <c r="G243"/>
  <c r="H243"/>
  <c r="I243"/>
  <c r="D244"/>
  <c r="E244"/>
  <c r="J244"/>
  <c r="M244" s="1"/>
  <c r="K244"/>
  <c r="C245"/>
  <c r="G245"/>
  <c r="H245"/>
  <c r="S245"/>
  <c r="I245"/>
  <c r="L245"/>
  <c r="M245"/>
  <c r="N245"/>
  <c r="C246"/>
  <c r="G246"/>
  <c r="H246"/>
  <c r="I246"/>
  <c r="C247"/>
  <c r="G247"/>
  <c r="R247" s="1"/>
  <c r="H247"/>
  <c r="I247"/>
  <c r="M247"/>
  <c r="C248"/>
  <c r="G248"/>
  <c r="H248"/>
  <c r="N248"/>
  <c r="I248"/>
  <c r="M248"/>
  <c r="Q249"/>
  <c r="R249"/>
  <c r="S249"/>
  <c r="Z249"/>
  <c r="AA249"/>
  <c r="D250"/>
  <c r="E250"/>
  <c r="H250"/>
  <c r="J250"/>
  <c r="J251"/>
  <c r="K251"/>
  <c r="D254"/>
  <c r="J254"/>
  <c r="K254"/>
  <c r="D255"/>
  <c r="G255"/>
  <c r="J255"/>
  <c r="J253" s="1"/>
  <c r="K255"/>
  <c r="C4" i="42"/>
  <c r="Q15"/>
  <c r="R15"/>
  <c r="S15"/>
  <c r="Z15"/>
  <c r="C18"/>
  <c r="F18"/>
  <c r="I18"/>
  <c r="L18" s="1"/>
  <c r="M18"/>
  <c r="N18"/>
  <c r="R18"/>
  <c r="S18"/>
  <c r="C19"/>
  <c r="F19"/>
  <c r="I19"/>
  <c r="L19" s="1"/>
  <c r="M19"/>
  <c r="N19"/>
  <c r="R19"/>
  <c r="R256" s="1"/>
  <c r="S19"/>
  <c r="S256" s="1"/>
  <c r="C20"/>
  <c r="F20"/>
  <c r="I20"/>
  <c r="L20" s="1"/>
  <c r="M20"/>
  <c r="N20"/>
  <c r="R20"/>
  <c r="S20"/>
  <c r="C21"/>
  <c r="F21"/>
  <c r="I21"/>
  <c r="L21" s="1"/>
  <c r="M21"/>
  <c r="N21"/>
  <c r="R21"/>
  <c r="S21"/>
  <c r="D22"/>
  <c r="E22"/>
  <c r="G22"/>
  <c r="H22"/>
  <c r="J22"/>
  <c r="K22"/>
  <c r="C23"/>
  <c r="F23"/>
  <c r="I23"/>
  <c r="L23" s="1"/>
  <c r="M23"/>
  <c r="N23"/>
  <c r="C24"/>
  <c r="F24"/>
  <c r="I24"/>
  <c r="L24" s="1"/>
  <c r="M24"/>
  <c r="N24"/>
  <c r="R24"/>
  <c r="S24"/>
  <c r="D25"/>
  <c r="E25"/>
  <c r="G25"/>
  <c r="H25"/>
  <c r="S25" s="1"/>
  <c r="J25"/>
  <c r="K25"/>
  <c r="C26"/>
  <c r="F26"/>
  <c r="I26"/>
  <c r="L26" s="1"/>
  <c r="M26"/>
  <c r="N26"/>
  <c r="R26"/>
  <c r="S26"/>
  <c r="D27"/>
  <c r="E27"/>
  <c r="G27"/>
  <c r="H27"/>
  <c r="J27"/>
  <c r="M27" s="1"/>
  <c r="K27"/>
  <c r="N27" s="1"/>
  <c r="C28"/>
  <c r="F28"/>
  <c r="I28"/>
  <c r="L28" s="1"/>
  <c r="M28"/>
  <c r="N28"/>
  <c r="R28"/>
  <c r="S28"/>
  <c r="C29"/>
  <c r="F29"/>
  <c r="I29"/>
  <c r="L29" s="1"/>
  <c r="M29"/>
  <c r="N29"/>
  <c r="R29"/>
  <c r="S29"/>
  <c r="D30"/>
  <c r="E30"/>
  <c r="G30"/>
  <c r="H30"/>
  <c r="J30"/>
  <c r="M30" s="1"/>
  <c r="K30"/>
  <c r="N30" s="1"/>
  <c r="C31"/>
  <c r="F31"/>
  <c r="I31"/>
  <c r="L31" s="1"/>
  <c r="M31"/>
  <c r="N31"/>
  <c r="R31"/>
  <c r="S31"/>
  <c r="C32"/>
  <c r="F32"/>
  <c r="I32"/>
  <c r="L32" s="1"/>
  <c r="M32"/>
  <c r="N32"/>
  <c r="R32"/>
  <c r="S32"/>
  <c r="D33"/>
  <c r="E33"/>
  <c r="G33"/>
  <c r="H33"/>
  <c r="J33"/>
  <c r="K33"/>
  <c r="N33" s="1"/>
  <c r="C34"/>
  <c r="F34"/>
  <c r="I34"/>
  <c r="L34" s="1"/>
  <c r="M34"/>
  <c r="N34"/>
  <c r="R34"/>
  <c r="S34"/>
  <c r="D35"/>
  <c r="E35"/>
  <c r="G35"/>
  <c r="H35"/>
  <c r="J35"/>
  <c r="K35"/>
  <c r="C36"/>
  <c r="F36"/>
  <c r="I36"/>
  <c r="M36"/>
  <c r="N36"/>
  <c r="R36"/>
  <c r="S36"/>
  <c r="C37"/>
  <c r="F37"/>
  <c r="I37"/>
  <c r="L37" s="1"/>
  <c r="M37"/>
  <c r="N37"/>
  <c r="C38"/>
  <c r="F38"/>
  <c r="I38"/>
  <c r="L38" s="1"/>
  <c r="M38"/>
  <c r="N38"/>
  <c r="R38"/>
  <c r="S38"/>
  <c r="C39"/>
  <c r="F39"/>
  <c r="R39"/>
  <c r="S39"/>
  <c r="D40"/>
  <c r="E40"/>
  <c r="G40"/>
  <c r="H40"/>
  <c r="J40"/>
  <c r="K40"/>
  <c r="C41"/>
  <c r="F41"/>
  <c r="I41"/>
  <c r="L41" s="1"/>
  <c r="M41"/>
  <c r="N41"/>
  <c r="C42"/>
  <c r="F42"/>
  <c r="I42"/>
  <c r="L42" s="1"/>
  <c r="M42"/>
  <c r="N42"/>
  <c r="R42"/>
  <c r="S42"/>
  <c r="C43"/>
  <c r="F43"/>
  <c r="I43"/>
  <c r="L43" s="1"/>
  <c r="M43"/>
  <c r="N43"/>
  <c r="R43"/>
  <c r="S43"/>
  <c r="D44"/>
  <c r="E44"/>
  <c r="G44"/>
  <c r="H44"/>
  <c r="J44"/>
  <c r="K44"/>
  <c r="C45"/>
  <c r="Z45" s="1"/>
  <c r="F45"/>
  <c r="I45"/>
  <c r="L45" s="1"/>
  <c r="M45"/>
  <c r="N45"/>
  <c r="C46"/>
  <c r="F46"/>
  <c r="I46"/>
  <c r="M46"/>
  <c r="N46"/>
  <c r="R46"/>
  <c r="S46"/>
  <c r="D47"/>
  <c r="E47"/>
  <c r="G47"/>
  <c r="H47"/>
  <c r="J47"/>
  <c r="M47" s="1"/>
  <c r="K47"/>
  <c r="C48"/>
  <c r="F48"/>
  <c r="I48"/>
  <c r="L48" s="1"/>
  <c r="M48"/>
  <c r="N48"/>
  <c r="R48"/>
  <c r="S48"/>
  <c r="D49"/>
  <c r="E49"/>
  <c r="G49"/>
  <c r="H49"/>
  <c r="J49"/>
  <c r="K49"/>
  <c r="N49" s="1"/>
  <c r="C50"/>
  <c r="F50"/>
  <c r="I50"/>
  <c r="L50" s="1"/>
  <c r="M50"/>
  <c r="N50"/>
  <c r="C51"/>
  <c r="F51"/>
  <c r="I51"/>
  <c r="L51" s="1"/>
  <c r="M51"/>
  <c r="N51"/>
  <c r="R51"/>
  <c r="S51"/>
  <c r="C52"/>
  <c r="F52"/>
  <c r="I52"/>
  <c r="L52" s="1"/>
  <c r="M52"/>
  <c r="N52"/>
  <c r="R52"/>
  <c r="S52"/>
  <c r="D53"/>
  <c r="E53"/>
  <c r="G53"/>
  <c r="H53"/>
  <c r="J53"/>
  <c r="K53"/>
  <c r="N53" s="1"/>
  <c r="C54"/>
  <c r="F54"/>
  <c r="I54"/>
  <c r="L54" s="1"/>
  <c r="M54"/>
  <c r="N54"/>
  <c r="R54"/>
  <c r="S54"/>
  <c r="C55"/>
  <c r="F55"/>
  <c r="I55"/>
  <c r="L55" s="1"/>
  <c r="M55"/>
  <c r="N55"/>
  <c r="R55"/>
  <c r="S55"/>
  <c r="D56"/>
  <c r="E56"/>
  <c r="G56"/>
  <c r="H56"/>
  <c r="J56"/>
  <c r="K56"/>
  <c r="N56" s="1"/>
  <c r="C57"/>
  <c r="F57"/>
  <c r="I57"/>
  <c r="L57" s="1"/>
  <c r="M57"/>
  <c r="N57"/>
  <c r="R57"/>
  <c r="S57"/>
  <c r="D58"/>
  <c r="E58"/>
  <c r="G58"/>
  <c r="H58"/>
  <c r="J58"/>
  <c r="K58"/>
  <c r="N58" s="1"/>
  <c r="C59"/>
  <c r="F59"/>
  <c r="I59"/>
  <c r="L59" s="1"/>
  <c r="M59"/>
  <c r="N59"/>
  <c r="R59"/>
  <c r="S59"/>
  <c r="D60"/>
  <c r="E60"/>
  <c r="G60"/>
  <c r="H60"/>
  <c r="J60"/>
  <c r="K60"/>
  <c r="N60" s="1"/>
  <c r="C61"/>
  <c r="F61"/>
  <c r="I61"/>
  <c r="L61" s="1"/>
  <c r="M61"/>
  <c r="N61"/>
  <c r="R61"/>
  <c r="S61"/>
  <c r="D62"/>
  <c r="E62"/>
  <c r="G62"/>
  <c r="H62"/>
  <c r="J62"/>
  <c r="K62"/>
  <c r="N62" s="1"/>
  <c r="C63"/>
  <c r="F63"/>
  <c r="L63"/>
  <c r="M63"/>
  <c r="N63"/>
  <c r="R63"/>
  <c r="S63"/>
  <c r="D64"/>
  <c r="E64"/>
  <c r="G64"/>
  <c r="H64"/>
  <c r="J64"/>
  <c r="K64"/>
  <c r="I64" s="1"/>
  <c r="L64" s="1"/>
  <c r="C65"/>
  <c r="F65"/>
  <c r="I65"/>
  <c r="L65" s="1"/>
  <c r="M65"/>
  <c r="N65"/>
  <c r="R65"/>
  <c r="S65"/>
  <c r="C66"/>
  <c r="F66"/>
  <c r="R66"/>
  <c r="S66"/>
  <c r="C67"/>
  <c r="F67"/>
  <c r="R67"/>
  <c r="S67"/>
  <c r="C68"/>
  <c r="F68"/>
  <c r="R68"/>
  <c r="S68"/>
  <c r="C69"/>
  <c r="F69"/>
  <c r="R69"/>
  <c r="S69"/>
  <c r="J71"/>
  <c r="K71"/>
  <c r="D72"/>
  <c r="G72" s="1"/>
  <c r="E72"/>
  <c r="H72" s="1"/>
  <c r="N72" s="1"/>
  <c r="I72"/>
  <c r="D73"/>
  <c r="E73"/>
  <c r="I73"/>
  <c r="J74"/>
  <c r="M74" s="1"/>
  <c r="K74"/>
  <c r="N74" s="1"/>
  <c r="D75"/>
  <c r="E75"/>
  <c r="I75"/>
  <c r="L75" s="1"/>
  <c r="M75"/>
  <c r="N75"/>
  <c r="D76"/>
  <c r="E76"/>
  <c r="I76"/>
  <c r="L76" s="1"/>
  <c r="M76"/>
  <c r="N76"/>
  <c r="D77"/>
  <c r="E77"/>
  <c r="J77"/>
  <c r="K77"/>
  <c r="C78"/>
  <c r="G78"/>
  <c r="R78" s="1"/>
  <c r="H78"/>
  <c r="I78"/>
  <c r="D79"/>
  <c r="E79"/>
  <c r="J79"/>
  <c r="K79"/>
  <c r="C80"/>
  <c r="G80"/>
  <c r="R80" s="1"/>
  <c r="H80"/>
  <c r="I80"/>
  <c r="J81"/>
  <c r="K81"/>
  <c r="D82"/>
  <c r="G82" s="1"/>
  <c r="E82"/>
  <c r="I82"/>
  <c r="J83"/>
  <c r="K83"/>
  <c r="D84"/>
  <c r="E84"/>
  <c r="I84"/>
  <c r="D85"/>
  <c r="E85"/>
  <c r="I85"/>
  <c r="L85" s="1"/>
  <c r="M85"/>
  <c r="N85"/>
  <c r="J86"/>
  <c r="K86"/>
  <c r="D87"/>
  <c r="E87"/>
  <c r="I87"/>
  <c r="C90"/>
  <c r="G90"/>
  <c r="G245" s="1"/>
  <c r="I90"/>
  <c r="M90"/>
  <c r="N90"/>
  <c r="S90"/>
  <c r="C91"/>
  <c r="F91"/>
  <c r="I91"/>
  <c r="M91"/>
  <c r="N91"/>
  <c r="R91"/>
  <c r="S91"/>
  <c r="C92"/>
  <c r="F92"/>
  <c r="I92"/>
  <c r="M92"/>
  <c r="N92"/>
  <c r="R92"/>
  <c r="S92"/>
  <c r="C93"/>
  <c r="F93"/>
  <c r="I93"/>
  <c r="M93"/>
  <c r="N93"/>
  <c r="R93"/>
  <c r="S93"/>
  <c r="C94"/>
  <c r="F94"/>
  <c r="I94"/>
  <c r="M94"/>
  <c r="N94"/>
  <c r="R94"/>
  <c r="S94"/>
  <c r="C95"/>
  <c r="F95"/>
  <c r="I95"/>
  <c r="M95"/>
  <c r="N95"/>
  <c r="R95"/>
  <c r="S95"/>
  <c r="C96"/>
  <c r="F96"/>
  <c r="I96"/>
  <c r="M96"/>
  <c r="N96"/>
  <c r="R96"/>
  <c r="S96"/>
  <c r="C97"/>
  <c r="F97"/>
  <c r="I97"/>
  <c r="M97"/>
  <c r="N97"/>
  <c r="R97"/>
  <c r="S97"/>
  <c r="C98"/>
  <c r="F98"/>
  <c r="I98"/>
  <c r="M98"/>
  <c r="N98"/>
  <c r="R98"/>
  <c r="S98"/>
  <c r="C99"/>
  <c r="Q99" s="1"/>
  <c r="F99"/>
  <c r="I99"/>
  <c r="M99"/>
  <c r="N99"/>
  <c r="R99"/>
  <c r="S99"/>
  <c r="D100"/>
  <c r="E100"/>
  <c r="G100"/>
  <c r="H100"/>
  <c r="I100"/>
  <c r="L100" s="1"/>
  <c r="M100"/>
  <c r="N100"/>
  <c r="D101"/>
  <c r="E101"/>
  <c r="G101"/>
  <c r="H101"/>
  <c r="D102"/>
  <c r="E102"/>
  <c r="S102" s="1"/>
  <c r="G102"/>
  <c r="I102"/>
  <c r="N102"/>
  <c r="C103"/>
  <c r="F103"/>
  <c r="I103"/>
  <c r="M103"/>
  <c r="N103"/>
  <c r="R103"/>
  <c r="S103"/>
  <c r="C104"/>
  <c r="F104"/>
  <c r="I104"/>
  <c r="L104" s="1"/>
  <c r="M104"/>
  <c r="N104"/>
  <c r="R104"/>
  <c r="S104"/>
  <c r="C105"/>
  <c r="F105"/>
  <c r="I105"/>
  <c r="L105" s="1"/>
  <c r="M105"/>
  <c r="N105"/>
  <c r="R105"/>
  <c r="S105"/>
  <c r="C106"/>
  <c r="F106"/>
  <c r="I106"/>
  <c r="L106" s="1"/>
  <c r="M106"/>
  <c r="N106"/>
  <c r="R106"/>
  <c r="S106"/>
  <c r="C107"/>
  <c r="F107"/>
  <c r="Z107" s="1"/>
  <c r="I107"/>
  <c r="L107" s="1"/>
  <c r="M107"/>
  <c r="N107"/>
  <c r="R107"/>
  <c r="S107"/>
  <c r="C108"/>
  <c r="F108"/>
  <c r="I108"/>
  <c r="L108" s="1"/>
  <c r="M108"/>
  <c r="N108"/>
  <c r="R108"/>
  <c r="S108"/>
  <c r="C109"/>
  <c r="F109"/>
  <c r="I109"/>
  <c r="L109"/>
  <c r="M109"/>
  <c r="N109"/>
  <c r="R109"/>
  <c r="S109"/>
  <c r="C110"/>
  <c r="F110"/>
  <c r="I110"/>
  <c r="L110"/>
  <c r="M110"/>
  <c r="N110"/>
  <c r="R110"/>
  <c r="S110"/>
  <c r="C111"/>
  <c r="F111"/>
  <c r="I111"/>
  <c r="M111"/>
  <c r="N111"/>
  <c r="R111"/>
  <c r="S111"/>
  <c r="C112"/>
  <c r="F112"/>
  <c r="I112"/>
  <c r="L112" s="1"/>
  <c r="M112"/>
  <c r="N112"/>
  <c r="R112"/>
  <c r="S112"/>
  <c r="C113"/>
  <c r="F113"/>
  <c r="I113"/>
  <c r="L113" s="1"/>
  <c r="M113"/>
  <c r="N113"/>
  <c r="R113"/>
  <c r="S113"/>
  <c r="C114"/>
  <c r="F114"/>
  <c r="I114"/>
  <c r="L114" s="1"/>
  <c r="M114"/>
  <c r="N114"/>
  <c r="R114"/>
  <c r="S114"/>
  <c r="C115"/>
  <c r="F115"/>
  <c r="I115"/>
  <c r="L115" s="1"/>
  <c r="M115"/>
  <c r="N115"/>
  <c r="R115"/>
  <c r="S115"/>
  <c r="C116"/>
  <c r="F116"/>
  <c r="I116"/>
  <c r="L116" s="1"/>
  <c r="M116"/>
  <c r="N116"/>
  <c r="R116"/>
  <c r="S116"/>
  <c r="C117"/>
  <c r="F117"/>
  <c r="I117"/>
  <c r="L117" s="1"/>
  <c r="M117"/>
  <c r="N117"/>
  <c r="R117"/>
  <c r="S117"/>
  <c r="C118"/>
  <c r="F118"/>
  <c r="I118"/>
  <c r="L118" s="1"/>
  <c r="M118"/>
  <c r="N118"/>
  <c r="R118"/>
  <c r="S118"/>
  <c r="C119"/>
  <c r="F119"/>
  <c r="I119"/>
  <c r="L119" s="1"/>
  <c r="M119"/>
  <c r="N119"/>
  <c r="R119"/>
  <c r="S119"/>
  <c r="C120"/>
  <c r="F120"/>
  <c r="I120"/>
  <c r="L120" s="1"/>
  <c r="M120"/>
  <c r="N120"/>
  <c r="R120"/>
  <c r="S120"/>
  <c r="C121"/>
  <c r="F121"/>
  <c r="I121"/>
  <c r="L121" s="1"/>
  <c r="M121"/>
  <c r="N121"/>
  <c r="R121"/>
  <c r="S121"/>
  <c r="C122"/>
  <c r="F122"/>
  <c r="I122"/>
  <c r="L122" s="1"/>
  <c r="M122"/>
  <c r="N122"/>
  <c r="R122"/>
  <c r="S122"/>
  <c r="C123"/>
  <c r="F123"/>
  <c r="I123"/>
  <c r="L123" s="1"/>
  <c r="M123"/>
  <c r="N123"/>
  <c r="R123"/>
  <c r="S123"/>
  <c r="C124"/>
  <c r="F124"/>
  <c r="I124"/>
  <c r="L124" s="1"/>
  <c r="M124"/>
  <c r="N124"/>
  <c r="R124"/>
  <c r="S124"/>
  <c r="C125"/>
  <c r="F125"/>
  <c r="I125"/>
  <c r="M125"/>
  <c r="N125"/>
  <c r="C126"/>
  <c r="H126"/>
  <c r="I126"/>
  <c r="L126" s="1"/>
  <c r="M126"/>
  <c r="N126"/>
  <c r="R126"/>
  <c r="C127"/>
  <c r="H127"/>
  <c r="I127"/>
  <c r="L127"/>
  <c r="M127"/>
  <c r="N127"/>
  <c r="R127"/>
  <c r="C128"/>
  <c r="H128"/>
  <c r="I128"/>
  <c r="L128" s="1"/>
  <c r="M128"/>
  <c r="N128"/>
  <c r="R128"/>
  <c r="C129"/>
  <c r="H129"/>
  <c r="I129"/>
  <c r="L129" s="1"/>
  <c r="M129"/>
  <c r="N129"/>
  <c r="R129"/>
  <c r="C130"/>
  <c r="H130"/>
  <c r="F130" s="1"/>
  <c r="I130"/>
  <c r="L130" s="1"/>
  <c r="M130"/>
  <c r="N130"/>
  <c r="R130"/>
  <c r="C131"/>
  <c r="H131"/>
  <c r="F131" s="1"/>
  <c r="S131"/>
  <c r="I131"/>
  <c r="L131" s="1"/>
  <c r="M131"/>
  <c r="N131"/>
  <c r="R131"/>
  <c r="C132"/>
  <c r="H132"/>
  <c r="I132"/>
  <c r="L132"/>
  <c r="M132"/>
  <c r="N132"/>
  <c r="R132"/>
  <c r="C133"/>
  <c r="H133"/>
  <c r="I133"/>
  <c r="L133" s="1"/>
  <c r="M133"/>
  <c r="N133"/>
  <c r="R133"/>
  <c r="C134"/>
  <c r="H134"/>
  <c r="I134"/>
  <c r="L134" s="1"/>
  <c r="M134"/>
  <c r="N134"/>
  <c r="R134"/>
  <c r="C135"/>
  <c r="H135"/>
  <c r="I135"/>
  <c r="L135" s="1"/>
  <c r="M135"/>
  <c r="N135"/>
  <c r="R135"/>
  <c r="C136"/>
  <c r="H136"/>
  <c r="I136"/>
  <c r="L136" s="1"/>
  <c r="M136"/>
  <c r="N136"/>
  <c r="R136"/>
  <c r="C137"/>
  <c r="H137"/>
  <c r="I137"/>
  <c r="L137" s="1"/>
  <c r="M137"/>
  <c r="N137"/>
  <c r="R137"/>
  <c r="C138"/>
  <c r="H138"/>
  <c r="I138"/>
  <c r="L138" s="1"/>
  <c r="M138"/>
  <c r="N138"/>
  <c r="R138"/>
  <c r="C139"/>
  <c r="H139"/>
  <c r="I139"/>
  <c r="L139" s="1"/>
  <c r="M139"/>
  <c r="N139"/>
  <c r="R139"/>
  <c r="C140"/>
  <c r="H140"/>
  <c r="F140" s="1"/>
  <c r="I140"/>
  <c r="L140" s="1"/>
  <c r="M140"/>
  <c r="N140"/>
  <c r="C141"/>
  <c r="H141"/>
  <c r="I141"/>
  <c r="L141" s="1"/>
  <c r="M141"/>
  <c r="N141"/>
  <c r="R141"/>
  <c r="C142"/>
  <c r="H142"/>
  <c r="S142" s="1"/>
  <c r="I142"/>
  <c r="L142" s="1"/>
  <c r="M142"/>
  <c r="N142"/>
  <c r="R142"/>
  <c r="C143"/>
  <c r="H143"/>
  <c r="F143" s="1"/>
  <c r="I143"/>
  <c r="L143" s="1"/>
  <c r="M143"/>
  <c r="N143"/>
  <c r="J144"/>
  <c r="J89" s="1"/>
  <c r="K144"/>
  <c r="C145"/>
  <c r="G145"/>
  <c r="R145" s="1"/>
  <c r="H145"/>
  <c r="S145" s="1"/>
  <c r="I145"/>
  <c r="M145"/>
  <c r="C146"/>
  <c r="G146"/>
  <c r="H146"/>
  <c r="I146"/>
  <c r="L146" s="1"/>
  <c r="M146"/>
  <c r="N146"/>
  <c r="C147"/>
  <c r="G147"/>
  <c r="R147" s="1"/>
  <c r="H147"/>
  <c r="I147"/>
  <c r="L147" s="1"/>
  <c r="M147"/>
  <c r="N147"/>
  <c r="C148"/>
  <c r="G148"/>
  <c r="R148" s="1"/>
  <c r="H148"/>
  <c r="I148"/>
  <c r="M148"/>
  <c r="E149"/>
  <c r="G149"/>
  <c r="R149" s="1"/>
  <c r="I149"/>
  <c r="L149" s="1"/>
  <c r="M149"/>
  <c r="N149"/>
  <c r="E150"/>
  <c r="G150"/>
  <c r="I150"/>
  <c r="L150" s="1"/>
  <c r="M150"/>
  <c r="N150"/>
  <c r="C151"/>
  <c r="G151"/>
  <c r="H151"/>
  <c r="I151"/>
  <c r="L151" s="1"/>
  <c r="M151"/>
  <c r="N151"/>
  <c r="C152"/>
  <c r="G152"/>
  <c r="H152"/>
  <c r="I152"/>
  <c r="L152" s="1"/>
  <c r="M152"/>
  <c r="N152"/>
  <c r="S152"/>
  <c r="C153"/>
  <c r="G153"/>
  <c r="R153" s="1"/>
  <c r="H153"/>
  <c r="S153" s="1"/>
  <c r="I153"/>
  <c r="C154"/>
  <c r="G154"/>
  <c r="R154" s="1"/>
  <c r="H154"/>
  <c r="I154"/>
  <c r="C155"/>
  <c r="G155"/>
  <c r="H155"/>
  <c r="S155" s="1"/>
  <c r="I155"/>
  <c r="C156"/>
  <c r="G156"/>
  <c r="H156"/>
  <c r="S156" s="1"/>
  <c r="I156"/>
  <c r="C157"/>
  <c r="G157"/>
  <c r="R157" s="1"/>
  <c r="H157"/>
  <c r="I157"/>
  <c r="C158"/>
  <c r="G158"/>
  <c r="H158"/>
  <c r="S158" s="1"/>
  <c r="I158"/>
  <c r="C159"/>
  <c r="G159"/>
  <c r="R159"/>
  <c r="H159"/>
  <c r="N159" s="1"/>
  <c r="I159"/>
  <c r="M159"/>
  <c r="C160"/>
  <c r="G160"/>
  <c r="H160"/>
  <c r="S160" s="1"/>
  <c r="I160"/>
  <c r="M160"/>
  <c r="C161"/>
  <c r="G161"/>
  <c r="H161"/>
  <c r="S161" s="1"/>
  <c r="I161"/>
  <c r="M161"/>
  <c r="D162"/>
  <c r="E162"/>
  <c r="H162" s="1"/>
  <c r="S162" s="1"/>
  <c r="I162"/>
  <c r="L162" s="1"/>
  <c r="M162"/>
  <c r="N162"/>
  <c r="D163"/>
  <c r="E163"/>
  <c r="I163"/>
  <c r="D164"/>
  <c r="G164" s="1"/>
  <c r="M164" s="1"/>
  <c r="E164"/>
  <c r="I164"/>
  <c r="D165"/>
  <c r="E165"/>
  <c r="I165"/>
  <c r="L165" s="1"/>
  <c r="M165"/>
  <c r="N165"/>
  <c r="D166"/>
  <c r="E166"/>
  <c r="I166"/>
  <c r="L166" s="1"/>
  <c r="M166"/>
  <c r="N166"/>
  <c r="D167"/>
  <c r="E167"/>
  <c r="H167" s="1"/>
  <c r="I167"/>
  <c r="L167" s="1"/>
  <c r="M167"/>
  <c r="N167"/>
  <c r="D168"/>
  <c r="G168" s="1"/>
  <c r="E168"/>
  <c r="I168"/>
  <c r="L168" s="1"/>
  <c r="M168"/>
  <c r="N168"/>
  <c r="D169"/>
  <c r="E169"/>
  <c r="H169" s="1"/>
  <c r="S169" s="1"/>
  <c r="I169"/>
  <c r="L169" s="1"/>
  <c r="M169"/>
  <c r="N169"/>
  <c r="D170"/>
  <c r="E170"/>
  <c r="I170"/>
  <c r="D171"/>
  <c r="E171"/>
  <c r="H171" s="1"/>
  <c r="I171"/>
  <c r="L171" s="1"/>
  <c r="M171"/>
  <c r="N171"/>
  <c r="D172"/>
  <c r="E172"/>
  <c r="H172" s="1"/>
  <c r="I172"/>
  <c r="L172" s="1"/>
  <c r="M172"/>
  <c r="N172"/>
  <c r="D173"/>
  <c r="E173"/>
  <c r="H173" s="1"/>
  <c r="I173"/>
  <c r="L173" s="1"/>
  <c r="M173"/>
  <c r="N173"/>
  <c r="D174"/>
  <c r="E174"/>
  <c r="H174" s="1"/>
  <c r="I174"/>
  <c r="L174" s="1"/>
  <c r="M174"/>
  <c r="N174"/>
  <c r="D175"/>
  <c r="E175"/>
  <c r="H175" s="1"/>
  <c r="I175"/>
  <c r="C176"/>
  <c r="G176"/>
  <c r="R176" s="1"/>
  <c r="H176"/>
  <c r="I176"/>
  <c r="M176"/>
  <c r="D177"/>
  <c r="E177"/>
  <c r="I177"/>
  <c r="D178"/>
  <c r="E178"/>
  <c r="I178"/>
  <c r="C179"/>
  <c r="G179"/>
  <c r="R179" s="1"/>
  <c r="H179"/>
  <c r="I179"/>
  <c r="L179" s="1"/>
  <c r="M179"/>
  <c r="N179"/>
  <c r="C180"/>
  <c r="G180"/>
  <c r="R180" s="1"/>
  <c r="H180"/>
  <c r="I180"/>
  <c r="L180" s="1"/>
  <c r="M180"/>
  <c r="N180"/>
  <c r="D181"/>
  <c r="G181" s="1"/>
  <c r="R181" s="1"/>
  <c r="E181"/>
  <c r="H181" s="1"/>
  <c r="I181"/>
  <c r="L181" s="1"/>
  <c r="M181"/>
  <c r="N181"/>
  <c r="D182"/>
  <c r="E182"/>
  <c r="C183"/>
  <c r="G183"/>
  <c r="R183" s="1"/>
  <c r="H183"/>
  <c r="I183"/>
  <c r="L183" s="1"/>
  <c r="M183"/>
  <c r="N183"/>
  <c r="C184"/>
  <c r="G184"/>
  <c r="H184"/>
  <c r="S184" s="1"/>
  <c r="I184"/>
  <c r="L184" s="1"/>
  <c r="M184"/>
  <c r="N184"/>
  <c r="C185"/>
  <c r="G185"/>
  <c r="R185" s="1"/>
  <c r="H185"/>
  <c r="C186"/>
  <c r="G186"/>
  <c r="R186" s="1"/>
  <c r="H186"/>
  <c r="S186" s="1"/>
  <c r="D187"/>
  <c r="G187" s="1"/>
  <c r="E187"/>
  <c r="H187" s="1"/>
  <c r="I187"/>
  <c r="D188"/>
  <c r="E188"/>
  <c r="H188" s="1"/>
  <c r="I188"/>
  <c r="L188" s="1"/>
  <c r="M188"/>
  <c r="N188"/>
  <c r="C189"/>
  <c r="G189"/>
  <c r="H189"/>
  <c r="S189" s="1"/>
  <c r="I189"/>
  <c r="L189" s="1"/>
  <c r="M189"/>
  <c r="N189"/>
  <c r="C190"/>
  <c r="G190"/>
  <c r="R190"/>
  <c r="H190"/>
  <c r="I190"/>
  <c r="L190" s="1"/>
  <c r="M190"/>
  <c r="N190"/>
  <c r="C191"/>
  <c r="G191"/>
  <c r="R191" s="1"/>
  <c r="H191"/>
  <c r="I191"/>
  <c r="L191" s="1"/>
  <c r="M191"/>
  <c r="N191"/>
  <c r="C192"/>
  <c r="G192"/>
  <c r="H192"/>
  <c r="N192" s="1"/>
  <c r="I192"/>
  <c r="M192"/>
  <c r="C193"/>
  <c r="G193"/>
  <c r="R193" s="1"/>
  <c r="H193"/>
  <c r="S193" s="1"/>
  <c r="I193"/>
  <c r="L193" s="1"/>
  <c r="M193"/>
  <c r="N193"/>
  <c r="C194"/>
  <c r="G194"/>
  <c r="R194" s="1"/>
  <c r="H194"/>
  <c r="S194" s="1"/>
  <c r="I194"/>
  <c r="L194" s="1"/>
  <c r="M194"/>
  <c r="N194"/>
  <c r="C195"/>
  <c r="G195"/>
  <c r="R195"/>
  <c r="H195"/>
  <c r="I195"/>
  <c r="L195" s="1"/>
  <c r="M195"/>
  <c r="N195"/>
  <c r="C196"/>
  <c r="G196"/>
  <c r="R196" s="1"/>
  <c r="H196"/>
  <c r="N196"/>
  <c r="I196"/>
  <c r="C197"/>
  <c r="G197"/>
  <c r="H197"/>
  <c r="I197"/>
  <c r="L197" s="1"/>
  <c r="M197"/>
  <c r="N197"/>
  <c r="D198"/>
  <c r="E198"/>
  <c r="H198" s="1"/>
  <c r="I198"/>
  <c r="C199"/>
  <c r="G199"/>
  <c r="H199"/>
  <c r="S199" s="1"/>
  <c r="I199"/>
  <c r="L199" s="1"/>
  <c r="M199"/>
  <c r="N199"/>
  <c r="C200"/>
  <c r="G200"/>
  <c r="H200"/>
  <c r="S200" s="1"/>
  <c r="I200"/>
  <c r="L200" s="1"/>
  <c r="M200"/>
  <c r="N200"/>
  <c r="D201"/>
  <c r="E201"/>
  <c r="H201" s="1"/>
  <c r="N201" s="1"/>
  <c r="I201"/>
  <c r="D204"/>
  <c r="E204"/>
  <c r="G204"/>
  <c r="H204"/>
  <c r="J204"/>
  <c r="K204"/>
  <c r="C205"/>
  <c r="F205"/>
  <c r="Z205" s="1"/>
  <c r="I205"/>
  <c r="L205" s="1"/>
  <c r="M205"/>
  <c r="N205"/>
  <c r="C206"/>
  <c r="F206"/>
  <c r="I206"/>
  <c r="L206" s="1"/>
  <c r="M206"/>
  <c r="N206"/>
  <c r="C207"/>
  <c r="F207"/>
  <c r="I207"/>
  <c r="L207" s="1"/>
  <c r="M207"/>
  <c r="N207"/>
  <c r="C208"/>
  <c r="F208"/>
  <c r="I208"/>
  <c r="L208" s="1"/>
  <c r="M208"/>
  <c r="N208"/>
  <c r="C209"/>
  <c r="F209"/>
  <c r="I209"/>
  <c r="L209" s="1"/>
  <c r="M209"/>
  <c r="N209"/>
  <c r="C210"/>
  <c r="F210"/>
  <c r="I210"/>
  <c r="L210" s="1"/>
  <c r="M210"/>
  <c r="N210"/>
  <c r="C211"/>
  <c r="F211"/>
  <c r="I211"/>
  <c r="L211" s="1"/>
  <c r="M211"/>
  <c r="N211"/>
  <c r="C212"/>
  <c r="F212"/>
  <c r="I212"/>
  <c r="L212" s="1"/>
  <c r="M212"/>
  <c r="N212"/>
  <c r="C213"/>
  <c r="F213"/>
  <c r="I213"/>
  <c r="L213" s="1"/>
  <c r="M213"/>
  <c r="N213"/>
  <c r="C214"/>
  <c r="F214"/>
  <c r="I214"/>
  <c r="L214" s="1"/>
  <c r="M214"/>
  <c r="N214"/>
  <c r="C215"/>
  <c r="F215"/>
  <c r="I215"/>
  <c r="L215" s="1"/>
  <c r="M215"/>
  <c r="N215"/>
  <c r="D216"/>
  <c r="E216"/>
  <c r="G216"/>
  <c r="H216"/>
  <c r="J216"/>
  <c r="M216" s="1"/>
  <c r="K216"/>
  <c r="C217"/>
  <c r="F217"/>
  <c r="I217"/>
  <c r="L217" s="1"/>
  <c r="M217"/>
  <c r="N217"/>
  <c r="R217"/>
  <c r="S217"/>
  <c r="D218"/>
  <c r="E218"/>
  <c r="G218"/>
  <c r="H218"/>
  <c r="J218"/>
  <c r="M218" s="1"/>
  <c r="K218"/>
  <c r="C219"/>
  <c r="F219"/>
  <c r="I219"/>
  <c r="L219" s="1"/>
  <c r="M219"/>
  <c r="N219"/>
  <c r="R219"/>
  <c r="S219"/>
  <c r="D220"/>
  <c r="E220"/>
  <c r="G220"/>
  <c r="J220"/>
  <c r="M220" s="1"/>
  <c r="K220"/>
  <c r="C221"/>
  <c r="H221"/>
  <c r="I221"/>
  <c r="L221" s="1"/>
  <c r="M221"/>
  <c r="N221"/>
  <c r="D224"/>
  <c r="E224"/>
  <c r="J224"/>
  <c r="K224"/>
  <c r="C225"/>
  <c r="F225"/>
  <c r="I225"/>
  <c r="L225" s="1"/>
  <c r="M225"/>
  <c r="N225"/>
  <c r="C226"/>
  <c r="G226"/>
  <c r="H226"/>
  <c r="N226" s="1"/>
  <c r="I226"/>
  <c r="C227"/>
  <c r="G227"/>
  <c r="H227"/>
  <c r="I227"/>
  <c r="C228"/>
  <c r="G228"/>
  <c r="R228" s="1"/>
  <c r="H228"/>
  <c r="S228" s="1"/>
  <c r="I228"/>
  <c r="L228" s="1"/>
  <c r="M228"/>
  <c r="N228"/>
  <c r="C229"/>
  <c r="G229"/>
  <c r="R229" s="1"/>
  <c r="H229"/>
  <c r="N229" s="1"/>
  <c r="I229"/>
  <c r="C230"/>
  <c r="G230"/>
  <c r="R230" s="1"/>
  <c r="H230"/>
  <c r="I230"/>
  <c r="L230" s="1"/>
  <c r="M230"/>
  <c r="N230"/>
  <c r="C231"/>
  <c r="G231"/>
  <c r="H231"/>
  <c r="I231"/>
  <c r="C232"/>
  <c r="G232"/>
  <c r="R232" s="1"/>
  <c r="H232"/>
  <c r="I232"/>
  <c r="C233"/>
  <c r="G233"/>
  <c r="R233" s="1"/>
  <c r="H233"/>
  <c r="N233" s="1"/>
  <c r="I233"/>
  <c r="C234"/>
  <c r="G234"/>
  <c r="H234"/>
  <c r="I234"/>
  <c r="C235"/>
  <c r="G235"/>
  <c r="R235" s="1"/>
  <c r="H235"/>
  <c r="I235"/>
  <c r="L235" s="1"/>
  <c r="M235"/>
  <c r="N235"/>
  <c r="C236"/>
  <c r="G236"/>
  <c r="R236" s="1"/>
  <c r="H236"/>
  <c r="S236" s="1"/>
  <c r="I236"/>
  <c r="L236" s="1"/>
  <c r="M236"/>
  <c r="N236"/>
  <c r="D237"/>
  <c r="E237"/>
  <c r="J237"/>
  <c r="K237"/>
  <c r="C238"/>
  <c r="G238"/>
  <c r="H238"/>
  <c r="I238"/>
  <c r="D239"/>
  <c r="E239"/>
  <c r="J239"/>
  <c r="K239"/>
  <c r="C240"/>
  <c r="G240"/>
  <c r="R240" s="1"/>
  <c r="H240"/>
  <c r="S240" s="1"/>
  <c r="I240"/>
  <c r="L240" s="1"/>
  <c r="M240"/>
  <c r="N240"/>
  <c r="C241"/>
  <c r="G241"/>
  <c r="H241"/>
  <c r="I241"/>
  <c r="C242"/>
  <c r="G242"/>
  <c r="H242"/>
  <c r="S242" s="1"/>
  <c r="I242"/>
  <c r="M242"/>
  <c r="C243"/>
  <c r="G243"/>
  <c r="H243"/>
  <c r="I243"/>
  <c r="M243"/>
  <c r="Q244"/>
  <c r="R244"/>
  <c r="S244"/>
  <c r="Z244"/>
  <c r="D245"/>
  <c r="E245"/>
  <c r="H245"/>
  <c r="J245"/>
  <c r="I245" s="1"/>
  <c r="K245"/>
  <c r="J246"/>
  <c r="K246"/>
  <c r="D249"/>
  <c r="J249"/>
  <c r="K249"/>
  <c r="D250"/>
  <c r="E250"/>
  <c r="G250"/>
  <c r="J250"/>
  <c r="K250"/>
  <c r="C4" i="41"/>
  <c r="Q15"/>
  <c r="R15"/>
  <c r="S15"/>
  <c r="C18"/>
  <c r="Q18" s="1"/>
  <c r="F18"/>
  <c r="I18"/>
  <c r="L18" s="1"/>
  <c r="M18"/>
  <c r="N18"/>
  <c r="R18"/>
  <c r="S18"/>
  <c r="C19"/>
  <c r="F19"/>
  <c r="I19"/>
  <c r="L19" s="1"/>
  <c r="M19"/>
  <c r="N19"/>
  <c r="R19"/>
  <c r="R252" s="1"/>
  <c r="S19"/>
  <c r="S252" s="1"/>
  <c r="C20"/>
  <c r="F20"/>
  <c r="I20"/>
  <c r="M20"/>
  <c r="N20"/>
  <c r="R20"/>
  <c r="S20"/>
  <c r="C21"/>
  <c r="F21"/>
  <c r="I21"/>
  <c r="L21" s="1"/>
  <c r="M21"/>
  <c r="N21"/>
  <c r="R21"/>
  <c r="S21"/>
  <c r="D22"/>
  <c r="E22"/>
  <c r="G22"/>
  <c r="H22"/>
  <c r="J22"/>
  <c r="K22"/>
  <c r="C23"/>
  <c r="F23"/>
  <c r="I23"/>
  <c r="L23" s="1"/>
  <c r="M23"/>
  <c r="N23"/>
  <c r="C24"/>
  <c r="F24"/>
  <c r="I24"/>
  <c r="L24"/>
  <c r="M24"/>
  <c r="N24"/>
  <c r="R24"/>
  <c r="S24"/>
  <c r="D25"/>
  <c r="E25"/>
  <c r="G25"/>
  <c r="H25"/>
  <c r="J25"/>
  <c r="K25"/>
  <c r="N25" s="1"/>
  <c r="C26"/>
  <c r="F26"/>
  <c r="I26"/>
  <c r="L26" s="1"/>
  <c r="M26"/>
  <c r="N26"/>
  <c r="R26"/>
  <c r="S26"/>
  <c r="D27"/>
  <c r="E27"/>
  <c r="G27"/>
  <c r="H27"/>
  <c r="J27"/>
  <c r="M27" s="1"/>
  <c r="K27"/>
  <c r="N27"/>
  <c r="C28"/>
  <c r="F28"/>
  <c r="I28"/>
  <c r="L28" s="1"/>
  <c r="M28"/>
  <c r="N28"/>
  <c r="R28"/>
  <c r="S28"/>
  <c r="C29"/>
  <c r="F29"/>
  <c r="I29"/>
  <c r="L29" s="1"/>
  <c r="M29"/>
  <c r="N29"/>
  <c r="R29"/>
  <c r="S29"/>
  <c r="D30"/>
  <c r="E30"/>
  <c r="G30"/>
  <c r="H30"/>
  <c r="J30"/>
  <c r="M30" s="1"/>
  <c r="K30"/>
  <c r="N30" s="1"/>
  <c r="C31"/>
  <c r="F31"/>
  <c r="I31"/>
  <c r="L31" s="1"/>
  <c r="M31"/>
  <c r="N31"/>
  <c r="R31"/>
  <c r="S31"/>
  <c r="C32"/>
  <c r="F32"/>
  <c r="I32"/>
  <c r="L32" s="1"/>
  <c r="M32"/>
  <c r="N32"/>
  <c r="R32"/>
  <c r="S32"/>
  <c r="D33"/>
  <c r="E33"/>
  <c r="G33"/>
  <c r="H33"/>
  <c r="J33"/>
  <c r="K33"/>
  <c r="C34"/>
  <c r="F34"/>
  <c r="I34"/>
  <c r="L34" s="1"/>
  <c r="M34"/>
  <c r="N34"/>
  <c r="R34"/>
  <c r="S34"/>
  <c r="D35"/>
  <c r="E35"/>
  <c r="G35"/>
  <c r="H35"/>
  <c r="J35"/>
  <c r="K35"/>
  <c r="C36"/>
  <c r="F36"/>
  <c r="I36"/>
  <c r="M36"/>
  <c r="N36"/>
  <c r="R36"/>
  <c r="S36"/>
  <c r="C37"/>
  <c r="F37"/>
  <c r="I37"/>
  <c r="L37" s="1"/>
  <c r="M37"/>
  <c r="N37"/>
  <c r="C38"/>
  <c r="F38"/>
  <c r="I38"/>
  <c r="L38" s="1"/>
  <c r="M38"/>
  <c r="N38"/>
  <c r="R38"/>
  <c r="S38"/>
  <c r="C39"/>
  <c r="F39"/>
  <c r="Q39" s="1"/>
  <c r="R39"/>
  <c r="S39"/>
  <c r="D40"/>
  <c r="E40"/>
  <c r="G40"/>
  <c r="H40"/>
  <c r="J40"/>
  <c r="K40"/>
  <c r="N40" s="1"/>
  <c r="C41"/>
  <c r="F41"/>
  <c r="I41"/>
  <c r="L41" s="1"/>
  <c r="M41"/>
  <c r="N41"/>
  <c r="C42"/>
  <c r="F42"/>
  <c r="I42"/>
  <c r="L42" s="1"/>
  <c r="M42"/>
  <c r="N42"/>
  <c r="R42"/>
  <c r="S42"/>
  <c r="C43"/>
  <c r="F43"/>
  <c r="I43"/>
  <c r="L43"/>
  <c r="M43"/>
  <c r="N43"/>
  <c r="R43"/>
  <c r="S43"/>
  <c r="D44"/>
  <c r="E44"/>
  <c r="G44"/>
  <c r="H44"/>
  <c r="J44"/>
  <c r="K44"/>
  <c r="C45"/>
  <c r="F45"/>
  <c r="I45"/>
  <c r="L45" s="1"/>
  <c r="M45"/>
  <c r="N45"/>
  <c r="C46"/>
  <c r="F46"/>
  <c r="I46"/>
  <c r="L46" s="1"/>
  <c r="M46"/>
  <c r="N46"/>
  <c r="R46"/>
  <c r="S46"/>
  <c r="D47"/>
  <c r="E47"/>
  <c r="G47"/>
  <c r="H47"/>
  <c r="J47"/>
  <c r="K47"/>
  <c r="C48"/>
  <c r="F48"/>
  <c r="I48"/>
  <c r="L48" s="1"/>
  <c r="M48"/>
  <c r="N48"/>
  <c r="R48"/>
  <c r="S48"/>
  <c r="D49"/>
  <c r="E49"/>
  <c r="G49"/>
  <c r="H49"/>
  <c r="S49" s="1"/>
  <c r="J49"/>
  <c r="M49" s="1"/>
  <c r="K49"/>
  <c r="N49"/>
  <c r="C50"/>
  <c r="F50"/>
  <c r="I50"/>
  <c r="L50" s="1"/>
  <c r="M50"/>
  <c r="N50"/>
  <c r="C51"/>
  <c r="F51"/>
  <c r="I51"/>
  <c r="L51" s="1"/>
  <c r="M51"/>
  <c r="N51"/>
  <c r="R51"/>
  <c r="S51"/>
  <c r="C52"/>
  <c r="F52"/>
  <c r="I52"/>
  <c r="L52" s="1"/>
  <c r="M52"/>
  <c r="N52"/>
  <c r="R52"/>
  <c r="S52"/>
  <c r="D53"/>
  <c r="E53"/>
  <c r="G53"/>
  <c r="H53"/>
  <c r="J53"/>
  <c r="M53" s="1"/>
  <c r="K53"/>
  <c r="N53" s="1"/>
  <c r="C54"/>
  <c r="F54"/>
  <c r="I54"/>
  <c r="M54"/>
  <c r="N54"/>
  <c r="R54"/>
  <c r="S54"/>
  <c r="C55"/>
  <c r="F55"/>
  <c r="I55"/>
  <c r="L55" s="1"/>
  <c r="M55"/>
  <c r="N55"/>
  <c r="R55"/>
  <c r="S55"/>
  <c r="D56"/>
  <c r="E56"/>
  <c r="G56"/>
  <c r="H56"/>
  <c r="J56"/>
  <c r="K56"/>
  <c r="N56" s="1"/>
  <c r="C57"/>
  <c r="F57"/>
  <c r="I57"/>
  <c r="L57" s="1"/>
  <c r="M57"/>
  <c r="N57"/>
  <c r="R57"/>
  <c r="S57"/>
  <c r="D58"/>
  <c r="E58"/>
  <c r="G58"/>
  <c r="H58"/>
  <c r="J58"/>
  <c r="K58"/>
  <c r="N58" s="1"/>
  <c r="C59"/>
  <c r="F59"/>
  <c r="I59"/>
  <c r="L59" s="1"/>
  <c r="M59"/>
  <c r="N59"/>
  <c r="R59"/>
  <c r="S59"/>
  <c r="D60"/>
  <c r="E60"/>
  <c r="G60"/>
  <c r="H60"/>
  <c r="J60"/>
  <c r="M60" s="1"/>
  <c r="K60"/>
  <c r="C61"/>
  <c r="F61"/>
  <c r="I61"/>
  <c r="L61" s="1"/>
  <c r="M61"/>
  <c r="N61"/>
  <c r="R61"/>
  <c r="S61"/>
  <c r="D62"/>
  <c r="E62"/>
  <c r="G62"/>
  <c r="H62"/>
  <c r="J62"/>
  <c r="K62"/>
  <c r="C63"/>
  <c r="F63"/>
  <c r="L63"/>
  <c r="M63"/>
  <c r="N63"/>
  <c r="R63"/>
  <c r="S63"/>
  <c r="D64"/>
  <c r="E64"/>
  <c r="G64"/>
  <c r="H64"/>
  <c r="J64"/>
  <c r="K64"/>
  <c r="N64" s="1"/>
  <c r="C65"/>
  <c r="F65"/>
  <c r="I65"/>
  <c r="L65" s="1"/>
  <c r="M65"/>
  <c r="N65"/>
  <c r="R65"/>
  <c r="S65"/>
  <c r="C66"/>
  <c r="F66"/>
  <c r="R66"/>
  <c r="S66"/>
  <c r="C67"/>
  <c r="F67"/>
  <c r="R67"/>
  <c r="S67"/>
  <c r="C68"/>
  <c r="F68"/>
  <c r="R68"/>
  <c r="S68"/>
  <c r="C69"/>
  <c r="F69"/>
  <c r="R69"/>
  <c r="S69"/>
  <c r="G71"/>
  <c r="H71"/>
  <c r="J71"/>
  <c r="K71"/>
  <c r="D72"/>
  <c r="E72"/>
  <c r="F72"/>
  <c r="I72"/>
  <c r="M72"/>
  <c r="N72"/>
  <c r="D73"/>
  <c r="E73"/>
  <c r="E71" s="1"/>
  <c r="F73"/>
  <c r="I73"/>
  <c r="L73" s="1"/>
  <c r="M73"/>
  <c r="N73"/>
  <c r="G74"/>
  <c r="H74"/>
  <c r="J74"/>
  <c r="M74" s="1"/>
  <c r="K74"/>
  <c r="D75"/>
  <c r="R75" s="1"/>
  <c r="E75"/>
  <c r="S75" s="1"/>
  <c r="F75"/>
  <c r="I75"/>
  <c r="L75" s="1"/>
  <c r="M75"/>
  <c r="N75"/>
  <c r="D76"/>
  <c r="E76"/>
  <c r="F76"/>
  <c r="I76"/>
  <c r="L76" s="1"/>
  <c r="M76"/>
  <c r="N76"/>
  <c r="D77"/>
  <c r="E77"/>
  <c r="G77"/>
  <c r="H77"/>
  <c r="J77"/>
  <c r="K77"/>
  <c r="C78"/>
  <c r="F78"/>
  <c r="I78"/>
  <c r="M78"/>
  <c r="N78"/>
  <c r="R78"/>
  <c r="S78"/>
  <c r="D79"/>
  <c r="E79"/>
  <c r="G79"/>
  <c r="H79"/>
  <c r="J79"/>
  <c r="K79"/>
  <c r="C80"/>
  <c r="F80"/>
  <c r="I80"/>
  <c r="M80"/>
  <c r="N80"/>
  <c r="R80"/>
  <c r="S80"/>
  <c r="G81"/>
  <c r="H81"/>
  <c r="J81"/>
  <c r="K81"/>
  <c r="D82"/>
  <c r="D81" s="1"/>
  <c r="E82"/>
  <c r="F82"/>
  <c r="I82"/>
  <c r="M82"/>
  <c r="N82"/>
  <c r="G83"/>
  <c r="H83"/>
  <c r="J83"/>
  <c r="K83"/>
  <c r="D84"/>
  <c r="E84"/>
  <c r="F84"/>
  <c r="I84"/>
  <c r="M84"/>
  <c r="N84"/>
  <c r="D85"/>
  <c r="R85" s="1"/>
  <c r="E85"/>
  <c r="S85" s="1"/>
  <c r="F85"/>
  <c r="I85"/>
  <c r="L85" s="1"/>
  <c r="M85"/>
  <c r="N85"/>
  <c r="G86"/>
  <c r="H86"/>
  <c r="J86"/>
  <c r="K86"/>
  <c r="N86" s="1"/>
  <c r="D87"/>
  <c r="D86" s="1"/>
  <c r="E87"/>
  <c r="E86" s="1"/>
  <c r="F87"/>
  <c r="I87"/>
  <c r="L87" s="1"/>
  <c r="M87"/>
  <c r="N87"/>
  <c r="C90"/>
  <c r="G90"/>
  <c r="I90"/>
  <c r="M90"/>
  <c r="N90"/>
  <c r="S90"/>
  <c r="C91"/>
  <c r="F91"/>
  <c r="I91"/>
  <c r="M91"/>
  <c r="N91"/>
  <c r="R91"/>
  <c r="S91"/>
  <c r="C92"/>
  <c r="F92"/>
  <c r="I92"/>
  <c r="M92"/>
  <c r="N92"/>
  <c r="R92"/>
  <c r="S92"/>
  <c r="C93"/>
  <c r="F93"/>
  <c r="I93"/>
  <c r="M93"/>
  <c r="N93"/>
  <c r="R93"/>
  <c r="S93"/>
  <c r="C94"/>
  <c r="F94"/>
  <c r="Q94" s="1"/>
  <c r="I94"/>
  <c r="M94"/>
  <c r="N94"/>
  <c r="R94"/>
  <c r="S94"/>
  <c r="C95"/>
  <c r="F95"/>
  <c r="I95"/>
  <c r="M95"/>
  <c r="N95"/>
  <c r="R95"/>
  <c r="S95"/>
  <c r="C96"/>
  <c r="F96"/>
  <c r="I96"/>
  <c r="M96"/>
  <c r="N96"/>
  <c r="R96"/>
  <c r="S96"/>
  <c r="C97"/>
  <c r="F97"/>
  <c r="I97"/>
  <c r="M97"/>
  <c r="N97"/>
  <c r="R97"/>
  <c r="S97"/>
  <c r="C98"/>
  <c r="Q98" s="1"/>
  <c r="F98"/>
  <c r="I98"/>
  <c r="M98"/>
  <c r="N98"/>
  <c r="R98"/>
  <c r="S98"/>
  <c r="C99"/>
  <c r="F99"/>
  <c r="I99"/>
  <c r="M99"/>
  <c r="N99"/>
  <c r="R99"/>
  <c r="S99"/>
  <c r="D100"/>
  <c r="E100"/>
  <c r="G100"/>
  <c r="H100"/>
  <c r="I100"/>
  <c r="L100" s="1"/>
  <c r="M100"/>
  <c r="N100"/>
  <c r="D101"/>
  <c r="E101"/>
  <c r="G101"/>
  <c r="H101"/>
  <c r="C102"/>
  <c r="F102"/>
  <c r="I102"/>
  <c r="M102"/>
  <c r="N102"/>
  <c r="R102"/>
  <c r="S102"/>
  <c r="C103"/>
  <c r="F103"/>
  <c r="I103"/>
  <c r="M103"/>
  <c r="N103"/>
  <c r="R103"/>
  <c r="S103"/>
  <c r="C104"/>
  <c r="F104"/>
  <c r="I104"/>
  <c r="L104" s="1"/>
  <c r="M104"/>
  <c r="N104"/>
  <c r="R104"/>
  <c r="S104"/>
  <c r="C105"/>
  <c r="F105"/>
  <c r="I105"/>
  <c r="L105" s="1"/>
  <c r="M105"/>
  <c r="N105"/>
  <c r="R105"/>
  <c r="S105"/>
  <c r="C106"/>
  <c r="F106"/>
  <c r="I106"/>
  <c r="L106" s="1"/>
  <c r="M106"/>
  <c r="N106"/>
  <c r="R106"/>
  <c r="S106"/>
  <c r="C107"/>
  <c r="F107"/>
  <c r="I107"/>
  <c r="L107" s="1"/>
  <c r="M107"/>
  <c r="N107"/>
  <c r="R107"/>
  <c r="S107"/>
  <c r="C108"/>
  <c r="Q108" s="1"/>
  <c r="F108"/>
  <c r="I108"/>
  <c r="M108"/>
  <c r="N108"/>
  <c r="R108"/>
  <c r="S108"/>
  <c r="C109"/>
  <c r="F109"/>
  <c r="I109"/>
  <c r="L109" s="1"/>
  <c r="M109"/>
  <c r="N109"/>
  <c r="R109"/>
  <c r="S109"/>
  <c r="C110"/>
  <c r="F110"/>
  <c r="I110"/>
  <c r="L110" s="1"/>
  <c r="M110"/>
  <c r="N110"/>
  <c r="R110"/>
  <c r="S110"/>
  <c r="C111"/>
  <c r="F111"/>
  <c r="I111"/>
  <c r="L111" s="1"/>
  <c r="M111"/>
  <c r="N111"/>
  <c r="R111"/>
  <c r="S111"/>
  <c r="C112"/>
  <c r="F112"/>
  <c r="I112"/>
  <c r="L112" s="1"/>
  <c r="M112"/>
  <c r="N112"/>
  <c r="R112"/>
  <c r="S112"/>
  <c r="C113"/>
  <c r="F113"/>
  <c r="I113"/>
  <c r="L113" s="1"/>
  <c r="M113"/>
  <c r="N113"/>
  <c r="R113"/>
  <c r="S113"/>
  <c r="C114"/>
  <c r="F114"/>
  <c r="I114"/>
  <c r="L114" s="1"/>
  <c r="M114"/>
  <c r="N114"/>
  <c r="R114"/>
  <c r="S114"/>
  <c r="C115"/>
  <c r="F115"/>
  <c r="I115"/>
  <c r="L115" s="1"/>
  <c r="M115"/>
  <c r="N115"/>
  <c r="R115"/>
  <c r="S115"/>
  <c r="C116"/>
  <c r="F116"/>
  <c r="I116"/>
  <c r="L116" s="1"/>
  <c r="M116"/>
  <c r="N116"/>
  <c r="R116"/>
  <c r="S116"/>
  <c r="C117"/>
  <c r="F117"/>
  <c r="I117"/>
  <c r="L117" s="1"/>
  <c r="M117"/>
  <c r="N117"/>
  <c r="R117"/>
  <c r="S117"/>
  <c r="C118"/>
  <c r="F118"/>
  <c r="I118"/>
  <c r="L118" s="1"/>
  <c r="M118"/>
  <c r="N118"/>
  <c r="R118"/>
  <c r="S118"/>
  <c r="C119"/>
  <c r="F119"/>
  <c r="I119"/>
  <c r="L119" s="1"/>
  <c r="M119"/>
  <c r="N119"/>
  <c r="R119"/>
  <c r="S119"/>
  <c r="C120"/>
  <c r="F120"/>
  <c r="I120"/>
  <c r="L120"/>
  <c r="M120"/>
  <c r="N120"/>
  <c r="R120"/>
  <c r="S120"/>
  <c r="C121"/>
  <c r="F121"/>
  <c r="I121"/>
  <c r="L121"/>
  <c r="M121"/>
  <c r="N121"/>
  <c r="R121"/>
  <c r="S121"/>
  <c r="C122"/>
  <c r="F122"/>
  <c r="I122"/>
  <c r="L122" s="1"/>
  <c r="M122"/>
  <c r="N122"/>
  <c r="R122"/>
  <c r="S122"/>
  <c r="C123"/>
  <c r="Q123" s="1"/>
  <c r="F123"/>
  <c r="I123"/>
  <c r="L123" s="1"/>
  <c r="M123"/>
  <c r="N123"/>
  <c r="R123"/>
  <c r="S123"/>
  <c r="C124"/>
  <c r="F124"/>
  <c r="I124"/>
  <c r="L124" s="1"/>
  <c r="M124"/>
  <c r="N124"/>
  <c r="R124"/>
  <c r="S124"/>
  <c r="C125"/>
  <c r="F125"/>
  <c r="I125"/>
  <c r="L125" s="1"/>
  <c r="M125"/>
  <c r="N125"/>
  <c r="C126"/>
  <c r="F126"/>
  <c r="I126"/>
  <c r="L126" s="1"/>
  <c r="M126"/>
  <c r="N126"/>
  <c r="R126"/>
  <c r="S126"/>
  <c r="C127"/>
  <c r="F127"/>
  <c r="I127"/>
  <c r="L127" s="1"/>
  <c r="M127"/>
  <c r="N127"/>
  <c r="R127"/>
  <c r="S127"/>
  <c r="C128"/>
  <c r="F128"/>
  <c r="I128"/>
  <c r="L128" s="1"/>
  <c r="M128"/>
  <c r="N128"/>
  <c r="R128"/>
  <c r="S128"/>
  <c r="C129"/>
  <c r="F129"/>
  <c r="I129"/>
  <c r="L129" s="1"/>
  <c r="M129"/>
  <c r="N129"/>
  <c r="R129"/>
  <c r="S129"/>
  <c r="C130"/>
  <c r="F130"/>
  <c r="I130"/>
  <c r="L130" s="1"/>
  <c r="M130"/>
  <c r="N130"/>
  <c r="R130"/>
  <c r="S130"/>
  <c r="C131"/>
  <c r="F131"/>
  <c r="I131"/>
  <c r="L131" s="1"/>
  <c r="M131"/>
  <c r="N131"/>
  <c r="R131"/>
  <c r="S131"/>
  <c r="C132"/>
  <c r="F132"/>
  <c r="I132"/>
  <c r="L132" s="1"/>
  <c r="M132"/>
  <c r="N132"/>
  <c r="R132"/>
  <c r="S132"/>
  <c r="C133"/>
  <c r="F133"/>
  <c r="I133"/>
  <c r="L133" s="1"/>
  <c r="M133"/>
  <c r="N133"/>
  <c r="R133"/>
  <c r="S133"/>
  <c r="C134"/>
  <c r="F134"/>
  <c r="I134"/>
  <c r="L134"/>
  <c r="M134"/>
  <c r="N134"/>
  <c r="R134"/>
  <c r="S134"/>
  <c r="C135"/>
  <c r="F135"/>
  <c r="I135"/>
  <c r="L135"/>
  <c r="M135"/>
  <c r="N135"/>
  <c r="R135"/>
  <c r="S135"/>
  <c r="C136"/>
  <c r="F136"/>
  <c r="I136"/>
  <c r="L136"/>
  <c r="M136"/>
  <c r="N136"/>
  <c r="R136"/>
  <c r="S136"/>
  <c r="C137"/>
  <c r="F137"/>
  <c r="I137"/>
  <c r="L137" s="1"/>
  <c r="M137"/>
  <c r="N137"/>
  <c r="R137"/>
  <c r="S137"/>
  <c r="C138"/>
  <c r="F138"/>
  <c r="I138"/>
  <c r="L138" s="1"/>
  <c r="M138"/>
  <c r="N138"/>
  <c r="R138"/>
  <c r="S138"/>
  <c r="C139"/>
  <c r="F139"/>
  <c r="I139"/>
  <c r="L139"/>
  <c r="M139"/>
  <c r="N139"/>
  <c r="R139"/>
  <c r="S139"/>
  <c r="C140"/>
  <c r="F140"/>
  <c r="I140"/>
  <c r="L140" s="1"/>
  <c r="M140"/>
  <c r="N140"/>
  <c r="R140"/>
  <c r="S140"/>
  <c r="C141"/>
  <c r="F141"/>
  <c r="I141"/>
  <c r="L141" s="1"/>
  <c r="M141"/>
  <c r="N141"/>
  <c r="R141"/>
  <c r="S141"/>
  <c r="C143"/>
  <c r="Q143" s="1"/>
  <c r="F143"/>
  <c r="I143"/>
  <c r="L143" s="1"/>
  <c r="M143"/>
  <c r="N143"/>
  <c r="R143"/>
  <c r="S143"/>
  <c r="C144"/>
  <c r="F144"/>
  <c r="I144"/>
  <c r="L144" s="1"/>
  <c r="M144"/>
  <c r="N144"/>
  <c r="R144"/>
  <c r="S144"/>
  <c r="C145"/>
  <c r="F145"/>
  <c r="I145"/>
  <c r="L145" s="1"/>
  <c r="M145"/>
  <c r="N145"/>
  <c r="R145"/>
  <c r="S145"/>
  <c r="C146"/>
  <c r="F146"/>
  <c r="I146"/>
  <c r="L146" s="1"/>
  <c r="M146"/>
  <c r="N146"/>
  <c r="R146"/>
  <c r="S146"/>
  <c r="E147"/>
  <c r="C147" s="1"/>
  <c r="F147"/>
  <c r="I147"/>
  <c r="L147" s="1"/>
  <c r="M147"/>
  <c r="N147"/>
  <c r="R147"/>
  <c r="E148"/>
  <c r="C148" s="1"/>
  <c r="F148"/>
  <c r="I148"/>
  <c r="L148" s="1"/>
  <c r="M148"/>
  <c r="N148"/>
  <c r="R148"/>
  <c r="C149"/>
  <c r="F149"/>
  <c r="I149"/>
  <c r="L149" s="1"/>
  <c r="M149"/>
  <c r="N149"/>
  <c r="R149"/>
  <c r="S149"/>
  <c r="C150"/>
  <c r="F150"/>
  <c r="I150"/>
  <c r="L150" s="1"/>
  <c r="M150"/>
  <c r="N150"/>
  <c r="R150"/>
  <c r="S150"/>
  <c r="C151"/>
  <c r="F151"/>
  <c r="I151"/>
  <c r="R151"/>
  <c r="S151"/>
  <c r="C152"/>
  <c r="F152"/>
  <c r="I152"/>
  <c r="R152"/>
  <c r="S152"/>
  <c r="C153"/>
  <c r="F153"/>
  <c r="I153"/>
  <c r="R153"/>
  <c r="S153"/>
  <c r="C154"/>
  <c r="F154"/>
  <c r="I154"/>
  <c r="R154"/>
  <c r="S154"/>
  <c r="C155"/>
  <c r="F155"/>
  <c r="I155"/>
  <c r="R155"/>
  <c r="S155"/>
  <c r="C156"/>
  <c r="F156"/>
  <c r="I156"/>
  <c r="R156"/>
  <c r="S156"/>
  <c r="D157"/>
  <c r="E157"/>
  <c r="F157"/>
  <c r="I157"/>
  <c r="L157" s="1"/>
  <c r="M157"/>
  <c r="N157"/>
  <c r="D158"/>
  <c r="R158" s="1"/>
  <c r="E158"/>
  <c r="F158"/>
  <c r="I158"/>
  <c r="M158"/>
  <c r="N158"/>
  <c r="D159"/>
  <c r="E159"/>
  <c r="S159" s="1"/>
  <c r="F159"/>
  <c r="I159"/>
  <c r="M159"/>
  <c r="N159"/>
  <c r="D160"/>
  <c r="R160" s="1"/>
  <c r="E160"/>
  <c r="F160"/>
  <c r="I160"/>
  <c r="L160" s="1"/>
  <c r="M160"/>
  <c r="N160"/>
  <c r="D161"/>
  <c r="E161"/>
  <c r="F161"/>
  <c r="I161"/>
  <c r="L161" s="1"/>
  <c r="M161"/>
  <c r="N161"/>
  <c r="D162"/>
  <c r="E162"/>
  <c r="S162" s="1"/>
  <c r="F162"/>
  <c r="I162"/>
  <c r="L162" s="1"/>
  <c r="M162"/>
  <c r="N162"/>
  <c r="D163"/>
  <c r="E163"/>
  <c r="S163" s="1"/>
  <c r="F163"/>
  <c r="I163"/>
  <c r="L163" s="1"/>
  <c r="M163"/>
  <c r="N163"/>
  <c r="D164"/>
  <c r="E164"/>
  <c r="S164" s="1"/>
  <c r="F164"/>
  <c r="I164"/>
  <c r="L164" s="1"/>
  <c r="M164"/>
  <c r="N164"/>
  <c r="D165"/>
  <c r="R165" s="1"/>
  <c r="E165"/>
  <c r="S165" s="1"/>
  <c r="F165"/>
  <c r="I165"/>
  <c r="M165"/>
  <c r="N165"/>
  <c r="D166"/>
  <c r="R166" s="1"/>
  <c r="E166"/>
  <c r="F166"/>
  <c r="I166"/>
  <c r="L166" s="1"/>
  <c r="M166"/>
  <c r="N166"/>
  <c r="D167"/>
  <c r="R167" s="1"/>
  <c r="E167"/>
  <c r="F167"/>
  <c r="I167"/>
  <c r="M167"/>
  <c r="N167"/>
  <c r="D168"/>
  <c r="E168"/>
  <c r="S168" s="1"/>
  <c r="F168"/>
  <c r="I168"/>
  <c r="L168" s="1"/>
  <c r="M168"/>
  <c r="N168"/>
  <c r="D169"/>
  <c r="R169" s="1"/>
  <c r="E169"/>
  <c r="F169"/>
  <c r="I169"/>
  <c r="L169" s="1"/>
  <c r="M169"/>
  <c r="N169"/>
  <c r="G170"/>
  <c r="H170"/>
  <c r="J170"/>
  <c r="J142" s="1"/>
  <c r="J89" s="1"/>
  <c r="J88" s="1"/>
  <c r="K170"/>
  <c r="K142" s="1"/>
  <c r="D171"/>
  <c r="E171"/>
  <c r="S171" s="1"/>
  <c r="F171"/>
  <c r="I171"/>
  <c r="M171"/>
  <c r="N171"/>
  <c r="E172"/>
  <c r="C172" s="1"/>
  <c r="H172"/>
  <c r="H245" s="1"/>
  <c r="F172"/>
  <c r="I172"/>
  <c r="M172"/>
  <c r="R172"/>
  <c r="D173"/>
  <c r="E173"/>
  <c r="F173"/>
  <c r="I173"/>
  <c r="L173" s="1"/>
  <c r="M173"/>
  <c r="N173"/>
  <c r="D174"/>
  <c r="R174"/>
  <c r="E174"/>
  <c r="F174"/>
  <c r="I174"/>
  <c r="M174"/>
  <c r="N174"/>
  <c r="C175"/>
  <c r="F175"/>
  <c r="I175"/>
  <c r="L175" s="1"/>
  <c r="M175"/>
  <c r="N175"/>
  <c r="R175"/>
  <c r="S175"/>
  <c r="C176"/>
  <c r="F176"/>
  <c r="I176"/>
  <c r="L176" s="1"/>
  <c r="M176"/>
  <c r="N176"/>
  <c r="R176"/>
  <c r="S176"/>
  <c r="D177"/>
  <c r="E177"/>
  <c r="G177"/>
  <c r="H177"/>
  <c r="I177"/>
  <c r="L177" s="1"/>
  <c r="M177"/>
  <c r="N177"/>
  <c r="D178"/>
  <c r="E178"/>
  <c r="G178"/>
  <c r="H178"/>
  <c r="C179"/>
  <c r="F179"/>
  <c r="Q179" s="1"/>
  <c r="I179"/>
  <c r="L179" s="1"/>
  <c r="M179"/>
  <c r="N179"/>
  <c r="R179"/>
  <c r="S179"/>
  <c r="C180"/>
  <c r="F180"/>
  <c r="I180"/>
  <c r="L180" s="1"/>
  <c r="M180"/>
  <c r="N180"/>
  <c r="R180"/>
  <c r="S180"/>
  <c r="C181"/>
  <c r="F181"/>
  <c r="R181"/>
  <c r="S181"/>
  <c r="C182"/>
  <c r="F182"/>
  <c r="R182"/>
  <c r="S182"/>
  <c r="D183"/>
  <c r="E183"/>
  <c r="S183" s="1"/>
  <c r="F183"/>
  <c r="I183"/>
  <c r="M183"/>
  <c r="N183"/>
  <c r="D184"/>
  <c r="R184" s="1"/>
  <c r="E184"/>
  <c r="F184"/>
  <c r="I184"/>
  <c r="L184" s="1"/>
  <c r="M184"/>
  <c r="N184"/>
  <c r="C185"/>
  <c r="F185"/>
  <c r="I185"/>
  <c r="L185" s="1"/>
  <c r="M185"/>
  <c r="N185"/>
  <c r="R185"/>
  <c r="S185"/>
  <c r="C186"/>
  <c r="F186"/>
  <c r="I186"/>
  <c r="L186" s="1"/>
  <c r="M186"/>
  <c r="N186"/>
  <c r="R186"/>
  <c r="S186"/>
  <c r="C187"/>
  <c r="F187"/>
  <c r="I187"/>
  <c r="L187" s="1"/>
  <c r="M187"/>
  <c r="N187"/>
  <c r="R187"/>
  <c r="S187"/>
  <c r="C188"/>
  <c r="Q188" s="1"/>
  <c r="F188"/>
  <c r="I188"/>
  <c r="L188" s="1"/>
  <c r="M188"/>
  <c r="N188"/>
  <c r="R188"/>
  <c r="S188"/>
  <c r="C189"/>
  <c r="F189"/>
  <c r="I189"/>
  <c r="L189" s="1"/>
  <c r="M189"/>
  <c r="N189"/>
  <c r="R189"/>
  <c r="S189"/>
  <c r="C190"/>
  <c r="F190"/>
  <c r="I190"/>
  <c r="L190" s="1"/>
  <c r="M190"/>
  <c r="N190"/>
  <c r="R190"/>
  <c r="S190"/>
  <c r="C191"/>
  <c r="F191"/>
  <c r="I191"/>
  <c r="L191" s="1"/>
  <c r="M191"/>
  <c r="N191"/>
  <c r="R191"/>
  <c r="S191"/>
  <c r="C192"/>
  <c r="F192"/>
  <c r="I192"/>
  <c r="M192"/>
  <c r="N192"/>
  <c r="R192"/>
  <c r="S192"/>
  <c r="C193"/>
  <c r="F193"/>
  <c r="I193"/>
  <c r="L193"/>
  <c r="M193"/>
  <c r="N193"/>
  <c r="R193"/>
  <c r="S193"/>
  <c r="D194"/>
  <c r="R194" s="1"/>
  <c r="E194"/>
  <c r="F194"/>
  <c r="I194"/>
  <c r="L194" s="1"/>
  <c r="M194"/>
  <c r="N194"/>
  <c r="C195"/>
  <c r="F195"/>
  <c r="I195"/>
  <c r="L195" s="1"/>
  <c r="M195"/>
  <c r="N195"/>
  <c r="R195"/>
  <c r="S195"/>
  <c r="C196"/>
  <c r="F196"/>
  <c r="I196"/>
  <c r="L196" s="1"/>
  <c r="M196"/>
  <c r="N196"/>
  <c r="R196"/>
  <c r="S196"/>
  <c r="D197"/>
  <c r="R197" s="1"/>
  <c r="E197"/>
  <c r="F197"/>
  <c r="I197"/>
  <c r="M197"/>
  <c r="N197"/>
  <c r="D200"/>
  <c r="E200"/>
  <c r="G200"/>
  <c r="H200"/>
  <c r="J200"/>
  <c r="K200"/>
  <c r="N200" s="1"/>
  <c r="C201"/>
  <c r="F201"/>
  <c r="I201"/>
  <c r="L201" s="1"/>
  <c r="M201"/>
  <c r="N201"/>
  <c r="C202"/>
  <c r="F202"/>
  <c r="I202"/>
  <c r="L202" s="1"/>
  <c r="M202"/>
  <c r="N202"/>
  <c r="C203"/>
  <c r="F203"/>
  <c r="I203"/>
  <c r="L203" s="1"/>
  <c r="M203"/>
  <c r="N203"/>
  <c r="C204"/>
  <c r="F204"/>
  <c r="I204"/>
  <c r="L204" s="1"/>
  <c r="M204"/>
  <c r="N204"/>
  <c r="C205"/>
  <c r="F205"/>
  <c r="I205"/>
  <c r="L205" s="1"/>
  <c r="M205"/>
  <c r="N205"/>
  <c r="C206"/>
  <c r="F206"/>
  <c r="I206"/>
  <c r="L206" s="1"/>
  <c r="M206"/>
  <c r="N206"/>
  <c r="C207"/>
  <c r="F207"/>
  <c r="I207"/>
  <c r="L207" s="1"/>
  <c r="M207"/>
  <c r="N207"/>
  <c r="C208"/>
  <c r="F208"/>
  <c r="I208"/>
  <c r="L208" s="1"/>
  <c r="M208"/>
  <c r="N208"/>
  <c r="C209"/>
  <c r="F209"/>
  <c r="I209"/>
  <c r="L209" s="1"/>
  <c r="M209"/>
  <c r="N209"/>
  <c r="C210"/>
  <c r="F210"/>
  <c r="I210"/>
  <c r="L210" s="1"/>
  <c r="M210"/>
  <c r="N210"/>
  <c r="C211"/>
  <c r="F211"/>
  <c r="I211"/>
  <c r="L211" s="1"/>
  <c r="M211"/>
  <c r="N211"/>
  <c r="D212"/>
  <c r="E212"/>
  <c r="G212"/>
  <c r="H212"/>
  <c r="J212"/>
  <c r="M212" s="1"/>
  <c r="K212"/>
  <c r="C213"/>
  <c r="F213"/>
  <c r="I213"/>
  <c r="L213" s="1"/>
  <c r="M213"/>
  <c r="N213"/>
  <c r="R213"/>
  <c r="S213"/>
  <c r="D214"/>
  <c r="E214"/>
  <c r="G214"/>
  <c r="H214"/>
  <c r="J214"/>
  <c r="M214" s="1"/>
  <c r="K214"/>
  <c r="C215"/>
  <c r="F215"/>
  <c r="I215"/>
  <c r="L215" s="1"/>
  <c r="M215"/>
  <c r="N215"/>
  <c r="R215"/>
  <c r="S215"/>
  <c r="D216"/>
  <c r="E216"/>
  <c r="G216"/>
  <c r="H216"/>
  <c r="J216"/>
  <c r="K216"/>
  <c r="C217"/>
  <c r="F217"/>
  <c r="I217"/>
  <c r="L217" s="1"/>
  <c r="M217"/>
  <c r="N217"/>
  <c r="D220"/>
  <c r="E220"/>
  <c r="J220"/>
  <c r="K220"/>
  <c r="C221"/>
  <c r="F221"/>
  <c r="I221"/>
  <c r="L221" s="1"/>
  <c r="M221"/>
  <c r="N221"/>
  <c r="C222"/>
  <c r="G222"/>
  <c r="R222" s="1"/>
  <c r="H222"/>
  <c r="N222" s="1"/>
  <c r="I222"/>
  <c r="C223"/>
  <c r="F223"/>
  <c r="I223"/>
  <c r="M223"/>
  <c r="M245" s="1"/>
  <c r="N223"/>
  <c r="N245" s="1"/>
  <c r="R223"/>
  <c r="S223"/>
  <c r="C224"/>
  <c r="G224"/>
  <c r="H224"/>
  <c r="I224"/>
  <c r="L224" s="1"/>
  <c r="M224"/>
  <c r="M246" s="1"/>
  <c r="N224"/>
  <c r="C225"/>
  <c r="G225"/>
  <c r="H225"/>
  <c r="S225" s="1"/>
  <c r="I225"/>
  <c r="L225"/>
  <c r="M225"/>
  <c r="M247" s="1"/>
  <c r="N225"/>
  <c r="C226"/>
  <c r="G226"/>
  <c r="R226" s="1"/>
  <c r="H226"/>
  <c r="S226" s="1"/>
  <c r="I226"/>
  <c r="L226" s="1"/>
  <c r="M226"/>
  <c r="N226"/>
  <c r="C227"/>
  <c r="G227"/>
  <c r="H227"/>
  <c r="N227" s="1"/>
  <c r="I227"/>
  <c r="C228"/>
  <c r="G228"/>
  <c r="M228" s="1"/>
  <c r="H228"/>
  <c r="I228"/>
  <c r="C229"/>
  <c r="G229"/>
  <c r="H229"/>
  <c r="N229" s="1"/>
  <c r="I229"/>
  <c r="C230"/>
  <c r="G230"/>
  <c r="M230"/>
  <c r="H230"/>
  <c r="I230"/>
  <c r="C231"/>
  <c r="G231"/>
  <c r="R231" s="1"/>
  <c r="H231"/>
  <c r="I231"/>
  <c r="L231" s="1"/>
  <c r="M231"/>
  <c r="N231"/>
  <c r="C232"/>
  <c r="G232"/>
  <c r="H232"/>
  <c r="S232" s="1"/>
  <c r="I232"/>
  <c r="L232" s="1"/>
  <c r="M232"/>
  <c r="N232"/>
  <c r="D233"/>
  <c r="E233"/>
  <c r="G233"/>
  <c r="H233"/>
  <c r="J233"/>
  <c r="K233"/>
  <c r="C234"/>
  <c r="F234"/>
  <c r="I234"/>
  <c r="L234" s="1"/>
  <c r="M234"/>
  <c r="N234"/>
  <c r="R234"/>
  <c r="S234"/>
  <c r="D235"/>
  <c r="E235"/>
  <c r="G235"/>
  <c r="H235"/>
  <c r="J235"/>
  <c r="I235" s="1"/>
  <c r="K235"/>
  <c r="C236"/>
  <c r="F236"/>
  <c r="I236"/>
  <c r="L236" s="1"/>
  <c r="M236"/>
  <c r="N236"/>
  <c r="R236"/>
  <c r="S236"/>
  <c r="C237"/>
  <c r="F237"/>
  <c r="I237"/>
  <c r="C238"/>
  <c r="Q238" s="1"/>
  <c r="F238"/>
  <c r="I238"/>
  <c r="M238"/>
  <c r="N238"/>
  <c r="R238"/>
  <c r="S238"/>
  <c r="C239"/>
  <c r="F239"/>
  <c r="I239"/>
  <c r="M239"/>
  <c r="N239"/>
  <c r="R239"/>
  <c r="S239"/>
  <c r="Q240"/>
  <c r="R240"/>
  <c r="S240"/>
  <c r="D241"/>
  <c r="E241"/>
  <c r="H241"/>
  <c r="J241"/>
  <c r="K241"/>
  <c r="J242"/>
  <c r="K242"/>
  <c r="D245"/>
  <c r="G245"/>
  <c r="J245"/>
  <c r="K245"/>
  <c r="D246"/>
  <c r="E246"/>
  <c r="G246"/>
  <c r="H246"/>
  <c r="J246"/>
  <c r="K246"/>
  <c r="C4" i="40"/>
  <c r="Q15"/>
  <c r="R15"/>
  <c r="S15"/>
  <c r="C18"/>
  <c r="F18"/>
  <c r="I18"/>
  <c r="L18" s="1"/>
  <c r="M18"/>
  <c r="N18"/>
  <c r="R18"/>
  <c r="S18"/>
  <c r="C19"/>
  <c r="F19"/>
  <c r="I19"/>
  <c r="L19" s="1"/>
  <c r="M19"/>
  <c r="N19"/>
  <c r="R19"/>
  <c r="R256" s="1"/>
  <c r="S19"/>
  <c r="S256"/>
  <c r="C20"/>
  <c r="F20"/>
  <c r="I20"/>
  <c r="M20"/>
  <c r="N20"/>
  <c r="R20"/>
  <c r="S20"/>
  <c r="C21"/>
  <c r="F21"/>
  <c r="I21"/>
  <c r="L21" s="1"/>
  <c r="M21"/>
  <c r="N21"/>
  <c r="R21"/>
  <c r="S21"/>
  <c r="D22"/>
  <c r="E22"/>
  <c r="G22"/>
  <c r="H22"/>
  <c r="J22"/>
  <c r="K22"/>
  <c r="N22" s="1"/>
  <c r="C23"/>
  <c r="F23"/>
  <c r="I23"/>
  <c r="L23" s="1"/>
  <c r="M23"/>
  <c r="N23"/>
  <c r="C24"/>
  <c r="F24"/>
  <c r="I24"/>
  <c r="L24" s="1"/>
  <c r="M24"/>
  <c r="N24"/>
  <c r="R24"/>
  <c r="S24"/>
  <c r="D25"/>
  <c r="E25"/>
  <c r="G25"/>
  <c r="H25"/>
  <c r="J25"/>
  <c r="K25"/>
  <c r="N25" s="1"/>
  <c r="C26"/>
  <c r="F26"/>
  <c r="Q26" s="1"/>
  <c r="I26"/>
  <c r="L26" s="1"/>
  <c r="M26"/>
  <c r="N26"/>
  <c r="R26"/>
  <c r="S26"/>
  <c r="D27"/>
  <c r="E27"/>
  <c r="G27"/>
  <c r="H27"/>
  <c r="J27"/>
  <c r="K27"/>
  <c r="N27" s="1"/>
  <c r="C28"/>
  <c r="F28"/>
  <c r="I28"/>
  <c r="L28"/>
  <c r="M28"/>
  <c r="N28"/>
  <c r="R28"/>
  <c r="S28"/>
  <c r="C29"/>
  <c r="F29"/>
  <c r="I29"/>
  <c r="L29" s="1"/>
  <c r="M29"/>
  <c r="N29"/>
  <c r="R29"/>
  <c r="S29"/>
  <c r="D30"/>
  <c r="E30"/>
  <c r="G30"/>
  <c r="H30"/>
  <c r="J30"/>
  <c r="K30"/>
  <c r="N30" s="1"/>
  <c r="C31"/>
  <c r="F31"/>
  <c r="I31"/>
  <c r="L31" s="1"/>
  <c r="M31"/>
  <c r="N31"/>
  <c r="R31"/>
  <c r="S31"/>
  <c r="C32"/>
  <c r="F32"/>
  <c r="I32"/>
  <c r="L32" s="1"/>
  <c r="M32"/>
  <c r="N32"/>
  <c r="R32"/>
  <c r="S32"/>
  <c r="D33"/>
  <c r="E33"/>
  <c r="G33"/>
  <c r="H33"/>
  <c r="J33"/>
  <c r="K33"/>
  <c r="N33"/>
  <c r="C34"/>
  <c r="F34"/>
  <c r="I34"/>
  <c r="L34" s="1"/>
  <c r="M34"/>
  <c r="N34"/>
  <c r="R34"/>
  <c r="S34"/>
  <c r="D35"/>
  <c r="E35"/>
  <c r="G35"/>
  <c r="H35"/>
  <c r="J35"/>
  <c r="K35"/>
  <c r="C36"/>
  <c r="F36"/>
  <c r="I36"/>
  <c r="L36" s="1"/>
  <c r="M36"/>
  <c r="N36"/>
  <c r="R36"/>
  <c r="S36"/>
  <c r="C37"/>
  <c r="F37"/>
  <c r="I37"/>
  <c r="L37" s="1"/>
  <c r="M37"/>
  <c r="N37"/>
  <c r="C38"/>
  <c r="F38"/>
  <c r="I38"/>
  <c r="L38" s="1"/>
  <c r="M38"/>
  <c r="N38"/>
  <c r="R38"/>
  <c r="S38"/>
  <c r="C39"/>
  <c r="F39"/>
  <c r="R39"/>
  <c r="S39"/>
  <c r="D40"/>
  <c r="E40"/>
  <c r="G40"/>
  <c r="H40"/>
  <c r="J40"/>
  <c r="M40" s="1"/>
  <c r="K40"/>
  <c r="C41"/>
  <c r="F41"/>
  <c r="I41"/>
  <c r="L41" s="1"/>
  <c r="M41"/>
  <c r="N41"/>
  <c r="C42"/>
  <c r="F42"/>
  <c r="I42"/>
  <c r="L42" s="1"/>
  <c r="M42"/>
  <c r="N42"/>
  <c r="R42"/>
  <c r="S42"/>
  <c r="C43"/>
  <c r="F43"/>
  <c r="I43"/>
  <c r="L43" s="1"/>
  <c r="M43"/>
  <c r="N43"/>
  <c r="R43"/>
  <c r="S43"/>
  <c r="D44"/>
  <c r="E44"/>
  <c r="G44"/>
  <c r="H44"/>
  <c r="J44"/>
  <c r="K44"/>
  <c r="C45"/>
  <c r="F45"/>
  <c r="I45"/>
  <c r="L45" s="1"/>
  <c r="M45"/>
  <c r="N45"/>
  <c r="C46"/>
  <c r="F46"/>
  <c r="I46"/>
  <c r="M46"/>
  <c r="N46"/>
  <c r="R46"/>
  <c r="S46"/>
  <c r="D47"/>
  <c r="E47"/>
  <c r="G47"/>
  <c r="H47"/>
  <c r="J47"/>
  <c r="K47"/>
  <c r="C48"/>
  <c r="F48"/>
  <c r="I48"/>
  <c r="L48" s="1"/>
  <c r="M48"/>
  <c r="N48"/>
  <c r="R48"/>
  <c r="S48"/>
  <c r="D49"/>
  <c r="E49"/>
  <c r="G49"/>
  <c r="H49"/>
  <c r="S49" s="1"/>
  <c r="J49"/>
  <c r="M49"/>
  <c r="K49"/>
  <c r="C50"/>
  <c r="F50"/>
  <c r="I50"/>
  <c r="L50" s="1"/>
  <c r="M50"/>
  <c r="N50"/>
  <c r="C51"/>
  <c r="F51"/>
  <c r="I51"/>
  <c r="L51" s="1"/>
  <c r="M51"/>
  <c r="N51"/>
  <c r="R51"/>
  <c r="S51"/>
  <c r="C52"/>
  <c r="F52"/>
  <c r="I52"/>
  <c r="L52" s="1"/>
  <c r="M52"/>
  <c r="N52"/>
  <c r="R52"/>
  <c r="S52"/>
  <c r="D53"/>
  <c r="E53"/>
  <c r="G53"/>
  <c r="H53"/>
  <c r="J53"/>
  <c r="M53" s="1"/>
  <c r="K53"/>
  <c r="N53" s="1"/>
  <c r="C54"/>
  <c r="F54"/>
  <c r="I54"/>
  <c r="L54" s="1"/>
  <c r="M54"/>
  <c r="N54"/>
  <c r="R54"/>
  <c r="S54"/>
  <c r="C55"/>
  <c r="F55"/>
  <c r="I55"/>
  <c r="L55" s="1"/>
  <c r="M55"/>
  <c r="N55"/>
  <c r="R55"/>
  <c r="S55"/>
  <c r="D56"/>
  <c r="E56"/>
  <c r="G56"/>
  <c r="R56" s="1"/>
  <c r="H56"/>
  <c r="J56"/>
  <c r="K56"/>
  <c r="C57"/>
  <c r="F57"/>
  <c r="I57"/>
  <c r="L57"/>
  <c r="M57"/>
  <c r="N57"/>
  <c r="R57"/>
  <c r="S57"/>
  <c r="D58"/>
  <c r="E58"/>
  <c r="G58"/>
  <c r="H58"/>
  <c r="J58"/>
  <c r="M58" s="1"/>
  <c r="K58"/>
  <c r="C59"/>
  <c r="F59"/>
  <c r="I59"/>
  <c r="L59" s="1"/>
  <c r="M59"/>
  <c r="N59"/>
  <c r="R59"/>
  <c r="S59"/>
  <c r="D60"/>
  <c r="E60"/>
  <c r="G60"/>
  <c r="H60"/>
  <c r="J60"/>
  <c r="I60" s="1"/>
  <c r="L60" s="1"/>
  <c r="K60"/>
  <c r="C61"/>
  <c r="F61"/>
  <c r="I61"/>
  <c r="L61" s="1"/>
  <c r="M61"/>
  <c r="N61"/>
  <c r="R61"/>
  <c r="S61"/>
  <c r="D62"/>
  <c r="E62"/>
  <c r="G62"/>
  <c r="H62"/>
  <c r="J62"/>
  <c r="M62" s="1"/>
  <c r="K62"/>
  <c r="C63"/>
  <c r="F63"/>
  <c r="L63"/>
  <c r="M63"/>
  <c r="N63"/>
  <c r="R63"/>
  <c r="S63"/>
  <c r="D64"/>
  <c r="E64"/>
  <c r="G64"/>
  <c r="H64"/>
  <c r="J64"/>
  <c r="K64"/>
  <c r="N64" s="1"/>
  <c r="C65"/>
  <c r="F65"/>
  <c r="I65"/>
  <c r="L65" s="1"/>
  <c r="M65"/>
  <c r="N65"/>
  <c r="R65"/>
  <c r="S65"/>
  <c r="C66"/>
  <c r="F66"/>
  <c r="R66"/>
  <c r="S66"/>
  <c r="C67"/>
  <c r="F67"/>
  <c r="R67"/>
  <c r="S67"/>
  <c r="C68"/>
  <c r="F68"/>
  <c r="R68"/>
  <c r="S68"/>
  <c r="C69"/>
  <c r="F69"/>
  <c r="R69"/>
  <c r="S69"/>
  <c r="J71"/>
  <c r="K71"/>
  <c r="D72"/>
  <c r="E72"/>
  <c r="I72"/>
  <c r="D73"/>
  <c r="E73"/>
  <c r="I73"/>
  <c r="J74"/>
  <c r="K74"/>
  <c r="N74" s="1"/>
  <c r="D75"/>
  <c r="G75" s="1"/>
  <c r="E75"/>
  <c r="I75"/>
  <c r="L75" s="1"/>
  <c r="M75"/>
  <c r="N75"/>
  <c r="D76"/>
  <c r="E76"/>
  <c r="I76"/>
  <c r="L76" s="1"/>
  <c r="M76"/>
  <c r="N76"/>
  <c r="D77"/>
  <c r="E77"/>
  <c r="J77"/>
  <c r="K77"/>
  <c r="C78"/>
  <c r="G78"/>
  <c r="M78" s="1"/>
  <c r="H78"/>
  <c r="I78"/>
  <c r="D79"/>
  <c r="E79"/>
  <c r="J79"/>
  <c r="K79"/>
  <c r="C80"/>
  <c r="G80"/>
  <c r="H80"/>
  <c r="I80"/>
  <c r="J81"/>
  <c r="K81"/>
  <c r="D82"/>
  <c r="E82"/>
  <c r="H82" s="1"/>
  <c r="I82"/>
  <c r="J83"/>
  <c r="K83"/>
  <c r="D84"/>
  <c r="E84"/>
  <c r="I84"/>
  <c r="D85"/>
  <c r="E85"/>
  <c r="C85" s="1"/>
  <c r="I85"/>
  <c r="L85" s="1"/>
  <c r="M85"/>
  <c r="N85"/>
  <c r="J86"/>
  <c r="K86"/>
  <c r="D87"/>
  <c r="E87"/>
  <c r="H87" s="1"/>
  <c r="N87" s="1"/>
  <c r="I87"/>
  <c r="C90"/>
  <c r="G90"/>
  <c r="I90"/>
  <c r="M90"/>
  <c r="N90"/>
  <c r="S90"/>
  <c r="C91"/>
  <c r="F91"/>
  <c r="I91"/>
  <c r="M91"/>
  <c r="N91"/>
  <c r="R91"/>
  <c r="S91"/>
  <c r="C92"/>
  <c r="F92"/>
  <c r="I92"/>
  <c r="M92"/>
  <c r="N92"/>
  <c r="R92"/>
  <c r="S92"/>
  <c r="C93"/>
  <c r="F93"/>
  <c r="I93"/>
  <c r="M93"/>
  <c r="N93"/>
  <c r="R93"/>
  <c r="S93"/>
  <c r="C94"/>
  <c r="F94"/>
  <c r="I94"/>
  <c r="M94"/>
  <c r="N94"/>
  <c r="R94"/>
  <c r="S94"/>
  <c r="C95"/>
  <c r="F95"/>
  <c r="I95"/>
  <c r="M95"/>
  <c r="N95"/>
  <c r="R95"/>
  <c r="S95"/>
  <c r="C96"/>
  <c r="F96"/>
  <c r="I96"/>
  <c r="M96"/>
  <c r="N96"/>
  <c r="R96"/>
  <c r="S96"/>
  <c r="C97"/>
  <c r="F97"/>
  <c r="I97"/>
  <c r="M97"/>
  <c r="N97"/>
  <c r="R97"/>
  <c r="S97"/>
  <c r="C98"/>
  <c r="F98"/>
  <c r="I98"/>
  <c r="M98"/>
  <c r="N98"/>
  <c r="R98"/>
  <c r="S98"/>
  <c r="C99"/>
  <c r="F99"/>
  <c r="I99"/>
  <c r="M99"/>
  <c r="N99"/>
  <c r="R99"/>
  <c r="S99"/>
  <c r="D100"/>
  <c r="E100"/>
  <c r="G100"/>
  <c r="H100"/>
  <c r="I100"/>
  <c r="L100" s="1"/>
  <c r="M100"/>
  <c r="N100"/>
  <c r="D101"/>
  <c r="E101"/>
  <c r="G101"/>
  <c r="H101"/>
  <c r="D102"/>
  <c r="E102"/>
  <c r="F102"/>
  <c r="I102"/>
  <c r="M102"/>
  <c r="N102"/>
  <c r="C103"/>
  <c r="F103"/>
  <c r="I103"/>
  <c r="M103"/>
  <c r="N103"/>
  <c r="R103"/>
  <c r="S103"/>
  <c r="C104"/>
  <c r="F104"/>
  <c r="I104"/>
  <c r="L104" s="1"/>
  <c r="M104"/>
  <c r="N104"/>
  <c r="R104"/>
  <c r="S104"/>
  <c r="C105"/>
  <c r="F105"/>
  <c r="I105"/>
  <c r="L105" s="1"/>
  <c r="M105"/>
  <c r="N105"/>
  <c r="R105"/>
  <c r="S105"/>
  <c r="C106"/>
  <c r="F106"/>
  <c r="I106"/>
  <c r="L106" s="1"/>
  <c r="M106"/>
  <c r="N106"/>
  <c r="R106"/>
  <c r="S106"/>
  <c r="C107"/>
  <c r="F107"/>
  <c r="I107"/>
  <c r="L107" s="1"/>
  <c r="M107"/>
  <c r="N107"/>
  <c r="R107"/>
  <c r="S107"/>
  <c r="C108"/>
  <c r="F108"/>
  <c r="I108"/>
  <c r="L108" s="1"/>
  <c r="M108"/>
  <c r="N108"/>
  <c r="R108"/>
  <c r="S108"/>
  <c r="C109"/>
  <c r="F109"/>
  <c r="I109"/>
  <c r="L109" s="1"/>
  <c r="M109"/>
  <c r="N109"/>
  <c r="R109"/>
  <c r="S109"/>
  <c r="C110"/>
  <c r="F110"/>
  <c r="I110"/>
  <c r="L110" s="1"/>
  <c r="M110"/>
  <c r="N110"/>
  <c r="R110"/>
  <c r="S110"/>
  <c r="C111"/>
  <c r="F111"/>
  <c r="Q111" s="1"/>
  <c r="I111"/>
  <c r="M111"/>
  <c r="N111"/>
  <c r="R111"/>
  <c r="S111"/>
  <c r="C112"/>
  <c r="F112"/>
  <c r="I112"/>
  <c r="L112" s="1"/>
  <c r="M112"/>
  <c r="N112"/>
  <c r="R112"/>
  <c r="S112"/>
  <c r="C113"/>
  <c r="F113"/>
  <c r="I113"/>
  <c r="L113" s="1"/>
  <c r="M113"/>
  <c r="N113"/>
  <c r="R113"/>
  <c r="S113"/>
  <c r="C114"/>
  <c r="F114"/>
  <c r="I114"/>
  <c r="L114" s="1"/>
  <c r="M114"/>
  <c r="N114"/>
  <c r="R114"/>
  <c r="S114"/>
  <c r="C115"/>
  <c r="F115"/>
  <c r="I115"/>
  <c r="L115" s="1"/>
  <c r="M115"/>
  <c r="N115"/>
  <c r="R115"/>
  <c r="S115"/>
  <c r="C116"/>
  <c r="F116"/>
  <c r="Q116" s="1"/>
  <c r="I116"/>
  <c r="L116" s="1"/>
  <c r="M116"/>
  <c r="N116"/>
  <c r="R116"/>
  <c r="S116"/>
  <c r="C117"/>
  <c r="F117"/>
  <c r="I117"/>
  <c r="L117" s="1"/>
  <c r="M117"/>
  <c r="N117"/>
  <c r="R117"/>
  <c r="S117"/>
  <c r="C118"/>
  <c r="F118"/>
  <c r="I118"/>
  <c r="L118" s="1"/>
  <c r="M118"/>
  <c r="N118"/>
  <c r="R118"/>
  <c r="S118"/>
  <c r="C119"/>
  <c r="F119"/>
  <c r="I119"/>
  <c r="L119" s="1"/>
  <c r="M119"/>
  <c r="N119"/>
  <c r="R119"/>
  <c r="S119"/>
  <c r="C120"/>
  <c r="F120"/>
  <c r="I120"/>
  <c r="L120" s="1"/>
  <c r="M120"/>
  <c r="N120"/>
  <c r="R120"/>
  <c r="S120"/>
  <c r="C121"/>
  <c r="F121"/>
  <c r="I121"/>
  <c r="L121" s="1"/>
  <c r="M121"/>
  <c r="N121"/>
  <c r="R121"/>
  <c r="S121"/>
  <c r="C122"/>
  <c r="F122"/>
  <c r="I122"/>
  <c r="L122" s="1"/>
  <c r="M122"/>
  <c r="N122"/>
  <c r="R122"/>
  <c r="S122"/>
  <c r="C123"/>
  <c r="F123"/>
  <c r="I123"/>
  <c r="L123" s="1"/>
  <c r="M123"/>
  <c r="N123"/>
  <c r="R123"/>
  <c r="S123"/>
  <c r="C124"/>
  <c r="F124"/>
  <c r="I124"/>
  <c r="L124" s="1"/>
  <c r="M124"/>
  <c r="N124"/>
  <c r="R124"/>
  <c r="S124"/>
  <c r="C125"/>
  <c r="F125"/>
  <c r="I125"/>
  <c r="M125"/>
  <c r="N125"/>
  <c r="C126"/>
  <c r="H126"/>
  <c r="I126"/>
  <c r="L126" s="1"/>
  <c r="M126"/>
  <c r="N126"/>
  <c r="R126"/>
  <c r="C127"/>
  <c r="H127"/>
  <c r="S127" s="1"/>
  <c r="I127"/>
  <c r="L127" s="1"/>
  <c r="M127"/>
  <c r="N127"/>
  <c r="R127"/>
  <c r="C128"/>
  <c r="H128"/>
  <c r="I128"/>
  <c r="L128" s="1"/>
  <c r="M128"/>
  <c r="N128"/>
  <c r="R128"/>
  <c r="C129"/>
  <c r="H129"/>
  <c r="I129"/>
  <c r="L129"/>
  <c r="M129"/>
  <c r="N129"/>
  <c r="R129"/>
  <c r="C130"/>
  <c r="H130"/>
  <c r="S130" s="1"/>
  <c r="I130"/>
  <c r="L130" s="1"/>
  <c r="M130"/>
  <c r="N130"/>
  <c r="R130"/>
  <c r="C131"/>
  <c r="H131"/>
  <c r="S131" s="1"/>
  <c r="I131"/>
  <c r="L131" s="1"/>
  <c r="M131"/>
  <c r="N131"/>
  <c r="R131"/>
  <c r="C132"/>
  <c r="H132"/>
  <c r="I132"/>
  <c r="L132" s="1"/>
  <c r="M132"/>
  <c r="N132"/>
  <c r="R132"/>
  <c r="C133"/>
  <c r="H133"/>
  <c r="I133"/>
  <c r="L133" s="1"/>
  <c r="M133"/>
  <c r="N133"/>
  <c r="R133"/>
  <c r="C134"/>
  <c r="H134"/>
  <c r="I134"/>
  <c r="L134" s="1"/>
  <c r="M134"/>
  <c r="N134"/>
  <c r="R134"/>
  <c r="C135"/>
  <c r="H135"/>
  <c r="I135"/>
  <c r="L135" s="1"/>
  <c r="M135"/>
  <c r="N135"/>
  <c r="R135"/>
  <c r="C136"/>
  <c r="H136"/>
  <c r="S136" s="1"/>
  <c r="I136"/>
  <c r="L136" s="1"/>
  <c r="M136"/>
  <c r="N136"/>
  <c r="R136"/>
  <c r="C137"/>
  <c r="H137"/>
  <c r="I137"/>
  <c r="L137" s="1"/>
  <c r="M137"/>
  <c r="N137"/>
  <c r="R137"/>
  <c r="C138"/>
  <c r="H138"/>
  <c r="I138"/>
  <c r="L138" s="1"/>
  <c r="M138"/>
  <c r="N138"/>
  <c r="R138"/>
  <c r="C139"/>
  <c r="H139"/>
  <c r="I139"/>
  <c r="L139" s="1"/>
  <c r="M139"/>
  <c r="N139"/>
  <c r="R139"/>
  <c r="C140"/>
  <c r="H140"/>
  <c r="F140" s="1"/>
  <c r="I140"/>
  <c r="L140" s="1"/>
  <c r="M140"/>
  <c r="N140"/>
  <c r="C141"/>
  <c r="H141"/>
  <c r="F141" s="1"/>
  <c r="I141"/>
  <c r="L141" s="1"/>
  <c r="M141"/>
  <c r="N141"/>
  <c r="R141"/>
  <c r="C142"/>
  <c r="H142"/>
  <c r="I142"/>
  <c r="L142" s="1"/>
  <c r="M142"/>
  <c r="N142"/>
  <c r="R142"/>
  <c r="C143"/>
  <c r="F143"/>
  <c r="I143"/>
  <c r="L143" s="1"/>
  <c r="M143"/>
  <c r="N143"/>
  <c r="J144"/>
  <c r="J89" s="1"/>
  <c r="J88" s="1"/>
  <c r="K144"/>
  <c r="C145"/>
  <c r="G145"/>
  <c r="H145"/>
  <c r="I145"/>
  <c r="M145"/>
  <c r="C146"/>
  <c r="G146"/>
  <c r="H146"/>
  <c r="I146"/>
  <c r="L146" s="1"/>
  <c r="M146"/>
  <c r="N146"/>
  <c r="C147"/>
  <c r="G147"/>
  <c r="R147" s="1"/>
  <c r="H147"/>
  <c r="I147"/>
  <c r="L147" s="1"/>
  <c r="M147"/>
  <c r="N147"/>
  <c r="C148"/>
  <c r="G148"/>
  <c r="H148"/>
  <c r="I148"/>
  <c r="M148"/>
  <c r="R148"/>
  <c r="E149"/>
  <c r="C149" s="1"/>
  <c r="G149"/>
  <c r="R149" s="1"/>
  <c r="I149"/>
  <c r="L149" s="1"/>
  <c r="M149"/>
  <c r="N149"/>
  <c r="E150"/>
  <c r="G150"/>
  <c r="R150" s="1"/>
  <c r="I150"/>
  <c r="L150" s="1"/>
  <c r="M150"/>
  <c r="N150"/>
  <c r="C151"/>
  <c r="G151"/>
  <c r="H151"/>
  <c r="I151"/>
  <c r="L151" s="1"/>
  <c r="M151"/>
  <c r="N151"/>
  <c r="C152"/>
  <c r="G152"/>
  <c r="R152" s="1"/>
  <c r="H152"/>
  <c r="I152"/>
  <c r="L152" s="1"/>
  <c r="M152"/>
  <c r="N152"/>
  <c r="C153"/>
  <c r="G153"/>
  <c r="H153"/>
  <c r="S153" s="1"/>
  <c r="I153"/>
  <c r="C154"/>
  <c r="G154"/>
  <c r="H154"/>
  <c r="S154" s="1"/>
  <c r="I154"/>
  <c r="C155"/>
  <c r="G155"/>
  <c r="H155"/>
  <c r="S155" s="1"/>
  <c r="I155"/>
  <c r="C156"/>
  <c r="G156"/>
  <c r="H156"/>
  <c r="S156" s="1"/>
  <c r="I156"/>
  <c r="C157"/>
  <c r="G157"/>
  <c r="H157"/>
  <c r="S157" s="1"/>
  <c r="I157"/>
  <c r="C158"/>
  <c r="G158"/>
  <c r="H158"/>
  <c r="S158" s="1"/>
  <c r="I158"/>
  <c r="C159"/>
  <c r="G159"/>
  <c r="R159" s="1"/>
  <c r="H159"/>
  <c r="S159" s="1"/>
  <c r="I159"/>
  <c r="M159"/>
  <c r="C160"/>
  <c r="G160"/>
  <c r="R160" s="1"/>
  <c r="H160"/>
  <c r="I160"/>
  <c r="M160"/>
  <c r="C161"/>
  <c r="G161"/>
  <c r="H161"/>
  <c r="I161"/>
  <c r="M161"/>
  <c r="D162"/>
  <c r="G162" s="1"/>
  <c r="E162"/>
  <c r="H162" s="1"/>
  <c r="I162"/>
  <c r="L162"/>
  <c r="M162"/>
  <c r="N162"/>
  <c r="D163"/>
  <c r="G163"/>
  <c r="M163" s="1"/>
  <c r="E163"/>
  <c r="C163" s="1"/>
  <c r="I163"/>
  <c r="D164"/>
  <c r="G164" s="1"/>
  <c r="E164"/>
  <c r="I164"/>
  <c r="D165"/>
  <c r="C165" s="1"/>
  <c r="E165"/>
  <c r="I165"/>
  <c r="L165" s="1"/>
  <c r="M165"/>
  <c r="N165"/>
  <c r="D166"/>
  <c r="E166"/>
  <c r="H166" s="1"/>
  <c r="I166"/>
  <c r="L166" s="1"/>
  <c r="M166"/>
  <c r="N166"/>
  <c r="D167"/>
  <c r="G167" s="1"/>
  <c r="R167" s="1"/>
  <c r="E167"/>
  <c r="I167"/>
  <c r="L167"/>
  <c r="M167"/>
  <c r="N167"/>
  <c r="D168"/>
  <c r="E168"/>
  <c r="H168" s="1"/>
  <c r="I168"/>
  <c r="L168" s="1"/>
  <c r="M168"/>
  <c r="N168"/>
  <c r="D169"/>
  <c r="G169" s="1"/>
  <c r="E169"/>
  <c r="H169" s="1"/>
  <c r="F169" s="1"/>
  <c r="Q169" s="1"/>
  <c r="I169"/>
  <c r="L169" s="1"/>
  <c r="M169"/>
  <c r="N169"/>
  <c r="D170"/>
  <c r="G170" s="1"/>
  <c r="M170" s="1"/>
  <c r="E170"/>
  <c r="H170" s="1"/>
  <c r="N170"/>
  <c r="I170"/>
  <c r="D171"/>
  <c r="G171" s="1"/>
  <c r="E171"/>
  <c r="I171"/>
  <c r="L171" s="1"/>
  <c r="M171"/>
  <c r="N171"/>
  <c r="D172"/>
  <c r="E172"/>
  <c r="I172"/>
  <c r="L172" s="1"/>
  <c r="M172"/>
  <c r="N172"/>
  <c r="D173"/>
  <c r="E173"/>
  <c r="I173"/>
  <c r="L173" s="1"/>
  <c r="M173"/>
  <c r="N173"/>
  <c r="D174"/>
  <c r="E174"/>
  <c r="H174" s="1"/>
  <c r="I174"/>
  <c r="L174" s="1"/>
  <c r="M174"/>
  <c r="N174"/>
  <c r="D175"/>
  <c r="G175" s="1"/>
  <c r="E175"/>
  <c r="I175"/>
  <c r="C176"/>
  <c r="G176"/>
  <c r="R176" s="1"/>
  <c r="H176"/>
  <c r="I176"/>
  <c r="M176"/>
  <c r="D177"/>
  <c r="E177"/>
  <c r="I177"/>
  <c r="D178"/>
  <c r="E178"/>
  <c r="I178"/>
  <c r="C179"/>
  <c r="G179"/>
  <c r="H179"/>
  <c r="S179" s="1"/>
  <c r="I179"/>
  <c r="L179" s="1"/>
  <c r="M179"/>
  <c r="N179"/>
  <c r="C180"/>
  <c r="G180"/>
  <c r="R180" s="1"/>
  <c r="H180"/>
  <c r="I180"/>
  <c r="L180" s="1"/>
  <c r="M180"/>
  <c r="N180"/>
  <c r="D181"/>
  <c r="G181" s="1"/>
  <c r="E181"/>
  <c r="I181"/>
  <c r="L181" s="1"/>
  <c r="M181"/>
  <c r="N181"/>
  <c r="D182"/>
  <c r="E182"/>
  <c r="H182" s="1"/>
  <c r="C183"/>
  <c r="G183"/>
  <c r="R183" s="1"/>
  <c r="H183"/>
  <c r="S183" s="1"/>
  <c r="I183"/>
  <c r="L183" s="1"/>
  <c r="M183"/>
  <c r="N183"/>
  <c r="C184"/>
  <c r="G184"/>
  <c r="H184"/>
  <c r="S184" s="1"/>
  <c r="I184"/>
  <c r="L184" s="1"/>
  <c r="M184"/>
  <c r="N184"/>
  <c r="C185"/>
  <c r="G185"/>
  <c r="H185"/>
  <c r="S185" s="1"/>
  <c r="C186"/>
  <c r="G186"/>
  <c r="R186" s="1"/>
  <c r="H186"/>
  <c r="D187"/>
  <c r="G187" s="1"/>
  <c r="M187" s="1"/>
  <c r="E187"/>
  <c r="H187" s="1"/>
  <c r="I187"/>
  <c r="D188"/>
  <c r="G188" s="1"/>
  <c r="E188"/>
  <c r="I188"/>
  <c r="L188" s="1"/>
  <c r="M188"/>
  <c r="N188"/>
  <c r="C189"/>
  <c r="G189"/>
  <c r="H189"/>
  <c r="I189"/>
  <c r="L189" s="1"/>
  <c r="M189"/>
  <c r="N189"/>
  <c r="C190"/>
  <c r="G190"/>
  <c r="R190" s="1"/>
  <c r="H190"/>
  <c r="I190"/>
  <c r="L190" s="1"/>
  <c r="M190"/>
  <c r="N190"/>
  <c r="C191"/>
  <c r="G191"/>
  <c r="H191"/>
  <c r="S191" s="1"/>
  <c r="I191"/>
  <c r="L191" s="1"/>
  <c r="M191"/>
  <c r="N191"/>
  <c r="C192"/>
  <c r="G192"/>
  <c r="R192" s="1"/>
  <c r="H192"/>
  <c r="N192" s="1"/>
  <c r="I192"/>
  <c r="M192"/>
  <c r="C193"/>
  <c r="G193"/>
  <c r="R193" s="1"/>
  <c r="H193"/>
  <c r="S193" s="1"/>
  <c r="I193"/>
  <c r="L193" s="1"/>
  <c r="M193"/>
  <c r="N193"/>
  <c r="C194"/>
  <c r="G194"/>
  <c r="H194"/>
  <c r="I194"/>
  <c r="L194" s="1"/>
  <c r="M194"/>
  <c r="N194"/>
  <c r="C195"/>
  <c r="G195"/>
  <c r="H195"/>
  <c r="S195" s="1"/>
  <c r="I195"/>
  <c r="L195" s="1"/>
  <c r="M195"/>
  <c r="N195"/>
  <c r="C196"/>
  <c r="G196"/>
  <c r="M196" s="1"/>
  <c r="H196"/>
  <c r="I196"/>
  <c r="C197"/>
  <c r="G197"/>
  <c r="H197"/>
  <c r="S197" s="1"/>
  <c r="I197"/>
  <c r="L197" s="1"/>
  <c r="M197"/>
  <c r="N197"/>
  <c r="D198"/>
  <c r="G198" s="1"/>
  <c r="E198"/>
  <c r="H198" s="1"/>
  <c r="I198"/>
  <c r="C199"/>
  <c r="G199"/>
  <c r="H199"/>
  <c r="S199" s="1"/>
  <c r="I199"/>
  <c r="L199" s="1"/>
  <c r="M199"/>
  <c r="N199"/>
  <c r="C200"/>
  <c r="G200"/>
  <c r="R200" s="1"/>
  <c r="H200"/>
  <c r="I200"/>
  <c r="L200" s="1"/>
  <c r="M200"/>
  <c r="N200"/>
  <c r="D201"/>
  <c r="E201"/>
  <c r="H201" s="1"/>
  <c r="N201" s="1"/>
  <c r="I201"/>
  <c r="D204"/>
  <c r="E204"/>
  <c r="G204"/>
  <c r="H204"/>
  <c r="J204"/>
  <c r="K204"/>
  <c r="N204" s="1"/>
  <c r="C205"/>
  <c r="F205"/>
  <c r="I205"/>
  <c r="L205" s="1"/>
  <c r="M205"/>
  <c r="N205"/>
  <c r="C206"/>
  <c r="F206"/>
  <c r="I206"/>
  <c r="L206" s="1"/>
  <c r="M206"/>
  <c r="N206"/>
  <c r="C207"/>
  <c r="F207"/>
  <c r="I207"/>
  <c r="L207" s="1"/>
  <c r="M207"/>
  <c r="N207"/>
  <c r="C208"/>
  <c r="F208"/>
  <c r="I208"/>
  <c r="L208" s="1"/>
  <c r="M208"/>
  <c r="N208"/>
  <c r="C209"/>
  <c r="F209"/>
  <c r="I209"/>
  <c r="L209" s="1"/>
  <c r="M209"/>
  <c r="N209"/>
  <c r="C210"/>
  <c r="F210"/>
  <c r="I210"/>
  <c r="L210" s="1"/>
  <c r="M210"/>
  <c r="N210"/>
  <c r="C211"/>
  <c r="F211"/>
  <c r="I211"/>
  <c r="L211" s="1"/>
  <c r="M211"/>
  <c r="N211"/>
  <c r="C212"/>
  <c r="F212"/>
  <c r="I212"/>
  <c r="L212" s="1"/>
  <c r="M212"/>
  <c r="N212"/>
  <c r="C213"/>
  <c r="F213"/>
  <c r="I213"/>
  <c r="L213" s="1"/>
  <c r="M213"/>
  <c r="N213"/>
  <c r="C214"/>
  <c r="F214"/>
  <c r="I214"/>
  <c r="L214" s="1"/>
  <c r="M214"/>
  <c r="N214"/>
  <c r="C215"/>
  <c r="F215"/>
  <c r="I215"/>
  <c r="L215" s="1"/>
  <c r="M215"/>
  <c r="N215"/>
  <c r="D216"/>
  <c r="E216"/>
  <c r="G216"/>
  <c r="H216"/>
  <c r="J216"/>
  <c r="M216" s="1"/>
  <c r="K216"/>
  <c r="C217"/>
  <c r="F217"/>
  <c r="I217"/>
  <c r="L217" s="1"/>
  <c r="M217"/>
  <c r="N217"/>
  <c r="R217"/>
  <c r="S217"/>
  <c r="D218"/>
  <c r="E218"/>
  <c r="G218"/>
  <c r="H218"/>
  <c r="J218"/>
  <c r="M218" s="1"/>
  <c r="K218"/>
  <c r="C219"/>
  <c r="F219"/>
  <c r="I219"/>
  <c r="L219" s="1"/>
  <c r="M219"/>
  <c r="N219"/>
  <c r="R219"/>
  <c r="S219"/>
  <c r="D220"/>
  <c r="E220"/>
  <c r="G220"/>
  <c r="J220"/>
  <c r="M220" s="1"/>
  <c r="K220"/>
  <c r="C221"/>
  <c r="H221"/>
  <c r="F221" s="1"/>
  <c r="I221"/>
  <c r="L221" s="1"/>
  <c r="M221"/>
  <c r="N221"/>
  <c r="D224"/>
  <c r="E224"/>
  <c r="J224"/>
  <c r="K224"/>
  <c r="C225"/>
  <c r="F225"/>
  <c r="I225"/>
  <c r="L225" s="1"/>
  <c r="M225"/>
  <c r="N225"/>
  <c r="C226"/>
  <c r="G226"/>
  <c r="H226"/>
  <c r="N226" s="1"/>
  <c r="I226"/>
  <c r="C227"/>
  <c r="G227"/>
  <c r="H227"/>
  <c r="S227" s="1"/>
  <c r="I227"/>
  <c r="C228"/>
  <c r="G228"/>
  <c r="R228" s="1"/>
  <c r="H228"/>
  <c r="S228" s="1"/>
  <c r="I228"/>
  <c r="L228" s="1"/>
  <c r="M228"/>
  <c r="N228"/>
  <c r="C229"/>
  <c r="G229"/>
  <c r="H229"/>
  <c r="N229" s="1"/>
  <c r="I229"/>
  <c r="C230"/>
  <c r="G230"/>
  <c r="R230" s="1"/>
  <c r="H230"/>
  <c r="I230"/>
  <c r="L230" s="1"/>
  <c r="M230"/>
  <c r="N230"/>
  <c r="C231"/>
  <c r="G231"/>
  <c r="R231" s="1"/>
  <c r="H231"/>
  <c r="I231"/>
  <c r="C232"/>
  <c r="G232"/>
  <c r="M232" s="1"/>
  <c r="H232"/>
  <c r="N232" s="1"/>
  <c r="I232"/>
  <c r="C233"/>
  <c r="G233"/>
  <c r="H233"/>
  <c r="I233"/>
  <c r="C234"/>
  <c r="G234"/>
  <c r="M234" s="1"/>
  <c r="H234"/>
  <c r="I234"/>
  <c r="C235"/>
  <c r="G235"/>
  <c r="H235"/>
  <c r="S235" s="1"/>
  <c r="I235"/>
  <c r="L235" s="1"/>
  <c r="M235"/>
  <c r="N235"/>
  <c r="C236"/>
  <c r="G236"/>
  <c r="R236" s="1"/>
  <c r="H236"/>
  <c r="S236" s="1"/>
  <c r="I236"/>
  <c r="L236" s="1"/>
  <c r="M236"/>
  <c r="N236"/>
  <c r="D237"/>
  <c r="E237"/>
  <c r="J237"/>
  <c r="K237"/>
  <c r="C238"/>
  <c r="G238"/>
  <c r="R238" s="1"/>
  <c r="H238"/>
  <c r="N238" s="1"/>
  <c r="I238"/>
  <c r="D239"/>
  <c r="E239"/>
  <c r="J239"/>
  <c r="K239"/>
  <c r="C240"/>
  <c r="G240"/>
  <c r="H240"/>
  <c r="I240"/>
  <c r="L240" s="1"/>
  <c r="M240"/>
  <c r="N240"/>
  <c r="C241"/>
  <c r="G241"/>
  <c r="H241"/>
  <c r="I241"/>
  <c r="C242"/>
  <c r="G242"/>
  <c r="H242"/>
  <c r="S242" s="1"/>
  <c r="I242"/>
  <c r="M242"/>
  <c r="C243"/>
  <c r="G243"/>
  <c r="H243"/>
  <c r="N243" s="1"/>
  <c r="I243"/>
  <c r="M243"/>
  <c r="Q244"/>
  <c r="R244"/>
  <c r="S244"/>
  <c r="D245"/>
  <c r="E245"/>
  <c r="H245"/>
  <c r="J245"/>
  <c r="K245"/>
  <c r="J246"/>
  <c r="K246"/>
  <c r="D249"/>
  <c r="J249"/>
  <c r="K249"/>
  <c r="D250"/>
  <c r="E250"/>
  <c r="G250"/>
  <c r="J250"/>
  <c r="K250"/>
  <c r="D4" i="38"/>
  <c r="P15"/>
  <c r="Q15"/>
  <c r="R15"/>
  <c r="D18"/>
  <c r="G18"/>
  <c r="J18"/>
  <c r="M18" s="1"/>
  <c r="N18"/>
  <c r="O18"/>
  <c r="Q18"/>
  <c r="R18"/>
  <c r="D19"/>
  <c r="G19"/>
  <c r="J19"/>
  <c r="M19"/>
  <c r="N19"/>
  <c r="O19"/>
  <c r="Q19"/>
  <c r="Q261" s="1"/>
  <c r="R19"/>
  <c r="R261" s="1"/>
  <c r="D20"/>
  <c r="G20"/>
  <c r="J20"/>
  <c r="N20"/>
  <c r="O20"/>
  <c r="Q20"/>
  <c r="R20"/>
  <c r="D21"/>
  <c r="G21"/>
  <c r="J21"/>
  <c r="M21" s="1"/>
  <c r="N21"/>
  <c r="O21"/>
  <c r="Q21"/>
  <c r="R21"/>
  <c r="E22"/>
  <c r="F22"/>
  <c r="H22"/>
  <c r="I22"/>
  <c r="K22"/>
  <c r="L22"/>
  <c r="O22" s="1"/>
  <c r="D23"/>
  <c r="G23"/>
  <c r="J23"/>
  <c r="M23" s="1"/>
  <c r="N23"/>
  <c r="O23"/>
  <c r="D24"/>
  <c r="G24"/>
  <c r="J24"/>
  <c r="M24" s="1"/>
  <c r="N24"/>
  <c r="O24"/>
  <c r="Q24"/>
  <c r="R24"/>
  <c r="D25"/>
  <c r="G25"/>
  <c r="P25"/>
  <c r="J25"/>
  <c r="M25" s="1"/>
  <c r="N25"/>
  <c r="O25"/>
  <c r="Q25"/>
  <c r="R25"/>
  <c r="E26"/>
  <c r="F26"/>
  <c r="H26"/>
  <c r="I26"/>
  <c r="K26"/>
  <c r="N26" s="1"/>
  <c r="L26"/>
  <c r="D27"/>
  <c r="G27"/>
  <c r="M27"/>
  <c r="N27"/>
  <c r="O27"/>
  <c r="Q27"/>
  <c r="R27"/>
  <c r="E28"/>
  <c r="D28" s="1"/>
  <c r="F28"/>
  <c r="H28"/>
  <c r="I28"/>
  <c r="K28"/>
  <c r="L28"/>
  <c r="O28" s="1"/>
  <c r="D29"/>
  <c r="G29"/>
  <c r="J29"/>
  <c r="M29" s="1"/>
  <c r="N29"/>
  <c r="O29"/>
  <c r="Q29"/>
  <c r="R29"/>
  <c r="D30"/>
  <c r="G30"/>
  <c r="J30"/>
  <c r="M30" s="1"/>
  <c r="N30"/>
  <c r="O30"/>
  <c r="Q30"/>
  <c r="R30"/>
  <c r="E31"/>
  <c r="F31"/>
  <c r="H31"/>
  <c r="I31"/>
  <c r="K31"/>
  <c r="N31" s="1"/>
  <c r="L31"/>
  <c r="D32"/>
  <c r="G32"/>
  <c r="J32"/>
  <c r="M32" s="1"/>
  <c r="N32"/>
  <c r="O32"/>
  <c r="Q32"/>
  <c r="R32"/>
  <c r="D33"/>
  <c r="G33"/>
  <c r="J33"/>
  <c r="M33" s="1"/>
  <c r="N33"/>
  <c r="O33"/>
  <c r="Q33"/>
  <c r="R33"/>
  <c r="E34"/>
  <c r="F34"/>
  <c r="H34"/>
  <c r="I34"/>
  <c r="K34"/>
  <c r="L34"/>
  <c r="O34" s="1"/>
  <c r="D35"/>
  <c r="G35"/>
  <c r="J35"/>
  <c r="M35" s="1"/>
  <c r="N35"/>
  <c r="O35"/>
  <c r="Q35"/>
  <c r="R35"/>
  <c r="E36"/>
  <c r="Q36" s="1"/>
  <c r="F36"/>
  <c r="H36"/>
  <c r="I36"/>
  <c r="K36"/>
  <c r="L36"/>
  <c r="D37"/>
  <c r="G37"/>
  <c r="J37"/>
  <c r="N37"/>
  <c r="O37"/>
  <c r="Q37"/>
  <c r="R37"/>
  <c r="D38"/>
  <c r="G38"/>
  <c r="J38"/>
  <c r="M38" s="1"/>
  <c r="N38"/>
  <c r="O38"/>
  <c r="D39"/>
  <c r="G39"/>
  <c r="J39"/>
  <c r="M39" s="1"/>
  <c r="N39"/>
  <c r="O39"/>
  <c r="Q39"/>
  <c r="R39"/>
  <c r="D40"/>
  <c r="G40"/>
  <c r="Q40"/>
  <c r="R40"/>
  <c r="E41"/>
  <c r="F41"/>
  <c r="H41"/>
  <c r="I41"/>
  <c r="K41"/>
  <c r="L41"/>
  <c r="O41" s="1"/>
  <c r="D42"/>
  <c r="G42"/>
  <c r="J42"/>
  <c r="M42" s="1"/>
  <c r="N42"/>
  <c r="O42"/>
  <c r="D43"/>
  <c r="G43"/>
  <c r="J43"/>
  <c r="M43" s="1"/>
  <c r="N43"/>
  <c r="O43"/>
  <c r="Q43"/>
  <c r="R43"/>
  <c r="D44"/>
  <c r="G44"/>
  <c r="J44"/>
  <c r="M44" s="1"/>
  <c r="N44"/>
  <c r="O44"/>
  <c r="Q44"/>
  <c r="R44"/>
  <c r="E45"/>
  <c r="F45"/>
  <c r="H45"/>
  <c r="I45"/>
  <c r="K45"/>
  <c r="N45" s="1"/>
  <c r="L45"/>
  <c r="D46"/>
  <c r="G46"/>
  <c r="J46"/>
  <c r="M46" s="1"/>
  <c r="N46"/>
  <c r="O46"/>
  <c r="D47"/>
  <c r="G47"/>
  <c r="J47"/>
  <c r="M47"/>
  <c r="N47"/>
  <c r="O47"/>
  <c r="Q47"/>
  <c r="R47"/>
  <c r="E48"/>
  <c r="F48"/>
  <c r="H48"/>
  <c r="I48"/>
  <c r="K48"/>
  <c r="N48" s="1"/>
  <c r="L48"/>
  <c r="D49"/>
  <c r="G49"/>
  <c r="J49"/>
  <c r="M49" s="1"/>
  <c r="N49"/>
  <c r="O49"/>
  <c r="Q49"/>
  <c r="R49"/>
  <c r="E50"/>
  <c r="F50"/>
  <c r="H50"/>
  <c r="I50"/>
  <c r="K50"/>
  <c r="L50"/>
  <c r="O50" s="1"/>
  <c r="D51"/>
  <c r="G51"/>
  <c r="J51"/>
  <c r="M51" s="1"/>
  <c r="N51"/>
  <c r="O51"/>
  <c r="D52"/>
  <c r="G52"/>
  <c r="J52"/>
  <c r="M52" s="1"/>
  <c r="N52"/>
  <c r="O52"/>
  <c r="Q52"/>
  <c r="R52"/>
  <c r="D53"/>
  <c r="G53"/>
  <c r="J53"/>
  <c r="M53" s="1"/>
  <c r="N53"/>
  <c r="O53"/>
  <c r="Q53"/>
  <c r="R53"/>
  <c r="E54"/>
  <c r="F54"/>
  <c r="H54"/>
  <c r="I54"/>
  <c r="K54"/>
  <c r="N54" s="1"/>
  <c r="L54"/>
  <c r="O54" s="1"/>
  <c r="D55"/>
  <c r="G55"/>
  <c r="J55"/>
  <c r="M55" s="1"/>
  <c r="N55"/>
  <c r="O55"/>
  <c r="Q55"/>
  <c r="R55"/>
  <c r="D56"/>
  <c r="P56" s="1"/>
  <c r="G56"/>
  <c r="J56"/>
  <c r="M56" s="1"/>
  <c r="N56"/>
  <c r="O56"/>
  <c r="Q56"/>
  <c r="R56"/>
  <c r="E57"/>
  <c r="F57"/>
  <c r="H57"/>
  <c r="I57"/>
  <c r="K57"/>
  <c r="L57"/>
  <c r="O57" s="1"/>
  <c r="D58"/>
  <c r="G58"/>
  <c r="J58"/>
  <c r="M58" s="1"/>
  <c r="N58"/>
  <c r="O58"/>
  <c r="Q58"/>
  <c r="R58"/>
  <c r="E59"/>
  <c r="F59"/>
  <c r="H59"/>
  <c r="I59"/>
  <c r="K59"/>
  <c r="N59" s="1"/>
  <c r="L59"/>
  <c r="O59" s="1"/>
  <c r="D60"/>
  <c r="G60"/>
  <c r="J60"/>
  <c r="M60" s="1"/>
  <c r="N60"/>
  <c r="O60"/>
  <c r="Q60"/>
  <c r="R60"/>
  <c r="E61"/>
  <c r="F61"/>
  <c r="H61"/>
  <c r="I61"/>
  <c r="K61"/>
  <c r="L61"/>
  <c r="D62"/>
  <c r="G62"/>
  <c r="J62"/>
  <c r="M62"/>
  <c r="N62"/>
  <c r="O62"/>
  <c r="Q62"/>
  <c r="R62"/>
  <c r="E63"/>
  <c r="F63"/>
  <c r="H63"/>
  <c r="I63"/>
  <c r="K63"/>
  <c r="L63"/>
  <c r="O63" s="1"/>
  <c r="D64"/>
  <c r="G64"/>
  <c r="P64" s="1"/>
  <c r="M64"/>
  <c r="N64"/>
  <c r="O64"/>
  <c r="Q64"/>
  <c r="R64"/>
  <c r="E65"/>
  <c r="F65"/>
  <c r="D65" s="1"/>
  <c r="H65"/>
  <c r="I65"/>
  <c r="K65"/>
  <c r="L65"/>
  <c r="O65" s="1"/>
  <c r="D66"/>
  <c r="G66"/>
  <c r="M66"/>
  <c r="N66"/>
  <c r="O66"/>
  <c r="Q66"/>
  <c r="R66"/>
  <c r="D67"/>
  <c r="G67"/>
  <c r="P67" s="1"/>
  <c r="Q67"/>
  <c r="R67"/>
  <c r="D68"/>
  <c r="G68"/>
  <c r="Q68"/>
  <c r="R68"/>
  <c r="D69"/>
  <c r="G69"/>
  <c r="Q69"/>
  <c r="R69"/>
  <c r="D70"/>
  <c r="G70"/>
  <c r="Q70"/>
  <c r="R70"/>
  <c r="H72"/>
  <c r="I72"/>
  <c r="K72"/>
  <c r="L72"/>
  <c r="N72"/>
  <c r="E73"/>
  <c r="Q73" s="1"/>
  <c r="F73"/>
  <c r="G73"/>
  <c r="J73"/>
  <c r="M73" s="1"/>
  <c r="N73"/>
  <c r="O73"/>
  <c r="E74"/>
  <c r="F74"/>
  <c r="R74" s="1"/>
  <c r="G74"/>
  <c r="J74"/>
  <c r="M74"/>
  <c r="N74"/>
  <c r="O74"/>
  <c r="H75"/>
  <c r="I75"/>
  <c r="K75"/>
  <c r="L75"/>
  <c r="E76"/>
  <c r="F76"/>
  <c r="G76"/>
  <c r="J76"/>
  <c r="M76" s="1"/>
  <c r="N76"/>
  <c r="O76"/>
  <c r="E77"/>
  <c r="Q77" s="1"/>
  <c r="F77"/>
  <c r="G77"/>
  <c r="J77"/>
  <c r="M77" s="1"/>
  <c r="N77"/>
  <c r="O77"/>
  <c r="E78"/>
  <c r="F78"/>
  <c r="H78"/>
  <c r="I78"/>
  <c r="K78"/>
  <c r="L78"/>
  <c r="D79"/>
  <c r="G79"/>
  <c r="J79"/>
  <c r="N79"/>
  <c r="O79"/>
  <c r="Q79"/>
  <c r="R79"/>
  <c r="E80"/>
  <c r="F80"/>
  <c r="H80"/>
  <c r="I80"/>
  <c r="K80"/>
  <c r="L80"/>
  <c r="O80" s="1"/>
  <c r="D81"/>
  <c r="P81" s="1"/>
  <c r="G81"/>
  <c r="J81"/>
  <c r="M81" s="1"/>
  <c r="N81"/>
  <c r="O81"/>
  <c r="Q81"/>
  <c r="R81"/>
  <c r="H82"/>
  <c r="I82"/>
  <c r="K82"/>
  <c r="L82"/>
  <c r="E83"/>
  <c r="Q83" s="1"/>
  <c r="F83"/>
  <c r="R83" s="1"/>
  <c r="G83"/>
  <c r="J83"/>
  <c r="N83"/>
  <c r="O83"/>
  <c r="H84"/>
  <c r="I84"/>
  <c r="K84"/>
  <c r="N84" s="1"/>
  <c r="L84"/>
  <c r="O84" s="1"/>
  <c r="E85"/>
  <c r="F85"/>
  <c r="R85" s="1"/>
  <c r="G85"/>
  <c r="J85"/>
  <c r="M85" s="1"/>
  <c r="N85"/>
  <c r="O85"/>
  <c r="E86"/>
  <c r="F86"/>
  <c r="R86"/>
  <c r="G86"/>
  <c r="J86"/>
  <c r="M86" s="1"/>
  <c r="N86"/>
  <c r="O86"/>
  <c r="H87"/>
  <c r="I87"/>
  <c r="K87"/>
  <c r="N87" s="1"/>
  <c r="L87"/>
  <c r="E88"/>
  <c r="E87" s="1"/>
  <c r="F88"/>
  <c r="G88"/>
  <c r="J88"/>
  <c r="M88" s="1"/>
  <c r="N88"/>
  <c r="O88"/>
  <c r="D91"/>
  <c r="H91"/>
  <c r="J91"/>
  <c r="N91"/>
  <c r="O91"/>
  <c r="R91"/>
  <c r="D92"/>
  <c r="G92"/>
  <c r="J92"/>
  <c r="N92"/>
  <c r="O92"/>
  <c r="Q92"/>
  <c r="R92"/>
  <c r="D93"/>
  <c r="G93"/>
  <c r="J93"/>
  <c r="N93"/>
  <c r="O93"/>
  <c r="Q93"/>
  <c r="R93"/>
  <c r="D94"/>
  <c r="G94"/>
  <c r="J94"/>
  <c r="N94"/>
  <c r="O94"/>
  <c r="Q94"/>
  <c r="R94"/>
  <c r="D95"/>
  <c r="G95"/>
  <c r="J95"/>
  <c r="N95"/>
  <c r="O95"/>
  <c r="Q95"/>
  <c r="R95"/>
  <c r="D96"/>
  <c r="G96"/>
  <c r="J96"/>
  <c r="N96"/>
  <c r="O96"/>
  <c r="Q96"/>
  <c r="R96"/>
  <c r="D97"/>
  <c r="G97"/>
  <c r="J97"/>
  <c r="N97"/>
  <c r="O97"/>
  <c r="Q97"/>
  <c r="R97"/>
  <c r="D98"/>
  <c r="G98"/>
  <c r="J98"/>
  <c r="N98"/>
  <c r="O98"/>
  <c r="Q98"/>
  <c r="R98"/>
  <c r="D99"/>
  <c r="G99"/>
  <c r="J99"/>
  <c r="N99"/>
  <c r="O99"/>
  <c r="Q99"/>
  <c r="R99"/>
  <c r="D100"/>
  <c r="G100"/>
  <c r="J100"/>
  <c r="N100"/>
  <c r="O100"/>
  <c r="Q100"/>
  <c r="R100"/>
  <c r="E101"/>
  <c r="F101"/>
  <c r="H101"/>
  <c r="I101"/>
  <c r="J101"/>
  <c r="M101" s="1"/>
  <c r="N101"/>
  <c r="O101"/>
  <c r="E102"/>
  <c r="F102"/>
  <c r="H102"/>
  <c r="H251" s="1"/>
  <c r="I102"/>
  <c r="D103"/>
  <c r="G103"/>
  <c r="J103"/>
  <c r="N103"/>
  <c r="O103"/>
  <c r="Q103"/>
  <c r="R103"/>
  <c r="D104"/>
  <c r="G104"/>
  <c r="J104"/>
  <c r="N104"/>
  <c r="O104"/>
  <c r="Q104"/>
  <c r="R104"/>
  <c r="D105"/>
  <c r="G105"/>
  <c r="J105"/>
  <c r="M105" s="1"/>
  <c r="N105"/>
  <c r="O105"/>
  <c r="Q105"/>
  <c r="R105"/>
  <c r="D106"/>
  <c r="G106"/>
  <c r="J106"/>
  <c r="M106" s="1"/>
  <c r="N106"/>
  <c r="O106"/>
  <c r="Q106"/>
  <c r="R106"/>
  <c r="D107"/>
  <c r="G107"/>
  <c r="J107"/>
  <c r="M107" s="1"/>
  <c r="N107"/>
  <c r="O107"/>
  <c r="Q107"/>
  <c r="R107"/>
  <c r="D108"/>
  <c r="G108"/>
  <c r="J108"/>
  <c r="M108" s="1"/>
  <c r="N108"/>
  <c r="O108"/>
  <c r="Q108"/>
  <c r="R108"/>
  <c r="D109"/>
  <c r="G109"/>
  <c r="J109"/>
  <c r="M109" s="1"/>
  <c r="N109"/>
  <c r="O109"/>
  <c r="Q109"/>
  <c r="R109"/>
  <c r="D110"/>
  <c r="P110" s="1"/>
  <c r="G110"/>
  <c r="J110"/>
  <c r="N110"/>
  <c r="O110"/>
  <c r="Q110"/>
  <c r="R110"/>
  <c r="D111"/>
  <c r="P111" s="1"/>
  <c r="G111"/>
  <c r="J111"/>
  <c r="M111" s="1"/>
  <c r="N111"/>
  <c r="O111"/>
  <c r="Q111"/>
  <c r="R111"/>
  <c r="D112"/>
  <c r="G112"/>
  <c r="J112"/>
  <c r="M112" s="1"/>
  <c r="N112"/>
  <c r="O112"/>
  <c r="Q112"/>
  <c r="R112"/>
  <c r="D113"/>
  <c r="G113"/>
  <c r="J113"/>
  <c r="M113" s="1"/>
  <c r="N113"/>
  <c r="O113"/>
  <c r="Q113"/>
  <c r="R113"/>
  <c r="D114"/>
  <c r="G114"/>
  <c r="J114"/>
  <c r="M114" s="1"/>
  <c r="N114"/>
  <c r="O114"/>
  <c r="Q114"/>
  <c r="R114"/>
  <c r="D115"/>
  <c r="G115"/>
  <c r="J115"/>
  <c r="M115" s="1"/>
  <c r="N115"/>
  <c r="O115"/>
  <c r="Q115"/>
  <c r="R115"/>
  <c r="D116"/>
  <c r="G116"/>
  <c r="J116"/>
  <c r="M116" s="1"/>
  <c r="N116"/>
  <c r="O116"/>
  <c r="Q116"/>
  <c r="R116"/>
  <c r="D118"/>
  <c r="G118"/>
  <c r="J118"/>
  <c r="M118" s="1"/>
  <c r="N118"/>
  <c r="O118"/>
  <c r="Q118"/>
  <c r="R118"/>
  <c r="D119"/>
  <c r="G119"/>
  <c r="J119"/>
  <c r="M119" s="1"/>
  <c r="N119"/>
  <c r="O119"/>
  <c r="Q119"/>
  <c r="R119"/>
  <c r="D120"/>
  <c r="G120"/>
  <c r="J120"/>
  <c r="M120" s="1"/>
  <c r="N120"/>
  <c r="O120"/>
  <c r="Q120"/>
  <c r="R120"/>
  <c r="D121"/>
  <c r="G121"/>
  <c r="J121"/>
  <c r="M121" s="1"/>
  <c r="N121"/>
  <c r="O121"/>
  <c r="Q121"/>
  <c r="R121"/>
  <c r="D122"/>
  <c r="P122" s="1"/>
  <c r="G122"/>
  <c r="J122"/>
  <c r="M122" s="1"/>
  <c r="N122"/>
  <c r="O122"/>
  <c r="Q122"/>
  <c r="R122"/>
  <c r="D123"/>
  <c r="G123"/>
  <c r="J123"/>
  <c r="M123" s="1"/>
  <c r="N123"/>
  <c r="O123"/>
  <c r="Q123"/>
  <c r="R123"/>
  <c r="D124"/>
  <c r="G124"/>
  <c r="J124"/>
  <c r="M124" s="1"/>
  <c r="N124"/>
  <c r="O124"/>
  <c r="Q124"/>
  <c r="R124"/>
  <c r="D125"/>
  <c r="G125"/>
  <c r="P125" s="1"/>
  <c r="J125"/>
  <c r="M125" s="1"/>
  <c r="N125"/>
  <c r="O125"/>
  <c r="Q125"/>
  <c r="R125"/>
  <c r="D126"/>
  <c r="G126"/>
  <c r="J126"/>
  <c r="M126" s="1"/>
  <c r="N126"/>
  <c r="O126"/>
  <c r="Q126"/>
  <c r="R126"/>
  <c r="D127"/>
  <c r="G127"/>
  <c r="J127"/>
  <c r="M127" s="1"/>
  <c r="N127"/>
  <c r="O127"/>
  <c r="Q127"/>
  <c r="R127"/>
  <c r="D128"/>
  <c r="G128"/>
  <c r="J128"/>
  <c r="M128" s="1"/>
  <c r="N128"/>
  <c r="O128"/>
  <c r="D129"/>
  <c r="G129"/>
  <c r="J129"/>
  <c r="M129" s="1"/>
  <c r="N129"/>
  <c r="O129"/>
  <c r="Q129"/>
  <c r="R129"/>
  <c r="D130"/>
  <c r="G130"/>
  <c r="J130"/>
  <c r="M130" s="1"/>
  <c r="N130"/>
  <c r="O130"/>
  <c r="Q130"/>
  <c r="R130"/>
  <c r="D131"/>
  <c r="G131"/>
  <c r="J131"/>
  <c r="M131" s="1"/>
  <c r="N131"/>
  <c r="O131"/>
  <c r="Q131"/>
  <c r="R131"/>
  <c r="D132"/>
  <c r="G132"/>
  <c r="J132"/>
  <c r="M132" s="1"/>
  <c r="N132"/>
  <c r="O132"/>
  <c r="Q132"/>
  <c r="R132"/>
  <c r="D133"/>
  <c r="G133"/>
  <c r="J133"/>
  <c r="M133" s="1"/>
  <c r="N133"/>
  <c r="O133"/>
  <c r="Q133"/>
  <c r="R133"/>
  <c r="D134"/>
  <c r="G134"/>
  <c r="J134"/>
  <c r="M134" s="1"/>
  <c r="N134"/>
  <c r="O134"/>
  <c r="Q134"/>
  <c r="R134"/>
  <c r="D135"/>
  <c r="G135"/>
  <c r="J135"/>
  <c r="M135" s="1"/>
  <c r="N135"/>
  <c r="O135"/>
  <c r="Q135"/>
  <c r="R135"/>
  <c r="D136"/>
  <c r="G136"/>
  <c r="J136"/>
  <c r="M136" s="1"/>
  <c r="N136"/>
  <c r="O136"/>
  <c r="Q136"/>
  <c r="R136"/>
  <c r="D137"/>
  <c r="G137"/>
  <c r="P137" s="1"/>
  <c r="J137"/>
  <c r="M137" s="1"/>
  <c r="N137"/>
  <c r="O137"/>
  <c r="Q137"/>
  <c r="R137"/>
  <c r="D138"/>
  <c r="G138"/>
  <c r="J138"/>
  <c r="M138" s="1"/>
  <c r="N138"/>
  <c r="O138"/>
  <c r="Q138"/>
  <c r="R138"/>
  <c r="D139"/>
  <c r="G139"/>
  <c r="J139"/>
  <c r="M139" s="1"/>
  <c r="N139"/>
  <c r="O139"/>
  <c r="Q139"/>
  <c r="R139"/>
  <c r="D140"/>
  <c r="G140"/>
  <c r="J140"/>
  <c r="M140" s="1"/>
  <c r="N140"/>
  <c r="O140"/>
  <c r="Q140"/>
  <c r="R140"/>
  <c r="D141"/>
  <c r="G141"/>
  <c r="J141"/>
  <c r="M141" s="1"/>
  <c r="N141"/>
  <c r="O141"/>
  <c r="Q141"/>
  <c r="R141"/>
  <c r="D142"/>
  <c r="P142" s="1"/>
  <c r="G142"/>
  <c r="J142"/>
  <c r="M142" s="1"/>
  <c r="N142"/>
  <c r="O142"/>
  <c r="Q142"/>
  <c r="R142"/>
  <c r="D143"/>
  <c r="G143"/>
  <c r="J143"/>
  <c r="M143" s="1"/>
  <c r="N143"/>
  <c r="O143"/>
  <c r="Q143"/>
  <c r="R143"/>
  <c r="D144"/>
  <c r="G144"/>
  <c r="J144"/>
  <c r="M144" s="1"/>
  <c r="N144"/>
  <c r="O144"/>
  <c r="Q144"/>
  <c r="R144"/>
  <c r="K145"/>
  <c r="K90" s="1"/>
  <c r="K89" s="1"/>
  <c r="L145"/>
  <c r="D146"/>
  <c r="P146" s="1"/>
  <c r="G146"/>
  <c r="J146"/>
  <c r="M146" s="1"/>
  <c r="N146"/>
  <c r="O146"/>
  <c r="Q146"/>
  <c r="R146"/>
  <c r="D147"/>
  <c r="G147"/>
  <c r="J147"/>
  <c r="M147" s="1"/>
  <c r="N147"/>
  <c r="O147"/>
  <c r="Q147"/>
  <c r="R147"/>
  <c r="D148"/>
  <c r="G148"/>
  <c r="J148"/>
  <c r="M148" s="1"/>
  <c r="N148"/>
  <c r="O148"/>
  <c r="Q148"/>
  <c r="R148"/>
  <c r="D149"/>
  <c r="G149"/>
  <c r="J149"/>
  <c r="M149" s="1"/>
  <c r="N149"/>
  <c r="O149"/>
  <c r="Q149"/>
  <c r="R149"/>
  <c r="D150"/>
  <c r="G150"/>
  <c r="J150"/>
  <c r="M150" s="1"/>
  <c r="N150"/>
  <c r="O150"/>
  <c r="Q150"/>
  <c r="R150"/>
  <c r="F151"/>
  <c r="G151"/>
  <c r="J151"/>
  <c r="M151" s="1"/>
  <c r="N151"/>
  <c r="O151"/>
  <c r="Q151"/>
  <c r="F152"/>
  <c r="G152"/>
  <c r="J152"/>
  <c r="M152" s="1"/>
  <c r="N152"/>
  <c r="O152"/>
  <c r="Q152"/>
  <c r="D153"/>
  <c r="G153"/>
  <c r="J153"/>
  <c r="M153" s="1"/>
  <c r="N153"/>
  <c r="O153"/>
  <c r="Q153"/>
  <c r="R153"/>
  <c r="D154"/>
  <c r="G154"/>
  <c r="P154" s="1"/>
  <c r="J154"/>
  <c r="M154" s="1"/>
  <c r="N154"/>
  <c r="O154"/>
  <c r="Q154"/>
  <c r="R154"/>
  <c r="D155"/>
  <c r="G155"/>
  <c r="J155"/>
  <c r="Q155"/>
  <c r="R155"/>
  <c r="D156"/>
  <c r="G156"/>
  <c r="J156"/>
  <c r="Q156"/>
  <c r="R156"/>
  <c r="D157"/>
  <c r="P157" s="1"/>
  <c r="G157"/>
  <c r="J157"/>
  <c r="Q157"/>
  <c r="R157"/>
  <c r="D158"/>
  <c r="G158"/>
  <c r="J158"/>
  <c r="Q158"/>
  <c r="R158"/>
  <c r="D159"/>
  <c r="G159"/>
  <c r="J159"/>
  <c r="Q159"/>
  <c r="R159"/>
  <c r="D160"/>
  <c r="G160"/>
  <c r="J160"/>
  <c r="Q160"/>
  <c r="R160"/>
  <c r="E161"/>
  <c r="Q161" s="1"/>
  <c r="F161"/>
  <c r="R161" s="1"/>
  <c r="G161"/>
  <c r="J161"/>
  <c r="M161" s="1"/>
  <c r="N161"/>
  <c r="O161"/>
  <c r="E162"/>
  <c r="D162" s="1"/>
  <c r="F162"/>
  <c r="G162"/>
  <c r="J162"/>
  <c r="M162" s="1"/>
  <c r="N162"/>
  <c r="O162"/>
  <c r="E163"/>
  <c r="Q163" s="1"/>
  <c r="F163"/>
  <c r="R163" s="1"/>
  <c r="G163"/>
  <c r="J163"/>
  <c r="N163"/>
  <c r="O163"/>
  <c r="E164"/>
  <c r="F164"/>
  <c r="R164" s="1"/>
  <c r="G164"/>
  <c r="J164"/>
  <c r="M164" s="1"/>
  <c r="N164"/>
  <c r="O164"/>
  <c r="E165"/>
  <c r="Q165" s="1"/>
  <c r="F165"/>
  <c r="R165" s="1"/>
  <c r="G165"/>
  <c r="J165"/>
  <c r="M165" s="1"/>
  <c r="N165"/>
  <c r="O165"/>
  <c r="E166"/>
  <c r="Q166" s="1"/>
  <c r="F166"/>
  <c r="R166"/>
  <c r="G166"/>
  <c r="J166"/>
  <c r="M166" s="1"/>
  <c r="N166"/>
  <c r="O166"/>
  <c r="E167"/>
  <c r="Q167" s="1"/>
  <c r="F167"/>
  <c r="G167"/>
  <c r="J167"/>
  <c r="M167" s="1"/>
  <c r="N167"/>
  <c r="O167"/>
  <c r="E168"/>
  <c r="F168"/>
  <c r="R168" s="1"/>
  <c r="G168"/>
  <c r="J168"/>
  <c r="M168" s="1"/>
  <c r="N168"/>
  <c r="O168"/>
  <c r="E169"/>
  <c r="F169"/>
  <c r="G169"/>
  <c r="J169"/>
  <c r="N169"/>
  <c r="O169"/>
  <c r="E170"/>
  <c r="F170"/>
  <c r="R170" s="1"/>
  <c r="G170"/>
  <c r="J170"/>
  <c r="M170" s="1"/>
  <c r="N170"/>
  <c r="O170"/>
  <c r="E171"/>
  <c r="F171"/>
  <c r="R171" s="1"/>
  <c r="G171"/>
  <c r="J171"/>
  <c r="M171" s="1"/>
  <c r="N171"/>
  <c r="O171"/>
  <c r="E172"/>
  <c r="F172"/>
  <c r="G172"/>
  <c r="J172"/>
  <c r="M172" s="1"/>
  <c r="N172"/>
  <c r="O172"/>
  <c r="E173"/>
  <c r="F173"/>
  <c r="G173"/>
  <c r="J173"/>
  <c r="M173" s="1"/>
  <c r="N173"/>
  <c r="O173"/>
  <c r="E174"/>
  <c r="Q174" s="1"/>
  <c r="F174"/>
  <c r="G174"/>
  <c r="J174"/>
  <c r="M174" s="1"/>
  <c r="N174"/>
  <c r="O174"/>
  <c r="F176"/>
  <c r="D176" s="1"/>
  <c r="I176"/>
  <c r="J176"/>
  <c r="N176"/>
  <c r="Q176"/>
  <c r="E177"/>
  <c r="Q177" s="1"/>
  <c r="F177"/>
  <c r="R177" s="1"/>
  <c r="G177"/>
  <c r="J177"/>
  <c r="N177"/>
  <c r="O177"/>
  <c r="E178"/>
  <c r="F178"/>
  <c r="R178" s="1"/>
  <c r="G178"/>
  <c r="J178"/>
  <c r="N178"/>
  <c r="O178"/>
  <c r="D179"/>
  <c r="G179"/>
  <c r="J179"/>
  <c r="M179" s="1"/>
  <c r="N179"/>
  <c r="O179"/>
  <c r="Q179"/>
  <c r="R179"/>
  <c r="D180"/>
  <c r="G180"/>
  <c r="J180"/>
  <c r="M180" s="1"/>
  <c r="N180"/>
  <c r="O180"/>
  <c r="Q180"/>
  <c r="R180"/>
  <c r="E181"/>
  <c r="F181"/>
  <c r="H181"/>
  <c r="I181"/>
  <c r="J181"/>
  <c r="M181" s="1"/>
  <c r="N181"/>
  <c r="O181"/>
  <c r="E182"/>
  <c r="F182"/>
  <c r="H182"/>
  <c r="I182"/>
  <c r="D183"/>
  <c r="G183"/>
  <c r="J183"/>
  <c r="M183" s="1"/>
  <c r="N183"/>
  <c r="O183"/>
  <c r="Q183"/>
  <c r="R183"/>
  <c r="D184"/>
  <c r="G184"/>
  <c r="J184"/>
  <c r="M184" s="1"/>
  <c r="N184"/>
  <c r="O184"/>
  <c r="Q184"/>
  <c r="R184"/>
  <c r="D185"/>
  <c r="G185"/>
  <c r="J185"/>
  <c r="M185" s="1"/>
  <c r="N185"/>
  <c r="O185"/>
  <c r="Q185"/>
  <c r="R185"/>
  <c r="D186"/>
  <c r="G186"/>
  <c r="Q186"/>
  <c r="R186"/>
  <c r="D187"/>
  <c r="G187"/>
  <c r="Q187"/>
  <c r="R187"/>
  <c r="D188"/>
  <c r="G188"/>
  <c r="J188"/>
  <c r="M188"/>
  <c r="N188"/>
  <c r="O188"/>
  <c r="Q188"/>
  <c r="R188"/>
  <c r="E189"/>
  <c r="Q189" s="1"/>
  <c r="F189"/>
  <c r="G189"/>
  <c r="J189"/>
  <c r="N189"/>
  <c r="O189"/>
  <c r="E190"/>
  <c r="F190"/>
  <c r="R190" s="1"/>
  <c r="G190"/>
  <c r="J190"/>
  <c r="M190" s="1"/>
  <c r="N190"/>
  <c r="O190"/>
  <c r="D191"/>
  <c r="G191"/>
  <c r="J191"/>
  <c r="M191" s="1"/>
  <c r="N191"/>
  <c r="O191"/>
  <c r="Q191"/>
  <c r="R191"/>
  <c r="D192"/>
  <c r="G192"/>
  <c r="J192"/>
  <c r="M192" s="1"/>
  <c r="N192"/>
  <c r="O192"/>
  <c r="Q192"/>
  <c r="R192"/>
  <c r="D193"/>
  <c r="G193"/>
  <c r="J193"/>
  <c r="M193" s="1"/>
  <c r="N193"/>
  <c r="O193"/>
  <c r="Q193"/>
  <c r="R193"/>
  <c r="D194"/>
  <c r="G194"/>
  <c r="J194"/>
  <c r="M194" s="1"/>
  <c r="N194"/>
  <c r="O194"/>
  <c r="Q194"/>
  <c r="R194"/>
  <c r="D195"/>
  <c r="G195"/>
  <c r="J195"/>
  <c r="M195" s="1"/>
  <c r="N195"/>
  <c r="O195"/>
  <c r="Q195"/>
  <c r="R195"/>
  <c r="D196"/>
  <c r="G196"/>
  <c r="J196"/>
  <c r="M196" s="1"/>
  <c r="N196"/>
  <c r="O196"/>
  <c r="Q196"/>
  <c r="R196"/>
  <c r="D197"/>
  <c r="P197" s="1"/>
  <c r="G197"/>
  <c r="J197"/>
  <c r="M197" s="1"/>
  <c r="N197"/>
  <c r="O197"/>
  <c r="Q197"/>
  <c r="R197"/>
  <c r="D198"/>
  <c r="G198"/>
  <c r="J198"/>
  <c r="M198" s="1"/>
  <c r="N198"/>
  <c r="O198"/>
  <c r="Q198"/>
  <c r="R198"/>
  <c r="D199"/>
  <c r="G199"/>
  <c r="J199"/>
  <c r="M199" s="1"/>
  <c r="N199"/>
  <c r="O199"/>
  <c r="Q199"/>
  <c r="R199"/>
  <c r="D200"/>
  <c r="G200"/>
  <c r="J200"/>
  <c r="N200"/>
  <c r="O200"/>
  <c r="Q200"/>
  <c r="R200"/>
  <c r="D201"/>
  <c r="G201"/>
  <c r="J201"/>
  <c r="M201" s="1"/>
  <c r="N201"/>
  <c r="O201"/>
  <c r="Q201"/>
  <c r="R201"/>
  <c r="E202"/>
  <c r="Q202" s="1"/>
  <c r="F202"/>
  <c r="G202"/>
  <c r="J202"/>
  <c r="N202"/>
  <c r="O202"/>
  <c r="D203"/>
  <c r="G203"/>
  <c r="J203"/>
  <c r="M203" s="1"/>
  <c r="N203"/>
  <c r="O203"/>
  <c r="Q203"/>
  <c r="R203"/>
  <c r="D204"/>
  <c r="G204"/>
  <c r="J204"/>
  <c r="M204" s="1"/>
  <c r="N204"/>
  <c r="O204"/>
  <c r="Q204"/>
  <c r="R204"/>
  <c r="E205"/>
  <c r="F205"/>
  <c r="R205" s="1"/>
  <c r="G205"/>
  <c r="J205"/>
  <c r="N205"/>
  <c r="O205"/>
  <c r="E208"/>
  <c r="F208"/>
  <c r="H208"/>
  <c r="I208"/>
  <c r="R208" s="1"/>
  <c r="K208"/>
  <c r="N208" s="1"/>
  <c r="L208"/>
  <c r="D209"/>
  <c r="G209"/>
  <c r="J209"/>
  <c r="M209" s="1"/>
  <c r="N209"/>
  <c r="O209"/>
  <c r="D210"/>
  <c r="G210"/>
  <c r="J210"/>
  <c r="M210" s="1"/>
  <c r="N210"/>
  <c r="O210"/>
  <c r="D211"/>
  <c r="G211"/>
  <c r="J211"/>
  <c r="M211" s="1"/>
  <c r="N211"/>
  <c r="O211"/>
  <c r="D212"/>
  <c r="G212"/>
  <c r="J212"/>
  <c r="M212" s="1"/>
  <c r="N212"/>
  <c r="O212"/>
  <c r="D213"/>
  <c r="G213"/>
  <c r="J213"/>
  <c r="M213" s="1"/>
  <c r="N213"/>
  <c r="O213"/>
  <c r="D214"/>
  <c r="G214"/>
  <c r="J214"/>
  <c r="M214" s="1"/>
  <c r="N214"/>
  <c r="O214"/>
  <c r="D215"/>
  <c r="G215"/>
  <c r="J215"/>
  <c r="M215" s="1"/>
  <c r="N215"/>
  <c r="O215"/>
  <c r="D216"/>
  <c r="G216"/>
  <c r="J216"/>
  <c r="M216" s="1"/>
  <c r="N216"/>
  <c r="O216"/>
  <c r="D217"/>
  <c r="G217"/>
  <c r="J217"/>
  <c r="M217" s="1"/>
  <c r="N217"/>
  <c r="O217"/>
  <c r="D218"/>
  <c r="G218"/>
  <c r="J218"/>
  <c r="M218" s="1"/>
  <c r="N218"/>
  <c r="O218"/>
  <c r="D219"/>
  <c r="G219"/>
  <c r="J219"/>
  <c r="M219" s="1"/>
  <c r="N219"/>
  <c r="O219"/>
  <c r="D220"/>
  <c r="G220"/>
  <c r="J220"/>
  <c r="M220" s="1"/>
  <c r="N220"/>
  <c r="O220"/>
  <c r="E221"/>
  <c r="F221"/>
  <c r="H221"/>
  <c r="I221"/>
  <c r="K221"/>
  <c r="L221"/>
  <c r="D222"/>
  <c r="G222"/>
  <c r="J222"/>
  <c r="M222" s="1"/>
  <c r="N222"/>
  <c r="O222"/>
  <c r="Q222"/>
  <c r="R222"/>
  <c r="E223"/>
  <c r="F223"/>
  <c r="H223"/>
  <c r="I223"/>
  <c r="K223"/>
  <c r="N223" s="1"/>
  <c r="L223"/>
  <c r="D224"/>
  <c r="G224"/>
  <c r="J224"/>
  <c r="M224" s="1"/>
  <c r="N224"/>
  <c r="O224"/>
  <c r="Q224"/>
  <c r="R224"/>
  <c r="E225"/>
  <c r="F225"/>
  <c r="H225"/>
  <c r="I225"/>
  <c r="K225"/>
  <c r="N225" s="1"/>
  <c r="L225"/>
  <c r="O225" s="1"/>
  <c r="D226"/>
  <c r="G226"/>
  <c r="J226"/>
  <c r="M226" s="1"/>
  <c r="N226"/>
  <c r="O226"/>
  <c r="E229"/>
  <c r="F229"/>
  <c r="K229"/>
  <c r="L229"/>
  <c r="D230"/>
  <c r="G230"/>
  <c r="J230"/>
  <c r="M230" s="1"/>
  <c r="N230"/>
  <c r="O230"/>
  <c r="D231"/>
  <c r="H231"/>
  <c r="N231" s="1"/>
  <c r="N253" s="1"/>
  <c r="I231"/>
  <c r="J231"/>
  <c r="D232"/>
  <c r="G232"/>
  <c r="J232"/>
  <c r="N232"/>
  <c r="O232"/>
  <c r="Q232"/>
  <c r="R232"/>
  <c r="D233"/>
  <c r="H233"/>
  <c r="I233"/>
  <c r="R233" s="1"/>
  <c r="J233"/>
  <c r="M233" s="1"/>
  <c r="N233"/>
  <c r="O233"/>
  <c r="O255" s="1"/>
  <c r="D234"/>
  <c r="H234"/>
  <c r="I234"/>
  <c r="R234" s="1"/>
  <c r="J234"/>
  <c r="M234" s="1"/>
  <c r="N234"/>
  <c r="O234"/>
  <c r="D235"/>
  <c r="H235"/>
  <c r="I235"/>
  <c r="J235"/>
  <c r="M235" s="1"/>
  <c r="N235"/>
  <c r="O235"/>
  <c r="D236"/>
  <c r="H236"/>
  <c r="I236"/>
  <c r="O236" s="1"/>
  <c r="J236"/>
  <c r="N236"/>
  <c r="R236"/>
  <c r="D237"/>
  <c r="H237"/>
  <c r="I237"/>
  <c r="R237" s="1"/>
  <c r="J237"/>
  <c r="D238"/>
  <c r="H238"/>
  <c r="N238" s="1"/>
  <c r="I238"/>
  <c r="O238" s="1"/>
  <c r="J238"/>
  <c r="D239"/>
  <c r="H239"/>
  <c r="N239" s="1"/>
  <c r="I239"/>
  <c r="J239"/>
  <c r="D240"/>
  <c r="H240"/>
  <c r="I240"/>
  <c r="J240"/>
  <c r="M240" s="1"/>
  <c r="N240"/>
  <c r="O240"/>
  <c r="D241"/>
  <c r="H241"/>
  <c r="Q241" s="1"/>
  <c r="I241"/>
  <c r="R241" s="1"/>
  <c r="J241"/>
  <c r="M241" s="1"/>
  <c r="N241"/>
  <c r="O241"/>
  <c r="D242"/>
  <c r="H242"/>
  <c r="I242"/>
  <c r="R242" s="1"/>
  <c r="J242"/>
  <c r="M242" s="1"/>
  <c r="N242"/>
  <c r="O242"/>
  <c r="E243"/>
  <c r="F243"/>
  <c r="H243"/>
  <c r="I243"/>
  <c r="K243"/>
  <c r="L243"/>
  <c r="D244"/>
  <c r="G244"/>
  <c r="J244"/>
  <c r="M244" s="1"/>
  <c r="N244"/>
  <c r="O244"/>
  <c r="Q244"/>
  <c r="R244"/>
  <c r="E245"/>
  <c r="F245"/>
  <c r="H245"/>
  <c r="I245"/>
  <c r="G245" s="1"/>
  <c r="K245"/>
  <c r="L245"/>
  <c r="D246"/>
  <c r="G246"/>
  <c r="J246"/>
  <c r="M246" s="1"/>
  <c r="N246"/>
  <c r="O246"/>
  <c r="Q246"/>
  <c r="R246"/>
  <c r="D247"/>
  <c r="G247"/>
  <c r="J247"/>
  <c r="N247"/>
  <c r="O247"/>
  <c r="Q247"/>
  <c r="R247"/>
  <c r="D248"/>
  <c r="G248"/>
  <c r="J248"/>
  <c r="N248"/>
  <c r="O248"/>
  <c r="Q248"/>
  <c r="R248"/>
  <c r="P249"/>
  <c r="Q249"/>
  <c r="R249"/>
  <c r="E250"/>
  <c r="F250"/>
  <c r="I250"/>
  <c r="K250"/>
  <c r="L250"/>
  <c r="K251"/>
  <c r="L251"/>
  <c r="E254"/>
  <c r="H254"/>
  <c r="K254"/>
  <c r="L254"/>
  <c r="E255"/>
  <c r="F255"/>
  <c r="H255"/>
  <c r="I255"/>
  <c r="K255"/>
  <c r="L255"/>
  <c r="D4" i="33"/>
  <c r="P15"/>
  <c r="Q15"/>
  <c r="R15"/>
  <c r="D18"/>
  <c r="G18"/>
  <c r="J18"/>
  <c r="M18" s="1"/>
  <c r="N18"/>
  <c r="O18"/>
  <c r="Q18"/>
  <c r="R18"/>
  <c r="D19"/>
  <c r="G19"/>
  <c r="J19"/>
  <c r="M19" s="1"/>
  <c r="N19"/>
  <c r="O19"/>
  <c r="Q19"/>
  <c r="Q249" s="1"/>
  <c r="R19"/>
  <c r="R249" s="1"/>
  <c r="D20"/>
  <c r="G20"/>
  <c r="J20"/>
  <c r="M20" s="1"/>
  <c r="N20"/>
  <c r="O20"/>
  <c r="Q20"/>
  <c r="R20"/>
  <c r="D21"/>
  <c r="G21"/>
  <c r="J21"/>
  <c r="M21" s="1"/>
  <c r="N21"/>
  <c r="O21"/>
  <c r="Q21"/>
  <c r="R21"/>
  <c r="E22"/>
  <c r="F22"/>
  <c r="H22"/>
  <c r="I22"/>
  <c r="K22"/>
  <c r="L22"/>
  <c r="D23"/>
  <c r="G23"/>
  <c r="J23"/>
  <c r="M23" s="1"/>
  <c r="N23"/>
  <c r="O23"/>
  <c r="D24"/>
  <c r="G24"/>
  <c r="J24"/>
  <c r="M24" s="1"/>
  <c r="N24"/>
  <c r="O24"/>
  <c r="Q24"/>
  <c r="R24"/>
  <c r="D25"/>
  <c r="G25"/>
  <c r="P25" s="1"/>
  <c r="J25"/>
  <c r="M25" s="1"/>
  <c r="N25"/>
  <c r="O25"/>
  <c r="Q25"/>
  <c r="R25"/>
  <c r="E26"/>
  <c r="F26"/>
  <c r="H26"/>
  <c r="I26"/>
  <c r="K26"/>
  <c r="L26"/>
  <c r="O26" s="1"/>
  <c r="D27"/>
  <c r="G27"/>
  <c r="M27"/>
  <c r="N27"/>
  <c r="O27"/>
  <c r="Q27"/>
  <c r="R27"/>
  <c r="E28"/>
  <c r="F28"/>
  <c r="H28"/>
  <c r="I28"/>
  <c r="K28"/>
  <c r="L28"/>
  <c r="O28" s="1"/>
  <c r="D29"/>
  <c r="G29"/>
  <c r="J29"/>
  <c r="M29" s="1"/>
  <c r="N29"/>
  <c r="O29"/>
  <c r="Q29"/>
  <c r="R29"/>
  <c r="D30"/>
  <c r="G30"/>
  <c r="J30"/>
  <c r="M30" s="1"/>
  <c r="N30"/>
  <c r="O30"/>
  <c r="Q30"/>
  <c r="R30"/>
  <c r="E31"/>
  <c r="F31"/>
  <c r="H31"/>
  <c r="I31"/>
  <c r="K31"/>
  <c r="N31" s="1"/>
  <c r="L31"/>
  <c r="O31" s="1"/>
  <c r="D32"/>
  <c r="G32"/>
  <c r="J32"/>
  <c r="M32" s="1"/>
  <c r="N32"/>
  <c r="O32"/>
  <c r="Q32"/>
  <c r="R32"/>
  <c r="D33"/>
  <c r="G33"/>
  <c r="J33"/>
  <c r="M33" s="1"/>
  <c r="N33"/>
  <c r="O33"/>
  <c r="Q33"/>
  <c r="R33"/>
  <c r="E34"/>
  <c r="F34"/>
  <c r="H34"/>
  <c r="Q34" s="1"/>
  <c r="I34"/>
  <c r="K34"/>
  <c r="L34"/>
  <c r="D35"/>
  <c r="G35"/>
  <c r="J35"/>
  <c r="M35" s="1"/>
  <c r="N35"/>
  <c r="O35"/>
  <c r="Q35"/>
  <c r="R35"/>
  <c r="E36"/>
  <c r="F36"/>
  <c r="H36"/>
  <c r="I36"/>
  <c r="K36"/>
  <c r="L36"/>
  <c r="D37"/>
  <c r="G37"/>
  <c r="J37"/>
  <c r="N37"/>
  <c r="O37"/>
  <c r="Q37"/>
  <c r="R37"/>
  <c r="D38"/>
  <c r="G38"/>
  <c r="J38"/>
  <c r="M38" s="1"/>
  <c r="N38"/>
  <c r="O38"/>
  <c r="D39"/>
  <c r="G39"/>
  <c r="J39"/>
  <c r="M39" s="1"/>
  <c r="N39"/>
  <c r="O39"/>
  <c r="Q39"/>
  <c r="R39"/>
  <c r="D40"/>
  <c r="G40"/>
  <c r="Q40"/>
  <c r="R40"/>
  <c r="E41"/>
  <c r="F41"/>
  <c r="H41"/>
  <c r="I41"/>
  <c r="K41"/>
  <c r="L41"/>
  <c r="D42"/>
  <c r="G42"/>
  <c r="J42"/>
  <c r="M42" s="1"/>
  <c r="N42"/>
  <c r="O42"/>
  <c r="D43"/>
  <c r="G43"/>
  <c r="J43"/>
  <c r="M43" s="1"/>
  <c r="N43"/>
  <c r="O43"/>
  <c r="Q43"/>
  <c r="R43"/>
  <c r="D44"/>
  <c r="G44"/>
  <c r="J44"/>
  <c r="M44" s="1"/>
  <c r="N44"/>
  <c r="O44"/>
  <c r="Q44"/>
  <c r="R44"/>
  <c r="E45"/>
  <c r="F45"/>
  <c r="H45"/>
  <c r="I45"/>
  <c r="K45"/>
  <c r="L45"/>
  <c r="O45" s="1"/>
  <c r="D46"/>
  <c r="G46"/>
  <c r="J46"/>
  <c r="M46" s="1"/>
  <c r="N46"/>
  <c r="O46"/>
  <c r="D47"/>
  <c r="G47"/>
  <c r="J47"/>
  <c r="M47" s="1"/>
  <c r="N47"/>
  <c r="O47"/>
  <c r="Q47"/>
  <c r="R47"/>
  <c r="E48"/>
  <c r="F48"/>
  <c r="H48"/>
  <c r="I48"/>
  <c r="K48"/>
  <c r="L48"/>
  <c r="D49"/>
  <c r="G49"/>
  <c r="J49"/>
  <c r="M49" s="1"/>
  <c r="N49"/>
  <c r="O49"/>
  <c r="Q49"/>
  <c r="R49"/>
  <c r="E50"/>
  <c r="F50"/>
  <c r="H50"/>
  <c r="I50"/>
  <c r="K50"/>
  <c r="N50" s="1"/>
  <c r="L50"/>
  <c r="D51"/>
  <c r="G51"/>
  <c r="J51"/>
  <c r="M51" s="1"/>
  <c r="N51"/>
  <c r="O51"/>
  <c r="D52"/>
  <c r="G52"/>
  <c r="J52"/>
  <c r="M52" s="1"/>
  <c r="N52"/>
  <c r="O52"/>
  <c r="Q52"/>
  <c r="R52"/>
  <c r="D53"/>
  <c r="G53"/>
  <c r="J53"/>
  <c r="M53" s="1"/>
  <c r="N53"/>
  <c r="O53"/>
  <c r="Q53"/>
  <c r="R53"/>
  <c r="E54"/>
  <c r="F54"/>
  <c r="H54"/>
  <c r="I54"/>
  <c r="K54"/>
  <c r="N54" s="1"/>
  <c r="L54"/>
  <c r="D55"/>
  <c r="G55"/>
  <c r="J55"/>
  <c r="M55" s="1"/>
  <c r="N55"/>
  <c r="O55"/>
  <c r="Q55"/>
  <c r="R55"/>
  <c r="D56"/>
  <c r="G56"/>
  <c r="J56"/>
  <c r="M56" s="1"/>
  <c r="N56"/>
  <c r="O56"/>
  <c r="Q56"/>
  <c r="R56"/>
  <c r="E57"/>
  <c r="F57"/>
  <c r="H57"/>
  <c r="I57"/>
  <c r="K57"/>
  <c r="N57" s="1"/>
  <c r="L57"/>
  <c r="D58"/>
  <c r="G58"/>
  <c r="J58"/>
  <c r="M58" s="1"/>
  <c r="N58"/>
  <c r="O58"/>
  <c r="Q58"/>
  <c r="R58"/>
  <c r="E59"/>
  <c r="F59"/>
  <c r="H59"/>
  <c r="I59"/>
  <c r="K59"/>
  <c r="N59" s="1"/>
  <c r="L59"/>
  <c r="D60"/>
  <c r="G60"/>
  <c r="J60"/>
  <c r="M60" s="1"/>
  <c r="N60"/>
  <c r="O60"/>
  <c r="Q60"/>
  <c r="R60"/>
  <c r="E61"/>
  <c r="F61"/>
  <c r="H61"/>
  <c r="I61"/>
  <c r="R61" s="1"/>
  <c r="K61"/>
  <c r="N61" s="1"/>
  <c r="L61"/>
  <c r="D62"/>
  <c r="G62"/>
  <c r="J62"/>
  <c r="M62" s="1"/>
  <c r="N62"/>
  <c r="O62"/>
  <c r="Q62"/>
  <c r="R62"/>
  <c r="E63"/>
  <c r="F63"/>
  <c r="H63"/>
  <c r="I63"/>
  <c r="K63"/>
  <c r="L63"/>
  <c r="D64"/>
  <c r="G64"/>
  <c r="M64"/>
  <c r="N64"/>
  <c r="O64"/>
  <c r="Q64"/>
  <c r="R64"/>
  <c r="E65"/>
  <c r="F65"/>
  <c r="H65"/>
  <c r="I65"/>
  <c r="K65"/>
  <c r="L65"/>
  <c r="O65" s="1"/>
  <c r="D66"/>
  <c r="G66"/>
  <c r="M66"/>
  <c r="N66"/>
  <c r="O66"/>
  <c r="Q66"/>
  <c r="R66"/>
  <c r="D67"/>
  <c r="G67"/>
  <c r="Q67"/>
  <c r="R67"/>
  <c r="D68"/>
  <c r="G68"/>
  <c r="Q68"/>
  <c r="R68"/>
  <c r="D69"/>
  <c r="G69"/>
  <c r="Q69"/>
  <c r="R69"/>
  <c r="D70"/>
  <c r="G70"/>
  <c r="Q70"/>
  <c r="R70"/>
  <c r="E72"/>
  <c r="F72"/>
  <c r="H72"/>
  <c r="I72"/>
  <c r="K72"/>
  <c r="L72"/>
  <c r="O72"/>
  <c r="D73"/>
  <c r="G73"/>
  <c r="J73"/>
  <c r="M73"/>
  <c r="N73"/>
  <c r="O73"/>
  <c r="Q73"/>
  <c r="R73"/>
  <c r="D74"/>
  <c r="G74"/>
  <c r="J74"/>
  <c r="M74" s="1"/>
  <c r="N74"/>
  <c r="O74"/>
  <c r="Q74"/>
  <c r="R74"/>
  <c r="E75"/>
  <c r="F75"/>
  <c r="H75"/>
  <c r="I75"/>
  <c r="K75"/>
  <c r="L75"/>
  <c r="O75" s="1"/>
  <c r="D76"/>
  <c r="G76"/>
  <c r="P76" s="1"/>
  <c r="J76"/>
  <c r="M76" s="1"/>
  <c r="N76"/>
  <c r="O76"/>
  <c r="Q76"/>
  <c r="R76"/>
  <c r="D77"/>
  <c r="G77"/>
  <c r="J77"/>
  <c r="M77" s="1"/>
  <c r="N77"/>
  <c r="O77"/>
  <c r="Q77"/>
  <c r="R77"/>
  <c r="E78"/>
  <c r="F78"/>
  <c r="H78"/>
  <c r="I78"/>
  <c r="R78" s="1"/>
  <c r="K78"/>
  <c r="L78"/>
  <c r="D79"/>
  <c r="G79"/>
  <c r="J79"/>
  <c r="N79"/>
  <c r="O79"/>
  <c r="Q79"/>
  <c r="R79"/>
  <c r="E80"/>
  <c r="F80"/>
  <c r="H80"/>
  <c r="I80"/>
  <c r="K80"/>
  <c r="L80"/>
  <c r="O80" s="1"/>
  <c r="D81"/>
  <c r="G81"/>
  <c r="J81"/>
  <c r="M81" s="1"/>
  <c r="N81"/>
  <c r="O81"/>
  <c r="Q81"/>
  <c r="R81"/>
  <c r="E82"/>
  <c r="F82"/>
  <c r="H82"/>
  <c r="I82"/>
  <c r="K82"/>
  <c r="L82"/>
  <c r="D83"/>
  <c r="G83"/>
  <c r="J83"/>
  <c r="N83"/>
  <c r="O83"/>
  <c r="Q83"/>
  <c r="R83"/>
  <c r="H84"/>
  <c r="I84"/>
  <c r="K84"/>
  <c r="N84" s="1"/>
  <c r="L84"/>
  <c r="E85"/>
  <c r="E84" s="1"/>
  <c r="F85"/>
  <c r="R85" s="1"/>
  <c r="G85"/>
  <c r="J85"/>
  <c r="M85" s="1"/>
  <c r="N85"/>
  <c r="O85"/>
  <c r="D86"/>
  <c r="G86"/>
  <c r="J86"/>
  <c r="M86" s="1"/>
  <c r="N86"/>
  <c r="O86"/>
  <c r="Q86"/>
  <c r="R86"/>
  <c r="E87"/>
  <c r="F87"/>
  <c r="H87"/>
  <c r="Q87" s="1"/>
  <c r="I87"/>
  <c r="K87"/>
  <c r="L87"/>
  <c r="D88"/>
  <c r="G88"/>
  <c r="J88"/>
  <c r="M88" s="1"/>
  <c r="N88"/>
  <c r="O88"/>
  <c r="Q88"/>
  <c r="R88"/>
  <c r="D91"/>
  <c r="H91"/>
  <c r="G91" s="1"/>
  <c r="J91"/>
  <c r="N91"/>
  <c r="O91"/>
  <c r="R91"/>
  <c r="D92"/>
  <c r="G92"/>
  <c r="J92"/>
  <c r="N92"/>
  <c r="O92"/>
  <c r="Q92"/>
  <c r="R92"/>
  <c r="D93"/>
  <c r="G93"/>
  <c r="J93"/>
  <c r="N93"/>
  <c r="O93"/>
  <c r="Q93"/>
  <c r="R93"/>
  <c r="D94"/>
  <c r="G94"/>
  <c r="J94"/>
  <c r="N94"/>
  <c r="O94"/>
  <c r="Q94"/>
  <c r="R94"/>
  <c r="D95"/>
  <c r="G95"/>
  <c r="J95"/>
  <c r="N95"/>
  <c r="O95"/>
  <c r="Q95"/>
  <c r="R95"/>
  <c r="D96"/>
  <c r="G96"/>
  <c r="J96"/>
  <c r="N96"/>
  <c r="O96"/>
  <c r="Q96"/>
  <c r="R96"/>
  <c r="D97"/>
  <c r="G97"/>
  <c r="J97"/>
  <c r="N97"/>
  <c r="O97"/>
  <c r="Q97"/>
  <c r="R97"/>
  <c r="D98"/>
  <c r="G98"/>
  <c r="J98"/>
  <c r="N98"/>
  <c r="O98"/>
  <c r="Q98"/>
  <c r="R98"/>
  <c r="D99"/>
  <c r="G99"/>
  <c r="J99"/>
  <c r="N99"/>
  <c r="O99"/>
  <c r="Q99"/>
  <c r="R99"/>
  <c r="D100"/>
  <c r="G100"/>
  <c r="J100"/>
  <c r="N100"/>
  <c r="O100"/>
  <c r="Q100"/>
  <c r="R100"/>
  <c r="E101"/>
  <c r="F101"/>
  <c r="H101"/>
  <c r="I101"/>
  <c r="J101"/>
  <c r="M101" s="1"/>
  <c r="N101"/>
  <c r="O101"/>
  <c r="E102"/>
  <c r="F102"/>
  <c r="H102"/>
  <c r="I102"/>
  <c r="D103"/>
  <c r="G103"/>
  <c r="J103"/>
  <c r="N103"/>
  <c r="O103"/>
  <c r="Q103"/>
  <c r="R103"/>
  <c r="D104"/>
  <c r="G104"/>
  <c r="J104"/>
  <c r="N104"/>
  <c r="O104"/>
  <c r="Q104"/>
  <c r="R104"/>
  <c r="D105"/>
  <c r="G105"/>
  <c r="J105"/>
  <c r="M105" s="1"/>
  <c r="N105"/>
  <c r="O105"/>
  <c r="Q105"/>
  <c r="R105"/>
  <c r="D106"/>
  <c r="G106"/>
  <c r="J106"/>
  <c r="M106" s="1"/>
  <c r="N106"/>
  <c r="O106"/>
  <c r="Q106"/>
  <c r="R106"/>
  <c r="D107"/>
  <c r="G107"/>
  <c r="J107"/>
  <c r="M107" s="1"/>
  <c r="N107"/>
  <c r="O107"/>
  <c r="Q107"/>
  <c r="R107"/>
  <c r="D108"/>
  <c r="P108" s="1"/>
  <c r="G108"/>
  <c r="J108"/>
  <c r="M108" s="1"/>
  <c r="N108"/>
  <c r="O108"/>
  <c r="Q108"/>
  <c r="R108"/>
  <c r="D109"/>
  <c r="G109"/>
  <c r="J109"/>
  <c r="M109" s="1"/>
  <c r="N109"/>
  <c r="O109"/>
  <c r="Q109"/>
  <c r="R109"/>
  <c r="D110"/>
  <c r="G110"/>
  <c r="J110"/>
  <c r="N110"/>
  <c r="O110"/>
  <c r="Q110"/>
  <c r="R110"/>
  <c r="D111"/>
  <c r="G111"/>
  <c r="J111"/>
  <c r="M111" s="1"/>
  <c r="N111"/>
  <c r="O111"/>
  <c r="Q111"/>
  <c r="R111"/>
  <c r="D112"/>
  <c r="G112"/>
  <c r="J112"/>
  <c r="M112" s="1"/>
  <c r="N112"/>
  <c r="O112"/>
  <c r="Q112"/>
  <c r="R112"/>
  <c r="D113"/>
  <c r="G113"/>
  <c r="J113"/>
  <c r="M113" s="1"/>
  <c r="N113"/>
  <c r="O113"/>
  <c r="Q113"/>
  <c r="R113"/>
  <c r="D114"/>
  <c r="G114"/>
  <c r="J114"/>
  <c r="M114" s="1"/>
  <c r="N114"/>
  <c r="O114"/>
  <c r="Q114"/>
  <c r="R114"/>
  <c r="D115"/>
  <c r="G115"/>
  <c r="J115"/>
  <c r="M115" s="1"/>
  <c r="N115"/>
  <c r="O115"/>
  <c r="Q115"/>
  <c r="R115"/>
  <c r="D116"/>
  <c r="G116"/>
  <c r="J116"/>
  <c r="M116" s="1"/>
  <c r="N116"/>
  <c r="O116"/>
  <c r="Q116"/>
  <c r="R116"/>
  <c r="D117"/>
  <c r="G117"/>
  <c r="J117"/>
  <c r="M117" s="1"/>
  <c r="N117"/>
  <c r="O117"/>
  <c r="Q117"/>
  <c r="R117"/>
  <c r="D118"/>
  <c r="G118"/>
  <c r="P118" s="1"/>
  <c r="J118"/>
  <c r="M118" s="1"/>
  <c r="N118"/>
  <c r="O118"/>
  <c r="Q118"/>
  <c r="R118"/>
  <c r="D119"/>
  <c r="G119"/>
  <c r="J119"/>
  <c r="M119" s="1"/>
  <c r="N119"/>
  <c r="O119"/>
  <c r="Q119"/>
  <c r="R119"/>
  <c r="D120"/>
  <c r="G120"/>
  <c r="J120"/>
  <c r="M120" s="1"/>
  <c r="N120"/>
  <c r="O120"/>
  <c r="Q120"/>
  <c r="R120"/>
  <c r="D121"/>
  <c r="G121"/>
  <c r="J121"/>
  <c r="M121" s="1"/>
  <c r="N121"/>
  <c r="O121"/>
  <c r="Q121"/>
  <c r="R121"/>
  <c r="D122"/>
  <c r="G122"/>
  <c r="J122"/>
  <c r="M122" s="1"/>
  <c r="N122"/>
  <c r="O122"/>
  <c r="Q122"/>
  <c r="R122"/>
  <c r="D123"/>
  <c r="G123"/>
  <c r="J123"/>
  <c r="M123" s="1"/>
  <c r="N123"/>
  <c r="O123"/>
  <c r="Q123"/>
  <c r="R123"/>
  <c r="D124"/>
  <c r="G124"/>
  <c r="J124"/>
  <c r="M124" s="1"/>
  <c r="N124"/>
  <c r="O124"/>
  <c r="Q124"/>
  <c r="R124"/>
  <c r="D125"/>
  <c r="G125"/>
  <c r="J125"/>
  <c r="M125" s="1"/>
  <c r="N125"/>
  <c r="O125"/>
  <c r="Q125"/>
  <c r="R125"/>
  <c r="D126"/>
  <c r="G126"/>
  <c r="J126"/>
  <c r="M126" s="1"/>
  <c r="N126"/>
  <c r="O126"/>
  <c r="Q126"/>
  <c r="R126"/>
  <c r="D127"/>
  <c r="G127"/>
  <c r="J127"/>
  <c r="M127" s="1"/>
  <c r="N127"/>
  <c r="O127"/>
  <c r="Q127"/>
  <c r="R127"/>
  <c r="D128"/>
  <c r="G128"/>
  <c r="J128"/>
  <c r="M128" s="1"/>
  <c r="N128"/>
  <c r="O128"/>
  <c r="D129"/>
  <c r="G129"/>
  <c r="J129"/>
  <c r="M129" s="1"/>
  <c r="N129"/>
  <c r="O129"/>
  <c r="Q129"/>
  <c r="R129"/>
  <c r="D130"/>
  <c r="G130"/>
  <c r="J130"/>
  <c r="M130" s="1"/>
  <c r="N130"/>
  <c r="O130"/>
  <c r="Q130"/>
  <c r="R130"/>
  <c r="D131"/>
  <c r="G131"/>
  <c r="J131"/>
  <c r="M131" s="1"/>
  <c r="N131"/>
  <c r="O131"/>
  <c r="Q131"/>
  <c r="R131"/>
  <c r="D132"/>
  <c r="G132"/>
  <c r="J132"/>
  <c r="M132" s="1"/>
  <c r="N132"/>
  <c r="O132"/>
  <c r="Q132"/>
  <c r="R132"/>
  <c r="D133"/>
  <c r="G133"/>
  <c r="J133"/>
  <c r="M133" s="1"/>
  <c r="N133"/>
  <c r="O133"/>
  <c r="Q133"/>
  <c r="R133"/>
  <c r="D134"/>
  <c r="G134"/>
  <c r="J134"/>
  <c r="M134" s="1"/>
  <c r="N134"/>
  <c r="O134"/>
  <c r="Q134"/>
  <c r="R134"/>
  <c r="D135"/>
  <c r="G135"/>
  <c r="P135" s="1"/>
  <c r="J135"/>
  <c r="M135" s="1"/>
  <c r="N135"/>
  <c r="O135"/>
  <c r="Q135"/>
  <c r="R135"/>
  <c r="D136"/>
  <c r="G136"/>
  <c r="J136"/>
  <c r="M136" s="1"/>
  <c r="N136"/>
  <c r="O136"/>
  <c r="Q136"/>
  <c r="R136"/>
  <c r="D137"/>
  <c r="G137"/>
  <c r="J137"/>
  <c r="M137" s="1"/>
  <c r="N137"/>
  <c r="O137"/>
  <c r="Q137"/>
  <c r="R137"/>
  <c r="D138"/>
  <c r="G138"/>
  <c r="J138"/>
  <c r="M138" s="1"/>
  <c r="N138"/>
  <c r="O138"/>
  <c r="Q138"/>
  <c r="R138"/>
  <c r="D139"/>
  <c r="G139"/>
  <c r="J139"/>
  <c r="M139" s="1"/>
  <c r="N139"/>
  <c r="O139"/>
  <c r="Q139"/>
  <c r="R139"/>
  <c r="D140"/>
  <c r="G140"/>
  <c r="J140"/>
  <c r="M140" s="1"/>
  <c r="N140"/>
  <c r="O140"/>
  <c r="Q140"/>
  <c r="R140"/>
  <c r="D141"/>
  <c r="G141"/>
  <c r="J141"/>
  <c r="M141" s="1"/>
  <c r="N141"/>
  <c r="O141"/>
  <c r="Q141"/>
  <c r="R141"/>
  <c r="D142"/>
  <c r="G142"/>
  <c r="J142"/>
  <c r="M142" s="1"/>
  <c r="N142"/>
  <c r="O142"/>
  <c r="Q142"/>
  <c r="R142"/>
  <c r="D143"/>
  <c r="G143"/>
  <c r="J143"/>
  <c r="M143" s="1"/>
  <c r="N143"/>
  <c r="O143"/>
  <c r="Q143"/>
  <c r="R143"/>
  <c r="D144"/>
  <c r="G144"/>
  <c r="J144"/>
  <c r="M144" s="1"/>
  <c r="N144"/>
  <c r="O144"/>
  <c r="Q144"/>
  <c r="R144"/>
  <c r="K145"/>
  <c r="K90" s="1"/>
  <c r="L145"/>
  <c r="D146"/>
  <c r="G146"/>
  <c r="J146"/>
  <c r="M146" s="1"/>
  <c r="N146"/>
  <c r="O146"/>
  <c r="Q146"/>
  <c r="R146"/>
  <c r="D147"/>
  <c r="G147"/>
  <c r="J147"/>
  <c r="M147" s="1"/>
  <c r="N147"/>
  <c r="O147"/>
  <c r="Q147"/>
  <c r="R147"/>
  <c r="D148"/>
  <c r="G148"/>
  <c r="J148"/>
  <c r="M148" s="1"/>
  <c r="N148"/>
  <c r="O148"/>
  <c r="Q148"/>
  <c r="R148"/>
  <c r="D149"/>
  <c r="G149"/>
  <c r="J149"/>
  <c r="M149" s="1"/>
  <c r="N149"/>
  <c r="O149"/>
  <c r="Q149"/>
  <c r="R149"/>
  <c r="D150"/>
  <c r="G150"/>
  <c r="J150"/>
  <c r="M150" s="1"/>
  <c r="N150"/>
  <c r="O150"/>
  <c r="Q150"/>
  <c r="R150"/>
  <c r="F151"/>
  <c r="G151"/>
  <c r="J151"/>
  <c r="M151" s="1"/>
  <c r="N151"/>
  <c r="O151"/>
  <c r="Q151"/>
  <c r="F152"/>
  <c r="D152" s="1"/>
  <c r="G152"/>
  <c r="J152"/>
  <c r="M152" s="1"/>
  <c r="N152"/>
  <c r="O152"/>
  <c r="Q152"/>
  <c r="D153"/>
  <c r="G153"/>
  <c r="J153"/>
  <c r="M153" s="1"/>
  <c r="N153"/>
  <c r="O153"/>
  <c r="Q153"/>
  <c r="R153"/>
  <c r="D154"/>
  <c r="G154"/>
  <c r="J154"/>
  <c r="M154" s="1"/>
  <c r="N154"/>
  <c r="O154"/>
  <c r="Q154"/>
  <c r="R154"/>
  <c r="D155"/>
  <c r="G155"/>
  <c r="J155"/>
  <c r="Q155"/>
  <c r="R155"/>
  <c r="D156"/>
  <c r="G156"/>
  <c r="J156"/>
  <c r="Q156"/>
  <c r="R156"/>
  <c r="D157"/>
  <c r="G157"/>
  <c r="J157"/>
  <c r="Q157"/>
  <c r="R157"/>
  <c r="D158"/>
  <c r="G158"/>
  <c r="J158"/>
  <c r="Q158"/>
  <c r="R158"/>
  <c r="D159"/>
  <c r="G159"/>
  <c r="J159"/>
  <c r="Q159"/>
  <c r="R159"/>
  <c r="D160"/>
  <c r="G160"/>
  <c r="J160"/>
  <c r="Q160"/>
  <c r="R160"/>
  <c r="D161"/>
  <c r="G161"/>
  <c r="J161"/>
  <c r="M161" s="1"/>
  <c r="N161"/>
  <c r="O161"/>
  <c r="Q161"/>
  <c r="R161"/>
  <c r="D162"/>
  <c r="G162"/>
  <c r="J162"/>
  <c r="M162" s="1"/>
  <c r="N162"/>
  <c r="O162"/>
  <c r="Q162"/>
  <c r="R162"/>
  <c r="D163"/>
  <c r="G163"/>
  <c r="J163"/>
  <c r="N163"/>
  <c r="O163"/>
  <c r="Q163"/>
  <c r="R163"/>
  <c r="D164"/>
  <c r="G164"/>
  <c r="J164"/>
  <c r="M164" s="1"/>
  <c r="N164"/>
  <c r="O164"/>
  <c r="Q164"/>
  <c r="R164"/>
  <c r="D165"/>
  <c r="G165"/>
  <c r="J165"/>
  <c r="M165" s="1"/>
  <c r="N165"/>
  <c r="O165"/>
  <c r="Q165"/>
  <c r="R165"/>
  <c r="D166"/>
  <c r="G166"/>
  <c r="J166"/>
  <c r="M166" s="1"/>
  <c r="N166"/>
  <c r="O166"/>
  <c r="Q166"/>
  <c r="R166"/>
  <c r="D167"/>
  <c r="G167"/>
  <c r="J167"/>
  <c r="M167" s="1"/>
  <c r="N167"/>
  <c r="O167"/>
  <c r="Q167"/>
  <c r="R167"/>
  <c r="D168"/>
  <c r="G168"/>
  <c r="J168"/>
  <c r="M168" s="1"/>
  <c r="N168"/>
  <c r="O168"/>
  <c r="Q168"/>
  <c r="R168"/>
  <c r="D169"/>
  <c r="G169"/>
  <c r="J169"/>
  <c r="N169"/>
  <c r="O169"/>
  <c r="Q169"/>
  <c r="R169"/>
  <c r="D170"/>
  <c r="G170"/>
  <c r="J170"/>
  <c r="M170" s="1"/>
  <c r="N170"/>
  <c r="O170"/>
  <c r="Q170"/>
  <c r="R170"/>
  <c r="D171"/>
  <c r="G171"/>
  <c r="J171"/>
  <c r="M171" s="1"/>
  <c r="N171"/>
  <c r="O171"/>
  <c r="Q171"/>
  <c r="R171"/>
  <c r="D172"/>
  <c r="G172"/>
  <c r="J172"/>
  <c r="M172" s="1"/>
  <c r="N172"/>
  <c r="O172"/>
  <c r="Q172"/>
  <c r="R172"/>
  <c r="D173"/>
  <c r="G173"/>
  <c r="J173"/>
  <c r="M173" s="1"/>
  <c r="N173"/>
  <c r="O173"/>
  <c r="Q173"/>
  <c r="R173"/>
  <c r="E174"/>
  <c r="G174"/>
  <c r="J174"/>
  <c r="N174"/>
  <c r="O174"/>
  <c r="Q174"/>
  <c r="R174"/>
  <c r="F176"/>
  <c r="D176" s="1"/>
  <c r="I176"/>
  <c r="I242" s="1"/>
  <c r="J176"/>
  <c r="N176"/>
  <c r="Q176"/>
  <c r="D177"/>
  <c r="G177"/>
  <c r="J177"/>
  <c r="N177"/>
  <c r="O177"/>
  <c r="Q177"/>
  <c r="R177"/>
  <c r="D178"/>
  <c r="G178"/>
  <c r="J178"/>
  <c r="N178"/>
  <c r="O178"/>
  <c r="Q178"/>
  <c r="R178"/>
  <c r="D179"/>
  <c r="G179"/>
  <c r="J179"/>
  <c r="M179" s="1"/>
  <c r="N179"/>
  <c r="O179"/>
  <c r="Q179"/>
  <c r="R179"/>
  <c r="D180"/>
  <c r="G180"/>
  <c r="J180"/>
  <c r="M180" s="1"/>
  <c r="N180"/>
  <c r="O180"/>
  <c r="Q180"/>
  <c r="R180"/>
  <c r="E181"/>
  <c r="F181"/>
  <c r="H181"/>
  <c r="I181"/>
  <c r="J181"/>
  <c r="M181" s="1"/>
  <c r="N181"/>
  <c r="O181"/>
  <c r="E182"/>
  <c r="F182"/>
  <c r="H182"/>
  <c r="I182"/>
  <c r="D183"/>
  <c r="G183"/>
  <c r="J183"/>
  <c r="M183" s="1"/>
  <c r="N183"/>
  <c r="O183"/>
  <c r="Q183"/>
  <c r="R183"/>
  <c r="D184"/>
  <c r="G184"/>
  <c r="J184"/>
  <c r="M184" s="1"/>
  <c r="N184"/>
  <c r="O184"/>
  <c r="Q184"/>
  <c r="R184"/>
  <c r="D185"/>
  <c r="G185"/>
  <c r="J185"/>
  <c r="M185" s="1"/>
  <c r="N185"/>
  <c r="O185"/>
  <c r="Q185"/>
  <c r="R185"/>
  <c r="D186"/>
  <c r="G186"/>
  <c r="Q186"/>
  <c r="R186"/>
  <c r="D187"/>
  <c r="G187"/>
  <c r="Q187"/>
  <c r="R187"/>
  <c r="D188"/>
  <c r="G188"/>
  <c r="J188"/>
  <c r="M188" s="1"/>
  <c r="N188"/>
  <c r="O188"/>
  <c r="Q188"/>
  <c r="R188"/>
  <c r="D189"/>
  <c r="G189"/>
  <c r="J189"/>
  <c r="N189"/>
  <c r="O189"/>
  <c r="Q189"/>
  <c r="R189"/>
  <c r="D190"/>
  <c r="G190"/>
  <c r="J190"/>
  <c r="M190" s="1"/>
  <c r="N190"/>
  <c r="O190"/>
  <c r="Q190"/>
  <c r="R190"/>
  <c r="D191"/>
  <c r="P191" s="1"/>
  <c r="G191"/>
  <c r="J191"/>
  <c r="M191" s="1"/>
  <c r="N191"/>
  <c r="O191"/>
  <c r="Q191"/>
  <c r="R191"/>
  <c r="D192"/>
  <c r="G192"/>
  <c r="J192"/>
  <c r="M192" s="1"/>
  <c r="N192"/>
  <c r="O192"/>
  <c r="Q192"/>
  <c r="R192"/>
  <c r="D193"/>
  <c r="G193"/>
  <c r="P193" s="1"/>
  <c r="J193"/>
  <c r="M193" s="1"/>
  <c r="N193"/>
  <c r="O193"/>
  <c r="Q193"/>
  <c r="R193"/>
  <c r="D194"/>
  <c r="G194"/>
  <c r="J194"/>
  <c r="M194" s="1"/>
  <c r="N194"/>
  <c r="O194"/>
  <c r="Q194"/>
  <c r="R194"/>
  <c r="D195"/>
  <c r="G195"/>
  <c r="J195"/>
  <c r="M195" s="1"/>
  <c r="N195"/>
  <c r="O195"/>
  <c r="Q195"/>
  <c r="R195"/>
  <c r="D196"/>
  <c r="G196"/>
  <c r="J196"/>
  <c r="M196" s="1"/>
  <c r="N196"/>
  <c r="O196"/>
  <c r="Q196"/>
  <c r="R196"/>
  <c r="D197"/>
  <c r="G197"/>
  <c r="P197" s="1"/>
  <c r="J197"/>
  <c r="M197" s="1"/>
  <c r="N197"/>
  <c r="O197"/>
  <c r="Q197"/>
  <c r="R197"/>
  <c r="D198"/>
  <c r="G198"/>
  <c r="J198"/>
  <c r="M198" s="1"/>
  <c r="N198"/>
  <c r="O198"/>
  <c r="Q198"/>
  <c r="R198"/>
  <c r="D199"/>
  <c r="G199"/>
  <c r="J199"/>
  <c r="M199" s="1"/>
  <c r="N199"/>
  <c r="O199"/>
  <c r="Q199"/>
  <c r="R199"/>
  <c r="D200"/>
  <c r="P200" s="1"/>
  <c r="G200"/>
  <c r="J200"/>
  <c r="N200"/>
  <c r="O200"/>
  <c r="Q200"/>
  <c r="R200"/>
  <c r="D201"/>
  <c r="G201"/>
  <c r="J201"/>
  <c r="M201" s="1"/>
  <c r="N201"/>
  <c r="O201"/>
  <c r="Q201"/>
  <c r="R201"/>
  <c r="D202"/>
  <c r="G202"/>
  <c r="J202"/>
  <c r="N202"/>
  <c r="O202"/>
  <c r="Q202"/>
  <c r="R202"/>
  <c r="D203"/>
  <c r="G203"/>
  <c r="J203"/>
  <c r="M203" s="1"/>
  <c r="N203"/>
  <c r="O203"/>
  <c r="Q203"/>
  <c r="R203"/>
  <c r="D204"/>
  <c r="G204"/>
  <c r="J204"/>
  <c r="M204" s="1"/>
  <c r="N204"/>
  <c r="O204"/>
  <c r="Q204"/>
  <c r="R204"/>
  <c r="D205"/>
  <c r="G205"/>
  <c r="J205"/>
  <c r="N205"/>
  <c r="O205"/>
  <c r="Q205"/>
  <c r="R205"/>
  <c r="E208"/>
  <c r="F208"/>
  <c r="H208"/>
  <c r="I208"/>
  <c r="K208"/>
  <c r="L208"/>
  <c r="O208" s="1"/>
  <c r="D209"/>
  <c r="G209"/>
  <c r="J209"/>
  <c r="M209" s="1"/>
  <c r="N209"/>
  <c r="O209"/>
  <c r="E210"/>
  <c r="F210"/>
  <c r="H210"/>
  <c r="I210"/>
  <c r="K210"/>
  <c r="N210" s="1"/>
  <c r="L210"/>
  <c r="D211"/>
  <c r="G211"/>
  <c r="J211"/>
  <c r="M211" s="1"/>
  <c r="N211"/>
  <c r="O211"/>
  <c r="Q211"/>
  <c r="R211"/>
  <c r="E212"/>
  <c r="F212"/>
  <c r="H212"/>
  <c r="I212"/>
  <c r="K212"/>
  <c r="N212" s="1"/>
  <c r="L212"/>
  <c r="D213"/>
  <c r="G213"/>
  <c r="J213"/>
  <c r="M213" s="1"/>
  <c r="N213"/>
  <c r="O213"/>
  <c r="Q213"/>
  <c r="R213"/>
  <c r="E214"/>
  <c r="F214"/>
  <c r="H214"/>
  <c r="I214"/>
  <c r="K214"/>
  <c r="N214" s="1"/>
  <c r="L214"/>
  <c r="O214" s="1"/>
  <c r="D215"/>
  <c r="G215"/>
  <c r="J215"/>
  <c r="M215" s="1"/>
  <c r="N215"/>
  <c r="O215"/>
  <c r="E218"/>
  <c r="F218"/>
  <c r="K218"/>
  <c r="L218"/>
  <c r="D219"/>
  <c r="G219"/>
  <c r="J219"/>
  <c r="M219" s="1"/>
  <c r="N219"/>
  <c r="O219"/>
  <c r="D220"/>
  <c r="H220"/>
  <c r="I220"/>
  <c r="O220" s="1"/>
  <c r="J220"/>
  <c r="D221"/>
  <c r="G221"/>
  <c r="J221"/>
  <c r="N221"/>
  <c r="N242" s="1"/>
  <c r="O221"/>
  <c r="O242" s="1"/>
  <c r="Q221"/>
  <c r="R221"/>
  <c r="D222"/>
  <c r="H222"/>
  <c r="I222"/>
  <c r="R222" s="1"/>
  <c r="J222"/>
  <c r="M222" s="1"/>
  <c r="N222"/>
  <c r="O222"/>
  <c r="O243" s="1"/>
  <c r="D223"/>
  <c r="H223"/>
  <c r="I223"/>
  <c r="R223" s="1"/>
  <c r="J223"/>
  <c r="M223" s="1"/>
  <c r="N223"/>
  <c r="O223"/>
  <c r="D224"/>
  <c r="H224"/>
  <c r="I224"/>
  <c r="R224" s="1"/>
  <c r="J224"/>
  <c r="M224" s="1"/>
  <c r="N224"/>
  <c r="O224"/>
  <c r="D225"/>
  <c r="H225"/>
  <c r="Q225" s="1"/>
  <c r="I225"/>
  <c r="J225"/>
  <c r="N225"/>
  <c r="D226"/>
  <c r="H226"/>
  <c r="I226"/>
  <c r="J226"/>
  <c r="D227"/>
  <c r="H227"/>
  <c r="I227"/>
  <c r="R227" s="1"/>
  <c r="J227"/>
  <c r="D228"/>
  <c r="H228"/>
  <c r="Q228" s="1"/>
  <c r="I228"/>
  <c r="J228"/>
  <c r="D229"/>
  <c r="H229"/>
  <c r="I229"/>
  <c r="J229"/>
  <c r="M229" s="1"/>
  <c r="N229"/>
  <c r="O229"/>
  <c r="D230"/>
  <c r="H230"/>
  <c r="I230"/>
  <c r="R230" s="1"/>
  <c r="J230"/>
  <c r="M230" s="1"/>
  <c r="N230"/>
  <c r="O230"/>
  <c r="D231"/>
  <c r="H231"/>
  <c r="I231"/>
  <c r="R231" s="1"/>
  <c r="J231"/>
  <c r="M231" s="1"/>
  <c r="N231"/>
  <c r="O231"/>
  <c r="E232"/>
  <c r="F232"/>
  <c r="H232"/>
  <c r="I232"/>
  <c r="K232"/>
  <c r="L232"/>
  <c r="D233"/>
  <c r="G233"/>
  <c r="J233"/>
  <c r="M233" s="1"/>
  <c r="N233"/>
  <c r="O233"/>
  <c r="Q233"/>
  <c r="R233"/>
  <c r="E234"/>
  <c r="F234"/>
  <c r="H234"/>
  <c r="I234"/>
  <c r="K234"/>
  <c r="N234" s="1"/>
  <c r="L234"/>
  <c r="D235"/>
  <c r="G235"/>
  <c r="J235"/>
  <c r="M235" s="1"/>
  <c r="N235"/>
  <c r="O235"/>
  <c r="Q235"/>
  <c r="R235"/>
  <c r="D236"/>
  <c r="G236"/>
  <c r="P236" s="1"/>
  <c r="J236"/>
  <c r="N236"/>
  <c r="O236"/>
  <c r="Q236"/>
  <c r="R236"/>
  <c r="D237"/>
  <c r="G237"/>
  <c r="J237"/>
  <c r="N237"/>
  <c r="O237"/>
  <c r="Q237"/>
  <c r="R237"/>
  <c r="P238"/>
  <c r="Q238"/>
  <c r="R238"/>
  <c r="E239"/>
  <c r="F239"/>
  <c r="I239"/>
  <c r="K239"/>
  <c r="L239"/>
  <c r="E242"/>
  <c r="H242"/>
  <c r="K242"/>
  <c r="L242"/>
  <c r="E243"/>
  <c r="F243"/>
  <c r="H243"/>
  <c r="I243"/>
  <c r="G243" s="1"/>
  <c r="K243"/>
  <c r="L243"/>
  <c r="C4" i="32"/>
  <c r="O14"/>
  <c r="P14"/>
  <c r="C17"/>
  <c r="F17"/>
  <c r="I17"/>
  <c r="L17" s="1"/>
  <c r="M17"/>
  <c r="N17"/>
  <c r="O17"/>
  <c r="P17"/>
  <c r="C18"/>
  <c r="F18"/>
  <c r="I18"/>
  <c r="L18" s="1"/>
  <c r="M18"/>
  <c r="N18"/>
  <c r="O18"/>
  <c r="P18"/>
  <c r="D19"/>
  <c r="E19"/>
  <c r="G19"/>
  <c r="H19"/>
  <c r="J19"/>
  <c r="K19"/>
  <c r="N19" s="1"/>
  <c r="C20"/>
  <c r="F20"/>
  <c r="I20"/>
  <c r="L20" s="1"/>
  <c r="M20"/>
  <c r="N20"/>
  <c r="D21"/>
  <c r="E21"/>
  <c r="G21"/>
  <c r="H21"/>
  <c r="J21"/>
  <c r="K21"/>
  <c r="C22"/>
  <c r="F22"/>
  <c r="L22"/>
  <c r="M22"/>
  <c r="N22"/>
  <c r="C23"/>
  <c r="F23"/>
  <c r="L23"/>
  <c r="M23"/>
  <c r="N23"/>
  <c r="C24"/>
  <c r="F24"/>
  <c r="L24"/>
  <c r="M24"/>
  <c r="N24"/>
  <c r="D25"/>
  <c r="E25"/>
  <c r="G25"/>
  <c r="H25"/>
  <c r="J25"/>
  <c r="K25"/>
  <c r="C26"/>
  <c r="F26"/>
  <c r="I26"/>
  <c r="L26" s="1"/>
  <c r="M26"/>
  <c r="N26"/>
  <c r="D27"/>
  <c r="E27"/>
  <c r="G27"/>
  <c r="H27"/>
  <c r="J27"/>
  <c r="M27" s="1"/>
  <c r="K27"/>
  <c r="C28"/>
  <c r="F28"/>
  <c r="I28"/>
  <c r="L28" s="1"/>
  <c r="M28"/>
  <c r="N28"/>
  <c r="C29"/>
  <c r="F29"/>
  <c r="I29"/>
  <c r="L29" s="1"/>
  <c r="M29"/>
  <c r="N29"/>
  <c r="D30"/>
  <c r="E30"/>
  <c r="G30"/>
  <c r="F30" s="1"/>
  <c r="H30"/>
  <c r="J30"/>
  <c r="K30"/>
  <c r="N30" s="1"/>
  <c r="C31"/>
  <c r="F31"/>
  <c r="I31"/>
  <c r="L31" s="1"/>
  <c r="M31"/>
  <c r="N31"/>
  <c r="D32"/>
  <c r="E32"/>
  <c r="G32"/>
  <c r="H32"/>
  <c r="F32" s="1"/>
  <c r="J32"/>
  <c r="M32" s="1"/>
  <c r="K32"/>
  <c r="C33"/>
  <c r="F33"/>
  <c r="I33"/>
  <c r="L33" s="1"/>
  <c r="M33"/>
  <c r="N33"/>
  <c r="C34"/>
  <c r="F34"/>
  <c r="I34"/>
  <c r="L34" s="1"/>
  <c r="M34"/>
  <c r="N34"/>
  <c r="C35"/>
  <c r="F35"/>
  <c r="I35"/>
  <c r="L35" s="1"/>
  <c r="M35"/>
  <c r="N35"/>
  <c r="D36"/>
  <c r="E36"/>
  <c r="C36"/>
  <c r="G36"/>
  <c r="H36"/>
  <c r="J36"/>
  <c r="K36"/>
  <c r="N36" s="1"/>
  <c r="C37"/>
  <c r="F37"/>
  <c r="I37"/>
  <c r="L37"/>
  <c r="M37"/>
  <c r="N37"/>
  <c r="C38"/>
  <c r="F38"/>
  <c r="I38"/>
  <c r="L38" s="1"/>
  <c r="M38"/>
  <c r="N38"/>
  <c r="D39"/>
  <c r="C39" s="1"/>
  <c r="E39"/>
  <c r="G39"/>
  <c r="H39"/>
  <c r="J39"/>
  <c r="I39" s="1"/>
  <c r="L39" s="1"/>
  <c r="K39"/>
  <c r="C40"/>
  <c r="F40"/>
  <c r="I40"/>
  <c r="L40" s="1"/>
  <c r="M40"/>
  <c r="N40"/>
  <c r="D41"/>
  <c r="E41"/>
  <c r="G41"/>
  <c r="H41"/>
  <c r="J41"/>
  <c r="M41" s="1"/>
  <c r="K41"/>
  <c r="N41" s="1"/>
  <c r="C42"/>
  <c r="F42"/>
  <c r="L42"/>
  <c r="M42"/>
  <c r="N42"/>
  <c r="D43"/>
  <c r="E43"/>
  <c r="G43"/>
  <c r="H43"/>
  <c r="J43"/>
  <c r="K43"/>
  <c r="C44"/>
  <c r="F44"/>
  <c r="L44"/>
  <c r="M44"/>
  <c r="N44"/>
  <c r="D45"/>
  <c r="E45"/>
  <c r="G45"/>
  <c r="H45"/>
  <c r="J45"/>
  <c r="M45" s="1"/>
  <c r="K45"/>
  <c r="N45" s="1"/>
  <c r="C46"/>
  <c r="F46"/>
  <c r="L46"/>
  <c r="M46"/>
  <c r="N46"/>
  <c r="D47"/>
  <c r="E47"/>
  <c r="G47"/>
  <c r="H47"/>
  <c r="J47"/>
  <c r="K47"/>
  <c r="C48"/>
  <c r="F48"/>
  <c r="L48"/>
  <c r="M48"/>
  <c r="N48"/>
  <c r="D49"/>
  <c r="E49"/>
  <c r="G49"/>
  <c r="H49"/>
  <c r="J49"/>
  <c r="K49"/>
  <c r="C50"/>
  <c r="F50"/>
  <c r="L50"/>
  <c r="M50"/>
  <c r="N50"/>
  <c r="D51"/>
  <c r="E51"/>
  <c r="G51"/>
  <c r="H51"/>
  <c r="J51"/>
  <c r="K51"/>
  <c r="C52"/>
  <c r="F52"/>
  <c r="L52"/>
  <c r="M52"/>
  <c r="N52"/>
  <c r="D53"/>
  <c r="E53"/>
  <c r="G53"/>
  <c r="H53"/>
  <c r="J53"/>
  <c r="K53"/>
  <c r="C54"/>
  <c r="F54"/>
  <c r="L54"/>
  <c r="M54"/>
  <c r="N54"/>
  <c r="C55"/>
  <c r="F55"/>
  <c r="L55"/>
  <c r="M55"/>
  <c r="N55"/>
  <c r="C56"/>
  <c r="F56"/>
  <c r="L56"/>
  <c r="M56"/>
  <c r="N56"/>
  <c r="C57"/>
  <c r="F57"/>
  <c r="L57"/>
  <c r="M57"/>
  <c r="N57"/>
  <c r="C58"/>
  <c r="F58"/>
  <c r="L58"/>
  <c r="M58"/>
  <c r="N58"/>
  <c r="D60"/>
  <c r="E60"/>
  <c r="G60"/>
  <c r="H60"/>
  <c r="J60"/>
  <c r="K60"/>
  <c r="C61"/>
  <c r="F61"/>
  <c r="I61"/>
  <c r="L61" s="1"/>
  <c r="M61"/>
  <c r="N61"/>
  <c r="C62"/>
  <c r="F62"/>
  <c r="I62"/>
  <c r="L62" s="1"/>
  <c r="M62"/>
  <c r="N62"/>
  <c r="D63"/>
  <c r="E63"/>
  <c r="G63"/>
  <c r="H63"/>
  <c r="J63"/>
  <c r="M63" s="1"/>
  <c r="K63"/>
  <c r="C64"/>
  <c r="F64"/>
  <c r="I64"/>
  <c r="L64" s="1"/>
  <c r="M64"/>
  <c r="N64"/>
  <c r="O64"/>
  <c r="P64"/>
  <c r="C65"/>
  <c r="F65"/>
  <c r="I65"/>
  <c r="L65" s="1"/>
  <c r="M65"/>
  <c r="N65"/>
  <c r="D66"/>
  <c r="E66"/>
  <c r="G66"/>
  <c r="H66"/>
  <c r="P66" s="1"/>
  <c r="J66"/>
  <c r="M66" s="1"/>
  <c r="K66"/>
  <c r="C67"/>
  <c r="F67"/>
  <c r="I67"/>
  <c r="L67" s="1"/>
  <c r="M67"/>
  <c r="N67"/>
  <c r="O67"/>
  <c r="P67"/>
  <c r="D68"/>
  <c r="E68"/>
  <c r="G68"/>
  <c r="O68" s="1"/>
  <c r="H68"/>
  <c r="J68"/>
  <c r="K68"/>
  <c r="C69"/>
  <c r="F69"/>
  <c r="I69"/>
  <c r="L69" s="1"/>
  <c r="M69"/>
  <c r="N69"/>
  <c r="O69"/>
  <c r="P69"/>
  <c r="D70"/>
  <c r="E70"/>
  <c r="G70"/>
  <c r="H70"/>
  <c r="J70"/>
  <c r="K70"/>
  <c r="N70" s="1"/>
  <c r="C71"/>
  <c r="F71"/>
  <c r="I71"/>
  <c r="L71" s="1"/>
  <c r="M71"/>
  <c r="N71"/>
  <c r="E72"/>
  <c r="G72"/>
  <c r="H72"/>
  <c r="J72"/>
  <c r="K72"/>
  <c r="D73"/>
  <c r="F73"/>
  <c r="I73"/>
  <c r="L73" s="1"/>
  <c r="M73"/>
  <c r="N73"/>
  <c r="C74"/>
  <c r="F74"/>
  <c r="I74"/>
  <c r="L74" s="1"/>
  <c r="M74"/>
  <c r="N74"/>
  <c r="D75"/>
  <c r="E75"/>
  <c r="G75"/>
  <c r="H75"/>
  <c r="J75"/>
  <c r="M75" s="1"/>
  <c r="K75"/>
  <c r="N75" s="1"/>
  <c r="C76"/>
  <c r="F76"/>
  <c r="I76"/>
  <c r="L76" s="1"/>
  <c r="M76"/>
  <c r="N76"/>
  <c r="C79"/>
  <c r="F79"/>
  <c r="I79"/>
  <c r="M79"/>
  <c r="N79"/>
  <c r="C80"/>
  <c r="F80"/>
  <c r="I80"/>
  <c r="M80"/>
  <c r="N80"/>
  <c r="C81"/>
  <c r="F81"/>
  <c r="I81"/>
  <c r="M81"/>
  <c r="N81"/>
  <c r="C82"/>
  <c r="F82"/>
  <c r="I82"/>
  <c r="M82"/>
  <c r="N82"/>
  <c r="C83"/>
  <c r="F83"/>
  <c r="I83"/>
  <c r="M83"/>
  <c r="N83"/>
  <c r="C84"/>
  <c r="F84"/>
  <c r="I84"/>
  <c r="M84"/>
  <c r="N84"/>
  <c r="C85"/>
  <c r="F85"/>
  <c r="I85"/>
  <c r="M85"/>
  <c r="N85"/>
  <c r="D86"/>
  <c r="C86" s="1"/>
  <c r="E86"/>
  <c r="G86"/>
  <c r="H86"/>
  <c r="I86"/>
  <c r="L86" s="1"/>
  <c r="M86"/>
  <c r="N86"/>
  <c r="D87"/>
  <c r="E87"/>
  <c r="G87"/>
  <c r="H87"/>
  <c r="I87"/>
  <c r="L87" s="1"/>
  <c r="M87"/>
  <c r="N87"/>
  <c r="C88"/>
  <c r="F88"/>
  <c r="I88"/>
  <c r="L88" s="1"/>
  <c r="M88"/>
  <c r="N88"/>
  <c r="C89"/>
  <c r="F89"/>
  <c r="I89"/>
  <c r="L89" s="1"/>
  <c r="M89"/>
  <c r="N89"/>
  <c r="C90"/>
  <c r="F90"/>
  <c r="I90"/>
  <c r="L90" s="1"/>
  <c r="M90"/>
  <c r="N90"/>
  <c r="C91"/>
  <c r="F91"/>
  <c r="I91"/>
  <c r="L91" s="1"/>
  <c r="M91"/>
  <c r="N91"/>
  <c r="C92"/>
  <c r="F92"/>
  <c r="I92"/>
  <c r="L92" s="1"/>
  <c r="M92"/>
  <c r="N92"/>
  <c r="C93"/>
  <c r="F93"/>
  <c r="I93"/>
  <c r="L93" s="1"/>
  <c r="M93"/>
  <c r="N93"/>
  <c r="C94"/>
  <c r="F94"/>
  <c r="I94"/>
  <c r="L94" s="1"/>
  <c r="M94"/>
  <c r="N94"/>
  <c r="C95"/>
  <c r="F95"/>
  <c r="I95"/>
  <c r="L95" s="1"/>
  <c r="M95"/>
  <c r="N95"/>
  <c r="C96"/>
  <c r="F96"/>
  <c r="I96"/>
  <c r="L96" s="1"/>
  <c r="M96"/>
  <c r="N96"/>
  <c r="C97"/>
  <c r="F97"/>
  <c r="I97"/>
  <c r="L97" s="1"/>
  <c r="M97"/>
  <c r="N97"/>
  <c r="C98"/>
  <c r="F98"/>
  <c r="I98"/>
  <c r="L98" s="1"/>
  <c r="M98"/>
  <c r="N98"/>
  <c r="C99"/>
  <c r="F99"/>
  <c r="I99"/>
  <c r="L99" s="1"/>
  <c r="M99"/>
  <c r="N99"/>
  <c r="C100"/>
  <c r="F100"/>
  <c r="I100"/>
  <c r="L100" s="1"/>
  <c r="M100"/>
  <c r="N100"/>
  <c r="C101"/>
  <c r="F101"/>
  <c r="I101"/>
  <c r="L101" s="1"/>
  <c r="M101"/>
  <c r="N101"/>
  <c r="C102"/>
  <c r="F102"/>
  <c r="I102"/>
  <c r="L102" s="1"/>
  <c r="M102"/>
  <c r="N102"/>
  <c r="C103"/>
  <c r="F103"/>
  <c r="I103"/>
  <c r="L103" s="1"/>
  <c r="M103"/>
  <c r="N103"/>
  <c r="C104"/>
  <c r="F104"/>
  <c r="I104"/>
  <c r="L104" s="1"/>
  <c r="M104"/>
  <c r="N104"/>
  <c r="E105"/>
  <c r="C105" s="1"/>
  <c r="H105"/>
  <c r="I105"/>
  <c r="L105" s="1"/>
  <c r="M105"/>
  <c r="N105"/>
  <c r="E106"/>
  <c r="C106" s="1"/>
  <c r="H106"/>
  <c r="F106" s="1"/>
  <c r="I106"/>
  <c r="L106" s="1"/>
  <c r="M106"/>
  <c r="N106"/>
  <c r="C107"/>
  <c r="F107"/>
  <c r="I107"/>
  <c r="L107" s="1"/>
  <c r="M107"/>
  <c r="N107"/>
  <c r="J108"/>
  <c r="K108"/>
  <c r="K78" s="1"/>
  <c r="D109"/>
  <c r="E109"/>
  <c r="G109"/>
  <c r="H109"/>
  <c r="I109"/>
  <c r="L109" s="1"/>
  <c r="M109"/>
  <c r="N109"/>
  <c r="D110"/>
  <c r="E110"/>
  <c r="G110"/>
  <c r="H110"/>
  <c r="I110"/>
  <c r="L110" s="1"/>
  <c r="M110"/>
  <c r="N110"/>
  <c r="D111"/>
  <c r="E111"/>
  <c r="G111"/>
  <c r="H111"/>
  <c r="I111"/>
  <c r="L111" s="1"/>
  <c r="M111"/>
  <c r="N111"/>
  <c r="D112"/>
  <c r="E112"/>
  <c r="G112"/>
  <c r="H112"/>
  <c r="I112"/>
  <c r="L112" s="1"/>
  <c r="M112"/>
  <c r="N112"/>
  <c r="D113"/>
  <c r="E113"/>
  <c r="G113"/>
  <c r="H113"/>
  <c r="I113"/>
  <c r="L113" s="1"/>
  <c r="M113"/>
  <c r="N113"/>
  <c r="D114"/>
  <c r="E114"/>
  <c r="G114"/>
  <c r="H114"/>
  <c r="I114"/>
  <c r="L114" s="1"/>
  <c r="M114"/>
  <c r="N114"/>
  <c r="D115"/>
  <c r="E115"/>
  <c r="G115"/>
  <c r="F115" s="1"/>
  <c r="H115"/>
  <c r="I115"/>
  <c r="L115" s="1"/>
  <c r="M115"/>
  <c r="N115"/>
  <c r="C116"/>
  <c r="F116"/>
  <c r="I116"/>
  <c r="L116" s="1"/>
  <c r="M116"/>
  <c r="N116"/>
  <c r="C117"/>
  <c r="F117"/>
  <c r="I117"/>
  <c r="L117" s="1"/>
  <c r="M117"/>
  <c r="N117"/>
  <c r="C118"/>
  <c r="F118"/>
  <c r="I118"/>
  <c r="L118" s="1"/>
  <c r="M118"/>
  <c r="N118"/>
  <c r="C119"/>
  <c r="F119"/>
  <c r="I119"/>
  <c r="L119" s="1"/>
  <c r="M119"/>
  <c r="N119"/>
  <c r="C120"/>
  <c r="F120"/>
  <c r="I120"/>
  <c r="L120" s="1"/>
  <c r="M120"/>
  <c r="N120"/>
  <c r="C121"/>
  <c r="F121"/>
  <c r="I121"/>
  <c r="L121" s="1"/>
  <c r="M121"/>
  <c r="N121"/>
  <c r="C122"/>
  <c r="F122"/>
  <c r="I122"/>
  <c r="L122" s="1"/>
  <c r="M122"/>
  <c r="N122"/>
  <c r="C123"/>
  <c r="F123"/>
  <c r="I123"/>
  <c r="L123" s="1"/>
  <c r="M123"/>
  <c r="N123"/>
  <c r="C124"/>
  <c r="F124"/>
  <c r="I124"/>
  <c r="L124" s="1"/>
  <c r="M124"/>
  <c r="N124"/>
  <c r="C125"/>
  <c r="F125"/>
  <c r="I125"/>
  <c r="L125"/>
  <c r="M125"/>
  <c r="N125"/>
  <c r="C126"/>
  <c r="F126"/>
  <c r="Q126" s="1"/>
  <c r="I126"/>
  <c r="L126" s="1"/>
  <c r="M126"/>
  <c r="N126"/>
  <c r="C127"/>
  <c r="F127"/>
  <c r="I127"/>
  <c r="L127" s="1"/>
  <c r="M127"/>
  <c r="N127"/>
  <c r="C128"/>
  <c r="F128"/>
  <c r="I128"/>
  <c r="L128" s="1"/>
  <c r="M128"/>
  <c r="N128"/>
  <c r="C129"/>
  <c r="F129"/>
  <c r="I129"/>
  <c r="L129" s="1"/>
  <c r="M129"/>
  <c r="N129"/>
  <c r="E130"/>
  <c r="C130" s="1"/>
  <c r="H130"/>
  <c r="F130" s="1"/>
  <c r="I130"/>
  <c r="L130" s="1"/>
  <c r="M130"/>
  <c r="N130"/>
  <c r="C131"/>
  <c r="Q131" s="1"/>
  <c r="F131"/>
  <c r="I131"/>
  <c r="L131" s="1"/>
  <c r="M131"/>
  <c r="N131"/>
  <c r="C132"/>
  <c r="F132"/>
  <c r="I132"/>
  <c r="L132" s="1"/>
  <c r="M132"/>
  <c r="N132"/>
  <c r="C133"/>
  <c r="F133"/>
  <c r="I133"/>
  <c r="L133" s="1"/>
  <c r="M133"/>
  <c r="N133"/>
  <c r="D134"/>
  <c r="E134"/>
  <c r="G134"/>
  <c r="H134"/>
  <c r="I134"/>
  <c r="L134" s="1"/>
  <c r="M134"/>
  <c r="N134"/>
  <c r="C135"/>
  <c r="F135"/>
  <c r="I135"/>
  <c r="L135" s="1"/>
  <c r="M135"/>
  <c r="N135"/>
  <c r="D136"/>
  <c r="E136"/>
  <c r="G136"/>
  <c r="H136"/>
  <c r="I136"/>
  <c r="L136" s="1"/>
  <c r="M136"/>
  <c r="N136"/>
  <c r="C137"/>
  <c r="F137"/>
  <c r="I137"/>
  <c r="L137" s="1"/>
  <c r="M137"/>
  <c r="N137"/>
  <c r="D138"/>
  <c r="E138"/>
  <c r="C138" s="1"/>
  <c r="G138"/>
  <c r="H138"/>
  <c r="I138"/>
  <c r="L138" s="1"/>
  <c r="M138"/>
  <c r="N138"/>
  <c r="C139"/>
  <c r="F139"/>
  <c r="I139"/>
  <c r="L139" s="1"/>
  <c r="M139"/>
  <c r="N139"/>
  <c r="D140"/>
  <c r="E140"/>
  <c r="G140"/>
  <c r="H140"/>
  <c r="I140"/>
  <c r="L140" s="1"/>
  <c r="M140"/>
  <c r="N140"/>
  <c r="D141"/>
  <c r="E141"/>
  <c r="G141"/>
  <c r="H141"/>
  <c r="I141"/>
  <c r="L141" s="1"/>
  <c r="M141"/>
  <c r="N141"/>
  <c r="C142"/>
  <c r="F142"/>
  <c r="I142"/>
  <c r="L142" s="1"/>
  <c r="M142"/>
  <c r="N142"/>
  <c r="C143"/>
  <c r="F143"/>
  <c r="I143"/>
  <c r="L143" s="1"/>
  <c r="M143"/>
  <c r="N143"/>
  <c r="C144"/>
  <c r="F144"/>
  <c r="I144"/>
  <c r="L144" s="1"/>
  <c r="M144"/>
  <c r="N144"/>
  <c r="D145"/>
  <c r="E145"/>
  <c r="G145"/>
  <c r="H145"/>
  <c r="F145" s="1"/>
  <c r="I145"/>
  <c r="L145" s="1"/>
  <c r="M145"/>
  <c r="N145"/>
  <c r="D146"/>
  <c r="E146"/>
  <c r="G146"/>
  <c r="H146"/>
  <c r="I146"/>
  <c r="L146" s="1"/>
  <c r="M146"/>
  <c r="N146"/>
  <c r="D147"/>
  <c r="E147"/>
  <c r="G147"/>
  <c r="H147"/>
  <c r="I147"/>
  <c r="L147" s="1"/>
  <c r="M147"/>
  <c r="N147"/>
  <c r="D148"/>
  <c r="E148"/>
  <c r="G148"/>
  <c r="H148"/>
  <c r="I148"/>
  <c r="L148" s="1"/>
  <c r="M148"/>
  <c r="N148"/>
  <c r="D149"/>
  <c r="E149"/>
  <c r="G149"/>
  <c r="H149"/>
  <c r="I149"/>
  <c r="L149" s="1"/>
  <c r="M149"/>
  <c r="N149"/>
  <c r="C150"/>
  <c r="F150"/>
  <c r="I150"/>
  <c r="L150" s="1"/>
  <c r="M150"/>
  <c r="N150"/>
  <c r="C151"/>
  <c r="F151"/>
  <c r="I151"/>
  <c r="L151" s="1"/>
  <c r="M151"/>
  <c r="N151"/>
  <c r="C152"/>
  <c r="F152"/>
  <c r="I152"/>
  <c r="L152" s="1"/>
  <c r="M152"/>
  <c r="N152"/>
  <c r="C153"/>
  <c r="F153"/>
  <c r="I153"/>
  <c r="L153" s="1"/>
  <c r="M153"/>
  <c r="N153"/>
  <c r="C154"/>
  <c r="F154"/>
  <c r="I154"/>
  <c r="L154" s="1"/>
  <c r="M154"/>
  <c r="N154"/>
  <c r="D156"/>
  <c r="G156"/>
  <c r="J156"/>
  <c r="M156" s="1"/>
  <c r="K156"/>
  <c r="N156" s="1"/>
  <c r="E157"/>
  <c r="H157"/>
  <c r="F157" s="1"/>
  <c r="I157"/>
  <c r="L157" s="1"/>
  <c r="M157"/>
  <c r="N157"/>
  <c r="D160"/>
  <c r="E160"/>
  <c r="G160"/>
  <c r="H160"/>
  <c r="J160"/>
  <c r="K160"/>
  <c r="N160" s="1"/>
  <c r="C161"/>
  <c r="F161"/>
  <c r="I161"/>
  <c r="L161" s="1"/>
  <c r="M161"/>
  <c r="N161"/>
  <c r="C162"/>
  <c r="F162"/>
  <c r="I162"/>
  <c r="L162" s="1"/>
  <c r="M162"/>
  <c r="N162"/>
  <c r="C163"/>
  <c r="F163"/>
  <c r="I163"/>
  <c r="L163" s="1"/>
  <c r="M163"/>
  <c r="N163"/>
  <c r="C164"/>
  <c r="F164"/>
  <c r="I164"/>
  <c r="L164" s="1"/>
  <c r="M164"/>
  <c r="N164"/>
  <c r="C165"/>
  <c r="F165"/>
  <c r="I165"/>
  <c r="L165" s="1"/>
  <c r="M165"/>
  <c r="N165"/>
  <c r="C166"/>
  <c r="F166"/>
  <c r="I166"/>
  <c r="L166" s="1"/>
  <c r="M166"/>
  <c r="N166"/>
  <c r="C167"/>
  <c r="F167"/>
  <c r="I167"/>
  <c r="L167" s="1"/>
  <c r="M167"/>
  <c r="N167"/>
  <c r="C168"/>
  <c r="F168"/>
  <c r="I168"/>
  <c r="L168" s="1"/>
  <c r="M168"/>
  <c r="N168"/>
  <c r="C169"/>
  <c r="F169"/>
  <c r="I169"/>
  <c r="L169" s="1"/>
  <c r="M169"/>
  <c r="N169"/>
  <c r="C170"/>
  <c r="F170"/>
  <c r="I170"/>
  <c r="L170" s="1"/>
  <c r="M170"/>
  <c r="N170"/>
  <c r="C171"/>
  <c r="F171"/>
  <c r="I171"/>
  <c r="L171" s="1"/>
  <c r="M171"/>
  <c r="N171"/>
  <c r="C172"/>
  <c r="F172"/>
  <c r="I172"/>
  <c r="L172" s="1"/>
  <c r="M172"/>
  <c r="N172"/>
  <c r="D173"/>
  <c r="E173"/>
  <c r="G173"/>
  <c r="H173"/>
  <c r="J173"/>
  <c r="K173"/>
  <c r="N173" s="1"/>
  <c r="C174"/>
  <c r="F174"/>
  <c r="I174"/>
  <c r="L174" s="1"/>
  <c r="M174"/>
  <c r="N174"/>
  <c r="D175"/>
  <c r="E175"/>
  <c r="G175"/>
  <c r="H175"/>
  <c r="J175"/>
  <c r="K175"/>
  <c r="N175" s="1"/>
  <c r="C176"/>
  <c r="F176"/>
  <c r="I176"/>
  <c r="L176"/>
  <c r="M176"/>
  <c r="N176"/>
  <c r="C177"/>
  <c r="F177"/>
  <c r="I177"/>
  <c r="L177" s="1"/>
  <c r="M177"/>
  <c r="N177"/>
  <c r="O178"/>
  <c r="P178"/>
  <c r="D180"/>
  <c r="G180"/>
  <c r="J180"/>
  <c r="M180"/>
  <c r="K181"/>
  <c r="E182"/>
  <c r="C182" s="1"/>
  <c r="H182"/>
  <c r="F182" s="1"/>
  <c r="K182"/>
  <c r="C4" i="31"/>
  <c r="D16"/>
  <c r="E16"/>
  <c r="E15" s="1"/>
  <c r="G16"/>
  <c r="G15"/>
  <c r="H16"/>
  <c r="H15" s="1"/>
  <c r="J16"/>
  <c r="J15" s="1"/>
  <c r="K16"/>
  <c r="C17"/>
  <c r="F17"/>
  <c r="I17"/>
  <c r="M17"/>
  <c r="N17"/>
  <c r="O17"/>
  <c r="P17"/>
  <c r="C20"/>
  <c r="F20"/>
  <c r="I20"/>
  <c r="M20"/>
  <c r="N20"/>
  <c r="O20"/>
  <c r="P20"/>
  <c r="E21"/>
  <c r="C21" s="1"/>
  <c r="H21"/>
  <c r="I21"/>
  <c r="L21" s="1"/>
  <c r="M21"/>
  <c r="N21"/>
  <c r="C22"/>
  <c r="F22"/>
  <c r="I22"/>
  <c r="L22"/>
  <c r="M22"/>
  <c r="N22"/>
  <c r="D23"/>
  <c r="G23"/>
  <c r="J23"/>
  <c r="K23"/>
  <c r="E24"/>
  <c r="H24"/>
  <c r="I24"/>
  <c r="M24"/>
  <c r="D26"/>
  <c r="E26"/>
  <c r="G26"/>
  <c r="H26"/>
  <c r="J26"/>
  <c r="K26"/>
  <c r="C27"/>
  <c r="F27"/>
  <c r="I27"/>
  <c r="M27"/>
  <c r="N27"/>
  <c r="C28"/>
  <c r="F28"/>
  <c r="I28"/>
  <c r="L28" s="1"/>
  <c r="M28"/>
  <c r="N28"/>
  <c r="D29"/>
  <c r="E29"/>
  <c r="G29"/>
  <c r="H29"/>
  <c r="J29"/>
  <c r="K29"/>
  <c r="C30"/>
  <c r="F30"/>
  <c r="I30"/>
  <c r="M30"/>
  <c r="N30"/>
  <c r="O30"/>
  <c r="P30"/>
  <c r="C31"/>
  <c r="F31"/>
  <c r="I31"/>
  <c r="L31" s="1"/>
  <c r="M31"/>
  <c r="N31"/>
  <c r="D32"/>
  <c r="E32"/>
  <c r="G32"/>
  <c r="H32"/>
  <c r="J32"/>
  <c r="K32"/>
  <c r="C33"/>
  <c r="F33"/>
  <c r="I33"/>
  <c r="M33"/>
  <c r="N33"/>
  <c r="O33"/>
  <c r="P33"/>
  <c r="D34"/>
  <c r="E34"/>
  <c r="G34"/>
  <c r="H34"/>
  <c r="J34"/>
  <c r="K34"/>
  <c r="C35"/>
  <c r="F35"/>
  <c r="I35"/>
  <c r="M35"/>
  <c r="N35"/>
  <c r="O35"/>
  <c r="P35"/>
  <c r="D36"/>
  <c r="E36"/>
  <c r="G36"/>
  <c r="H36"/>
  <c r="J36"/>
  <c r="K36"/>
  <c r="C37"/>
  <c r="F37"/>
  <c r="I37"/>
  <c r="M37"/>
  <c r="N37"/>
  <c r="D38"/>
  <c r="E38"/>
  <c r="G38"/>
  <c r="H38"/>
  <c r="J38"/>
  <c r="K38"/>
  <c r="C39"/>
  <c r="F39"/>
  <c r="I39"/>
  <c r="L39" s="1"/>
  <c r="M39"/>
  <c r="N39"/>
  <c r="C40"/>
  <c r="F40"/>
  <c r="I40"/>
  <c r="L40" s="1"/>
  <c r="M40"/>
  <c r="N40"/>
  <c r="C41"/>
  <c r="F41"/>
  <c r="I41"/>
  <c r="L41" s="1"/>
  <c r="M41"/>
  <c r="N41"/>
  <c r="D42"/>
  <c r="E42"/>
  <c r="G42"/>
  <c r="H42"/>
  <c r="J42"/>
  <c r="M42" s="1"/>
  <c r="K42"/>
  <c r="N42"/>
  <c r="C43"/>
  <c r="F43"/>
  <c r="I43"/>
  <c r="L43"/>
  <c r="M43"/>
  <c r="N43"/>
  <c r="C46"/>
  <c r="G46"/>
  <c r="G161" s="1"/>
  <c r="I46"/>
  <c r="N46"/>
  <c r="P46"/>
  <c r="C47"/>
  <c r="F47"/>
  <c r="I47"/>
  <c r="M47"/>
  <c r="N47"/>
  <c r="C48"/>
  <c r="F48"/>
  <c r="I48"/>
  <c r="M48"/>
  <c r="N48"/>
  <c r="O48"/>
  <c r="P48"/>
  <c r="C49"/>
  <c r="F49"/>
  <c r="I49"/>
  <c r="M49"/>
  <c r="N49"/>
  <c r="C50"/>
  <c r="F50"/>
  <c r="I50"/>
  <c r="L50"/>
  <c r="M50"/>
  <c r="N50"/>
  <c r="C51"/>
  <c r="F51"/>
  <c r="I51"/>
  <c r="M51"/>
  <c r="N51"/>
  <c r="C52"/>
  <c r="F52"/>
  <c r="I52"/>
  <c r="M52"/>
  <c r="N52"/>
  <c r="O52"/>
  <c r="P52"/>
  <c r="C53"/>
  <c r="G53"/>
  <c r="H53"/>
  <c r="P53" s="1"/>
  <c r="I53"/>
  <c r="N53"/>
  <c r="C54"/>
  <c r="G54"/>
  <c r="H54"/>
  <c r="I54"/>
  <c r="M54"/>
  <c r="N54"/>
  <c r="C55"/>
  <c r="G55"/>
  <c r="H55"/>
  <c r="I55"/>
  <c r="M55"/>
  <c r="C56"/>
  <c r="G56"/>
  <c r="H56"/>
  <c r="I56"/>
  <c r="M56"/>
  <c r="N56"/>
  <c r="C57"/>
  <c r="G57"/>
  <c r="H57"/>
  <c r="N57" s="1"/>
  <c r="I57"/>
  <c r="M57"/>
  <c r="C58"/>
  <c r="G58"/>
  <c r="H58"/>
  <c r="I58"/>
  <c r="M58"/>
  <c r="C59"/>
  <c r="G59"/>
  <c r="H59"/>
  <c r="I59"/>
  <c r="M59"/>
  <c r="C60"/>
  <c r="G60"/>
  <c r="H60"/>
  <c r="I60"/>
  <c r="M60"/>
  <c r="N60"/>
  <c r="E61"/>
  <c r="H61" s="1"/>
  <c r="C61"/>
  <c r="G61"/>
  <c r="I61"/>
  <c r="M61"/>
  <c r="N61"/>
  <c r="C62"/>
  <c r="F62"/>
  <c r="I62"/>
  <c r="M62"/>
  <c r="N62"/>
  <c r="C63"/>
  <c r="F63"/>
  <c r="I63"/>
  <c r="L63" s="1"/>
  <c r="M63"/>
  <c r="N63"/>
  <c r="C64"/>
  <c r="F64"/>
  <c r="I64"/>
  <c r="M64"/>
  <c r="N64"/>
  <c r="E65"/>
  <c r="H65"/>
  <c r="F65" s="1"/>
  <c r="I65"/>
  <c r="L65" s="1"/>
  <c r="M65"/>
  <c r="N65"/>
  <c r="C66"/>
  <c r="H66"/>
  <c r="F66" s="1"/>
  <c r="I66"/>
  <c r="M66"/>
  <c r="E67"/>
  <c r="G67"/>
  <c r="H67"/>
  <c r="C68"/>
  <c r="F68"/>
  <c r="I68"/>
  <c r="M68"/>
  <c r="N68"/>
  <c r="C69"/>
  <c r="F69"/>
  <c r="I69"/>
  <c r="L69" s="1"/>
  <c r="M69"/>
  <c r="N69"/>
  <c r="C70"/>
  <c r="F70"/>
  <c r="I70"/>
  <c r="M70"/>
  <c r="N70"/>
  <c r="C71"/>
  <c r="F71"/>
  <c r="I71"/>
  <c r="L71" s="1"/>
  <c r="M71"/>
  <c r="N71"/>
  <c r="C72"/>
  <c r="F72"/>
  <c r="I72"/>
  <c r="L72" s="1"/>
  <c r="M72"/>
  <c r="N72"/>
  <c r="C73"/>
  <c r="F73"/>
  <c r="I73"/>
  <c r="M73"/>
  <c r="N73"/>
  <c r="C74"/>
  <c r="F74"/>
  <c r="I74"/>
  <c r="L74" s="1"/>
  <c r="M74"/>
  <c r="N74"/>
  <c r="C75"/>
  <c r="F75"/>
  <c r="J75"/>
  <c r="K75"/>
  <c r="N75" s="1"/>
  <c r="C76"/>
  <c r="F76"/>
  <c r="I76"/>
  <c r="L76" s="1"/>
  <c r="M76"/>
  <c r="N76"/>
  <c r="C77"/>
  <c r="F77"/>
  <c r="I77"/>
  <c r="L77" s="1"/>
  <c r="M77"/>
  <c r="N77"/>
  <c r="C80"/>
  <c r="F80"/>
  <c r="I80"/>
  <c r="M80"/>
  <c r="N80"/>
  <c r="C81"/>
  <c r="F81"/>
  <c r="I81"/>
  <c r="L81" s="1"/>
  <c r="M81"/>
  <c r="N81"/>
  <c r="C82"/>
  <c r="F82"/>
  <c r="I82"/>
  <c r="L82" s="1"/>
  <c r="M82"/>
  <c r="N82"/>
  <c r="C83"/>
  <c r="F83"/>
  <c r="L83" s="1"/>
  <c r="I83"/>
  <c r="M83"/>
  <c r="N83"/>
  <c r="C84"/>
  <c r="F84"/>
  <c r="I84"/>
  <c r="L84" s="1"/>
  <c r="M84"/>
  <c r="N84"/>
  <c r="C85"/>
  <c r="F85"/>
  <c r="I85"/>
  <c r="M85"/>
  <c r="N85"/>
  <c r="C87"/>
  <c r="F87"/>
  <c r="I87"/>
  <c r="M87"/>
  <c r="N87"/>
  <c r="C88"/>
  <c r="F88"/>
  <c r="I88"/>
  <c r="M88"/>
  <c r="N88"/>
  <c r="C91"/>
  <c r="F91"/>
  <c r="I91"/>
  <c r="M91"/>
  <c r="N91"/>
  <c r="C92"/>
  <c r="F92"/>
  <c r="K92"/>
  <c r="I92" s="1"/>
  <c r="M92"/>
  <c r="C94"/>
  <c r="F94"/>
  <c r="I94"/>
  <c r="M94"/>
  <c r="N94"/>
  <c r="D95"/>
  <c r="C95" s="1"/>
  <c r="F95"/>
  <c r="I95"/>
  <c r="L95" s="1"/>
  <c r="M95"/>
  <c r="N95"/>
  <c r="C98"/>
  <c r="F98"/>
  <c r="I98"/>
  <c r="M98"/>
  <c r="N98"/>
  <c r="C99"/>
  <c r="F99"/>
  <c r="I99"/>
  <c r="M99"/>
  <c r="N99"/>
  <c r="C102"/>
  <c r="F102"/>
  <c r="I102"/>
  <c r="M102"/>
  <c r="N102"/>
  <c r="C103"/>
  <c r="F103"/>
  <c r="I103"/>
  <c r="L103" s="1"/>
  <c r="M103"/>
  <c r="N103"/>
  <c r="C104"/>
  <c r="F104"/>
  <c r="I104"/>
  <c r="M104"/>
  <c r="N104"/>
  <c r="C105"/>
  <c r="F105"/>
  <c r="I105"/>
  <c r="M105"/>
  <c r="N105"/>
  <c r="C106"/>
  <c r="F106"/>
  <c r="I106"/>
  <c r="M106"/>
  <c r="N106"/>
  <c r="C107"/>
  <c r="F107"/>
  <c r="I107"/>
  <c r="L107" s="1"/>
  <c r="M107"/>
  <c r="N107"/>
  <c r="C108"/>
  <c r="F108"/>
  <c r="I108"/>
  <c r="M108"/>
  <c r="N108"/>
  <c r="C109"/>
  <c r="F109"/>
  <c r="I109"/>
  <c r="M109"/>
  <c r="N109"/>
  <c r="C110"/>
  <c r="F110"/>
  <c r="I110"/>
  <c r="M110"/>
  <c r="N110"/>
  <c r="C111"/>
  <c r="F111"/>
  <c r="I111"/>
  <c r="L111" s="1"/>
  <c r="M111"/>
  <c r="N111"/>
  <c r="C112"/>
  <c r="F112"/>
  <c r="I112"/>
  <c r="M112"/>
  <c r="N112"/>
  <c r="E113"/>
  <c r="C113" s="1"/>
  <c r="H113"/>
  <c r="F113" s="1"/>
  <c r="I113"/>
  <c r="L113" s="1"/>
  <c r="M113"/>
  <c r="N113"/>
  <c r="C114"/>
  <c r="F114"/>
  <c r="I114"/>
  <c r="M114"/>
  <c r="N114"/>
  <c r="C115"/>
  <c r="F115"/>
  <c r="I115"/>
  <c r="L115" s="1"/>
  <c r="M115"/>
  <c r="N115"/>
  <c r="C116"/>
  <c r="F116"/>
  <c r="I116"/>
  <c r="M116"/>
  <c r="N116"/>
  <c r="C117"/>
  <c r="F117"/>
  <c r="I117"/>
  <c r="L117" s="1"/>
  <c r="M117"/>
  <c r="N117"/>
  <c r="C118"/>
  <c r="F118"/>
  <c r="I118"/>
  <c r="M118"/>
  <c r="N118"/>
  <c r="C119"/>
  <c r="F119"/>
  <c r="I119"/>
  <c r="L119" s="1"/>
  <c r="M119"/>
  <c r="N119"/>
  <c r="C120"/>
  <c r="F120"/>
  <c r="I120"/>
  <c r="M120"/>
  <c r="N120"/>
  <c r="C121"/>
  <c r="F121"/>
  <c r="I121"/>
  <c r="M121"/>
  <c r="N121"/>
  <c r="C122"/>
  <c r="F122"/>
  <c r="I122"/>
  <c r="M122"/>
  <c r="N122"/>
  <c r="D123"/>
  <c r="E123"/>
  <c r="G123"/>
  <c r="H123"/>
  <c r="J123"/>
  <c r="K123"/>
  <c r="C124"/>
  <c r="F124"/>
  <c r="I124"/>
  <c r="M124"/>
  <c r="N124"/>
  <c r="C125"/>
  <c r="F125"/>
  <c r="I125"/>
  <c r="M125"/>
  <c r="N125"/>
  <c r="C126"/>
  <c r="F126"/>
  <c r="I126"/>
  <c r="M126"/>
  <c r="N126"/>
  <c r="C127"/>
  <c r="F127"/>
  <c r="I127"/>
  <c r="M127"/>
  <c r="N127"/>
  <c r="C128"/>
  <c r="F128"/>
  <c r="I128"/>
  <c r="L128" s="1"/>
  <c r="M128"/>
  <c r="N128"/>
  <c r="C129"/>
  <c r="F129"/>
  <c r="I129"/>
  <c r="L129" s="1"/>
  <c r="M129"/>
  <c r="N129"/>
  <c r="E130"/>
  <c r="C130" s="1"/>
  <c r="H130"/>
  <c r="I130"/>
  <c r="L130" s="1"/>
  <c r="M130"/>
  <c r="N130"/>
  <c r="C131"/>
  <c r="F131"/>
  <c r="I131"/>
  <c r="L131" s="1"/>
  <c r="M131"/>
  <c r="N131"/>
  <c r="C132"/>
  <c r="F132"/>
  <c r="I132"/>
  <c r="L132" s="1"/>
  <c r="M132"/>
  <c r="N132"/>
  <c r="C133"/>
  <c r="F133"/>
  <c r="I133"/>
  <c r="L133" s="1"/>
  <c r="M133"/>
  <c r="N133"/>
  <c r="C134"/>
  <c r="F134"/>
  <c r="I134"/>
  <c r="M134"/>
  <c r="N134"/>
  <c r="C135"/>
  <c r="F135"/>
  <c r="I135"/>
  <c r="M135"/>
  <c r="N135"/>
  <c r="C136"/>
  <c r="F136"/>
  <c r="I136"/>
  <c r="M136"/>
  <c r="N136"/>
  <c r="C137"/>
  <c r="F137"/>
  <c r="I137"/>
  <c r="L137" s="1"/>
  <c r="M137"/>
  <c r="N137"/>
  <c r="C141"/>
  <c r="F141"/>
  <c r="I141"/>
  <c r="L141" s="1"/>
  <c r="M141"/>
  <c r="N141"/>
  <c r="C142"/>
  <c r="H142"/>
  <c r="I142"/>
  <c r="M142"/>
  <c r="C143"/>
  <c r="H143"/>
  <c r="F143" s="1"/>
  <c r="I143"/>
  <c r="L143" s="1"/>
  <c r="M143"/>
  <c r="N143"/>
  <c r="C144"/>
  <c r="F144"/>
  <c r="I144"/>
  <c r="M144"/>
  <c r="N144"/>
  <c r="O144"/>
  <c r="P144"/>
  <c r="D145"/>
  <c r="E145"/>
  <c r="E140" s="1"/>
  <c r="G145"/>
  <c r="H145"/>
  <c r="C146"/>
  <c r="F146"/>
  <c r="I146"/>
  <c r="M146"/>
  <c r="N146"/>
  <c r="C147"/>
  <c r="F147"/>
  <c r="I147"/>
  <c r="M147"/>
  <c r="N147"/>
  <c r="C148"/>
  <c r="F148"/>
  <c r="J148"/>
  <c r="K148"/>
  <c r="C149"/>
  <c r="F149"/>
  <c r="J149"/>
  <c r="K149"/>
  <c r="N149" s="1"/>
  <c r="C150"/>
  <c r="F150"/>
  <c r="J150"/>
  <c r="K150"/>
  <c r="N150" s="1"/>
  <c r="C151"/>
  <c r="F151"/>
  <c r="J151"/>
  <c r="K151"/>
  <c r="N151" s="1"/>
  <c r="D152"/>
  <c r="E152"/>
  <c r="G152"/>
  <c r="H152"/>
  <c r="I152"/>
  <c r="L152" s="1"/>
  <c r="M152"/>
  <c r="N152"/>
  <c r="D153"/>
  <c r="C153" s="1"/>
  <c r="E153"/>
  <c r="G153"/>
  <c r="H153"/>
  <c r="I153"/>
  <c r="L153" s="1"/>
  <c r="M153"/>
  <c r="N153"/>
  <c r="C154"/>
  <c r="F154"/>
  <c r="I154"/>
  <c r="L154" s="1"/>
  <c r="M154"/>
  <c r="N154"/>
  <c r="O154"/>
  <c r="P154"/>
  <c r="C155"/>
  <c r="F155"/>
  <c r="I155"/>
  <c r="L155" s="1"/>
  <c r="M155"/>
  <c r="N155"/>
  <c r="O155"/>
  <c r="P155"/>
  <c r="C156"/>
  <c r="F156"/>
  <c r="I156"/>
  <c r="L156" s="1"/>
  <c r="M156"/>
  <c r="N156"/>
  <c r="O156"/>
  <c r="P156"/>
  <c r="D157"/>
  <c r="E157"/>
  <c r="G157"/>
  <c r="H157"/>
  <c r="J157"/>
  <c r="M157" s="1"/>
  <c r="K157"/>
  <c r="C158"/>
  <c r="F158"/>
  <c r="I158"/>
  <c r="M158"/>
  <c r="N158"/>
  <c r="C159"/>
  <c r="F159"/>
  <c r="I159"/>
  <c r="M159"/>
  <c r="N159"/>
  <c r="O160"/>
  <c r="P160"/>
  <c r="D161"/>
  <c r="E161"/>
  <c r="H161"/>
  <c r="J161"/>
  <c r="K161"/>
  <c r="I161" s="1"/>
  <c r="E163"/>
  <c r="C163" s="1"/>
  <c r="H163"/>
  <c r="F163" s="1"/>
  <c r="K163"/>
  <c r="I163" s="1"/>
  <c r="M163"/>
  <c r="D165"/>
  <c r="E165"/>
  <c r="G165"/>
  <c r="H165"/>
  <c r="F165" s="1"/>
  <c r="J165"/>
  <c r="M165" s="1"/>
  <c r="K165"/>
  <c r="C14" i="25"/>
  <c r="D14"/>
  <c r="E14" s="1"/>
  <c r="K19"/>
  <c r="D20"/>
  <c r="E20"/>
  <c r="F20"/>
  <c r="I20"/>
  <c r="M20"/>
  <c r="N20"/>
  <c r="C21"/>
  <c r="F21"/>
  <c r="I21"/>
  <c r="M21"/>
  <c r="N21"/>
  <c r="E22"/>
  <c r="E19" s="1"/>
  <c r="G22"/>
  <c r="G19" s="1"/>
  <c r="H22"/>
  <c r="H19" s="1"/>
  <c r="J22"/>
  <c r="I22" s="1"/>
  <c r="D23"/>
  <c r="D22" s="1"/>
  <c r="D19" s="1"/>
  <c r="F23"/>
  <c r="I23"/>
  <c r="M23"/>
  <c r="N23"/>
  <c r="C24"/>
  <c r="F24"/>
  <c r="I24"/>
  <c r="M24"/>
  <c r="N24"/>
  <c r="C25"/>
  <c r="F25"/>
  <c r="I25"/>
  <c r="M25"/>
  <c r="N25"/>
  <c r="C26"/>
  <c r="F26"/>
  <c r="I26"/>
  <c r="M26"/>
  <c r="N26"/>
  <c r="C27"/>
  <c r="F27"/>
  <c r="I27"/>
  <c r="M27"/>
  <c r="N27"/>
  <c r="L27" s="1"/>
  <c r="C28"/>
  <c r="F28"/>
  <c r="I28"/>
  <c r="M28"/>
  <c r="N28"/>
  <c r="F29"/>
  <c r="I29"/>
  <c r="M29"/>
  <c r="L29" s="1"/>
  <c r="N29"/>
  <c r="C30"/>
  <c r="G30"/>
  <c r="H30"/>
  <c r="J30"/>
  <c r="K30"/>
  <c r="I31"/>
  <c r="M31"/>
  <c r="N31"/>
  <c r="C32"/>
  <c r="F32"/>
  <c r="I32"/>
  <c r="M32"/>
  <c r="N32"/>
  <c r="F33"/>
  <c r="I33"/>
  <c r="M33"/>
  <c r="N33"/>
  <c r="C34"/>
  <c r="F34"/>
  <c r="I34"/>
  <c r="M34"/>
  <c r="N34"/>
  <c r="F35"/>
  <c r="I35"/>
  <c r="M35"/>
  <c r="N35"/>
  <c r="L35" s="1"/>
  <c r="C36"/>
  <c r="D37"/>
  <c r="E37"/>
  <c r="C37" s="1"/>
  <c r="G37"/>
  <c r="J37"/>
  <c r="K37"/>
  <c r="C38"/>
  <c r="F38"/>
  <c r="I38"/>
  <c r="M38"/>
  <c r="N38"/>
  <c r="C39"/>
  <c r="H39"/>
  <c r="F39" s="1"/>
  <c r="I39"/>
  <c r="M39"/>
  <c r="C40"/>
  <c r="F40"/>
  <c r="I40"/>
  <c r="M40"/>
  <c r="N40"/>
  <c r="C41"/>
  <c r="C42"/>
  <c r="G42"/>
  <c r="G41" s="1"/>
  <c r="F41" s="1"/>
  <c r="H42"/>
  <c r="H41" s="1"/>
  <c r="J42"/>
  <c r="J41" s="1"/>
  <c r="K42"/>
  <c r="C43"/>
  <c r="F43"/>
  <c r="I43"/>
  <c r="M43"/>
  <c r="N43"/>
  <c r="C44"/>
  <c r="F44"/>
  <c r="I44"/>
  <c r="M44"/>
  <c r="N44"/>
  <c r="C45"/>
  <c r="F45"/>
  <c r="I45"/>
  <c r="M45"/>
  <c r="N45"/>
  <c r="C46"/>
  <c r="F46"/>
  <c r="I46"/>
  <c r="M46"/>
  <c r="N46"/>
  <c r="L46" s="1"/>
  <c r="C47"/>
  <c r="F47"/>
  <c r="I47"/>
  <c r="M47"/>
  <c r="N47"/>
  <c r="C48"/>
  <c r="F48"/>
  <c r="I48"/>
  <c r="M48"/>
  <c r="N48"/>
  <c r="C49"/>
  <c r="F49"/>
  <c r="I49"/>
  <c r="M49"/>
  <c r="N49"/>
  <c r="C50"/>
  <c r="F50"/>
  <c r="I50"/>
  <c r="M50"/>
  <c r="N50"/>
  <c r="C51"/>
  <c r="F51"/>
  <c r="I51"/>
  <c r="M51"/>
  <c r="L51" s="1"/>
  <c r="N51"/>
  <c r="C52"/>
  <c r="F52"/>
  <c r="I52"/>
  <c r="M52"/>
  <c r="N52"/>
  <c r="L52" s="1"/>
  <c r="C53"/>
  <c r="F53"/>
  <c r="I53"/>
  <c r="M53"/>
  <c r="N53"/>
  <c r="C54"/>
  <c r="F54"/>
  <c r="I54"/>
  <c r="M54"/>
  <c r="N54"/>
  <c r="C55"/>
  <c r="F55"/>
  <c r="I55"/>
  <c r="M55"/>
  <c r="L55" s="1"/>
  <c r="N55"/>
  <c r="C56"/>
  <c r="F56"/>
  <c r="I56"/>
  <c r="M56"/>
  <c r="N56"/>
  <c r="L56" s="1"/>
  <c r="C57"/>
  <c r="F57"/>
  <c r="I57"/>
  <c r="M57"/>
  <c r="N57"/>
  <c r="C58"/>
  <c r="F58"/>
  <c r="I58"/>
  <c r="M58"/>
  <c r="N58"/>
  <c r="C59"/>
  <c r="F59"/>
  <c r="I59"/>
  <c r="M59"/>
  <c r="L59" s="1"/>
  <c r="N59"/>
  <c r="C60"/>
  <c r="F60"/>
  <c r="I60"/>
  <c r="M60"/>
  <c r="N60"/>
  <c r="L60" s="1"/>
  <c r="C61"/>
  <c r="F61"/>
  <c r="I61"/>
  <c r="M61"/>
  <c r="N61"/>
  <c r="C62"/>
  <c r="F62"/>
  <c r="I62"/>
  <c r="M62"/>
  <c r="N62"/>
  <c r="C63"/>
  <c r="F63"/>
  <c r="I63"/>
  <c r="M63"/>
  <c r="L63" s="1"/>
  <c r="N63"/>
  <c r="C64"/>
  <c r="F64"/>
  <c r="I64"/>
  <c r="M64"/>
  <c r="N64"/>
  <c r="L64" s="1"/>
  <c r="C65"/>
  <c r="F65"/>
  <c r="I65"/>
  <c r="M65"/>
  <c r="N65"/>
  <c r="C66"/>
  <c r="F66"/>
  <c r="I66"/>
  <c r="M66"/>
  <c r="N66"/>
  <c r="C67"/>
  <c r="F67"/>
  <c r="I67"/>
  <c r="M67"/>
  <c r="L67" s="1"/>
  <c r="N67"/>
  <c r="C68"/>
  <c r="F68"/>
  <c r="I68"/>
  <c r="M68"/>
  <c r="N68"/>
  <c r="L68" s="1"/>
  <c r="C69"/>
  <c r="C70"/>
  <c r="G70"/>
  <c r="H70"/>
  <c r="J70"/>
  <c r="K70"/>
  <c r="F71"/>
  <c r="I71"/>
  <c r="M71"/>
  <c r="N71"/>
  <c r="C72"/>
  <c r="F72"/>
  <c r="I72"/>
  <c r="M72"/>
  <c r="L72" s="1"/>
  <c r="N72"/>
  <c r="C73"/>
  <c r="F73"/>
  <c r="I73"/>
  <c r="M73"/>
  <c r="N73"/>
  <c r="C74"/>
  <c r="G74"/>
  <c r="H74"/>
  <c r="N74" s="1"/>
  <c r="J74"/>
  <c r="I74" s="1"/>
  <c r="C75"/>
  <c r="F75"/>
  <c r="I75"/>
  <c r="M75"/>
  <c r="N75"/>
  <c r="C76"/>
  <c r="F76"/>
  <c r="I76"/>
  <c r="M76"/>
  <c r="N76"/>
  <c r="C77"/>
  <c r="F77"/>
  <c r="I77"/>
  <c r="M77"/>
  <c r="N77"/>
  <c r="F78"/>
  <c r="I78"/>
  <c r="M78"/>
  <c r="N78"/>
  <c r="F79"/>
  <c r="I79"/>
  <c r="M79"/>
  <c r="N79"/>
  <c r="F80"/>
  <c r="I80"/>
  <c r="M80"/>
  <c r="N80"/>
  <c r="C11" i="24"/>
  <c r="G11"/>
  <c r="C16"/>
  <c r="G16"/>
  <c r="D17"/>
  <c r="F17"/>
  <c r="E17" s="1"/>
  <c r="D18"/>
  <c r="F18"/>
  <c r="E18"/>
  <c r="C19"/>
  <c r="F19"/>
  <c r="D20"/>
  <c r="D19"/>
  <c r="G20"/>
  <c r="C21"/>
  <c r="F21"/>
  <c r="D22"/>
  <c r="D21" s="1"/>
  <c r="G22"/>
  <c r="E22" s="1"/>
  <c r="D23"/>
  <c r="G23"/>
  <c r="C24"/>
  <c r="F24"/>
  <c r="G24"/>
  <c r="D25"/>
  <c r="D24" s="1"/>
  <c r="E25"/>
  <c r="C27"/>
  <c r="F27"/>
  <c r="G27"/>
  <c r="D28"/>
  <c r="E28"/>
  <c r="C29"/>
  <c r="G29"/>
  <c r="D30"/>
  <c r="F30"/>
  <c r="F89" s="1"/>
  <c r="G34"/>
  <c r="G33"/>
  <c r="D35"/>
  <c r="F35"/>
  <c r="C36"/>
  <c r="C37"/>
  <c r="G37"/>
  <c r="D38"/>
  <c r="E38"/>
  <c r="D39"/>
  <c r="E39"/>
  <c r="D40"/>
  <c r="E40"/>
  <c r="D41"/>
  <c r="E41"/>
  <c r="D42"/>
  <c r="E42"/>
  <c r="D43"/>
  <c r="E43"/>
  <c r="D44"/>
  <c r="E44"/>
  <c r="D45"/>
  <c r="E45"/>
  <c r="D46"/>
  <c r="E46"/>
  <c r="D47"/>
  <c r="F47"/>
  <c r="D48"/>
  <c r="E48"/>
  <c r="D49"/>
  <c r="F49"/>
  <c r="E49" s="1"/>
  <c r="D50"/>
  <c r="E50"/>
  <c r="D51"/>
  <c r="E51"/>
  <c r="D52"/>
  <c r="E52"/>
  <c r="D53"/>
  <c r="E53"/>
  <c r="D54"/>
  <c r="E54"/>
  <c r="D55"/>
  <c r="E55"/>
  <c r="D56"/>
  <c r="E56"/>
  <c r="F58"/>
  <c r="D59"/>
  <c r="D88" s="1"/>
  <c r="E59"/>
  <c r="E88" s="1"/>
  <c r="C60"/>
  <c r="C61"/>
  <c r="F61"/>
  <c r="D62"/>
  <c r="D61" s="1"/>
  <c r="G62"/>
  <c r="E63"/>
  <c r="E64"/>
  <c r="E65"/>
  <c r="E66"/>
  <c r="E67"/>
  <c r="E68"/>
  <c r="E69"/>
  <c r="E70"/>
  <c r="E71"/>
  <c r="E72"/>
  <c r="E73"/>
  <c r="E74"/>
  <c r="E75"/>
  <c r="C80"/>
  <c r="G80"/>
  <c r="F87"/>
  <c r="C88"/>
  <c r="F88"/>
  <c r="G88"/>
  <c r="C89"/>
  <c r="C14" i="28"/>
  <c r="D14" s="1"/>
  <c r="E14" s="1"/>
  <c r="D20"/>
  <c r="E20"/>
  <c r="G20"/>
  <c r="F20" s="1"/>
  <c r="G19"/>
  <c r="H20"/>
  <c r="H19" s="1"/>
  <c r="J20"/>
  <c r="K20"/>
  <c r="K19"/>
  <c r="C21"/>
  <c r="G21"/>
  <c r="F21" s="1"/>
  <c r="H21"/>
  <c r="J21"/>
  <c r="K21"/>
  <c r="E22"/>
  <c r="G22"/>
  <c r="F22" s="1"/>
  <c r="H22"/>
  <c r="J22"/>
  <c r="K22"/>
  <c r="N22" s="1"/>
  <c r="D23"/>
  <c r="F23"/>
  <c r="I23"/>
  <c r="M23"/>
  <c r="N23"/>
  <c r="C24"/>
  <c r="F24"/>
  <c r="I24"/>
  <c r="M24"/>
  <c r="N24"/>
  <c r="C25"/>
  <c r="F25"/>
  <c r="I25"/>
  <c r="M25"/>
  <c r="N25"/>
  <c r="C26"/>
  <c r="F26"/>
  <c r="I26"/>
  <c r="M26"/>
  <c r="N26"/>
  <c r="C27"/>
  <c r="F27"/>
  <c r="I27"/>
  <c r="M27"/>
  <c r="N27"/>
  <c r="C28"/>
  <c r="F28"/>
  <c r="I28"/>
  <c r="M28"/>
  <c r="N28"/>
  <c r="L28" s="1"/>
  <c r="F29"/>
  <c r="I29"/>
  <c r="M29"/>
  <c r="N29"/>
  <c r="C30"/>
  <c r="F31"/>
  <c r="I31"/>
  <c r="M31"/>
  <c r="N31"/>
  <c r="C32"/>
  <c r="G32"/>
  <c r="G30" s="1"/>
  <c r="H32"/>
  <c r="H30" s="1"/>
  <c r="J32"/>
  <c r="I32" s="1"/>
  <c r="K32"/>
  <c r="K30" s="1"/>
  <c r="F33"/>
  <c r="I33"/>
  <c r="M33"/>
  <c r="N33"/>
  <c r="C34"/>
  <c r="G34"/>
  <c r="H34"/>
  <c r="J34"/>
  <c r="I34" s="1"/>
  <c r="K34"/>
  <c r="F35"/>
  <c r="I35"/>
  <c r="M35"/>
  <c r="N35"/>
  <c r="C36"/>
  <c r="D37"/>
  <c r="E37"/>
  <c r="C38"/>
  <c r="G38"/>
  <c r="F38" s="1"/>
  <c r="H38"/>
  <c r="H37" s="1"/>
  <c r="J38"/>
  <c r="K38"/>
  <c r="K37" s="1"/>
  <c r="C39"/>
  <c r="G39"/>
  <c r="F39" s="1"/>
  <c r="H39"/>
  <c r="J39"/>
  <c r="I39" s="1"/>
  <c r="K39"/>
  <c r="C40"/>
  <c r="G40"/>
  <c r="H40"/>
  <c r="J40"/>
  <c r="K40"/>
  <c r="C41"/>
  <c r="C42"/>
  <c r="G42"/>
  <c r="H42"/>
  <c r="J42"/>
  <c r="I42" s="1"/>
  <c r="K42"/>
  <c r="K41" s="1"/>
  <c r="C43"/>
  <c r="F43"/>
  <c r="I43"/>
  <c r="M43"/>
  <c r="N43"/>
  <c r="C44"/>
  <c r="F44"/>
  <c r="I44"/>
  <c r="M44"/>
  <c r="N44"/>
  <c r="C45"/>
  <c r="F45"/>
  <c r="I45"/>
  <c r="M45"/>
  <c r="N45"/>
  <c r="C46"/>
  <c r="F46"/>
  <c r="I46"/>
  <c r="M46"/>
  <c r="N46"/>
  <c r="C47"/>
  <c r="F47"/>
  <c r="I47"/>
  <c r="M47"/>
  <c r="N47"/>
  <c r="C48"/>
  <c r="F48"/>
  <c r="I48"/>
  <c r="M48"/>
  <c r="N48"/>
  <c r="C49"/>
  <c r="F49"/>
  <c r="I49"/>
  <c r="M49"/>
  <c r="N49"/>
  <c r="C50"/>
  <c r="F50"/>
  <c r="I50"/>
  <c r="M50"/>
  <c r="N50"/>
  <c r="C51"/>
  <c r="F51"/>
  <c r="I51"/>
  <c r="M51"/>
  <c r="N51"/>
  <c r="C52"/>
  <c r="F52"/>
  <c r="I52"/>
  <c r="M52"/>
  <c r="N52"/>
  <c r="C53"/>
  <c r="F53"/>
  <c r="I53"/>
  <c r="M53"/>
  <c r="N53"/>
  <c r="C54"/>
  <c r="F54"/>
  <c r="I54"/>
  <c r="M54"/>
  <c r="N54"/>
  <c r="C55"/>
  <c r="F55"/>
  <c r="I55"/>
  <c r="M55"/>
  <c r="N55"/>
  <c r="C56"/>
  <c r="F56"/>
  <c r="I56"/>
  <c r="M56"/>
  <c r="N56"/>
  <c r="C57"/>
  <c r="F57"/>
  <c r="I57"/>
  <c r="M57"/>
  <c r="N57"/>
  <c r="C58"/>
  <c r="F58"/>
  <c r="I58"/>
  <c r="M58"/>
  <c r="N58"/>
  <c r="L58"/>
  <c r="C59"/>
  <c r="F59"/>
  <c r="I59"/>
  <c r="M59"/>
  <c r="N59"/>
  <c r="C60"/>
  <c r="F60"/>
  <c r="I60"/>
  <c r="M60"/>
  <c r="N60"/>
  <c r="C61"/>
  <c r="F61"/>
  <c r="I61"/>
  <c r="M61"/>
  <c r="N61"/>
  <c r="C62"/>
  <c r="F62"/>
  <c r="I62"/>
  <c r="M62"/>
  <c r="N62"/>
  <c r="C63"/>
  <c r="F63"/>
  <c r="I63"/>
  <c r="M63"/>
  <c r="N63"/>
  <c r="C64"/>
  <c r="F64"/>
  <c r="I64"/>
  <c r="M64"/>
  <c r="N64"/>
  <c r="C65"/>
  <c r="G65"/>
  <c r="F65" s="1"/>
  <c r="H65"/>
  <c r="J65"/>
  <c r="I65" s="1"/>
  <c r="K65"/>
  <c r="C66"/>
  <c r="G66"/>
  <c r="F66" s="1"/>
  <c r="H66"/>
  <c r="J66"/>
  <c r="K66"/>
  <c r="C67"/>
  <c r="G67"/>
  <c r="F67" s="1"/>
  <c r="H67"/>
  <c r="J67"/>
  <c r="K67"/>
  <c r="C68"/>
  <c r="G68"/>
  <c r="H68"/>
  <c r="J68"/>
  <c r="I68" s="1"/>
  <c r="K68"/>
  <c r="C69"/>
  <c r="C70"/>
  <c r="G71"/>
  <c r="H71"/>
  <c r="H70" s="1"/>
  <c r="J71"/>
  <c r="I71" s="1"/>
  <c r="K71"/>
  <c r="C72"/>
  <c r="G72"/>
  <c r="H72"/>
  <c r="J72"/>
  <c r="I72" s="1"/>
  <c r="K72"/>
  <c r="C73"/>
  <c r="G73"/>
  <c r="H73"/>
  <c r="J73"/>
  <c r="I73" s="1"/>
  <c r="K73"/>
  <c r="C74"/>
  <c r="C75"/>
  <c r="G75"/>
  <c r="H75"/>
  <c r="H74" s="1"/>
  <c r="J75"/>
  <c r="K75"/>
  <c r="C76"/>
  <c r="G76"/>
  <c r="H76"/>
  <c r="J76"/>
  <c r="K76"/>
  <c r="C77"/>
  <c r="G77"/>
  <c r="F77" s="1"/>
  <c r="H77"/>
  <c r="J77"/>
  <c r="I77" s="1"/>
  <c r="K77"/>
  <c r="G78"/>
  <c r="F78" s="1"/>
  <c r="H78"/>
  <c r="J78"/>
  <c r="K78"/>
  <c r="G79"/>
  <c r="H79"/>
  <c r="J79"/>
  <c r="I79" s="1"/>
  <c r="K79"/>
  <c r="G80"/>
  <c r="H80"/>
  <c r="J80"/>
  <c r="I80" s="1"/>
  <c r="K80"/>
  <c r="C14" i="22"/>
  <c r="D14" s="1"/>
  <c r="E14" s="1"/>
  <c r="D20"/>
  <c r="E20"/>
  <c r="C20" s="1"/>
  <c r="F20"/>
  <c r="I20"/>
  <c r="M20"/>
  <c r="N20"/>
  <c r="C21"/>
  <c r="F21"/>
  <c r="I21"/>
  <c r="M21"/>
  <c r="N21"/>
  <c r="E22"/>
  <c r="G22"/>
  <c r="G19" s="1"/>
  <c r="H22"/>
  <c r="J22"/>
  <c r="K22"/>
  <c r="D23"/>
  <c r="C23"/>
  <c r="F23"/>
  <c r="I23"/>
  <c r="M23"/>
  <c r="N23"/>
  <c r="C24"/>
  <c r="F24"/>
  <c r="I24"/>
  <c r="M24"/>
  <c r="N24"/>
  <c r="C25"/>
  <c r="F25"/>
  <c r="I25"/>
  <c r="M25"/>
  <c r="N25"/>
  <c r="C26"/>
  <c r="F26"/>
  <c r="I26"/>
  <c r="M26"/>
  <c r="N26"/>
  <c r="C27"/>
  <c r="F27"/>
  <c r="I27"/>
  <c r="M27"/>
  <c r="N27"/>
  <c r="L27" s="1"/>
  <c r="C28"/>
  <c r="F28"/>
  <c r="I28"/>
  <c r="M28"/>
  <c r="L28" s="1"/>
  <c r="N28"/>
  <c r="F29"/>
  <c r="I29"/>
  <c r="M29"/>
  <c r="N29"/>
  <c r="C30"/>
  <c r="G30"/>
  <c r="H30"/>
  <c r="J30"/>
  <c r="K30"/>
  <c r="I31"/>
  <c r="M31"/>
  <c r="L31" s="1"/>
  <c r="N31"/>
  <c r="C32"/>
  <c r="F32"/>
  <c r="I32"/>
  <c r="M32"/>
  <c r="N32"/>
  <c r="L32" s="1"/>
  <c r="F33"/>
  <c r="I33"/>
  <c r="M33"/>
  <c r="N33"/>
  <c r="C34"/>
  <c r="F34"/>
  <c r="I34"/>
  <c r="M34"/>
  <c r="N34"/>
  <c r="F35"/>
  <c r="I35"/>
  <c r="M35"/>
  <c r="N35"/>
  <c r="C36"/>
  <c r="D37"/>
  <c r="E37"/>
  <c r="C37" s="1"/>
  <c r="G37"/>
  <c r="J37"/>
  <c r="K37"/>
  <c r="C38"/>
  <c r="F38"/>
  <c r="I38"/>
  <c r="M38"/>
  <c r="N38"/>
  <c r="C39"/>
  <c r="H39"/>
  <c r="I39"/>
  <c r="M39"/>
  <c r="C40"/>
  <c r="F40"/>
  <c r="I40"/>
  <c r="M40"/>
  <c r="N40"/>
  <c r="C41"/>
  <c r="C42"/>
  <c r="G42"/>
  <c r="G41" s="1"/>
  <c r="H42"/>
  <c r="H41" s="1"/>
  <c r="J42"/>
  <c r="K42"/>
  <c r="K41"/>
  <c r="C43"/>
  <c r="F43"/>
  <c r="I43"/>
  <c r="M43"/>
  <c r="N43"/>
  <c r="C44"/>
  <c r="F44"/>
  <c r="I44"/>
  <c r="M44"/>
  <c r="N44"/>
  <c r="C45"/>
  <c r="F45"/>
  <c r="I45"/>
  <c r="M45"/>
  <c r="N45"/>
  <c r="C46"/>
  <c r="F46"/>
  <c r="I46"/>
  <c r="M46"/>
  <c r="N46"/>
  <c r="C47"/>
  <c r="F47"/>
  <c r="I47"/>
  <c r="M47"/>
  <c r="N47"/>
  <c r="C48"/>
  <c r="F48"/>
  <c r="I48"/>
  <c r="M48"/>
  <c r="N48"/>
  <c r="C49"/>
  <c r="F49"/>
  <c r="I49"/>
  <c r="M49"/>
  <c r="N49"/>
  <c r="C50"/>
  <c r="F50"/>
  <c r="I50"/>
  <c r="M50"/>
  <c r="N50"/>
  <c r="C51"/>
  <c r="F51"/>
  <c r="I51"/>
  <c r="M51"/>
  <c r="N51"/>
  <c r="C52"/>
  <c r="F52"/>
  <c r="I52"/>
  <c r="M52"/>
  <c r="N52"/>
  <c r="C53"/>
  <c r="F53"/>
  <c r="I53"/>
  <c r="M53"/>
  <c r="N53"/>
  <c r="C54"/>
  <c r="F54"/>
  <c r="I54"/>
  <c r="M54"/>
  <c r="N54"/>
  <c r="C55"/>
  <c r="F55"/>
  <c r="I55"/>
  <c r="M55"/>
  <c r="N55"/>
  <c r="C56"/>
  <c r="F56"/>
  <c r="I56"/>
  <c r="M56"/>
  <c r="N56"/>
  <c r="C57"/>
  <c r="F57"/>
  <c r="I57"/>
  <c r="M57"/>
  <c r="N57"/>
  <c r="C58"/>
  <c r="F58"/>
  <c r="I58"/>
  <c r="M58"/>
  <c r="N58"/>
  <c r="C59"/>
  <c r="F59"/>
  <c r="I59"/>
  <c r="M59"/>
  <c r="N59"/>
  <c r="C60"/>
  <c r="F60"/>
  <c r="I60"/>
  <c r="M60"/>
  <c r="N60"/>
  <c r="C61"/>
  <c r="F61"/>
  <c r="I61"/>
  <c r="M61"/>
  <c r="N61"/>
  <c r="C62"/>
  <c r="F62"/>
  <c r="I62"/>
  <c r="M62"/>
  <c r="N62"/>
  <c r="L62" s="1"/>
  <c r="C63"/>
  <c r="F63"/>
  <c r="I63"/>
  <c r="M63"/>
  <c r="N63"/>
  <c r="C64"/>
  <c r="F64"/>
  <c r="I64"/>
  <c r="M64"/>
  <c r="N64"/>
  <c r="C65"/>
  <c r="F65"/>
  <c r="I65"/>
  <c r="M65"/>
  <c r="N65"/>
  <c r="C66"/>
  <c r="F66"/>
  <c r="I66"/>
  <c r="M66"/>
  <c r="N66"/>
  <c r="C67"/>
  <c r="F67"/>
  <c r="I67"/>
  <c r="M67"/>
  <c r="N67"/>
  <c r="C68"/>
  <c r="F68"/>
  <c r="I68"/>
  <c r="M68"/>
  <c r="N68"/>
  <c r="C69"/>
  <c r="C70"/>
  <c r="G70"/>
  <c r="H70"/>
  <c r="J70"/>
  <c r="K70"/>
  <c r="F71"/>
  <c r="I71"/>
  <c r="M71"/>
  <c r="N71"/>
  <c r="C72"/>
  <c r="F72"/>
  <c r="I72"/>
  <c r="M72"/>
  <c r="N72"/>
  <c r="C73"/>
  <c r="F73"/>
  <c r="I73"/>
  <c r="M73"/>
  <c r="N73"/>
  <c r="C74"/>
  <c r="G74"/>
  <c r="H74"/>
  <c r="N74" s="1"/>
  <c r="J74"/>
  <c r="C75"/>
  <c r="F75"/>
  <c r="I75"/>
  <c r="M75"/>
  <c r="N75"/>
  <c r="C76"/>
  <c r="F76"/>
  <c r="I76"/>
  <c r="M76"/>
  <c r="N76"/>
  <c r="C77"/>
  <c r="F77"/>
  <c r="I77"/>
  <c r="M77"/>
  <c r="N77"/>
  <c r="F78"/>
  <c r="I78"/>
  <c r="M78"/>
  <c r="N78"/>
  <c r="F79"/>
  <c r="I79"/>
  <c r="M79"/>
  <c r="N79"/>
  <c r="F80"/>
  <c r="I80"/>
  <c r="M80"/>
  <c r="N80"/>
  <c r="C16" i="20"/>
  <c r="F16"/>
  <c r="I16"/>
  <c r="L16" s="1"/>
  <c r="M16"/>
  <c r="N16"/>
  <c r="D17"/>
  <c r="E17"/>
  <c r="G17"/>
  <c r="F17" s="1"/>
  <c r="H17"/>
  <c r="J17"/>
  <c r="K17"/>
  <c r="N17" s="1"/>
  <c r="C18"/>
  <c r="F18"/>
  <c r="I18"/>
  <c r="L18" s="1"/>
  <c r="M18"/>
  <c r="N18"/>
  <c r="D19"/>
  <c r="E19"/>
  <c r="G19"/>
  <c r="G74" s="1"/>
  <c r="H19"/>
  <c r="J19"/>
  <c r="M19" s="1"/>
  <c r="K19"/>
  <c r="C20"/>
  <c r="F20"/>
  <c r="I20"/>
  <c r="L20" s="1"/>
  <c r="M20"/>
  <c r="N20"/>
  <c r="C21"/>
  <c r="F21"/>
  <c r="I21"/>
  <c r="L21" s="1"/>
  <c r="M21"/>
  <c r="N21"/>
  <c r="D22"/>
  <c r="D74" s="1"/>
  <c r="E22"/>
  <c r="G22"/>
  <c r="H22"/>
  <c r="J22"/>
  <c r="K22"/>
  <c r="N22" s="1"/>
  <c r="C23"/>
  <c r="F23"/>
  <c r="I23"/>
  <c r="L23" s="1"/>
  <c r="M23"/>
  <c r="N23"/>
  <c r="D25"/>
  <c r="E25"/>
  <c r="G25"/>
  <c r="H25"/>
  <c r="J25"/>
  <c r="K25"/>
  <c r="C26"/>
  <c r="F26"/>
  <c r="I26"/>
  <c r="L26" s="1"/>
  <c r="M26"/>
  <c r="N26"/>
  <c r="D27"/>
  <c r="E27"/>
  <c r="G27"/>
  <c r="H27"/>
  <c r="J27"/>
  <c r="K27"/>
  <c r="I27" s="1"/>
  <c r="L27" s="1"/>
  <c r="C28"/>
  <c r="F28"/>
  <c r="I28"/>
  <c r="L28" s="1"/>
  <c r="M28"/>
  <c r="N28"/>
  <c r="D31"/>
  <c r="E31"/>
  <c r="G31"/>
  <c r="H31"/>
  <c r="J31"/>
  <c r="K31"/>
  <c r="C32"/>
  <c r="F32"/>
  <c r="F73" s="1"/>
  <c r="I32"/>
  <c r="M32"/>
  <c r="N32"/>
  <c r="D33"/>
  <c r="C33" s="1"/>
  <c r="E33"/>
  <c r="G33"/>
  <c r="H33"/>
  <c r="J33"/>
  <c r="J30" s="1"/>
  <c r="K33"/>
  <c r="C34"/>
  <c r="F34"/>
  <c r="I34"/>
  <c r="L34" s="1"/>
  <c r="M34"/>
  <c r="N34"/>
  <c r="C35"/>
  <c r="F35"/>
  <c r="I35"/>
  <c r="L35" s="1"/>
  <c r="M35"/>
  <c r="N35"/>
  <c r="C36"/>
  <c r="F36"/>
  <c r="I36"/>
  <c r="L36" s="1"/>
  <c r="M36"/>
  <c r="N36"/>
  <c r="C37"/>
  <c r="F37"/>
  <c r="I37"/>
  <c r="M37"/>
  <c r="N37"/>
  <c r="C38"/>
  <c r="F38"/>
  <c r="I38"/>
  <c r="L38" s="1"/>
  <c r="M38"/>
  <c r="N38"/>
  <c r="C39"/>
  <c r="F39"/>
  <c r="I39"/>
  <c r="L39" s="1"/>
  <c r="M39"/>
  <c r="N39"/>
  <c r="C40"/>
  <c r="F40"/>
  <c r="I40"/>
  <c r="L40" s="1"/>
  <c r="M40"/>
  <c r="N40"/>
  <c r="C41"/>
  <c r="F41"/>
  <c r="I41"/>
  <c r="L41" s="1"/>
  <c r="M41"/>
  <c r="N41"/>
  <c r="C42"/>
  <c r="F42"/>
  <c r="I42"/>
  <c r="L42"/>
  <c r="M42"/>
  <c r="N42"/>
  <c r="C43"/>
  <c r="F43"/>
  <c r="I43"/>
  <c r="L43" s="1"/>
  <c r="M43"/>
  <c r="N43"/>
  <c r="C44"/>
  <c r="F44"/>
  <c r="I44"/>
  <c r="L44" s="1"/>
  <c r="M44"/>
  <c r="N44"/>
  <c r="C45"/>
  <c r="F45"/>
  <c r="I45"/>
  <c r="L45" s="1"/>
  <c r="M45"/>
  <c r="N45"/>
  <c r="C46"/>
  <c r="F46"/>
  <c r="I46"/>
  <c r="M46"/>
  <c r="N46"/>
  <c r="C47"/>
  <c r="F47"/>
  <c r="I47"/>
  <c r="L47" s="1"/>
  <c r="M47"/>
  <c r="N47"/>
  <c r="C48"/>
  <c r="F48"/>
  <c r="I48"/>
  <c r="L48" s="1"/>
  <c r="M48"/>
  <c r="N48"/>
  <c r="C49"/>
  <c r="F49"/>
  <c r="I49"/>
  <c r="L49" s="1"/>
  <c r="M49"/>
  <c r="N49"/>
  <c r="C50"/>
  <c r="F50"/>
  <c r="I50"/>
  <c r="L50" s="1"/>
  <c r="M50"/>
  <c r="N50"/>
  <c r="C51"/>
  <c r="F51"/>
  <c r="I51"/>
  <c r="L51" s="1"/>
  <c r="M51"/>
  <c r="N51"/>
  <c r="C52"/>
  <c r="F52"/>
  <c r="I52"/>
  <c r="L52" s="1"/>
  <c r="M52"/>
  <c r="N52"/>
  <c r="D54"/>
  <c r="E54"/>
  <c r="G54"/>
  <c r="H54"/>
  <c r="J54"/>
  <c r="M54" s="1"/>
  <c r="K54"/>
  <c r="N54" s="1"/>
  <c r="C55"/>
  <c r="F55"/>
  <c r="I55"/>
  <c r="L55" s="1"/>
  <c r="M55"/>
  <c r="N55"/>
  <c r="P55"/>
  <c r="C56"/>
  <c r="F56"/>
  <c r="I56"/>
  <c r="L56" s="1"/>
  <c r="M56"/>
  <c r="N56"/>
  <c r="P56"/>
  <c r="D57"/>
  <c r="E57"/>
  <c r="G57"/>
  <c r="G53" s="1"/>
  <c r="H57"/>
  <c r="J57"/>
  <c r="K57"/>
  <c r="N57" s="1"/>
  <c r="C58"/>
  <c r="F58"/>
  <c r="I58"/>
  <c r="L58" s="1"/>
  <c r="M58"/>
  <c r="N58"/>
  <c r="P58"/>
  <c r="D61"/>
  <c r="E61"/>
  <c r="G61"/>
  <c r="H61"/>
  <c r="J61"/>
  <c r="M61" s="1"/>
  <c r="K61"/>
  <c r="C62"/>
  <c r="F62"/>
  <c r="I62"/>
  <c r="L62" s="1"/>
  <c r="M62"/>
  <c r="N62"/>
  <c r="C63"/>
  <c r="F63"/>
  <c r="I63"/>
  <c r="L63" s="1"/>
  <c r="M63"/>
  <c r="N63"/>
  <c r="C64"/>
  <c r="F64"/>
  <c r="I64"/>
  <c r="L64" s="1"/>
  <c r="M64"/>
  <c r="N64"/>
  <c r="D65"/>
  <c r="E65"/>
  <c r="E60" s="1"/>
  <c r="G65"/>
  <c r="H65"/>
  <c r="J65"/>
  <c r="K65"/>
  <c r="N65" s="1"/>
  <c r="C66"/>
  <c r="F66"/>
  <c r="I66"/>
  <c r="L66" s="1"/>
  <c r="M66"/>
  <c r="N66"/>
  <c r="C67"/>
  <c r="F67"/>
  <c r="I67"/>
  <c r="L67" s="1"/>
  <c r="M67"/>
  <c r="N67"/>
  <c r="C68"/>
  <c r="F68"/>
  <c r="I68"/>
  <c r="L68" s="1"/>
  <c r="M68"/>
  <c r="N68"/>
  <c r="C69"/>
  <c r="F69"/>
  <c r="I69"/>
  <c r="L69" s="1"/>
  <c r="M69"/>
  <c r="N69"/>
  <c r="C70"/>
  <c r="F70"/>
  <c r="I70"/>
  <c r="L70" s="1"/>
  <c r="M70"/>
  <c r="N70"/>
  <c r="C71"/>
  <c r="F71"/>
  <c r="I71"/>
  <c r="L71" s="1"/>
  <c r="M71"/>
  <c r="N71"/>
  <c r="D73"/>
  <c r="E73"/>
  <c r="G73"/>
  <c r="H73"/>
  <c r="J73"/>
  <c r="K73"/>
  <c r="D75"/>
  <c r="E75"/>
  <c r="G75"/>
  <c r="H75"/>
  <c r="J75"/>
  <c r="K75"/>
  <c r="Q14" i="26"/>
  <c r="Q22"/>
  <c r="Q26"/>
  <c r="H27"/>
  <c r="Q30"/>
  <c r="D31"/>
  <c r="F31"/>
  <c r="H31"/>
  <c r="F32"/>
  <c r="G32" s="1"/>
  <c r="H32"/>
  <c r="D33"/>
  <c r="F33"/>
  <c r="G33" s="1"/>
  <c r="H33"/>
  <c r="Q34"/>
  <c r="G35"/>
  <c r="Q35"/>
  <c r="E36"/>
  <c r="G36"/>
  <c r="D37"/>
  <c r="F37"/>
  <c r="G37" s="1"/>
  <c r="H37"/>
  <c r="Q38"/>
  <c r="E39"/>
  <c r="E31"/>
  <c r="G39"/>
  <c r="E40"/>
  <c r="Q40" s="1"/>
  <c r="G40"/>
  <c r="F41"/>
  <c r="G41" s="1"/>
  <c r="H41"/>
  <c r="G42"/>
  <c r="Q42"/>
  <c r="D43"/>
  <c r="D41" s="1"/>
  <c r="G43"/>
  <c r="D44"/>
  <c r="F44"/>
  <c r="G44" s="1"/>
  <c r="H44"/>
  <c r="Q45"/>
  <c r="G46"/>
  <c r="L46"/>
  <c r="M46" s="1"/>
  <c r="Q46"/>
  <c r="E47"/>
  <c r="G47"/>
  <c r="D48"/>
  <c r="F48"/>
  <c r="G48" s="1"/>
  <c r="H48"/>
  <c r="Q49"/>
  <c r="G50"/>
  <c r="Q50"/>
  <c r="E51"/>
  <c r="E48"/>
  <c r="G51"/>
  <c r="D52"/>
  <c r="F52"/>
  <c r="G52" s="1"/>
  <c r="H52"/>
  <c r="Q53"/>
  <c r="G54"/>
  <c r="Q54"/>
  <c r="E55"/>
  <c r="G55"/>
  <c r="H56"/>
  <c r="D57"/>
  <c r="F57"/>
  <c r="H57"/>
  <c r="E58"/>
  <c r="E57" s="1"/>
  <c r="G58"/>
  <c r="D59"/>
  <c r="F59"/>
  <c r="G59" s="1"/>
  <c r="H59"/>
  <c r="E60"/>
  <c r="Q60"/>
  <c r="G60"/>
  <c r="Q62"/>
  <c r="H63"/>
  <c r="Q66"/>
  <c r="H67"/>
  <c r="H68" s="1"/>
  <c r="Q70"/>
  <c r="D71"/>
  <c r="D67" s="1"/>
  <c r="F71"/>
  <c r="F67" s="1"/>
  <c r="G67" s="1"/>
  <c r="H71"/>
  <c r="H69" s="1"/>
  <c r="D72"/>
  <c r="F72"/>
  <c r="H72"/>
  <c r="D73"/>
  <c r="F73"/>
  <c r="G73" s="1"/>
  <c r="H73"/>
  <c r="Q74"/>
  <c r="E75"/>
  <c r="E71" s="1"/>
  <c r="G75"/>
  <c r="E76"/>
  <c r="E72" s="1"/>
  <c r="G76"/>
  <c r="E78"/>
  <c r="Q78" s="1"/>
  <c r="G78"/>
  <c r="J78"/>
  <c r="D79"/>
  <c r="D77" s="1"/>
  <c r="F79"/>
  <c r="F77" s="1"/>
  <c r="G77" s="1"/>
  <c r="E80"/>
  <c r="Q80" s="1"/>
  <c r="G80"/>
  <c r="E81"/>
  <c r="G81"/>
  <c r="E82"/>
  <c r="Q82" s="1"/>
  <c r="G82"/>
  <c r="E83"/>
  <c r="Q83" s="1"/>
  <c r="G83"/>
  <c r="E84"/>
  <c r="Q84" s="1"/>
  <c r="G84"/>
  <c r="E85"/>
  <c r="Q85" s="1"/>
  <c r="G85"/>
  <c r="E86"/>
  <c r="Q86" s="1"/>
  <c r="G86"/>
  <c r="E87"/>
  <c r="Q87"/>
  <c r="G87"/>
  <c r="E88"/>
  <c r="Q88" s="1"/>
  <c r="G88"/>
  <c r="H88"/>
  <c r="H77" s="1"/>
  <c r="E89"/>
  <c r="Q89" s="1"/>
  <c r="G89"/>
  <c r="E90"/>
  <c r="Q90" s="1"/>
  <c r="G90"/>
  <c r="E91"/>
  <c r="Q91" s="1"/>
  <c r="G91"/>
  <c r="E92"/>
  <c r="Q92" s="1"/>
  <c r="G92"/>
  <c r="E93"/>
  <c r="Q93" s="1"/>
  <c r="G93"/>
  <c r="E94"/>
  <c r="Q94" s="1"/>
  <c r="G94"/>
  <c r="E95"/>
  <c r="Q95" s="1"/>
  <c r="G95"/>
  <c r="E96"/>
  <c r="Q96" s="1"/>
  <c r="G96"/>
  <c r="J96"/>
  <c r="E97"/>
  <c r="Q97" s="1"/>
  <c r="G97"/>
  <c r="Q99"/>
  <c r="H100"/>
  <c r="H101" s="1"/>
  <c r="Q103"/>
  <c r="D104"/>
  <c r="D100" s="1"/>
  <c r="F104"/>
  <c r="H104"/>
  <c r="H102" s="1"/>
  <c r="D105"/>
  <c r="F105"/>
  <c r="H105"/>
  <c r="D106"/>
  <c r="F106"/>
  <c r="G106" s="1"/>
  <c r="Q107"/>
  <c r="E108"/>
  <c r="G108"/>
  <c r="H108"/>
  <c r="H106"/>
  <c r="Q108"/>
  <c r="E109"/>
  <c r="G109"/>
  <c r="D110"/>
  <c r="F110"/>
  <c r="G110" s="1"/>
  <c r="H110"/>
  <c r="Q111"/>
  <c r="E112"/>
  <c r="Q112" s="1"/>
  <c r="G112"/>
  <c r="E113"/>
  <c r="G113"/>
  <c r="D114"/>
  <c r="F114"/>
  <c r="H114"/>
  <c r="E115"/>
  <c r="Q115"/>
  <c r="G115"/>
  <c r="Q117"/>
  <c r="G118"/>
  <c r="H118"/>
  <c r="Q118"/>
  <c r="G121"/>
  <c r="Q121"/>
  <c r="G122"/>
  <c r="Q122"/>
  <c r="G123"/>
  <c r="Q123"/>
  <c r="G124"/>
  <c r="Q124"/>
  <c r="G125"/>
  <c r="Q125"/>
  <c r="G126"/>
  <c r="Q126"/>
  <c r="G127"/>
  <c r="Q127"/>
  <c r="G128"/>
  <c r="Q128"/>
  <c r="G129"/>
  <c r="Q129"/>
  <c r="D130"/>
  <c r="D119" s="1"/>
  <c r="F130"/>
  <c r="H130"/>
  <c r="H120" s="1"/>
  <c r="H116" s="1"/>
  <c r="E131"/>
  <c r="Q131" s="1"/>
  <c r="G131"/>
  <c r="E132"/>
  <c r="Q132" s="1"/>
  <c r="G132"/>
  <c r="E133"/>
  <c r="G133"/>
  <c r="E134"/>
  <c r="Q134" s="1"/>
  <c r="G134"/>
  <c r="E135"/>
  <c r="Q135" s="1"/>
  <c r="G135"/>
  <c r="E136"/>
  <c r="Q136" s="1"/>
  <c r="G136"/>
  <c r="E137"/>
  <c r="Q137" s="1"/>
  <c r="G137"/>
  <c r="E138"/>
  <c r="Q138" s="1"/>
  <c r="G138"/>
  <c r="E139"/>
  <c r="Q139" s="1"/>
  <c r="G139"/>
  <c r="C20" i="11"/>
  <c r="D20"/>
  <c r="C21"/>
  <c r="D21"/>
  <c r="C25"/>
  <c r="C19" s="1"/>
  <c r="D25"/>
  <c r="D19" s="1"/>
  <c r="E27"/>
  <c r="E28"/>
  <c r="C29"/>
  <c r="D29"/>
  <c r="E31"/>
  <c r="E32"/>
  <c r="C34"/>
  <c r="D34"/>
  <c r="E35"/>
  <c r="E36"/>
  <c r="E37"/>
  <c r="E38"/>
  <c r="C39"/>
  <c r="D39"/>
  <c r="E40"/>
  <c r="E41"/>
  <c r="E42"/>
  <c r="E43"/>
  <c r="C44"/>
  <c r="D44"/>
  <c r="E45"/>
  <c r="E46"/>
  <c r="E47"/>
  <c r="E48"/>
  <c r="E49"/>
  <c r="C50"/>
  <c r="D50"/>
  <c r="E50" s="1"/>
  <c r="E51"/>
  <c r="C53"/>
  <c r="C52" s="1"/>
  <c r="D53"/>
  <c r="E54"/>
  <c r="E55"/>
  <c r="E56"/>
  <c r="E57"/>
  <c r="E58"/>
  <c r="E59"/>
  <c r="E60"/>
  <c r="E61"/>
  <c r="E62"/>
  <c r="E63"/>
  <c r="E64"/>
  <c r="C67"/>
  <c r="D67"/>
  <c r="E69"/>
  <c r="E70"/>
  <c r="C71"/>
  <c r="E72"/>
  <c r="E73"/>
  <c r="E74"/>
  <c r="E75"/>
  <c r="F75"/>
  <c r="C79"/>
  <c r="C77" s="1"/>
  <c r="C76" s="1"/>
  <c r="D79"/>
  <c r="E80"/>
  <c r="E81"/>
  <c r="E82"/>
  <c r="D14" i="10"/>
  <c r="C19"/>
  <c r="D19"/>
  <c r="E19"/>
  <c r="C21"/>
  <c r="E21"/>
  <c r="D25"/>
  <c r="E25"/>
  <c r="C27"/>
  <c r="C25" s="1"/>
  <c r="F28"/>
  <c r="C29"/>
  <c r="D29"/>
  <c r="E29"/>
  <c r="F31"/>
  <c r="F32"/>
  <c r="C35"/>
  <c r="D35"/>
  <c r="E35"/>
  <c r="F36"/>
  <c r="F37"/>
  <c r="F38"/>
  <c r="F39"/>
  <c r="C40"/>
  <c r="D40"/>
  <c r="E40"/>
  <c r="F41"/>
  <c r="F42"/>
  <c r="F43"/>
  <c r="F44"/>
  <c r="C45"/>
  <c r="D45"/>
  <c r="E45"/>
  <c r="F46"/>
  <c r="F47"/>
  <c r="F48"/>
  <c r="F49"/>
  <c r="F50"/>
  <c r="C51"/>
  <c r="D51"/>
  <c r="E51"/>
  <c r="F52"/>
  <c r="C54"/>
  <c r="E54"/>
  <c r="D55"/>
  <c r="D54"/>
  <c r="D53" s="1"/>
  <c r="D77" s="1"/>
  <c r="F55"/>
  <c r="D56"/>
  <c r="F56"/>
  <c r="F57"/>
  <c r="F58"/>
  <c r="F59"/>
  <c r="F60"/>
  <c r="F61"/>
  <c r="F62"/>
  <c r="F63"/>
  <c r="F64"/>
  <c r="F65"/>
  <c r="C68"/>
  <c r="D68"/>
  <c r="E68"/>
  <c r="F70"/>
  <c r="F71"/>
  <c r="C72"/>
  <c r="D72"/>
  <c r="F73"/>
  <c r="F74"/>
  <c r="F75"/>
  <c r="F76"/>
  <c r="C78"/>
  <c r="C77" s="1"/>
  <c r="D78"/>
  <c r="E78"/>
  <c r="F79"/>
  <c r="F80"/>
  <c r="F81"/>
  <c r="D14" i="9"/>
  <c r="C21"/>
  <c r="E21"/>
  <c r="F21" s="1"/>
  <c r="C25"/>
  <c r="D25"/>
  <c r="E25"/>
  <c r="F27"/>
  <c r="F28"/>
  <c r="C29"/>
  <c r="D29"/>
  <c r="E29"/>
  <c r="F31"/>
  <c r="F32"/>
  <c r="C34"/>
  <c r="C33" s="1"/>
  <c r="D34"/>
  <c r="D33" s="1"/>
  <c r="E34"/>
  <c r="F36"/>
  <c r="F37"/>
  <c r="C40"/>
  <c r="D40"/>
  <c r="E40"/>
  <c r="E38" s="1"/>
  <c r="C41"/>
  <c r="D41"/>
  <c r="E41"/>
  <c r="C42"/>
  <c r="D42"/>
  <c r="E42"/>
  <c r="F44"/>
  <c r="F45"/>
  <c r="C46"/>
  <c r="D46"/>
  <c r="E46"/>
  <c r="F48"/>
  <c r="F49"/>
  <c r="C50"/>
  <c r="D50"/>
  <c r="E50"/>
  <c r="F52"/>
  <c r="F53"/>
  <c r="C56"/>
  <c r="D56"/>
  <c r="E56"/>
  <c r="C57"/>
  <c r="D57"/>
  <c r="E57"/>
  <c r="C58"/>
  <c r="D58"/>
  <c r="E58"/>
  <c r="F60"/>
  <c r="F61"/>
  <c r="C62"/>
  <c r="D62"/>
  <c r="E62"/>
  <c r="F64"/>
  <c r="F65"/>
  <c r="C66"/>
  <c r="D66"/>
  <c r="E66"/>
  <c r="F66" s="1"/>
  <c r="F68"/>
  <c r="F69"/>
  <c r="C72"/>
  <c r="D72"/>
  <c r="E72"/>
  <c r="F73"/>
  <c r="F74"/>
  <c r="F75"/>
  <c r="F76"/>
  <c r="F77"/>
  <c r="F78"/>
  <c r="C79"/>
  <c r="D79"/>
  <c r="E79"/>
  <c r="F80"/>
  <c r="F81"/>
  <c r="F82"/>
  <c r="D83"/>
  <c r="E83"/>
  <c r="C84"/>
  <c r="F84" s="1"/>
  <c r="C85"/>
  <c r="D85"/>
  <c r="E85"/>
  <c r="F86"/>
  <c r="F87"/>
  <c r="F88"/>
  <c r="C89"/>
  <c r="D89"/>
  <c r="E89"/>
  <c r="F90"/>
  <c r="C94"/>
  <c r="D94"/>
  <c r="E94"/>
  <c r="C96"/>
  <c r="D96"/>
  <c r="E96"/>
  <c r="F98"/>
  <c r="F99"/>
  <c r="C100"/>
  <c r="D100"/>
  <c r="E100"/>
  <c r="F102"/>
  <c r="F103"/>
  <c r="D104"/>
  <c r="E104"/>
  <c r="F105"/>
  <c r="C106"/>
  <c r="C104" s="1"/>
  <c r="F107"/>
  <c r="F108"/>
  <c r="F109"/>
  <c r="F110"/>
  <c r="F111"/>
  <c r="F112"/>
  <c r="F113"/>
  <c r="C116"/>
  <c r="D116"/>
  <c r="E116"/>
  <c r="F118"/>
  <c r="F119"/>
  <c r="C120"/>
  <c r="D120"/>
  <c r="E120"/>
  <c r="F121"/>
  <c r="F122"/>
  <c r="F123"/>
  <c r="C125"/>
  <c r="C124" s="1"/>
  <c r="D125"/>
  <c r="D124" s="1"/>
  <c r="E125"/>
  <c r="E124" s="1"/>
  <c r="F126"/>
  <c r="F127"/>
  <c r="F128"/>
  <c r="F129"/>
  <c r="F130"/>
  <c r="D14" i="8"/>
  <c r="C18"/>
  <c r="D18"/>
  <c r="E18"/>
  <c r="C22"/>
  <c r="C21" s="1"/>
  <c r="D22"/>
  <c r="D21" s="1"/>
  <c r="E22"/>
  <c r="E21" s="1"/>
  <c r="F24"/>
  <c r="F25"/>
  <c r="C26"/>
  <c r="E26"/>
  <c r="C30"/>
  <c r="D30"/>
  <c r="E30"/>
  <c r="F32"/>
  <c r="F33"/>
  <c r="C34"/>
  <c r="D34"/>
  <c r="E34"/>
  <c r="F34" s="1"/>
  <c r="F36"/>
  <c r="F37"/>
  <c r="C40"/>
  <c r="D40"/>
  <c r="E40"/>
  <c r="F41"/>
  <c r="F42"/>
  <c r="F43"/>
  <c r="F44"/>
  <c r="F45"/>
  <c r="F46"/>
  <c r="C47"/>
  <c r="D47"/>
  <c r="E47"/>
  <c r="F48"/>
  <c r="F49"/>
  <c r="F50"/>
  <c r="D51"/>
  <c r="E51"/>
  <c r="C52"/>
  <c r="C51" s="1"/>
  <c r="C54"/>
  <c r="D54"/>
  <c r="E54"/>
  <c r="F55"/>
  <c r="F56"/>
  <c r="F57"/>
  <c r="C58"/>
  <c r="D58"/>
  <c r="E58"/>
  <c r="F59"/>
  <c r="F60"/>
  <c r="F61"/>
  <c r="F62"/>
  <c r="F63"/>
  <c r="F64"/>
  <c r="C66"/>
  <c r="D66"/>
  <c r="E66"/>
  <c r="F67"/>
  <c r="F68"/>
  <c r="F69"/>
  <c r="C70"/>
  <c r="D70"/>
  <c r="E70"/>
  <c r="F71"/>
  <c r="F72"/>
  <c r="F73"/>
  <c r="C74"/>
  <c r="D74"/>
  <c r="E74"/>
  <c r="F75"/>
  <c r="C79"/>
  <c r="D79"/>
  <c r="E79"/>
  <c r="C81"/>
  <c r="D81"/>
  <c r="E81"/>
  <c r="F83"/>
  <c r="F84"/>
  <c r="C85"/>
  <c r="D85"/>
  <c r="E85"/>
  <c r="F87"/>
  <c r="F88"/>
  <c r="D89"/>
  <c r="E89"/>
  <c r="F90"/>
  <c r="C91"/>
  <c r="C89" s="1"/>
  <c r="F89" s="1"/>
  <c r="F92"/>
  <c r="F93"/>
  <c r="F94"/>
  <c r="F95"/>
  <c r="F96"/>
  <c r="F97"/>
  <c r="F98"/>
  <c r="C101"/>
  <c r="D101"/>
  <c r="E101"/>
  <c r="F102"/>
  <c r="C103"/>
  <c r="D103"/>
  <c r="E103"/>
  <c r="F104"/>
  <c r="F105"/>
  <c r="F106"/>
  <c r="F107"/>
  <c r="C109"/>
  <c r="C108" s="1"/>
  <c r="D109"/>
  <c r="D108" s="1"/>
  <c r="E109"/>
  <c r="E108" s="1"/>
  <c r="F108" s="1"/>
  <c r="F110"/>
  <c r="F111"/>
  <c r="F112"/>
  <c r="F113"/>
  <c r="F114"/>
  <c r="D236" i="57"/>
  <c r="X236"/>
  <c r="L73"/>
  <c r="J241"/>
  <c r="S165"/>
  <c r="S164"/>
  <c r="J187"/>
  <c r="Q93"/>
  <c r="Q73" s="1"/>
  <c r="R54"/>
  <c r="R38"/>
  <c r="U20"/>
  <c r="G31"/>
  <c r="G74"/>
  <c r="D97"/>
  <c r="D233"/>
  <c r="G210"/>
  <c r="U97"/>
  <c r="J68"/>
  <c r="M68" s="1"/>
  <c r="D101"/>
  <c r="R16"/>
  <c r="G290"/>
  <c r="G312"/>
  <c r="J31"/>
  <c r="M31" s="1"/>
  <c r="U310"/>
  <c r="D45"/>
  <c r="U33"/>
  <c r="R29"/>
  <c r="D20"/>
  <c r="G27"/>
  <c r="H73"/>
  <c r="H15" s="1"/>
  <c r="I80"/>
  <c r="G224"/>
  <c r="V257"/>
  <c r="U170"/>
  <c r="R76"/>
  <c r="R68"/>
  <c r="U59"/>
  <c r="G108"/>
  <c r="J20"/>
  <c r="M20" s="1"/>
  <c r="J16"/>
  <c r="M16" s="1"/>
  <c r="J29"/>
  <c r="M29" s="1"/>
  <c r="J62"/>
  <c r="M62" s="1"/>
  <c r="J89"/>
  <c r="M89" s="1"/>
  <c r="J48"/>
  <c r="M48" s="1"/>
  <c r="D316"/>
  <c r="N149" i="58"/>
  <c r="I66"/>
  <c r="I14" s="1"/>
  <c r="M162"/>
  <c r="J220"/>
  <c r="E14"/>
  <c r="G165"/>
  <c r="G201"/>
  <c r="F14"/>
  <c r="I98"/>
  <c r="G98" s="1"/>
  <c r="J215"/>
  <c r="W140"/>
  <c r="D209"/>
  <c r="J170"/>
  <c r="J161"/>
  <c r="K80"/>
  <c r="L218"/>
  <c r="J213"/>
  <c r="J196"/>
  <c r="J193"/>
  <c r="U103"/>
  <c r="D25"/>
  <c r="D82"/>
  <c r="J177"/>
  <c r="D53"/>
  <c r="K182"/>
  <c r="J178"/>
  <c r="D78"/>
  <c r="D195"/>
  <c r="D204"/>
  <c r="AA45"/>
  <c r="AA48"/>
  <c r="D36"/>
  <c r="D48"/>
  <c r="D150"/>
  <c r="D216"/>
  <c r="L184"/>
  <c r="X195"/>
  <c r="O182"/>
  <c r="M182" s="1"/>
  <c r="S182" s="1"/>
  <c r="L183"/>
  <c r="AA31"/>
  <c r="M42"/>
  <c r="V72"/>
  <c r="V85"/>
  <c r="V66" s="1"/>
  <c r="H90"/>
  <c r="M94"/>
  <c r="M103"/>
  <c r="S128"/>
  <c r="M140"/>
  <c r="U195"/>
  <c r="I182"/>
  <c r="G182" s="1"/>
  <c r="J176"/>
  <c r="G29"/>
  <c r="G50"/>
  <c r="AA50"/>
  <c r="Y66"/>
  <c r="AC66"/>
  <c r="AC14" s="1"/>
  <c r="P78"/>
  <c r="Q80"/>
  <c r="H93"/>
  <c r="G93" s="1"/>
  <c r="AA107"/>
  <c r="R149"/>
  <c r="P160"/>
  <c r="S160" s="1"/>
  <c r="X48"/>
  <c r="X53"/>
  <c r="AA87"/>
  <c r="G91"/>
  <c r="G198"/>
  <c r="D27"/>
  <c r="D50"/>
  <c r="E66"/>
  <c r="D187"/>
  <c r="Q90"/>
  <c r="T90" s="1"/>
  <c r="M27"/>
  <c r="AA42"/>
  <c r="AA74"/>
  <c r="X82"/>
  <c r="T91"/>
  <c r="X96"/>
  <c r="AC106"/>
  <c r="AA150"/>
  <c r="T195"/>
  <c r="T164" s="1"/>
  <c r="D17"/>
  <c r="D22"/>
  <c r="D31"/>
  <c r="J34"/>
  <c r="J39"/>
  <c r="L42"/>
  <c r="J52"/>
  <c r="J55"/>
  <c r="D62"/>
  <c r="J68"/>
  <c r="J95"/>
  <c r="E98"/>
  <c r="K98" s="1"/>
  <c r="J109"/>
  <c r="J126"/>
  <c r="J130"/>
  <c r="J134"/>
  <c r="J138"/>
  <c r="J141"/>
  <c r="D162"/>
  <c r="D165"/>
  <c r="J168"/>
  <c r="J179"/>
  <c r="K201"/>
  <c r="K165"/>
  <c r="A153"/>
  <c r="A154" s="1"/>
  <c r="A155" s="1"/>
  <c r="AA195"/>
  <c r="J33"/>
  <c r="L38"/>
  <c r="J47"/>
  <c r="F66"/>
  <c r="J70"/>
  <c r="K86"/>
  <c r="L93"/>
  <c r="J97"/>
  <c r="J108"/>
  <c r="J112"/>
  <c r="J125"/>
  <c r="J137"/>
  <c r="D140"/>
  <c r="J144"/>
  <c r="K107"/>
  <c r="J24"/>
  <c r="J32"/>
  <c r="J41"/>
  <c r="J44"/>
  <c r="L50"/>
  <c r="L69"/>
  <c r="J89"/>
  <c r="L96"/>
  <c r="J99"/>
  <c r="J124"/>
  <c r="J128"/>
  <c r="J136"/>
  <c r="J147"/>
  <c r="J181"/>
  <c r="K87"/>
  <c r="K50"/>
  <c r="J122"/>
  <c r="X17"/>
  <c r="M53"/>
  <c r="AA96"/>
  <c r="M165"/>
  <c r="G195"/>
  <c r="L15"/>
  <c r="J18"/>
  <c r="J23"/>
  <c r="D29"/>
  <c r="L31"/>
  <c r="J40"/>
  <c r="D56"/>
  <c r="D67"/>
  <c r="D74"/>
  <c r="J88"/>
  <c r="J92"/>
  <c r="K96"/>
  <c r="E106"/>
  <c r="J110"/>
  <c r="J123"/>
  <c r="J139"/>
  <c r="J146"/>
  <c r="L165"/>
  <c r="J169"/>
  <c r="J180"/>
  <c r="D198"/>
  <c r="D201"/>
  <c r="K198"/>
  <c r="L144"/>
  <c r="K100"/>
  <c r="K29"/>
  <c r="J159"/>
  <c r="AC149"/>
  <c r="F106"/>
  <c r="A125"/>
  <c r="A126" s="1"/>
  <c r="A127" s="1"/>
  <c r="A128" s="1"/>
  <c r="A129" s="1"/>
  <c r="A130" s="1"/>
  <c r="A131" s="1"/>
  <c r="A132" s="1"/>
  <c r="A133" s="1"/>
  <c r="A134" s="1"/>
  <c r="A135" s="1"/>
  <c r="A136" s="1"/>
  <c r="A137" s="1"/>
  <c r="A138" s="1"/>
  <c r="D107"/>
  <c r="L107"/>
  <c r="D102"/>
  <c r="L94"/>
  <c r="D91"/>
  <c r="L91"/>
  <c r="K82"/>
  <c r="D69"/>
  <c r="L67"/>
  <c r="L53"/>
  <c r="D42"/>
  <c r="D38"/>
  <c r="L22"/>
  <c r="L17"/>
  <c r="D15"/>
  <c r="E149"/>
  <c r="S195"/>
  <c r="AA15"/>
  <c r="X27"/>
  <c r="X42"/>
  <c r="S190"/>
  <c r="AA94"/>
  <c r="G100"/>
  <c r="AA162"/>
  <c r="P22"/>
  <c r="S22" s="1"/>
  <c r="AA27"/>
  <c r="X31"/>
  <c r="G42"/>
  <c r="M48"/>
  <c r="G56"/>
  <c r="X69"/>
  <c r="X140"/>
  <c r="U150"/>
  <c r="U149" s="1"/>
  <c r="M187"/>
  <c r="X216"/>
  <c r="M22"/>
  <c r="G48"/>
  <c r="AA82"/>
  <c r="M15"/>
  <c r="M31"/>
  <c r="X50"/>
  <c r="X56"/>
  <c r="X62"/>
  <c r="M74"/>
  <c r="AC73"/>
  <c r="AC72" s="1"/>
  <c r="X76"/>
  <c r="M80"/>
  <c r="T81"/>
  <c r="T80" s="1"/>
  <c r="X94"/>
  <c r="X98"/>
  <c r="AA103"/>
  <c r="I140"/>
  <c r="I149"/>
  <c r="X156"/>
  <c r="W149" s="1"/>
  <c r="M160"/>
  <c r="G162"/>
  <c r="G19"/>
  <c r="J19" s="1"/>
  <c r="P25"/>
  <c r="S25" s="1"/>
  <c r="X29"/>
  <c r="P31"/>
  <c r="S31" s="1"/>
  <c r="G38"/>
  <c r="P38"/>
  <c r="S38" s="1"/>
  <c r="AA38"/>
  <c r="M45"/>
  <c r="X87"/>
  <c r="Q98"/>
  <c r="T98" s="1"/>
  <c r="X103"/>
  <c r="T160"/>
  <c r="T149" s="1"/>
  <c r="X162"/>
  <c r="M25"/>
  <c r="G27"/>
  <c r="M38"/>
  <c r="P62"/>
  <c r="S62" s="1"/>
  <c r="R66"/>
  <c r="U66" s="1"/>
  <c r="R14"/>
  <c r="U14" s="1"/>
  <c r="M67"/>
  <c r="AA76"/>
  <c r="M78"/>
  <c r="Z85"/>
  <c r="U87"/>
  <c r="M198"/>
  <c r="G204"/>
  <c r="J204" s="1"/>
  <c r="O73"/>
  <c r="G216"/>
  <c r="M218"/>
  <c r="X218"/>
  <c r="M93"/>
  <c r="P19"/>
  <c r="S19" s="1"/>
  <c r="AA19"/>
  <c r="G22"/>
  <c r="J22" s="1"/>
  <c r="U22"/>
  <c r="AA22"/>
  <c r="G25"/>
  <c r="AA25"/>
  <c r="AA29"/>
  <c r="X36"/>
  <c r="X38"/>
  <c r="G45"/>
  <c r="X45"/>
  <c r="M50"/>
  <c r="G53"/>
  <c r="G62"/>
  <c r="J62" s="1"/>
  <c r="N66"/>
  <c r="G67"/>
  <c r="AB66"/>
  <c r="Y73"/>
  <c r="Y72" s="1"/>
  <c r="G76"/>
  <c r="G80"/>
  <c r="P81"/>
  <c r="S81" s="1"/>
  <c r="S80" s="1"/>
  <c r="I86"/>
  <c r="G87"/>
  <c r="U94"/>
  <c r="AA93"/>
  <c r="N102"/>
  <c r="M102" s="1"/>
  <c r="U107"/>
  <c r="G150"/>
  <c r="J150" s="1"/>
  <c r="AA156"/>
  <c r="G160"/>
  <c r="AA160"/>
  <c r="P165"/>
  <c r="S165" s="1"/>
  <c r="S150"/>
  <c r="M17"/>
  <c r="X19"/>
  <c r="AA53"/>
  <c r="M56"/>
  <c r="M62"/>
  <c r="H66"/>
  <c r="Q66"/>
  <c r="T66" s="1"/>
  <c r="G69"/>
  <c r="W72"/>
  <c r="G82"/>
  <c r="M100"/>
  <c r="X100"/>
  <c r="AB102"/>
  <c r="AA102" s="1"/>
  <c r="X150"/>
  <c r="Z149"/>
  <c r="M201"/>
  <c r="M204"/>
  <c r="M216"/>
  <c r="G218"/>
  <c r="P218"/>
  <c r="S218" s="1"/>
  <c r="AA17"/>
  <c r="X22"/>
  <c r="X25"/>
  <c r="M29"/>
  <c r="G31"/>
  <c r="G36"/>
  <c r="J36" s="1"/>
  <c r="AA56"/>
  <c r="AA62"/>
  <c r="R73"/>
  <c r="R72" s="1"/>
  <c r="AB73"/>
  <c r="AB72" s="1"/>
  <c r="M82"/>
  <c r="X86"/>
  <c r="X93"/>
  <c r="G96"/>
  <c r="W85"/>
  <c r="W66" s="1"/>
  <c r="AA100"/>
  <c r="Q106"/>
  <c r="T106" s="1"/>
  <c r="M107"/>
  <c r="H149"/>
  <c r="V149"/>
  <c r="AB149"/>
  <c r="X160"/>
  <c r="V140"/>
  <c r="M195"/>
  <c r="G209"/>
  <c r="J209" s="1"/>
  <c r="AA216"/>
  <c r="AA218"/>
  <c r="U86"/>
  <c r="M86"/>
  <c r="T76"/>
  <c r="P76"/>
  <c r="S76" s="1"/>
  <c r="T86"/>
  <c r="P86"/>
  <c r="S86" s="1"/>
  <c r="M91"/>
  <c r="N90"/>
  <c r="T93"/>
  <c r="P93"/>
  <c r="S93" s="1"/>
  <c r="T103"/>
  <c r="P103"/>
  <c r="S103" s="1"/>
  <c r="Q102"/>
  <c r="P102" s="1"/>
  <c r="S102" s="1"/>
  <c r="P27"/>
  <c r="S27" s="1"/>
  <c r="P42"/>
  <c r="S42"/>
  <c r="P45"/>
  <c r="S45" s="1"/>
  <c r="P48"/>
  <c r="S48" s="1"/>
  <c r="AA69"/>
  <c r="P74"/>
  <c r="S74" s="1"/>
  <c r="M87"/>
  <c r="T82"/>
  <c r="P82"/>
  <c r="S82" s="1"/>
  <c r="T87"/>
  <c r="P87"/>
  <c r="S87" s="1"/>
  <c r="X91"/>
  <c r="X90" s="1"/>
  <c r="Y90"/>
  <c r="Y85" s="1"/>
  <c r="X15"/>
  <c r="P17"/>
  <c r="S17" s="1"/>
  <c r="U19"/>
  <c r="P29"/>
  <c r="S29"/>
  <c r="U31"/>
  <c r="U36"/>
  <c r="P50"/>
  <c r="S50"/>
  <c r="P53"/>
  <c r="S53" s="1"/>
  <c r="P56"/>
  <c r="S56" s="1"/>
  <c r="U62"/>
  <c r="P67"/>
  <c r="S67" s="1"/>
  <c r="P69"/>
  <c r="S69" s="1"/>
  <c r="I73"/>
  <c r="M96"/>
  <c r="N98"/>
  <c r="M98" s="1"/>
  <c r="X74"/>
  <c r="Z73"/>
  <c r="Z72" s="1"/>
  <c r="Z71" s="1"/>
  <c r="AA86"/>
  <c r="AA91"/>
  <c r="AA90"/>
  <c r="AC90"/>
  <c r="AC85" s="1"/>
  <c r="T94"/>
  <c r="P94"/>
  <c r="S94" s="1"/>
  <c r="R98"/>
  <c r="R85" s="1"/>
  <c r="AB98"/>
  <c r="AA98" s="1"/>
  <c r="G94"/>
  <c r="P96"/>
  <c r="S96" s="1"/>
  <c r="N106"/>
  <c r="R106"/>
  <c r="AB106"/>
  <c r="AA106"/>
  <c r="P107"/>
  <c r="P216"/>
  <c r="S216" s="1"/>
  <c r="G107"/>
  <c r="X107"/>
  <c r="P162"/>
  <c r="S162" s="1"/>
  <c r="P100"/>
  <c r="S100" s="1"/>
  <c r="D182"/>
  <c r="K167"/>
  <c r="D167"/>
  <c r="J167" s="1"/>
  <c r="L117" i="59"/>
  <c r="O117" s="1"/>
  <c r="K117"/>
  <c r="K116" s="1"/>
  <c r="N116" s="1"/>
  <c r="H65"/>
  <c r="H49" s="1"/>
  <c r="R63"/>
  <c r="K65"/>
  <c r="R47"/>
  <c r="J66"/>
  <c r="I19"/>
  <c r="I15" s="1"/>
  <c r="G20"/>
  <c r="L65"/>
  <c r="L49" s="1"/>
  <c r="D102"/>
  <c r="I77"/>
  <c r="I65" s="1"/>
  <c r="D85"/>
  <c r="G99"/>
  <c r="J127"/>
  <c r="M127" s="1"/>
  <c r="F19"/>
  <c r="D22"/>
  <c r="R24"/>
  <c r="D26"/>
  <c r="P29"/>
  <c r="P19" s="1"/>
  <c r="F77"/>
  <c r="D77" s="1"/>
  <c r="M89"/>
  <c r="L30"/>
  <c r="D31"/>
  <c r="U44"/>
  <c r="S19"/>
  <c r="U24"/>
  <c r="G31"/>
  <c r="U30"/>
  <c r="K34"/>
  <c r="J34" s="1"/>
  <c r="M34" s="1"/>
  <c r="N35"/>
  <c r="U35"/>
  <c r="U34" s="1"/>
  <c r="N38"/>
  <c r="T46"/>
  <c r="T29" s="1"/>
  <c r="R59"/>
  <c r="T19"/>
  <c r="U37"/>
  <c r="G46"/>
  <c r="D66"/>
  <c r="U93"/>
  <c r="D96"/>
  <c r="D20"/>
  <c r="R42"/>
  <c r="G63"/>
  <c r="O93"/>
  <c r="R93"/>
  <c r="R65" s="1"/>
  <c r="M106"/>
  <c r="Q29"/>
  <c r="Q19" s="1"/>
  <c r="G50"/>
  <c r="U63"/>
  <c r="G26"/>
  <c r="D37"/>
  <c r="L42"/>
  <c r="G44"/>
  <c r="F50"/>
  <c r="D50" s="1"/>
  <c r="P50"/>
  <c r="D63"/>
  <c r="G93"/>
  <c r="J110"/>
  <c r="M110" s="1"/>
  <c r="U118"/>
  <c r="D35"/>
  <c r="D38"/>
  <c r="D24"/>
  <c r="J26"/>
  <c r="R31"/>
  <c r="R40"/>
  <c r="R44"/>
  <c r="G85"/>
  <c r="D93"/>
  <c r="N93"/>
  <c r="N65" s="1"/>
  <c r="G102"/>
  <c r="U127"/>
  <c r="M93"/>
  <c r="H19"/>
  <c r="H15" s="1"/>
  <c r="G22"/>
  <c r="R22"/>
  <c r="W19"/>
  <c r="H30"/>
  <c r="G30" s="1"/>
  <c r="S29"/>
  <c r="G38"/>
  <c r="D40"/>
  <c r="J40"/>
  <c r="M40" s="1"/>
  <c r="L19"/>
  <c r="L15" s="1"/>
  <c r="O15" s="1"/>
  <c r="U22"/>
  <c r="D42"/>
  <c r="U46"/>
  <c r="E19"/>
  <c r="K19"/>
  <c r="J19"/>
  <c r="G24"/>
  <c r="E30"/>
  <c r="J38"/>
  <c r="M38"/>
  <c r="R38"/>
  <c r="D44"/>
  <c r="J47"/>
  <c r="M47"/>
  <c r="G66"/>
  <c r="G82"/>
  <c r="D99"/>
  <c r="T117"/>
  <c r="T116"/>
  <c r="I29"/>
  <c r="H42"/>
  <c r="G42" s="1"/>
  <c r="V42"/>
  <c r="U42" s="1"/>
  <c r="G96"/>
  <c r="V117"/>
  <c r="U117" s="1"/>
  <c r="A60"/>
  <c r="A61" s="1"/>
  <c r="A62" s="1"/>
  <c r="K139"/>
  <c r="W16"/>
  <c r="N63"/>
  <c r="J63"/>
  <c r="M63" s="1"/>
  <c r="V19"/>
  <c r="J20"/>
  <c r="M20" s="1"/>
  <c r="J22"/>
  <c r="M22" s="1"/>
  <c r="J24"/>
  <c r="M24"/>
  <c r="L37"/>
  <c r="O37" s="1"/>
  <c r="U38"/>
  <c r="N47"/>
  <c r="U50"/>
  <c r="U59"/>
  <c r="K135"/>
  <c r="N135" s="1"/>
  <c r="N30"/>
  <c r="N31"/>
  <c r="J31"/>
  <c r="M31" s="1"/>
  <c r="N37"/>
  <c r="N42"/>
  <c r="N44"/>
  <c r="J44"/>
  <c r="M44" s="1"/>
  <c r="S117"/>
  <c r="R117" s="1"/>
  <c r="A128"/>
  <c r="N134"/>
  <c r="J134"/>
  <c r="M134" s="1"/>
  <c r="G35"/>
  <c r="H34"/>
  <c r="G34" s="1"/>
  <c r="N50"/>
  <c r="J50"/>
  <c r="M50" s="1"/>
  <c r="G37" i="28"/>
  <c r="F37" s="1"/>
  <c r="H139" i="59"/>
  <c r="G139" s="1"/>
  <c r="L133"/>
  <c r="O133" s="1"/>
  <c r="U31"/>
  <c r="T37"/>
  <c r="R37" s="1"/>
  <c r="T16"/>
  <c r="T12"/>
  <c r="G47"/>
  <c r="R50"/>
  <c r="R30"/>
  <c r="D34"/>
  <c r="R35"/>
  <c r="R34"/>
  <c r="H37"/>
  <c r="G37" s="1"/>
  <c r="G40"/>
  <c r="O47"/>
  <c r="U47"/>
  <c r="O66"/>
  <c r="D118"/>
  <c r="D117" s="1"/>
  <c r="D116" s="1"/>
  <c r="R118"/>
  <c r="O127"/>
  <c r="J138"/>
  <c r="J14" s="1"/>
  <c r="M14" s="1"/>
  <c r="W117"/>
  <c r="W116"/>
  <c r="J118"/>
  <c r="J117" s="1"/>
  <c r="I127"/>
  <c r="I135"/>
  <c r="W49"/>
  <c r="F135"/>
  <c r="I133"/>
  <c r="H133"/>
  <c r="G133" s="1"/>
  <c r="W12"/>
  <c r="E139"/>
  <c r="D139" s="1"/>
  <c r="K133"/>
  <c r="A64"/>
  <c r="G127"/>
  <c r="S49"/>
  <c r="R49" s="1"/>
  <c r="F133"/>
  <c r="D133"/>
  <c r="F139"/>
  <c r="V116"/>
  <c r="U116" s="1"/>
  <c r="I139"/>
  <c r="O139"/>
  <c r="E135"/>
  <c r="D135" s="1"/>
  <c r="L135"/>
  <c r="O135" s="1"/>
  <c r="A75"/>
  <c r="A76" s="1"/>
  <c r="V49"/>
  <c r="U49"/>
  <c r="S116"/>
  <c r="R116" s="1"/>
  <c r="S16"/>
  <c r="R16" s="1"/>
  <c r="H135"/>
  <c r="G135" s="1"/>
  <c r="S12"/>
  <c r="R12"/>
  <c r="V16"/>
  <c r="U16" s="1"/>
  <c r="J135"/>
  <c r="M135" s="1"/>
  <c r="A78"/>
  <c r="A79" s="1"/>
  <c r="A80" s="1"/>
  <c r="A114"/>
  <c r="V12"/>
  <c r="U12" s="1"/>
  <c r="G230" i="57"/>
  <c r="G227"/>
  <c r="J224"/>
  <c r="M224" s="1"/>
  <c r="J45"/>
  <c r="M45"/>
  <c r="R258"/>
  <c r="G271"/>
  <c r="J54"/>
  <c r="H80"/>
  <c r="I202"/>
  <c r="D206"/>
  <c r="V104"/>
  <c r="U104"/>
  <c r="K73"/>
  <c r="N73" s="1"/>
  <c r="R101"/>
  <c r="R100" s="1"/>
  <c r="G321"/>
  <c r="J275"/>
  <c r="M275" s="1"/>
  <c r="U76"/>
  <c r="G105"/>
  <c r="U112"/>
  <c r="H307"/>
  <c r="H306" s="1"/>
  <c r="H305" s="1"/>
  <c r="G115"/>
  <c r="W281"/>
  <c r="W277" s="1"/>
  <c r="J182"/>
  <c r="M182" s="1"/>
  <c r="E80"/>
  <c r="D76"/>
  <c r="J74"/>
  <c r="E324"/>
  <c r="E323" s="1"/>
  <c r="J38"/>
  <c r="M38" s="1"/>
  <c r="L114"/>
  <c r="O114" s="1"/>
  <c r="U101"/>
  <c r="U100" s="1"/>
  <c r="J27"/>
  <c r="M27" s="1"/>
  <c r="J81"/>
  <c r="M81" s="1"/>
  <c r="J105"/>
  <c r="J115"/>
  <c r="M115" s="1"/>
  <c r="D105"/>
  <c r="D296"/>
  <c r="D280"/>
  <c r="X280" s="1"/>
  <c r="J33"/>
  <c r="Q233" i="38"/>
  <c r="G233"/>
  <c r="P233" s="1"/>
  <c r="N82" i="40"/>
  <c r="C18" i="9"/>
  <c r="C13" s="1"/>
  <c r="G226" i="33"/>
  <c r="Q226"/>
  <c r="N226"/>
  <c r="Q57"/>
  <c r="G78" i="38"/>
  <c r="N47" i="40"/>
  <c r="M62" i="41"/>
  <c r="C149" i="42"/>
  <c r="H149"/>
  <c r="G182" i="40"/>
  <c r="C166" i="41"/>
  <c r="Q166" s="1"/>
  <c r="S166"/>
  <c r="F102" i="42"/>
  <c r="M102"/>
  <c r="D29" i="24"/>
  <c r="F105" i="32"/>
  <c r="E75" i="38"/>
  <c r="Q76"/>
  <c r="F233" i="40"/>
  <c r="L233" s="1"/>
  <c r="S230"/>
  <c r="F230"/>
  <c r="F218"/>
  <c r="G203"/>
  <c r="R218"/>
  <c r="F204"/>
  <c r="H181"/>
  <c r="S181" s="1"/>
  <c r="C181"/>
  <c r="C40"/>
  <c r="S229" i="41"/>
  <c r="F226"/>
  <c r="Q226" s="1"/>
  <c r="C158"/>
  <c r="Q158" s="1"/>
  <c r="S158"/>
  <c r="S157"/>
  <c r="I86"/>
  <c r="L86" s="1"/>
  <c r="M86"/>
  <c r="S230" i="42"/>
  <c r="F230"/>
  <c r="Q230" s="1"/>
  <c r="S185"/>
  <c r="F185"/>
  <c r="Z185" s="1"/>
  <c r="K89"/>
  <c r="K88" s="1"/>
  <c r="F127"/>
  <c r="S127"/>
  <c r="C100"/>
  <c r="C250" i="44"/>
  <c r="F153"/>
  <c r="Q153" s="1"/>
  <c r="R153"/>
  <c r="S34"/>
  <c r="AB34"/>
  <c r="N21"/>
  <c r="H165" i="45"/>
  <c r="M38" i="31"/>
  <c r="K223" i="42"/>
  <c r="C163" i="44"/>
  <c r="F100" i="26"/>
  <c r="G100" s="1"/>
  <c r="G104"/>
  <c r="D22" i="22"/>
  <c r="C22" s="1"/>
  <c r="O156" i="32"/>
  <c r="Q45" i="38"/>
  <c r="O26"/>
  <c r="J26"/>
  <c r="M26" s="1"/>
  <c r="S234" i="40"/>
  <c r="G85"/>
  <c r="R85"/>
  <c r="S198" i="42"/>
  <c r="N198"/>
  <c r="M27" i="20"/>
  <c r="F229" i="40"/>
  <c r="R229"/>
  <c r="M229"/>
  <c r="F228"/>
  <c r="Q228" s="1"/>
  <c r="G165"/>
  <c r="N60"/>
  <c r="R27"/>
  <c r="F27"/>
  <c r="R84" i="41"/>
  <c r="D83"/>
  <c r="R76"/>
  <c r="R44"/>
  <c r="M33"/>
  <c r="I224" i="42"/>
  <c r="S151"/>
  <c r="Q29"/>
  <c r="Z29"/>
  <c r="H181" i="45"/>
  <c r="Q65"/>
  <c r="AA65"/>
  <c r="Z65"/>
  <c r="C21" i="49"/>
  <c r="E26"/>
  <c r="C14" i="36"/>
  <c r="E14" s="1"/>
  <c r="F204" i="43"/>
  <c r="R204"/>
  <c r="G203"/>
  <c r="M68" i="32"/>
  <c r="G63" i="33"/>
  <c r="Q63"/>
  <c r="Q65" i="38"/>
  <c r="N22"/>
  <c r="C216" i="40"/>
  <c r="C187"/>
  <c r="S146"/>
  <c r="H79"/>
  <c r="M30"/>
  <c r="S146" i="42"/>
  <c r="I44"/>
  <c r="M44"/>
  <c r="G200" i="44"/>
  <c r="R200" s="1"/>
  <c r="H168"/>
  <c r="AB168" s="1"/>
  <c r="R149"/>
  <c r="H83"/>
  <c r="E82"/>
  <c r="AA27"/>
  <c r="H189" i="45"/>
  <c r="AB189" s="1"/>
  <c r="C172"/>
  <c r="G172"/>
  <c r="AB75"/>
  <c r="S55"/>
  <c r="Z49"/>
  <c r="AA49"/>
  <c r="I21"/>
  <c r="L21" s="1"/>
  <c r="M21"/>
  <c r="G225" i="47"/>
  <c r="AB225" s="1"/>
  <c r="AB227"/>
  <c r="G204"/>
  <c r="R205"/>
  <c r="I71"/>
  <c r="I84" i="37"/>
  <c r="L84" s="1"/>
  <c r="M84"/>
  <c r="I78"/>
  <c r="M78"/>
  <c r="K17" i="58"/>
  <c r="G17"/>
  <c r="J17" s="1"/>
  <c r="K78"/>
  <c r="G78"/>
  <c r="D23" i="26"/>
  <c r="F57" i="24"/>
  <c r="F37"/>
  <c r="E37" s="1"/>
  <c r="I37" i="25"/>
  <c r="E207" i="33"/>
  <c r="R101"/>
  <c r="Q78"/>
  <c r="O48"/>
  <c r="D41"/>
  <c r="Q221" i="38"/>
  <c r="J80"/>
  <c r="M80" s="1"/>
  <c r="N80"/>
  <c r="D50"/>
  <c r="R250" i="40"/>
  <c r="R220"/>
  <c r="N216"/>
  <c r="I216"/>
  <c r="L216"/>
  <c r="K203"/>
  <c r="R197"/>
  <c r="S194"/>
  <c r="F193"/>
  <c r="S190"/>
  <c r="F190"/>
  <c r="Q190" s="1"/>
  <c r="R189"/>
  <c r="R188"/>
  <c r="C172"/>
  <c r="G172"/>
  <c r="R172" s="1"/>
  <c r="H167"/>
  <c r="S167" s="1"/>
  <c r="C167"/>
  <c r="H163"/>
  <c r="G76"/>
  <c r="C75"/>
  <c r="H73"/>
  <c r="S73" s="1"/>
  <c r="N73"/>
  <c r="N250"/>
  <c r="E71"/>
  <c r="S22"/>
  <c r="M235" i="41"/>
  <c r="C214"/>
  <c r="R214"/>
  <c r="J199"/>
  <c r="M200"/>
  <c r="K89"/>
  <c r="L167"/>
  <c r="C100"/>
  <c r="D242"/>
  <c r="I56"/>
  <c r="L56" s="1"/>
  <c r="M56"/>
  <c r="I22"/>
  <c r="L22" s="1"/>
  <c r="M22"/>
  <c r="F234" i="42"/>
  <c r="S226"/>
  <c r="F226"/>
  <c r="Z226" s="1"/>
  <c r="R204"/>
  <c r="F136"/>
  <c r="S136"/>
  <c r="Q93"/>
  <c r="Z93"/>
  <c r="G75"/>
  <c r="R75" s="1"/>
  <c r="D74"/>
  <c r="F25"/>
  <c r="H242" i="44"/>
  <c r="S243"/>
  <c r="N243"/>
  <c r="H188"/>
  <c r="S188" s="1"/>
  <c r="F185"/>
  <c r="Z185" s="1"/>
  <c r="R185"/>
  <c r="C170"/>
  <c r="G170"/>
  <c r="F158"/>
  <c r="Z158" s="1"/>
  <c r="S235" i="45"/>
  <c r="AB235"/>
  <c r="N235"/>
  <c r="Z207"/>
  <c r="AB206"/>
  <c r="S206"/>
  <c r="R185"/>
  <c r="H182"/>
  <c r="S182" s="1"/>
  <c r="S100"/>
  <c r="AB100"/>
  <c r="N217" i="47"/>
  <c r="K204"/>
  <c r="S194"/>
  <c r="C193"/>
  <c r="G193"/>
  <c r="AB193" s="1"/>
  <c r="Q96"/>
  <c r="AA96"/>
  <c r="M54" i="37"/>
  <c r="C50"/>
  <c r="P50"/>
  <c r="C36"/>
  <c r="Q36"/>
  <c r="I195" i="51"/>
  <c r="L195" s="1"/>
  <c r="M195"/>
  <c r="Q170"/>
  <c r="F117"/>
  <c r="S117"/>
  <c r="AC117"/>
  <c r="R258" i="38"/>
  <c r="L46" i="40"/>
  <c r="Q96" i="45"/>
  <c r="M76" i="58"/>
  <c r="D282" i="57"/>
  <c r="E33" i="9"/>
  <c r="I76" i="28"/>
  <c r="F217" i="33"/>
  <c r="F216" s="1"/>
  <c r="M178"/>
  <c r="P24"/>
  <c r="R102" i="40"/>
  <c r="L197" i="41"/>
  <c r="Q34"/>
  <c r="G80" i="45"/>
  <c r="M81"/>
  <c r="AC235" i="47"/>
  <c r="AC159"/>
  <c r="N159"/>
  <c r="AC76" i="51"/>
  <c r="H74"/>
  <c r="S74" s="1"/>
  <c r="S76"/>
  <c r="E65"/>
  <c r="H66"/>
  <c r="K335" i="57"/>
  <c r="N335" s="1"/>
  <c r="K87"/>
  <c r="N87" s="1"/>
  <c r="J88"/>
  <c r="C63" i="32"/>
  <c r="N49"/>
  <c r="M43"/>
  <c r="E223" i="40"/>
  <c r="C237"/>
  <c r="R232"/>
  <c r="H175"/>
  <c r="S175"/>
  <c r="C175"/>
  <c r="R145"/>
  <c r="H86"/>
  <c r="N86" s="1"/>
  <c r="E81"/>
  <c r="G77"/>
  <c r="R77" s="1"/>
  <c r="F78"/>
  <c r="R78"/>
  <c r="R64"/>
  <c r="N49"/>
  <c r="I49"/>
  <c r="L49"/>
  <c r="C241" i="41"/>
  <c r="S241"/>
  <c r="D170"/>
  <c r="R170" s="1"/>
  <c r="S60"/>
  <c r="M47"/>
  <c r="I40"/>
  <c r="L40" s="1"/>
  <c r="M40"/>
  <c r="S229" i="42"/>
  <c r="F229"/>
  <c r="Q229" s="1"/>
  <c r="R220"/>
  <c r="I216"/>
  <c r="L216" s="1"/>
  <c r="N216"/>
  <c r="M187"/>
  <c r="S147"/>
  <c r="F147"/>
  <c r="F137"/>
  <c r="Z137" s="1"/>
  <c r="S137"/>
  <c r="C101"/>
  <c r="R101"/>
  <c r="AB239" i="44"/>
  <c r="N239"/>
  <c r="S239"/>
  <c r="AB231"/>
  <c r="N231"/>
  <c r="S231"/>
  <c r="N226"/>
  <c r="C194"/>
  <c r="G194"/>
  <c r="G166"/>
  <c r="G81"/>
  <c r="R81" s="1"/>
  <c r="M173" i="45"/>
  <c r="H169"/>
  <c r="AB146"/>
  <c r="S146"/>
  <c r="Q19"/>
  <c r="AA19"/>
  <c r="Z19"/>
  <c r="F239" i="47"/>
  <c r="R239"/>
  <c r="AB239"/>
  <c r="E224"/>
  <c r="Q218"/>
  <c r="AA218"/>
  <c r="N202"/>
  <c r="AC202"/>
  <c r="S202"/>
  <c r="C176"/>
  <c r="G176"/>
  <c r="H167"/>
  <c r="S167" s="1"/>
  <c r="I210" i="37"/>
  <c r="L210" s="1"/>
  <c r="M210"/>
  <c r="U102" i="58"/>
  <c r="J19" i="25"/>
  <c r="M22"/>
  <c r="F142" i="31"/>
  <c r="L142" s="1"/>
  <c r="C157" i="32"/>
  <c r="E156"/>
  <c r="M72"/>
  <c r="M51"/>
  <c r="G223" i="33"/>
  <c r="Q223"/>
  <c r="D212"/>
  <c r="Q212"/>
  <c r="Q80"/>
  <c r="Q65"/>
  <c r="J31"/>
  <c r="M31" s="1"/>
  <c r="Q181" i="38"/>
  <c r="D73"/>
  <c r="R73"/>
  <c r="J63"/>
  <c r="M63" s="1"/>
  <c r="N63"/>
  <c r="G54"/>
  <c r="J36"/>
  <c r="N36"/>
  <c r="S226" i="40"/>
  <c r="F226"/>
  <c r="L226" s="1"/>
  <c r="N218"/>
  <c r="I218"/>
  <c r="L218" s="1"/>
  <c r="S200"/>
  <c r="F200"/>
  <c r="Q200" s="1"/>
  <c r="F199"/>
  <c r="Q199" s="1"/>
  <c r="R199"/>
  <c r="R196"/>
  <c r="F192"/>
  <c r="L192" s="1"/>
  <c r="G178"/>
  <c r="G173"/>
  <c r="H172"/>
  <c r="F136"/>
  <c r="Q136" s="1"/>
  <c r="F134"/>
  <c r="S134"/>
  <c r="F132"/>
  <c r="Q132" s="1"/>
  <c r="S132"/>
  <c r="F130"/>
  <c r="F126"/>
  <c r="Q126" s="1"/>
  <c r="S126"/>
  <c r="D86"/>
  <c r="G87"/>
  <c r="R87" s="1"/>
  <c r="R62"/>
  <c r="R245" i="41"/>
  <c r="F229"/>
  <c r="R229"/>
  <c r="M229"/>
  <c r="F222"/>
  <c r="C216"/>
  <c r="R216"/>
  <c r="R173"/>
  <c r="M83"/>
  <c r="C79"/>
  <c r="S79"/>
  <c r="J70"/>
  <c r="R72"/>
  <c r="N44"/>
  <c r="I35"/>
  <c r="M35"/>
  <c r="N22"/>
  <c r="I237" i="42"/>
  <c r="J223"/>
  <c r="S233"/>
  <c r="F233"/>
  <c r="G177"/>
  <c r="I144"/>
  <c r="R62"/>
  <c r="F62"/>
  <c r="Q36"/>
  <c r="Z36"/>
  <c r="C22"/>
  <c r="C242" i="44"/>
  <c r="AB235"/>
  <c r="N235"/>
  <c r="S235"/>
  <c r="Q221"/>
  <c r="AA221"/>
  <c r="Z221"/>
  <c r="AB220"/>
  <c r="S220"/>
  <c r="R195"/>
  <c r="R179"/>
  <c r="AB161"/>
  <c r="E251"/>
  <c r="H101"/>
  <c r="S101" s="1"/>
  <c r="I89"/>
  <c r="N89"/>
  <c r="K250"/>
  <c r="I250" s="1"/>
  <c r="K88"/>
  <c r="K87" s="1"/>
  <c r="H85"/>
  <c r="AB86"/>
  <c r="S86"/>
  <c r="N86"/>
  <c r="Z49"/>
  <c r="AA49"/>
  <c r="Q38"/>
  <c r="AA38"/>
  <c r="Z38"/>
  <c r="S24"/>
  <c r="AB24"/>
  <c r="R238" i="45"/>
  <c r="F201"/>
  <c r="R201"/>
  <c r="R195"/>
  <c r="H168"/>
  <c r="AB168" s="1"/>
  <c r="H149"/>
  <c r="S149" s="1"/>
  <c r="H85"/>
  <c r="AB86"/>
  <c r="N86"/>
  <c r="S86"/>
  <c r="R46"/>
  <c r="AB43"/>
  <c r="S43"/>
  <c r="S181" i="47"/>
  <c r="AC181"/>
  <c r="C174"/>
  <c r="G174"/>
  <c r="S171"/>
  <c r="AC171"/>
  <c r="Z42"/>
  <c r="AA42"/>
  <c r="F27"/>
  <c r="AC27"/>
  <c r="S27"/>
  <c r="P31" i="37"/>
  <c r="F31"/>
  <c r="N175" i="34"/>
  <c r="I175"/>
  <c r="L175" s="1"/>
  <c r="H163" i="43"/>
  <c r="C77"/>
  <c r="Z168" i="51"/>
  <c r="Q168"/>
  <c r="AA168"/>
  <c r="D47" i="59"/>
  <c r="F46"/>
  <c r="N46"/>
  <c r="J46"/>
  <c r="M46" s="1"/>
  <c r="K248" i="42"/>
  <c r="F50" i="9"/>
  <c r="L73" i="25"/>
  <c r="I151" i="31"/>
  <c r="L151" s="1"/>
  <c r="F32"/>
  <c r="N29"/>
  <c r="F16"/>
  <c r="F175" i="32"/>
  <c r="Q122"/>
  <c r="C75"/>
  <c r="F66"/>
  <c r="J251" i="38"/>
  <c r="S87" i="40"/>
  <c r="G142" i="41"/>
  <c r="Q105"/>
  <c r="AB83" i="44"/>
  <c r="AA37" i="45"/>
  <c r="S159" i="47"/>
  <c r="H76" i="42"/>
  <c r="R58"/>
  <c r="F58"/>
  <c r="Q55"/>
  <c r="Z55"/>
  <c r="R35"/>
  <c r="F35"/>
  <c r="N22"/>
  <c r="D205" i="44"/>
  <c r="C206"/>
  <c r="H163"/>
  <c r="AB128"/>
  <c r="S128"/>
  <c r="C63"/>
  <c r="R63"/>
  <c r="N218" i="45"/>
  <c r="K205"/>
  <c r="AB190"/>
  <c r="S190"/>
  <c r="F148"/>
  <c r="AA148" s="1"/>
  <c r="AB129"/>
  <c r="S129"/>
  <c r="F93"/>
  <c r="S93"/>
  <c r="E82"/>
  <c r="I80"/>
  <c r="Q62"/>
  <c r="AA62"/>
  <c r="AA44"/>
  <c r="Z44"/>
  <c r="AB26"/>
  <c r="S26"/>
  <c r="N21"/>
  <c r="R255" i="47"/>
  <c r="S246"/>
  <c r="AC246"/>
  <c r="S244"/>
  <c r="AC244"/>
  <c r="R242"/>
  <c r="G241"/>
  <c r="M241" s="1"/>
  <c r="Z213"/>
  <c r="AA213"/>
  <c r="H204"/>
  <c r="S205"/>
  <c r="AC205"/>
  <c r="H174"/>
  <c r="S174" s="1"/>
  <c r="Q94"/>
  <c r="AA94"/>
  <c r="Z94"/>
  <c r="C82"/>
  <c r="G82"/>
  <c r="D80"/>
  <c r="K67"/>
  <c r="C57"/>
  <c r="S57"/>
  <c r="Q36"/>
  <c r="AA36"/>
  <c r="Q23"/>
  <c r="AA23"/>
  <c r="I242" i="37"/>
  <c r="C176"/>
  <c r="O176" s="1"/>
  <c r="S135" i="43"/>
  <c r="F135"/>
  <c r="Z135"/>
  <c r="Q105"/>
  <c r="Z105"/>
  <c r="I83"/>
  <c r="S232" i="51"/>
  <c r="AC232"/>
  <c r="Z183"/>
  <c r="Q156"/>
  <c r="AA156"/>
  <c r="Z156"/>
  <c r="Z98"/>
  <c r="AA98"/>
  <c r="G228" i="52"/>
  <c r="H227"/>
  <c r="J187"/>
  <c r="M187" s="1"/>
  <c r="N187"/>
  <c r="N175" s="1"/>
  <c r="K175"/>
  <c r="K174" s="1"/>
  <c r="N174" s="1"/>
  <c r="L87" i="57"/>
  <c r="J234" i="33"/>
  <c r="Q102"/>
  <c r="J72"/>
  <c r="M72" s="1"/>
  <c r="N72"/>
  <c r="O57"/>
  <c r="J57"/>
  <c r="M57" s="1"/>
  <c r="N243" i="38"/>
  <c r="Q242"/>
  <c r="Q238"/>
  <c r="R235"/>
  <c r="G234"/>
  <c r="P234" s="1"/>
  <c r="Q234"/>
  <c r="O208"/>
  <c r="D182"/>
  <c r="R182"/>
  <c r="J54"/>
  <c r="M54" s="1"/>
  <c r="F243" i="40"/>
  <c r="R243"/>
  <c r="I224"/>
  <c r="C168"/>
  <c r="G168"/>
  <c r="F168" s="1"/>
  <c r="R168"/>
  <c r="R161"/>
  <c r="S152"/>
  <c r="F152"/>
  <c r="Q152" s="1"/>
  <c r="R151"/>
  <c r="G84"/>
  <c r="R84" s="1"/>
  <c r="I77"/>
  <c r="N56"/>
  <c r="F35"/>
  <c r="E242" i="41"/>
  <c r="I30"/>
  <c r="L30" s="1"/>
  <c r="R22"/>
  <c r="I239" i="42"/>
  <c r="M239"/>
  <c r="N220"/>
  <c r="C188"/>
  <c r="G188"/>
  <c r="F186"/>
  <c r="Q186" s="1"/>
  <c r="H84"/>
  <c r="E83"/>
  <c r="M82"/>
  <c r="G81"/>
  <c r="M81" s="1"/>
  <c r="H73"/>
  <c r="N73"/>
  <c r="N250" s="1"/>
  <c r="Q46"/>
  <c r="Z46"/>
  <c r="AB237" i="44"/>
  <c r="N237"/>
  <c r="AB233"/>
  <c r="N233"/>
  <c r="Z217"/>
  <c r="N206"/>
  <c r="C189"/>
  <c r="G189"/>
  <c r="C182"/>
  <c r="G182"/>
  <c r="R182" s="1"/>
  <c r="S180"/>
  <c r="AB180"/>
  <c r="C169"/>
  <c r="G169"/>
  <c r="R169" s="1"/>
  <c r="G165"/>
  <c r="H164"/>
  <c r="N164" s="1"/>
  <c r="S147"/>
  <c r="AB147"/>
  <c r="F135"/>
  <c r="AA135" s="1"/>
  <c r="S135"/>
  <c r="AB135"/>
  <c r="S100"/>
  <c r="AB100"/>
  <c r="K70"/>
  <c r="N72"/>
  <c r="Q67"/>
  <c r="AA67"/>
  <c r="Z67"/>
  <c r="Q45"/>
  <c r="AA45"/>
  <c r="Z45"/>
  <c r="AB39"/>
  <c r="S39"/>
  <c r="F29"/>
  <c r="R29"/>
  <c r="S239" i="45"/>
  <c r="AB239"/>
  <c r="S231"/>
  <c r="AB231"/>
  <c r="N231"/>
  <c r="I220"/>
  <c r="L220" s="1"/>
  <c r="M220"/>
  <c r="F218"/>
  <c r="AA210"/>
  <c r="Z210"/>
  <c r="H200"/>
  <c r="F192"/>
  <c r="Q192" s="1"/>
  <c r="R192"/>
  <c r="H187"/>
  <c r="F179"/>
  <c r="AA179" s="1"/>
  <c r="R179"/>
  <c r="F136"/>
  <c r="Z136" s="1"/>
  <c r="S136"/>
  <c r="AB136"/>
  <c r="D85"/>
  <c r="G86"/>
  <c r="AB61"/>
  <c r="S61"/>
  <c r="AB52"/>
  <c r="S52"/>
  <c r="AB32"/>
  <c r="S32"/>
  <c r="S29"/>
  <c r="AB29"/>
  <c r="AA27"/>
  <c r="S240" i="47"/>
  <c r="AC240"/>
  <c r="F234"/>
  <c r="L234" s="1"/>
  <c r="R234"/>
  <c r="M225"/>
  <c r="S196"/>
  <c r="AC196"/>
  <c r="M186"/>
  <c r="AB186"/>
  <c r="F184"/>
  <c r="AA184" s="1"/>
  <c r="R184"/>
  <c r="C180"/>
  <c r="G180"/>
  <c r="S178"/>
  <c r="AC178"/>
  <c r="G177"/>
  <c r="C170"/>
  <c r="G170"/>
  <c r="AB170" s="1"/>
  <c r="AC166"/>
  <c r="F166"/>
  <c r="C165"/>
  <c r="G165"/>
  <c r="Z141"/>
  <c r="F138"/>
  <c r="AC138"/>
  <c r="Q119"/>
  <c r="AA119"/>
  <c r="Q115"/>
  <c r="AA115"/>
  <c r="Q105"/>
  <c r="AA105"/>
  <c r="Z105"/>
  <c r="C84"/>
  <c r="G84"/>
  <c r="D83"/>
  <c r="C78"/>
  <c r="F63"/>
  <c r="AA63" s="1"/>
  <c r="S63"/>
  <c r="AC63"/>
  <c r="C59"/>
  <c r="AC59"/>
  <c r="Q33"/>
  <c r="AA33"/>
  <c r="H19"/>
  <c r="N19" s="1"/>
  <c r="F21"/>
  <c r="Q21" s="1"/>
  <c r="N21"/>
  <c r="AC21"/>
  <c r="Q232" i="37"/>
  <c r="I218"/>
  <c r="J217"/>
  <c r="N72"/>
  <c r="N241" s="1"/>
  <c r="I72"/>
  <c r="L72" s="1"/>
  <c r="K71"/>
  <c r="C86" i="34"/>
  <c r="S177" i="43"/>
  <c r="N177"/>
  <c r="Q107"/>
  <c r="Z107"/>
  <c r="K88"/>
  <c r="H73"/>
  <c r="S73" s="1"/>
  <c r="N73"/>
  <c r="N250" s="1"/>
  <c r="F49"/>
  <c r="R49"/>
  <c r="M47"/>
  <c r="I47"/>
  <c r="L47" s="1"/>
  <c r="S246" i="51"/>
  <c r="AC246"/>
  <c r="Q221"/>
  <c r="AA221"/>
  <c r="F218"/>
  <c r="Z218" s="1"/>
  <c r="Z213"/>
  <c r="S181"/>
  <c r="AC181"/>
  <c r="Q96"/>
  <c r="AA96"/>
  <c r="Z96"/>
  <c r="S91"/>
  <c r="AC91"/>
  <c r="Z89"/>
  <c r="AA89"/>
  <c r="R68"/>
  <c r="AB68"/>
  <c r="Z43"/>
  <c r="Q43"/>
  <c r="AA43"/>
  <c r="Q18"/>
  <c r="AA18"/>
  <c r="H210" i="52"/>
  <c r="F146" i="55"/>
  <c r="Q91" i="45"/>
  <c r="Q96" i="43"/>
  <c r="D103" i="58"/>
  <c r="D160"/>
  <c r="L103"/>
  <c r="D120" i="26"/>
  <c r="C61" i="20"/>
  <c r="F54"/>
  <c r="N25"/>
  <c r="G78" i="24"/>
  <c r="E30"/>
  <c r="M42" i="25"/>
  <c r="N163" i="31"/>
  <c r="O157"/>
  <c r="M151"/>
  <c r="M150"/>
  <c r="M149"/>
  <c r="M148"/>
  <c r="N92"/>
  <c r="M46"/>
  <c r="F46"/>
  <c r="L46" s="1"/>
  <c r="I181" i="32"/>
  <c r="M175"/>
  <c r="N108"/>
  <c r="P73" i="33"/>
  <c r="G48"/>
  <c r="D34"/>
  <c r="P244" i="38"/>
  <c r="F228"/>
  <c r="F227" s="1"/>
  <c r="D223"/>
  <c r="P180"/>
  <c r="O176"/>
  <c r="P55"/>
  <c r="M37"/>
  <c r="G26"/>
  <c r="M20"/>
  <c r="K248" i="40"/>
  <c r="F216"/>
  <c r="C204"/>
  <c r="R169"/>
  <c r="D83"/>
  <c r="F58"/>
  <c r="F47"/>
  <c r="L108" i="41"/>
  <c r="R101"/>
  <c r="D74"/>
  <c r="Q52"/>
  <c r="G239" i="42"/>
  <c r="L233"/>
  <c r="R187"/>
  <c r="S101"/>
  <c r="E71"/>
  <c r="S63" i="44"/>
  <c r="AB59"/>
  <c r="S185" i="47"/>
  <c r="L123"/>
  <c r="AC57"/>
  <c r="Q42" i="42"/>
  <c r="Z42"/>
  <c r="Q32"/>
  <c r="Z32"/>
  <c r="S176" i="44"/>
  <c r="AB176"/>
  <c r="N176"/>
  <c r="G164"/>
  <c r="M164" s="1"/>
  <c r="Z138"/>
  <c r="Q138"/>
  <c r="C100"/>
  <c r="I72"/>
  <c r="M72"/>
  <c r="J70"/>
  <c r="AB26"/>
  <c r="S26"/>
  <c r="S243" i="45"/>
  <c r="N243"/>
  <c r="R198"/>
  <c r="M198"/>
  <c r="S59"/>
  <c r="AB59"/>
  <c r="Q20"/>
  <c r="AA20"/>
  <c r="C251"/>
  <c r="Z20"/>
  <c r="I228" i="47"/>
  <c r="S221"/>
  <c r="AC221"/>
  <c r="F221"/>
  <c r="Z215"/>
  <c r="AA215"/>
  <c r="F191"/>
  <c r="Z191" s="1"/>
  <c r="R191"/>
  <c r="AB191"/>
  <c r="Z178"/>
  <c r="H176"/>
  <c r="AC176" s="1"/>
  <c r="S169"/>
  <c r="AC169"/>
  <c r="R148"/>
  <c r="AB148"/>
  <c r="F125"/>
  <c r="S125"/>
  <c r="F124"/>
  <c r="S124"/>
  <c r="AC124"/>
  <c r="H68"/>
  <c r="N68" s="1"/>
  <c r="AC70"/>
  <c r="Z45"/>
  <c r="AA45"/>
  <c r="D38" i="46"/>
  <c r="P239" i="37"/>
  <c r="F239"/>
  <c r="C72"/>
  <c r="U11" i="36"/>
  <c r="W11" s="1"/>
  <c r="M43" i="34"/>
  <c r="L155" i="51"/>
  <c r="Z155"/>
  <c r="E175" i="52"/>
  <c r="M25" i="32"/>
  <c r="N28" i="33"/>
  <c r="J245" i="38"/>
  <c r="M245" s="1"/>
  <c r="N245"/>
  <c r="J82"/>
  <c r="J78"/>
  <c r="N78"/>
  <c r="O75"/>
  <c r="O256" s="1"/>
  <c r="O45"/>
  <c r="J45"/>
  <c r="M45" s="1"/>
  <c r="N41"/>
  <c r="J34"/>
  <c r="M34" s="1"/>
  <c r="N34"/>
  <c r="Q22"/>
  <c r="N220" i="40"/>
  <c r="I220"/>
  <c r="L220" s="1"/>
  <c r="F185"/>
  <c r="Q185" s="1"/>
  <c r="R185"/>
  <c r="H171"/>
  <c r="S171" s="1"/>
  <c r="C171"/>
  <c r="I81"/>
  <c r="N62"/>
  <c r="I62"/>
  <c r="L62" s="1"/>
  <c r="I27"/>
  <c r="L27" s="1"/>
  <c r="M27"/>
  <c r="I53" i="41"/>
  <c r="L53" s="1"/>
  <c r="G203" i="42"/>
  <c r="F204"/>
  <c r="S196"/>
  <c r="S195"/>
  <c r="F195"/>
  <c r="S192"/>
  <c r="S191"/>
  <c r="F191"/>
  <c r="G182"/>
  <c r="S180"/>
  <c r="F180"/>
  <c r="S179"/>
  <c r="F179"/>
  <c r="Q179" s="1"/>
  <c r="G178"/>
  <c r="M178" s="1"/>
  <c r="S159"/>
  <c r="F159"/>
  <c r="Z159" s="1"/>
  <c r="Z121"/>
  <c r="Q121"/>
  <c r="Q105"/>
  <c r="H246"/>
  <c r="F100"/>
  <c r="S100"/>
  <c r="F72"/>
  <c r="L72" s="1"/>
  <c r="Q63"/>
  <c r="Z63"/>
  <c r="Q26"/>
  <c r="Z26"/>
  <c r="F243" i="44"/>
  <c r="R243"/>
  <c r="M243"/>
  <c r="G242"/>
  <c r="F242" s="1"/>
  <c r="F228"/>
  <c r="AA228" s="1"/>
  <c r="Z214"/>
  <c r="C203"/>
  <c r="G203"/>
  <c r="H189"/>
  <c r="F183"/>
  <c r="R183"/>
  <c r="H182"/>
  <c r="S182" s="1"/>
  <c r="S177"/>
  <c r="AB177"/>
  <c r="H169"/>
  <c r="S169" s="1"/>
  <c r="H165"/>
  <c r="N159"/>
  <c r="F139"/>
  <c r="AA139" s="1"/>
  <c r="AB139"/>
  <c r="AB132"/>
  <c r="F132"/>
  <c r="S132"/>
  <c r="F86"/>
  <c r="G85"/>
  <c r="M85" s="1"/>
  <c r="M86"/>
  <c r="I78"/>
  <c r="S72"/>
  <c r="F72"/>
  <c r="Z68"/>
  <c r="AA64"/>
  <c r="Z64"/>
  <c r="I57"/>
  <c r="L57" s="1"/>
  <c r="M57"/>
  <c r="F55"/>
  <c r="R55"/>
  <c r="AA44"/>
  <c r="I21"/>
  <c r="L21" s="1"/>
  <c r="M21"/>
  <c r="Q19"/>
  <c r="AA19"/>
  <c r="Z19"/>
  <c r="S241" i="45"/>
  <c r="AB241"/>
  <c r="S233"/>
  <c r="AB233"/>
  <c r="N233"/>
  <c r="R222"/>
  <c r="C206"/>
  <c r="AB179"/>
  <c r="S179"/>
  <c r="C175"/>
  <c r="G175"/>
  <c r="G174"/>
  <c r="AB160"/>
  <c r="N160"/>
  <c r="F146"/>
  <c r="Z142"/>
  <c r="AB133"/>
  <c r="F133"/>
  <c r="S133"/>
  <c r="H101"/>
  <c r="E252"/>
  <c r="Z97"/>
  <c r="AA97"/>
  <c r="H84"/>
  <c r="Q68"/>
  <c r="AA68"/>
  <c r="Z68"/>
  <c r="Q64"/>
  <c r="AA64"/>
  <c r="Z64"/>
  <c r="AB63"/>
  <c r="S63"/>
  <c r="F55"/>
  <c r="R55"/>
  <c r="AC236" i="47"/>
  <c r="F231"/>
  <c r="R231"/>
  <c r="AB231"/>
  <c r="K224"/>
  <c r="K223" s="1"/>
  <c r="N225"/>
  <c r="I221"/>
  <c r="L221" s="1"/>
  <c r="M221"/>
  <c r="I217"/>
  <c r="L217" s="1"/>
  <c r="M217"/>
  <c r="Z207"/>
  <c r="AA207"/>
  <c r="H199"/>
  <c r="S199" s="1"/>
  <c r="S192"/>
  <c r="AC192"/>
  <c r="N192"/>
  <c r="S188"/>
  <c r="AC188"/>
  <c r="H187"/>
  <c r="AC187" s="1"/>
  <c r="H180"/>
  <c r="H170"/>
  <c r="S170" s="1"/>
  <c r="G169"/>
  <c r="F169" s="1"/>
  <c r="AB159"/>
  <c r="F155"/>
  <c r="AB155"/>
  <c r="AA101"/>
  <c r="F98"/>
  <c r="G251"/>
  <c r="R98"/>
  <c r="AB98"/>
  <c r="Z91"/>
  <c r="AA91"/>
  <c r="C74"/>
  <c r="I50"/>
  <c r="L50" s="1"/>
  <c r="M50"/>
  <c r="R41"/>
  <c r="I30"/>
  <c r="L30" s="1"/>
  <c r="M30"/>
  <c r="P243" i="37"/>
  <c r="F243"/>
  <c r="P91"/>
  <c r="F91"/>
  <c r="L91" s="1"/>
  <c r="I87"/>
  <c r="L87" s="1"/>
  <c r="M87"/>
  <c r="Q82"/>
  <c r="P75"/>
  <c r="N204" i="43"/>
  <c r="S72"/>
  <c r="N72"/>
  <c r="N249" s="1"/>
  <c r="M64"/>
  <c r="I64"/>
  <c r="L64" s="1"/>
  <c r="L46"/>
  <c r="Z46"/>
  <c r="AA246" i="51"/>
  <c r="Z246"/>
  <c r="AC197"/>
  <c r="Q178"/>
  <c r="AA178"/>
  <c r="Q175"/>
  <c r="AA175"/>
  <c r="Z175"/>
  <c r="AA171"/>
  <c r="R16"/>
  <c r="AB16"/>
  <c r="G247"/>
  <c r="N29" i="52"/>
  <c r="J29"/>
  <c r="M29" s="1"/>
  <c r="Q120" i="44"/>
  <c r="Q104"/>
  <c r="Q112" i="43"/>
  <c r="Q98" i="51"/>
  <c r="L335" i="57"/>
  <c r="E93" i="58"/>
  <c r="K93" s="1"/>
  <c r="F149"/>
  <c r="D45"/>
  <c r="G105" i="26"/>
  <c r="O232" i="33"/>
  <c r="P202"/>
  <c r="P194"/>
  <c r="P178"/>
  <c r="M163"/>
  <c r="P148"/>
  <c r="P123"/>
  <c r="P115"/>
  <c r="P107"/>
  <c r="F84"/>
  <c r="Q82"/>
  <c r="G57"/>
  <c r="P43"/>
  <c r="P29"/>
  <c r="G208" i="38"/>
  <c r="H207"/>
  <c r="D166"/>
  <c r="P166" s="1"/>
  <c r="P149"/>
  <c r="P143"/>
  <c r="M110"/>
  <c r="M103"/>
  <c r="F84"/>
  <c r="P79"/>
  <c r="P35"/>
  <c r="H164" i="40"/>
  <c r="Q121"/>
  <c r="Q105"/>
  <c r="Q28"/>
  <c r="Q19"/>
  <c r="C212" i="41"/>
  <c r="D199"/>
  <c r="Q190"/>
  <c r="Q186"/>
  <c r="R178"/>
  <c r="S177"/>
  <c r="C165"/>
  <c r="Q165" s="1"/>
  <c r="L158"/>
  <c r="S77"/>
  <c r="Q65"/>
  <c r="Q54"/>
  <c r="Q32"/>
  <c r="F30"/>
  <c r="C27"/>
  <c r="R102" i="42"/>
  <c r="I49"/>
  <c r="L49" s="1"/>
  <c r="N242" i="44"/>
  <c r="S241"/>
  <c r="R206"/>
  <c r="H187"/>
  <c r="AB187" s="1"/>
  <c r="R171"/>
  <c r="F99"/>
  <c r="C83"/>
  <c r="S48"/>
  <c r="C43"/>
  <c r="H242" i="45"/>
  <c r="S242" s="1"/>
  <c r="C189"/>
  <c r="S183"/>
  <c r="C181"/>
  <c r="C168"/>
  <c r="AA139"/>
  <c r="C48"/>
  <c r="I34"/>
  <c r="AB255" i="47"/>
  <c r="I241"/>
  <c r="D224"/>
  <c r="D223" s="1"/>
  <c r="F181"/>
  <c r="C167"/>
  <c r="O70" i="37"/>
  <c r="C163" i="43"/>
  <c r="K70"/>
  <c r="M204" i="42"/>
  <c r="C175"/>
  <c r="G173"/>
  <c r="C171"/>
  <c r="G171"/>
  <c r="F171" s="1"/>
  <c r="C169"/>
  <c r="G169"/>
  <c r="G167"/>
  <c r="R167" s="1"/>
  <c r="C165"/>
  <c r="G165"/>
  <c r="R165" s="1"/>
  <c r="F133"/>
  <c r="S133"/>
  <c r="D86"/>
  <c r="C87"/>
  <c r="G87"/>
  <c r="G86" s="1"/>
  <c r="I62"/>
  <c r="L62" s="1"/>
  <c r="M62"/>
  <c r="I58"/>
  <c r="L58" s="1"/>
  <c r="M58"/>
  <c r="I35"/>
  <c r="L35" s="1"/>
  <c r="M35"/>
  <c r="M25"/>
  <c r="I222" i="44"/>
  <c r="L222" s="1"/>
  <c r="M222"/>
  <c r="I218"/>
  <c r="L218" s="1"/>
  <c r="M218"/>
  <c r="AA213"/>
  <c r="Z213"/>
  <c r="F206"/>
  <c r="S202"/>
  <c r="AB202"/>
  <c r="S199"/>
  <c r="AB199"/>
  <c r="S193"/>
  <c r="AB193"/>
  <c r="S191"/>
  <c r="AB191"/>
  <c r="C167"/>
  <c r="G167"/>
  <c r="F167" s="1"/>
  <c r="E254"/>
  <c r="F142"/>
  <c r="AB142"/>
  <c r="F131"/>
  <c r="S131"/>
  <c r="AB131"/>
  <c r="Q95"/>
  <c r="AA95"/>
  <c r="Q91"/>
  <c r="AA91"/>
  <c r="D85"/>
  <c r="C85" s="1"/>
  <c r="R86"/>
  <c r="H84"/>
  <c r="AB84" s="1"/>
  <c r="AA65"/>
  <c r="AA53"/>
  <c r="Q33"/>
  <c r="Q23"/>
  <c r="AA23"/>
  <c r="R21"/>
  <c r="Q17"/>
  <c r="AA17"/>
  <c r="Z17"/>
  <c r="F223" i="45"/>
  <c r="AB223"/>
  <c r="H203"/>
  <c r="AB203" s="1"/>
  <c r="H194"/>
  <c r="H188"/>
  <c r="H177"/>
  <c r="S177" s="1"/>
  <c r="H163"/>
  <c r="AB163" s="1"/>
  <c r="S163"/>
  <c r="R151"/>
  <c r="F132"/>
  <c r="AA132" s="1"/>
  <c r="F98"/>
  <c r="S98"/>
  <c r="Q90"/>
  <c r="AA90"/>
  <c r="Q66"/>
  <c r="Q58"/>
  <c r="AA58"/>
  <c r="I46"/>
  <c r="L46" s="1"/>
  <c r="M46"/>
  <c r="Q28"/>
  <c r="AA28"/>
  <c r="R21"/>
  <c r="Q17"/>
  <c r="AA17"/>
  <c r="Z17"/>
  <c r="R217" i="47"/>
  <c r="AB217"/>
  <c r="F201"/>
  <c r="R201"/>
  <c r="AB201"/>
  <c r="R181"/>
  <c r="AB181"/>
  <c r="H173"/>
  <c r="S173" s="1"/>
  <c r="N169"/>
  <c r="K143"/>
  <c r="C164"/>
  <c r="G164"/>
  <c r="H163"/>
  <c r="R161"/>
  <c r="AB161"/>
  <c r="S160"/>
  <c r="AC160"/>
  <c r="S150"/>
  <c r="AC150"/>
  <c r="F147"/>
  <c r="R147"/>
  <c r="AB147"/>
  <c r="S144"/>
  <c r="AC144"/>
  <c r="AC132"/>
  <c r="F130"/>
  <c r="Q130" s="1"/>
  <c r="S130"/>
  <c r="AC130"/>
  <c r="H100"/>
  <c r="Q95"/>
  <c r="AA95"/>
  <c r="Q93"/>
  <c r="AA93"/>
  <c r="E83"/>
  <c r="H84"/>
  <c r="H83" s="1"/>
  <c r="H82"/>
  <c r="AC82" s="1"/>
  <c r="Q60"/>
  <c r="AA60"/>
  <c r="Z60"/>
  <c r="Q58"/>
  <c r="AA58"/>
  <c r="Z58"/>
  <c r="I53"/>
  <c r="L53" s="1"/>
  <c r="M53"/>
  <c r="Q49"/>
  <c r="AA49"/>
  <c r="I46"/>
  <c r="AB46"/>
  <c r="N44"/>
  <c r="I44"/>
  <c r="L44" s="1"/>
  <c r="Q29"/>
  <c r="AA29"/>
  <c r="C27"/>
  <c r="R27"/>
  <c r="Q17"/>
  <c r="AA17"/>
  <c r="D217" i="37"/>
  <c r="P232"/>
  <c r="I208"/>
  <c r="L208" s="1"/>
  <c r="M208"/>
  <c r="J207"/>
  <c r="M207" s="1"/>
  <c r="C65"/>
  <c r="Q65"/>
  <c r="C48"/>
  <c r="C41"/>
  <c r="Q41"/>
  <c r="N28"/>
  <c r="I28"/>
  <c r="L28"/>
  <c r="C22"/>
  <c r="Q22"/>
  <c r="D108" i="34"/>
  <c r="C110"/>
  <c r="I39"/>
  <c r="L39" s="1"/>
  <c r="M39"/>
  <c r="I30"/>
  <c r="L30" s="1"/>
  <c r="M30"/>
  <c r="N21"/>
  <c r="C19"/>
  <c r="H201" i="43"/>
  <c r="H188"/>
  <c r="F153"/>
  <c r="Z153" s="1"/>
  <c r="R153"/>
  <c r="C100"/>
  <c r="F22"/>
  <c r="R22"/>
  <c r="C197" i="51"/>
  <c r="R197"/>
  <c r="AB197"/>
  <c r="S164"/>
  <c r="AC164"/>
  <c r="Q152"/>
  <c r="AA152"/>
  <c r="Z152"/>
  <c r="Z147"/>
  <c r="Q147"/>
  <c r="AA147"/>
  <c r="Q142"/>
  <c r="AA142"/>
  <c r="Z142"/>
  <c r="Q137"/>
  <c r="AA137"/>
  <c r="C250"/>
  <c r="F115"/>
  <c r="AA115" s="1"/>
  <c r="S115"/>
  <c r="AC115"/>
  <c r="AA114"/>
  <c r="Z114"/>
  <c r="Z109"/>
  <c r="AA109"/>
  <c r="Q107"/>
  <c r="AA107"/>
  <c r="Z107"/>
  <c r="H93"/>
  <c r="AC93" s="1"/>
  <c r="E247"/>
  <c r="F69"/>
  <c r="Q69" s="1"/>
  <c r="R69"/>
  <c r="AB69"/>
  <c r="J62"/>
  <c r="I64"/>
  <c r="M64"/>
  <c r="Q42"/>
  <c r="AA42"/>
  <c r="N27"/>
  <c r="J167" i="52"/>
  <c r="M167" s="1"/>
  <c r="N167"/>
  <c r="E203" i="42"/>
  <c r="S188"/>
  <c r="R82"/>
  <c r="L111" i="44"/>
  <c r="N34"/>
  <c r="K254" i="45"/>
  <c r="L37"/>
  <c r="G228" i="47"/>
  <c r="G241" i="37"/>
  <c r="F149" i="34"/>
  <c r="H203" i="43"/>
  <c r="D135" i="51"/>
  <c r="Q146"/>
  <c r="K126" i="55"/>
  <c r="Q135" i="54"/>
  <c r="H220" i="42"/>
  <c r="S220" s="1"/>
  <c r="F221"/>
  <c r="Z221" s="1"/>
  <c r="G163"/>
  <c r="M163" s="1"/>
  <c r="F142"/>
  <c r="F129"/>
  <c r="S129"/>
  <c r="F241" i="44"/>
  <c r="AA241" s="1"/>
  <c r="R241"/>
  <c r="F239"/>
  <c r="R239"/>
  <c r="F237"/>
  <c r="R237"/>
  <c r="F235"/>
  <c r="Q235" s="1"/>
  <c r="R235"/>
  <c r="F233"/>
  <c r="Q233" s="1"/>
  <c r="R233"/>
  <c r="F231"/>
  <c r="Q231" s="1"/>
  <c r="R231"/>
  <c r="I226"/>
  <c r="L226" s="1"/>
  <c r="M226"/>
  <c r="J225"/>
  <c r="AA209"/>
  <c r="Z209"/>
  <c r="S206"/>
  <c r="C188"/>
  <c r="G188"/>
  <c r="F188" s="1"/>
  <c r="C187"/>
  <c r="G187"/>
  <c r="F187" s="1"/>
  <c r="S186"/>
  <c r="AB186"/>
  <c r="S184"/>
  <c r="AB184"/>
  <c r="G181"/>
  <c r="R181" s="1"/>
  <c r="G178"/>
  <c r="R178" s="1"/>
  <c r="C177"/>
  <c r="R177"/>
  <c r="C168"/>
  <c r="G168"/>
  <c r="F168" s="1"/>
  <c r="AB167"/>
  <c r="G162"/>
  <c r="R162" s="1"/>
  <c r="F127"/>
  <c r="S127"/>
  <c r="AB127"/>
  <c r="R101"/>
  <c r="S99"/>
  <c r="AB99"/>
  <c r="H80"/>
  <c r="AB81"/>
  <c r="Q66"/>
  <c r="AA66"/>
  <c r="Q58"/>
  <c r="AA58"/>
  <c r="Q18"/>
  <c r="AA18"/>
  <c r="Z18"/>
  <c r="AA230" i="45"/>
  <c r="Z230"/>
  <c r="N226"/>
  <c r="K225"/>
  <c r="K224" s="1"/>
  <c r="Q221"/>
  <c r="AA221"/>
  <c r="AA214"/>
  <c r="Z214"/>
  <c r="F183"/>
  <c r="AA183" s="1"/>
  <c r="R183"/>
  <c r="H178"/>
  <c r="N178" s="1"/>
  <c r="H170"/>
  <c r="S170" s="1"/>
  <c r="H166"/>
  <c r="H164"/>
  <c r="S164" s="1"/>
  <c r="H162"/>
  <c r="F160"/>
  <c r="R160"/>
  <c r="Z145"/>
  <c r="F128"/>
  <c r="AB128"/>
  <c r="Q95"/>
  <c r="AA95"/>
  <c r="D80"/>
  <c r="R80" s="1"/>
  <c r="R81"/>
  <c r="I75"/>
  <c r="J73"/>
  <c r="I73" s="1"/>
  <c r="M72"/>
  <c r="M256"/>
  <c r="Q54"/>
  <c r="AA54"/>
  <c r="Q45"/>
  <c r="AA45"/>
  <c r="Z45"/>
  <c r="Q18"/>
  <c r="AA18"/>
  <c r="Z18"/>
  <c r="R235" i="47"/>
  <c r="AB235"/>
  <c r="S232"/>
  <c r="AC232"/>
  <c r="R221"/>
  <c r="AB221"/>
  <c r="C188"/>
  <c r="G188"/>
  <c r="F188" s="1"/>
  <c r="Q188" s="1"/>
  <c r="F185"/>
  <c r="Q185" s="1"/>
  <c r="R185"/>
  <c r="AB185"/>
  <c r="S182"/>
  <c r="AC182"/>
  <c r="G168"/>
  <c r="AB168" s="1"/>
  <c r="S164"/>
  <c r="AC164"/>
  <c r="R149"/>
  <c r="AB149"/>
  <c r="I254"/>
  <c r="F133"/>
  <c r="S133"/>
  <c r="Q109"/>
  <c r="S92"/>
  <c r="AC92"/>
  <c r="F92"/>
  <c r="I76"/>
  <c r="Q52"/>
  <c r="AA52"/>
  <c r="Z52"/>
  <c r="M37"/>
  <c r="R32"/>
  <c r="AB32"/>
  <c r="F28"/>
  <c r="AA28" s="1"/>
  <c r="S28"/>
  <c r="AC28"/>
  <c r="I24"/>
  <c r="L24" s="1"/>
  <c r="R22"/>
  <c r="AB22"/>
  <c r="Z20"/>
  <c r="AA20"/>
  <c r="N234" i="37"/>
  <c r="C214"/>
  <c r="Q214"/>
  <c r="C182"/>
  <c r="P182"/>
  <c r="C102"/>
  <c r="Q102"/>
  <c r="F101"/>
  <c r="P101"/>
  <c r="C63"/>
  <c r="P63"/>
  <c r="P45"/>
  <c r="P26"/>
  <c r="F26"/>
  <c r="J159" i="34"/>
  <c r="J158" s="1"/>
  <c r="M173"/>
  <c r="I160"/>
  <c r="L160" s="1"/>
  <c r="M160"/>
  <c r="C218" i="43"/>
  <c r="R218"/>
  <c r="Q217"/>
  <c r="Z217"/>
  <c r="H178"/>
  <c r="Q115"/>
  <c r="Z115"/>
  <c r="Q97"/>
  <c r="Z97"/>
  <c r="C79"/>
  <c r="D74"/>
  <c r="C75"/>
  <c r="G75"/>
  <c r="Q42"/>
  <c r="Z42"/>
  <c r="I35"/>
  <c r="M35"/>
  <c r="Q20"/>
  <c r="Z20"/>
  <c r="R250" i="51"/>
  <c r="F232"/>
  <c r="R232"/>
  <c r="AB232"/>
  <c r="AA203"/>
  <c r="Z203"/>
  <c r="S186"/>
  <c r="AC186"/>
  <c r="Q177"/>
  <c r="AA177"/>
  <c r="C165"/>
  <c r="Q165" s="1"/>
  <c r="AB165"/>
  <c r="Q162"/>
  <c r="AA162"/>
  <c r="I161"/>
  <c r="L161" s="1"/>
  <c r="M161"/>
  <c r="S67"/>
  <c r="AC67"/>
  <c r="F67"/>
  <c r="R66"/>
  <c r="AB66"/>
  <c r="G65"/>
  <c r="Q56"/>
  <c r="AA56"/>
  <c r="C30"/>
  <c r="R30"/>
  <c r="AB30"/>
  <c r="Q26"/>
  <c r="AA26"/>
  <c r="Z26"/>
  <c r="M205" i="52"/>
  <c r="M204" s="1"/>
  <c r="J204"/>
  <c r="K80" i="55"/>
  <c r="N80" s="1"/>
  <c r="N86"/>
  <c r="F81"/>
  <c r="G80"/>
  <c r="I54"/>
  <c r="L54" s="1"/>
  <c r="M54"/>
  <c r="G50"/>
  <c r="G153" s="1"/>
  <c r="I135" i="54"/>
  <c r="L135" s="1"/>
  <c r="M135"/>
  <c r="D57"/>
  <c r="C58"/>
  <c r="Q208" i="33"/>
  <c r="R233" i="41"/>
  <c r="R200"/>
  <c r="S22"/>
  <c r="H237" i="42"/>
  <c r="N237" s="1"/>
  <c r="Z209"/>
  <c r="S201"/>
  <c r="S171"/>
  <c r="C76"/>
  <c r="I74"/>
  <c r="L74" s="1"/>
  <c r="R72"/>
  <c r="Q66"/>
  <c r="I255" i="44"/>
  <c r="I251"/>
  <c r="F250"/>
  <c r="Z250" s="1"/>
  <c r="C244"/>
  <c r="H203"/>
  <c r="H200"/>
  <c r="S200" s="1"/>
  <c r="H194"/>
  <c r="F180"/>
  <c r="AA180" s="1"/>
  <c r="F176"/>
  <c r="Z176" s="1"/>
  <c r="AB170"/>
  <c r="H166"/>
  <c r="Z130"/>
  <c r="Q128"/>
  <c r="AA124"/>
  <c r="L114"/>
  <c r="L110"/>
  <c r="L102"/>
  <c r="F63"/>
  <c r="AA62"/>
  <c r="I55"/>
  <c r="L55" s="1"/>
  <c r="F48"/>
  <c r="L37"/>
  <c r="F34"/>
  <c r="F24"/>
  <c r="AA22"/>
  <c r="G244" i="45"/>
  <c r="R244" s="1"/>
  <c r="C244"/>
  <c r="C242"/>
  <c r="F241"/>
  <c r="F239"/>
  <c r="Z239" s="1"/>
  <c r="F235"/>
  <c r="AA235" s="1"/>
  <c r="F233"/>
  <c r="G229"/>
  <c r="AA217"/>
  <c r="S201"/>
  <c r="C200"/>
  <c r="S195"/>
  <c r="S192"/>
  <c r="C182"/>
  <c r="R173"/>
  <c r="C169"/>
  <c r="C165"/>
  <c r="C100"/>
  <c r="C83"/>
  <c r="F59"/>
  <c r="C39"/>
  <c r="F29"/>
  <c r="C26"/>
  <c r="AA22"/>
  <c r="C249" i="47"/>
  <c r="C243"/>
  <c r="F240"/>
  <c r="AA210"/>
  <c r="F192"/>
  <c r="Q192" s="1"/>
  <c r="Z40"/>
  <c r="N22"/>
  <c r="O161" i="37"/>
  <c r="L104"/>
  <c r="L103"/>
  <c r="R9" i="36"/>
  <c r="E108" i="34"/>
  <c r="I79" i="43"/>
  <c r="J70"/>
  <c r="G202" i="52"/>
  <c r="U202" s="1"/>
  <c r="N196"/>
  <c r="H196"/>
  <c r="H237" s="1"/>
  <c r="F136" i="47"/>
  <c r="Q136" s="1"/>
  <c r="S136"/>
  <c r="AC136"/>
  <c r="F128"/>
  <c r="Q128" s="1"/>
  <c r="S128"/>
  <c r="AC128"/>
  <c r="I83"/>
  <c r="H81"/>
  <c r="H80" s="1"/>
  <c r="C81"/>
  <c r="H79"/>
  <c r="AC79" s="1"/>
  <c r="C79"/>
  <c r="G74"/>
  <c r="AB74" s="1"/>
  <c r="F75"/>
  <c r="Q75" s="1"/>
  <c r="R75"/>
  <c r="AB75"/>
  <c r="C70"/>
  <c r="G70"/>
  <c r="AB70" s="1"/>
  <c r="C69"/>
  <c r="G69"/>
  <c r="F69" s="1"/>
  <c r="R61"/>
  <c r="AB61"/>
  <c r="Q56"/>
  <c r="AA56"/>
  <c r="Z56"/>
  <c r="Q51"/>
  <c r="AA51"/>
  <c r="R50"/>
  <c r="AB50"/>
  <c r="S44"/>
  <c r="AC44"/>
  <c r="M41"/>
  <c r="F39"/>
  <c r="Q39" s="1"/>
  <c r="S39"/>
  <c r="AC39"/>
  <c r="H37"/>
  <c r="AA38"/>
  <c r="Z38"/>
  <c r="C19"/>
  <c r="N232" i="37"/>
  <c r="K217"/>
  <c r="K216" s="1"/>
  <c r="I232"/>
  <c r="L232" s="1"/>
  <c r="Q231"/>
  <c r="P230"/>
  <c r="Q227"/>
  <c r="F226"/>
  <c r="O226" s="1"/>
  <c r="P226"/>
  <c r="Q223"/>
  <c r="F223"/>
  <c r="O223" s="1"/>
  <c r="F222"/>
  <c r="O222" s="1"/>
  <c r="P84"/>
  <c r="I45"/>
  <c r="L45" s="1"/>
  <c r="M45"/>
  <c r="M31"/>
  <c r="I26"/>
  <c r="L26" s="1"/>
  <c r="M26"/>
  <c r="H11" i="36"/>
  <c r="J11" s="1"/>
  <c r="L11"/>
  <c r="I72" i="34"/>
  <c r="L72"/>
  <c r="M72"/>
  <c r="I51"/>
  <c r="L51" s="1"/>
  <c r="M51"/>
  <c r="F128" i="43"/>
  <c r="S128"/>
  <c r="H250"/>
  <c r="S250" s="1"/>
  <c r="Q121"/>
  <c r="Z121"/>
  <c r="S101"/>
  <c r="E246"/>
  <c r="I86"/>
  <c r="H84"/>
  <c r="N84" s="1"/>
  <c r="E83"/>
  <c r="G82"/>
  <c r="R82" s="1"/>
  <c r="I58"/>
  <c r="L58" s="1"/>
  <c r="M58"/>
  <c r="I25"/>
  <c r="L25" s="1"/>
  <c r="M25"/>
  <c r="K234" i="51"/>
  <c r="N234" s="1"/>
  <c r="I238"/>
  <c r="L238" s="1"/>
  <c r="N238"/>
  <c r="Q228"/>
  <c r="AA228"/>
  <c r="Z228"/>
  <c r="AA199"/>
  <c r="Z199"/>
  <c r="S192"/>
  <c r="AC192"/>
  <c r="Q189"/>
  <c r="AA189"/>
  <c r="Z189"/>
  <c r="Q174"/>
  <c r="AA174"/>
  <c r="C169"/>
  <c r="R169"/>
  <c r="AB169"/>
  <c r="Q159"/>
  <c r="AA159"/>
  <c r="S133"/>
  <c r="AC133"/>
  <c r="F125"/>
  <c r="Q125" s="1"/>
  <c r="S125"/>
  <c r="AC125"/>
  <c r="Q102"/>
  <c r="AA102"/>
  <c r="Z102"/>
  <c r="S90"/>
  <c r="AC90"/>
  <c r="I67"/>
  <c r="M67"/>
  <c r="J65"/>
  <c r="I66"/>
  <c r="M66"/>
  <c r="Q50"/>
  <c r="AA50"/>
  <c r="Z49"/>
  <c r="Q49"/>
  <c r="Q47"/>
  <c r="AA47"/>
  <c r="Z47"/>
  <c r="AA33"/>
  <c r="L32"/>
  <c r="Q32"/>
  <c r="AA32"/>
  <c r="Z32"/>
  <c r="Z31"/>
  <c r="S30"/>
  <c r="Z29"/>
  <c r="Q29"/>
  <c r="G235" i="52"/>
  <c r="O235"/>
  <c r="M155" i="55"/>
  <c r="Q56" i="54"/>
  <c r="R52"/>
  <c r="Q52" s="1"/>
  <c r="G84" i="42"/>
  <c r="R84" s="1"/>
  <c r="C84"/>
  <c r="G76"/>
  <c r="G74" s="1"/>
  <c r="M73"/>
  <c r="M250" s="1"/>
  <c r="L250" s="1"/>
  <c r="G73"/>
  <c r="I71"/>
  <c r="M49"/>
  <c r="M22"/>
  <c r="R248" i="44"/>
  <c r="M206"/>
  <c r="R202"/>
  <c r="R197"/>
  <c r="R193"/>
  <c r="R191"/>
  <c r="R186"/>
  <c r="R184"/>
  <c r="R180"/>
  <c r="R176"/>
  <c r="R161"/>
  <c r="R159"/>
  <c r="R152"/>
  <c r="R150"/>
  <c r="R145"/>
  <c r="S141"/>
  <c r="S138"/>
  <c r="S130"/>
  <c r="AA128"/>
  <c r="S126"/>
  <c r="G84"/>
  <c r="G83"/>
  <c r="M83" s="1"/>
  <c r="S79"/>
  <c r="S77"/>
  <c r="AB72"/>
  <c r="M59"/>
  <c r="M55"/>
  <c r="M34"/>
  <c r="M29"/>
  <c r="M24"/>
  <c r="R243" i="45"/>
  <c r="F243"/>
  <c r="L243" s="1"/>
  <c r="R241"/>
  <c r="R239"/>
  <c r="R237"/>
  <c r="R235"/>
  <c r="R233"/>
  <c r="R231"/>
  <c r="F231"/>
  <c r="M226"/>
  <c r="M222"/>
  <c r="G203"/>
  <c r="G200"/>
  <c r="G194"/>
  <c r="G189"/>
  <c r="F189" s="1"/>
  <c r="G188"/>
  <c r="R188" s="1"/>
  <c r="G187"/>
  <c r="G182"/>
  <c r="F182" s="1"/>
  <c r="G181"/>
  <c r="G178"/>
  <c r="M178" s="1"/>
  <c r="G177"/>
  <c r="G170"/>
  <c r="G169"/>
  <c r="R169" s="1"/>
  <c r="G167"/>
  <c r="G166"/>
  <c r="R166" s="1"/>
  <c r="G164"/>
  <c r="F164"/>
  <c r="L164" s="1"/>
  <c r="G163"/>
  <c r="R163" s="1"/>
  <c r="G162"/>
  <c r="C162"/>
  <c r="S145"/>
  <c r="AB142"/>
  <c r="AB139"/>
  <c r="S135"/>
  <c r="S131"/>
  <c r="S127"/>
  <c r="C99"/>
  <c r="G84"/>
  <c r="R84" s="1"/>
  <c r="G83"/>
  <c r="S79"/>
  <c r="M59"/>
  <c r="M55"/>
  <c r="M29"/>
  <c r="M24"/>
  <c r="AC247" i="47"/>
  <c r="AB246"/>
  <c r="R246"/>
  <c r="AB244"/>
  <c r="R244"/>
  <c r="AB240"/>
  <c r="R240"/>
  <c r="AC237"/>
  <c r="AB236"/>
  <c r="R236"/>
  <c r="AC233"/>
  <c r="AB232"/>
  <c r="R232"/>
  <c r="C228"/>
  <c r="AC226"/>
  <c r="G199"/>
  <c r="AC197"/>
  <c r="AB196"/>
  <c r="R196"/>
  <c r="AB194"/>
  <c r="R194"/>
  <c r="AB192"/>
  <c r="R192"/>
  <c r="AC189"/>
  <c r="G187"/>
  <c r="R187" s="1"/>
  <c r="AC183"/>
  <c r="AB182"/>
  <c r="R182"/>
  <c r="AC179"/>
  <c r="AB178"/>
  <c r="R178"/>
  <c r="AC175"/>
  <c r="G173"/>
  <c r="G167"/>
  <c r="AB160"/>
  <c r="R160"/>
  <c r="AC151"/>
  <c r="AB150"/>
  <c r="R150"/>
  <c r="AC145"/>
  <c r="AC139"/>
  <c r="E80"/>
  <c r="N75"/>
  <c r="AC53"/>
  <c r="AB44"/>
  <c r="L35"/>
  <c r="I239" i="37"/>
  <c r="O236"/>
  <c r="F234"/>
  <c r="L202"/>
  <c r="O183"/>
  <c r="Q182"/>
  <c r="O157"/>
  <c r="O74"/>
  <c r="F72"/>
  <c r="O72" s="1"/>
  <c r="G71"/>
  <c r="C57"/>
  <c r="O32"/>
  <c r="Y11" i="36"/>
  <c r="F145" i="34"/>
  <c r="F63"/>
  <c r="K59"/>
  <c r="G59"/>
  <c r="C47"/>
  <c r="C36"/>
  <c r="C27"/>
  <c r="C250" i="43"/>
  <c r="S242"/>
  <c r="F220"/>
  <c r="S218"/>
  <c r="Z205"/>
  <c r="C175"/>
  <c r="C171"/>
  <c r="C40"/>
  <c r="C234" i="51"/>
  <c r="H215"/>
  <c r="H214" s="1"/>
  <c r="L183"/>
  <c r="I166"/>
  <c r="L166" s="1"/>
  <c r="L154"/>
  <c r="AB92"/>
  <c r="F92"/>
  <c r="N74"/>
  <c r="D225" i="52"/>
  <c r="G223"/>
  <c r="O127"/>
  <c r="U110"/>
  <c r="U98"/>
  <c r="U96"/>
  <c r="F134" i="47"/>
  <c r="AA134" s="1"/>
  <c r="S134"/>
  <c r="F126"/>
  <c r="Q126" s="1"/>
  <c r="S126"/>
  <c r="AC126"/>
  <c r="Q120"/>
  <c r="AA120"/>
  <c r="Q116"/>
  <c r="Q106"/>
  <c r="Q102"/>
  <c r="AA102"/>
  <c r="Z102"/>
  <c r="C100"/>
  <c r="R100"/>
  <c r="AB100"/>
  <c r="C99"/>
  <c r="S99"/>
  <c r="AC99"/>
  <c r="H73"/>
  <c r="C73"/>
  <c r="E68"/>
  <c r="N70"/>
  <c r="N255" s="1"/>
  <c r="F65"/>
  <c r="S65"/>
  <c r="AC65"/>
  <c r="I61"/>
  <c r="L61" s="1"/>
  <c r="M61"/>
  <c r="Q54"/>
  <c r="AA54"/>
  <c r="Z54"/>
  <c r="C47"/>
  <c r="E46"/>
  <c r="AC47"/>
  <c r="AA40"/>
  <c r="R37"/>
  <c r="I32"/>
  <c r="M32"/>
  <c r="R30"/>
  <c r="AB30"/>
  <c r="I22"/>
  <c r="L22" s="1"/>
  <c r="M22"/>
  <c r="Q18"/>
  <c r="AA18"/>
  <c r="Z18"/>
  <c r="C19" i="49"/>
  <c r="F232" i="37"/>
  <c r="F220"/>
  <c r="O220" s="1"/>
  <c r="P220"/>
  <c r="G207"/>
  <c r="P208"/>
  <c r="C181"/>
  <c r="Q181"/>
  <c r="J90"/>
  <c r="I90" s="1"/>
  <c r="I75"/>
  <c r="L75" s="1"/>
  <c r="M75"/>
  <c r="M244" s="1"/>
  <c r="Q72"/>
  <c r="Q15" i="36"/>
  <c r="Q14"/>
  <c r="AA14" s="1"/>
  <c r="P11"/>
  <c r="R11" s="1"/>
  <c r="T11"/>
  <c r="AB11"/>
  <c r="E159" i="34"/>
  <c r="C173"/>
  <c r="C160"/>
  <c r="O156"/>
  <c r="I21"/>
  <c r="L21" s="1"/>
  <c r="M21"/>
  <c r="C198" i="43"/>
  <c r="G198"/>
  <c r="F177"/>
  <c r="L177" s="1"/>
  <c r="M177"/>
  <c r="H175"/>
  <c r="N175" s="1"/>
  <c r="H173"/>
  <c r="S173" s="1"/>
  <c r="R150"/>
  <c r="J88"/>
  <c r="I88" s="1"/>
  <c r="I89"/>
  <c r="F139"/>
  <c r="S139"/>
  <c r="Q123"/>
  <c r="Z123"/>
  <c r="Q113"/>
  <c r="Z113"/>
  <c r="F102"/>
  <c r="L102" s="1"/>
  <c r="M102"/>
  <c r="F72"/>
  <c r="M72"/>
  <c r="M249"/>
  <c r="Q222" i="51"/>
  <c r="AA222"/>
  <c r="Q211"/>
  <c r="AA211"/>
  <c r="S169"/>
  <c r="AC169"/>
  <c r="Z149"/>
  <c r="AA149"/>
  <c r="R134"/>
  <c r="AB134"/>
  <c r="AB130"/>
  <c r="F123"/>
  <c r="S123"/>
  <c r="AC123"/>
  <c r="Z110"/>
  <c r="Q99"/>
  <c r="AA99"/>
  <c r="Z99"/>
  <c r="H245"/>
  <c r="AC81"/>
  <c r="F75"/>
  <c r="Q75" s="1"/>
  <c r="R75"/>
  <c r="Z20"/>
  <c r="AA20"/>
  <c r="N18"/>
  <c r="K245"/>
  <c r="K246"/>
  <c r="N246" s="1"/>
  <c r="O228" i="52"/>
  <c r="O227" s="1"/>
  <c r="J228"/>
  <c r="M228" s="1"/>
  <c r="L227"/>
  <c r="I127"/>
  <c r="G141"/>
  <c r="G49"/>
  <c r="H15"/>
  <c r="J34"/>
  <c r="M35"/>
  <c r="M34" s="1"/>
  <c r="N146" i="55"/>
  <c r="AA123" i="47"/>
  <c r="H61"/>
  <c r="F61" s="1"/>
  <c r="I243" i="37"/>
  <c r="O187"/>
  <c r="O179"/>
  <c r="H145"/>
  <c r="N145" s="1"/>
  <c r="O155"/>
  <c r="Q246"/>
  <c r="O124"/>
  <c r="O120"/>
  <c r="O116"/>
  <c r="O112"/>
  <c r="O108"/>
  <c r="O104"/>
  <c r="O86"/>
  <c r="J71"/>
  <c r="C59"/>
  <c r="O52"/>
  <c r="G14" i="36"/>
  <c r="Q152" i="34"/>
  <c r="H108"/>
  <c r="H59"/>
  <c r="H16" s="1"/>
  <c r="H15" s="1"/>
  <c r="J222" i="43"/>
  <c r="C188"/>
  <c r="C186" i="51"/>
  <c r="Q186" s="1"/>
  <c r="N67"/>
  <c r="Z18"/>
  <c r="I214" i="52"/>
  <c r="O206"/>
  <c r="J176"/>
  <c r="J127"/>
  <c r="R119"/>
  <c r="N13" i="34"/>
  <c r="I68"/>
  <c r="L68" s="1"/>
  <c r="M68"/>
  <c r="C66"/>
  <c r="O66"/>
  <c r="C63"/>
  <c r="O63"/>
  <c r="I220" i="43"/>
  <c r="L220" s="1"/>
  <c r="M220"/>
  <c r="F199"/>
  <c r="R199"/>
  <c r="H182"/>
  <c r="S182" s="1"/>
  <c r="H169"/>
  <c r="S169" s="1"/>
  <c r="H167"/>
  <c r="S167" s="1"/>
  <c r="H165"/>
  <c r="S165" s="1"/>
  <c r="F151"/>
  <c r="Q151" s="1"/>
  <c r="R151"/>
  <c r="F136"/>
  <c r="S136"/>
  <c r="Q117"/>
  <c r="Z117"/>
  <c r="Q109"/>
  <c r="Z109"/>
  <c r="C86"/>
  <c r="Q233" i="51"/>
  <c r="AA233"/>
  <c r="Q229"/>
  <c r="AA229"/>
  <c r="Z229"/>
  <c r="I227"/>
  <c r="L227" s="1"/>
  <c r="M227"/>
  <c r="Q226"/>
  <c r="AA226"/>
  <c r="Q220"/>
  <c r="AA220"/>
  <c r="S218"/>
  <c r="AC218"/>
  <c r="AA205"/>
  <c r="Z205"/>
  <c r="AA201"/>
  <c r="Z201"/>
  <c r="C195"/>
  <c r="R195"/>
  <c r="AB195"/>
  <c r="Q191"/>
  <c r="AA191"/>
  <c r="Z191"/>
  <c r="Q188"/>
  <c r="AA188"/>
  <c r="Q185"/>
  <c r="AA185"/>
  <c r="Z185"/>
  <c r="I164"/>
  <c r="L164" s="1"/>
  <c r="M164"/>
  <c r="Q151"/>
  <c r="AA151"/>
  <c r="Q141"/>
  <c r="AA141"/>
  <c r="L136"/>
  <c r="F127"/>
  <c r="S127"/>
  <c r="AC127"/>
  <c r="F119"/>
  <c r="S119"/>
  <c r="AC119"/>
  <c r="Q103"/>
  <c r="AA103"/>
  <c r="Z103"/>
  <c r="Q95"/>
  <c r="AB91"/>
  <c r="F85"/>
  <c r="Z85" s="1"/>
  <c r="S85"/>
  <c r="AC85"/>
  <c r="Q72"/>
  <c r="AA72"/>
  <c r="E62"/>
  <c r="E61" s="1"/>
  <c r="E15" s="1"/>
  <c r="E14" s="1"/>
  <c r="H64"/>
  <c r="AC64" s="1"/>
  <c r="F53"/>
  <c r="S53"/>
  <c r="Q48"/>
  <c r="AA48"/>
  <c r="Q46"/>
  <c r="AA46"/>
  <c r="Z45"/>
  <c r="Q45"/>
  <c r="Z40"/>
  <c r="L40"/>
  <c r="M24"/>
  <c r="F214" i="52"/>
  <c r="D219"/>
  <c r="F127"/>
  <c r="D127" s="1"/>
  <c r="F88" i="54"/>
  <c r="G155"/>
  <c r="N33"/>
  <c r="I33"/>
  <c r="L33" s="1"/>
  <c r="C16"/>
  <c r="F250" i="43"/>
  <c r="K223"/>
  <c r="K222" s="1"/>
  <c r="R177"/>
  <c r="R174"/>
  <c r="R72"/>
  <c r="AB219" i="51"/>
  <c r="L101"/>
  <c r="O196" i="52"/>
  <c r="L81"/>
  <c r="K15"/>
  <c r="I156" i="34"/>
  <c r="L156" s="1"/>
  <c r="M156"/>
  <c r="F243" i="43"/>
  <c r="Q243" s="1"/>
  <c r="R243"/>
  <c r="F242"/>
  <c r="L242" s="1"/>
  <c r="R242"/>
  <c r="I224"/>
  <c r="I216"/>
  <c r="L216" s="1"/>
  <c r="M216"/>
  <c r="F200"/>
  <c r="R200"/>
  <c r="F152"/>
  <c r="R152"/>
  <c r="E144"/>
  <c r="E89" s="1"/>
  <c r="E88" s="1"/>
  <c r="F141"/>
  <c r="Q141" s="1"/>
  <c r="S141"/>
  <c r="F132"/>
  <c r="S132"/>
  <c r="Q119"/>
  <c r="Z119"/>
  <c r="Q103"/>
  <c r="Z103"/>
  <c r="D246"/>
  <c r="R102"/>
  <c r="H87"/>
  <c r="N87" s="1"/>
  <c r="H76"/>
  <c r="S76" s="1"/>
  <c r="Q59"/>
  <c r="Z59"/>
  <c r="Q55"/>
  <c r="Z55"/>
  <c r="Q52"/>
  <c r="Z52"/>
  <c r="I44"/>
  <c r="M44"/>
  <c r="Q36"/>
  <c r="Z36"/>
  <c r="Q32"/>
  <c r="Z32"/>
  <c r="Q29"/>
  <c r="Z29"/>
  <c r="Z26"/>
  <c r="Q237" i="51"/>
  <c r="AA237"/>
  <c r="Z237"/>
  <c r="Q223"/>
  <c r="AA223"/>
  <c r="Z223"/>
  <c r="J219"/>
  <c r="I221"/>
  <c r="L221" s="1"/>
  <c r="M221"/>
  <c r="S195"/>
  <c r="AC195"/>
  <c r="Q193"/>
  <c r="AA193"/>
  <c r="Z193"/>
  <c r="AA184"/>
  <c r="C181"/>
  <c r="G181"/>
  <c r="AB181" s="1"/>
  <c r="I169"/>
  <c r="L169" s="1"/>
  <c r="M169"/>
  <c r="C164"/>
  <c r="Z164" s="1"/>
  <c r="R164"/>
  <c r="AB164"/>
  <c r="I162"/>
  <c r="L162" s="1"/>
  <c r="M162"/>
  <c r="Q160"/>
  <c r="AA160"/>
  <c r="Z160"/>
  <c r="Q155"/>
  <c r="AA155"/>
  <c r="Q138"/>
  <c r="AA138"/>
  <c r="Z138"/>
  <c r="F133"/>
  <c r="R133"/>
  <c r="F121"/>
  <c r="AA121" s="1"/>
  <c r="S121"/>
  <c r="AC121"/>
  <c r="Q110"/>
  <c r="AA110"/>
  <c r="G245"/>
  <c r="R245" s="1"/>
  <c r="F76"/>
  <c r="R76"/>
  <c r="AB76"/>
  <c r="S73"/>
  <c r="AC73"/>
  <c r="H70"/>
  <c r="N70" s="1"/>
  <c r="S71"/>
  <c r="AC71"/>
  <c r="R67"/>
  <c r="AB67"/>
  <c r="D62"/>
  <c r="G63"/>
  <c r="R63" s="1"/>
  <c r="Z59"/>
  <c r="Q59"/>
  <c r="AA59"/>
  <c r="Q57"/>
  <c r="AA57"/>
  <c r="Z57"/>
  <c r="F55"/>
  <c r="R55"/>
  <c r="AB55"/>
  <c r="Q51"/>
  <c r="AA51"/>
  <c r="Z34"/>
  <c r="AA34"/>
  <c r="F17"/>
  <c r="AA17" s="1"/>
  <c r="R17"/>
  <c r="AB17"/>
  <c r="O210" i="52"/>
  <c r="J210"/>
  <c r="M210" s="1"/>
  <c r="G189"/>
  <c r="F75"/>
  <c r="D76"/>
  <c r="F51" i="54"/>
  <c r="G50"/>
  <c r="G49" s="1"/>
  <c r="AB59" i="47"/>
  <c r="AB57"/>
  <c r="AB55"/>
  <c r="AB53"/>
  <c r="AC50"/>
  <c r="AC32"/>
  <c r="AC30"/>
  <c r="AC22"/>
  <c r="AB19"/>
  <c r="P242" i="37"/>
  <c r="Q208"/>
  <c r="P22"/>
  <c r="Q144" i="34"/>
  <c r="F141"/>
  <c r="F115"/>
  <c r="F70"/>
  <c r="J59"/>
  <c r="J179" s="1"/>
  <c r="I41"/>
  <c r="L41" s="1"/>
  <c r="I32"/>
  <c r="L32" s="1"/>
  <c r="I25"/>
  <c r="L25" s="1"/>
  <c r="G239" i="43"/>
  <c r="R239" s="1"/>
  <c r="F218"/>
  <c r="Q218" s="1"/>
  <c r="J203"/>
  <c r="M203" s="1"/>
  <c r="C201"/>
  <c r="R181"/>
  <c r="C178"/>
  <c r="R170"/>
  <c r="F156"/>
  <c r="Z129"/>
  <c r="L108"/>
  <c r="C101"/>
  <c r="R85"/>
  <c r="D83"/>
  <c r="I81"/>
  <c r="C73"/>
  <c r="E71"/>
  <c r="C64"/>
  <c r="C60"/>
  <c r="C56"/>
  <c r="C53"/>
  <c r="I49"/>
  <c r="L49" s="1"/>
  <c r="C47"/>
  <c r="Q46"/>
  <c r="Q39"/>
  <c r="C33"/>
  <c r="C30"/>
  <c r="I251" i="51"/>
  <c r="K249"/>
  <c r="F240"/>
  <c r="N232"/>
  <c r="S197"/>
  <c r="F197"/>
  <c r="I186"/>
  <c r="L179"/>
  <c r="I168"/>
  <c r="L168" s="1"/>
  <c r="L167"/>
  <c r="AB166"/>
  <c r="E135"/>
  <c r="Q144"/>
  <c r="I74"/>
  <c r="I68"/>
  <c r="Z44"/>
  <c r="L21"/>
  <c r="I18"/>
  <c r="D228" i="52"/>
  <c r="U226"/>
  <c r="G209"/>
  <c r="G206" s="1"/>
  <c r="M196"/>
  <c r="U123"/>
  <c r="H116"/>
  <c r="H115" s="1"/>
  <c r="D79"/>
  <c r="L15"/>
  <c r="F15"/>
  <c r="I135" i="55"/>
  <c r="L135" s="1"/>
  <c r="Q58" i="51"/>
  <c r="AA58"/>
  <c r="Q54"/>
  <c r="AA54"/>
  <c r="Q19"/>
  <c r="AA19"/>
  <c r="J223" i="52"/>
  <c r="M223" s="1"/>
  <c r="N223"/>
  <c r="J192"/>
  <c r="M192" s="1"/>
  <c r="N192"/>
  <c r="K148" i="55"/>
  <c r="N149"/>
  <c r="M144"/>
  <c r="H156"/>
  <c r="G156"/>
  <c r="J51"/>
  <c r="I52"/>
  <c r="L52" s="1"/>
  <c r="M52"/>
  <c r="I149" i="54"/>
  <c r="L149" s="1"/>
  <c r="M149"/>
  <c r="J148"/>
  <c r="C146"/>
  <c r="D143"/>
  <c r="D142" s="1"/>
  <c r="D141" s="1"/>
  <c r="N108" i="34"/>
  <c r="F86"/>
  <c r="N60"/>
  <c r="M49"/>
  <c r="M41"/>
  <c r="M32"/>
  <c r="M25"/>
  <c r="M239" i="43"/>
  <c r="S226"/>
  <c r="F221"/>
  <c r="Z221" s="1"/>
  <c r="M204"/>
  <c r="I204"/>
  <c r="L204" s="1"/>
  <c r="G201"/>
  <c r="R201" s="1"/>
  <c r="G188"/>
  <c r="R188" s="1"/>
  <c r="G182"/>
  <c r="R182" s="1"/>
  <c r="G175"/>
  <c r="G171"/>
  <c r="R171" s="1"/>
  <c r="G169"/>
  <c r="R169" s="1"/>
  <c r="G167"/>
  <c r="R167" s="1"/>
  <c r="G165"/>
  <c r="R165" s="1"/>
  <c r="G163"/>
  <c r="R149"/>
  <c r="I144"/>
  <c r="S142"/>
  <c r="S137"/>
  <c r="S133"/>
  <c r="S129"/>
  <c r="G87"/>
  <c r="M87" s="1"/>
  <c r="C87"/>
  <c r="G84"/>
  <c r="G83" s="1"/>
  <c r="C84"/>
  <c r="G76"/>
  <c r="R76" s="1"/>
  <c r="M74"/>
  <c r="M73"/>
  <c r="M250" s="1"/>
  <c r="G73"/>
  <c r="G71" s="1"/>
  <c r="I71"/>
  <c r="M49"/>
  <c r="M22"/>
  <c r="I22"/>
  <c r="L22" s="1"/>
  <c r="M251" i="51"/>
  <c r="AB246"/>
  <c r="AB218"/>
  <c r="I216"/>
  <c r="AA190"/>
  <c r="M186"/>
  <c r="AC182"/>
  <c r="M168"/>
  <c r="M166"/>
  <c r="AA161"/>
  <c r="AA148"/>
  <c r="AA146"/>
  <c r="AA144"/>
  <c r="AC131"/>
  <c r="AC100"/>
  <c r="S100"/>
  <c r="I81"/>
  <c r="AB78"/>
  <c r="R78"/>
  <c r="AB73"/>
  <c r="R73"/>
  <c r="AB71"/>
  <c r="R71"/>
  <c r="F71"/>
  <c r="M68"/>
  <c r="N63"/>
  <c r="L42"/>
  <c r="C24"/>
  <c r="N235" i="52"/>
  <c r="G198"/>
  <c r="U198" s="1"/>
  <c r="F195"/>
  <c r="L195"/>
  <c r="L191" s="1"/>
  <c r="U109"/>
  <c r="U99"/>
  <c r="U97"/>
  <c r="D90"/>
  <c r="H81"/>
  <c r="D70"/>
  <c r="U54"/>
  <c r="D23"/>
  <c r="M19"/>
  <c r="C139" i="55"/>
  <c r="Q90"/>
  <c r="Q40"/>
  <c r="K148" i="54"/>
  <c r="N148" s="1"/>
  <c r="J143"/>
  <c r="M143" s="1"/>
  <c r="I137"/>
  <c r="L137" s="1"/>
  <c r="Q127"/>
  <c r="J126"/>
  <c r="C123"/>
  <c r="T123" s="1"/>
  <c r="I113"/>
  <c r="L113" s="1"/>
  <c r="S155"/>
  <c r="S157" s="1"/>
  <c r="C45"/>
  <c r="D65" i="51"/>
  <c r="C66"/>
  <c r="C64"/>
  <c r="G64"/>
  <c r="Q40"/>
  <c r="AA40"/>
  <c r="Q36"/>
  <c r="AA36"/>
  <c r="I27"/>
  <c r="L27" s="1"/>
  <c r="M27"/>
  <c r="S25"/>
  <c r="Q22"/>
  <c r="AA22"/>
  <c r="I192" i="52"/>
  <c r="G193"/>
  <c r="U193" s="1"/>
  <c r="O125"/>
  <c r="J125"/>
  <c r="M125"/>
  <c r="G148" i="55"/>
  <c r="F148" s="1"/>
  <c r="M86"/>
  <c r="D57"/>
  <c r="C57" s="1"/>
  <c r="C58"/>
  <c r="K143" i="54"/>
  <c r="N146"/>
  <c r="Q141"/>
  <c r="R139"/>
  <c r="Q139" s="1"/>
  <c r="N54"/>
  <c r="I54"/>
  <c r="L54" s="1"/>
  <c r="D51"/>
  <c r="D50" s="1"/>
  <c r="C52"/>
  <c r="N45"/>
  <c r="I45"/>
  <c r="L45" s="1"/>
  <c r="G230" i="52"/>
  <c r="G227" s="1"/>
  <c r="D221"/>
  <c r="G217"/>
  <c r="G205"/>
  <c r="G204" s="1"/>
  <c r="G200"/>
  <c r="U200"/>
  <c r="I196"/>
  <c r="J196"/>
  <c r="M169"/>
  <c r="U154"/>
  <c r="U152"/>
  <c r="U145"/>
  <c r="D117"/>
  <c r="R114"/>
  <c r="U105"/>
  <c r="U103"/>
  <c r="D77"/>
  <c r="G45"/>
  <c r="Q124" i="55"/>
  <c r="F113"/>
  <c r="Q112"/>
  <c r="E155"/>
  <c r="C37"/>
  <c r="F33"/>
  <c r="Q32"/>
  <c r="D15"/>
  <c r="I154" i="54"/>
  <c r="L154" s="1"/>
  <c r="F144"/>
  <c r="R142"/>
  <c r="Q142" s="1"/>
  <c r="T140"/>
  <c r="O164" i="58"/>
  <c r="O148" s="1"/>
  <c r="L89" i="52"/>
  <c r="O89" s="1"/>
  <c r="O90"/>
  <c r="H89"/>
  <c r="G90"/>
  <c r="J84"/>
  <c r="M85"/>
  <c r="M84" s="1"/>
  <c r="D126" i="55"/>
  <c r="D122" s="1"/>
  <c r="C127"/>
  <c r="D119"/>
  <c r="C120"/>
  <c r="I81"/>
  <c r="L81" s="1"/>
  <c r="M81"/>
  <c r="D50"/>
  <c r="C51"/>
  <c r="N16"/>
  <c r="G143" i="54"/>
  <c r="F146"/>
  <c r="N35"/>
  <c r="I35"/>
  <c r="L35" s="1"/>
  <c r="N27"/>
  <c r="N19"/>
  <c r="J273" i="57"/>
  <c r="T81" i="52"/>
  <c r="T77" s="1"/>
  <c r="T76" s="1"/>
  <c r="T75" s="1"/>
  <c r="P81"/>
  <c r="N41"/>
  <c r="O16"/>
  <c r="G16"/>
  <c r="D155" i="55"/>
  <c r="E79"/>
  <c r="E56"/>
  <c r="J30" i="58"/>
  <c r="L36"/>
  <c r="N14"/>
  <c r="K94"/>
  <c r="K49" i="59"/>
  <c r="N88" i="55"/>
  <c r="K156"/>
  <c r="N156"/>
  <c r="G15"/>
  <c r="F16"/>
  <c r="D118" i="54"/>
  <c r="C119"/>
  <c r="D159" i="57"/>
  <c r="F154"/>
  <c r="D154" s="1"/>
  <c r="U165" i="58"/>
  <c r="R164"/>
  <c r="R148" s="1"/>
  <c r="U94" i="52"/>
  <c r="U92"/>
  <c r="U81"/>
  <c r="Q81"/>
  <c r="U66"/>
  <c r="R60"/>
  <c r="U52"/>
  <c r="G51"/>
  <c r="J49"/>
  <c r="M49" s="1"/>
  <c r="U48"/>
  <c r="G41"/>
  <c r="U40"/>
  <c r="G39"/>
  <c r="N34"/>
  <c r="U33"/>
  <c r="D29"/>
  <c r="J26"/>
  <c r="U25"/>
  <c r="J143" i="55"/>
  <c r="I137"/>
  <c r="L137" s="1"/>
  <c r="C123"/>
  <c r="C111"/>
  <c r="Q102"/>
  <c r="Q83"/>
  <c r="Q74"/>
  <c r="N57"/>
  <c r="C45"/>
  <c r="C39"/>
  <c r="F35"/>
  <c r="Q34"/>
  <c r="C31"/>
  <c r="F27"/>
  <c r="Q26"/>
  <c r="C23"/>
  <c r="Q23" s="1"/>
  <c r="F19"/>
  <c r="Q18"/>
  <c r="F139" i="54"/>
  <c r="C137"/>
  <c r="C127"/>
  <c r="D126"/>
  <c r="D122" s="1"/>
  <c r="T124"/>
  <c r="N119"/>
  <c r="N118"/>
  <c r="C113"/>
  <c r="C111"/>
  <c r="T109"/>
  <c r="T97"/>
  <c r="T93"/>
  <c r="T89"/>
  <c r="Q83"/>
  <c r="Q78"/>
  <c r="T74"/>
  <c r="T66"/>
  <c r="T64"/>
  <c r="T60"/>
  <c r="C54"/>
  <c r="C39"/>
  <c r="Q37"/>
  <c r="C31"/>
  <c r="Q29"/>
  <c r="F27"/>
  <c r="Q21"/>
  <c r="N51" i="52"/>
  <c r="N49"/>
  <c r="N39"/>
  <c r="M149" i="55"/>
  <c r="I149"/>
  <c r="L149" s="1"/>
  <c r="M146"/>
  <c r="I146"/>
  <c r="L146" s="1"/>
  <c r="M137"/>
  <c r="M135"/>
  <c r="N127"/>
  <c r="F127"/>
  <c r="N120"/>
  <c r="F120"/>
  <c r="M88"/>
  <c r="N58"/>
  <c r="F58"/>
  <c r="C52"/>
  <c r="M16"/>
  <c r="I16"/>
  <c r="L16" s="1"/>
  <c r="M154" i="54"/>
  <c r="M146"/>
  <c r="I146"/>
  <c r="L146" s="1"/>
  <c r="N127"/>
  <c r="F127"/>
  <c r="C120"/>
  <c r="Q119"/>
  <c r="Q117"/>
  <c r="M88"/>
  <c r="F52"/>
  <c r="T43"/>
  <c r="T41"/>
  <c r="F39"/>
  <c r="T36"/>
  <c r="F31"/>
  <c r="T28"/>
  <c r="F23"/>
  <c r="T20"/>
  <c r="K36" i="58"/>
  <c r="J64"/>
  <c r="K74"/>
  <c r="L14" i="59"/>
  <c r="O14" s="1"/>
  <c r="O138"/>
  <c r="T48" i="54"/>
  <c r="T46"/>
  <c r="F37"/>
  <c r="T34"/>
  <c r="T18"/>
  <c r="F16"/>
  <c r="L27" i="58"/>
  <c r="J60"/>
  <c r="J156"/>
  <c r="J186"/>
  <c r="J191"/>
  <c r="J192"/>
  <c r="L204"/>
  <c r="J205"/>
  <c r="J214"/>
  <c r="K218"/>
  <c r="Q14"/>
  <c r="T14" s="1"/>
  <c r="G104" i="57"/>
  <c r="K19" i="58"/>
  <c r="K45"/>
  <c r="J155"/>
  <c r="K162"/>
  <c r="Q164"/>
  <c r="K42"/>
  <c r="J114"/>
  <c r="J118"/>
  <c r="J127"/>
  <c r="J142"/>
  <c r="H164"/>
  <c r="J174"/>
  <c r="L195"/>
  <c r="L201"/>
  <c r="H79" i="57"/>
  <c r="R181" i="45"/>
  <c r="AA237" i="44"/>
  <c r="F101" i="45"/>
  <c r="L101" s="1"/>
  <c r="F29" i="59"/>
  <c r="D46"/>
  <c r="Q201" i="45"/>
  <c r="J222" i="42"/>
  <c r="M59" i="34"/>
  <c r="M164" i="45"/>
  <c r="R164"/>
  <c r="Z201" i="47"/>
  <c r="R74" i="41"/>
  <c r="Z63" i="47"/>
  <c r="Z117" i="51"/>
  <c r="AA117"/>
  <c r="Q117"/>
  <c r="M199" i="41"/>
  <c r="N163" i="40"/>
  <c r="F163"/>
  <c r="Q163" s="1"/>
  <c r="L163"/>
  <c r="Q185" i="42"/>
  <c r="J142" i="54"/>
  <c r="J141" s="1"/>
  <c r="K179" i="34"/>
  <c r="Z125" i="51"/>
  <c r="AA125"/>
  <c r="M82" i="43"/>
  <c r="K79" i="55"/>
  <c r="L235" i="44"/>
  <c r="AA235"/>
  <c r="L239"/>
  <c r="AA239"/>
  <c r="Z129" i="42"/>
  <c r="Q129"/>
  <c r="Q146" i="45"/>
  <c r="R178" i="42"/>
  <c r="Q234" i="47"/>
  <c r="Q233" i="42"/>
  <c r="Z233"/>
  <c r="C156" i="32"/>
  <c r="Q239" i="47"/>
  <c r="AA239"/>
  <c r="Z239"/>
  <c r="K224" i="44"/>
  <c r="M77" i="40"/>
  <c r="S242" i="44"/>
  <c r="AB242"/>
  <c r="N203" i="40"/>
  <c r="S93" i="51"/>
  <c r="AB241" i="47"/>
  <c r="R76" i="40"/>
  <c r="R188" i="44"/>
  <c r="Z230" i="42"/>
  <c r="S165" i="44"/>
  <c r="AB178"/>
  <c r="AC167" i="47"/>
  <c r="R241"/>
  <c r="R172" i="45"/>
  <c r="R165" i="40"/>
  <c r="Z180" i="42"/>
  <c r="AA239" i="45"/>
  <c r="Z28" i="47"/>
  <c r="Q28"/>
  <c r="C224"/>
  <c r="L243" i="44"/>
  <c r="Z179" i="42"/>
  <c r="M178" i="40"/>
  <c r="N175"/>
  <c r="F175"/>
  <c r="Q175" s="1"/>
  <c r="P226" i="33"/>
  <c r="R178" i="45"/>
  <c r="AA231"/>
  <c r="Z231"/>
  <c r="Q231"/>
  <c r="R73" i="42"/>
  <c r="M84"/>
  <c r="Q90" i="51"/>
  <c r="Q160" i="45"/>
  <c r="N164"/>
  <c r="Z183"/>
  <c r="F177" i="44"/>
  <c r="AB242" i="45"/>
  <c r="Q136"/>
  <c r="M200" i="44"/>
  <c r="I89" i="41"/>
  <c r="R163" i="43"/>
  <c r="F171"/>
  <c r="Q171" s="1"/>
  <c r="F181" i="51"/>
  <c r="L181" s="1"/>
  <c r="Z243" i="43"/>
  <c r="AA85" i="51"/>
  <c r="J89" i="37"/>
  <c r="Z134" i="47"/>
  <c r="C51" i="54"/>
  <c r="F166" i="45"/>
  <c r="AA39" i="47"/>
  <c r="R70"/>
  <c r="L231" i="44"/>
  <c r="Z130" i="47"/>
  <c r="AA130"/>
  <c r="N177" i="45"/>
  <c r="AB177"/>
  <c r="F19" i="47"/>
  <c r="S19"/>
  <c r="AC19"/>
  <c r="N101" i="44"/>
  <c r="J16" i="25"/>
  <c r="J18"/>
  <c r="E223" i="47"/>
  <c r="F81" i="44"/>
  <c r="L81" s="1"/>
  <c r="G80"/>
  <c r="M80" s="1"/>
  <c r="M81"/>
  <c r="Z229" i="42"/>
  <c r="Q78" i="40"/>
  <c r="L78"/>
  <c r="AC74" i="51"/>
  <c r="K88" i="41"/>
  <c r="N24" i="31"/>
  <c r="M164" i="40"/>
  <c r="Z186" i="42"/>
  <c r="S178" i="44"/>
  <c r="R174" i="47"/>
  <c r="R178" i="40"/>
  <c r="Q135" i="43"/>
  <c r="R181" i="51"/>
  <c r="R168" i="47"/>
  <c r="AA136"/>
  <c r="L231" i="45"/>
  <c r="R174"/>
  <c r="G74" i="40"/>
  <c r="R86" i="45"/>
  <c r="R165" i="44"/>
  <c r="F182"/>
  <c r="AA182" s="1"/>
  <c r="R189"/>
  <c r="L226" i="37"/>
  <c r="R193" i="47"/>
  <c r="S163" i="40"/>
  <c r="Q216"/>
  <c r="R182"/>
  <c r="F68" i="28"/>
  <c r="M39"/>
  <c r="L39" s="1"/>
  <c r="J70"/>
  <c r="M65"/>
  <c r="L65" s="1"/>
  <c r="J30"/>
  <c r="F32"/>
  <c r="I66"/>
  <c r="K320" i="57"/>
  <c r="N320" s="1"/>
  <c r="J321"/>
  <c r="M321" s="1"/>
  <c r="S281"/>
  <c r="J271"/>
  <c r="M271" s="1"/>
  <c r="J247"/>
  <c r="D224"/>
  <c r="X224" s="1"/>
  <c r="S110"/>
  <c r="J56"/>
  <c r="J18"/>
  <c r="M18" s="1"/>
  <c r="G16"/>
  <c r="G97"/>
  <c r="G101"/>
  <c r="G202"/>
  <c r="R224"/>
  <c r="R184" s="1"/>
  <c r="D182"/>
  <c r="R170"/>
  <c r="R18"/>
  <c r="W257"/>
  <c r="U271"/>
  <c r="J258"/>
  <c r="M258" s="1"/>
  <c r="K100"/>
  <c r="N100" s="1"/>
  <c r="J101"/>
  <c r="M101" s="1"/>
  <c r="K80"/>
  <c r="N80" s="1"/>
  <c r="E339"/>
  <c r="K339"/>
  <c r="J186"/>
  <c r="D269"/>
  <c r="D210"/>
  <c r="X210" s="1"/>
  <c r="D187"/>
  <c r="W165"/>
  <c r="W164" s="1"/>
  <c r="D81"/>
  <c r="F73"/>
  <c r="S73"/>
  <c r="S15" s="1"/>
  <c r="U45"/>
  <c r="U38"/>
  <c r="R27"/>
  <c r="R23"/>
  <c r="D16"/>
  <c r="X16" s="1"/>
  <c r="G318"/>
  <c r="G40"/>
  <c r="G83"/>
  <c r="G187"/>
  <c r="D273"/>
  <c r="D94"/>
  <c r="H339"/>
  <c r="N198" i="40"/>
  <c r="F198"/>
  <c r="L198" s="1"/>
  <c r="AA128" i="47"/>
  <c r="AB182" i="44"/>
  <c r="AA218" i="51"/>
  <c r="AB164" i="44"/>
  <c r="F65" i="59"/>
  <c r="F49" s="1"/>
  <c r="G19"/>
  <c r="I72" i="58"/>
  <c r="U182"/>
  <c r="F109" i="8"/>
  <c r="F81"/>
  <c r="F96" i="9"/>
  <c r="D18" i="10"/>
  <c r="C78" i="11"/>
  <c r="E25"/>
  <c r="F119" i="26"/>
  <c r="G119" s="1"/>
  <c r="G114"/>
  <c r="H23"/>
  <c r="F63"/>
  <c r="G63" s="1"/>
  <c r="G71"/>
  <c r="Q58"/>
  <c r="Q51"/>
  <c r="K60" i="20"/>
  <c r="N60" s="1"/>
  <c r="M57"/>
  <c r="J53"/>
  <c r="C31"/>
  <c r="L71" i="22"/>
  <c r="M91" i="33"/>
  <c r="M31" i="20"/>
  <c r="K69" i="22"/>
  <c r="I54" i="20"/>
  <c r="L54" s="1"/>
  <c r="I70" i="22"/>
  <c r="C170" i="40"/>
  <c r="R170"/>
  <c r="C150"/>
  <c r="H150"/>
  <c r="F150" s="1"/>
  <c r="F42" i="22"/>
  <c r="F39"/>
  <c r="E19"/>
  <c r="K19"/>
  <c r="K18" s="1"/>
  <c r="M78" i="28"/>
  <c r="L78" s="1"/>
  <c r="M77"/>
  <c r="L77" s="1"/>
  <c r="N34"/>
  <c r="D60" i="24"/>
  <c r="D58" s="1"/>
  <c r="D57" s="1"/>
  <c r="G60"/>
  <c r="E35"/>
  <c r="M74" i="25"/>
  <c r="N39"/>
  <c r="L39" s="1"/>
  <c r="H37"/>
  <c r="H36" s="1"/>
  <c r="C23"/>
  <c r="F22"/>
  <c r="M161" i="31"/>
  <c r="D140"/>
  <c r="D139" s="1"/>
  <c r="D138" s="1"/>
  <c r="D67"/>
  <c r="D45" s="1"/>
  <c r="D44" s="1"/>
  <c r="N58"/>
  <c r="N55"/>
  <c r="P34"/>
  <c r="I108" i="32"/>
  <c r="L108" s="1"/>
  <c r="M70"/>
  <c r="M30"/>
  <c r="J243" i="33"/>
  <c r="Q243"/>
  <c r="R234"/>
  <c r="N220"/>
  <c r="O212"/>
  <c r="D208"/>
  <c r="G176"/>
  <c r="D174"/>
  <c r="P174" s="1"/>
  <c r="J145"/>
  <c r="O84"/>
  <c r="N80"/>
  <c r="G54"/>
  <c r="R45"/>
  <c r="N41"/>
  <c r="O34"/>
  <c r="N26"/>
  <c r="N22"/>
  <c r="D243" i="38"/>
  <c r="R240"/>
  <c r="Q237"/>
  <c r="Q236"/>
  <c r="R231"/>
  <c r="O221"/>
  <c r="Q190"/>
  <c r="Q178"/>
  <c r="R176"/>
  <c r="Q173"/>
  <c r="R169"/>
  <c r="Q168"/>
  <c r="R162"/>
  <c r="R88"/>
  <c r="Q80"/>
  <c r="D77"/>
  <c r="P77" s="1"/>
  <c r="Q74"/>
  <c r="N61"/>
  <c r="Q59"/>
  <c r="R54"/>
  <c r="R41"/>
  <c r="Q41"/>
  <c r="Q26"/>
  <c r="I249" i="40"/>
  <c r="H239"/>
  <c r="N239" s="1"/>
  <c r="C220"/>
  <c r="S218"/>
  <c r="E203"/>
  <c r="R184"/>
  <c r="R179"/>
  <c r="F176"/>
  <c r="F170"/>
  <c r="L170" s="1"/>
  <c r="S162"/>
  <c r="C162"/>
  <c r="F159"/>
  <c r="L159" s="1"/>
  <c r="F148"/>
  <c r="Q148" s="1"/>
  <c r="Q98"/>
  <c r="I204"/>
  <c r="L204" s="1"/>
  <c r="N187"/>
  <c r="S187"/>
  <c r="N176"/>
  <c r="S176"/>
  <c r="R158"/>
  <c r="F157"/>
  <c r="Q157" s="1"/>
  <c r="R157"/>
  <c r="R156"/>
  <c r="F155"/>
  <c r="Q155" s="1"/>
  <c r="R155"/>
  <c r="F154"/>
  <c r="Q154" s="1"/>
  <c r="R154"/>
  <c r="F153"/>
  <c r="Q153" s="1"/>
  <c r="R153"/>
  <c r="N148"/>
  <c r="S148"/>
  <c r="R100"/>
  <c r="J212" i="33"/>
  <c r="M212" s="1"/>
  <c r="J82"/>
  <c r="C250" i="40"/>
  <c r="S198"/>
  <c r="C198"/>
  <c r="C169"/>
  <c r="R163"/>
  <c r="G249"/>
  <c r="G248" s="1"/>
  <c r="F53" i="41"/>
  <c r="R53"/>
  <c r="F35"/>
  <c r="L35" s="1"/>
  <c r="R35"/>
  <c r="J248" i="42"/>
  <c r="I248" s="1"/>
  <c r="I249"/>
  <c r="G237"/>
  <c r="R237" s="1"/>
  <c r="M238"/>
  <c r="R238"/>
  <c r="S232"/>
  <c r="N232"/>
  <c r="S227"/>
  <c r="N227"/>
  <c r="N249"/>
  <c r="R161"/>
  <c r="F161"/>
  <c r="F160"/>
  <c r="Q160" s="1"/>
  <c r="R160"/>
  <c r="F156"/>
  <c r="Q156" s="1"/>
  <c r="R156"/>
  <c r="S132"/>
  <c r="F132"/>
  <c r="Z132" s="1"/>
  <c r="Q69"/>
  <c r="Z69"/>
  <c r="M53"/>
  <c r="I53"/>
  <c r="L53" s="1"/>
  <c r="Q48"/>
  <c r="Z48"/>
  <c r="R90" i="40"/>
  <c r="E86"/>
  <c r="M80"/>
  <c r="N78"/>
  <c r="R75"/>
  <c r="G72"/>
  <c r="R72" s="1"/>
  <c r="F64"/>
  <c r="S44"/>
  <c r="M33"/>
  <c r="S30"/>
  <c r="M22"/>
  <c r="R246" i="41"/>
  <c r="J244"/>
  <c r="E245"/>
  <c r="S231"/>
  <c r="S227"/>
  <c r="N216"/>
  <c r="F214"/>
  <c r="Q214" s="1"/>
  <c r="N212"/>
  <c r="F212"/>
  <c r="S197"/>
  <c r="S194"/>
  <c r="S184"/>
  <c r="R183"/>
  <c r="S172"/>
  <c r="R171"/>
  <c r="S161"/>
  <c r="S148"/>
  <c r="S147"/>
  <c r="S101"/>
  <c r="S87"/>
  <c r="R86"/>
  <c r="R77"/>
  <c r="R73"/>
  <c r="Q55"/>
  <c r="F47"/>
  <c r="S27"/>
  <c r="C22"/>
  <c r="R242" i="42"/>
  <c r="F236"/>
  <c r="Z236" s="1"/>
  <c r="Z213"/>
  <c r="F194"/>
  <c r="F193"/>
  <c r="Q193" s="1"/>
  <c r="F176"/>
  <c r="L176" s="1"/>
  <c r="Q130"/>
  <c r="S62"/>
  <c r="C62"/>
  <c r="I25" i="41"/>
  <c r="L25" s="1"/>
  <c r="M25"/>
  <c r="C237" i="42"/>
  <c r="D223"/>
  <c r="M234"/>
  <c r="R234"/>
  <c r="M231"/>
  <c r="R231"/>
  <c r="G224"/>
  <c r="M224" s="1"/>
  <c r="M226"/>
  <c r="R226"/>
  <c r="S176"/>
  <c r="N176"/>
  <c r="G174"/>
  <c r="F174"/>
  <c r="C162"/>
  <c r="G162"/>
  <c r="R162" s="1"/>
  <c r="F152"/>
  <c r="R152"/>
  <c r="Z115"/>
  <c r="Q115"/>
  <c r="Q114"/>
  <c r="Z114"/>
  <c r="Z108"/>
  <c r="E81"/>
  <c r="H82"/>
  <c r="S80"/>
  <c r="N80"/>
  <c r="S78"/>
  <c r="N78"/>
  <c r="D71"/>
  <c r="C71" s="1"/>
  <c r="C72"/>
  <c r="M56"/>
  <c r="I56"/>
  <c r="L56" s="1"/>
  <c r="I212" i="41"/>
  <c r="L212" s="1"/>
  <c r="S53"/>
  <c r="C53"/>
  <c r="C44"/>
  <c r="S35"/>
  <c r="C35"/>
  <c r="I27"/>
  <c r="L27" s="1"/>
  <c r="F245" i="42"/>
  <c r="J203"/>
  <c r="M203" s="1"/>
  <c r="S187"/>
  <c r="C187"/>
  <c r="S181"/>
  <c r="C181"/>
  <c r="C82"/>
  <c r="F80"/>
  <c r="L80" s="1"/>
  <c r="H79"/>
  <c r="S79"/>
  <c r="F78"/>
  <c r="H77"/>
  <c r="S77" s="1"/>
  <c r="J70"/>
  <c r="J17" s="1"/>
  <c r="J16" s="1"/>
  <c r="S60"/>
  <c r="R255" i="44"/>
  <c r="S240"/>
  <c r="F236"/>
  <c r="M236"/>
  <c r="Q219"/>
  <c r="AA219"/>
  <c r="H175"/>
  <c r="F141"/>
  <c r="F137"/>
  <c r="Z137" s="1"/>
  <c r="AB137"/>
  <c r="F129"/>
  <c r="AB129"/>
  <c r="F126"/>
  <c r="Z126" s="1"/>
  <c r="AB126"/>
  <c r="Z116"/>
  <c r="AA116"/>
  <c r="Q115"/>
  <c r="AA115"/>
  <c r="Q114"/>
  <c r="AA114"/>
  <c r="Q109"/>
  <c r="AA109"/>
  <c r="AA103"/>
  <c r="Q102"/>
  <c r="AA102"/>
  <c r="Z94"/>
  <c r="Q94"/>
  <c r="Z90"/>
  <c r="Q90"/>
  <c r="H76"/>
  <c r="N77"/>
  <c r="AB77"/>
  <c r="D73"/>
  <c r="C74"/>
  <c r="C61"/>
  <c r="R61"/>
  <c r="R57"/>
  <c r="S55"/>
  <c r="AB55"/>
  <c r="Q37"/>
  <c r="AA37"/>
  <c r="N232" i="45"/>
  <c r="AB232"/>
  <c r="Q219"/>
  <c r="AA219"/>
  <c r="Z211"/>
  <c r="AA211"/>
  <c r="AA209"/>
  <c r="Z209"/>
  <c r="G205"/>
  <c r="F206"/>
  <c r="Z206" s="1"/>
  <c r="S176"/>
  <c r="N176"/>
  <c r="AB175"/>
  <c r="N175"/>
  <c r="I170"/>
  <c r="J144"/>
  <c r="J88" s="1"/>
  <c r="I88" s="1"/>
  <c r="S161"/>
  <c r="N161"/>
  <c r="AB161"/>
  <c r="S159"/>
  <c r="N159"/>
  <c r="AB159"/>
  <c r="AB148"/>
  <c r="F135"/>
  <c r="Q135" s="1"/>
  <c r="AB135"/>
  <c r="F134"/>
  <c r="Z134" s="1"/>
  <c r="AB134"/>
  <c r="F99"/>
  <c r="Z92"/>
  <c r="Z91"/>
  <c r="AA91"/>
  <c r="F89"/>
  <c r="L89" s="1"/>
  <c r="R89"/>
  <c r="H78"/>
  <c r="AB78" s="1"/>
  <c r="AB79"/>
  <c r="C75"/>
  <c r="G75"/>
  <c r="M75" s="1"/>
  <c r="D73"/>
  <c r="G74"/>
  <c r="C72"/>
  <c r="G72"/>
  <c r="Q60"/>
  <c r="AA60"/>
  <c r="C57"/>
  <c r="R57"/>
  <c r="AA47"/>
  <c r="Q35"/>
  <c r="AA35"/>
  <c r="C29"/>
  <c r="R29"/>
  <c r="F242" i="47"/>
  <c r="AA242" s="1"/>
  <c r="AB242"/>
  <c r="N238"/>
  <c r="S238"/>
  <c r="AC238"/>
  <c r="F237"/>
  <c r="Q237" s="1"/>
  <c r="M237"/>
  <c r="AB237"/>
  <c r="N231"/>
  <c r="AC231"/>
  <c r="AA206"/>
  <c r="Z206"/>
  <c r="C205"/>
  <c r="D204"/>
  <c r="C202"/>
  <c r="G202"/>
  <c r="M202" s="1"/>
  <c r="S197"/>
  <c r="N197"/>
  <c r="F175"/>
  <c r="AB175"/>
  <c r="F151"/>
  <c r="R151"/>
  <c r="C148"/>
  <c r="F137"/>
  <c r="Z137" s="1"/>
  <c r="AC137"/>
  <c r="F135"/>
  <c r="S135"/>
  <c r="AC135"/>
  <c r="AA122"/>
  <c r="Q121"/>
  <c r="Q118"/>
  <c r="AA118"/>
  <c r="Z117"/>
  <c r="Q117"/>
  <c r="Q104"/>
  <c r="AA104"/>
  <c r="Q103"/>
  <c r="F97"/>
  <c r="S97"/>
  <c r="Z90"/>
  <c r="Q90"/>
  <c r="Z89"/>
  <c r="Q89"/>
  <c r="F88"/>
  <c r="AA88" s="1"/>
  <c r="R88"/>
  <c r="AB88"/>
  <c r="G249"/>
  <c r="AB249" s="1"/>
  <c r="F57"/>
  <c r="Z57" s="1"/>
  <c r="R57"/>
  <c r="C53"/>
  <c r="S53"/>
  <c r="C44"/>
  <c r="R44"/>
  <c r="Q35"/>
  <c r="AA35"/>
  <c r="Z34"/>
  <c r="AA34"/>
  <c r="C210" i="37"/>
  <c r="Q210"/>
  <c r="F181"/>
  <c r="G145"/>
  <c r="P181"/>
  <c r="D145"/>
  <c r="D90" s="1"/>
  <c r="D89" s="1"/>
  <c r="P174"/>
  <c r="C87"/>
  <c r="P87"/>
  <c r="Q78"/>
  <c r="I57"/>
  <c r="L57" s="1"/>
  <c r="M57"/>
  <c r="F41"/>
  <c r="P41"/>
  <c r="H17" i="36"/>
  <c r="J17" s="1"/>
  <c r="J14"/>
  <c r="C10"/>
  <c r="E10" s="1"/>
  <c r="G10"/>
  <c r="D11"/>
  <c r="N11" s="1"/>
  <c r="H239" i="43"/>
  <c r="N239" s="1"/>
  <c r="S240"/>
  <c r="H237"/>
  <c r="S237" s="1"/>
  <c r="S238"/>
  <c r="N238"/>
  <c r="F235"/>
  <c r="Z235"/>
  <c r="R235"/>
  <c r="M231"/>
  <c r="R231"/>
  <c r="S227"/>
  <c r="G224"/>
  <c r="F226"/>
  <c r="L226" s="1"/>
  <c r="R226"/>
  <c r="S196"/>
  <c r="N196"/>
  <c r="F195"/>
  <c r="Q195" s="1"/>
  <c r="Z195"/>
  <c r="R195"/>
  <c r="S192"/>
  <c r="N192"/>
  <c r="F191"/>
  <c r="Q191" s="1"/>
  <c r="R191"/>
  <c r="F180"/>
  <c r="R180"/>
  <c r="H168"/>
  <c r="R148"/>
  <c r="F148"/>
  <c r="Z148" s="1"/>
  <c r="L148"/>
  <c r="F147"/>
  <c r="Q147" s="1"/>
  <c r="R147"/>
  <c r="F146"/>
  <c r="Z146" s="1"/>
  <c r="Q146"/>
  <c r="R146"/>
  <c r="F145"/>
  <c r="Q145" s="1"/>
  <c r="R145"/>
  <c r="Z133"/>
  <c r="Q133"/>
  <c r="Z116"/>
  <c r="Q116"/>
  <c r="Z106"/>
  <c r="Q106"/>
  <c r="Q65"/>
  <c r="Z65"/>
  <c r="I53"/>
  <c r="L53" s="1"/>
  <c r="M53"/>
  <c r="F53"/>
  <c r="R53"/>
  <c r="Q48"/>
  <c r="Z48"/>
  <c r="Z38"/>
  <c r="Q38"/>
  <c r="M240" i="51"/>
  <c r="Z238"/>
  <c r="AA238"/>
  <c r="AA235"/>
  <c r="Z202"/>
  <c r="AA202"/>
  <c r="Z194"/>
  <c r="Q194"/>
  <c r="Z176"/>
  <c r="Q176"/>
  <c r="C173"/>
  <c r="Q173" s="1"/>
  <c r="R173"/>
  <c r="AB173"/>
  <c r="C166"/>
  <c r="Z166" s="1"/>
  <c r="R166"/>
  <c r="N161"/>
  <c r="K135"/>
  <c r="K80" s="1"/>
  <c r="K79" s="1"/>
  <c r="Q157"/>
  <c r="AA157"/>
  <c r="Z157"/>
  <c r="Z143"/>
  <c r="Q143"/>
  <c r="F132"/>
  <c r="Z132" s="1"/>
  <c r="G251"/>
  <c r="R251" s="1"/>
  <c r="R132"/>
  <c r="AB132"/>
  <c r="Z105"/>
  <c r="Q105"/>
  <c r="Z94"/>
  <c r="Q94"/>
  <c r="C92"/>
  <c r="Q92" s="1"/>
  <c r="R92"/>
  <c r="C91"/>
  <c r="D247"/>
  <c r="R81"/>
  <c r="AB81"/>
  <c r="G70"/>
  <c r="R70" s="1"/>
  <c r="M71"/>
  <c r="S55"/>
  <c r="AC55"/>
  <c r="F52"/>
  <c r="Q52" s="1"/>
  <c r="R52"/>
  <c r="AB52"/>
  <c r="Z41"/>
  <c r="AA41"/>
  <c r="AB27"/>
  <c r="R27"/>
  <c r="AB24"/>
  <c r="R24"/>
  <c r="J230" i="52"/>
  <c r="M230" s="1"/>
  <c r="K227"/>
  <c r="N230"/>
  <c r="N227" s="1"/>
  <c r="D204"/>
  <c r="E236"/>
  <c r="D187"/>
  <c r="F175"/>
  <c r="F174" s="1"/>
  <c r="J53"/>
  <c r="M54"/>
  <c r="M53" s="1"/>
  <c r="M46"/>
  <c r="M45" s="1"/>
  <c r="J45"/>
  <c r="J16"/>
  <c r="M18"/>
  <c r="M16" s="1"/>
  <c r="M29" i="55"/>
  <c r="I29"/>
  <c r="L29"/>
  <c r="C149" i="54"/>
  <c r="D148"/>
  <c r="C148" s="1"/>
  <c r="I139"/>
  <c r="L139" s="1"/>
  <c r="M139"/>
  <c r="S27" i="42"/>
  <c r="S250" i="44"/>
  <c r="C222"/>
  <c r="F198"/>
  <c r="Q198" s="1"/>
  <c r="F192"/>
  <c r="F190"/>
  <c r="AA190" s="1"/>
  <c r="C175"/>
  <c r="F77"/>
  <c r="C72"/>
  <c r="C55"/>
  <c r="C46"/>
  <c r="F247" i="45"/>
  <c r="H226"/>
  <c r="AB226" s="1"/>
  <c r="D225"/>
  <c r="D224" s="1"/>
  <c r="R206"/>
  <c r="F176"/>
  <c r="F161"/>
  <c r="F159"/>
  <c r="AA159" s="1"/>
  <c r="D70"/>
  <c r="I43"/>
  <c r="L43" s="1"/>
  <c r="I39"/>
  <c r="L39" s="1"/>
  <c r="I26"/>
  <c r="L26" s="1"/>
  <c r="AB250" i="47"/>
  <c r="L242"/>
  <c r="C166"/>
  <c r="F145"/>
  <c r="Z145" s="1"/>
  <c r="J143"/>
  <c r="J87" s="1"/>
  <c r="AA142"/>
  <c r="R81"/>
  <c r="S59"/>
  <c r="C50"/>
  <c r="R19"/>
  <c r="K241" i="37"/>
  <c r="F242"/>
  <c r="Q239"/>
  <c r="C239"/>
  <c r="O239" s="1"/>
  <c r="C232"/>
  <c r="H218"/>
  <c r="Q101"/>
  <c r="C101"/>
  <c r="O101" s="1"/>
  <c r="F87"/>
  <c r="P72"/>
  <c r="I63"/>
  <c r="L63" s="1"/>
  <c r="Q61"/>
  <c r="Q26"/>
  <c r="C26"/>
  <c r="Z9" i="36"/>
  <c r="G159" i="34"/>
  <c r="N182"/>
  <c r="L182" s="1"/>
  <c r="E59"/>
  <c r="E16" s="1"/>
  <c r="F240" i="43"/>
  <c r="Q240" s="1"/>
  <c r="F238"/>
  <c r="F236"/>
  <c r="F228"/>
  <c r="F227"/>
  <c r="Q227" s="1"/>
  <c r="H224"/>
  <c r="F185"/>
  <c r="Q185" s="1"/>
  <c r="C168"/>
  <c r="F155"/>
  <c r="Q155" s="1"/>
  <c r="Q129"/>
  <c r="C67" i="51"/>
  <c r="C55"/>
  <c r="J189" i="52"/>
  <c r="M189" s="1"/>
  <c r="N81"/>
  <c r="H75"/>
  <c r="J41"/>
  <c r="O26"/>
  <c r="J19"/>
  <c r="J119" i="55"/>
  <c r="I111"/>
  <c r="L111" s="1"/>
  <c r="I31"/>
  <c r="L31" s="1"/>
  <c r="I27"/>
  <c r="L27" s="1"/>
  <c r="Q23" i="54"/>
  <c r="F155" i="42"/>
  <c r="Z155" s="1"/>
  <c r="R155"/>
  <c r="C150"/>
  <c r="F134"/>
  <c r="S134"/>
  <c r="Z111"/>
  <c r="Q111"/>
  <c r="Q110"/>
  <c r="Z110"/>
  <c r="Z95"/>
  <c r="Q95"/>
  <c r="R60"/>
  <c r="F49"/>
  <c r="R49"/>
  <c r="F27"/>
  <c r="R27"/>
  <c r="Q18"/>
  <c r="Z18"/>
  <c r="S247" i="44"/>
  <c r="N247"/>
  <c r="M238"/>
  <c r="S234"/>
  <c r="N234"/>
  <c r="AB234"/>
  <c r="S232"/>
  <c r="N232"/>
  <c r="AB232"/>
  <c r="AA230"/>
  <c r="Z210"/>
  <c r="AA210"/>
  <c r="AA208"/>
  <c r="Z208"/>
  <c r="C174"/>
  <c r="G174"/>
  <c r="H171"/>
  <c r="F155"/>
  <c r="Q155" s="1"/>
  <c r="R155"/>
  <c r="Q119"/>
  <c r="AA119"/>
  <c r="Q118"/>
  <c r="AA118"/>
  <c r="Q117"/>
  <c r="AA117"/>
  <c r="Z96"/>
  <c r="Q96"/>
  <c r="Z92"/>
  <c r="Q92"/>
  <c r="C75"/>
  <c r="G75"/>
  <c r="E70"/>
  <c r="H71"/>
  <c r="H70" s="1"/>
  <c r="N70" s="1"/>
  <c r="C52"/>
  <c r="R52"/>
  <c r="Q35"/>
  <c r="AA35"/>
  <c r="C32"/>
  <c r="R32"/>
  <c r="S29"/>
  <c r="AB29"/>
  <c r="Q25"/>
  <c r="AA25"/>
  <c r="S21"/>
  <c r="F240" i="45"/>
  <c r="Q240" s="1"/>
  <c r="R240"/>
  <c r="F232"/>
  <c r="R232"/>
  <c r="M232"/>
  <c r="Z215"/>
  <c r="AA215"/>
  <c r="AA213"/>
  <c r="Z213"/>
  <c r="AB198"/>
  <c r="N198"/>
  <c r="H172"/>
  <c r="F154"/>
  <c r="Q154" s="1"/>
  <c r="R154"/>
  <c r="S152"/>
  <c r="AB152"/>
  <c r="F137"/>
  <c r="AA137" s="1"/>
  <c r="AB137"/>
  <c r="S137"/>
  <c r="F131"/>
  <c r="AB131"/>
  <c r="F126"/>
  <c r="AB126"/>
  <c r="Q123"/>
  <c r="AA123"/>
  <c r="Q122"/>
  <c r="AA122"/>
  <c r="Q121"/>
  <c r="AA121"/>
  <c r="Q120"/>
  <c r="AA120"/>
  <c r="Q119"/>
  <c r="AA119"/>
  <c r="Q118"/>
  <c r="AA118"/>
  <c r="Q117"/>
  <c r="AA117"/>
  <c r="Q116"/>
  <c r="AA116"/>
  <c r="Q115"/>
  <c r="AA115"/>
  <c r="Q114"/>
  <c r="AA114"/>
  <c r="Q113"/>
  <c r="Q112"/>
  <c r="AA112"/>
  <c r="Q111"/>
  <c r="AA111"/>
  <c r="Q110"/>
  <c r="AA110"/>
  <c r="Q109"/>
  <c r="AA109"/>
  <c r="Q108"/>
  <c r="AA108"/>
  <c r="Q107"/>
  <c r="AA107"/>
  <c r="Q106"/>
  <c r="AA106"/>
  <c r="Q105"/>
  <c r="AA105"/>
  <c r="Q104"/>
  <c r="AA104"/>
  <c r="AA102"/>
  <c r="E70"/>
  <c r="Q42"/>
  <c r="AA42"/>
  <c r="Q41"/>
  <c r="AA41"/>
  <c r="Z40"/>
  <c r="AA40"/>
  <c r="Q25"/>
  <c r="AA25"/>
  <c r="C255" i="47"/>
  <c r="D253"/>
  <c r="F247"/>
  <c r="L247" s="1"/>
  <c r="AB247"/>
  <c r="F233"/>
  <c r="F232"/>
  <c r="M232"/>
  <c r="F226"/>
  <c r="AA226" s="1"/>
  <c r="Z209"/>
  <c r="AA209"/>
  <c r="AA208"/>
  <c r="Z208"/>
  <c r="H193"/>
  <c r="S193" s="1"/>
  <c r="R190"/>
  <c r="AB190"/>
  <c r="N186"/>
  <c r="S186"/>
  <c r="H172"/>
  <c r="S172" s="1"/>
  <c r="R166"/>
  <c r="AB166"/>
  <c r="H165"/>
  <c r="AC165" s="1"/>
  <c r="H162"/>
  <c r="S154"/>
  <c r="AC154"/>
  <c r="Z139"/>
  <c r="Q139"/>
  <c r="H74"/>
  <c r="AC75"/>
  <c r="G73"/>
  <c r="R73" s="1"/>
  <c r="F59"/>
  <c r="AA59" s="1"/>
  <c r="R59"/>
  <c r="Q48"/>
  <c r="AA48"/>
  <c r="Z43"/>
  <c r="AA43"/>
  <c r="E38" i="46"/>
  <c r="E12" s="1"/>
  <c r="C43"/>
  <c r="F65" i="37"/>
  <c r="P65"/>
  <c r="C54"/>
  <c r="Q54"/>
  <c r="C16" i="36"/>
  <c r="E16" s="1"/>
  <c r="G16"/>
  <c r="W15"/>
  <c r="G15"/>
  <c r="O15"/>
  <c r="F130" i="34"/>
  <c r="H181"/>
  <c r="H180" s="1"/>
  <c r="F180" s="1"/>
  <c r="K77"/>
  <c r="N77" s="1"/>
  <c r="N78"/>
  <c r="C68"/>
  <c r="O68"/>
  <c r="I60"/>
  <c r="L60" s="1"/>
  <c r="M60"/>
  <c r="C60"/>
  <c r="I249" i="43"/>
  <c r="J248"/>
  <c r="F234"/>
  <c r="M234"/>
  <c r="S233"/>
  <c r="N233"/>
  <c r="S232"/>
  <c r="N232"/>
  <c r="S229"/>
  <c r="N229"/>
  <c r="N251" s="1"/>
  <c r="C220"/>
  <c r="Z220" s="1"/>
  <c r="R220"/>
  <c r="C216"/>
  <c r="R216"/>
  <c r="Z124"/>
  <c r="Q124"/>
  <c r="Q110"/>
  <c r="Z110"/>
  <c r="Q92"/>
  <c r="Z92"/>
  <c r="Z91"/>
  <c r="Q91"/>
  <c r="F80"/>
  <c r="M80"/>
  <c r="R80"/>
  <c r="G79"/>
  <c r="M79" s="1"/>
  <c r="Q69"/>
  <c r="Z69"/>
  <c r="Q57"/>
  <c r="Z57"/>
  <c r="Z54"/>
  <c r="Q54"/>
  <c r="Q51"/>
  <c r="Z51"/>
  <c r="F35"/>
  <c r="L35" s="1"/>
  <c r="R35"/>
  <c r="I30"/>
  <c r="L30" s="1"/>
  <c r="M30"/>
  <c r="F25"/>
  <c r="R25"/>
  <c r="Z19"/>
  <c r="S234" i="51"/>
  <c r="AC234"/>
  <c r="Q227"/>
  <c r="AA227"/>
  <c r="Z227"/>
  <c r="Q224"/>
  <c r="AA224"/>
  <c r="Z224"/>
  <c r="Z206"/>
  <c r="AA206"/>
  <c r="Z198"/>
  <c r="AA198"/>
  <c r="AC180"/>
  <c r="S180"/>
  <c r="C179"/>
  <c r="Q179" s="1"/>
  <c r="R179"/>
  <c r="AB179"/>
  <c r="AC165"/>
  <c r="S165"/>
  <c r="R163"/>
  <c r="C163"/>
  <c r="Q163" s="1"/>
  <c r="Q158"/>
  <c r="AA158"/>
  <c r="Q148"/>
  <c r="Z148"/>
  <c r="S134"/>
  <c r="F134"/>
  <c r="AC134"/>
  <c r="Z108"/>
  <c r="Q108"/>
  <c r="AA104"/>
  <c r="Z97"/>
  <c r="M77"/>
  <c r="I77"/>
  <c r="L77" s="1"/>
  <c r="N69"/>
  <c r="AC69"/>
  <c r="H68"/>
  <c r="AC68" s="1"/>
  <c r="S69"/>
  <c r="AC63"/>
  <c r="S63"/>
  <c r="I44"/>
  <c r="L44" s="1"/>
  <c r="K43"/>
  <c r="I43" s="1"/>
  <c r="L43" s="1"/>
  <c r="N44"/>
  <c r="Q35"/>
  <c r="AA35"/>
  <c r="Z35"/>
  <c r="R214" i="52"/>
  <c r="S213"/>
  <c r="R213" s="1"/>
  <c r="R173"/>
  <c r="S167"/>
  <c r="R167" s="1"/>
  <c r="J86"/>
  <c r="M87"/>
  <c r="M86" s="1"/>
  <c r="F81"/>
  <c r="D84"/>
  <c r="J77"/>
  <c r="M77" s="1"/>
  <c r="M76" s="1"/>
  <c r="K76"/>
  <c r="K75" s="1"/>
  <c r="N77"/>
  <c r="N76" s="1"/>
  <c r="N75" s="1"/>
  <c r="K236"/>
  <c r="I139" i="55"/>
  <c r="M139"/>
  <c r="E126"/>
  <c r="C135"/>
  <c r="I113"/>
  <c r="L113" s="1"/>
  <c r="M113"/>
  <c r="M35"/>
  <c r="I35"/>
  <c r="L35" s="1"/>
  <c r="I33"/>
  <c r="L33" s="1"/>
  <c r="M33"/>
  <c r="H119" i="54"/>
  <c r="F120"/>
  <c r="M81"/>
  <c r="I81"/>
  <c r="L81" s="1"/>
  <c r="J51"/>
  <c r="J50" s="1"/>
  <c r="M31"/>
  <c r="I31"/>
  <c r="L31" s="1"/>
  <c r="F153" i="42"/>
  <c r="Q153" s="1"/>
  <c r="C102"/>
  <c r="Z102" s="1"/>
  <c r="I79"/>
  <c r="C79"/>
  <c r="I77"/>
  <c r="C77"/>
  <c r="F60"/>
  <c r="C47"/>
  <c r="L46"/>
  <c r="C44"/>
  <c r="C40"/>
  <c r="Z38"/>
  <c r="I30"/>
  <c r="L30" s="1"/>
  <c r="Z21"/>
  <c r="D253" i="44"/>
  <c r="F247"/>
  <c r="Z247" s="1"/>
  <c r="F245"/>
  <c r="Z245" s="1"/>
  <c r="I242"/>
  <c r="L242" s="1"/>
  <c r="F234"/>
  <c r="AA234" s="1"/>
  <c r="F232"/>
  <c r="Z232" s="1"/>
  <c r="Z219"/>
  <c r="Z215"/>
  <c r="F191"/>
  <c r="AA191" s="1"/>
  <c r="F184"/>
  <c r="Q184" s="1"/>
  <c r="G173"/>
  <c r="C172"/>
  <c r="C171"/>
  <c r="I170"/>
  <c r="R157"/>
  <c r="AB154"/>
  <c r="F154"/>
  <c r="Z154" s="1"/>
  <c r="AA130"/>
  <c r="Z115"/>
  <c r="Z114"/>
  <c r="Q113"/>
  <c r="AA110"/>
  <c r="Q106"/>
  <c r="Q105"/>
  <c r="Z103"/>
  <c r="F100"/>
  <c r="C84"/>
  <c r="E80"/>
  <c r="S80" s="1"/>
  <c r="I76"/>
  <c r="G74"/>
  <c r="Q62"/>
  <c r="Q60"/>
  <c r="S52"/>
  <c r="I52"/>
  <c r="L52" s="1"/>
  <c r="M48"/>
  <c r="I43"/>
  <c r="R39"/>
  <c r="I39"/>
  <c r="L39" s="1"/>
  <c r="Z37"/>
  <c r="S32"/>
  <c r="I32"/>
  <c r="L32" s="1"/>
  <c r="C29"/>
  <c r="Z29" s="1"/>
  <c r="I26"/>
  <c r="L26" s="1"/>
  <c r="I24"/>
  <c r="L24" s="1"/>
  <c r="C21"/>
  <c r="G250" i="45"/>
  <c r="F250" s="1"/>
  <c r="AB240"/>
  <c r="AB238"/>
  <c r="E225"/>
  <c r="E224" s="1"/>
  <c r="Z219"/>
  <c r="S218"/>
  <c r="C218"/>
  <c r="Q218" s="1"/>
  <c r="AA212"/>
  <c r="I206"/>
  <c r="L206" s="1"/>
  <c r="F202"/>
  <c r="AA202" s="1"/>
  <c r="F199"/>
  <c r="AA199" s="1"/>
  <c r="F197"/>
  <c r="Q197" s="1"/>
  <c r="C187"/>
  <c r="R186"/>
  <c r="AB184"/>
  <c r="F184"/>
  <c r="Z184" s="1"/>
  <c r="AB176"/>
  <c r="AB173"/>
  <c r="C173"/>
  <c r="C163"/>
  <c r="R158"/>
  <c r="R157"/>
  <c r="R156"/>
  <c r="AB153"/>
  <c r="F152"/>
  <c r="AA152" s="1"/>
  <c r="N148"/>
  <c r="R101"/>
  <c r="R99"/>
  <c r="C86"/>
  <c r="I82"/>
  <c r="N79"/>
  <c r="F79"/>
  <c r="Q79" s="1"/>
  <c r="C71"/>
  <c r="C63"/>
  <c r="Z60"/>
  <c r="AB57"/>
  <c r="Q56"/>
  <c r="R52"/>
  <c r="Q51"/>
  <c r="Q50"/>
  <c r="Z47"/>
  <c r="R43"/>
  <c r="AA36"/>
  <c r="Z35"/>
  <c r="C34"/>
  <c r="R32"/>
  <c r="Q31"/>
  <c r="Q30"/>
  <c r="R26"/>
  <c r="I24"/>
  <c r="L24" s="1"/>
  <c r="C21"/>
  <c r="Q21" s="1"/>
  <c r="K253" i="47"/>
  <c r="J253"/>
  <c r="D251"/>
  <c r="S249"/>
  <c r="G243"/>
  <c r="R243" s="1"/>
  <c r="M242"/>
  <c r="F238"/>
  <c r="Z238" s="1"/>
  <c r="F236"/>
  <c r="AB234"/>
  <c r="S231"/>
  <c r="AC201"/>
  <c r="F197"/>
  <c r="L197" s="1"/>
  <c r="F189"/>
  <c r="Q178"/>
  <c r="R175"/>
  <c r="C172"/>
  <c r="C162"/>
  <c r="R157"/>
  <c r="F157"/>
  <c r="Z157" s="1"/>
  <c r="F154"/>
  <c r="Z154" s="1"/>
  <c r="R152"/>
  <c r="F152"/>
  <c r="Z152" s="1"/>
  <c r="AB151"/>
  <c r="Z122"/>
  <c r="Z118"/>
  <c r="Q114"/>
  <c r="AA111"/>
  <c r="Z104"/>
  <c r="AC97"/>
  <c r="AB81"/>
  <c r="D71"/>
  <c r="AC69"/>
  <c r="I57"/>
  <c r="L57" s="1"/>
  <c r="AC55"/>
  <c r="F47"/>
  <c r="L47" s="1"/>
  <c r="R46"/>
  <c r="H46"/>
  <c r="Z35"/>
  <c r="F30"/>
  <c r="I27"/>
  <c r="L27" s="1"/>
  <c r="F22"/>
  <c r="Q16"/>
  <c r="C18" i="50"/>
  <c r="D241" i="37"/>
  <c r="P241" s="1"/>
  <c r="O237"/>
  <c r="F224"/>
  <c r="O224" s="1"/>
  <c r="N243"/>
  <c r="M242"/>
  <c r="L242" s="1"/>
  <c r="M212"/>
  <c r="E207"/>
  <c r="O204"/>
  <c r="O192"/>
  <c r="O188"/>
  <c r="C174"/>
  <c r="O174"/>
  <c r="O170"/>
  <c r="O144"/>
  <c r="O140"/>
  <c r="O136"/>
  <c r="O125"/>
  <c r="O109"/>
  <c r="O100"/>
  <c r="O98"/>
  <c r="O96"/>
  <c r="O94"/>
  <c r="O92"/>
  <c r="O83"/>
  <c r="M80"/>
  <c r="Q59"/>
  <c r="O55"/>
  <c r="I50"/>
  <c r="L50" s="1"/>
  <c r="I48"/>
  <c r="L48" s="1"/>
  <c r="O44"/>
  <c r="I41"/>
  <c r="L41"/>
  <c r="O33"/>
  <c r="O30"/>
  <c r="N10" i="36"/>
  <c r="M10"/>
  <c r="C9"/>
  <c r="E9" s="1"/>
  <c r="K180" i="34"/>
  <c r="I180" s="1"/>
  <c r="C156"/>
  <c r="Q119"/>
  <c r="C111"/>
  <c r="F87"/>
  <c r="C70"/>
  <c r="I47"/>
  <c r="L47" s="1"/>
  <c r="I45"/>
  <c r="L45" s="1"/>
  <c r="F41"/>
  <c r="I27"/>
  <c r="L27" s="1"/>
  <c r="I19"/>
  <c r="L19" s="1"/>
  <c r="C239" i="43"/>
  <c r="I237"/>
  <c r="F232"/>
  <c r="Z232" s="1"/>
  <c r="Q232"/>
  <c r="F231"/>
  <c r="Q231" s="1"/>
  <c r="R230"/>
  <c r="Z213"/>
  <c r="Z209"/>
  <c r="E203"/>
  <c r="C204"/>
  <c r="Z204" s="1"/>
  <c r="R197"/>
  <c r="F196"/>
  <c r="L196" s="1"/>
  <c r="F194"/>
  <c r="Z194" s="1"/>
  <c r="R193"/>
  <c r="F192"/>
  <c r="L192" s="1"/>
  <c r="F190"/>
  <c r="Q190" s="1"/>
  <c r="R189"/>
  <c r="F186"/>
  <c r="Q186" s="1"/>
  <c r="F184"/>
  <c r="Z184" s="1"/>
  <c r="R183"/>
  <c r="S181"/>
  <c r="C181"/>
  <c r="R30"/>
  <c r="R246" i="51"/>
  <c r="J245"/>
  <c r="I245" s="1"/>
  <c r="G216"/>
  <c r="AB216" s="1"/>
  <c r="AA194"/>
  <c r="AA176"/>
  <c r="AA143"/>
  <c r="AA105"/>
  <c r="AA94"/>
  <c r="O214" i="52"/>
  <c r="L214"/>
  <c r="L213" s="1"/>
  <c r="L212" s="1"/>
  <c r="J219"/>
  <c r="M219" s="1"/>
  <c r="E116"/>
  <c r="E115" s="1"/>
  <c r="E88" s="1"/>
  <c r="G55"/>
  <c r="N16"/>
  <c r="M120" i="55"/>
  <c r="H15"/>
  <c r="J15"/>
  <c r="I144" i="54"/>
  <c r="L144" s="1"/>
  <c r="S176" i="43"/>
  <c r="N176"/>
  <c r="S161"/>
  <c r="N161"/>
  <c r="F160"/>
  <c r="R160"/>
  <c r="Z95"/>
  <c r="Q95"/>
  <c r="F90"/>
  <c r="R90"/>
  <c r="F78"/>
  <c r="M78"/>
  <c r="R78"/>
  <c r="C251" i="51"/>
  <c r="D249"/>
  <c r="J232"/>
  <c r="M232" s="1"/>
  <c r="I233"/>
  <c r="L233" s="1"/>
  <c r="Q231"/>
  <c r="AA231"/>
  <c r="C216"/>
  <c r="Z212"/>
  <c r="AA212"/>
  <c r="Z210"/>
  <c r="Q210"/>
  <c r="R182"/>
  <c r="H135"/>
  <c r="N135" s="1"/>
  <c r="N181"/>
  <c r="Q153"/>
  <c r="AA153"/>
  <c r="Q150"/>
  <c r="AA150"/>
  <c r="Q139"/>
  <c r="AA139"/>
  <c r="Z101"/>
  <c r="Q101"/>
  <c r="Q100"/>
  <c r="AA100"/>
  <c r="Z84"/>
  <c r="Q84"/>
  <c r="Z83"/>
  <c r="Q83"/>
  <c r="Z82"/>
  <c r="Q82"/>
  <c r="C74"/>
  <c r="Z60"/>
  <c r="Q60"/>
  <c r="C53"/>
  <c r="AC53"/>
  <c r="Z39"/>
  <c r="AA39"/>
  <c r="I35"/>
  <c r="L35"/>
  <c r="N35"/>
  <c r="F28"/>
  <c r="Z28" s="1"/>
  <c r="H27"/>
  <c r="S27" s="1"/>
  <c r="S28"/>
  <c r="AC28"/>
  <c r="D196" i="52"/>
  <c r="E195"/>
  <c r="R147"/>
  <c r="S127"/>
  <c r="S237" s="1"/>
  <c r="K89"/>
  <c r="N90"/>
  <c r="G79"/>
  <c r="U80"/>
  <c r="L76"/>
  <c r="L75" s="1"/>
  <c r="O77"/>
  <c r="O76" s="1"/>
  <c r="O75" s="1"/>
  <c r="L236"/>
  <c r="I127" i="55"/>
  <c r="M127"/>
  <c r="J126"/>
  <c r="J156"/>
  <c r="M156" s="1"/>
  <c r="F119"/>
  <c r="G118"/>
  <c r="F118" s="1"/>
  <c r="C81"/>
  <c r="D80"/>
  <c r="D79" s="1"/>
  <c r="K155" i="54"/>
  <c r="N155" s="1"/>
  <c r="E126"/>
  <c r="E155"/>
  <c r="F81"/>
  <c r="G80"/>
  <c r="G79" s="1"/>
  <c r="G56" s="1"/>
  <c r="G153"/>
  <c r="K57"/>
  <c r="N57" s="1"/>
  <c r="N58"/>
  <c r="F58"/>
  <c r="G57"/>
  <c r="I108" i="34"/>
  <c r="L108" s="1"/>
  <c r="C174" i="43"/>
  <c r="F154"/>
  <c r="C85"/>
  <c r="G77"/>
  <c r="D71"/>
  <c r="C71" s="1"/>
  <c r="F60"/>
  <c r="R60"/>
  <c r="I56"/>
  <c r="L56" s="1"/>
  <c r="S53"/>
  <c r="Z50"/>
  <c r="I40"/>
  <c r="L40" s="1"/>
  <c r="S35"/>
  <c r="C35"/>
  <c r="I33"/>
  <c r="L33" s="1"/>
  <c r="S25"/>
  <c r="C25"/>
  <c r="S22"/>
  <c r="C22"/>
  <c r="S250" i="51"/>
  <c r="E249"/>
  <c r="Z233"/>
  <c r="L226"/>
  <c r="E215"/>
  <c r="L192"/>
  <c r="C180"/>
  <c r="Z180" s="1"/>
  <c r="AA134"/>
  <c r="F131"/>
  <c r="Z100"/>
  <c r="L99"/>
  <c r="F73"/>
  <c r="AA73" s="1"/>
  <c r="I63"/>
  <c r="U231" i="52"/>
  <c r="J225"/>
  <c r="M225" s="1"/>
  <c r="E214"/>
  <c r="D214" s="1"/>
  <c r="J217"/>
  <c r="J215"/>
  <c r="M215" s="1"/>
  <c r="H206"/>
  <c r="H195" s="1"/>
  <c r="U197"/>
  <c r="H192"/>
  <c r="G176"/>
  <c r="G169"/>
  <c r="U153"/>
  <c r="U146"/>
  <c r="N127"/>
  <c r="E237"/>
  <c r="U91"/>
  <c r="G86"/>
  <c r="G81" s="1"/>
  <c r="E81"/>
  <c r="U65"/>
  <c r="D55"/>
  <c r="D39"/>
  <c r="U39" s="1"/>
  <c r="J31"/>
  <c r="M31" s="1"/>
  <c r="R23"/>
  <c r="I15"/>
  <c r="I154" i="55"/>
  <c r="L154" s="1"/>
  <c r="C146"/>
  <c r="F123"/>
  <c r="Q110"/>
  <c r="Q106"/>
  <c r="Q101"/>
  <c r="Q97"/>
  <c r="Q93"/>
  <c r="I58"/>
  <c r="L58" s="1"/>
  <c r="C54"/>
  <c r="E50"/>
  <c r="F45"/>
  <c r="Q43"/>
  <c r="I39"/>
  <c r="L39" s="1"/>
  <c r="Q36"/>
  <c r="Q30"/>
  <c r="F25"/>
  <c r="I23"/>
  <c r="L23" s="1"/>
  <c r="I19"/>
  <c r="L19" s="1"/>
  <c r="C19"/>
  <c r="C144" i="54"/>
  <c r="C139"/>
  <c r="F135"/>
  <c r="I127"/>
  <c r="I123"/>
  <c r="L123" s="1"/>
  <c r="T121"/>
  <c r="Q110"/>
  <c r="T92"/>
  <c r="T90"/>
  <c r="I88"/>
  <c r="L88" s="1"/>
  <c r="C86"/>
  <c r="Q84"/>
  <c r="E80"/>
  <c r="E79" s="1"/>
  <c r="E56" s="1"/>
  <c r="I58"/>
  <c r="L58" s="1"/>
  <c r="I21"/>
  <c r="L21" s="1"/>
  <c r="I16"/>
  <c r="L16"/>
  <c r="I120"/>
  <c r="L120" s="1"/>
  <c r="T65"/>
  <c r="T42"/>
  <c r="T38"/>
  <c r="I37"/>
  <c r="L37" s="1"/>
  <c r="I29"/>
  <c r="L29" s="1"/>
  <c r="T17"/>
  <c r="AA164" i="58"/>
  <c r="J318" i="57"/>
  <c r="M318" s="1"/>
  <c r="G206"/>
  <c r="X206" s="1"/>
  <c r="G207"/>
  <c r="F328"/>
  <c r="F325" s="1"/>
  <c r="Y106" i="58"/>
  <c r="L339" i="57"/>
  <c r="J94"/>
  <c r="M94" s="1"/>
  <c r="H16" i="28"/>
  <c r="I78"/>
  <c r="I67"/>
  <c r="N38"/>
  <c r="N20"/>
  <c r="E191" i="52"/>
  <c r="X191" s="1"/>
  <c r="AC27" i="51"/>
  <c r="AA179"/>
  <c r="N162" i="47"/>
  <c r="L232" i="45"/>
  <c r="AA155" i="44"/>
  <c r="H234" i="52"/>
  <c r="Z191" i="43"/>
  <c r="Q137" i="44"/>
  <c r="N79" i="42"/>
  <c r="Q161"/>
  <c r="K16" i="22"/>
  <c r="K59" i="20"/>
  <c r="N59" s="1"/>
  <c r="Z152" i="45"/>
  <c r="R174" i="42"/>
  <c r="AA28" i="51"/>
  <c r="M15" i="55"/>
  <c r="AA152" i="47"/>
  <c r="AA79" i="45"/>
  <c r="F181" i="34"/>
  <c r="AA154" i="45"/>
  <c r="Z155" i="43"/>
  <c r="AA52" i="51"/>
  <c r="F70"/>
  <c r="AA173"/>
  <c r="Q235" i="43"/>
  <c r="Z88" i="47"/>
  <c r="Z29" i="45"/>
  <c r="N78"/>
  <c r="S78"/>
  <c r="AA134"/>
  <c r="L232" i="43"/>
  <c r="F193" i="47"/>
  <c r="Q193" s="1"/>
  <c r="G80" i="57"/>
  <c r="G316"/>
  <c r="X316" s="1"/>
  <c r="D314"/>
  <c r="U180"/>
  <c r="R62"/>
  <c r="R59"/>
  <c r="D209"/>
  <c r="D197"/>
  <c r="D199"/>
  <c r="D104"/>
  <c r="K210"/>
  <c r="N210" s="1"/>
  <c r="U314"/>
  <c r="J314"/>
  <c r="M314" s="1"/>
  <c r="U275"/>
  <c r="D247"/>
  <c r="U81"/>
  <c r="U62"/>
  <c r="U56"/>
  <c r="R292"/>
  <c r="U278"/>
  <c r="R314"/>
  <c r="U312"/>
  <c r="J310"/>
  <c r="M310" s="1"/>
  <c r="R308"/>
  <c r="R299"/>
  <c r="D18"/>
  <c r="G314"/>
  <c r="G95"/>
  <c r="R316"/>
  <c r="E73"/>
  <c r="E15" s="1"/>
  <c r="R56"/>
  <c r="R33"/>
  <c r="U154"/>
  <c r="G308"/>
  <c r="J95"/>
  <c r="R318"/>
  <c r="U290"/>
  <c r="D227"/>
  <c r="X227" s="1"/>
  <c r="R20"/>
  <c r="D180"/>
  <c r="R108"/>
  <c r="G29"/>
  <c r="U308"/>
  <c r="R290"/>
  <c r="J85"/>
  <c r="M85" s="1"/>
  <c r="D83"/>
  <c r="D74"/>
  <c r="X74" s="1"/>
  <c r="D56"/>
  <c r="U54"/>
  <c r="U48"/>
  <c r="U29"/>
  <c r="U16"/>
  <c r="I307"/>
  <c r="G85"/>
  <c r="G247"/>
  <c r="J190"/>
  <c r="M190" s="1"/>
  <c r="D321"/>
  <c r="X321" s="1"/>
  <c r="R278"/>
  <c r="R247"/>
  <c r="R182"/>
  <c r="J97"/>
  <c r="M97" s="1"/>
  <c r="D85"/>
  <c r="T73"/>
  <c r="T15" s="1"/>
  <c r="U68"/>
  <c r="R48"/>
  <c r="D33"/>
  <c r="U31"/>
  <c r="U27"/>
  <c r="G292"/>
  <c r="G38"/>
  <c r="G45"/>
  <c r="X45" s="1"/>
  <c r="G81"/>
  <c r="D95"/>
  <c r="R176"/>
  <c r="Q165" s="1"/>
  <c r="U105"/>
  <c r="D100"/>
  <c r="U89"/>
  <c r="G275"/>
  <c r="F320"/>
  <c r="D320" s="1"/>
  <c r="D290"/>
  <c r="X290" s="1"/>
  <c r="T257"/>
  <c r="T256" s="1"/>
  <c r="D271"/>
  <c r="X271" s="1"/>
  <c r="U258"/>
  <c r="U247"/>
  <c r="D230"/>
  <c r="X230" s="1"/>
  <c r="G18"/>
  <c r="G33"/>
  <c r="M33" s="1"/>
  <c r="G54"/>
  <c r="G273"/>
  <c r="J230"/>
  <c r="M230" s="1"/>
  <c r="U176"/>
  <c r="R81"/>
  <c r="W73"/>
  <c r="W15" s="1"/>
  <c r="R40"/>
  <c r="R321"/>
  <c r="U318"/>
  <c r="D318"/>
  <c r="X318" s="1"/>
  <c r="U316"/>
  <c r="U292"/>
  <c r="R275"/>
  <c r="U249"/>
  <c r="R180"/>
  <c r="R112"/>
  <c r="P79"/>
  <c r="V73"/>
  <c r="V15" s="1"/>
  <c r="R31"/>
  <c r="U23"/>
  <c r="U18"/>
  <c r="G269"/>
  <c r="X269" s="1"/>
  <c r="G310"/>
  <c r="G59"/>
  <c r="G182"/>
  <c r="T110"/>
  <c r="T93" s="1"/>
  <c r="P93"/>
  <c r="P73" s="1"/>
  <c r="R89"/>
  <c r="Q79"/>
  <c r="D59"/>
  <c r="D54"/>
  <c r="H257"/>
  <c r="G94"/>
  <c r="J316"/>
  <c r="M316" s="1"/>
  <c r="K307"/>
  <c r="J312"/>
  <c r="M312" s="1"/>
  <c r="R282"/>
  <c r="T281"/>
  <c r="T277" s="1"/>
  <c r="D115"/>
  <c r="X115" s="1"/>
  <c r="E114"/>
  <c r="D114" s="1"/>
  <c r="K110"/>
  <c r="N110" s="1"/>
  <c r="J112"/>
  <c r="M112" s="1"/>
  <c r="R105"/>
  <c r="S104"/>
  <c r="R104" s="1"/>
  <c r="S80"/>
  <c r="S79" s="1"/>
  <c r="U282"/>
  <c r="V281"/>
  <c r="U281" s="1"/>
  <c r="V114"/>
  <c r="U114" s="1"/>
  <c r="U115"/>
  <c r="E110"/>
  <c r="D112"/>
  <c r="T80"/>
  <c r="T79" s="1"/>
  <c r="R83"/>
  <c r="J83"/>
  <c r="M83" s="1"/>
  <c r="K257"/>
  <c r="D249"/>
  <c r="U108"/>
  <c r="V256"/>
  <c r="L257"/>
  <c r="J269"/>
  <c r="M269" s="1"/>
  <c r="J180"/>
  <c r="L80"/>
  <c r="V165"/>
  <c r="V164" s="1"/>
  <c r="P154"/>
  <c r="R312"/>
  <c r="S307"/>
  <c r="S306" s="1"/>
  <c r="D292"/>
  <c r="S257"/>
  <c r="S256" s="1"/>
  <c r="R271"/>
  <c r="R97"/>
  <c r="S96"/>
  <c r="K96"/>
  <c r="U83"/>
  <c r="W80"/>
  <c r="W79" s="1"/>
  <c r="T320"/>
  <c r="W307"/>
  <c r="W306" s="1"/>
  <c r="W305" s="1"/>
  <c r="R310"/>
  <c r="R295"/>
  <c r="U224"/>
  <c r="U184" s="1"/>
  <c r="P165"/>
  <c r="J212"/>
  <c r="M212" s="1"/>
  <c r="J170"/>
  <c r="L210"/>
  <c r="O210"/>
  <c r="D87"/>
  <c r="D335"/>
  <c r="A194"/>
  <c r="A195" s="1"/>
  <c r="A196" s="1"/>
  <c r="A197" s="1"/>
  <c r="A198" s="1"/>
  <c r="A199" s="1"/>
  <c r="A218"/>
  <c r="A221" s="1"/>
  <c r="A222" s="1"/>
  <c r="A223" s="1"/>
  <c r="A224" s="1"/>
  <c r="A227" s="1"/>
  <c r="A230" s="1"/>
  <c r="A233" s="1"/>
  <c r="A236" s="1"/>
  <c r="A237" s="1"/>
  <c r="A238" s="1"/>
  <c r="A241" s="1"/>
  <c r="A244" s="1"/>
  <c r="A246" s="1"/>
  <c r="A248" s="1"/>
  <c r="A250" s="1"/>
  <c r="A251" s="1"/>
  <c r="A252" s="1"/>
  <c r="J233"/>
  <c r="T165"/>
  <c r="T164" s="1"/>
  <c r="R164" s="1"/>
  <c r="J168"/>
  <c r="M168" s="1"/>
  <c r="D168"/>
  <c r="F93"/>
  <c r="A177"/>
  <c r="A178" s="1"/>
  <c r="A179" s="1"/>
  <c r="A181"/>
  <c r="E307"/>
  <c r="E306" s="1"/>
  <c r="E305" s="1"/>
  <c r="L307"/>
  <c r="O307" s="1"/>
  <c r="D295"/>
  <c r="J249"/>
  <c r="S118"/>
  <c r="S117" s="1"/>
  <c r="H118"/>
  <c r="J154"/>
  <c r="U119"/>
  <c r="J119"/>
  <c r="R119"/>
  <c r="K118"/>
  <c r="N118" s="1"/>
  <c r="E118"/>
  <c r="T118"/>
  <c r="R118" s="1"/>
  <c r="J40"/>
  <c r="M40" s="1"/>
  <c r="AA145" i="47"/>
  <c r="Z92"/>
  <c r="AA92"/>
  <c r="L86" i="44"/>
  <c r="F73" i="43"/>
  <c r="Q73" s="1"/>
  <c r="H71"/>
  <c r="Q234" i="42"/>
  <c r="Z234"/>
  <c r="F19" i="32"/>
  <c r="Q234" i="33"/>
  <c r="D234"/>
  <c r="D232"/>
  <c r="E217"/>
  <c r="Q232"/>
  <c r="Q224"/>
  <c r="G224"/>
  <c r="P224" s="1"/>
  <c r="O210"/>
  <c r="L207"/>
  <c r="O207" s="1"/>
  <c r="P103"/>
  <c r="D152" i="38"/>
  <c r="P152" s="1"/>
  <c r="F254"/>
  <c r="F253" s="1"/>
  <c r="R152"/>
  <c r="G72"/>
  <c r="G34"/>
  <c r="C201" i="40"/>
  <c r="D144"/>
  <c r="S228" i="41"/>
  <c r="F228"/>
  <c r="N228"/>
  <c r="F223" i="44"/>
  <c r="Z223" s="1"/>
  <c r="H222"/>
  <c r="AB223"/>
  <c r="Z207"/>
  <c r="AA207"/>
  <c r="S179"/>
  <c r="AB179"/>
  <c r="F179"/>
  <c r="Q179" s="1"/>
  <c r="I254"/>
  <c r="R148"/>
  <c r="F134"/>
  <c r="AA134" s="1"/>
  <c r="AB134"/>
  <c r="S134"/>
  <c r="I46"/>
  <c r="L46" s="1"/>
  <c r="M46"/>
  <c r="Z41"/>
  <c r="AA41"/>
  <c r="Q137" i="43"/>
  <c r="Z137"/>
  <c r="E239" i="51"/>
  <c r="AC240"/>
  <c r="C240"/>
  <c r="Q240" s="1"/>
  <c r="S240"/>
  <c r="K219"/>
  <c r="N221"/>
  <c r="L186"/>
  <c r="Q196" i="43"/>
  <c r="G223" i="42"/>
  <c r="G222" s="1"/>
  <c r="I223" i="43"/>
  <c r="Q195" i="51"/>
  <c r="AA90"/>
  <c r="F80" i="44"/>
  <c r="L80" s="1"/>
  <c r="N80"/>
  <c r="AC170" i="47"/>
  <c r="M242" i="44"/>
  <c r="R242"/>
  <c r="Z124" i="47"/>
  <c r="AA191"/>
  <c r="Q191"/>
  <c r="R239" i="42"/>
  <c r="Z184" i="47"/>
  <c r="E29" i="59"/>
  <c r="D30"/>
  <c r="D18" i="9"/>
  <c r="D13" s="1"/>
  <c r="D38"/>
  <c r="F33"/>
  <c r="G60" i="20"/>
  <c r="G59" s="1"/>
  <c r="F65"/>
  <c r="H60"/>
  <c r="F61"/>
  <c r="H74"/>
  <c r="H15"/>
  <c r="C79" i="24"/>
  <c r="K41" i="25"/>
  <c r="N42"/>
  <c r="I42"/>
  <c r="G16"/>
  <c r="O161" i="31"/>
  <c r="N36"/>
  <c r="N87" i="33"/>
  <c r="J87"/>
  <c r="M87" s="1"/>
  <c r="R73" i="57"/>
  <c r="AA166" i="51"/>
  <c r="AC193" i="47"/>
  <c r="F148" i="44"/>
  <c r="Q148" s="1"/>
  <c r="G201" i="40"/>
  <c r="AA167" i="44"/>
  <c r="J240" i="37"/>
  <c r="C178" i="44"/>
  <c r="R100" i="43"/>
  <c r="N182" i="32"/>
  <c r="L182" s="1"/>
  <c r="AB202" i="47"/>
  <c r="Q119" i="51"/>
  <c r="Z119"/>
  <c r="G224" i="47"/>
  <c r="Q133" i="45"/>
  <c r="Z133"/>
  <c r="R182" i="42"/>
  <c r="R170" i="44"/>
  <c r="F170"/>
  <c r="F68" i="26"/>
  <c r="G68" s="1"/>
  <c r="F69"/>
  <c r="G72"/>
  <c r="F64"/>
  <c r="G64" s="1"/>
  <c r="R102" i="33"/>
  <c r="D102"/>
  <c r="I207" i="38"/>
  <c r="G225"/>
  <c r="Q172"/>
  <c r="D101"/>
  <c r="Q101"/>
  <c r="F218" i="44"/>
  <c r="R218"/>
  <c r="G205"/>
  <c r="F197"/>
  <c r="AB197"/>
  <c r="S197"/>
  <c r="AA125"/>
  <c r="Z125"/>
  <c r="AA54"/>
  <c r="Q54"/>
  <c r="Z111" i="43"/>
  <c r="Q111"/>
  <c r="M190" i="51"/>
  <c r="J135"/>
  <c r="Z197" i="45"/>
  <c r="G249" i="51"/>
  <c r="AB249" s="1"/>
  <c r="L73" i="43"/>
  <c r="AA126" i="47"/>
  <c r="F187"/>
  <c r="F173" i="42"/>
  <c r="R173"/>
  <c r="R84" i="38"/>
  <c r="R175" i="45"/>
  <c r="F175"/>
  <c r="M175"/>
  <c r="Q243" i="40"/>
  <c r="L243"/>
  <c r="R164"/>
  <c r="F164"/>
  <c r="F35" i="10"/>
  <c r="E34"/>
  <c r="L46" i="20"/>
  <c r="C160" i="32"/>
  <c r="D159"/>
  <c r="G75" i="33"/>
  <c r="C162" i="41"/>
  <c r="Q162" s="1"/>
  <c r="R162"/>
  <c r="R159"/>
  <c r="C159"/>
  <c r="Q159" s="1"/>
  <c r="S150" i="40"/>
  <c r="F202" i="47"/>
  <c r="Z202" i="45"/>
  <c r="Q63" i="43"/>
  <c r="Z142"/>
  <c r="Z98"/>
  <c r="Z31"/>
  <c r="I30" i="28"/>
  <c r="Q92" i="47"/>
  <c r="M170" i="44"/>
  <c r="F100" i="43"/>
  <c r="Q131" i="45"/>
  <c r="Z131"/>
  <c r="G49" i="55"/>
  <c r="G14" s="1"/>
  <c r="F180" i="47"/>
  <c r="N178" i="44"/>
  <c r="F178"/>
  <c r="L178" s="1"/>
  <c r="R83" i="41"/>
  <c r="T102" i="58"/>
  <c r="H253" i="38"/>
  <c r="R238"/>
  <c r="G238"/>
  <c r="J229"/>
  <c r="R189"/>
  <c r="D189"/>
  <c r="P189"/>
  <c r="H178" i="40"/>
  <c r="N178" s="1"/>
  <c r="C178"/>
  <c r="R171"/>
  <c r="F171"/>
  <c r="Q171" s="1"/>
  <c r="C85" i="42"/>
  <c r="D225" i="44"/>
  <c r="D224" s="1"/>
  <c r="D204" s="1"/>
  <c r="C229"/>
  <c r="J88"/>
  <c r="I144"/>
  <c r="F43"/>
  <c r="Z43" s="1"/>
  <c r="AB43"/>
  <c r="M62" i="43"/>
  <c r="I62"/>
  <c r="L62" s="1"/>
  <c r="J17"/>
  <c r="J16" s="1"/>
  <c r="S27"/>
  <c r="C27"/>
  <c r="I247" i="51"/>
  <c r="M247"/>
  <c r="Z225"/>
  <c r="AA225"/>
  <c r="G215"/>
  <c r="G214" s="1"/>
  <c r="Z184" i="44"/>
  <c r="S239" i="43"/>
  <c r="J15" i="59"/>
  <c r="M15" s="1"/>
  <c r="M19"/>
  <c r="M71" i="43"/>
  <c r="M248" s="1"/>
  <c r="G142" i="54"/>
  <c r="G141" s="1"/>
  <c r="D195" i="52"/>
  <c r="F191"/>
  <c r="Y191" s="1"/>
  <c r="M178" i="43"/>
  <c r="R178"/>
  <c r="Q199"/>
  <c r="Z199"/>
  <c r="R167" i="45"/>
  <c r="M177"/>
  <c r="R84" i="44"/>
  <c r="G82"/>
  <c r="M82" s="1"/>
  <c r="F84"/>
  <c r="AC37" i="47"/>
  <c r="AA176" i="44"/>
  <c r="L176"/>
  <c r="Q176"/>
  <c r="C57" i="54"/>
  <c r="AB164" i="47"/>
  <c r="F164"/>
  <c r="R164"/>
  <c r="N203" i="45"/>
  <c r="S203"/>
  <c r="D116" i="26"/>
  <c r="R187" i="40"/>
  <c r="F187"/>
  <c r="L187" s="1"/>
  <c r="D78" i="11"/>
  <c r="E78" s="1"/>
  <c r="E79"/>
  <c r="E130" i="26"/>
  <c r="Q133"/>
  <c r="G30" i="20"/>
  <c r="F33"/>
  <c r="M30" i="22"/>
  <c r="I30"/>
  <c r="M80" i="28"/>
  <c r="L80" s="1"/>
  <c r="F80"/>
  <c r="F75"/>
  <c r="G74"/>
  <c r="F74" s="1"/>
  <c r="M38"/>
  <c r="L38" s="1"/>
  <c r="F86" i="32"/>
  <c r="N66"/>
  <c r="I66"/>
  <c r="L66" s="1"/>
  <c r="I63"/>
  <c r="L63" s="1"/>
  <c r="N63"/>
  <c r="M49"/>
  <c r="I49"/>
  <c r="L49" s="1"/>
  <c r="N32"/>
  <c r="I32"/>
  <c r="L32" s="1"/>
  <c r="N65" i="33"/>
  <c r="N63"/>
  <c r="Q54"/>
  <c r="D54"/>
  <c r="C60" i="41"/>
  <c r="S56"/>
  <c r="C56"/>
  <c r="R49"/>
  <c r="F49"/>
  <c r="F40"/>
  <c r="N33"/>
  <c r="I33"/>
  <c r="L33" s="1"/>
  <c r="R250" i="42"/>
  <c r="C250"/>
  <c r="C216"/>
  <c r="R216"/>
  <c r="J210" i="57"/>
  <c r="M210" s="1"/>
  <c r="U165"/>
  <c r="Z193" i="42"/>
  <c r="L234"/>
  <c r="AA119" i="51"/>
  <c r="I190"/>
  <c r="L190" s="1"/>
  <c r="AA133" i="45"/>
  <c r="Q125" i="44"/>
  <c r="Z133" i="47"/>
  <c r="Q133"/>
  <c r="AB200" i="45"/>
  <c r="K29" i="59"/>
  <c r="K136" s="1"/>
  <c r="N34"/>
  <c r="G140" i="58"/>
  <c r="J140" s="1"/>
  <c r="F54" i="8"/>
  <c r="C13"/>
  <c r="C53"/>
  <c r="E39" i="11"/>
  <c r="E104" i="26"/>
  <c r="D89" i="24"/>
  <c r="D27"/>
  <c r="D26" s="1"/>
  <c r="M37" i="25"/>
  <c r="I157" i="31"/>
  <c r="N157"/>
  <c r="O46"/>
  <c r="O32"/>
  <c r="G25"/>
  <c r="M23"/>
  <c r="I23"/>
  <c r="F113" i="32"/>
  <c r="K77"/>
  <c r="N77" s="1"/>
  <c r="N232" i="33"/>
  <c r="Q101"/>
  <c r="G101"/>
  <c r="Q84"/>
  <c r="G84"/>
  <c r="D61"/>
  <c r="G50"/>
  <c r="R50"/>
  <c r="J41"/>
  <c r="M41" s="1"/>
  <c r="O41"/>
  <c r="R36"/>
  <c r="G36"/>
  <c r="L228" i="38"/>
  <c r="L227" s="1"/>
  <c r="O243"/>
  <c r="K207"/>
  <c r="N207" s="1"/>
  <c r="J208"/>
  <c r="M208" s="1"/>
  <c r="D208"/>
  <c r="P208" s="1"/>
  <c r="Q208"/>
  <c r="D205"/>
  <c r="P205" s="1"/>
  <c r="Q205"/>
  <c r="I145"/>
  <c r="O145" s="1"/>
  <c r="I254"/>
  <c r="I253" s="1"/>
  <c r="G176"/>
  <c r="M176" s="1"/>
  <c r="D76"/>
  <c r="P76" s="1"/>
  <c r="R76"/>
  <c r="R65"/>
  <c r="G65"/>
  <c r="D61"/>
  <c r="R61"/>
  <c r="S64" i="40"/>
  <c r="C64"/>
  <c r="S60"/>
  <c r="F60"/>
  <c r="M56"/>
  <c r="I56"/>
  <c r="L56" s="1"/>
  <c r="R40"/>
  <c r="N214" i="41"/>
  <c r="K199"/>
  <c r="I199" s="1"/>
  <c r="L199" s="1"/>
  <c r="G199"/>
  <c r="F200"/>
  <c r="S173"/>
  <c r="C173"/>
  <c r="Q173" s="1"/>
  <c r="C245" i="42"/>
  <c r="Z245" s="1"/>
  <c r="S245"/>
  <c r="N187"/>
  <c r="F187"/>
  <c r="S183"/>
  <c r="F183"/>
  <c r="Z67"/>
  <c r="Q67"/>
  <c r="G165" i="45"/>
  <c r="N73" i="47"/>
  <c r="R87" i="42"/>
  <c r="R76"/>
  <c r="Z76" i="51"/>
  <c r="R64"/>
  <c r="C246" i="43"/>
  <c r="C33" i="40"/>
  <c r="F170" i="47"/>
  <c r="Q27" i="45"/>
  <c r="C66" i="32"/>
  <c r="G243" i="38"/>
  <c r="I18" i="59"/>
  <c r="D164" i="58"/>
  <c r="X73"/>
  <c r="X72" s="1"/>
  <c r="E71" i="9"/>
  <c r="E72" i="10"/>
  <c r="F72" s="1"/>
  <c r="D72" i="33"/>
  <c r="N34"/>
  <c r="P204" i="38"/>
  <c r="K71"/>
  <c r="H199" i="41"/>
  <c r="J243"/>
  <c r="K15" i="59"/>
  <c r="N15" s="1"/>
  <c r="N19"/>
  <c r="J30"/>
  <c r="M30" s="1"/>
  <c r="O30"/>
  <c r="I164" i="58"/>
  <c r="L182"/>
  <c r="E100" i="8"/>
  <c r="E99" s="1"/>
  <c r="E115" i="9"/>
  <c r="F120"/>
  <c r="F79"/>
  <c r="E54"/>
  <c r="F56"/>
  <c r="F41"/>
  <c r="C38"/>
  <c r="F38" s="1"/>
  <c r="D102" i="26"/>
  <c r="Q81"/>
  <c r="E79"/>
  <c r="E77" s="1"/>
  <c r="E68" s="1"/>
  <c r="D63"/>
  <c r="D69"/>
  <c r="N61" i="20"/>
  <c r="I61"/>
  <c r="L61" s="1"/>
  <c r="F70" i="25"/>
  <c r="M70"/>
  <c r="M15" i="31"/>
  <c r="I175" i="32"/>
  <c r="L175" s="1"/>
  <c r="F72"/>
  <c r="G59"/>
  <c r="R239" i="33"/>
  <c r="G222"/>
  <c r="P222" s="1"/>
  <c r="Q222"/>
  <c r="E145"/>
  <c r="D181"/>
  <c r="R80"/>
  <c r="D80"/>
  <c r="J61"/>
  <c r="M61" s="1"/>
  <c r="O61"/>
  <c r="J59"/>
  <c r="M59" s="1"/>
  <c r="O59"/>
  <c r="J54"/>
  <c r="M54" s="1"/>
  <c r="O54"/>
  <c r="D50"/>
  <c r="J45"/>
  <c r="M45" s="1"/>
  <c r="N45"/>
  <c r="J22"/>
  <c r="M22" s="1"/>
  <c r="O22"/>
  <c r="O231" i="38"/>
  <c r="I229"/>
  <c r="Q182"/>
  <c r="H145"/>
  <c r="N145" s="1"/>
  <c r="G182"/>
  <c r="P182" s="1"/>
  <c r="L90"/>
  <c r="G102"/>
  <c r="J87"/>
  <c r="M87" s="1"/>
  <c r="O87"/>
  <c r="D59"/>
  <c r="R59"/>
  <c r="C245" i="40"/>
  <c r="R162"/>
  <c r="F162"/>
  <c r="I25"/>
  <c r="L25" s="1"/>
  <c r="M25"/>
  <c r="I83" i="41"/>
  <c r="I81"/>
  <c r="M81"/>
  <c r="G175" i="42"/>
  <c r="H165"/>
  <c r="F165" s="1"/>
  <c r="Z57"/>
  <c r="Q57"/>
  <c r="F236" i="45"/>
  <c r="Q236" s="1"/>
  <c r="F183" i="47"/>
  <c r="Z183" s="1"/>
  <c r="AB183"/>
  <c r="R183"/>
  <c r="D56" i="26"/>
  <c r="Q180" i="42"/>
  <c r="S187" i="47"/>
  <c r="Q226" i="42"/>
  <c r="L226"/>
  <c r="N139" i="59"/>
  <c r="J139"/>
  <c r="M139" s="1"/>
  <c r="M149" i="58"/>
  <c r="E77" i="8"/>
  <c r="F85"/>
  <c r="F70"/>
  <c r="E65"/>
  <c r="Q55" i="26"/>
  <c r="E52"/>
  <c r="Q52" s="1"/>
  <c r="C57" i="20"/>
  <c r="P57"/>
  <c r="K30"/>
  <c r="N30" s="1"/>
  <c r="N33"/>
  <c r="M22"/>
  <c r="M74" s="1"/>
  <c r="J74"/>
  <c r="J15"/>
  <c r="M15"/>
  <c r="C34" i="24"/>
  <c r="D36"/>
  <c r="D34" s="1"/>
  <c r="F36"/>
  <c r="F60" i="31"/>
  <c r="I34"/>
  <c r="N34"/>
  <c r="K25"/>
  <c r="C26"/>
  <c r="E25"/>
  <c r="E162" s="1"/>
  <c r="I182" i="32"/>
  <c r="K180"/>
  <c r="I180" s="1"/>
  <c r="P104" i="33"/>
  <c r="M104"/>
  <c r="D78"/>
  <c r="R28"/>
  <c r="D28"/>
  <c r="G101" i="38"/>
  <c r="R101"/>
  <c r="J57"/>
  <c r="M57" s="1"/>
  <c r="N57"/>
  <c r="F235" i="40"/>
  <c r="Q235" s="1"/>
  <c r="R235"/>
  <c r="N234"/>
  <c r="F234"/>
  <c r="M233"/>
  <c r="G224"/>
  <c r="R233"/>
  <c r="K89"/>
  <c r="I144"/>
  <c r="S82"/>
  <c r="H81"/>
  <c r="S81" s="1"/>
  <c r="H75"/>
  <c r="S75" s="1"/>
  <c r="F246" i="41"/>
  <c r="S246"/>
  <c r="E170"/>
  <c r="S170" s="1"/>
  <c r="S167"/>
  <c r="F227" i="42"/>
  <c r="L227" s="1"/>
  <c r="M227"/>
  <c r="R227"/>
  <c r="R150"/>
  <c r="S139"/>
  <c r="F139"/>
  <c r="E246"/>
  <c r="S198" i="45"/>
  <c r="F198"/>
  <c r="L198" s="1"/>
  <c r="AB195"/>
  <c r="F195"/>
  <c r="AB188" i="47"/>
  <c r="F200" i="44"/>
  <c r="R84" i="33"/>
  <c r="N93" i="51"/>
  <c r="AC173" i="47"/>
  <c r="R188"/>
  <c r="F220" i="42"/>
  <c r="S163" i="47"/>
  <c r="C22" i="40"/>
  <c r="Q181" i="33"/>
  <c r="F26" i="31"/>
  <c r="E18" i="9"/>
  <c r="F236" i="40"/>
  <c r="Q236" s="1"/>
  <c r="J145" i="38"/>
  <c r="E59" i="26"/>
  <c r="Q59" s="1"/>
  <c r="F182" i="40"/>
  <c r="H69" i="22"/>
  <c r="L67"/>
  <c r="P121" i="33"/>
  <c r="L90"/>
  <c r="L89" s="1"/>
  <c r="P191" i="38"/>
  <c r="R226" i="40"/>
  <c r="M226"/>
  <c r="H165"/>
  <c r="S147"/>
  <c r="F147"/>
  <c r="Q147" s="1"/>
  <c r="H85"/>
  <c r="R58"/>
  <c r="C25"/>
  <c r="S25"/>
  <c r="F189" i="42"/>
  <c r="Q189" s="1"/>
  <c r="R189"/>
  <c r="G172"/>
  <c r="C172"/>
  <c r="H170"/>
  <c r="H168"/>
  <c r="S168" s="1"/>
  <c r="F157"/>
  <c r="Q157" s="1"/>
  <c r="S157"/>
  <c r="Q122"/>
  <c r="Z122"/>
  <c r="Z98"/>
  <c r="Q98"/>
  <c r="H87"/>
  <c r="F87" s="1"/>
  <c r="E86"/>
  <c r="C86" s="1"/>
  <c r="Z51"/>
  <c r="Q51"/>
  <c r="S190" i="44"/>
  <c r="AB190"/>
  <c r="AB185"/>
  <c r="S185"/>
  <c r="Z121"/>
  <c r="Q121"/>
  <c r="AA121"/>
  <c r="H98"/>
  <c r="F98" s="1"/>
  <c r="E255"/>
  <c r="C255" s="1"/>
  <c r="C98"/>
  <c r="F89"/>
  <c r="Q89" s="1"/>
  <c r="R89"/>
  <c r="AB233" i="47"/>
  <c r="R233"/>
  <c r="G172"/>
  <c r="M172" s="1"/>
  <c r="S146"/>
  <c r="F146"/>
  <c r="Q146" s="1"/>
  <c r="AC146"/>
  <c r="AA113"/>
  <c r="Z113"/>
  <c r="Q113"/>
  <c r="J79" i="52"/>
  <c r="M80"/>
  <c r="M79" s="1"/>
  <c r="M57"/>
  <c r="M55" s="1"/>
  <c r="J55"/>
  <c r="I33" i="20"/>
  <c r="L33" s="1"/>
  <c r="F34" i="28"/>
  <c r="G66" i="58"/>
  <c r="G86"/>
  <c r="F22" i="20"/>
  <c r="M22" i="22"/>
  <c r="L55" i="28"/>
  <c r="N32"/>
  <c r="L29"/>
  <c r="D37" i="24"/>
  <c r="F74" i="25"/>
  <c r="F157" i="31"/>
  <c r="L125"/>
  <c r="L85"/>
  <c r="K67"/>
  <c r="L20"/>
  <c r="I173" i="32"/>
  <c r="L173" s="1"/>
  <c r="F173"/>
  <c r="C146"/>
  <c r="F140"/>
  <c r="F134"/>
  <c r="Q133"/>
  <c r="Q129"/>
  <c r="Q118"/>
  <c r="F111"/>
  <c r="F53"/>
  <c r="N47"/>
  <c r="I45"/>
  <c r="L45" s="1"/>
  <c r="F43"/>
  <c r="F36"/>
  <c r="N21"/>
  <c r="H241" i="33"/>
  <c r="L217"/>
  <c r="Q229"/>
  <c r="O227"/>
  <c r="J214"/>
  <c r="M214" s="1"/>
  <c r="G214"/>
  <c r="R181"/>
  <c r="P158"/>
  <c r="P110"/>
  <c r="D87"/>
  <c r="P69"/>
  <c r="P68"/>
  <c r="R48"/>
  <c r="P32"/>
  <c r="G28"/>
  <c r="G22"/>
  <c r="P193" i="38"/>
  <c r="P188"/>
  <c r="P187"/>
  <c r="M178"/>
  <c r="D168"/>
  <c r="P168" s="1"/>
  <c r="D161"/>
  <c r="P158"/>
  <c r="P121"/>
  <c r="D74"/>
  <c r="P74" s="1"/>
  <c r="E72"/>
  <c r="D72" s="1"/>
  <c r="P72" s="1"/>
  <c r="G63"/>
  <c r="S229" i="40"/>
  <c r="M74"/>
  <c r="M251" s="1"/>
  <c r="M64"/>
  <c r="I53"/>
  <c r="L53" s="1"/>
  <c r="K219" i="41"/>
  <c r="K218" s="1"/>
  <c r="K198" s="1"/>
  <c r="D219"/>
  <c r="Q185"/>
  <c r="Q176"/>
  <c r="Q116"/>
  <c r="S40"/>
  <c r="D248" i="42"/>
  <c r="F238"/>
  <c r="Q238" s="1"/>
  <c r="C220"/>
  <c r="C166"/>
  <c r="N160"/>
  <c r="Z143"/>
  <c r="M64"/>
  <c r="D251" i="44"/>
  <c r="C251" s="1"/>
  <c r="I19" i="32"/>
  <c r="L19" s="1"/>
  <c r="M19"/>
  <c r="D151" i="33"/>
  <c r="P151" s="1"/>
  <c r="F242"/>
  <c r="D242" s="1"/>
  <c r="D34" i="38"/>
  <c r="Q34"/>
  <c r="D31"/>
  <c r="R31"/>
  <c r="F227" i="40"/>
  <c r="M227"/>
  <c r="R227"/>
  <c r="C224"/>
  <c r="D223"/>
  <c r="D222" s="1"/>
  <c r="H246"/>
  <c r="F101"/>
  <c r="F90"/>
  <c r="L90" s="1"/>
  <c r="G245"/>
  <c r="R245" s="1"/>
  <c r="G79"/>
  <c r="R80"/>
  <c r="H77"/>
  <c r="S78"/>
  <c r="C62"/>
  <c r="D71" i="41"/>
  <c r="S238" i="42"/>
  <c r="N238"/>
  <c r="H177"/>
  <c r="H166"/>
  <c r="S166" s="1"/>
  <c r="S154"/>
  <c r="F154"/>
  <c r="Q104"/>
  <c r="Z104"/>
  <c r="R64"/>
  <c r="C64"/>
  <c r="Z54"/>
  <c r="Q54"/>
  <c r="Z43"/>
  <c r="Q43"/>
  <c r="R245" i="44"/>
  <c r="G244"/>
  <c r="R244" s="1"/>
  <c r="S238"/>
  <c r="AB238"/>
  <c r="N238"/>
  <c r="S153"/>
  <c r="AB153"/>
  <c r="F133"/>
  <c r="Q133" s="1"/>
  <c r="AB133"/>
  <c r="S133"/>
  <c r="Z111"/>
  <c r="Q111"/>
  <c r="AA107"/>
  <c r="Z107"/>
  <c r="Q107"/>
  <c r="N81"/>
  <c r="S81"/>
  <c r="F79"/>
  <c r="Q79" s="1"/>
  <c r="H78"/>
  <c r="N79"/>
  <c r="AB79"/>
  <c r="G76"/>
  <c r="R76" s="1"/>
  <c r="R77"/>
  <c r="Z50"/>
  <c r="AA50"/>
  <c r="S202" i="45"/>
  <c r="AB202"/>
  <c r="AB158"/>
  <c r="F158"/>
  <c r="S158"/>
  <c r="S155"/>
  <c r="AB155"/>
  <c r="S130"/>
  <c r="F130"/>
  <c r="Q130" s="1"/>
  <c r="AB130"/>
  <c r="F227" i="47"/>
  <c r="AA227" s="1"/>
  <c r="Z214"/>
  <c r="AA214"/>
  <c r="AA212"/>
  <c r="Z212"/>
  <c r="F200"/>
  <c r="AA200" s="1"/>
  <c r="AB200"/>
  <c r="R200"/>
  <c r="AB99"/>
  <c r="R99"/>
  <c r="Q225" i="37"/>
  <c r="F225"/>
  <c r="N225"/>
  <c r="C65" i="20"/>
  <c r="F19"/>
  <c r="L80" i="22"/>
  <c r="L79"/>
  <c r="L53" i="28"/>
  <c r="C37"/>
  <c r="E24" i="24"/>
  <c r="J69" i="25"/>
  <c r="F153" i="31"/>
  <c r="F56"/>
  <c r="C173" i="32"/>
  <c r="F149"/>
  <c r="Q125"/>
  <c r="C111"/>
  <c r="I27"/>
  <c r="L27" s="1"/>
  <c r="C19"/>
  <c r="J210" i="33"/>
  <c r="M210" s="1"/>
  <c r="P196"/>
  <c r="P183"/>
  <c r="G181"/>
  <c r="P181" s="1"/>
  <c r="R176"/>
  <c r="P165"/>
  <c r="P156"/>
  <c r="P150"/>
  <c r="P144"/>
  <c r="P117"/>
  <c r="G87"/>
  <c r="Q45"/>
  <c r="M37"/>
  <c r="P30"/>
  <c r="J26"/>
  <c r="M26" s="1"/>
  <c r="G236" i="38"/>
  <c r="G231"/>
  <c r="P231" s="1"/>
  <c r="D229"/>
  <c r="R225"/>
  <c r="Q223"/>
  <c r="P222"/>
  <c r="P127"/>
  <c r="G91"/>
  <c r="M91" s="1"/>
  <c r="J84"/>
  <c r="M84" s="1"/>
  <c r="F72"/>
  <c r="R72" s="1"/>
  <c r="D48"/>
  <c r="F22" i="40"/>
  <c r="Q215" i="41"/>
  <c r="Q213"/>
  <c r="C200"/>
  <c r="C164"/>
  <c r="Q164" s="1"/>
  <c r="Q112"/>
  <c r="F27"/>
  <c r="Q27" s="1"/>
  <c r="Z99" i="42"/>
  <c r="Q108" i="44"/>
  <c r="J224" i="47"/>
  <c r="M198" i="40"/>
  <c r="R198"/>
  <c r="M175"/>
  <c r="R175"/>
  <c r="C174"/>
  <c r="G174"/>
  <c r="D246"/>
  <c r="R101"/>
  <c r="F235" i="41"/>
  <c r="N235"/>
  <c r="E199"/>
  <c r="S200"/>
  <c r="C85"/>
  <c r="Q85" s="1"/>
  <c r="E83"/>
  <c r="R25"/>
  <c r="F25"/>
  <c r="S235" i="42"/>
  <c r="F235"/>
  <c r="Z235" s="1"/>
  <c r="R197"/>
  <c r="Q91"/>
  <c r="Z91"/>
  <c r="G77"/>
  <c r="M78"/>
  <c r="R33"/>
  <c r="C33"/>
  <c r="N236" i="44"/>
  <c r="S236"/>
  <c r="R234" i="45"/>
  <c r="M234"/>
  <c r="F234"/>
  <c r="Q234" s="1"/>
  <c r="AB180"/>
  <c r="S180"/>
  <c r="F147"/>
  <c r="Q147" s="1"/>
  <c r="R147"/>
  <c r="I61"/>
  <c r="L61" s="1"/>
  <c r="M61"/>
  <c r="F62" i="47"/>
  <c r="AA62" s="1"/>
  <c r="AC62"/>
  <c r="S62"/>
  <c r="G38" i="46"/>
  <c r="G12" s="1"/>
  <c r="F64"/>
  <c r="Q243" i="37"/>
  <c r="H241"/>
  <c r="N208"/>
  <c r="K207"/>
  <c r="I61"/>
  <c r="L61" s="1"/>
  <c r="M61"/>
  <c r="P36"/>
  <c r="F36"/>
  <c r="O36" s="1"/>
  <c r="AB101" i="44"/>
  <c r="AB85" i="58"/>
  <c r="L46" i="22"/>
  <c r="I37"/>
  <c r="L51" i="28"/>
  <c r="L35"/>
  <c r="L27"/>
  <c r="L24"/>
  <c r="C148" i="32"/>
  <c r="Q119"/>
  <c r="C115"/>
  <c r="Q115"/>
  <c r="E181"/>
  <c r="F70"/>
  <c r="F60"/>
  <c r="C49"/>
  <c r="F39"/>
  <c r="C32"/>
  <c r="F207" i="33"/>
  <c r="F206" s="1"/>
  <c r="G182"/>
  <c r="P105"/>
  <c r="J84"/>
  <c r="M84" s="1"/>
  <c r="E71"/>
  <c r="D250" i="38"/>
  <c r="P201"/>
  <c r="P162"/>
  <c r="P153"/>
  <c r="P144"/>
  <c r="P116"/>
  <c r="P68"/>
  <c r="P32"/>
  <c r="N251" i="40"/>
  <c r="Q141"/>
  <c r="Q103"/>
  <c r="F216" i="41"/>
  <c r="I214"/>
  <c r="L214" s="1"/>
  <c r="C168"/>
  <c r="Q168" s="1"/>
  <c r="C167"/>
  <c r="Q51"/>
  <c r="Z54" i="44"/>
  <c r="Z122" i="45"/>
  <c r="Z114"/>
  <c r="Z106"/>
  <c r="Z106" i="44"/>
  <c r="AA106"/>
  <c r="Z51" i="45"/>
  <c r="AA51"/>
  <c r="R48"/>
  <c r="S237" i="47"/>
  <c r="N237"/>
  <c r="S230"/>
  <c r="F230"/>
  <c r="L230" s="1"/>
  <c r="AA229"/>
  <c r="Z229"/>
  <c r="E204"/>
  <c r="C217"/>
  <c r="S217"/>
  <c r="AB197"/>
  <c r="M197"/>
  <c r="I78"/>
  <c r="L78" s="1"/>
  <c r="M78"/>
  <c r="H76"/>
  <c r="N76" s="1"/>
  <c r="N77"/>
  <c r="AC77"/>
  <c r="F77"/>
  <c r="Z77" s="1"/>
  <c r="S77"/>
  <c r="S69"/>
  <c r="N69"/>
  <c r="Q26"/>
  <c r="Z26"/>
  <c r="AA26"/>
  <c r="F228" i="37"/>
  <c r="P228"/>
  <c r="M228"/>
  <c r="P212"/>
  <c r="F212"/>
  <c r="E84"/>
  <c r="Q84" s="1"/>
  <c r="Q85"/>
  <c r="C45"/>
  <c r="N36"/>
  <c r="I36"/>
  <c r="Z125" i="42"/>
  <c r="Q97"/>
  <c r="F47"/>
  <c r="Z47" s="1"/>
  <c r="C35"/>
  <c r="AA211" i="44"/>
  <c r="F193"/>
  <c r="Z122"/>
  <c r="Z30"/>
  <c r="C26"/>
  <c r="F220" i="45"/>
  <c r="C203"/>
  <c r="F180"/>
  <c r="Q97"/>
  <c r="C84"/>
  <c r="Z62"/>
  <c r="I32"/>
  <c r="L32" s="1"/>
  <c r="S76" i="47"/>
  <c r="Z51"/>
  <c r="F80" i="37"/>
  <c r="I60" i="42"/>
  <c r="L60" s="1"/>
  <c r="M60"/>
  <c r="F141" i="45"/>
  <c r="AB141"/>
  <c r="Z94"/>
  <c r="Q94"/>
  <c r="H76"/>
  <c r="AB77"/>
  <c r="H72"/>
  <c r="S72" s="1"/>
  <c r="Z31"/>
  <c r="AA31"/>
  <c r="H241" i="47"/>
  <c r="S241" s="1"/>
  <c r="N242"/>
  <c r="S242"/>
  <c r="Z111"/>
  <c r="Q111"/>
  <c r="S98"/>
  <c r="AC98"/>
  <c r="H24"/>
  <c r="AC24" s="1"/>
  <c r="AC25"/>
  <c r="S25"/>
  <c r="F25"/>
  <c r="Z25" s="1"/>
  <c r="P210" i="37"/>
  <c r="F210"/>
  <c r="N160" i="34"/>
  <c r="K159"/>
  <c r="AC172" i="51"/>
  <c r="C172"/>
  <c r="S172"/>
  <c r="H220" i="40"/>
  <c r="H203" s="1"/>
  <c r="F203" s="1"/>
  <c r="S170"/>
  <c r="R87" i="41"/>
  <c r="G170" i="42"/>
  <c r="G166"/>
  <c r="R166" s="1"/>
  <c r="Z61"/>
  <c r="F44"/>
  <c r="Z31"/>
  <c r="I27"/>
  <c r="L27" s="1"/>
  <c r="S218" i="44"/>
  <c r="Z211"/>
  <c r="AA143"/>
  <c r="Q122"/>
  <c r="AA105"/>
  <c r="D70"/>
  <c r="C70" s="1"/>
  <c r="Q51"/>
  <c r="Q42"/>
  <c r="Q30"/>
  <c r="G226" i="45"/>
  <c r="R180"/>
  <c r="F155"/>
  <c r="AA155" s="1"/>
  <c r="S138"/>
  <c r="L114"/>
  <c r="L20"/>
  <c r="AC250" i="47"/>
  <c r="G79" i="42"/>
  <c r="M80"/>
  <c r="Q20"/>
  <c r="Z20"/>
  <c r="H74" i="45"/>
  <c r="E73"/>
  <c r="AC227" i="47"/>
  <c r="H225"/>
  <c r="AC225" s="1"/>
  <c r="AA216"/>
  <c r="Z216"/>
  <c r="AA211"/>
  <c r="Z211"/>
  <c r="G171"/>
  <c r="F171" s="1"/>
  <c r="C171"/>
  <c r="S157"/>
  <c r="AC157"/>
  <c r="Z114"/>
  <c r="AA114"/>
  <c r="C15" i="36"/>
  <c r="C17" s="1"/>
  <c r="N15"/>
  <c r="H174" i="43"/>
  <c r="Z88" i="51"/>
  <c r="Q88"/>
  <c r="AA88"/>
  <c r="R168" i="41"/>
  <c r="R164"/>
  <c r="M79"/>
  <c r="M232" i="42"/>
  <c r="L111"/>
  <c r="Z97"/>
  <c r="Q94"/>
  <c r="Q92"/>
  <c r="H85"/>
  <c r="I83"/>
  <c r="S72"/>
  <c r="Z68"/>
  <c r="Q61"/>
  <c r="R56"/>
  <c r="Z50"/>
  <c r="R44"/>
  <c r="S40"/>
  <c r="Q34"/>
  <c r="S33"/>
  <c r="R30"/>
  <c r="Z24"/>
  <c r="C226" i="44"/>
  <c r="M220"/>
  <c r="AB218"/>
  <c r="AB160"/>
  <c r="C149"/>
  <c r="AB146"/>
  <c r="Z123"/>
  <c r="AA90"/>
  <c r="E73"/>
  <c r="Z53"/>
  <c r="AA51"/>
  <c r="AA42"/>
  <c r="Z42"/>
  <c r="Q41"/>
  <c r="Z31"/>
  <c r="R26"/>
  <c r="C256" i="45"/>
  <c r="F245"/>
  <c r="I244"/>
  <c r="M243"/>
  <c r="I229"/>
  <c r="AB218"/>
  <c r="AB193"/>
  <c r="S147"/>
  <c r="I255"/>
  <c r="AA145"/>
  <c r="S140"/>
  <c r="L140"/>
  <c r="AB138"/>
  <c r="F127"/>
  <c r="Z127" s="1"/>
  <c r="AA124"/>
  <c r="Z96"/>
  <c r="AA94"/>
  <c r="C81"/>
  <c r="I78"/>
  <c r="C55"/>
  <c r="Q55" s="1"/>
  <c r="AB24"/>
  <c r="N230" i="47"/>
  <c r="R197"/>
  <c r="E251"/>
  <c r="F99"/>
  <c r="S50"/>
  <c r="N198"/>
  <c r="AC198"/>
  <c r="O9" i="36"/>
  <c r="F11"/>
  <c r="O11" s="1"/>
  <c r="E181" i="34"/>
  <c r="C130"/>
  <c r="E249" i="43"/>
  <c r="E248" s="1"/>
  <c r="C149"/>
  <c r="H149"/>
  <c r="AA241" i="51"/>
  <c r="Z241"/>
  <c r="F217"/>
  <c r="AA217" s="1"/>
  <c r="F120"/>
  <c r="S120"/>
  <c r="Z87"/>
  <c r="Q87"/>
  <c r="AA87"/>
  <c r="Z37"/>
  <c r="Q37"/>
  <c r="F245" i="47"/>
  <c r="C98"/>
  <c r="Q98" s="1"/>
  <c r="AA89"/>
  <c r="I80"/>
  <c r="F50"/>
  <c r="O185" i="37"/>
  <c r="O180"/>
  <c r="O178"/>
  <c r="O158"/>
  <c r="O150"/>
  <c r="O95"/>
  <c r="P80"/>
  <c r="O53"/>
  <c r="O20"/>
  <c r="O19"/>
  <c r="C175" i="34"/>
  <c r="Q150"/>
  <c r="C149"/>
  <c r="Q149" s="1"/>
  <c r="F136"/>
  <c r="F66"/>
  <c r="C32"/>
  <c r="C245" i="43"/>
  <c r="F176"/>
  <c r="L176" s="1"/>
  <c r="C165"/>
  <c r="Z23"/>
  <c r="I66" i="34"/>
  <c r="L66" s="1"/>
  <c r="M66"/>
  <c r="I63"/>
  <c r="L63" s="1"/>
  <c r="M63"/>
  <c r="R159" i="43"/>
  <c r="F159"/>
  <c r="Q159" s="1"/>
  <c r="C150"/>
  <c r="H150"/>
  <c r="F127"/>
  <c r="Q127" s="1"/>
  <c r="S127"/>
  <c r="H85"/>
  <c r="F85" s="1"/>
  <c r="S179" i="51"/>
  <c r="AC179"/>
  <c r="S163"/>
  <c r="AC163"/>
  <c r="Q140"/>
  <c r="Z140"/>
  <c r="AA140"/>
  <c r="F129"/>
  <c r="AC129"/>
  <c r="N129"/>
  <c r="M52" i="45"/>
  <c r="AA38"/>
  <c r="M32"/>
  <c r="AC158" i="47"/>
  <c r="F158"/>
  <c r="H149"/>
  <c r="AC141"/>
  <c r="F53"/>
  <c r="S22"/>
  <c r="L177" i="37"/>
  <c r="L163"/>
  <c r="C85"/>
  <c r="O85"/>
  <c r="C80"/>
  <c r="I65"/>
  <c r="L65" s="1"/>
  <c r="D159" i="34"/>
  <c r="C159" s="1"/>
  <c r="N75"/>
  <c r="S204" i="43"/>
  <c r="Q140" i="47"/>
  <c r="AA140"/>
  <c r="H72"/>
  <c r="H71" s="1"/>
  <c r="Z16"/>
  <c r="AA16"/>
  <c r="S189" i="43"/>
  <c r="F189"/>
  <c r="C187"/>
  <c r="G187"/>
  <c r="M187" s="1"/>
  <c r="F161"/>
  <c r="L161" s="1"/>
  <c r="R161"/>
  <c r="Q131"/>
  <c r="Z131"/>
  <c r="Z230" i="51"/>
  <c r="AA230"/>
  <c r="Q230"/>
  <c r="Z86"/>
  <c r="Q86"/>
  <c r="AA86"/>
  <c r="I30"/>
  <c r="L30" s="1"/>
  <c r="M30"/>
  <c r="S210" i="52"/>
  <c r="R210" s="1"/>
  <c r="R212"/>
  <c r="I45" i="55"/>
  <c r="L45" s="1"/>
  <c r="N45"/>
  <c r="M79" i="45"/>
  <c r="AA56"/>
  <c r="AA50"/>
  <c r="S39"/>
  <c r="AA30"/>
  <c r="F198" i="47"/>
  <c r="L198" s="1"/>
  <c r="R186"/>
  <c r="C181"/>
  <c r="Q181" s="1"/>
  <c r="F179"/>
  <c r="S166"/>
  <c r="C161"/>
  <c r="R158"/>
  <c r="AC127"/>
  <c r="Z110"/>
  <c r="Z95"/>
  <c r="M70"/>
  <c r="F66"/>
  <c r="F44"/>
  <c r="AA44" s="1"/>
  <c r="Q43"/>
  <c r="H41"/>
  <c r="L237" i="37"/>
  <c r="Q226"/>
  <c r="D207"/>
  <c r="C207" s="1"/>
  <c r="H207"/>
  <c r="Q207" s="1"/>
  <c r="O162"/>
  <c r="I145"/>
  <c r="O123"/>
  <c r="L110"/>
  <c r="P85"/>
  <c r="O64"/>
  <c r="F59"/>
  <c r="O59" s="1"/>
  <c r="L37"/>
  <c r="F28"/>
  <c r="F148" i="34"/>
  <c r="F140"/>
  <c r="C138"/>
  <c r="Q122"/>
  <c r="C112"/>
  <c r="C87"/>
  <c r="I70"/>
  <c r="L70" s="1"/>
  <c r="P63"/>
  <c r="F47"/>
  <c r="F36"/>
  <c r="C30"/>
  <c r="C25"/>
  <c r="F181" i="43"/>
  <c r="Q181" s="1"/>
  <c r="C102"/>
  <c r="Z102" s="1"/>
  <c r="Q68"/>
  <c r="AC120" i="51"/>
  <c r="Z136"/>
  <c r="Q136"/>
  <c r="F122"/>
  <c r="Z122" s="1"/>
  <c r="AC122"/>
  <c r="E227" i="52"/>
  <c r="D230"/>
  <c r="J39"/>
  <c r="M39" s="1"/>
  <c r="O39"/>
  <c r="Q161" i="51"/>
  <c r="R81" i="52"/>
  <c r="M41"/>
  <c r="M26"/>
  <c r="Z99" i="43"/>
  <c r="Q99"/>
  <c r="C44"/>
  <c r="R44"/>
  <c r="AA21" i="51"/>
  <c r="Z21"/>
  <c r="Q21"/>
  <c r="I76" i="52"/>
  <c r="I75"/>
  <c r="I236"/>
  <c r="G236" s="1"/>
  <c r="H155" i="55"/>
  <c r="H51"/>
  <c r="I25"/>
  <c r="L25" s="1"/>
  <c r="M25"/>
  <c r="M23" i="54"/>
  <c r="H106" i="58"/>
  <c r="K106" s="1"/>
  <c r="K140"/>
  <c r="R245" i="43"/>
  <c r="M233"/>
  <c r="S231"/>
  <c r="Q94"/>
  <c r="Z68"/>
  <c r="Q67"/>
  <c r="F64"/>
  <c r="C49"/>
  <c r="Q49" s="1"/>
  <c r="Z34"/>
  <c r="N233" i="51"/>
  <c r="Z208"/>
  <c r="C192"/>
  <c r="Q192" s="1"/>
  <c r="Q190"/>
  <c r="Z162"/>
  <c r="Z161"/>
  <c r="AA136"/>
  <c r="L114"/>
  <c r="AA101"/>
  <c r="N75"/>
  <c r="C70"/>
  <c r="Z54"/>
  <c r="Z19"/>
  <c r="F227" i="52"/>
  <c r="U220"/>
  <c r="K214"/>
  <c r="K213" s="1"/>
  <c r="J206"/>
  <c r="J195" s="1"/>
  <c r="J191" s="1"/>
  <c r="G201"/>
  <c r="U201" s="1"/>
  <c r="K195"/>
  <c r="K191" s="1"/>
  <c r="K173" s="1"/>
  <c r="D176"/>
  <c r="D167"/>
  <c r="D60"/>
  <c r="Q134" i="55"/>
  <c r="Q129"/>
  <c r="Q100"/>
  <c r="Q62"/>
  <c r="T59" i="54"/>
  <c r="D81" i="43"/>
  <c r="C82"/>
  <c r="I120" i="55"/>
  <c r="L120" s="1"/>
  <c r="K119"/>
  <c r="K118" s="1"/>
  <c r="N118" s="1"/>
  <c r="C88"/>
  <c r="D156"/>
  <c r="N52"/>
  <c r="K51"/>
  <c r="K155"/>
  <c r="N155" s="1"/>
  <c r="F149" i="54"/>
  <c r="G148"/>
  <c r="F148" s="1"/>
  <c r="T148" s="1"/>
  <c r="S187" i="43"/>
  <c r="Q93"/>
  <c r="F40"/>
  <c r="Q40" s="1"/>
  <c r="L229" i="51"/>
  <c r="AC219"/>
  <c r="Z200"/>
  <c r="AB192"/>
  <c r="L150"/>
  <c r="F91"/>
  <c r="Z91" s="1"/>
  <c r="Z58"/>
  <c r="AA49"/>
  <c r="AA31"/>
  <c r="L19"/>
  <c r="D235" i="52"/>
  <c r="D223"/>
  <c r="D217"/>
  <c r="N206"/>
  <c r="N195" s="1"/>
  <c r="G187"/>
  <c r="G175" s="1"/>
  <c r="R124"/>
  <c r="Q140" i="55"/>
  <c r="Q114"/>
  <c r="Q84"/>
  <c r="Q82"/>
  <c r="Q70"/>
  <c r="Q44"/>
  <c r="C21"/>
  <c r="T53" i="54"/>
  <c r="AB18" i="51"/>
  <c r="G77" i="52"/>
  <c r="U77" s="1"/>
  <c r="U76" s="1"/>
  <c r="U75" s="1"/>
  <c r="G155" i="55"/>
  <c r="F52"/>
  <c r="Q52" s="1"/>
  <c r="I21"/>
  <c r="L21" s="1"/>
  <c r="T125" i="54"/>
  <c r="C88"/>
  <c r="T88"/>
  <c r="F86"/>
  <c r="T44"/>
  <c r="I39"/>
  <c r="L39"/>
  <c r="Q27"/>
  <c r="J217" i="58"/>
  <c r="F73"/>
  <c r="F72" s="1"/>
  <c r="L73"/>
  <c r="D76"/>
  <c r="J76" s="1"/>
  <c r="D96" i="57"/>
  <c r="X96" s="1"/>
  <c r="L56" i="58"/>
  <c r="J197"/>
  <c r="N117" i="52"/>
  <c r="N116"/>
  <c r="M123" i="55"/>
  <c r="F39"/>
  <c r="Q39" s="1"/>
  <c r="M37"/>
  <c r="C33"/>
  <c r="Q33" s="1"/>
  <c r="H155" i="54"/>
  <c r="F155" s="1"/>
  <c r="T108"/>
  <c r="T95"/>
  <c r="T69"/>
  <c r="K27" i="58"/>
  <c r="J172"/>
  <c r="I185" i="57"/>
  <c r="U110"/>
  <c r="D94" i="58"/>
  <c r="J94" s="1"/>
  <c r="F185" i="57"/>
  <c r="W118"/>
  <c r="K48" i="58"/>
  <c r="J194"/>
  <c r="E165" i="57"/>
  <c r="L185"/>
  <c r="L184" s="1"/>
  <c r="F338"/>
  <c r="C81" i="43"/>
  <c r="Q102"/>
  <c r="Q53" i="47"/>
  <c r="Z55" i="45"/>
  <c r="AC76" i="47"/>
  <c r="M231" i="38"/>
  <c r="R79" i="40"/>
  <c r="M79"/>
  <c r="S98" i="44"/>
  <c r="Q195" i="45"/>
  <c r="L164" i="40"/>
  <c r="Z175" i="45"/>
  <c r="Q175"/>
  <c r="J80" i="51"/>
  <c r="AA148" i="44"/>
  <c r="AA187"/>
  <c r="Q158" i="45"/>
  <c r="G254" i="38"/>
  <c r="Z127" i="43"/>
  <c r="Q50" i="47"/>
  <c r="AC241"/>
  <c r="F38" i="46"/>
  <c r="F12" s="1"/>
  <c r="L235" i="41"/>
  <c r="Z200" i="47"/>
  <c r="Q200"/>
  <c r="AA130" i="45"/>
  <c r="L79" i="44"/>
  <c r="AA79"/>
  <c r="D218" i="41"/>
  <c r="D198" s="1"/>
  <c r="E253" i="44"/>
  <c r="S87" i="42"/>
  <c r="R205" i="44"/>
  <c r="C254"/>
  <c r="AA25" i="47"/>
  <c r="AA141" i="45"/>
  <c r="R71" i="41"/>
  <c r="Z238" i="42"/>
  <c r="L238"/>
  <c r="AA198" i="45"/>
  <c r="N81" i="40"/>
  <c r="K19" i="31"/>
  <c r="K18" s="1"/>
  <c r="N29" i="59"/>
  <c r="Q187" i="40"/>
  <c r="AA179" i="44"/>
  <c r="Z179"/>
  <c r="K212" i="52"/>
  <c r="N212" s="1"/>
  <c r="P207" i="37"/>
  <c r="E15" i="36"/>
  <c r="Z155" i="45"/>
  <c r="Q155"/>
  <c r="F24" i="47"/>
  <c r="S204"/>
  <c r="AA89" i="44"/>
  <c r="Z157" i="42"/>
  <c r="R224" i="40"/>
  <c r="C33" i="24"/>
  <c r="C32" s="1"/>
  <c r="C78"/>
  <c r="Z236" i="45"/>
  <c r="F175" i="42"/>
  <c r="N199" i="41"/>
  <c r="E120" i="26"/>
  <c r="Q120" s="1"/>
  <c r="F215" i="51"/>
  <c r="N219"/>
  <c r="K215"/>
  <c r="I219"/>
  <c r="AC239"/>
  <c r="S239"/>
  <c r="D89" i="40"/>
  <c r="D88" s="1"/>
  <c r="N213" i="52"/>
  <c r="G295" i="57"/>
  <c r="F281"/>
  <c r="F277" s="1"/>
  <c r="H281"/>
  <c r="G100"/>
  <c r="X100" s="1"/>
  <c r="H93"/>
  <c r="H78" s="1"/>
  <c r="A296"/>
  <c r="A300" s="1"/>
  <c r="A303"/>
  <c r="A304" s="1"/>
  <c r="I93"/>
  <c r="G96"/>
  <c r="U96"/>
  <c r="W93"/>
  <c r="K218"/>
  <c r="N218" s="1"/>
  <c r="L218"/>
  <c r="I23"/>
  <c r="G23" s="1"/>
  <c r="X23" s="1"/>
  <c r="A101" i="60"/>
  <c r="A102" s="1"/>
  <c r="A103" s="1"/>
  <c r="R54"/>
  <c r="W148"/>
  <c r="U148"/>
  <c r="V18"/>
  <c r="T148"/>
  <c r="S18"/>
  <c r="S17" s="1"/>
  <c r="R17" s="1"/>
  <c r="N282" i="57"/>
  <c r="G328"/>
  <c r="N328"/>
  <c r="X329"/>
  <c r="H325"/>
  <c r="H324" s="1"/>
  <c r="H323" s="1"/>
  <c r="D299"/>
  <c r="X299" s="1"/>
  <c r="S277"/>
  <c r="R277" s="1"/>
  <c r="K281"/>
  <c r="K277" s="1"/>
  <c r="K338"/>
  <c r="L15"/>
  <c r="J73"/>
  <c r="R18" i="60"/>
  <c r="R148"/>
  <c r="N325" i="57"/>
  <c r="K323"/>
  <c r="N323" s="1"/>
  <c r="N324"/>
  <c r="X117" i="60"/>
  <c r="M117"/>
  <c r="G67"/>
  <c r="X67" s="1"/>
  <c r="D37"/>
  <c r="G139"/>
  <c r="O139"/>
  <c r="J47"/>
  <c r="M47" s="1"/>
  <c r="O47"/>
  <c r="O116"/>
  <c r="N152"/>
  <c r="O154"/>
  <c r="N80"/>
  <c r="N150"/>
  <c r="I47"/>
  <c r="I45"/>
  <c r="G45" s="1"/>
  <c r="I20"/>
  <c r="H21"/>
  <c r="H20" s="1"/>
  <c r="L74" i="52"/>
  <c r="N257" i="57"/>
  <c r="M175" i="43"/>
  <c r="R175"/>
  <c r="AB166" i="45"/>
  <c r="S166"/>
  <c r="N187" i="44"/>
  <c r="S187"/>
  <c r="AA125" i="47"/>
  <c r="Q125"/>
  <c r="Z125"/>
  <c r="C20" i="10"/>
  <c r="Z240" i="43"/>
  <c r="K79" i="57"/>
  <c r="Q17" i="51"/>
  <c r="Z17"/>
  <c r="L17"/>
  <c r="F199" i="47"/>
  <c r="L199" s="1"/>
  <c r="AC199"/>
  <c r="N199"/>
  <c r="X273" i="57"/>
  <c r="Q181" i="51"/>
  <c r="Q171" i="42"/>
  <c r="L256" i="57"/>
  <c r="U141" i="52"/>
  <c r="G127"/>
  <c r="Q139" i="43"/>
  <c r="Z139"/>
  <c r="F201"/>
  <c r="Z201" s="1"/>
  <c r="S201"/>
  <c r="N201"/>
  <c r="AC163" i="47"/>
  <c r="N163"/>
  <c r="N164" i="40"/>
  <c r="S164"/>
  <c r="K17" i="37"/>
  <c r="K16" s="1"/>
  <c r="K14" s="1"/>
  <c r="N245" i="51"/>
  <c r="AB84" i="45"/>
  <c r="S84"/>
  <c r="N237" i="38"/>
  <c r="G237"/>
  <c r="M237" s="1"/>
  <c r="F53" i="40"/>
  <c r="R53"/>
  <c r="I245" i="41"/>
  <c r="K244"/>
  <c r="I244" s="1"/>
  <c r="C235"/>
  <c r="Q235"/>
  <c r="R235"/>
  <c r="F232"/>
  <c r="Q232" s="1"/>
  <c r="R232"/>
  <c r="Q102"/>
  <c r="L102"/>
  <c r="R90"/>
  <c r="F90"/>
  <c r="Q90"/>
  <c r="H164" i="42"/>
  <c r="S164" s="1"/>
  <c r="F128"/>
  <c r="S128"/>
  <c r="F90"/>
  <c r="R90"/>
  <c r="Q19"/>
  <c r="Z19"/>
  <c r="C173" i="44"/>
  <c r="H173"/>
  <c r="F173" s="1"/>
  <c r="L173" s="1"/>
  <c r="H75"/>
  <c r="N75" s="1"/>
  <c r="Z36"/>
  <c r="AA36"/>
  <c r="H244" i="45"/>
  <c r="S248"/>
  <c r="AC200" i="47"/>
  <c r="S200"/>
  <c r="N140" i="60"/>
  <c r="G140"/>
  <c r="X140" s="1"/>
  <c r="G142"/>
  <c r="M142" s="1"/>
  <c r="N142"/>
  <c r="X108" i="57"/>
  <c r="M68" i="28"/>
  <c r="L68" s="1"/>
  <c r="M22"/>
  <c r="L22" s="1"/>
  <c r="C49" i="40"/>
  <c r="R49"/>
  <c r="S33"/>
  <c r="R58" i="41"/>
  <c r="C58"/>
  <c r="E144" i="44"/>
  <c r="E88" s="1"/>
  <c r="E87" s="1"/>
  <c r="H149"/>
  <c r="F149" s="1"/>
  <c r="Z149" s="1"/>
  <c r="H74"/>
  <c r="N74" s="1"/>
  <c r="I48"/>
  <c r="L48" s="1"/>
  <c r="N48"/>
  <c r="S151" i="45"/>
  <c r="AB151"/>
  <c r="M63"/>
  <c r="I63"/>
  <c r="L63" s="1"/>
  <c r="AB77" i="51"/>
  <c r="C77"/>
  <c r="AA77" s="1"/>
  <c r="R77"/>
  <c r="J25" i="31"/>
  <c r="J19" s="1"/>
  <c r="H69" i="25"/>
  <c r="U98" i="58"/>
  <c r="F42" i="25"/>
  <c r="S189" i="45"/>
  <c r="M54" i="57"/>
  <c r="P98" i="58"/>
  <c r="S98" s="1"/>
  <c r="Y14"/>
  <c r="AC148"/>
  <c r="AC105" s="1"/>
  <c r="P80"/>
  <c r="F91" i="8"/>
  <c r="F22"/>
  <c r="F40" i="9"/>
  <c r="C53" i="10"/>
  <c r="Q39" i="26"/>
  <c r="H30" i="20"/>
  <c r="N27"/>
  <c r="G15"/>
  <c r="F40" i="28"/>
  <c r="E20" i="24"/>
  <c r="E89" s="1"/>
  <c r="L88" i="31"/>
  <c r="N66"/>
  <c r="F42"/>
  <c r="N38"/>
  <c r="P29"/>
  <c r="Q143" i="32"/>
  <c r="C114"/>
  <c r="M53"/>
  <c r="K241" i="33"/>
  <c r="E241"/>
  <c r="M236"/>
  <c r="O234"/>
  <c r="O176"/>
  <c r="O87"/>
  <c r="D85"/>
  <c r="P85" s="1"/>
  <c r="M79"/>
  <c r="R75"/>
  <c r="Q28"/>
  <c r="Q26"/>
  <c r="G241" i="38"/>
  <c r="P241" s="1"/>
  <c r="M79"/>
  <c r="R28"/>
  <c r="G166" i="40"/>
  <c r="C102"/>
  <c r="Q102" s="1"/>
  <c r="S235" i="41"/>
  <c r="Z208" i="42"/>
  <c r="C218" i="44"/>
  <c r="D82"/>
  <c r="O81" i="52"/>
  <c r="D57" i="38"/>
  <c r="R57"/>
  <c r="R26"/>
  <c r="D26"/>
  <c r="P26" s="1"/>
  <c r="H72" i="40"/>
  <c r="C72"/>
  <c r="I40"/>
  <c r="L40" s="1"/>
  <c r="N40"/>
  <c r="S195" i="44"/>
  <c r="AB195"/>
  <c r="AB148"/>
  <c r="S148"/>
  <c r="N148"/>
  <c r="S140"/>
  <c r="S258" s="1"/>
  <c r="F140"/>
  <c r="Z140" s="1"/>
  <c r="N140"/>
  <c r="AB140"/>
  <c r="G78"/>
  <c r="M78" s="1"/>
  <c r="R79"/>
  <c r="M79"/>
  <c r="AA216" i="45"/>
  <c r="Z216"/>
  <c r="C61"/>
  <c r="R61"/>
  <c r="I29"/>
  <c r="L29" s="1"/>
  <c r="N29"/>
  <c r="F138" i="43"/>
  <c r="Z138" s="1"/>
  <c r="S138"/>
  <c r="S126"/>
  <c r="F126"/>
  <c r="M273" i="57"/>
  <c r="O91" i="37"/>
  <c r="AB169" i="44"/>
  <c r="S176" i="47"/>
  <c r="N165" i="31"/>
  <c r="J24" i="20"/>
  <c r="M24" s="1"/>
  <c r="AB85" i="44"/>
  <c r="I22" i="20"/>
  <c r="L22" s="1"/>
  <c r="E23" i="31"/>
  <c r="C23" s="1"/>
  <c r="G90" i="58"/>
  <c r="C24" i="31"/>
  <c r="H19" i="22"/>
  <c r="D11" i="24"/>
  <c r="P16" i="31"/>
  <c r="M74" i="57"/>
  <c r="X97"/>
  <c r="F27" i="10"/>
  <c r="M25" i="20"/>
  <c r="L45" i="25"/>
  <c r="L158" i="31"/>
  <c r="C152"/>
  <c r="I149"/>
  <c r="L149" s="1"/>
  <c r="C145"/>
  <c r="L134"/>
  <c r="L127"/>
  <c r="F57"/>
  <c r="C175" i="32"/>
  <c r="G159"/>
  <c r="G158" s="1"/>
  <c r="I156"/>
  <c r="L156" s="1"/>
  <c r="Q154"/>
  <c r="C141"/>
  <c r="F110"/>
  <c r="O66"/>
  <c r="C47"/>
  <c r="M39"/>
  <c r="I30"/>
  <c r="L30" s="1"/>
  <c r="G242" i="33"/>
  <c r="M237"/>
  <c r="P235"/>
  <c r="P211"/>
  <c r="P88"/>
  <c r="Q85"/>
  <c r="M83"/>
  <c r="R65"/>
  <c r="P55"/>
  <c r="G41"/>
  <c r="P41"/>
  <c r="G255" i="38"/>
  <c r="D245"/>
  <c r="P245" s="1"/>
  <c r="P104"/>
  <c r="Q86"/>
  <c r="R78"/>
  <c r="G61"/>
  <c r="P61" s="1"/>
  <c r="R45"/>
  <c r="I245" i="40"/>
  <c r="S192"/>
  <c r="F129"/>
  <c r="Q129" s="1"/>
  <c r="M216" i="41"/>
  <c r="AB138" i="44"/>
  <c r="D151" i="38"/>
  <c r="P151" s="1"/>
  <c r="R151"/>
  <c r="J48"/>
  <c r="M48" s="1"/>
  <c r="O48"/>
  <c r="F141" i="42"/>
  <c r="Q141" s="1"/>
  <c r="S141"/>
  <c r="S253" s="1"/>
  <c r="F248" i="44"/>
  <c r="L248" s="1"/>
  <c r="S248"/>
  <c r="Z216"/>
  <c r="AA216"/>
  <c r="H174"/>
  <c r="H172"/>
  <c r="S172" s="1"/>
  <c r="Z60"/>
  <c r="AA60"/>
  <c r="Z47"/>
  <c r="AA47"/>
  <c r="F32"/>
  <c r="AB32"/>
  <c r="N193" i="45"/>
  <c r="S193"/>
  <c r="S154"/>
  <c r="AB154"/>
  <c r="S234" i="47"/>
  <c r="N234"/>
  <c r="AC234"/>
  <c r="M214" i="37"/>
  <c r="I214"/>
  <c r="L214" s="1"/>
  <c r="S78" i="43"/>
  <c r="N78"/>
  <c r="H77"/>
  <c r="M70" i="22"/>
  <c r="K24" i="20"/>
  <c r="C16" i="31"/>
  <c r="M187" i="57"/>
  <c r="E37" i="26"/>
  <c r="Q37" s="1"/>
  <c r="L26" i="28"/>
  <c r="E19"/>
  <c r="L43" i="25"/>
  <c r="N22"/>
  <c r="L22" s="1"/>
  <c r="F36" i="31"/>
  <c r="Q144" i="32"/>
  <c r="C70"/>
  <c r="M60"/>
  <c r="C51"/>
  <c r="F41"/>
  <c r="C25"/>
  <c r="M21"/>
  <c r="D214" i="33"/>
  <c r="P172"/>
  <c r="P141"/>
  <c r="P49"/>
  <c r="D48"/>
  <c r="P48" s="1"/>
  <c r="P39"/>
  <c r="J254" i="38"/>
  <c r="R181"/>
  <c r="P150"/>
  <c r="N242" i="40"/>
  <c r="F127"/>
  <c r="G241" i="41"/>
  <c r="F241" s="1"/>
  <c r="Q241" s="1"/>
  <c r="Q138"/>
  <c r="AB143" i="44"/>
  <c r="N248" i="45"/>
  <c r="G237" i="40"/>
  <c r="M238"/>
  <c r="C53" i="42"/>
  <c r="R53"/>
  <c r="Q39"/>
  <c r="Z39"/>
  <c r="Z110" i="44"/>
  <c r="Q110"/>
  <c r="Z56"/>
  <c r="AA56"/>
  <c r="F143" i="45"/>
  <c r="AA143"/>
  <c r="AB143"/>
  <c r="C59"/>
  <c r="R59"/>
  <c r="N190" i="47"/>
  <c r="F190"/>
  <c r="L190" s="1"/>
  <c r="AC190"/>
  <c r="Q110"/>
  <c r="AA110"/>
  <c r="AB77"/>
  <c r="R77"/>
  <c r="I212" i="37"/>
  <c r="L212"/>
  <c r="N212"/>
  <c r="M82"/>
  <c r="I82"/>
  <c r="L82"/>
  <c r="I59"/>
  <c r="L59" s="1"/>
  <c r="M59"/>
  <c r="C73" i="34"/>
  <c r="D72"/>
  <c r="D59" s="1"/>
  <c r="D16" s="1"/>
  <c r="I36"/>
  <c r="L36" s="1"/>
  <c r="N36"/>
  <c r="H198" i="43"/>
  <c r="F198" s="1"/>
  <c r="F193"/>
  <c r="Z193" s="1"/>
  <c r="S193"/>
  <c r="H162"/>
  <c r="S162" s="1"/>
  <c r="S134"/>
  <c r="F134"/>
  <c r="Z134" s="1"/>
  <c r="M75" i="51"/>
  <c r="G74"/>
  <c r="O189" i="52"/>
  <c r="O175" s="1"/>
  <c r="L175"/>
  <c r="L174" s="1"/>
  <c r="J174" s="1"/>
  <c r="M174" s="1"/>
  <c r="J60"/>
  <c r="M60" s="1"/>
  <c r="N60"/>
  <c r="F241" i="40"/>
  <c r="H149"/>
  <c r="L103"/>
  <c r="M73"/>
  <c r="M250" s="1"/>
  <c r="L250" s="1"/>
  <c r="F30"/>
  <c r="F233" i="41"/>
  <c r="F231"/>
  <c r="Q231" s="1"/>
  <c r="R230"/>
  <c r="Q195"/>
  <c r="H142"/>
  <c r="C160"/>
  <c r="Q160" s="1"/>
  <c r="Q154"/>
  <c r="Q128"/>
  <c r="Q127"/>
  <c r="Q121"/>
  <c r="C101"/>
  <c r="Q97"/>
  <c r="Q93"/>
  <c r="C87"/>
  <c r="Q87" s="1"/>
  <c r="L84"/>
  <c r="F77"/>
  <c r="C75"/>
  <c r="Q75" s="1"/>
  <c r="Q48"/>
  <c r="L36"/>
  <c r="F33"/>
  <c r="Q24"/>
  <c r="F242" i="42"/>
  <c r="Z242" s="1"/>
  <c r="F241"/>
  <c r="Z241" s="1"/>
  <c r="F228"/>
  <c r="Q228" s="1"/>
  <c r="I218"/>
  <c r="L218" s="1"/>
  <c r="S172"/>
  <c r="Z140"/>
  <c r="F101"/>
  <c r="Q68"/>
  <c r="S56"/>
  <c r="S49"/>
  <c r="N40"/>
  <c r="R40"/>
  <c r="Q38"/>
  <c r="Q21"/>
  <c r="I244" i="44"/>
  <c r="I206"/>
  <c r="L206" s="1"/>
  <c r="F157"/>
  <c r="S125"/>
  <c r="AA113"/>
  <c r="Q93"/>
  <c r="C86"/>
  <c r="AA86" s="1"/>
  <c r="F46"/>
  <c r="Z25"/>
  <c r="AB220" i="45"/>
  <c r="R193"/>
  <c r="F191"/>
  <c r="AA191" s="1"/>
  <c r="C174"/>
  <c r="S173"/>
  <c r="F156"/>
  <c r="Z156" s="1"/>
  <c r="Z120"/>
  <c r="Z95"/>
  <c r="C76"/>
  <c r="Z54"/>
  <c r="C52"/>
  <c r="Z33"/>
  <c r="Z30"/>
  <c r="L23"/>
  <c r="Z22"/>
  <c r="F217" i="47"/>
  <c r="Z119"/>
  <c r="L106"/>
  <c r="G76"/>
  <c r="M76" s="1"/>
  <c r="Q45"/>
  <c r="C14" i="50"/>
  <c r="O159" i="37"/>
  <c r="O148"/>
  <c r="O137"/>
  <c r="Q80"/>
  <c r="L20"/>
  <c r="Q139" i="34"/>
  <c r="Q127"/>
  <c r="Q120"/>
  <c r="F113"/>
  <c r="M75"/>
  <c r="F51"/>
  <c r="F43"/>
  <c r="E223" i="43"/>
  <c r="E222" s="1"/>
  <c r="C224"/>
  <c r="Z143"/>
  <c r="Z140"/>
  <c r="S33"/>
  <c r="Z24"/>
  <c r="AA108" i="51"/>
  <c r="K62"/>
  <c r="Z22"/>
  <c r="N169" i="52"/>
  <c r="R123"/>
  <c r="Z102" i="45"/>
  <c r="L102"/>
  <c r="S99"/>
  <c r="AB99"/>
  <c r="R71"/>
  <c r="M71"/>
  <c r="M255" s="1"/>
  <c r="I59"/>
  <c r="L59" s="1"/>
  <c r="N59"/>
  <c r="I55"/>
  <c r="L55" s="1"/>
  <c r="N55"/>
  <c r="Z37"/>
  <c r="Q37"/>
  <c r="F156" i="47"/>
  <c r="AB156"/>
  <c r="R156"/>
  <c r="I250"/>
  <c r="L18"/>
  <c r="C234" i="37"/>
  <c r="O234" s="1"/>
  <c r="P234"/>
  <c r="C34"/>
  <c r="P34"/>
  <c r="F233" i="43"/>
  <c r="Z233" s="1"/>
  <c r="R233"/>
  <c r="H164"/>
  <c r="S164" s="1"/>
  <c r="I60"/>
  <c r="L60" s="1"/>
  <c r="N60"/>
  <c r="K239" i="51"/>
  <c r="N239" s="1"/>
  <c r="N240"/>
  <c r="AA167"/>
  <c r="Z167"/>
  <c r="Q167"/>
  <c r="S14" i="52"/>
  <c r="R15"/>
  <c r="A84" i="57"/>
  <c r="A88" s="1"/>
  <c r="A90" s="1"/>
  <c r="A91" s="1"/>
  <c r="A82"/>
  <c r="X330"/>
  <c r="D328"/>
  <c r="P18" i="38"/>
  <c r="I246" i="40"/>
  <c r="F179"/>
  <c r="Q179" s="1"/>
  <c r="I74"/>
  <c r="L74" s="1"/>
  <c r="N44"/>
  <c r="I33"/>
  <c r="L33" s="1"/>
  <c r="C183" i="41"/>
  <c r="Q132"/>
  <c r="Q131"/>
  <c r="Q124"/>
  <c r="Q96"/>
  <c r="Q92"/>
  <c r="F79"/>
  <c r="C33"/>
  <c r="Q31"/>
  <c r="C25"/>
  <c r="Q25"/>
  <c r="R245" i="42"/>
  <c r="Q219"/>
  <c r="C164"/>
  <c r="Z34"/>
  <c r="C30"/>
  <c r="C25"/>
  <c r="Q24"/>
  <c r="AB125" i="44"/>
  <c r="I82"/>
  <c r="S61"/>
  <c r="Q47"/>
  <c r="F248" i="45"/>
  <c r="AA248" s="1"/>
  <c r="C229"/>
  <c r="AA208"/>
  <c r="C178"/>
  <c r="S175"/>
  <c r="Z112"/>
  <c r="AB189" i="47"/>
  <c r="N175"/>
  <c r="C41"/>
  <c r="C22"/>
  <c r="Q22" s="1"/>
  <c r="Z17"/>
  <c r="O184" i="37"/>
  <c r="O168"/>
  <c r="O156"/>
  <c r="O111"/>
  <c r="O47"/>
  <c r="O37"/>
  <c r="O25"/>
  <c r="I22"/>
  <c r="L22"/>
  <c r="F160" i="34"/>
  <c r="C148"/>
  <c r="Q148" s="1"/>
  <c r="Q123"/>
  <c r="Q121"/>
  <c r="C114"/>
  <c r="F39"/>
  <c r="I250" i="43"/>
  <c r="Z219"/>
  <c r="Z206"/>
  <c r="R196"/>
  <c r="C167"/>
  <c r="N160"/>
  <c r="N145"/>
  <c r="Z112"/>
  <c r="F136" i="44"/>
  <c r="S136"/>
  <c r="AB140" i="45"/>
  <c r="N140"/>
  <c r="E80"/>
  <c r="H81"/>
  <c r="S81" s="1"/>
  <c r="AC191" i="47"/>
  <c r="S191"/>
  <c r="I218" i="43"/>
  <c r="L218" s="1"/>
  <c r="M218"/>
  <c r="R158"/>
  <c r="F158"/>
  <c r="F130"/>
  <c r="S130"/>
  <c r="AB240" i="51"/>
  <c r="G239"/>
  <c r="F239" s="1"/>
  <c r="F29" i="57"/>
  <c r="D29" s="1"/>
  <c r="X29" s="1"/>
  <c r="D30"/>
  <c r="X30" s="1"/>
  <c r="F62"/>
  <c r="D62" s="1"/>
  <c r="D64"/>
  <c r="X64" s="1"/>
  <c r="N23"/>
  <c r="J23"/>
  <c r="M23" s="1"/>
  <c r="Q106" i="40"/>
  <c r="Q61"/>
  <c r="Q192" i="41"/>
  <c r="Q180"/>
  <c r="Q136"/>
  <c r="Q135"/>
  <c r="Q103"/>
  <c r="Q99"/>
  <c r="Q95"/>
  <c r="Q91"/>
  <c r="Q78"/>
  <c r="F58"/>
  <c r="Q58" s="1"/>
  <c r="Q28"/>
  <c r="C224" i="42"/>
  <c r="F40"/>
  <c r="Z40" s="1"/>
  <c r="Z212" i="44"/>
  <c r="Q123"/>
  <c r="Z104"/>
  <c r="AA96"/>
  <c r="AA30"/>
  <c r="Z23"/>
  <c r="C177" i="45"/>
  <c r="C164"/>
  <c r="Z164" s="1"/>
  <c r="Z56"/>
  <c r="Z28"/>
  <c r="Z23"/>
  <c r="F160" i="47"/>
  <c r="Z36"/>
  <c r="Z29"/>
  <c r="C15" i="49"/>
  <c r="C16" i="50"/>
  <c r="O233" i="37"/>
  <c r="O190"/>
  <c r="O153"/>
  <c r="O131"/>
  <c r="O110"/>
  <c r="O88"/>
  <c r="C75"/>
  <c r="O56"/>
  <c r="Q153" i="34"/>
  <c r="Q135"/>
  <c r="C75"/>
  <c r="C51"/>
  <c r="C41"/>
  <c r="I239" i="43"/>
  <c r="Z207"/>
  <c r="Q43"/>
  <c r="C245" i="51"/>
  <c r="Z209"/>
  <c r="Q39"/>
  <c r="G34" i="52"/>
  <c r="X207" i="57"/>
  <c r="X147"/>
  <c r="F128" i="51"/>
  <c r="AC128"/>
  <c r="R88" i="54"/>
  <c r="R155" s="1"/>
  <c r="R157" s="1"/>
  <c r="Q157" s="1"/>
  <c r="Q98"/>
  <c r="L118" i="57"/>
  <c r="M77" i="45"/>
  <c r="S46"/>
  <c r="M238" i="47"/>
  <c r="M230"/>
  <c r="F129"/>
  <c r="Z129" s="1"/>
  <c r="AC42"/>
  <c r="F78" i="37"/>
  <c r="L78" s="1"/>
  <c r="M22"/>
  <c r="C157" i="34"/>
  <c r="Q219" i="43"/>
  <c r="H82"/>
  <c r="H75"/>
  <c r="Q24"/>
  <c r="Z226" i="51"/>
  <c r="L222"/>
  <c r="AA154"/>
  <c r="L151"/>
  <c r="Z150"/>
  <c r="Z139"/>
  <c r="H130"/>
  <c r="AC124"/>
  <c r="Q113"/>
  <c r="Z95"/>
  <c r="C27"/>
  <c r="R118" i="52"/>
  <c r="U93"/>
  <c r="R49"/>
  <c r="O34"/>
  <c r="N23"/>
  <c r="Q147" i="55"/>
  <c r="C144"/>
  <c r="C137"/>
  <c r="Q128"/>
  <c r="Q94"/>
  <c r="C86"/>
  <c r="Q42"/>
  <c r="G126" i="54"/>
  <c r="G122" s="1"/>
  <c r="G117" s="1"/>
  <c r="T107"/>
  <c r="T63"/>
  <c r="X267" i="57"/>
  <c r="X263"/>
  <c r="M206"/>
  <c r="X175"/>
  <c r="O54"/>
  <c r="O85" i="58"/>
  <c r="J57" i="55"/>
  <c r="J157" s="1"/>
  <c r="M157" s="1"/>
  <c r="M58"/>
  <c r="E185" i="57"/>
  <c r="D196"/>
  <c r="G158"/>
  <c r="X158" s="1"/>
  <c r="O158"/>
  <c r="O139"/>
  <c r="G139"/>
  <c r="N25" i="60"/>
  <c r="J25"/>
  <c r="M25" s="1"/>
  <c r="F15"/>
  <c r="D31"/>
  <c r="H33"/>
  <c r="Z145" i="51"/>
  <c r="O169" i="52"/>
  <c r="U147"/>
  <c r="K116"/>
  <c r="U69"/>
  <c r="G60"/>
  <c r="D49"/>
  <c r="N26"/>
  <c r="U22"/>
  <c r="G19"/>
  <c r="H143" i="55"/>
  <c r="H142" s="1"/>
  <c r="H141" s="1"/>
  <c r="Q125"/>
  <c r="Q115"/>
  <c r="Q109"/>
  <c r="Q99"/>
  <c r="Q68"/>
  <c r="Q61"/>
  <c r="Q55"/>
  <c r="F54"/>
  <c r="F29"/>
  <c r="Q17"/>
  <c r="T96" i="54"/>
  <c r="T47"/>
  <c r="F25"/>
  <c r="R320" i="57"/>
  <c r="D310"/>
  <c r="X310" s="1"/>
  <c r="X288"/>
  <c r="I197" i="51"/>
  <c r="L197" s="1"/>
  <c r="M197"/>
  <c r="D148" i="55"/>
  <c r="C148" s="1"/>
  <c r="Q148" s="1"/>
  <c r="C149"/>
  <c r="J155" i="54"/>
  <c r="I155" s="1"/>
  <c r="L155" s="1"/>
  <c r="M127"/>
  <c r="J119"/>
  <c r="J118" s="1"/>
  <c r="M120"/>
  <c r="N295" i="57"/>
  <c r="J295"/>
  <c r="M295" s="1"/>
  <c r="N76"/>
  <c r="J76"/>
  <c r="O197"/>
  <c r="G197"/>
  <c r="O199"/>
  <c r="G199"/>
  <c r="M199" s="1"/>
  <c r="AC142" i="47"/>
  <c r="S139"/>
  <c r="S258" s="1"/>
  <c r="R238" i="43"/>
  <c r="Z66"/>
  <c r="Z43"/>
  <c r="Q225" i="51"/>
  <c r="Q154"/>
  <c r="AA145"/>
  <c r="AC118"/>
  <c r="Z112"/>
  <c r="R93"/>
  <c r="Z50"/>
  <c r="Z33"/>
  <c r="U151" i="52"/>
  <c r="U118"/>
  <c r="J117"/>
  <c r="J116" s="1"/>
  <c r="U68"/>
  <c r="Q145" i="55"/>
  <c r="F144"/>
  <c r="Q133"/>
  <c r="Q131"/>
  <c r="C113"/>
  <c r="Q66"/>
  <c r="Q64"/>
  <c r="Q48"/>
  <c r="C25"/>
  <c r="Q25" s="1"/>
  <c r="F137" i="54"/>
  <c r="E281" i="57"/>
  <c r="D278"/>
  <c r="V93"/>
  <c r="U93" s="1"/>
  <c r="J278"/>
  <c r="N278"/>
  <c r="O105"/>
  <c r="L104"/>
  <c r="J214"/>
  <c r="M214" s="1"/>
  <c r="O214"/>
  <c r="F190"/>
  <c r="D190" s="1"/>
  <c r="I192"/>
  <c r="I186" s="1"/>
  <c r="F186"/>
  <c r="D192"/>
  <c r="F164" i="60"/>
  <c r="I68"/>
  <c r="D68"/>
  <c r="K82"/>
  <c r="J83"/>
  <c r="X311" i="57"/>
  <c r="J308"/>
  <c r="M308" s="1"/>
  <c r="X304"/>
  <c r="J292"/>
  <c r="X289"/>
  <c r="X285"/>
  <c r="X244"/>
  <c r="X235"/>
  <c r="X232"/>
  <c r="X229"/>
  <c r="X213"/>
  <c r="X195"/>
  <c r="X194"/>
  <c r="X189"/>
  <c r="N180"/>
  <c r="M107"/>
  <c r="X91"/>
  <c r="N83"/>
  <c r="O76"/>
  <c r="M75"/>
  <c r="M274"/>
  <c r="K67" i="58"/>
  <c r="K187"/>
  <c r="F164"/>
  <c r="F148" s="1"/>
  <c r="X102" i="57"/>
  <c r="X215"/>
  <c r="X26"/>
  <c r="H166"/>
  <c r="G167"/>
  <c r="M167" s="1"/>
  <c r="H94" i="60"/>
  <c r="G94" s="1"/>
  <c r="E83"/>
  <c r="E82" s="1"/>
  <c r="D94"/>
  <c r="H95"/>
  <c r="N95" s="1"/>
  <c r="D95"/>
  <c r="J116"/>
  <c r="N125"/>
  <c r="J125"/>
  <c r="M125" s="1"/>
  <c r="X319" i="57"/>
  <c r="M244"/>
  <c r="X238"/>
  <c r="X57"/>
  <c r="Z106" i="58"/>
  <c r="X106" s="1"/>
  <c r="L165" i="57"/>
  <c r="I259"/>
  <c r="I258" s="1"/>
  <c r="I257" s="1"/>
  <c r="F258"/>
  <c r="D258" s="1"/>
  <c r="K165"/>
  <c r="J166"/>
  <c r="I132" i="60"/>
  <c r="O132" s="1"/>
  <c r="F131"/>
  <c r="I131" s="1"/>
  <c r="D132"/>
  <c r="L320" i="57"/>
  <c r="X302"/>
  <c r="O249"/>
  <c r="L110"/>
  <c r="O110" s="1"/>
  <c r="X36"/>
  <c r="X34"/>
  <c r="J290"/>
  <c r="M290" s="1"/>
  <c r="K16" i="60"/>
  <c r="N32"/>
  <c r="I104"/>
  <c r="D104"/>
  <c r="O87"/>
  <c r="G87"/>
  <c r="M87" s="1"/>
  <c r="N91"/>
  <c r="G91"/>
  <c r="O95" i="57"/>
  <c r="F166"/>
  <c r="I166"/>
  <c r="J285"/>
  <c r="M285" s="1"/>
  <c r="M294"/>
  <c r="J303"/>
  <c r="M303" s="1"/>
  <c r="G44" i="60"/>
  <c r="X44" s="1"/>
  <c r="I32"/>
  <c r="O44"/>
  <c r="H149"/>
  <c r="H148" s="1"/>
  <c r="N151"/>
  <c r="M302" i="57"/>
  <c r="H84" i="60"/>
  <c r="H16" s="1"/>
  <c r="N299" i="57"/>
  <c r="I73" i="60"/>
  <c r="D73"/>
  <c r="G35"/>
  <c r="X35" s="1"/>
  <c r="H31"/>
  <c r="K184" i="57"/>
  <c r="X242"/>
  <c r="N202"/>
  <c r="M283"/>
  <c r="J287"/>
  <c r="M287" s="1"/>
  <c r="M291"/>
  <c r="G53" i="60"/>
  <c r="X53" s="1"/>
  <c r="H65"/>
  <c r="H13" s="1"/>
  <c r="G134"/>
  <c r="I38"/>
  <c r="I37" s="1"/>
  <c r="I90"/>
  <c r="G90" s="1"/>
  <c r="O31"/>
  <c r="D105"/>
  <c r="D134"/>
  <c r="I119" i="54"/>
  <c r="L119" s="1"/>
  <c r="M119"/>
  <c r="Q88"/>
  <c r="C80" i="45"/>
  <c r="Z136" i="44"/>
  <c r="AA217" i="47"/>
  <c r="S74" i="44"/>
  <c r="Q248" i="45"/>
  <c r="O73" i="60"/>
  <c r="F257" i="57"/>
  <c r="F256" s="1"/>
  <c r="N81" i="45"/>
  <c r="Q134" i="43"/>
  <c r="N24" i="20"/>
  <c r="AB174" i="44"/>
  <c r="Q248"/>
  <c r="F164" i="42"/>
  <c r="Z164" s="1"/>
  <c r="L233" i="43"/>
  <c r="Q160" i="47"/>
  <c r="AA164" i="45"/>
  <c r="N164" i="43"/>
  <c r="Q190" i="47"/>
  <c r="Z190"/>
  <c r="L140" i="44"/>
  <c r="S149"/>
  <c r="G132" i="60"/>
  <c r="I190" i="57"/>
  <c r="G190" s="1"/>
  <c r="AC130" i="51"/>
  <c r="AA156" i="47"/>
  <c r="AB76"/>
  <c r="C72" i="34"/>
  <c r="M237" i="40"/>
  <c r="R237"/>
  <c r="E19" i="31"/>
  <c r="E18" s="1"/>
  <c r="S173" i="44"/>
  <c r="N173"/>
  <c r="H279" i="61"/>
  <c r="H276" s="1"/>
  <c r="I279"/>
  <c r="N298"/>
  <c r="O252"/>
  <c r="O258"/>
  <c r="D241"/>
  <c r="D279"/>
  <c r="D216"/>
  <c r="G344"/>
  <c r="X344" s="1"/>
  <c r="D30"/>
  <c r="D180"/>
  <c r="D170"/>
  <c r="D171"/>
  <c r="F315"/>
  <c r="D237"/>
  <c r="D277"/>
  <c r="D147"/>
  <c r="D143"/>
  <c r="D175"/>
  <c r="D135"/>
  <c r="J362"/>
  <c r="L358"/>
  <c r="O358" s="1"/>
  <c r="V289" i="62"/>
  <c r="U303"/>
  <c r="G325"/>
  <c r="X326"/>
  <c r="D327"/>
  <c r="G341"/>
  <c r="X346"/>
  <c r="X355"/>
  <c r="G365"/>
  <c r="G362" s="1"/>
  <c r="G361" s="1"/>
  <c r="G360" s="1"/>
  <c r="W289"/>
  <c r="W288" s="1"/>
  <c r="X293"/>
  <c r="X302"/>
  <c r="T289"/>
  <c r="T288" s="1"/>
  <c r="X308"/>
  <c r="I310"/>
  <c r="N310"/>
  <c r="X335"/>
  <c r="D341"/>
  <c r="D343"/>
  <c r="X344"/>
  <c r="J345"/>
  <c r="M345" s="1"/>
  <c r="X350"/>
  <c r="R351"/>
  <c r="L353"/>
  <c r="O353" s="1"/>
  <c r="M367"/>
  <c r="H289"/>
  <c r="H288" s="1"/>
  <c r="X304"/>
  <c r="D305"/>
  <c r="G311"/>
  <c r="M311" s="1"/>
  <c r="E289"/>
  <c r="X292"/>
  <c r="D310"/>
  <c r="R322"/>
  <c r="X323"/>
  <c r="O324"/>
  <c r="D347"/>
  <c r="X352"/>
  <c r="F353"/>
  <c r="X359"/>
  <c r="X367"/>
  <c r="I40"/>
  <c r="G40" s="1"/>
  <c r="X52"/>
  <c r="G55"/>
  <c r="A83"/>
  <c r="A85"/>
  <c r="A89" s="1"/>
  <c r="A96" s="1"/>
  <c r="A100" s="1"/>
  <c r="A104" s="1"/>
  <c r="A108" s="1"/>
  <c r="A110" s="1"/>
  <c r="A111" s="1"/>
  <c r="A114" s="1"/>
  <c r="I49"/>
  <c r="G42"/>
  <c r="H57"/>
  <c r="G57" s="1"/>
  <c r="D57"/>
  <c r="H69"/>
  <c r="G69" s="1"/>
  <c r="D69"/>
  <c r="N75"/>
  <c r="J75"/>
  <c r="K74"/>
  <c r="H109"/>
  <c r="N113"/>
  <c r="N118"/>
  <c r="J118"/>
  <c r="I127"/>
  <c r="G127" s="1"/>
  <c r="D127"/>
  <c r="N153"/>
  <c r="J153"/>
  <c r="N290"/>
  <c r="J290"/>
  <c r="M290" s="1"/>
  <c r="R290"/>
  <c r="S289"/>
  <c r="R314"/>
  <c r="S313"/>
  <c r="S309" s="1"/>
  <c r="H46"/>
  <c r="G46" s="1"/>
  <c r="D46"/>
  <c r="J84"/>
  <c r="K81"/>
  <c r="K80" s="1"/>
  <c r="O96"/>
  <c r="L95"/>
  <c r="N114"/>
  <c r="J114"/>
  <c r="M114" s="1"/>
  <c r="D137"/>
  <c r="I137"/>
  <c r="G137" s="1"/>
  <c r="X137" s="1"/>
  <c r="I147"/>
  <c r="G147" s="1"/>
  <c r="D147"/>
  <c r="E164"/>
  <c r="J186"/>
  <c r="G198"/>
  <c r="H197"/>
  <c r="L313"/>
  <c r="N324"/>
  <c r="J324"/>
  <c r="O341"/>
  <c r="J341"/>
  <c r="M341" s="1"/>
  <c r="L340"/>
  <c r="O340" s="1"/>
  <c r="N351"/>
  <c r="J351"/>
  <c r="M351" s="1"/>
  <c r="H60"/>
  <c r="G60" s="1"/>
  <c r="D60"/>
  <c r="H95"/>
  <c r="I101"/>
  <c r="I93" s="1"/>
  <c r="F93"/>
  <c r="N103"/>
  <c r="J103"/>
  <c r="J184"/>
  <c r="K183"/>
  <c r="H187"/>
  <c r="G189"/>
  <c r="H186"/>
  <c r="H184"/>
  <c r="N184"/>
  <c r="G195"/>
  <c r="I196"/>
  <c r="I194" s="1"/>
  <c r="F194"/>
  <c r="J200"/>
  <c r="J218"/>
  <c r="N327"/>
  <c r="J327"/>
  <c r="M327"/>
  <c r="L356"/>
  <c r="O356" s="1"/>
  <c r="L357"/>
  <c r="O357" s="1"/>
  <c r="O358"/>
  <c r="E361"/>
  <c r="E360" s="1"/>
  <c r="S15"/>
  <c r="J16"/>
  <c r="M16" s="1"/>
  <c r="N16"/>
  <c r="D21"/>
  <c r="J28"/>
  <c r="M28" s="1"/>
  <c r="J32"/>
  <c r="M32" s="1"/>
  <c r="O36"/>
  <c r="D40"/>
  <c r="D41"/>
  <c r="I41"/>
  <c r="G41" s="1"/>
  <c r="U42"/>
  <c r="J46"/>
  <c r="M46" s="1"/>
  <c r="D54"/>
  <c r="I54"/>
  <c r="G54"/>
  <c r="U55"/>
  <c r="D66"/>
  <c r="G71"/>
  <c r="X71" s="1"/>
  <c r="X72"/>
  <c r="E81"/>
  <c r="E80" s="1"/>
  <c r="D82"/>
  <c r="R82"/>
  <c r="V95"/>
  <c r="G97"/>
  <c r="X97" s="1"/>
  <c r="I94"/>
  <c r="S99"/>
  <c r="G102"/>
  <c r="M102" s="1"/>
  <c r="S103"/>
  <c r="R103" s="1"/>
  <c r="J117"/>
  <c r="H118"/>
  <c r="G119"/>
  <c r="G122"/>
  <c r="G140"/>
  <c r="G149"/>
  <c r="D158"/>
  <c r="G160"/>
  <c r="R179"/>
  <c r="J181"/>
  <c r="M181" s="1"/>
  <c r="G315"/>
  <c r="O315"/>
  <c r="J357"/>
  <c r="M357" s="1"/>
  <c r="I16"/>
  <c r="G16" s="1"/>
  <c r="J19"/>
  <c r="M19" s="1"/>
  <c r="O21"/>
  <c r="J24"/>
  <c r="M24" s="1"/>
  <c r="G26"/>
  <c r="X26" s="1"/>
  <c r="D32"/>
  <c r="D42"/>
  <c r="G50"/>
  <c r="X50" s="1"/>
  <c r="D55"/>
  <c r="R57"/>
  <c r="J60"/>
  <c r="M60" s="1"/>
  <c r="U69"/>
  <c r="X78"/>
  <c r="Q80"/>
  <c r="U82"/>
  <c r="G98"/>
  <c r="X98"/>
  <c r="I100"/>
  <c r="O100" s="1"/>
  <c r="U100"/>
  <c r="U99"/>
  <c r="I104"/>
  <c r="O104" s="1"/>
  <c r="U104"/>
  <c r="G105"/>
  <c r="J107"/>
  <c r="M107" s="1"/>
  <c r="U109"/>
  <c r="U111"/>
  <c r="G112"/>
  <c r="X112" s="1"/>
  <c r="U118"/>
  <c r="G135"/>
  <c r="G142"/>
  <c r="G144"/>
  <c r="X144" s="1"/>
  <c r="G146"/>
  <c r="X146" s="1"/>
  <c r="G150"/>
  <c r="F153"/>
  <c r="D156"/>
  <c r="D161"/>
  <c r="G167"/>
  <c r="A328"/>
  <c r="M336"/>
  <c r="N94"/>
  <c r="J94"/>
  <c r="H100"/>
  <c r="D100"/>
  <c r="E99"/>
  <c r="H99" s="1"/>
  <c r="H104"/>
  <c r="D104"/>
  <c r="E103"/>
  <c r="D103" s="1"/>
  <c r="H111"/>
  <c r="D111"/>
  <c r="L377"/>
  <c r="L183"/>
  <c r="J206"/>
  <c r="O229"/>
  <c r="I227"/>
  <c r="H35"/>
  <c r="G35" s="1"/>
  <c r="D35"/>
  <c r="I59"/>
  <c r="D59"/>
  <c r="I65"/>
  <c r="G65" s="1"/>
  <c r="D65"/>
  <c r="N77"/>
  <c r="J77"/>
  <c r="E375"/>
  <c r="D92"/>
  <c r="J167"/>
  <c r="M167" s="1"/>
  <c r="O167"/>
  <c r="H196"/>
  <c r="D196"/>
  <c r="N203"/>
  <c r="J203"/>
  <c r="M203" s="1"/>
  <c r="J215"/>
  <c r="G225"/>
  <c r="X225" s="1"/>
  <c r="H224"/>
  <c r="G245"/>
  <c r="X245" s="1"/>
  <c r="H244"/>
  <c r="G244" s="1"/>
  <c r="N250"/>
  <c r="J250"/>
  <c r="M250" s="1"/>
  <c r="I265"/>
  <c r="O265" s="1"/>
  <c r="O266"/>
  <c r="O290"/>
  <c r="L289"/>
  <c r="N305"/>
  <c r="J305"/>
  <c r="U347"/>
  <c r="V340"/>
  <c r="N349"/>
  <c r="J349"/>
  <c r="M349" s="1"/>
  <c r="X364"/>
  <c r="D363"/>
  <c r="X363" s="1"/>
  <c r="O365"/>
  <c r="I362"/>
  <c r="I361" s="1"/>
  <c r="I360" s="1"/>
  <c r="D24"/>
  <c r="J30"/>
  <c r="M30" s="1"/>
  <c r="O55"/>
  <c r="P80"/>
  <c r="U103"/>
  <c r="L113"/>
  <c r="O113" s="1"/>
  <c r="N117"/>
  <c r="F118"/>
  <c r="D118" s="1"/>
  <c r="J212"/>
  <c r="G260"/>
  <c r="H259"/>
  <c r="N259" s="1"/>
  <c r="N260"/>
  <c r="R345"/>
  <c r="S340"/>
  <c r="S339" s="1"/>
  <c r="S338" s="1"/>
  <c r="F365"/>
  <c r="F362" s="1"/>
  <c r="D366"/>
  <c r="F74"/>
  <c r="J82"/>
  <c r="M82" s="1"/>
  <c r="G85"/>
  <c r="J86"/>
  <c r="M86" s="1"/>
  <c r="J96"/>
  <c r="M96" s="1"/>
  <c r="D101"/>
  <c r="D107"/>
  <c r="D126"/>
  <c r="G156"/>
  <c r="G158"/>
  <c r="G161"/>
  <c r="M161" s="1"/>
  <c r="J175"/>
  <c r="M175" s="1"/>
  <c r="S164"/>
  <c r="G180"/>
  <c r="M180" s="1"/>
  <c r="R183"/>
  <c r="U183"/>
  <c r="D209"/>
  <c r="J230"/>
  <c r="D259"/>
  <c r="G303"/>
  <c r="R307"/>
  <c r="X312"/>
  <c r="M320"/>
  <c r="I130"/>
  <c r="G130" s="1"/>
  <c r="D130"/>
  <c r="H153"/>
  <c r="J165"/>
  <c r="L164"/>
  <c r="G170"/>
  <c r="H169"/>
  <c r="G169" s="1"/>
  <c r="G188"/>
  <c r="X188" s="1"/>
  <c r="I187"/>
  <c r="O187" s="1"/>
  <c r="H190"/>
  <c r="G210"/>
  <c r="H209"/>
  <c r="G238"/>
  <c r="X238" s="1"/>
  <c r="H236"/>
  <c r="N244"/>
  <c r="J244"/>
  <c r="M244" s="1"/>
  <c r="J265"/>
  <c r="N301"/>
  <c r="J301"/>
  <c r="M301" s="1"/>
  <c r="N307"/>
  <c r="J307"/>
  <c r="M307" s="1"/>
  <c r="G345"/>
  <c r="I340"/>
  <c r="I339" s="1"/>
  <c r="I338" s="1"/>
  <c r="K353"/>
  <c r="N354"/>
  <c r="J354"/>
  <c r="M354" s="1"/>
  <c r="R354"/>
  <c r="T353"/>
  <c r="R353" s="1"/>
  <c r="N358"/>
  <c r="J358"/>
  <c r="M358" s="1"/>
  <c r="K356"/>
  <c r="N356" s="1"/>
  <c r="O89"/>
  <c r="G138"/>
  <c r="G168"/>
  <c r="X168" s="1"/>
  <c r="T164"/>
  <c r="T163"/>
  <c r="U175"/>
  <c r="N180"/>
  <c r="D227"/>
  <c r="G232"/>
  <c r="X232" s="1"/>
  <c r="D281"/>
  <c r="X297"/>
  <c r="R327"/>
  <c r="X330"/>
  <c r="D332"/>
  <c r="N278"/>
  <c r="J278"/>
  <c r="M278"/>
  <c r="N303"/>
  <c r="J303"/>
  <c r="M303" s="1"/>
  <c r="K289"/>
  <c r="N289" s="1"/>
  <c r="J317"/>
  <c r="M317" s="1"/>
  <c r="N317"/>
  <c r="K314"/>
  <c r="J314" s="1"/>
  <c r="U345"/>
  <c r="W340"/>
  <c r="W339" s="1"/>
  <c r="W338" s="1"/>
  <c r="V356"/>
  <c r="U356" s="1"/>
  <c r="V357"/>
  <c r="U357" s="1"/>
  <c r="K361"/>
  <c r="K377"/>
  <c r="J377" s="1"/>
  <c r="G223"/>
  <c r="X223" s="1"/>
  <c r="G229"/>
  <c r="X229" s="1"/>
  <c r="I236"/>
  <c r="G243"/>
  <c r="X243" s="1"/>
  <c r="G249"/>
  <c r="X249" s="1"/>
  <c r="G268"/>
  <c r="X268" s="1"/>
  <c r="G276"/>
  <c r="U276"/>
  <c r="M277"/>
  <c r="M283"/>
  <c r="U290"/>
  <c r="U314"/>
  <c r="X320"/>
  <c r="X336"/>
  <c r="U341"/>
  <c r="F340"/>
  <c r="F339" s="1"/>
  <c r="F338" s="1"/>
  <c r="G347"/>
  <c r="D357"/>
  <c r="I255"/>
  <c r="I253" s="1"/>
  <c r="F253"/>
  <c r="N262"/>
  <c r="J262"/>
  <c r="M262" s="1"/>
  <c r="G267"/>
  <c r="X267" s="1"/>
  <c r="H265"/>
  <c r="N273"/>
  <c r="J273"/>
  <c r="M273" s="1"/>
  <c r="G275"/>
  <c r="X275" s="1"/>
  <c r="I273"/>
  <c r="O276"/>
  <c r="J276"/>
  <c r="D345"/>
  <c r="E340"/>
  <c r="D340" s="1"/>
  <c r="O347"/>
  <c r="J347"/>
  <c r="M347" s="1"/>
  <c r="H356"/>
  <c r="H357"/>
  <c r="L375"/>
  <c r="K376"/>
  <c r="I221"/>
  <c r="O221" s="1"/>
  <c r="O227"/>
  <c r="I230"/>
  <c r="M306"/>
  <c r="M312"/>
  <c r="T313"/>
  <c r="T309" s="1"/>
  <c r="M323"/>
  <c r="H221"/>
  <c r="N221" s="1"/>
  <c r="G222"/>
  <c r="J224"/>
  <c r="H230"/>
  <c r="G230" s="1"/>
  <c r="J233"/>
  <c r="J239"/>
  <c r="M239" s="1"/>
  <c r="J247"/>
  <c r="M247" s="1"/>
  <c r="H250"/>
  <c r="J253"/>
  <c r="D255"/>
  <c r="G261"/>
  <c r="X261" s="1"/>
  <c r="G266"/>
  <c r="G272"/>
  <c r="M272" s="1"/>
  <c r="J322"/>
  <c r="D136" i="61"/>
  <c r="D316"/>
  <c r="D184"/>
  <c r="J345"/>
  <c r="F231"/>
  <c r="D219"/>
  <c r="G342"/>
  <c r="X342" s="1"/>
  <c r="T383"/>
  <c r="E102"/>
  <c r="E101" s="1"/>
  <c r="H101" s="1"/>
  <c r="E211"/>
  <c r="D211" s="1"/>
  <c r="V382"/>
  <c r="U382" s="1"/>
  <c r="V383"/>
  <c r="U383" s="1"/>
  <c r="R384"/>
  <c r="N353" i="62"/>
  <c r="F117"/>
  <c r="D99"/>
  <c r="L339"/>
  <c r="L338" s="1"/>
  <c r="O338" s="1"/>
  <c r="J113"/>
  <c r="M113" s="1"/>
  <c r="G341" i="61"/>
  <c r="N341"/>
  <c r="F102"/>
  <c r="I102" s="1"/>
  <c r="F335"/>
  <c r="D335" s="1"/>
  <c r="F281"/>
  <c r="D281" s="1"/>
  <c r="D149"/>
  <c r="D134"/>
  <c r="F31"/>
  <c r="I31" s="1"/>
  <c r="G31" s="1"/>
  <c r="J372" i="62"/>
  <c r="J88"/>
  <c r="N82" i="43"/>
  <c r="R78" i="44"/>
  <c r="H277" i="57"/>
  <c r="S72" i="47"/>
  <c r="AC72"/>
  <c r="K252" i="38"/>
  <c r="Q170" i="47"/>
  <c r="Z170"/>
  <c r="AA170"/>
  <c r="Q73" i="51"/>
  <c r="Z73"/>
  <c r="O213" i="52"/>
  <c r="M15" i="36"/>
  <c r="AA97" i="47"/>
  <c r="Q97"/>
  <c r="Z97"/>
  <c r="D203"/>
  <c r="R204"/>
  <c r="Z176" i="42"/>
  <c r="Q176"/>
  <c r="I148" i="54"/>
  <c r="L148" s="1"/>
  <c r="M148"/>
  <c r="Q63" i="44"/>
  <c r="Z63"/>
  <c r="AA63"/>
  <c r="S178" i="43"/>
  <c r="N178"/>
  <c r="N79" i="40"/>
  <c r="S79"/>
  <c r="F79"/>
  <c r="R173" i="38"/>
  <c r="D173"/>
  <c r="P173" s="1"/>
  <c r="M163"/>
  <c r="Q151" i="37"/>
  <c r="E242"/>
  <c r="C151"/>
  <c r="O151" s="1"/>
  <c r="E145"/>
  <c r="Z157" i="44"/>
  <c r="Z64" i="43"/>
  <c r="Q64"/>
  <c r="Z44" i="47"/>
  <c r="Z230"/>
  <c r="AA230"/>
  <c r="Q230"/>
  <c r="M236" i="38"/>
  <c r="P236"/>
  <c r="N41" i="25"/>
  <c r="I41"/>
  <c r="R254" i="38"/>
  <c r="L233" i="47"/>
  <c r="Q233"/>
  <c r="AA233"/>
  <c r="Z233"/>
  <c r="H148" i="58"/>
  <c r="E80" i="51"/>
  <c r="K238" i="52"/>
  <c r="AC245" i="51"/>
  <c r="S245"/>
  <c r="J42" i="59"/>
  <c r="M42" s="1"/>
  <c r="O42"/>
  <c r="K313" i="62"/>
  <c r="G192" i="57"/>
  <c r="S174" i="44"/>
  <c r="AA248"/>
  <c r="Z161" i="43"/>
  <c r="N76" i="45"/>
  <c r="S76"/>
  <c r="AB76"/>
  <c r="S83" i="41"/>
  <c r="C83"/>
  <c r="N67" i="31"/>
  <c r="K45"/>
  <c r="E90" i="33"/>
  <c r="E240"/>
  <c r="Z197" i="44"/>
  <c r="AA197"/>
  <c r="Q197"/>
  <c r="Z134"/>
  <c r="Q134"/>
  <c r="E122" i="54"/>
  <c r="E117" s="1"/>
  <c r="C126"/>
  <c r="AA53" i="51"/>
  <c r="Z53"/>
  <c r="Q53"/>
  <c r="L139" i="55"/>
  <c r="Z72" i="42"/>
  <c r="Q72"/>
  <c r="Q152"/>
  <c r="Z152"/>
  <c r="J155" i="34"/>
  <c r="M155" s="1"/>
  <c r="M158"/>
  <c r="M141" i="54"/>
  <c r="J142" i="55"/>
  <c r="M143"/>
  <c r="AA127" i="51"/>
  <c r="Z127"/>
  <c r="Q127"/>
  <c r="M83" i="45"/>
  <c r="R83"/>
  <c r="G82"/>
  <c r="F83"/>
  <c r="R162"/>
  <c r="F162"/>
  <c r="F177"/>
  <c r="Z177" s="1"/>
  <c r="R177"/>
  <c r="R187"/>
  <c r="M187"/>
  <c r="F187"/>
  <c r="R200"/>
  <c r="M200"/>
  <c r="F200"/>
  <c r="I70" i="44"/>
  <c r="K69"/>
  <c r="K252" s="1"/>
  <c r="G89" i="41"/>
  <c r="M142"/>
  <c r="C92" i="9"/>
  <c r="F100"/>
  <c r="F72"/>
  <c r="F25"/>
  <c r="E20"/>
  <c r="C66" i="11"/>
  <c r="E67"/>
  <c r="D52"/>
  <c r="E53"/>
  <c r="D33"/>
  <c r="D64" i="26"/>
  <c r="D101"/>
  <c r="E43"/>
  <c r="E32" s="1"/>
  <c r="Q47"/>
  <c r="E44"/>
  <c r="Q44" s="1"/>
  <c r="E15"/>
  <c r="E27"/>
  <c r="Q36"/>
  <c r="E33"/>
  <c r="Q33" s="1"/>
  <c r="E59" i="20"/>
  <c r="C54"/>
  <c r="P54"/>
  <c r="D53"/>
  <c r="I123" i="31"/>
  <c r="M123"/>
  <c r="S174" i="41"/>
  <c r="C174"/>
  <c r="Q174" s="1"/>
  <c r="S160"/>
  <c r="D70"/>
  <c r="R81"/>
  <c r="N218" i="42"/>
  <c r="R218"/>
  <c r="C218"/>
  <c r="D203"/>
  <c r="Z217"/>
  <c r="Q217"/>
  <c r="M25" i="31"/>
  <c r="F78" i="44"/>
  <c r="L90" i="41"/>
  <c r="K36" i="25"/>
  <c r="G162" i="31"/>
  <c r="D179" i="34"/>
  <c r="G24" i="20"/>
  <c r="O94" i="62"/>
  <c r="G95" i="60"/>
  <c r="M95" s="1"/>
  <c r="S259" i="44"/>
  <c r="F166" i="40"/>
  <c r="R166"/>
  <c r="N281" i="57"/>
  <c r="G93"/>
  <c r="Z35" i="42"/>
  <c r="Q35"/>
  <c r="F18" i="9"/>
  <c r="E13"/>
  <c r="F13" s="1"/>
  <c r="Q77" i="26"/>
  <c r="P238" i="38"/>
  <c r="M238"/>
  <c r="Z25" i="43"/>
  <c r="Q25"/>
  <c r="Z53" i="47"/>
  <c r="AA53"/>
  <c r="Z135"/>
  <c r="Q135"/>
  <c r="AA135"/>
  <c r="E244" i="41"/>
  <c r="S245"/>
  <c r="C245"/>
  <c r="M229" i="45"/>
  <c r="M42" i="22"/>
  <c r="J41"/>
  <c r="F67" i="31"/>
  <c r="G45"/>
  <c r="Q164" i="38"/>
  <c r="D164"/>
  <c r="P164" s="1"/>
  <c r="E145"/>
  <c r="E90" s="1"/>
  <c r="F81" i="45"/>
  <c r="H80"/>
  <c r="N19" i="22"/>
  <c r="F19"/>
  <c r="H105" i="58"/>
  <c r="N207" i="37"/>
  <c r="K206"/>
  <c r="I207"/>
  <c r="L207" s="1"/>
  <c r="R172" i="42"/>
  <c r="F172"/>
  <c r="G69" i="26"/>
  <c r="F65"/>
  <c r="M16" i="25"/>
  <c r="I306" i="57"/>
  <c r="G307"/>
  <c r="Z141" i="44"/>
  <c r="AA141"/>
  <c r="Q141"/>
  <c r="N49" i="59"/>
  <c r="I148" i="55"/>
  <c r="L148" s="1"/>
  <c r="N148"/>
  <c r="F238" i="52"/>
  <c r="Z156" i="43"/>
  <c r="Q156"/>
  <c r="S87"/>
  <c r="H86"/>
  <c r="Q132"/>
  <c r="Z132"/>
  <c r="Z152"/>
  <c r="Q152"/>
  <c r="R15" i="36"/>
  <c r="AA15"/>
  <c r="AC46" i="47"/>
  <c r="C46"/>
  <c r="S46"/>
  <c r="I49" i="59"/>
  <c r="I136"/>
  <c r="G65"/>
  <c r="G49" s="1"/>
  <c r="J65"/>
  <c r="J49" s="1"/>
  <c r="M66"/>
  <c r="M72" i="28"/>
  <c r="L72" s="1"/>
  <c r="F72"/>
  <c r="E288" i="62"/>
  <c r="K54" i="60"/>
  <c r="AA128" i="51"/>
  <c r="Q156" i="47"/>
  <c r="Z156"/>
  <c r="Z46" i="44"/>
  <c r="F15" i="20"/>
  <c r="U18" i="60"/>
  <c r="V17"/>
  <c r="U17" s="1"/>
  <c r="F150" i="43"/>
  <c r="S150"/>
  <c r="Z176"/>
  <c r="Q176"/>
  <c r="AA172" i="51"/>
  <c r="Q172"/>
  <c r="Z172"/>
  <c r="L234" i="45"/>
  <c r="Z234"/>
  <c r="AA234"/>
  <c r="M77" i="42"/>
  <c r="R77"/>
  <c r="F77"/>
  <c r="AA133" i="44"/>
  <c r="Z133"/>
  <c r="Q154" i="42"/>
  <c r="Z154"/>
  <c r="R229" i="38"/>
  <c r="I228"/>
  <c r="O229"/>
  <c r="Q170" i="44"/>
  <c r="Z170"/>
  <c r="AA170"/>
  <c r="R96" i="57"/>
  <c r="E49" i="55"/>
  <c r="E153"/>
  <c r="AA100" i="44"/>
  <c r="Q100"/>
  <c r="Z100"/>
  <c r="Q245"/>
  <c r="AA245"/>
  <c r="F171"/>
  <c r="S171"/>
  <c r="AB171"/>
  <c r="Z134" i="42"/>
  <c r="Q134"/>
  <c r="AA161" i="45"/>
  <c r="Z161"/>
  <c r="Q161"/>
  <c r="L161"/>
  <c r="Q55" i="44"/>
  <c r="AA55"/>
  <c r="Z55"/>
  <c r="L176" i="40"/>
  <c r="Q176"/>
  <c r="S203"/>
  <c r="M176" i="33"/>
  <c r="P176"/>
  <c r="Q19" i="47"/>
  <c r="Z19"/>
  <c r="AA19"/>
  <c r="Q69"/>
  <c r="L69"/>
  <c r="AA69"/>
  <c r="Z69"/>
  <c r="H196" i="51"/>
  <c r="F188" i="43"/>
  <c r="S188"/>
  <c r="AB194" i="45"/>
  <c r="S194"/>
  <c r="M86" i="42"/>
  <c r="R86"/>
  <c r="Q165"/>
  <c r="Z165"/>
  <c r="K203" i="47"/>
  <c r="N204"/>
  <c r="Z136" i="42"/>
  <c r="Q136"/>
  <c r="D13" i="8"/>
  <c r="D100"/>
  <c r="D99" s="1"/>
  <c r="F79"/>
  <c r="E13"/>
  <c r="F13" s="1"/>
  <c r="J19" i="28"/>
  <c r="I20"/>
  <c r="M20"/>
  <c r="L20" s="1"/>
  <c r="K18" i="25"/>
  <c r="N19"/>
  <c r="K16"/>
  <c r="I19"/>
  <c r="F145" i="31"/>
  <c r="G140"/>
  <c r="F130"/>
  <c r="F45" i="32"/>
  <c r="G16"/>
  <c r="I43"/>
  <c r="L43" s="1"/>
  <c r="N43"/>
  <c r="C41"/>
  <c r="C30"/>
  <c r="N27"/>
  <c r="D239" i="33"/>
  <c r="J232"/>
  <c r="M232" s="1"/>
  <c r="K217"/>
  <c r="K216" s="1"/>
  <c r="G229"/>
  <c r="P229" s="1"/>
  <c r="R229"/>
  <c r="N227"/>
  <c r="Q227"/>
  <c r="G227"/>
  <c r="H218"/>
  <c r="G225"/>
  <c r="M225" s="1"/>
  <c r="O225"/>
  <c r="R225"/>
  <c r="I218"/>
  <c r="H207"/>
  <c r="Q210"/>
  <c r="G210"/>
  <c r="N208"/>
  <c r="J208"/>
  <c r="M208" s="1"/>
  <c r="K207"/>
  <c r="N52" i="54"/>
  <c r="K51"/>
  <c r="I52"/>
  <c r="L52" s="1"/>
  <c r="M27"/>
  <c r="I27"/>
  <c r="L27" s="1"/>
  <c r="J15"/>
  <c r="N23"/>
  <c r="I23"/>
  <c r="L23" s="1"/>
  <c r="H15"/>
  <c r="F19"/>
  <c r="V320" i="57"/>
  <c r="U321"/>
  <c r="K288" i="62"/>
  <c r="Q164" i="42"/>
  <c r="N72" i="47"/>
  <c r="C204"/>
  <c r="R229" i="45"/>
  <c r="N79" i="57"/>
  <c r="Q156" i="45"/>
  <c r="Q201" i="43"/>
  <c r="AB81" i="45"/>
  <c r="H165" i="60"/>
  <c r="Q129" i="47"/>
  <c r="E70" i="9"/>
  <c r="W78" i="57"/>
  <c r="AB204" i="47"/>
  <c r="Z218" i="43"/>
  <c r="E15" i="54"/>
  <c r="Q98" i="44"/>
  <c r="Z98"/>
  <c r="Z189" i="43"/>
  <c r="Q189"/>
  <c r="AA120" i="51"/>
  <c r="Z120"/>
  <c r="L234" i="40"/>
  <c r="Q234"/>
  <c r="D110" i="57"/>
  <c r="E93"/>
  <c r="AC74" i="47"/>
  <c r="S74"/>
  <c r="N74"/>
  <c r="S172" i="45"/>
  <c r="AB172"/>
  <c r="F172"/>
  <c r="L145" i="43"/>
  <c r="Z145"/>
  <c r="AA202" i="47"/>
  <c r="Q242"/>
  <c r="Z242"/>
  <c r="Q168" i="44"/>
  <c r="Z168"/>
  <c r="P108" i="34"/>
  <c r="H179"/>
  <c r="AA65" i="47"/>
  <c r="Z65"/>
  <c r="AA99" i="45"/>
  <c r="Z99"/>
  <c r="Q99"/>
  <c r="Z243"/>
  <c r="Q243"/>
  <c r="Q235"/>
  <c r="Z235"/>
  <c r="L235"/>
  <c r="AA185" i="47"/>
  <c r="Z185"/>
  <c r="AA142" i="44"/>
  <c r="Z142"/>
  <c r="Q183"/>
  <c r="AA183"/>
  <c r="Z183"/>
  <c r="D12" i="46"/>
  <c r="C38"/>
  <c r="C12" s="1"/>
  <c r="AB165" i="47"/>
  <c r="F165"/>
  <c r="R165"/>
  <c r="M177"/>
  <c r="R177"/>
  <c r="AB187" i="45"/>
  <c r="S187"/>
  <c r="N85"/>
  <c r="N66" i="51"/>
  <c r="AC66"/>
  <c r="H65"/>
  <c r="F66"/>
  <c r="S66"/>
  <c r="F68" i="10"/>
  <c r="E67"/>
  <c r="F79" i="28"/>
  <c r="M79"/>
  <c r="L79"/>
  <c r="J67" i="31"/>
  <c r="I75"/>
  <c r="L75" s="1"/>
  <c r="M75"/>
  <c r="M26"/>
  <c r="I26"/>
  <c r="L26" s="1"/>
  <c r="F145" i="38"/>
  <c r="R172"/>
  <c r="D102"/>
  <c r="P102" s="1"/>
  <c r="Q102"/>
  <c r="E251"/>
  <c r="O82"/>
  <c r="G82"/>
  <c r="M82" s="1"/>
  <c r="O31"/>
  <c r="J31"/>
  <c r="M31" s="1"/>
  <c r="Q28"/>
  <c r="I237" i="40"/>
  <c r="J223"/>
  <c r="S151"/>
  <c r="F151"/>
  <c r="Q151"/>
  <c r="F216" i="42"/>
  <c r="S216"/>
  <c r="H203"/>
  <c r="Q129" i="45"/>
  <c r="AA129"/>
  <c r="Z129"/>
  <c r="P78" i="37"/>
  <c r="D71"/>
  <c r="N31"/>
  <c r="I31"/>
  <c r="L31" s="1"/>
  <c r="U77" i="62"/>
  <c r="V74"/>
  <c r="G251"/>
  <c r="X251" s="1"/>
  <c r="I250"/>
  <c r="W356"/>
  <c r="W357"/>
  <c r="Q91" i="51"/>
  <c r="AA91"/>
  <c r="Q179" i="47"/>
  <c r="M79" i="42"/>
  <c r="F241" i="33"/>
  <c r="R242"/>
  <c r="L200" i="44"/>
  <c r="AA195" i="45"/>
  <c r="Z195"/>
  <c r="AA236"/>
  <c r="L236"/>
  <c r="M175" i="42"/>
  <c r="R175"/>
  <c r="AA178" i="44"/>
  <c r="Q178"/>
  <c r="L187"/>
  <c r="Z154" i="43"/>
  <c r="Q154"/>
  <c r="C80" i="55"/>
  <c r="Q192" i="43"/>
  <c r="Z192"/>
  <c r="AA236" i="47"/>
  <c r="L236"/>
  <c r="L191" i="44"/>
  <c r="Z191"/>
  <c r="L234"/>
  <c r="Z234"/>
  <c r="Q234"/>
  <c r="AB71"/>
  <c r="S71"/>
  <c r="N71"/>
  <c r="N254" s="1"/>
  <c r="Z55" i="51"/>
  <c r="Q55"/>
  <c r="AA55"/>
  <c r="Z166" i="47"/>
  <c r="AA166"/>
  <c r="Q166"/>
  <c r="Z180" i="43"/>
  <c r="Q180"/>
  <c r="M224"/>
  <c r="F224"/>
  <c r="N237"/>
  <c r="H223"/>
  <c r="AA89" i="45"/>
  <c r="Z89"/>
  <c r="E16" i="22"/>
  <c r="E18"/>
  <c r="E17" s="1"/>
  <c r="E15" s="1"/>
  <c r="K56" i="55"/>
  <c r="N56" s="1"/>
  <c r="N79"/>
  <c r="AA186" i="51"/>
  <c r="Z186"/>
  <c r="G17" i="37"/>
  <c r="M71"/>
  <c r="Z169" i="51"/>
  <c r="Q169"/>
  <c r="AA169"/>
  <c r="S84" i="43"/>
  <c r="H83"/>
  <c r="Z165" i="51"/>
  <c r="AA165"/>
  <c r="S162" i="45"/>
  <c r="AB162"/>
  <c r="AA127" i="44"/>
  <c r="Z127"/>
  <c r="Q127"/>
  <c r="M187"/>
  <c r="R187"/>
  <c r="J224"/>
  <c r="I225"/>
  <c r="K122" i="55"/>
  <c r="N126"/>
  <c r="AA98" i="45"/>
  <c r="Q98"/>
  <c r="Z98"/>
  <c r="D149" i="58"/>
  <c r="L149"/>
  <c r="AA243" i="44"/>
  <c r="Z243"/>
  <c r="Q243"/>
  <c r="Q100" i="42"/>
  <c r="Z100"/>
  <c r="K240" i="37"/>
  <c r="I240" s="1"/>
  <c r="I71"/>
  <c r="J216"/>
  <c r="I217"/>
  <c r="G83" i="47"/>
  <c r="M84"/>
  <c r="F84"/>
  <c r="AB84"/>
  <c r="R84"/>
  <c r="S73" i="42"/>
  <c r="H71"/>
  <c r="N84"/>
  <c r="F84"/>
  <c r="S84"/>
  <c r="C80" i="47"/>
  <c r="D67"/>
  <c r="AA93" i="45"/>
  <c r="Q93"/>
  <c r="Z93"/>
  <c r="Z148"/>
  <c r="Q148"/>
  <c r="AB163" i="44"/>
  <c r="N163"/>
  <c r="S163"/>
  <c r="AA242"/>
  <c r="Q242"/>
  <c r="Z242"/>
  <c r="Q222" i="41"/>
  <c r="F166" i="44"/>
  <c r="R166"/>
  <c r="E18" i="25"/>
  <c r="E16"/>
  <c r="M90" i="58"/>
  <c r="N85"/>
  <c r="M30" i="20"/>
  <c r="J29"/>
  <c r="M40" i="28"/>
  <c r="L40" s="1"/>
  <c r="I40"/>
  <c r="H23" i="31"/>
  <c r="F24"/>
  <c r="L24" s="1"/>
  <c r="R59" i="33"/>
  <c r="G59"/>
  <c r="R57"/>
  <c r="D57"/>
  <c r="P57" s="1"/>
  <c r="Q50"/>
  <c r="R22"/>
  <c r="D22"/>
  <c r="P22" s="1"/>
  <c r="E253" i="38"/>
  <c r="D254"/>
  <c r="P254" s="1"/>
  <c r="Q254"/>
  <c r="K228"/>
  <c r="J243"/>
  <c r="M243" s="1"/>
  <c r="M204" i="40"/>
  <c r="J203"/>
  <c r="R204"/>
  <c r="D203"/>
  <c r="N145"/>
  <c r="F145"/>
  <c r="Q145" s="1"/>
  <c r="S145"/>
  <c r="S137"/>
  <c r="F137"/>
  <c r="Q137" s="1"/>
  <c r="R192" i="42"/>
  <c r="F192"/>
  <c r="H182"/>
  <c r="F182" s="1"/>
  <c r="C182"/>
  <c r="S165"/>
  <c r="R163"/>
  <c r="G85"/>
  <c r="G83" s="1"/>
  <c r="D83"/>
  <c r="S170" i="44"/>
  <c r="N170"/>
  <c r="G163"/>
  <c r="R163" s="1"/>
  <c r="D144"/>
  <c r="H162"/>
  <c r="C162"/>
  <c r="S161"/>
  <c r="F161"/>
  <c r="N161"/>
  <c r="R160"/>
  <c r="F160"/>
  <c r="S159"/>
  <c r="AB159"/>
  <c r="AB158"/>
  <c r="S158"/>
  <c r="F147"/>
  <c r="R147"/>
  <c r="D88"/>
  <c r="C99"/>
  <c r="R99"/>
  <c r="AB61"/>
  <c r="F61"/>
  <c r="C59"/>
  <c r="R59"/>
  <c r="AB46"/>
  <c r="S46"/>
  <c r="S43"/>
  <c r="N43"/>
  <c r="Q20"/>
  <c r="AA20"/>
  <c r="Z20"/>
  <c r="R256" i="45"/>
  <c r="D254"/>
  <c r="S250"/>
  <c r="C250"/>
  <c r="Z250" s="1"/>
  <c r="R242"/>
  <c r="F242"/>
  <c r="I242"/>
  <c r="M242"/>
  <c r="J225"/>
  <c r="N237"/>
  <c r="F237"/>
  <c r="S237"/>
  <c r="H229"/>
  <c r="M236"/>
  <c r="R236"/>
  <c r="N173"/>
  <c r="F173"/>
  <c r="G171"/>
  <c r="C171"/>
  <c r="Z103"/>
  <c r="AA103"/>
  <c r="Q103"/>
  <c r="R78"/>
  <c r="C78"/>
  <c r="N75"/>
  <c r="S75"/>
  <c r="C74"/>
  <c r="J70"/>
  <c r="I72"/>
  <c r="L72" s="1"/>
  <c r="H71"/>
  <c r="AB71" s="1"/>
  <c r="S71"/>
  <c r="N57"/>
  <c r="I57"/>
  <c r="L57" s="1"/>
  <c r="AA53"/>
  <c r="Z53"/>
  <c r="Q53"/>
  <c r="C163" i="47"/>
  <c r="D143"/>
  <c r="G163"/>
  <c r="H148"/>
  <c r="E143"/>
  <c r="E254"/>
  <c r="E253" s="1"/>
  <c r="Q147"/>
  <c r="Z147"/>
  <c r="AA147"/>
  <c r="C254"/>
  <c r="AA146"/>
  <c r="Z146"/>
  <c r="F144"/>
  <c r="G254"/>
  <c r="G253" s="1"/>
  <c r="R144"/>
  <c r="AB144"/>
  <c r="F132"/>
  <c r="S132"/>
  <c r="Z116"/>
  <c r="AA116"/>
  <c r="AA109"/>
  <c r="Z109"/>
  <c r="Q108"/>
  <c r="AA108"/>
  <c r="Q31"/>
  <c r="AA31"/>
  <c r="Z31"/>
  <c r="M24"/>
  <c r="K89" i="37"/>
  <c r="G108" i="34"/>
  <c r="F110"/>
  <c r="Q110" s="1"/>
  <c r="N41"/>
  <c r="K16"/>
  <c r="J239" i="51"/>
  <c r="I240"/>
  <c r="L240" s="1"/>
  <c r="D239"/>
  <c r="R240"/>
  <c r="Q236"/>
  <c r="AA236"/>
  <c r="Q209"/>
  <c r="AA209"/>
  <c r="AA207"/>
  <c r="Z207"/>
  <c r="F182"/>
  <c r="AB182"/>
  <c r="L171"/>
  <c r="Z171"/>
  <c r="F250"/>
  <c r="Q171"/>
  <c r="Q112"/>
  <c r="AA112"/>
  <c r="AA111"/>
  <c r="Z111"/>
  <c r="Q111"/>
  <c r="AA106"/>
  <c r="Q106"/>
  <c r="Q104"/>
  <c r="Z104"/>
  <c r="M11" i="36"/>
  <c r="AA84" i="44"/>
  <c r="F194" i="45"/>
  <c r="K164" i="62"/>
  <c r="G322"/>
  <c r="Q218" i="44"/>
  <c r="L164" i="58"/>
  <c r="I29" i="31"/>
  <c r="S168" i="45"/>
  <c r="Q235" i="42"/>
  <c r="O159" i="34"/>
  <c r="AA98" i="44"/>
  <c r="Z178"/>
  <c r="F166" i="42"/>
  <c r="Q120" i="51"/>
  <c r="AA43" i="44"/>
  <c r="Z202" i="47"/>
  <c r="R199" i="41"/>
  <c r="F213" i="52"/>
  <c r="Z70" i="51"/>
  <c r="S149" i="47"/>
  <c r="G28" i="38"/>
  <c r="P28" s="1"/>
  <c r="M196" i="42"/>
  <c r="P161" i="38"/>
  <c r="D98" i="26"/>
  <c r="Q245" i="42"/>
  <c r="Q115" i="51"/>
  <c r="AA184" i="45"/>
  <c r="O236" i="52"/>
  <c r="Z115" i="51"/>
  <c r="T117" i="57"/>
  <c r="G15" i="59"/>
  <c r="Z155" i="44"/>
  <c r="F74" i="47"/>
  <c r="M217" i="52"/>
  <c r="Q187" i="45"/>
  <c r="Q47" i="42"/>
  <c r="C70" i="45"/>
  <c r="C78" i="37"/>
  <c r="F156" i="40"/>
  <c r="Q156" s="1"/>
  <c r="Q170"/>
  <c r="H78" i="34"/>
  <c r="R194" i="45"/>
  <c r="AA136"/>
  <c r="AA168" i="44"/>
  <c r="F196" i="42"/>
  <c r="AB177" i="47"/>
  <c r="M164" i="58"/>
  <c r="O245" i="38"/>
  <c r="N181" i="34"/>
  <c r="Z181" i="43"/>
  <c r="AA98" i="47"/>
  <c r="Z98"/>
  <c r="I224"/>
  <c r="J223"/>
  <c r="Z158" i="45"/>
  <c r="AA158"/>
  <c r="C223" i="40"/>
  <c r="Q220" i="42"/>
  <c r="Z220"/>
  <c r="Z187"/>
  <c r="L187"/>
  <c r="G19" i="31"/>
  <c r="L79" i="57"/>
  <c r="J80"/>
  <c r="M80" s="1"/>
  <c r="O80"/>
  <c r="J122" i="55"/>
  <c r="M126"/>
  <c r="S68" i="51"/>
  <c r="F68"/>
  <c r="N68"/>
  <c r="L232" i="47"/>
  <c r="Z232"/>
  <c r="Q232"/>
  <c r="AA232"/>
  <c r="C86" i="40"/>
  <c r="S86"/>
  <c r="N37" i="25"/>
  <c r="L37" s="1"/>
  <c r="F37"/>
  <c r="W256" i="57"/>
  <c r="U257"/>
  <c r="Q177" i="44"/>
  <c r="Z177"/>
  <c r="M142" i="54"/>
  <c r="R83" i="43"/>
  <c r="M83"/>
  <c r="AC68" i="47"/>
  <c r="S68"/>
  <c r="R170" i="45"/>
  <c r="M170"/>
  <c r="R74" i="42"/>
  <c r="D78" i="34"/>
  <c r="S200" i="45"/>
  <c r="N200"/>
  <c r="L140" i="58"/>
  <c r="I106"/>
  <c r="G106" s="1"/>
  <c r="F19" i="28"/>
  <c r="G18"/>
  <c r="M36" i="31"/>
  <c r="I36"/>
  <c r="M34"/>
  <c r="F34"/>
  <c r="L34" s="1"/>
  <c r="C29"/>
  <c r="O29"/>
  <c r="Q170" i="38"/>
  <c r="D170"/>
  <c r="P170" s="1"/>
  <c r="Q87"/>
  <c r="G75"/>
  <c r="H71"/>
  <c r="O72"/>
  <c r="O253" s="1"/>
  <c r="M253" s="1"/>
  <c r="L71"/>
  <c r="Q31"/>
  <c r="G31"/>
  <c r="P31" s="1"/>
  <c r="F238" i="40"/>
  <c r="H237"/>
  <c r="S238"/>
  <c r="R200" i="42"/>
  <c r="F200"/>
  <c r="Q195"/>
  <c r="Z195"/>
  <c r="Q128" i="45"/>
  <c r="AA128"/>
  <c r="Z128"/>
  <c r="H71" i="37"/>
  <c r="F75"/>
  <c r="O75" s="1"/>
  <c r="C61"/>
  <c r="F45"/>
  <c r="O45" s="1"/>
  <c r="Q45"/>
  <c r="I34"/>
  <c r="L34" s="1"/>
  <c r="M34"/>
  <c r="D321" i="62"/>
  <c r="X321" s="1"/>
  <c r="F314"/>
  <c r="G196" i="51"/>
  <c r="F214"/>
  <c r="E203" i="47"/>
  <c r="AC204"/>
  <c r="Z147" i="45"/>
  <c r="AA147"/>
  <c r="O225" i="37"/>
  <c r="L225"/>
  <c r="N87" i="42"/>
  <c r="H86"/>
  <c r="F86" s="1"/>
  <c r="AA183" i="47"/>
  <c r="Q183"/>
  <c r="Q104" i="26"/>
  <c r="E100"/>
  <c r="AA240" i="51"/>
  <c r="Z240"/>
  <c r="D217" i="33"/>
  <c r="E216"/>
  <c r="L127" i="54"/>
  <c r="I126"/>
  <c r="L126" s="1"/>
  <c r="AA180" i="51"/>
  <c r="Q180"/>
  <c r="Q78" i="43"/>
  <c r="Z78"/>
  <c r="L78"/>
  <c r="Q232" i="44"/>
  <c r="AA232"/>
  <c r="AC172" i="47"/>
  <c r="N172"/>
  <c r="Q236" i="43"/>
  <c r="Z236"/>
  <c r="H217" i="37"/>
  <c r="N218"/>
  <c r="Q218"/>
  <c r="Q72" i="44"/>
  <c r="Z72"/>
  <c r="AA72"/>
  <c r="Q192"/>
  <c r="AA192"/>
  <c r="Z192"/>
  <c r="Z92" i="51"/>
  <c r="AA92"/>
  <c r="Z53" i="43"/>
  <c r="Q53"/>
  <c r="Z129" i="44"/>
  <c r="Q129"/>
  <c r="AA129"/>
  <c r="J247" i="42"/>
  <c r="D222"/>
  <c r="R223"/>
  <c r="Z62"/>
  <c r="Q62"/>
  <c r="F84" i="43"/>
  <c r="R84"/>
  <c r="F245" i="51"/>
  <c r="L245" s="1"/>
  <c r="AB245"/>
  <c r="AA181"/>
  <c r="Z181"/>
  <c r="Q242" i="43"/>
  <c r="Z242"/>
  <c r="F237" i="52"/>
  <c r="D237" s="1"/>
  <c r="F236"/>
  <c r="D236" s="1"/>
  <c r="U236" s="1"/>
  <c r="L72" i="43"/>
  <c r="E158" i="34"/>
  <c r="C83" i="43"/>
  <c r="M69" i="47"/>
  <c r="M254" s="1"/>
  <c r="G68"/>
  <c r="R69"/>
  <c r="AB69"/>
  <c r="J247" i="43"/>
  <c r="I70"/>
  <c r="Z182" i="45"/>
  <c r="Q182"/>
  <c r="AB166" i="44"/>
  <c r="S166"/>
  <c r="Z233"/>
  <c r="L233"/>
  <c r="AA233"/>
  <c r="L237"/>
  <c r="Q237"/>
  <c r="Z237"/>
  <c r="S100" i="47"/>
  <c r="N100"/>
  <c r="H251"/>
  <c r="F100"/>
  <c r="AC100"/>
  <c r="Q155"/>
  <c r="Z155"/>
  <c r="AA155"/>
  <c r="S76" i="42"/>
  <c r="F76"/>
  <c r="Q76" s="1"/>
  <c r="Z76"/>
  <c r="N85" i="44"/>
  <c r="S85"/>
  <c r="F176" i="47"/>
  <c r="Q158" i="44"/>
  <c r="AA158"/>
  <c r="Q185"/>
  <c r="AA185"/>
  <c r="S181" i="45"/>
  <c r="F181"/>
  <c r="AB181"/>
  <c r="I88" i="41"/>
  <c r="L229" i="40"/>
  <c r="AA149" i="58"/>
  <c r="AB148"/>
  <c r="AB105" s="1"/>
  <c r="AA105" s="1"/>
  <c r="C100" i="8"/>
  <c r="F103"/>
  <c r="C19" i="20"/>
  <c r="E74"/>
  <c r="F70" i="22"/>
  <c r="G69"/>
  <c r="F69" s="1"/>
  <c r="K36"/>
  <c r="N41"/>
  <c r="J37" i="28"/>
  <c r="I38"/>
  <c r="M30"/>
  <c r="L30" s="1"/>
  <c r="F30"/>
  <c r="G89" i="24"/>
  <c r="G19"/>
  <c r="N161" i="31"/>
  <c r="P161"/>
  <c r="C161"/>
  <c r="L161" s="1"/>
  <c r="N148"/>
  <c r="K145"/>
  <c r="I148"/>
  <c r="L148" s="1"/>
  <c r="O78" i="33"/>
  <c r="G78"/>
  <c r="P78" s="1"/>
  <c r="I71"/>
  <c r="D59"/>
  <c r="Q59"/>
  <c r="N48"/>
  <c r="J48"/>
  <c r="M48" s="1"/>
  <c r="Q48"/>
  <c r="E17"/>
  <c r="O239" i="38"/>
  <c r="R239"/>
  <c r="G239"/>
  <c r="M177"/>
  <c r="F100" i="40"/>
  <c r="G246"/>
  <c r="F246" s="1"/>
  <c r="C82"/>
  <c r="D81"/>
  <c r="G82"/>
  <c r="S80"/>
  <c r="F80"/>
  <c r="N80"/>
  <c r="I44"/>
  <c r="M44"/>
  <c r="C44"/>
  <c r="C161" i="41"/>
  <c r="Q161" s="1"/>
  <c r="R161"/>
  <c r="S86"/>
  <c r="C86"/>
  <c r="C84"/>
  <c r="Q84" s="1"/>
  <c r="S84"/>
  <c r="F83"/>
  <c r="N83"/>
  <c r="R146" i="44"/>
  <c r="F146"/>
  <c r="G254"/>
  <c r="S145"/>
  <c r="F145"/>
  <c r="AB145"/>
  <c r="N145"/>
  <c r="F222" i="45"/>
  <c r="S222"/>
  <c r="H205"/>
  <c r="S191"/>
  <c r="N191"/>
  <c r="AB191"/>
  <c r="F190"/>
  <c r="R190"/>
  <c r="F185"/>
  <c r="S185"/>
  <c r="AB185"/>
  <c r="S171"/>
  <c r="AB171"/>
  <c r="D144"/>
  <c r="G168"/>
  <c r="H167"/>
  <c r="S167" s="1"/>
  <c r="C150"/>
  <c r="E144"/>
  <c r="E88" s="1"/>
  <c r="E255"/>
  <c r="H150"/>
  <c r="S150" s="1"/>
  <c r="G255"/>
  <c r="F149"/>
  <c r="R149"/>
  <c r="S148"/>
  <c r="AA140"/>
  <c r="Z140"/>
  <c r="Q140"/>
  <c r="Q138"/>
  <c r="Z138"/>
  <c r="AA138"/>
  <c r="Z137"/>
  <c r="Q137"/>
  <c r="M101"/>
  <c r="G252"/>
  <c r="H256"/>
  <c r="AB93"/>
  <c r="AA92"/>
  <c r="Q92"/>
  <c r="S77"/>
  <c r="N77"/>
  <c r="K70"/>
  <c r="K69" s="1"/>
  <c r="N72"/>
  <c r="N256" s="1"/>
  <c r="L256" s="1"/>
  <c r="Q67"/>
  <c r="Z67"/>
  <c r="AA67"/>
  <c r="Z66"/>
  <c r="AA66"/>
  <c r="AB48"/>
  <c r="S48"/>
  <c r="F48"/>
  <c r="F131" i="47"/>
  <c r="Z131" s="1"/>
  <c r="S131"/>
  <c r="AC131"/>
  <c r="H255"/>
  <c r="AA106"/>
  <c r="Z106"/>
  <c r="AA103"/>
  <c r="Z103"/>
  <c r="Z101"/>
  <c r="Q101"/>
  <c r="F70"/>
  <c r="S70"/>
  <c r="S61"/>
  <c r="C61"/>
  <c r="Z61" s="1"/>
  <c r="AC61"/>
  <c r="C24"/>
  <c r="R24"/>
  <c r="AB24"/>
  <c r="D26" i="49"/>
  <c r="D27" s="1"/>
  <c r="C20"/>
  <c r="M234" i="37"/>
  <c r="I234"/>
  <c r="L234" s="1"/>
  <c r="P231"/>
  <c r="F231"/>
  <c r="O231" s="1"/>
  <c r="P229"/>
  <c r="F229"/>
  <c r="O229" s="1"/>
  <c r="C152"/>
  <c r="O152" s="1"/>
  <c r="Q152"/>
  <c r="I53" i="34"/>
  <c r="L53" s="1"/>
  <c r="M53"/>
  <c r="F25"/>
  <c r="G16"/>
  <c r="D248" i="43"/>
  <c r="C249"/>
  <c r="M229"/>
  <c r="M251" s="1"/>
  <c r="L251" s="1"/>
  <c r="R229"/>
  <c r="F229"/>
  <c r="D223"/>
  <c r="R224"/>
  <c r="R179"/>
  <c r="G249"/>
  <c r="R249" s="1"/>
  <c r="F179"/>
  <c r="C173"/>
  <c r="G173"/>
  <c r="N170"/>
  <c r="F170"/>
  <c r="L170" s="1"/>
  <c r="I117" i="52"/>
  <c r="G121"/>
  <c r="D26"/>
  <c r="E15"/>
  <c r="N144" i="55"/>
  <c r="K143"/>
  <c r="I144"/>
  <c r="L144" s="1"/>
  <c r="F137"/>
  <c r="G126"/>
  <c r="G79"/>
  <c r="F88"/>
  <c r="Q88" s="1"/>
  <c r="O59" i="57"/>
  <c r="J59"/>
  <c r="M59" s="1"/>
  <c r="D25" i="31"/>
  <c r="J63" i="62"/>
  <c r="M63" s="1"/>
  <c r="D49"/>
  <c r="N365"/>
  <c r="F74" i="44"/>
  <c r="H29" i="26"/>
  <c r="H25" s="1"/>
  <c r="H28" s="1"/>
  <c r="W14" i="57"/>
  <c r="I90" i="38"/>
  <c r="D191" i="52"/>
  <c r="W191" s="1"/>
  <c r="Z181" i="47"/>
  <c r="Q187" i="42"/>
  <c r="AA50" i="47"/>
  <c r="Z84" i="44"/>
  <c r="F199" i="41"/>
  <c r="Q31" i="37"/>
  <c r="Q111" i="32"/>
  <c r="F245" i="40"/>
  <c r="Q245" s="1"/>
  <c r="AB172" i="47"/>
  <c r="R102" i="38"/>
  <c r="P50" i="33"/>
  <c r="F165" i="43"/>
  <c r="N187" i="45"/>
  <c r="Z73" i="43"/>
  <c r="L177" i="44"/>
  <c r="R74"/>
  <c r="D172" i="38"/>
  <c r="P172" s="1"/>
  <c r="R257" i="57"/>
  <c r="H256"/>
  <c r="R74" i="45"/>
  <c r="AA218"/>
  <c r="L43" i="44"/>
  <c r="C11" i="36"/>
  <c r="E11" s="1"/>
  <c r="D87" i="24"/>
  <c r="N69" i="22"/>
  <c r="F169" i="44"/>
  <c r="Q65" i="47"/>
  <c r="C108" i="34"/>
  <c r="Q43" i="44"/>
  <c r="I71" i="38"/>
  <c r="I17" s="1"/>
  <c r="S71" i="42"/>
  <c r="P61" i="37"/>
  <c r="L64" i="22"/>
  <c r="L54"/>
  <c r="L43"/>
  <c r="M173" i="32"/>
  <c r="P176" i="38"/>
  <c r="Q155" i="41"/>
  <c r="F178" i="43"/>
  <c r="U45" i="52"/>
  <c r="F57" i="54"/>
  <c r="T57" s="1"/>
  <c r="N46" i="47"/>
  <c r="F46"/>
  <c r="L46" s="1"/>
  <c r="AA189"/>
  <c r="Q189"/>
  <c r="R75" i="44"/>
  <c r="M75"/>
  <c r="R72" i="45"/>
  <c r="G70"/>
  <c r="K142" i="54"/>
  <c r="I143"/>
  <c r="L143" s="1"/>
  <c r="N143"/>
  <c r="M51" i="55"/>
  <c r="J50"/>
  <c r="M63" i="51"/>
  <c r="AB63"/>
  <c r="AA75"/>
  <c r="L75"/>
  <c r="AC73" i="47"/>
  <c r="S73"/>
  <c r="I59" i="34"/>
  <c r="L59" s="1"/>
  <c r="N59"/>
  <c r="N179"/>
  <c r="R199" i="47"/>
  <c r="AB199"/>
  <c r="AA75"/>
  <c r="Z75"/>
  <c r="L75"/>
  <c r="L180" i="44"/>
  <c r="Z180"/>
  <c r="R75" i="43"/>
  <c r="G74"/>
  <c r="AA188" i="47"/>
  <c r="Z188"/>
  <c r="Z142" i="42"/>
  <c r="Q142"/>
  <c r="AB251" i="47"/>
  <c r="AA231"/>
  <c r="Z231"/>
  <c r="Q191" i="42"/>
  <c r="Z191"/>
  <c r="AC174" i="47"/>
  <c r="F174"/>
  <c r="N174"/>
  <c r="AB83" i="45"/>
  <c r="N83"/>
  <c r="H82"/>
  <c r="R173" i="40"/>
  <c r="Q250" i="44"/>
  <c r="AA250"/>
  <c r="M105" i="57"/>
  <c r="X105"/>
  <c r="F58" i="8"/>
  <c r="E53"/>
  <c r="E39" s="1"/>
  <c r="G57" i="26"/>
  <c r="F56"/>
  <c r="D15"/>
  <c r="D27"/>
  <c r="Q27" s="1"/>
  <c r="Q31"/>
  <c r="N31" i="20"/>
  <c r="I31"/>
  <c r="L31" s="1"/>
  <c r="H41" i="28"/>
  <c r="N42"/>
  <c r="C58" i="24"/>
  <c r="C57" s="1"/>
  <c r="C87"/>
  <c r="C77" s="1"/>
  <c r="R174" i="38"/>
  <c r="D174"/>
  <c r="P174" s="1"/>
  <c r="D169"/>
  <c r="P169" s="1"/>
  <c r="Q169"/>
  <c r="D63"/>
  <c r="P63" s="1"/>
  <c r="Q63"/>
  <c r="S35" i="40"/>
  <c r="C72" i="41"/>
  <c r="Q72" s="1"/>
  <c r="S72"/>
  <c r="H70"/>
  <c r="R62"/>
  <c r="F44"/>
  <c r="Q44" s="1"/>
  <c r="S44"/>
  <c r="J88" i="42"/>
  <c r="I89"/>
  <c r="Q131"/>
  <c r="Z131"/>
  <c r="Q127"/>
  <c r="Z127"/>
  <c r="I81"/>
  <c r="K70"/>
  <c r="H75"/>
  <c r="E74"/>
  <c r="E70" s="1"/>
  <c r="E17" s="1"/>
  <c r="E16" s="1"/>
  <c r="C75"/>
  <c r="Q65"/>
  <c r="Z65"/>
  <c r="S58"/>
  <c r="C58"/>
  <c r="H244" i="44"/>
  <c r="F246"/>
  <c r="AB240"/>
  <c r="F240"/>
  <c r="Z240" s="1"/>
  <c r="H229"/>
  <c r="F238"/>
  <c r="M234"/>
  <c r="R234"/>
  <c r="N222"/>
  <c r="K205"/>
  <c r="Z135"/>
  <c r="Q135"/>
  <c r="Q112"/>
  <c r="AA112"/>
  <c r="Z112"/>
  <c r="C222" i="45"/>
  <c r="AB222"/>
  <c r="I218"/>
  <c r="L218" s="1"/>
  <c r="M218"/>
  <c r="J205"/>
  <c r="M205" s="1"/>
  <c r="R218"/>
  <c r="D205"/>
  <c r="S132"/>
  <c r="AB132"/>
  <c r="Z113"/>
  <c r="AA113"/>
  <c r="N249" i="47"/>
  <c r="AC249"/>
  <c r="N236"/>
  <c r="S236"/>
  <c r="N235"/>
  <c r="S235"/>
  <c r="F235"/>
  <c r="H228"/>
  <c r="I205"/>
  <c r="L205" s="1"/>
  <c r="J204"/>
  <c r="I204" s="1"/>
  <c r="L204" s="1"/>
  <c r="M205"/>
  <c r="F186"/>
  <c r="L186" s="1"/>
  <c r="AC186"/>
  <c r="N228" i="37"/>
  <c r="Q228"/>
  <c r="P225"/>
  <c r="M225"/>
  <c r="G218"/>
  <c r="P222"/>
  <c r="O16" i="36"/>
  <c r="O17" s="1"/>
  <c r="F17"/>
  <c r="M326" i="57"/>
  <c r="J31" i="60"/>
  <c r="M31" s="1"/>
  <c r="N97"/>
  <c r="G97"/>
  <c r="N139"/>
  <c r="J139"/>
  <c r="M139" s="1"/>
  <c r="L149"/>
  <c r="L15" s="1"/>
  <c r="J154"/>
  <c r="M154" s="1"/>
  <c r="N158"/>
  <c r="J158"/>
  <c r="M158" s="1"/>
  <c r="Q204" i="43"/>
  <c r="O67" i="31"/>
  <c r="L250" i="43"/>
  <c r="F73" i="42"/>
  <c r="Z189" i="45"/>
  <c r="Q75" i="38"/>
  <c r="D20" i="10"/>
  <c r="N75" i="20"/>
  <c r="C75"/>
  <c r="M66" i="28"/>
  <c r="L66" s="1"/>
  <c r="G26" i="24"/>
  <c r="F15" i="31"/>
  <c r="C140" i="32"/>
  <c r="Q140" s="1"/>
  <c r="F71" i="33"/>
  <c r="F17" s="1"/>
  <c r="Q241" i="44"/>
  <c r="R232"/>
  <c r="G229"/>
  <c r="Z109"/>
  <c r="L148" i="45"/>
  <c r="AA131"/>
  <c r="Z247"/>
  <c r="Q247"/>
  <c r="Z198" i="44"/>
  <c r="AA198"/>
  <c r="M70" i="51"/>
  <c r="AB70"/>
  <c r="S82" i="42"/>
  <c r="N82"/>
  <c r="H88" i="52"/>
  <c r="G89"/>
  <c r="F87" i="43"/>
  <c r="G86"/>
  <c r="M163"/>
  <c r="F163"/>
  <c r="Q163" s="1"/>
  <c r="R198"/>
  <c r="M198"/>
  <c r="M163" i="45"/>
  <c r="F163"/>
  <c r="AA163" s="1"/>
  <c r="L239"/>
  <c r="Q239"/>
  <c r="AB200" i="44"/>
  <c r="N200"/>
  <c r="S178" i="45"/>
  <c r="AB178"/>
  <c r="AA231" i="44"/>
  <c r="Z231"/>
  <c r="D93" i="58"/>
  <c r="J93" s="1"/>
  <c r="AA146" i="45"/>
  <c r="Z146"/>
  <c r="L159" i="42"/>
  <c r="Q159"/>
  <c r="F188"/>
  <c r="R188"/>
  <c r="C255" i="45"/>
  <c r="S83" i="44"/>
  <c r="H82"/>
  <c r="K222" i="42"/>
  <c r="N133" i="59"/>
  <c r="J133"/>
  <c r="M133" s="1"/>
  <c r="O72" i="58"/>
  <c r="A157"/>
  <c r="A158" s="1"/>
  <c r="A159" s="1"/>
  <c r="A161"/>
  <c r="E20" i="10"/>
  <c r="F20" s="1"/>
  <c r="E18"/>
  <c r="J60" i="20"/>
  <c r="I65"/>
  <c r="L65" s="1"/>
  <c r="M65"/>
  <c r="J19" i="22"/>
  <c r="M19" s="1"/>
  <c r="L19" s="1"/>
  <c r="I22"/>
  <c r="H69" i="28"/>
  <c r="F79" i="24"/>
  <c r="E139" i="31"/>
  <c r="E138" s="1"/>
  <c r="C140"/>
  <c r="F53"/>
  <c r="O53"/>
  <c r="M53"/>
  <c r="O34"/>
  <c r="C34"/>
  <c r="F21"/>
  <c r="O63" i="32"/>
  <c r="F63"/>
  <c r="E59"/>
  <c r="E16" s="1"/>
  <c r="C60"/>
  <c r="I36"/>
  <c r="L36" s="1"/>
  <c r="M36"/>
  <c r="N25"/>
  <c r="I25"/>
  <c r="L25" s="1"/>
  <c r="O228" i="33"/>
  <c r="R228"/>
  <c r="G228"/>
  <c r="M228" s="1"/>
  <c r="G220"/>
  <c r="Q220"/>
  <c r="G212"/>
  <c r="P212" s="1"/>
  <c r="R212"/>
  <c r="G36" i="38"/>
  <c r="M36" s="1"/>
  <c r="O36"/>
  <c r="C239" i="40"/>
  <c r="E222"/>
  <c r="E202" s="1"/>
  <c r="F191"/>
  <c r="Q191" s="1"/>
  <c r="R191"/>
  <c r="S186"/>
  <c r="F186"/>
  <c r="Q186" s="1"/>
  <c r="H173"/>
  <c r="C173"/>
  <c r="E144"/>
  <c r="C164"/>
  <c r="Q164" s="1"/>
  <c r="S138"/>
  <c r="F138"/>
  <c r="Q138" s="1"/>
  <c r="F131"/>
  <c r="Q131" s="1"/>
  <c r="C101"/>
  <c r="Q101" s="1"/>
  <c r="S101"/>
  <c r="C246" i="41"/>
  <c r="Q246" s="1"/>
  <c r="D244"/>
  <c r="M233"/>
  <c r="J219"/>
  <c r="C233"/>
  <c r="Q233" s="1"/>
  <c r="E219"/>
  <c r="L54"/>
  <c r="L170" s="1"/>
  <c r="I170"/>
  <c r="N47"/>
  <c r="I47"/>
  <c r="L47" s="1"/>
  <c r="Q147" i="42"/>
  <c r="Z147"/>
  <c r="Z109"/>
  <c r="Q109"/>
  <c r="Q59"/>
  <c r="Z59"/>
  <c r="Z52"/>
  <c r="Q52"/>
  <c r="N47"/>
  <c r="I47"/>
  <c r="L47" s="1"/>
  <c r="M33"/>
  <c r="I33"/>
  <c r="L33" s="1"/>
  <c r="S22"/>
  <c r="F22"/>
  <c r="Q22" s="1"/>
  <c r="AB227" i="44"/>
  <c r="H226"/>
  <c r="I220"/>
  <c r="L220" s="1"/>
  <c r="J205"/>
  <c r="C220"/>
  <c r="E205"/>
  <c r="F199"/>
  <c r="R199"/>
  <c r="H181"/>
  <c r="F181" s="1"/>
  <c r="C181"/>
  <c r="C165"/>
  <c r="AB165"/>
  <c r="C164"/>
  <c r="R164"/>
  <c r="S155"/>
  <c r="AB155"/>
  <c r="Z153"/>
  <c r="AA153"/>
  <c r="S152"/>
  <c r="AB152"/>
  <c r="F152"/>
  <c r="AA152" s="1"/>
  <c r="AA108"/>
  <c r="Z108"/>
  <c r="G71"/>
  <c r="C71"/>
  <c r="Q68"/>
  <c r="AA68"/>
  <c r="C48"/>
  <c r="R48"/>
  <c r="Z28"/>
  <c r="Q28"/>
  <c r="AA28"/>
  <c r="AB34" i="45"/>
  <c r="S34"/>
  <c r="C24"/>
  <c r="R24"/>
  <c r="Q23"/>
  <c r="AA23"/>
  <c r="AC194" i="47"/>
  <c r="F194"/>
  <c r="R169"/>
  <c r="C169"/>
  <c r="C168"/>
  <c r="H168"/>
  <c r="H161"/>
  <c r="F161" s="1"/>
  <c r="F159"/>
  <c r="R159"/>
  <c r="N37"/>
  <c r="K15"/>
  <c r="K14" s="1"/>
  <c r="I37"/>
  <c r="L37" s="1"/>
  <c r="C37"/>
  <c r="AB37"/>
  <c r="O169" i="37"/>
  <c r="L169"/>
  <c r="F57"/>
  <c r="O57" s="1"/>
  <c r="P57"/>
  <c r="F48"/>
  <c r="O48" s="1"/>
  <c r="P48"/>
  <c r="N27" i="43"/>
  <c r="I27"/>
  <c r="L27" s="1"/>
  <c r="M250" i="51"/>
  <c r="J249"/>
  <c r="F219"/>
  <c r="M219"/>
  <c r="Q213"/>
  <c r="AA213"/>
  <c r="L193"/>
  <c r="I250"/>
  <c r="L250" s="1"/>
  <c r="Z184"/>
  <c r="Q184"/>
  <c r="Q183"/>
  <c r="AA183"/>
  <c r="Z113"/>
  <c r="AA113"/>
  <c r="L33"/>
  <c r="Q33"/>
  <c r="F30"/>
  <c r="AA30" s="1"/>
  <c r="AC30"/>
  <c r="H24"/>
  <c r="AC25"/>
  <c r="F25"/>
  <c r="G215" i="52"/>
  <c r="H214"/>
  <c r="H213" s="1"/>
  <c r="H212" s="1"/>
  <c r="I210"/>
  <c r="G211"/>
  <c r="U211" s="1"/>
  <c r="O108" i="57"/>
  <c r="J108"/>
  <c r="M108" s="1"/>
  <c r="Z189" i="47"/>
  <c r="O232" i="37"/>
  <c r="AA29" i="45"/>
  <c r="C19" i="25"/>
  <c r="C16" s="1"/>
  <c r="T52" i="54"/>
  <c r="O195" i="52"/>
  <c r="O191" s="1"/>
  <c r="M199" i="47"/>
  <c r="S84"/>
  <c r="Z167" i="44"/>
  <c r="M169" i="47"/>
  <c r="F164" i="44"/>
  <c r="L164" s="1"/>
  <c r="S83" i="45"/>
  <c r="Q206" i="44"/>
  <c r="M75" i="20"/>
  <c r="G16" i="22"/>
  <c r="I207" i="33"/>
  <c r="F181" i="40"/>
  <c r="Q181" s="1"/>
  <c r="F167"/>
  <c r="Q167" s="1"/>
  <c r="Q159"/>
  <c r="I83"/>
  <c r="L160" i="44"/>
  <c r="AA160"/>
  <c r="F159"/>
  <c r="AA159" s="1"/>
  <c r="AA154"/>
  <c r="Z44"/>
  <c r="AA133" i="51"/>
  <c r="L132"/>
  <c r="AA132"/>
  <c r="S165" i="45"/>
  <c r="AB165"/>
  <c r="I17" i="20"/>
  <c r="L17"/>
  <c r="M17"/>
  <c r="K74" i="28"/>
  <c r="N74" s="1"/>
  <c r="N75"/>
  <c r="C65" i="31"/>
  <c r="E45"/>
  <c r="J78" i="32"/>
  <c r="J13" s="1"/>
  <c r="M108"/>
  <c r="O50" i="33"/>
  <c r="J50"/>
  <c r="M50" s="1"/>
  <c r="D255" i="38"/>
  <c r="P255" s="1"/>
  <c r="R255"/>
  <c r="Q85"/>
  <c r="D85"/>
  <c r="P85" s="1"/>
  <c r="E82"/>
  <c r="D83"/>
  <c r="P83" s="1"/>
  <c r="D78"/>
  <c r="P78" s="1"/>
  <c r="Q78"/>
  <c r="S196" i="40"/>
  <c r="N196"/>
  <c r="F196"/>
  <c r="S189"/>
  <c r="F189"/>
  <c r="Q189" s="1"/>
  <c r="S182"/>
  <c r="C182"/>
  <c r="F139"/>
  <c r="Q139" s="1"/>
  <c r="S139"/>
  <c r="S129"/>
  <c r="F227" i="41"/>
  <c r="R227"/>
  <c r="F71"/>
  <c r="M71"/>
  <c r="R151" i="42"/>
  <c r="F151"/>
  <c r="F148"/>
  <c r="Q148" s="1"/>
  <c r="S148"/>
  <c r="N148"/>
  <c r="F135"/>
  <c r="S135"/>
  <c r="I40"/>
  <c r="L40" s="1"/>
  <c r="M40"/>
  <c r="I75" i="44"/>
  <c r="J73"/>
  <c r="J69" s="1"/>
  <c r="Q31"/>
  <c r="AA31"/>
  <c r="H174" i="45"/>
  <c r="AB174" s="1"/>
  <c r="N48"/>
  <c r="I48"/>
  <c r="L48" s="1"/>
  <c r="P227" i="37"/>
  <c r="M227"/>
  <c r="N54"/>
  <c r="I54"/>
  <c r="L54" s="1"/>
  <c r="Z114" i="43"/>
  <c r="Q114"/>
  <c r="S191" i="52"/>
  <c r="R195"/>
  <c r="R191" s="1"/>
  <c r="K25" i="58"/>
  <c r="H14"/>
  <c r="K126" i="54"/>
  <c r="Q97" i="51"/>
  <c r="G15" i="54"/>
  <c r="G156" s="1"/>
  <c r="K15"/>
  <c r="N15" s="1"/>
  <c r="K15" i="55"/>
  <c r="N15" s="1"/>
  <c r="I25" i="54"/>
  <c r="L25" s="1"/>
  <c r="I86" i="55"/>
  <c r="L86" s="1"/>
  <c r="C93" i="51"/>
  <c r="AC78"/>
  <c r="N81"/>
  <c r="H251"/>
  <c r="H249" s="1"/>
  <c r="D80"/>
  <c r="F203" i="43"/>
  <c r="G112" i="57"/>
  <c r="X112" s="1"/>
  <c r="L29" i="59"/>
  <c r="Q85" i="58"/>
  <c r="F29" i="9"/>
  <c r="D30" i="20"/>
  <c r="D29" s="1"/>
  <c r="F29" i="24"/>
  <c r="E27"/>
  <c r="H25" i="31"/>
  <c r="K159" i="32"/>
  <c r="N159" s="1"/>
  <c r="J218" i="33"/>
  <c r="P213"/>
  <c r="Q61"/>
  <c r="R245" i="38"/>
  <c r="P140"/>
  <c r="G80"/>
  <c r="Q226" i="40"/>
  <c r="R181"/>
  <c r="S169"/>
  <c r="I64"/>
  <c r="L64" s="1"/>
  <c r="Q18"/>
  <c r="S249" i="41"/>
  <c r="F101"/>
  <c r="Q101" s="1"/>
  <c r="F100"/>
  <c r="Q100" s="1"/>
  <c r="R164" i="42"/>
  <c r="Z118" i="44"/>
  <c r="R72"/>
  <c r="I256" i="45"/>
  <c r="I252"/>
  <c r="E205"/>
  <c r="AB156"/>
  <c r="O134" i="37"/>
  <c r="C53" i="34"/>
  <c r="F135" i="55"/>
  <c r="Q135" s="1"/>
  <c r="F307" i="57"/>
  <c r="F306" s="1"/>
  <c r="D312"/>
  <c r="X312" s="1"/>
  <c r="S114"/>
  <c r="R114" s="1"/>
  <c r="R115"/>
  <c r="J108" i="60"/>
  <c r="N108"/>
  <c r="N112"/>
  <c r="J112"/>
  <c r="M112" s="1"/>
  <c r="G149" i="58"/>
  <c r="K149"/>
  <c r="E47" i="24"/>
  <c r="F80"/>
  <c r="N142" i="31"/>
  <c r="H140"/>
  <c r="H139" s="1"/>
  <c r="I53" i="32"/>
  <c r="L53" s="1"/>
  <c r="N53"/>
  <c r="J221" i="38"/>
  <c r="M221" s="1"/>
  <c r="N221"/>
  <c r="G177" i="40"/>
  <c r="C177"/>
  <c r="H76"/>
  <c r="S76" s="1"/>
  <c r="C76"/>
  <c r="E74"/>
  <c r="C56"/>
  <c r="S224" i="41"/>
  <c r="H220"/>
  <c r="N79"/>
  <c r="I79"/>
  <c r="L79" s="1"/>
  <c r="F184" i="42"/>
  <c r="R184"/>
  <c r="Q103"/>
  <c r="Z103"/>
  <c r="F227" i="44"/>
  <c r="AA227" s="1"/>
  <c r="D80"/>
  <c r="C81"/>
  <c r="AB197" i="45"/>
  <c r="S197"/>
  <c r="AB179" i="47"/>
  <c r="R179"/>
  <c r="AB153"/>
  <c r="R153"/>
  <c r="S129"/>
  <c r="AC129"/>
  <c r="P28" i="37"/>
  <c r="C28"/>
  <c r="H156" i="34"/>
  <c r="P156" s="1"/>
  <c r="F157"/>
  <c r="Q157" s="1"/>
  <c r="S148" i="43"/>
  <c r="N148"/>
  <c r="Z170" i="51"/>
  <c r="AA170"/>
  <c r="E257" i="57"/>
  <c r="D275"/>
  <c r="X275" s="1"/>
  <c r="K103" i="58"/>
  <c r="H102"/>
  <c r="G102" s="1"/>
  <c r="J102" s="1"/>
  <c r="G103"/>
  <c r="J103" s="1"/>
  <c r="U140"/>
  <c r="P140"/>
  <c r="S140" s="1"/>
  <c r="Q149"/>
  <c r="P149" s="1"/>
  <c r="P150"/>
  <c r="G234" i="57"/>
  <c r="X234" s="1"/>
  <c r="H185"/>
  <c r="H338" s="1"/>
  <c r="H233"/>
  <c r="N234"/>
  <c r="D28"/>
  <c r="X28" s="1"/>
  <c r="F27"/>
  <c r="I19" i="54"/>
  <c r="L19" s="1"/>
  <c r="S78" i="51"/>
  <c r="F81"/>
  <c r="D15" i="54"/>
  <c r="P73" i="38"/>
  <c r="S107" i="58"/>
  <c r="J56"/>
  <c r="K36" i="28"/>
  <c r="L147" i="31"/>
  <c r="L53"/>
  <c r="F161"/>
  <c r="H108" i="32"/>
  <c r="H78" s="1"/>
  <c r="M169" i="33"/>
  <c r="P148" i="38"/>
  <c r="S174" i="40"/>
  <c r="M227" i="41"/>
  <c r="C220"/>
  <c r="S64"/>
  <c r="R47" i="42"/>
  <c r="AA122" i="44"/>
  <c r="R24"/>
  <c r="M78" i="45"/>
  <c r="Z210" i="47"/>
  <c r="AC155"/>
  <c r="G79"/>
  <c r="F79" s="1"/>
  <c r="X164" i="58"/>
  <c r="D171" i="38"/>
  <c r="P171" s="1"/>
  <c r="Q171"/>
  <c r="S233" i="40"/>
  <c r="N233"/>
  <c r="F224" i="41"/>
  <c r="R224"/>
  <c r="F190" i="42"/>
  <c r="Z190" s="1"/>
  <c r="S190"/>
  <c r="AA120" i="44"/>
  <c r="Z120"/>
  <c r="G76" i="45"/>
  <c r="R76" s="1"/>
  <c r="F77"/>
  <c r="F64" i="47"/>
  <c r="AA64" s="1"/>
  <c r="S64"/>
  <c r="C212" i="37"/>
  <c r="Q212"/>
  <c r="S20" i="36"/>
  <c r="Q16"/>
  <c r="Q17" s="1"/>
  <c r="Q19" s="1"/>
  <c r="F157" i="43"/>
  <c r="R157"/>
  <c r="Q104"/>
  <c r="Z104"/>
  <c r="H79"/>
  <c r="N80"/>
  <c r="S80"/>
  <c r="Z204" i="51"/>
  <c r="AA204"/>
  <c r="AC75"/>
  <c r="S75"/>
  <c r="Q15" i="54"/>
  <c r="R14"/>
  <c r="I128" i="57"/>
  <c r="D128"/>
  <c r="I161"/>
  <c r="G161" s="1"/>
  <c r="D161"/>
  <c r="F31"/>
  <c r="D32"/>
  <c r="X32" s="1"/>
  <c r="G63"/>
  <c r="X63" s="1"/>
  <c r="I62"/>
  <c r="G62" s="1"/>
  <c r="X62" s="1"/>
  <c r="G22"/>
  <c r="X22" s="1"/>
  <c r="I20"/>
  <c r="I214"/>
  <c r="G216"/>
  <c r="X216" s="1"/>
  <c r="L325"/>
  <c r="O326"/>
  <c r="O23" i="60"/>
  <c r="J23"/>
  <c r="M23" s="1"/>
  <c r="H19" i="62"/>
  <c r="G19" s="1"/>
  <c r="X19" s="1"/>
  <c r="D19"/>
  <c r="O19"/>
  <c r="D128"/>
  <c r="I128"/>
  <c r="G128" s="1"/>
  <c r="D66" i="58"/>
  <c r="C145" i="32"/>
  <c r="Q145" s="1"/>
  <c r="F138"/>
  <c r="Q138" s="1"/>
  <c r="Q130"/>
  <c r="I75"/>
  <c r="L75" s="1"/>
  <c r="F68"/>
  <c r="F21"/>
  <c r="P142" i="33"/>
  <c r="P125"/>
  <c r="R87"/>
  <c r="D84"/>
  <c r="P84" s="1"/>
  <c r="R41"/>
  <c r="J34"/>
  <c r="M34"/>
  <c r="P200" i="38"/>
  <c r="P196"/>
  <c r="P99"/>
  <c r="P95"/>
  <c r="J72"/>
  <c r="M72" s="1"/>
  <c r="R242" i="40"/>
  <c r="S240"/>
  <c r="S216"/>
  <c r="S180"/>
  <c r="Q59"/>
  <c r="Q48"/>
  <c r="L20"/>
  <c r="Q196" i="41"/>
  <c r="Q144"/>
  <c r="S44" i="42"/>
  <c r="Z28"/>
  <c r="AB63" i="44"/>
  <c r="J254" i="45"/>
  <c r="I254" s="1"/>
  <c r="I250"/>
  <c r="C167"/>
  <c r="AA142"/>
  <c r="D82"/>
  <c r="Z50"/>
  <c r="L49"/>
  <c r="AB46"/>
  <c r="Z36"/>
  <c r="R34"/>
  <c r="L19"/>
  <c r="H177" i="47"/>
  <c r="N177" s="1"/>
  <c r="Z108"/>
  <c r="I59"/>
  <c r="L59" s="1"/>
  <c r="I55"/>
  <c r="L55" s="1"/>
  <c r="S55"/>
  <c r="I19"/>
  <c r="L19" s="1"/>
  <c r="O235" i="37"/>
  <c r="O173"/>
  <c r="O171"/>
  <c r="O106"/>
  <c r="O69"/>
  <c r="P54"/>
  <c r="P175" i="34"/>
  <c r="F134"/>
  <c r="C115"/>
  <c r="S170" i="43"/>
  <c r="Q142"/>
  <c r="I74"/>
  <c r="L74" s="1"/>
  <c r="F116" i="52"/>
  <c r="F234" s="1"/>
  <c r="D19"/>
  <c r="U19" s="1"/>
  <c r="Q69" i="55"/>
  <c r="C135" i="54"/>
  <c r="T135" s="1"/>
  <c r="T133"/>
  <c r="T131"/>
  <c r="T129"/>
  <c r="T30"/>
  <c r="D72" i="32"/>
  <c r="D59" s="1"/>
  <c r="C73"/>
  <c r="R226" i="33"/>
  <c r="O226"/>
  <c r="J61" i="38"/>
  <c r="M61" s="1"/>
  <c r="O61"/>
  <c r="Q50"/>
  <c r="G50"/>
  <c r="P50" s="1"/>
  <c r="D36"/>
  <c r="R36"/>
  <c r="M231" i="40"/>
  <c r="I60" i="41"/>
  <c r="L60" s="1"/>
  <c r="N60"/>
  <c r="S231" i="42"/>
  <c r="N231"/>
  <c r="G175" i="44"/>
  <c r="Z97"/>
  <c r="Q97"/>
  <c r="I63"/>
  <c r="L63" s="1"/>
  <c r="M63"/>
  <c r="D252" i="45"/>
  <c r="C252" s="1"/>
  <c r="C101"/>
  <c r="AA101" s="1"/>
  <c r="I70" i="47"/>
  <c r="L70" s="1"/>
  <c r="J68"/>
  <c r="J67" s="1"/>
  <c r="Q18" i="43"/>
  <c r="Z18"/>
  <c r="S77" i="51"/>
  <c r="AC77"/>
  <c r="C87" i="32"/>
  <c r="P68"/>
  <c r="H59"/>
  <c r="F25"/>
  <c r="P170" i="33"/>
  <c r="P133"/>
  <c r="G80"/>
  <c r="L71"/>
  <c r="R54"/>
  <c r="D45"/>
  <c r="O254" i="38"/>
  <c r="J225"/>
  <c r="M225" s="1"/>
  <c r="P224"/>
  <c r="G221"/>
  <c r="M202"/>
  <c r="R34"/>
  <c r="S47" i="40"/>
  <c r="R228" i="41"/>
  <c r="Q133"/>
  <c r="Q80"/>
  <c r="E223" i="42"/>
  <c r="E222" s="1"/>
  <c r="C222" s="1"/>
  <c r="F64"/>
  <c r="Q64" s="1"/>
  <c r="N35"/>
  <c r="E225" i="44"/>
  <c r="F151"/>
  <c r="Z124"/>
  <c r="Q116"/>
  <c r="Z105"/>
  <c r="I61"/>
  <c r="L61" s="1"/>
  <c r="L20"/>
  <c r="F125" i="45"/>
  <c r="Z90"/>
  <c r="L101" i="47"/>
  <c r="G27" i="49"/>
  <c r="Q234" i="37"/>
  <c r="C208"/>
  <c r="O208" s="1"/>
  <c r="O117"/>
  <c r="F82"/>
  <c r="Q75"/>
  <c r="F34"/>
  <c r="O34" s="1"/>
  <c r="Z10" i="36"/>
  <c r="Q132" i="34"/>
  <c r="I246" i="43"/>
  <c r="S243"/>
  <c r="Z151" i="51"/>
  <c r="I70"/>
  <c r="L70" s="1"/>
  <c r="I81" i="52"/>
  <c r="I74" s="1"/>
  <c r="I14" s="1"/>
  <c r="G26"/>
  <c r="Q53" i="55"/>
  <c r="T55" i="54"/>
  <c r="T32"/>
  <c r="X141" i="57"/>
  <c r="Q61" i="43"/>
  <c r="Z61"/>
  <c r="V33" i="60"/>
  <c r="U33" s="1"/>
  <c r="U34"/>
  <c r="N38"/>
  <c r="J38"/>
  <c r="M38" s="1"/>
  <c r="K37"/>
  <c r="J37" s="1"/>
  <c r="M37" s="1"/>
  <c r="G107"/>
  <c r="N107"/>
  <c r="U24" i="62"/>
  <c r="Z108" i="43"/>
  <c r="G246"/>
  <c r="R47"/>
  <c r="L141" i="51"/>
  <c r="L104"/>
  <c r="F78"/>
  <c r="X174" i="57"/>
  <c r="Q154"/>
  <c r="X122"/>
  <c r="X116"/>
  <c r="H166" i="43"/>
  <c r="Z23" i="51"/>
  <c r="AA23"/>
  <c r="S16"/>
  <c r="AC16"/>
  <c r="O117" i="52"/>
  <c r="O116" s="1"/>
  <c r="L116"/>
  <c r="I125" i="57"/>
  <c r="G125" s="1"/>
  <c r="X125" s="1"/>
  <c r="F119"/>
  <c r="R38" i="60"/>
  <c r="R37" s="1"/>
  <c r="T37"/>
  <c r="L41"/>
  <c r="U42"/>
  <c r="V41"/>
  <c r="U41" s="1"/>
  <c r="D96"/>
  <c r="I96"/>
  <c r="G96" s="1"/>
  <c r="O122"/>
  <c r="J122"/>
  <c r="M122" s="1"/>
  <c r="O152"/>
  <c r="G152"/>
  <c r="M152" s="1"/>
  <c r="N198" i="44"/>
  <c r="F216" i="43"/>
  <c r="Z216" s="1"/>
  <c r="H172"/>
  <c r="S172" s="1"/>
  <c r="C170"/>
  <c r="Z170" s="1"/>
  <c r="Q120"/>
  <c r="S60"/>
  <c r="F58"/>
  <c r="Z28"/>
  <c r="Z236" i="51"/>
  <c r="L188"/>
  <c r="Z106"/>
  <c r="L102"/>
  <c r="M78"/>
  <c r="Z46"/>
  <c r="U38" i="52"/>
  <c r="U34" s="1"/>
  <c r="G29"/>
  <c r="U29" s="1"/>
  <c r="U28"/>
  <c r="D16"/>
  <c r="E143" i="55"/>
  <c r="F86"/>
  <c r="F57"/>
  <c r="Q57" s="1"/>
  <c r="Q47"/>
  <c r="T150" i="54"/>
  <c r="H143"/>
  <c r="F143" s="1"/>
  <c r="C21"/>
  <c r="Q19"/>
  <c r="X223" i="57"/>
  <c r="X145"/>
  <c r="X65"/>
  <c r="X153"/>
  <c r="J328"/>
  <c r="M329"/>
  <c r="K51" i="60"/>
  <c r="J52"/>
  <c r="M52" s="1"/>
  <c r="O69"/>
  <c r="G69"/>
  <c r="X69" s="1"/>
  <c r="N42" i="62"/>
  <c r="J42"/>
  <c r="M42" s="1"/>
  <c r="N242"/>
  <c r="J242"/>
  <c r="M242" s="1"/>
  <c r="G172" i="43"/>
  <c r="F172" s="1"/>
  <c r="X146" i="57"/>
  <c r="X137"/>
  <c r="L96"/>
  <c r="O96" s="1"/>
  <c r="X17"/>
  <c r="X274"/>
  <c r="U73" i="58"/>
  <c r="U72" s="1"/>
  <c r="W30" i="60"/>
  <c r="S47"/>
  <c r="R47" s="1"/>
  <c r="H112"/>
  <c r="U122"/>
  <c r="U82" s="1"/>
  <c r="G120"/>
  <c r="X120" s="1"/>
  <c r="L299" i="57"/>
  <c r="O303"/>
  <c r="J42" i="60"/>
  <c r="K41"/>
  <c r="N42"/>
  <c r="R42"/>
  <c r="T41"/>
  <c r="R41" s="1"/>
  <c r="E51"/>
  <c r="H52"/>
  <c r="G52" s="1"/>
  <c r="D52"/>
  <c r="H85"/>
  <c r="G85" s="1"/>
  <c r="D85"/>
  <c r="L74" i="62"/>
  <c r="L15" s="1"/>
  <c r="O75"/>
  <c r="X66" i="57"/>
  <c r="J57" i="58"/>
  <c r="J223"/>
  <c r="X156" i="57"/>
  <c r="X40" i="60"/>
  <c r="G122"/>
  <c r="N27"/>
  <c r="J27"/>
  <c r="M27" s="1"/>
  <c r="H38"/>
  <c r="D38"/>
  <c r="H49"/>
  <c r="G49" s="1"/>
  <c r="E47"/>
  <c r="M79"/>
  <c r="J76"/>
  <c r="M76"/>
  <c r="F148"/>
  <c r="D148" s="1"/>
  <c r="D149"/>
  <c r="H41"/>
  <c r="G48"/>
  <c r="X48" s="1"/>
  <c r="J40" i="62"/>
  <c r="M40" s="1"/>
  <c r="O40"/>
  <c r="J57"/>
  <c r="O57"/>
  <c r="T99"/>
  <c r="T91" s="1"/>
  <c r="R100"/>
  <c r="R99" s="1"/>
  <c r="D124"/>
  <c r="I124"/>
  <c r="G124" s="1"/>
  <c r="J210" i="58"/>
  <c r="E164"/>
  <c r="E148" s="1"/>
  <c r="X188" i="57"/>
  <c r="D167"/>
  <c r="X167" s="1"/>
  <c r="X219"/>
  <c r="X42"/>
  <c r="H214"/>
  <c r="F65" i="60"/>
  <c r="M69"/>
  <c r="D70"/>
  <c r="I125"/>
  <c r="X154"/>
  <c r="G24"/>
  <c r="M24" s="1"/>
  <c r="G39"/>
  <c r="X39" s="1"/>
  <c r="G74"/>
  <c r="X74" s="1"/>
  <c r="G110"/>
  <c r="X110" s="1"/>
  <c r="G137"/>
  <c r="X137" s="1"/>
  <c r="I156"/>
  <c r="I149" s="1"/>
  <c r="G17" i="62"/>
  <c r="X17" s="1"/>
  <c r="T117"/>
  <c r="J310"/>
  <c r="K20" i="60"/>
  <c r="N23"/>
  <c r="N34"/>
  <c r="J34"/>
  <c r="M34" s="1"/>
  <c r="K33"/>
  <c r="J33" s="1"/>
  <c r="M33" s="1"/>
  <c r="V47"/>
  <c r="U47" s="1"/>
  <c r="U49"/>
  <c r="D128"/>
  <c r="I128"/>
  <c r="G128" s="1"/>
  <c r="R84" i="62"/>
  <c r="R81" s="1"/>
  <c r="R80" s="1"/>
  <c r="S81"/>
  <c r="S80" s="1"/>
  <c r="G89"/>
  <c r="H372"/>
  <c r="N89"/>
  <c r="H88"/>
  <c r="N88" s="1"/>
  <c r="L376"/>
  <c r="J376" s="1"/>
  <c r="J93"/>
  <c r="H113"/>
  <c r="I133"/>
  <c r="G133" s="1"/>
  <c r="D133"/>
  <c r="G213"/>
  <c r="X41" i="57"/>
  <c r="L20" i="60"/>
  <c r="O20" s="1"/>
  <c r="U23"/>
  <c r="G70"/>
  <c r="M70" s="1"/>
  <c r="G115"/>
  <c r="X115" s="1"/>
  <c r="G126"/>
  <c r="X126" s="1"/>
  <c r="G129"/>
  <c r="X129" s="1"/>
  <c r="G32" i="62"/>
  <c r="X32" s="1"/>
  <c r="G39"/>
  <c r="X39" s="1"/>
  <c r="X62"/>
  <c r="I96"/>
  <c r="F95"/>
  <c r="D95" s="1"/>
  <c r="I114"/>
  <c r="G114" s="1"/>
  <c r="F113"/>
  <c r="I113" s="1"/>
  <c r="D114"/>
  <c r="O157"/>
  <c r="G157"/>
  <c r="H203"/>
  <c r="H214"/>
  <c r="D214"/>
  <c r="G228"/>
  <c r="X228" s="1"/>
  <c r="H227"/>
  <c r="G227" s="1"/>
  <c r="G241"/>
  <c r="X241" s="1"/>
  <c r="H239"/>
  <c r="G254"/>
  <c r="X254" s="1"/>
  <c r="N254"/>
  <c r="J363"/>
  <c r="L362"/>
  <c r="O363"/>
  <c r="G24"/>
  <c r="X24" s="1"/>
  <c r="R153"/>
  <c r="R281"/>
  <c r="X298"/>
  <c r="U324"/>
  <c r="N49"/>
  <c r="J49"/>
  <c r="M49" s="1"/>
  <c r="N55"/>
  <c r="J55"/>
  <c r="M55" s="1"/>
  <c r="V113"/>
  <c r="U113" s="1"/>
  <c r="U114"/>
  <c r="O166"/>
  <c r="I165"/>
  <c r="O165" s="1"/>
  <c r="O256"/>
  <c r="G256"/>
  <c r="M256" s="1"/>
  <c r="G318"/>
  <c r="X318" s="1"/>
  <c r="O318"/>
  <c r="O319"/>
  <c r="J319"/>
  <c r="M319" s="1"/>
  <c r="N343"/>
  <c r="J343"/>
  <c r="M343" s="1"/>
  <c r="I357"/>
  <c r="G357" s="1"/>
  <c r="I356"/>
  <c r="G356" s="1"/>
  <c r="G358"/>
  <c r="E131" i="60"/>
  <c r="O169" i="62"/>
  <c r="J194"/>
  <c r="E194"/>
  <c r="D194" s="1"/>
  <c r="N69"/>
  <c r="J69"/>
  <c r="M69" s="1"/>
  <c r="U84"/>
  <c r="U81" s="1"/>
  <c r="U80" s="1"/>
  <c r="W81"/>
  <c r="W80" s="1"/>
  <c r="U153"/>
  <c r="W117"/>
  <c r="J179"/>
  <c r="H206"/>
  <c r="G206" s="1"/>
  <c r="M206" s="1"/>
  <c r="D206"/>
  <c r="X206" s="1"/>
  <c r="I216"/>
  <c r="F215"/>
  <c r="D215" s="1"/>
  <c r="F184"/>
  <c r="F375" s="1"/>
  <c r="D216"/>
  <c r="H218"/>
  <c r="G218" s="1"/>
  <c r="D218"/>
  <c r="N234"/>
  <c r="H233"/>
  <c r="G234"/>
  <c r="M234" s="1"/>
  <c r="O236"/>
  <c r="J236"/>
  <c r="M236" s="1"/>
  <c r="G263"/>
  <c r="X263" s="1"/>
  <c r="H262"/>
  <c r="G262" s="1"/>
  <c r="O316"/>
  <c r="G316"/>
  <c r="X316" s="1"/>
  <c r="G51"/>
  <c r="X51"/>
  <c r="R60"/>
  <c r="H92"/>
  <c r="R118"/>
  <c r="G141"/>
  <c r="X141" s="1"/>
  <c r="R181"/>
  <c r="G207"/>
  <c r="G219"/>
  <c r="I233"/>
  <c r="O233" s="1"/>
  <c r="G246"/>
  <c r="D262"/>
  <c r="X295"/>
  <c r="X296"/>
  <c r="G343"/>
  <c r="X343" s="1"/>
  <c r="U343"/>
  <c r="X348"/>
  <c r="V353"/>
  <c r="U353" s="1"/>
  <c r="F356"/>
  <c r="D358"/>
  <c r="N92"/>
  <c r="J92"/>
  <c r="M92" s="1"/>
  <c r="R96"/>
  <c r="S95"/>
  <c r="D170"/>
  <c r="X170" s="1"/>
  <c r="F169"/>
  <c r="D169" s="1"/>
  <c r="X169" s="1"/>
  <c r="N190"/>
  <c r="J190"/>
  <c r="I192"/>
  <c r="G192" s="1"/>
  <c r="F185"/>
  <c r="F376" s="1"/>
  <c r="G240"/>
  <c r="X240" s="1"/>
  <c r="I239"/>
  <c r="H255"/>
  <c r="E253"/>
  <c r="D253" s="1"/>
  <c r="O281"/>
  <c r="J281"/>
  <c r="X300"/>
  <c r="T340"/>
  <c r="T339" s="1"/>
  <c r="F257"/>
  <c r="D257" s="1"/>
  <c r="H162" i="31"/>
  <c r="P162" s="1"/>
  <c r="N25"/>
  <c r="G14" i="54"/>
  <c r="G13" s="1"/>
  <c r="AA61" i="47"/>
  <c r="Q61"/>
  <c r="D87" i="44"/>
  <c r="C88"/>
  <c r="D93" i="57"/>
  <c r="X93" s="1"/>
  <c r="Q162" i="45"/>
  <c r="Z162"/>
  <c r="AA162"/>
  <c r="Q30" i="51"/>
  <c r="Z30"/>
  <c r="E16" i="10"/>
  <c r="E13"/>
  <c r="O71" i="58"/>
  <c r="F85" i="42"/>
  <c r="Z85" s="1"/>
  <c r="R85"/>
  <c r="G15" i="32"/>
  <c r="N233" i="57"/>
  <c r="Q148" i="58"/>
  <c r="Q105" s="1"/>
  <c r="Q81" i="44"/>
  <c r="H74" i="40"/>
  <c r="F74" s="1"/>
  <c r="F76"/>
  <c r="Z152" i="44"/>
  <c r="S181"/>
  <c r="Z199"/>
  <c r="S173" i="40"/>
  <c r="F173"/>
  <c r="L235" i="47"/>
  <c r="E254" i="45"/>
  <c r="F82" i="40"/>
  <c r="L82"/>
  <c r="G81"/>
  <c r="R82"/>
  <c r="M82"/>
  <c r="E19" i="24"/>
  <c r="AA148" i="58"/>
  <c r="E155" i="34"/>
  <c r="F196" i="51"/>
  <c r="AC148" i="47"/>
  <c r="E29" i="26"/>
  <c r="J149" i="58"/>
  <c r="Q15" i="26"/>
  <c r="L13" i="60"/>
  <c r="S166" i="43"/>
  <c r="AC177" i="47"/>
  <c r="S177"/>
  <c r="F177"/>
  <c r="AA16" i="36"/>
  <c r="AA17" s="1"/>
  <c r="O90" i="38"/>
  <c r="C248" i="43"/>
  <c r="R117" i="57"/>
  <c r="R254" i="47"/>
  <c r="AB254"/>
  <c r="AA250" i="45"/>
  <c r="Q250"/>
  <c r="Z61" i="44"/>
  <c r="C144"/>
  <c r="J207" i="33"/>
  <c r="M207" s="1"/>
  <c r="N207"/>
  <c r="L200" i="45"/>
  <c r="Q200"/>
  <c r="AA200"/>
  <c r="Z200"/>
  <c r="E89" i="33"/>
  <c r="G155" i="32"/>
  <c r="D113" i="62"/>
  <c r="Z64" i="42"/>
  <c r="Z101" i="45"/>
  <c r="Q101"/>
  <c r="Q196" i="40"/>
  <c r="L196"/>
  <c r="AA25" i="51"/>
  <c r="J16" i="22"/>
  <c r="M29" i="20"/>
  <c r="L224" i="43"/>
  <c r="I16" i="25"/>
  <c r="I305" i="57"/>
  <c r="G305" s="1"/>
  <c r="G306"/>
  <c r="C65" i="11"/>
  <c r="G92" i="62"/>
  <c r="H375"/>
  <c r="N206"/>
  <c r="X256"/>
  <c r="R172" i="43"/>
  <c r="N51" i="60"/>
  <c r="E142" i="55"/>
  <c r="H216" i="37"/>
  <c r="Q217"/>
  <c r="N217"/>
  <c r="N239" s="1"/>
  <c r="N237" i="40"/>
  <c r="L252" i="38"/>
  <c r="J71"/>
  <c r="L17"/>
  <c r="L181" i="34"/>
  <c r="N180"/>
  <c r="L180" s="1"/>
  <c r="G179"/>
  <c r="L145" i="40"/>
  <c r="Q216" i="42"/>
  <c r="Z216"/>
  <c r="L66" i="51"/>
  <c r="Q66"/>
  <c r="Z77" i="42"/>
  <c r="L77"/>
  <c r="Q77"/>
  <c r="C122" i="54"/>
  <c r="G214" i="57"/>
  <c r="X214" s="1"/>
  <c r="F25" i="31"/>
  <c r="H142" i="54"/>
  <c r="I83" i="60"/>
  <c r="Q78" i="51"/>
  <c r="AA78"/>
  <c r="Z78"/>
  <c r="L78"/>
  <c r="Q184" i="42"/>
  <c r="Z184"/>
  <c r="K156" i="54"/>
  <c r="N156" s="1"/>
  <c r="S168" i="47"/>
  <c r="AC168"/>
  <c r="F168"/>
  <c r="Z22" i="42"/>
  <c r="L163" i="43"/>
  <c r="R71" i="33"/>
  <c r="I205" i="45"/>
  <c r="L205" s="1"/>
  <c r="F53" i="8"/>
  <c r="G248" i="43"/>
  <c r="F150" i="45"/>
  <c r="Z185"/>
  <c r="Q185"/>
  <c r="AA185"/>
  <c r="Q146" i="44"/>
  <c r="R68" i="47"/>
  <c r="F68"/>
  <c r="AB68"/>
  <c r="S86" i="42"/>
  <c r="N86"/>
  <c r="H240" i="37"/>
  <c r="N71"/>
  <c r="J79" i="57"/>
  <c r="C222" i="40"/>
  <c r="J164" i="62"/>
  <c r="K163"/>
  <c r="K116" s="1"/>
  <c r="E87" i="47"/>
  <c r="J224" i="45"/>
  <c r="I225"/>
  <c r="Z99" i="44"/>
  <c r="Q99"/>
  <c r="AA99"/>
  <c r="J228" i="38"/>
  <c r="K227"/>
  <c r="F23" i="31"/>
  <c r="L23" s="1"/>
  <c r="N23"/>
  <c r="L84" i="42"/>
  <c r="Z84"/>
  <c r="Q84"/>
  <c r="M227" i="33"/>
  <c r="P227"/>
  <c r="I227" i="38"/>
  <c r="R228"/>
  <c r="O228"/>
  <c r="O250" s="1"/>
  <c r="N36" i="25"/>
  <c r="AA78" i="44"/>
  <c r="Q78"/>
  <c r="Z78"/>
  <c r="L78"/>
  <c r="L187" i="45"/>
  <c r="Z187"/>
  <c r="AA187"/>
  <c r="F82"/>
  <c r="L82" s="1"/>
  <c r="M82"/>
  <c r="O212" i="52"/>
  <c r="J212"/>
  <c r="M212" s="1"/>
  <c r="H253" i="62"/>
  <c r="N253" s="1"/>
  <c r="G255"/>
  <c r="X255" s="1"/>
  <c r="H131" i="60"/>
  <c r="D131"/>
  <c r="G214" i="62"/>
  <c r="I95"/>
  <c r="N372"/>
  <c r="X24" i="60"/>
  <c r="H51"/>
  <c r="G51" s="1"/>
  <c r="S30"/>
  <c r="N37"/>
  <c r="E224" i="44"/>
  <c r="C225"/>
  <c r="C223" i="42"/>
  <c r="I68" i="47"/>
  <c r="Q81" i="51"/>
  <c r="L81"/>
  <c r="AA81"/>
  <c r="Z81"/>
  <c r="H219" i="41"/>
  <c r="H218" s="1"/>
  <c r="H198" s="1"/>
  <c r="N198" s="1"/>
  <c r="N220"/>
  <c r="S220"/>
  <c r="R177" i="40"/>
  <c r="E204" i="45"/>
  <c r="E29" i="24"/>
  <c r="F26"/>
  <c r="E26" s="1"/>
  <c r="S251" i="51"/>
  <c r="AC251"/>
  <c r="I15" i="55"/>
  <c r="L15" s="1"/>
  <c r="K157"/>
  <c r="N157" s="1"/>
  <c r="Q151" i="42"/>
  <c r="Z151"/>
  <c r="Q82" i="38"/>
  <c r="J77" i="32"/>
  <c r="M77" s="1"/>
  <c r="M78"/>
  <c r="Z159" i="44"/>
  <c r="Q159"/>
  <c r="AC24" i="51"/>
  <c r="S24"/>
  <c r="F24"/>
  <c r="Z24" s="1"/>
  <c r="L219"/>
  <c r="P228" i="33"/>
  <c r="C139" i="31"/>
  <c r="F82" i="44"/>
  <c r="L82" s="1"/>
  <c r="S82"/>
  <c r="N82"/>
  <c r="AB82"/>
  <c r="Z87" i="43"/>
  <c r="L87"/>
  <c r="Q87"/>
  <c r="S229" i="44"/>
  <c r="AB229"/>
  <c r="N229"/>
  <c r="S244"/>
  <c r="N244"/>
  <c r="F244"/>
  <c r="K247" i="42"/>
  <c r="K17"/>
  <c r="H17" i="41"/>
  <c r="J49" i="55"/>
  <c r="M49" s="1"/>
  <c r="M50"/>
  <c r="L178" i="43"/>
  <c r="G122" i="55"/>
  <c r="G117" s="1"/>
  <c r="Z179" i="43"/>
  <c r="Q179"/>
  <c r="D222"/>
  <c r="C223"/>
  <c r="C26" i="49"/>
  <c r="C27" s="1"/>
  <c r="Z24" i="47"/>
  <c r="Q24"/>
  <c r="AA24"/>
  <c r="F255"/>
  <c r="AC255"/>
  <c r="S255"/>
  <c r="Z48" i="45"/>
  <c r="AA48"/>
  <c r="Q48"/>
  <c r="D88"/>
  <c r="R254" i="44"/>
  <c r="G253"/>
  <c r="R253" s="1"/>
  <c r="M239" i="38"/>
  <c r="P239"/>
  <c r="L176" i="47"/>
  <c r="L84" i="43"/>
  <c r="Z84"/>
  <c r="Q84"/>
  <c r="R222" i="42"/>
  <c r="R254" s="1"/>
  <c r="F18" i="28"/>
  <c r="D77" i="34"/>
  <c r="M122" i="55"/>
  <c r="AA74" i="47"/>
  <c r="Q74"/>
  <c r="Z74"/>
  <c r="F212" i="52"/>
  <c r="AA182" i="51"/>
  <c r="Q182"/>
  <c r="Z182"/>
  <c r="C239"/>
  <c r="Z239" s="1"/>
  <c r="AB239"/>
  <c r="R239"/>
  <c r="N71" i="45"/>
  <c r="N255" s="1"/>
  <c r="L255" s="1"/>
  <c r="H70"/>
  <c r="F71"/>
  <c r="L71" s="1"/>
  <c r="J69"/>
  <c r="J253" s="1"/>
  <c r="AA242"/>
  <c r="AA147" i="44"/>
  <c r="Z147"/>
  <c r="Q147"/>
  <c r="Z161"/>
  <c r="Q161"/>
  <c r="L161"/>
  <c r="AA161"/>
  <c r="C83" i="42"/>
  <c r="C203" i="40"/>
  <c r="Q203" s="1"/>
  <c r="R203"/>
  <c r="D202"/>
  <c r="Q253" i="38"/>
  <c r="D253"/>
  <c r="M85" i="58"/>
  <c r="F203" i="42"/>
  <c r="M67" i="31"/>
  <c r="Z172" i="45"/>
  <c r="N288" i="62"/>
  <c r="M15" i="54"/>
  <c r="I15"/>
  <c r="L15" s="1"/>
  <c r="R218" i="33"/>
  <c r="I217"/>
  <c r="R217" s="1"/>
  <c r="O218"/>
  <c r="N218"/>
  <c r="Q218"/>
  <c r="H217"/>
  <c r="G218"/>
  <c r="Q188" i="43"/>
  <c r="Z188"/>
  <c r="Q46" i="47"/>
  <c r="AA46"/>
  <c r="Z46"/>
  <c r="S86" i="43"/>
  <c r="N86"/>
  <c r="Q145" i="38"/>
  <c r="D145"/>
  <c r="E52" i="11"/>
  <c r="D77"/>
  <c r="Z83" i="45"/>
  <c r="L83"/>
  <c r="AA83"/>
  <c r="Q83"/>
  <c r="K44" i="31"/>
  <c r="I339" i="57"/>
  <c r="I184"/>
  <c r="G186"/>
  <c r="O186"/>
  <c r="J313" i="62"/>
  <c r="K309"/>
  <c r="K287" s="1"/>
  <c r="N238" i="52"/>
  <c r="N71" i="47"/>
  <c r="M19" i="31"/>
  <c r="J18"/>
  <c r="I19"/>
  <c r="N240" i="37"/>
  <c r="I17" i="33"/>
  <c r="I16" s="1"/>
  <c r="M218"/>
  <c r="U26" i="52"/>
  <c r="AB150" i="45"/>
  <c r="I70" i="42"/>
  <c r="H17" i="37"/>
  <c r="H16" s="1"/>
  <c r="F71"/>
  <c r="L71" s="1"/>
  <c r="S93" i="57"/>
  <c r="R93" s="1"/>
  <c r="N71" i="38"/>
  <c r="K164" i="58"/>
  <c r="J41" i="60"/>
  <c r="Q170" i="43"/>
  <c r="F118" i="57"/>
  <c r="D118" s="1"/>
  <c r="D119"/>
  <c r="Q125" i="45"/>
  <c r="AA125"/>
  <c r="Z125"/>
  <c r="C82"/>
  <c r="R13" i="54"/>
  <c r="Q13" s="1"/>
  <c r="Q14"/>
  <c r="N79" i="43"/>
  <c r="F79"/>
  <c r="S79"/>
  <c r="Q157"/>
  <c r="Z157"/>
  <c r="F76" i="45"/>
  <c r="Q76" s="1"/>
  <c r="Q190" i="42"/>
  <c r="L18" i="59"/>
  <c r="L16" s="1"/>
  <c r="O29"/>
  <c r="J29"/>
  <c r="M29" s="1"/>
  <c r="L136"/>
  <c r="L227" i="41"/>
  <c r="Q227"/>
  <c r="M205" i="44"/>
  <c r="J204"/>
  <c r="I205"/>
  <c r="L205" s="1"/>
  <c r="Q163" i="45"/>
  <c r="L163"/>
  <c r="Z163"/>
  <c r="M229" i="44"/>
  <c r="S228" i="47"/>
  <c r="AC228"/>
  <c r="H224"/>
  <c r="N228"/>
  <c r="F228"/>
  <c r="L228" s="1"/>
  <c r="Q240" i="44"/>
  <c r="AA240"/>
  <c r="S82" i="45"/>
  <c r="R70"/>
  <c r="I252" i="38"/>
  <c r="Q229" i="43"/>
  <c r="Q70" i="47"/>
  <c r="F167" i="45"/>
  <c r="Q167" s="1"/>
  <c r="AB167"/>
  <c r="Q190"/>
  <c r="K17" i="22"/>
  <c r="C99" i="8"/>
  <c r="F99" s="1"/>
  <c r="F100"/>
  <c r="Q181" i="45"/>
  <c r="Z181"/>
  <c r="AA181"/>
  <c r="D216" i="33"/>
  <c r="E206"/>
  <c r="D206" s="1"/>
  <c r="W255" i="57"/>
  <c r="U256"/>
  <c r="AA68" i="51"/>
  <c r="C143" i="47"/>
  <c r="D87"/>
  <c r="AB229" i="45"/>
  <c r="N229"/>
  <c r="S229"/>
  <c r="H225"/>
  <c r="AB225" s="1"/>
  <c r="Z160" i="44"/>
  <c r="Q160"/>
  <c r="Q192" i="42"/>
  <c r="L192"/>
  <c r="Z192"/>
  <c r="F83" i="47"/>
  <c r="M83"/>
  <c r="J222" i="40"/>
  <c r="L81" i="45"/>
  <c r="Z81"/>
  <c r="Q81"/>
  <c r="AA81"/>
  <c r="M41" i="22"/>
  <c r="L41" s="1"/>
  <c r="J36"/>
  <c r="I36" s="1"/>
  <c r="I41"/>
  <c r="E41" i="26"/>
  <c r="Q41" s="1"/>
  <c r="Q43"/>
  <c r="L177" i="45"/>
  <c r="AA177"/>
  <c r="Q177"/>
  <c r="E241" i="37"/>
  <c r="Q242"/>
  <c r="C242"/>
  <c r="O242" s="1"/>
  <c r="V339" i="62"/>
  <c r="V338" s="1"/>
  <c r="O216"/>
  <c r="G216"/>
  <c r="O362"/>
  <c r="L361"/>
  <c r="L360" s="1"/>
  <c r="O360" s="1"/>
  <c r="M157"/>
  <c r="G156" i="60"/>
  <c r="F13"/>
  <c r="D65"/>
  <c r="J96" i="57"/>
  <c r="M96" s="1"/>
  <c r="L93"/>
  <c r="L78" s="1"/>
  <c r="L234" i="52"/>
  <c r="L115"/>
  <c r="O115" s="1"/>
  <c r="M107" i="60"/>
  <c r="AA151" i="44"/>
  <c r="O71" i="33"/>
  <c r="L240"/>
  <c r="L17"/>
  <c r="L16" s="1"/>
  <c r="C72" i="32"/>
  <c r="D116" i="52"/>
  <c r="G20" i="57"/>
  <c r="X20" s="1"/>
  <c r="S16" i="36"/>
  <c r="T16" s="1"/>
  <c r="S14"/>
  <c r="AB14" s="1"/>
  <c r="S15"/>
  <c r="Q64" i="47"/>
  <c r="Z64"/>
  <c r="R79"/>
  <c r="G78"/>
  <c r="D156" i="54"/>
  <c r="D27" i="57"/>
  <c r="X27" s="1"/>
  <c r="N185"/>
  <c r="F156" i="34"/>
  <c r="C80" i="44"/>
  <c r="Q80" s="1"/>
  <c r="D69"/>
  <c r="D252" s="1"/>
  <c r="R80"/>
  <c r="M108" i="60"/>
  <c r="D79" i="51"/>
  <c r="K14" i="58"/>
  <c r="G14"/>
  <c r="S174" i="45"/>
  <c r="F174"/>
  <c r="Z174" s="1"/>
  <c r="I73" i="44"/>
  <c r="Z148" i="42"/>
  <c r="R207" i="33"/>
  <c r="G210" i="52"/>
  <c r="I195"/>
  <c r="I191" s="1"/>
  <c r="Z169" i="47"/>
  <c r="Q169"/>
  <c r="AA169"/>
  <c r="AA194"/>
  <c r="Q194"/>
  <c r="Z194"/>
  <c r="Q48" i="44"/>
  <c r="Z48"/>
  <c r="AA48"/>
  <c r="G70"/>
  <c r="M71"/>
  <c r="M254" s="1"/>
  <c r="F71"/>
  <c r="Z71" s="1"/>
  <c r="R71"/>
  <c r="C205"/>
  <c r="E218" i="41"/>
  <c r="C218" s="1"/>
  <c r="C219"/>
  <c r="C244"/>
  <c r="M220" i="33"/>
  <c r="P220"/>
  <c r="R86" i="43"/>
  <c r="M86"/>
  <c r="F86"/>
  <c r="Z86" s="1"/>
  <c r="L148" i="60"/>
  <c r="L164"/>
  <c r="G217" i="37"/>
  <c r="F217" s="1"/>
  <c r="F218"/>
  <c r="M204" i="47"/>
  <c r="R205" i="45"/>
  <c r="D204"/>
  <c r="K204" i="44"/>
  <c r="N205"/>
  <c r="Z238"/>
  <c r="Q238"/>
  <c r="AA238"/>
  <c r="L238"/>
  <c r="AA246"/>
  <c r="Z246"/>
  <c r="H74" i="42"/>
  <c r="F74" s="1"/>
  <c r="F75"/>
  <c r="Z75" s="1"/>
  <c r="S75"/>
  <c r="F28" i="26"/>
  <c r="G28" s="1"/>
  <c r="G56"/>
  <c r="F24"/>
  <c r="G24" s="1"/>
  <c r="Z169" i="44"/>
  <c r="AA169"/>
  <c r="Q169"/>
  <c r="C25" i="31"/>
  <c r="D162"/>
  <c r="C162" s="1"/>
  <c r="G56" i="55"/>
  <c r="N143"/>
  <c r="K142"/>
  <c r="K141" s="1"/>
  <c r="I143"/>
  <c r="L143" s="1"/>
  <c r="E238" i="52"/>
  <c r="D238" s="1"/>
  <c r="D15"/>
  <c r="AA131" i="47"/>
  <c r="Q131"/>
  <c r="S256" i="45"/>
  <c r="F256"/>
  <c r="AA256" s="1"/>
  <c r="R255"/>
  <c r="G254"/>
  <c r="C81" i="40"/>
  <c r="R81"/>
  <c r="E16" i="33"/>
  <c r="M37" i="28"/>
  <c r="L37" s="1"/>
  <c r="Q100" i="47"/>
  <c r="F313" i="62"/>
  <c r="F309" s="1"/>
  <c r="D314"/>
  <c r="Z200" i="42"/>
  <c r="Q200"/>
  <c r="Q238" i="40"/>
  <c r="L238"/>
  <c r="L106" i="58"/>
  <c r="G18" i="31"/>
  <c r="Q166" i="42"/>
  <c r="Z166"/>
  <c r="K15" i="34"/>
  <c r="N15" s="1"/>
  <c r="N16"/>
  <c r="I89" i="37"/>
  <c r="AA132" i="47"/>
  <c r="Q132"/>
  <c r="Z132"/>
  <c r="L144"/>
  <c r="AA144"/>
  <c r="Q144"/>
  <c r="Z144"/>
  <c r="AB163"/>
  <c r="F163"/>
  <c r="F171" i="45"/>
  <c r="AA171" s="1"/>
  <c r="R171"/>
  <c r="Q237"/>
  <c r="AA237"/>
  <c r="Z237"/>
  <c r="L237"/>
  <c r="AB162" i="44"/>
  <c r="M163"/>
  <c r="F163"/>
  <c r="G144"/>
  <c r="E17" i="25"/>
  <c r="N71" i="42"/>
  <c r="N248" s="1"/>
  <c r="Z84" i="47"/>
  <c r="Q84"/>
  <c r="AA84"/>
  <c r="L84"/>
  <c r="J206" i="37"/>
  <c r="I206" s="1"/>
  <c r="I216"/>
  <c r="I224" i="44"/>
  <c r="S83" i="43"/>
  <c r="F17" i="37"/>
  <c r="G16"/>
  <c r="R145" i="38"/>
  <c r="F90"/>
  <c r="F89" s="1"/>
  <c r="E66" i="10"/>
  <c r="U320" i="57"/>
  <c r="P225" i="33"/>
  <c r="F140" i="31"/>
  <c r="G139"/>
  <c r="O140"/>
  <c r="J18" i="28"/>
  <c r="I19"/>
  <c r="M19"/>
  <c r="L19" s="1"/>
  <c r="O45" i="31"/>
  <c r="G44"/>
  <c r="O44" s="1"/>
  <c r="D202" i="42"/>
  <c r="R203"/>
  <c r="E16" i="9"/>
  <c r="G88" i="41"/>
  <c r="M88" s="1"/>
  <c r="M89"/>
  <c r="J141" i="55"/>
  <c r="M141" s="1"/>
  <c r="M142"/>
  <c r="C145" i="37"/>
  <c r="E90"/>
  <c r="Q145"/>
  <c r="Q173" i="40"/>
  <c r="G239" i="62"/>
  <c r="X152" i="60"/>
  <c r="S161" i="47"/>
  <c r="H19" i="31"/>
  <c r="F19" s="1"/>
  <c r="L19" s="1"/>
  <c r="I222" i="42"/>
  <c r="H255" i="45"/>
  <c r="H254" s="1"/>
  <c r="S254" s="1"/>
  <c r="D19" i="31"/>
  <c r="C19" s="1"/>
  <c r="Z163" i="43"/>
  <c r="S182" i="42"/>
  <c r="H17" i="38"/>
  <c r="H16" s="1"/>
  <c r="J74" i="62"/>
  <c r="F229" i="45"/>
  <c r="AA229" s="1"/>
  <c r="D307" i="57"/>
  <c r="X307" s="1"/>
  <c r="T14" i="36"/>
  <c r="I216" i="33"/>
  <c r="R216" s="1"/>
  <c r="R247" s="1"/>
  <c r="S70" i="45"/>
  <c r="AA255" i="47"/>
  <c r="Z244" i="44"/>
  <c r="Q244"/>
  <c r="AA244"/>
  <c r="L244"/>
  <c r="H206" i="37"/>
  <c r="N206" s="1"/>
  <c r="E141" i="55"/>
  <c r="C253" i="47"/>
  <c r="M83" i="42"/>
  <c r="E14" i="33"/>
  <c r="E13" s="1"/>
  <c r="T15" i="36"/>
  <c r="AB15"/>
  <c r="Z15" s="1"/>
  <c r="L88" i="52"/>
  <c r="N225" i="45"/>
  <c r="N250" s="1"/>
  <c r="S225"/>
  <c r="D85" i="47"/>
  <c r="D86" s="1"/>
  <c r="I204" i="44"/>
  <c r="AD204" s="1"/>
  <c r="J18" i="59"/>
  <c r="J16" s="1"/>
  <c r="Z79" i="43"/>
  <c r="Q79"/>
  <c r="L79"/>
  <c r="N17" i="37"/>
  <c r="M186" i="57"/>
  <c r="Q71" i="45"/>
  <c r="AA71"/>
  <c r="I77" i="32"/>
  <c r="L77" s="1"/>
  <c r="R227" i="38"/>
  <c r="R259" s="1"/>
  <c r="I206"/>
  <c r="O227"/>
  <c r="O83" i="60"/>
  <c r="L16" i="38"/>
  <c r="R253" i="47"/>
  <c r="M81" i="40"/>
  <c r="F81"/>
  <c r="L81" s="1"/>
  <c r="Q85" i="42"/>
  <c r="N70" i="45"/>
  <c r="N254" s="1"/>
  <c r="S255"/>
  <c r="F16" i="37"/>
  <c r="O162" i="31"/>
  <c r="O167" s="1"/>
  <c r="AB78" i="47"/>
  <c r="R78"/>
  <c r="Q228"/>
  <c r="AA228"/>
  <c r="C241" i="37"/>
  <c r="F224" i="47"/>
  <c r="L76" i="45"/>
  <c r="Z76"/>
  <c r="N131" i="60"/>
  <c r="L177" i="47"/>
  <c r="C87" i="44"/>
  <c r="Q82" i="40"/>
  <c r="L68" i="47"/>
  <c r="Q171" i="45"/>
  <c r="Z229"/>
  <c r="Q229"/>
  <c r="L229"/>
  <c r="O139" i="31"/>
  <c r="G138"/>
  <c r="O138" s="1"/>
  <c r="E15" i="25"/>
  <c r="AA80" i="44"/>
  <c r="E89" i="37"/>
  <c r="C89" s="1"/>
  <c r="C90"/>
  <c r="C204" i="45"/>
  <c r="Q174"/>
  <c r="K15" i="22"/>
  <c r="G339" i="57"/>
  <c r="O339"/>
  <c r="C202" i="40"/>
  <c r="J16" i="45"/>
  <c r="J15" s="1"/>
  <c r="G95" i="62"/>
  <c r="G363" i="61"/>
  <c r="X363" s="1"/>
  <c r="F382"/>
  <c r="H383"/>
  <c r="O265"/>
  <c r="T379"/>
  <c r="G375"/>
  <c r="L382"/>
  <c r="O382" s="1"/>
  <c r="N363"/>
  <c r="J369"/>
  <c r="M369" s="1"/>
  <c r="U377"/>
  <c r="K388"/>
  <c r="K387" s="1"/>
  <c r="D373"/>
  <c r="X374"/>
  <c r="X381"/>
  <c r="X385"/>
  <c r="O237"/>
  <c r="O353"/>
  <c r="E379"/>
  <c r="D379" s="1"/>
  <c r="H379"/>
  <c r="G379" s="1"/>
  <c r="K379"/>
  <c r="N379" s="1"/>
  <c r="N380"/>
  <c r="D389"/>
  <c r="O296"/>
  <c r="O86"/>
  <c r="G336"/>
  <c r="X336" s="1"/>
  <c r="I335"/>
  <c r="G335" s="1"/>
  <c r="E382"/>
  <c r="H382"/>
  <c r="O367"/>
  <c r="G367"/>
  <c r="K382"/>
  <c r="N382" s="1"/>
  <c r="G65"/>
  <c r="J218"/>
  <c r="J222"/>
  <c r="G309"/>
  <c r="H389"/>
  <c r="G358"/>
  <c r="D233"/>
  <c r="D347"/>
  <c r="D236"/>
  <c r="M308"/>
  <c r="G163"/>
  <c r="N278"/>
  <c r="J307"/>
  <c r="M307" s="1"/>
  <c r="G116"/>
  <c r="X361"/>
  <c r="G373"/>
  <c r="R373"/>
  <c r="D94"/>
  <c r="O384"/>
  <c r="L383"/>
  <c r="O383" s="1"/>
  <c r="W122"/>
  <c r="O377"/>
  <c r="J377"/>
  <c r="M377" s="1"/>
  <c r="S379"/>
  <c r="R380"/>
  <c r="O25"/>
  <c r="D112"/>
  <c r="J389"/>
  <c r="G132"/>
  <c r="D137"/>
  <c r="N106"/>
  <c r="K105"/>
  <c r="K267"/>
  <c r="N268"/>
  <c r="I60"/>
  <c r="O60" s="1"/>
  <c r="D60"/>
  <c r="F58"/>
  <c r="I58" s="1"/>
  <c r="I235"/>
  <c r="G235" s="1"/>
  <c r="D235"/>
  <c r="F200"/>
  <c r="D200" s="1"/>
  <c r="F220"/>
  <c r="D42"/>
  <c r="O55"/>
  <c r="G213"/>
  <c r="D213"/>
  <c r="H209"/>
  <c r="G209" s="1"/>
  <c r="D209"/>
  <c r="E207"/>
  <c r="W382"/>
  <c r="J384"/>
  <c r="M384" s="1"/>
  <c r="G32"/>
  <c r="I153"/>
  <c r="G153" s="1"/>
  <c r="D153"/>
  <c r="I157"/>
  <c r="G157" s="1"/>
  <c r="D157"/>
  <c r="S382"/>
  <c r="R382" s="1"/>
  <c r="S383"/>
  <c r="R383" s="1"/>
  <c r="D190"/>
  <c r="O277"/>
  <c r="J268"/>
  <c r="O243"/>
  <c r="J255"/>
  <c r="L242"/>
  <c r="A319"/>
  <c r="A320" s="1"/>
  <c r="A321" s="1"/>
  <c r="A322" s="1"/>
  <c r="A323" s="1"/>
  <c r="A324" s="1"/>
  <c r="U85"/>
  <c r="J265"/>
  <c r="M265" s="1"/>
  <c r="G22"/>
  <c r="X22" s="1"/>
  <c r="G68"/>
  <c r="X68" s="1"/>
  <c r="G73"/>
  <c r="G77"/>
  <c r="G149"/>
  <c r="G232"/>
  <c r="G275"/>
  <c r="G293"/>
  <c r="G299"/>
  <c r="X299" s="1"/>
  <c r="G304"/>
  <c r="X304" s="1"/>
  <c r="G259"/>
  <c r="D286"/>
  <c r="J297"/>
  <c r="M297" s="1"/>
  <c r="G291"/>
  <c r="X291" s="1"/>
  <c r="J251"/>
  <c r="J353"/>
  <c r="M353" s="1"/>
  <c r="G243"/>
  <c r="X243" s="1"/>
  <c r="G86"/>
  <c r="X86" s="1"/>
  <c r="G296"/>
  <c r="M296" s="1"/>
  <c r="G144"/>
  <c r="G133"/>
  <c r="X133" s="1"/>
  <c r="G215"/>
  <c r="G224"/>
  <c r="G228"/>
  <c r="H248"/>
  <c r="H254"/>
  <c r="J85"/>
  <c r="U61"/>
  <c r="J286"/>
  <c r="H251"/>
  <c r="R315"/>
  <c r="D328"/>
  <c r="G332"/>
  <c r="D353"/>
  <c r="A356"/>
  <c r="A357" s="1"/>
  <c r="A361" s="1"/>
  <c r="A362" s="1"/>
  <c r="A363" s="1"/>
  <c r="N255"/>
  <c r="H214"/>
  <c r="I294"/>
  <c r="G136"/>
  <c r="O195"/>
  <c r="F105"/>
  <c r="I105" s="1"/>
  <c r="G239"/>
  <c r="H245"/>
  <c r="J328"/>
  <c r="M328" s="1"/>
  <c r="G165"/>
  <c r="X165" s="1"/>
  <c r="G146"/>
  <c r="X146" s="1"/>
  <c r="G158"/>
  <c r="G187"/>
  <c r="X187" s="1"/>
  <c r="N180"/>
  <c r="G40"/>
  <c r="G107"/>
  <c r="G221"/>
  <c r="G268"/>
  <c r="X268" s="1"/>
  <c r="G112"/>
  <c r="D227"/>
  <c r="D238"/>
  <c r="K111"/>
  <c r="G134"/>
  <c r="X134" s="1"/>
  <c r="W75"/>
  <c r="R83"/>
  <c r="R332"/>
  <c r="X356"/>
  <c r="J102"/>
  <c r="J21"/>
  <c r="M21" s="1"/>
  <c r="H283"/>
  <c r="U350"/>
  <c r="G37"/>
  <c r="G59"/>
  <c r="R31"/>
  <c r="U267"/>
  <c r="D106"/>
  <c r="J190"/>
  <c r="M190" s="1"/>
  <c r="G195"/>
  <c r="J83"/>
  <c r="M83" s="1"/>
  <c r="F101"/>
  <c r="I101" s="1"/>
  <c r="O101" s="1"/>
  <c r="E105"/>
  <c r="H105" s="1"/>
  <c r="K101"/>
  <c r="N101" s="1"/>
  <c r="R190"/>
  <c r="R335"/>
  <c r="R358"/>
  <c r="G171"/>
  <c r="M171" s="1"/>
  <c r="O350"/>
  <c r="X323"/>
  <c r="U19"/>
  <c r="U24"/>
  <c r="R41"/>
  <c r="J58"/>
  <c r="P81"/>
  <c r="V82"/>
  <c r="V81" s="1"/>
  <c r="S82"/>
  <c r="S81" s="1"/>
  <c r="U123"/>
  <c r="S127"/>
  <c r="R166"/>
  <c r="P178"/>
  <c r="D196"/>
  <c r="U196"/>
  <c r="D267"/>
  <c r="R305"/>
  <c r="D326"/>
  <c r="D257"/>
  <c r="D261"/>
  <c r="D294"/>
  <c r="O268"/>
  <c r="E338"/>
  <c r="E334" s="1"/>
  <c r="J204"/>
  <c r="G27"/>
  <c r="G45"/>
  <c r="G48"/>
  <c r="X48" s="1"/>
  <c r="G51"/>
  <c r="U64"/>
  <c r="G350"/>
  <c r="F97"/>
  <c r="I97" s="1"/>
  <c r="O97" s="1"/>
  <c r="J61"/>
  <c r="M61" s="1"/>
  <c r="D76"/>
  <c r="J43"/>
  <c r="R300"/>
  <c r="X301"/>
  <c r="X329"/>
  <c r="F75"/>
  <c r="J196"/>
  <c r="M196" s="1"/>
  <c r="U102"/>
  <c r="U101" s="1"/>
  <c r="G240"/>
  <c r="U58"/>
  <c r="I123"/>
  <c r="I122" s="1"/>
  <c r="M293"/>
  <c r="O17"/>
  <c r="O79"/>
  <c r="N295"/>
  <c r="N343"/>
  <c r="E122"/>
  <c r="H122" s="1"/>
  <c r="X349"/>
  <c r="L105"/>
  <c r="J106"/>
  <c r="H33"/>
  <c r="O90"/>
  <c r="G206"/>
  <c r="I214"/>
  <c r="G264"/>
  <c r="X264" s="1"/>
  <c r="H273"/>
  <c r="G121"/>
  <c r="N195"/>
  <c r="G247"/>
  <c r="X247" s="1"/>
  <c r="O83"/>
  <c r="V97"/>
  <c r="T105"/>
  <c r="R106"/>
  <c r="P92"/>
  <c r="P75" s="1"/>
  <c r="S122"/>
  <c r="N166"/>
  <c r="N190"/>
  <c r="U315"/>
  <c r="T314"/>
  <c r="T313" s="1"/>
  <c r="I21"/>
  <c r="G21" s="1"/>
  <c r="D21"/>
  <c r="U339"/>
  <c r="D223"/>
  <c r="D16"/>
  <c r="U109"/>
  <c r="X77"/>
  <c r="G87"/>
  <c r="J112"/>
  <c r="M112" s="1"/>
  <c r="H83"/>
  <c r="E82"/>
  <c r="E81" s="1"/>
  <c r="Q92"/>
  <c r="Q75" s="1"/>
  <c r="R194"/>
  <c r="R16"/>
  <c r="V75"/>
  <c r="U83"/>
  <c r="J19"/>
  <c r="M19" s="1"/>
  <c r="D87"/>
  <c r="O112"/>
  <c r="Z86" i="42"/>
  <c r="Q86"/>
  <c r="X57" i="62"/>
  <c r="M57"/>
  <c r="O257" i="57"/>
  <c r="G257"/>
  <c r="I256"/>
  <c r="H14"/>
  <c r="J14" i="43"/>
  <c r="S305" i="57"/>
  <c r="C79" i="55"/>
  <c r="D56"/>
  <c r="R105" i="58"/>
  <c r="U148"/>
  <c r="X130" i="62"/>
  <c r="E371"/>
  <c r="Q85" i="43"/>
  <c r="Z85"/>
  <c r="D33" i="24"/>
  <c r="D32" s="1"/>
  <c r="D31" s="1"/>
  <c r="R256" i="57"/>
  <c r="S255"/>
  <c r="R15"/>
  <c r="J16" i="44"/>
  <c r="J252"/>
  <c r="N173" i="52"/>
  <c r="E15" i="34"/>
  <c r="P16"/>
  <c r="U164" i="57"/>
  <c r="F324"/>
  <c r="F323" s="1"/>
  <c r="D325"/>
  <c r="J49" i="54"/>
  <c r="M49" s="1"/>
  <c r="M50"/>
  <c r="M318" i="62"/>
  <c r="X227"/>
  <c r="H37" i="60"/>
  <c r="M254" i="62"/>
  <c r="Q216" i="43"/>
  <c r="M234" i="57"/>
  <c r="M16" i="36"/>
  <c r="I16" i="59"/>
  <c r="I12" s="1"/>
  <c r="I140" s="1"/>
  <c r="N314" i="62"/>
  <c r="J289"/>
  <c r="M267"/>
  <c r="L288"/>
  <c r="X180"/>
  <c r="N377"/>
  <c r="G221"/>
  <c r="K375"/>
  <c r="H194"/>
  <c r="N194" s="1"/>
  <c r="E54" i="60"/>
  <c r="O166" i="57"/>
  <c r="G68" i="60"/>
  <c r="X68" s="1"/>
  <c r="G259" i="57"/>
  <c r="M44" i="60"/>
  <c r="S259" i="47"/>
  <c r="Q233" i="43"/>
  <c r="E213" i="52"/>
  <c r="AA181" i="47"/>
  <c r="AA55" i="45"/>
  <c r="Z245"/>
  <c r="AA193" i="47"/>
  <c r="J87" i="45"/>
  <c r="M9" i="36"/>
  <c r="Q154" i="47"/>
  <c r="AA238"/>
  <c r="Z247"/>
  <c r="J175" i="52"/>
  <c r="G158" i="34"/>
  <c r="AA135" i="45"/>
  <c r="M81" i="52"/>
  <c r="Q164" i="47"/>
  <c r="F173" i="52"/>
  <c r="N254" i="47"/>
  <c r="L254" s="1"/>
  <c r="I246" i="51"/>
  <c r="L246" s="1"/>
  <c r="L18"/>
  <c r="Q168" i="40"/>
  <c r="E67" i="26"/>
  <c r="Q67" s="1"/>
  <c r="E69"/>
  <c r="E65" s="1"/>
  <c r="M158" i="62"/>
  <c r="K379"/>
  <c r="N379" s="1"/>
  <c r="O174" i="52"/>
  <c r="I57" i="55"/>
  <c r="L57" s="1"/>
  <c r="M158" i="57"/>
  <c r="Z128" i="42"/>
  <c r="Q175"/>
  <c r="S149" i="43"/>
  <c r="I155" i="55"/>
  <c r="L155" s="1"/>
  <c r="S85" i="43"/>
  <c r="Z180" i="47"/>
  <c r="Z79" i="45"/>
  <c r="J215" i="51"/>
  <c r="I215" s="1"/>
  <c r="L215" s="1"/>
  <c r="Z163"/>
  <c r="Z21" i="45"/>
  <c r="S70" i="44"/>
  <c r="AB247" i="51"/>
  <c r="R247"/>
  <c r="Q53" i="41"/>
  <c r="T31" i="54"/>
  <c r="Q188" i="44"/>
  <c r="L42" i="25"/>
  <c r="E20" i="8"/>
  <c r="E16" s="1"/>
  <c r="E19" s="1"/>
  <c r="F21"/>
  <c r="Z193" i="47"/>
  <c r="Z154" i="45"/>
  <c r="AA21"/>
  <c r="AA154" i="47"/>
  <c r="Q226" i="43"/>
  <c r="Z147"/>
  <c r="AC83" i="47"/>
  <c r="Q182" i="44"/>
  <c r="Z182"/>
  <c r="F124" i="9"/>
  <c r="F41" i="22"/>
  <c r="Z250" i="43"/>
  <c r="S81" i="47"/>
  <c r="L192"/>
  <c r="Q218" i="51"/>
  <c r="S164" i="44"/>
  <c r="AB188"/>
  <c r="K15" i="57"/>
  <c r="N15" s="1"/>
  <c r="J37" i="59"/>
  <c r="M37" s="1"/>
  <c r="V29"/>
  <c r="E114" i="26"/>
  <c r="D32"/>
  <c r="M32" i="28"/>
  <c r="L32" s="1"/>
  <c r="L31"/>
  <c r="I22"/>
  <c r="E62" i="24"/>
  <c r="G61"/>
  <c r="E61" s="1"/>
  <c r="Z148" i="58"/>
  <c r="Z105" s="1"/>
  <c r="L98"/>
  <c r="D16" i="24"/>
  <c r="C68" i="47"/>
  <c r="N203" i="44"/>
  <c r="E73" i="26"/>
  <c r="Q73" s="1"/>
  <c r="K15" i="20"/>
  <c r="F22" i="22"/>
  <c r="N21" i="28"/>
  <c r="G36" i="25"/>
  <c r="F36" s="1"/>
  <c r="L32" i="20"/>
  <c r="L73" s="1"/>
  <c r="N39" i="32"/>
  <c r="R220" i="33"/>
  <c r="R152"/>
  <c r="O223" i="38"/>
  <c r="D177"/>
  <c r="P177" s="1"/>
  <c r="Q88"/>
  <c r="N227" i="40"/>
  <c r="M32" i="31"/>
  <c r="H156" i="32"/>
  <c r="F156" s="1"/>
  <c r="Q156" s="1"/>
  <c r="R31" i="33"/>
  <c r="P247" i="38"/>
  <c r="Q243"/>
  <c r="O237"/>
  <c r="D165"/>
  <c r="P165" s="1"/>
  <c r="F82"/>
  <c r="N50"/>
  <c r="S231" i="40"/>
  <c r="S201"/>
  <c r="Q134"/>
  <c r="Z160" i="42"/>
  <c r="D108" i="32"/>
  <c r="R82" i="33"/>
  <c r="J78"/>
  <c r="M78" s="1"/>
  <c r="J255" i="38"/>
  <c r="Q219" i="40"/>
  <c r="F195"/>
  <c r="Q195" s="1"/>
  <c r="R195"/>
  <c r="F180"/>
  <c r="Q180" s="1"/>
  <c r="F160"/>
  <c r="F158"/>
  <c r="Q158" s="1"/>
  <c r="Q108"/>
  <c r="F64" i="41"/>
  <c r="F240" i="42"/>
  <c r="Z240" s="1"/>
  <c r="I220"/>
  <c r="L220" s="1"/>
  <c r="S174"/>
  <c r="F145"/>
  <c r="Z145" s="1"/>
  <c r="AA94" i="44"/>
  <c r="Z91"/>
  <c r="C76"/>
  <c r="C166" i="40"/>
  <c r="Q166" s="1"/>
  <c r="F25"/>
  <c r="Q25" s="1"/>
  <c r="I22"/>
  <c r="L22" s="1"/>
  <c r="M222" i="41"/>
  <c r="M244" s="1"/>
  <c r="I200"/>
  <c r="L200" s="1"/>
  <c r="R82"/>
  <c r="S173" i="42"/>
  <c r="D81"/>
  <c r="C81" s="1"/>
  <c r="F220" i="44"/>
  <c r="AA220" s="1"/>
  <c r="S151"/>
  <c r="Z132" i="45"/>
  <c r="Z234" i="47"/>
  <c r="AA158"/>
  <c r="L147"/>
  <c r="J17" i="37"/>
  <c r="E249" i="40"/>
  <c r="I85" i="44"/>
  <c r="Z139" i="45"/>
  <c r="E27" i="49"/>
  <c r="AA93" i="44"/>
  <c r="Z93"/>
  <c r="S57"/>
  <c r="Z27"/>
  <c r="F186" i="45"/>
  <c r="Q186" s="1"/>
  <c r="Z38"/>
  <c r="F26" i="49"/>
  <c r="F27" s="1"/>
  <c r="F102" i="37"/>
  <c r="O102" s="1"/>
  <c r="AA228" i="45"/>
  <c r="C220"/>
  <c r="Q220" s="1"/>
  <c r="S186"/>
  <c r="M36" i="37"/>
  <c r="U17" i="36"/>
  <c r="W17" s="1"/>
  <c r="Q116" i="34"/>
  <c r="Z241" i="43"/>
  <c r="R168"/>
  <c r="C166"/>
  <c r="C162"/>
  <c r="S131"/>
  <c r="Q118"/>
  <c r="F101"/>
  <c r="Q101" s="1"/>
  <c r="AB234" i="51"/>
  <c r="AB186"/>
  <c r="F124"/>
  <c r="Z124" s="1"/>
  <c r="Z122" i="43"/>
  <c r="R227"/>
  <c r="H246"/>
  <c r="F246" s="1"/>
  <c r="Z246" s="1"/>
  <c r="Q21"/>
  <c r="S92" i="51"/>
  <c r="AA82"/>
  <c r="M206" i="52"/>
  <c r="M195" s="1"/>
  <c r="M191" s="1"/>
  <c r="M127"/>
  <c r="F234" i="51"/>
  <c r="Z72"/>
  <c r="Q31"/>
  <c r="R174" i="52"/>
  <c r="J169"/>
  <c r="R29"/>
  <c r="N120" i="54"/>
  <c r="X25" i="57"/>
  <c r="I37" i="55"/>
  <c r="L37" s="1"/>
  <c r="N241" i="57"/>
  <c r="X49"/>
  <c r="E33" i="60"/>
  <c r="J45"/>
  <c r="M45" s="1"/>
  <c r="F47"/>
  <c r="D47" s="1"/>
  <c r="F88"/>
  <c r="I88" s="1"/>
  <c r="G88" s="1"/>
  <c r="H125"/>
  <c r="G125" s="1"/>
  <c r="I136"/>
  <c r="G136" s="1"/>
  <c r="X136" s="1"/>
  <c r="E41"/>
  <c r="D41" s="1"/>
  <c r="I42"/>
  <c r="I41" s="1"/>
  <c r="J49"/>
  <c r="M49" s="1"/>
  <c r="F51"/>
  <c r="D51" s="1"/>
  <c r="X51" s="1"/>
  <c r="F50" i="61"/>
  <c r="F29"/>
  <c r="G49" i="62"/>
  <c r="X49" s="1"/>
  <c r="E231" i="61"/>
  <c r="F217"/>
  <c r="G23" i="62"/>
  <c r="X23" s="1"/>
  <c r="H30"/>
  <c r="E74"/>
  <c r="E379" s="1"/>
  <c r="H75"/>
  <c r="D75"/>
  <c r="D86"/>
  <c r="H86"/>
  <c r="G86" s="1"/>
  <c r="U96"/>
  <c r="W95"/>
  <c r="W91" s="1"/>
  <c r="I125"/>
  <c r="G125" s="1"/>
  <c r="D125"/>
  <c r="X125" s="1"/>
  <c r="N172"/>
  <c r="G172"/>
  <c r="M172" s="1"/>
  <c r="G21"/>
  <c r="X21" s="1"/>
  <c r="F63"/>
  <c r="I63" s="1"/>
  <c r="G63" s="1"/>
  <c r="G70"/>
  <c r="X70" s="1"/>
  <c r="H77"/>
  <c r="T81"/>
  <c r="T80" s="1"/>
  <c r="T79" s="1"/>
  <c r="J104"/>
  <c r="J111"/>
  <c r="M111" s="1"/>
  <c r="G115"/>
  <c r="X115" s="1"/>
  <c r="G143"/>
  <c r="D66" i="61"/>
  <c r="F339"/>
  <c r="F338" s="1"/>
  <c r="O35" i="62"/>
  <c r="H101"/>
  <c r="H93" s="1"/>
  <c r="E93"/>
  <c r="D93" s="1"/>
  <c r="O103"/>
  <c r="R114"/>
  <c r="F186"/>
  <c r="F377" s="1"/>
  <c r="I193"/>
  <c r="I190" s="1"/>
  <c r="D193"/>
  <c r="F190"/>
  <c r="G280"/>
  <c r="X280" s="1"/>
  <c r="I278"/>
  <c r="G278" s="1"/>
  <c r="L276" i="61"/>
  <c r="J277"/>
  <c r="N243"/>
  <c r="J243"/>
  <c r="M243" s="1"/>
  <c r="K220"/>
  <c r="H219"/>
  <c r="E217"/>
  <c r="F95"/>
  <c r="I95"/>
  <c r="O95" s="1"/>
  <c r="N21" i="62"/>
  <c r="J21"/>
  <c r="M21" s="1"/>
  <c r="I29"/>
  <c r="G29" s="1"/>
  <c r="D29"/>
  <c r="F28"/>
  <c r="D28" s="1"/>
  <c r="I31"/>
  <c r="G31" s="1"/>
  <c r="D31"/>
  <c r="F30"/>
  <c r="I30" s="1"/>
  <c r="D33"/>
  <c r="I33"/>
  <c r="G33" s="1"/>
  <c r="R46"/>
  <c r="G61"/>
  <c r="X61" s="1"/>
  <c r="G67"/>
  <c r="X67" s="1"/>
  <c r="G68"/>
  <c r="X68" s="1"/>
  <c r="O77"/>
  <c r="H96"/>
  <c r="G96" s="1"/>
  <c r="D96"/>
  <c r="R113"/>
  <c r="G120"/>
  <c r="X120" s="1"/>
  <c r="D121"/>
  <c r="I121"/>
  <c r="G121" s="1"/>
  <c r="P153"/>
  <c r="I205"/>
  <c r="I203" s="1"/>
  <c r="G203" s="1"/>
  <c r="F203"/>
  <c r="K340"/>
  <c r="N345"/>
  <c r="D139"/>
  <c r="D166"/>
  <c r="I179"/>
  <c r="O179" s="1"/>
  <c r="E377"/>
  <c r="I200"/>
  <c r="O200" s="1"/>
  <c r="I212"/>
  <c r="D217"/>
  <c r="I217"/>
  <c r="G217" s="1"/>
  <c r="G242"/>
  <c r="N187"/>
  <c r="J187"/>
  <c r="G199"/>
  <c r="F200"/>
  <c r="O209"/>
  <c r="J209"/>
  <c r="M209" s="1"/>
  <c r="G211"/>
  <c r="F212"/>
  <c r="D212" s="1"/>
  <c r="D221"/>
  <c r="O226"/>
  <c r="I224"/>
  <c r="G226"/>
  <c r="M226" s="1"/>
  <c r="I269"/>
  <c r="G271"/>
  <c r="X271" s="1"/>
  <c r="H269"/>
  <c r="N269" s="1"/>
  <c r="N271"/>
  <c r="X299"/>
  <c r="R303"/>
  <c r="D322"/>
  <c r="X322" s="1"/>
  <c r="E313"/>
  <c r="D313" s="1"/>
  <c r="E185"/>
  <c r="E183" s="1"/>
  <c r="R324"/>
  <c r="J291" i="61"/>
  <c r="M291" s="1"/>
  <c r="O345"/>
  <c r="H200" i="62"/>
  <c r="N200" s="1"/>
  <c r="D202"/>
  <c r="E203"/>
  <c r="X317"/>
  <c r="G324"/>
  <c r="X324" s="1"/>
  <c r="H340"/>
  <c r="H339" s="1"/>
  <c r="G351"/>
  <c r="J235" i="61"/>
  <c r="E111"/>
  <c r="J295"/>
  <c r="L294"/>
  <c r="J294" s="1"/>
  <c r="N342"/>
  <c r="M37"/>
  <c r="X226" i="62"/>
  <c r="Z220" i="44"/>
  <c r="G37" i="60"/>
  <c r="X37" s="1"/>
  <c r="E309" i="62"/>
  <c r="O212"/>
  <c r="G75"/>
  <c r="M75" s="1"/>
  <c r="R82" i="38"/>
  <c r="I87" i="45"/>
  <c r="E212" i="52"/>
  <c r="D212" s="1"/>
  <c r="D213"/>
  <c r="J15" i="44"/>
  <c r="Z101" i="43"/>
  <c r="Z220" i="45"/>
  <c r="AA220"/>
  <c r="D24" i="26"/>
  <c r="D28"/>
  <c r="Q69"/>
  <c r="C56" i="55"/>
  <c r="M271" i="62"/>
  <c r="G179"/>
  <c r="I164"/>
  <c r="N340"/>
  <c r="J340"/>
  <c r="M340" s="1"/>
  <c r="D29" i="61"/>
  <c r="D88" i="60"/>
  <c r="Q124" i="51"/>
  <c r="Q145" i="42"/>
  <c r="Q114" i="26"/>
  <c r="J375" i="62"/>
  <c r="N375"/>
  <c r="J288"/>
  <c r="J382" i="61"/>
  <c r="M382" s="1"/>
  <c r="G60"/>
  <c r="X60" s="1"/>
  <c r="N99"/>
  <c r="N344"/>
  <c r="E95"/>
  <c r="E92" s="1"/>
  <c r="D103"/>
  <c r="H227"/>
  <c r="K276"/>
  <c r="F270"/>
  <c r="D270" s="1"/>
  <c r="J306"/>
  <c r="K350"/>
  <c r="J350" s="1"/>
  <c r="N352"/>
  <c r="D282"/>
  <c r="I284"/>
  <c r="I283" s="1"/>
  <c r="D284"/>
  <c r="J342"/>
  <c r="L339"/>
  <c r="I16"/>
  <c r="E71" i="38" l="1"/>
  <c r="E17" s="1"/>
  <c r="X347" i="62"/>
  <c r="G101"/>
  <c r="X112" i="61"/>
  <c r="AB16" i="36"/>
  <c r="R90" i="38"/>
  <c r="D18" i="31"/>
  <c r="C18" s="1"/>
  <c r="D184" i="62"/>
  <c r="N33" i="60"/>
  <c r="X55" i="62"/>
  <c r="J214" i="51"/>
  <c r="I28" i="62"/>
  <c r="G28" s="1"/>
  <c r="O19" i="31"/>
  <c r="H18"/>
  <c r="Q256" i="45"/>
  <c r="K115" i="52"/>
  <c r="K88" s="1"/>
  <c r="N88" s="1"/>
  <c r="K234"/>
  <c r="N234" s="1"/>
  <c r="X262" i="62"/>
  <c r="Z171" i="44"/>
  <c r="Q171"/>
  <c r="AA171"/>
  <c r="F61" i="31"/>
  <c r="H45"/>
  <c r="G20" i="60"/>
  <c r="E116" i="26"/>
  <c r="Q116" s="1"/>
  <c r="R73" i="43"/>
  <c r="Z128" i="47"/>
  <c r="Q167" i="44"/>
  <c r="R46" i="59"/>
  <c r="L33" i="28"/>
  <c r="F11" i="24"/>
  <c r="E11" s="1"/>
  <c r="C15"/>
  <c r="L71" i="25"/>
  <c r="L62"/>
  <c r="L54"/>
  <c r="F29" i="31"/>
  <c r="C112" i="32"/>
  <c r="D243" i="33"/>
  <c r="P243" s="1"/>
  <c r="P221"/>
  <c r="P122"/>
  <c r="P113"/>
  <c r="P53"/>
  <c r="Q69" i="40"/>
  <c r="Q67"/>
  <c r="Q57"/>
  <c r="O78" i="37"/>
  <c r="L29" i="31"/>
  <c r="L42" i="22"/>
  <c r="G104" i="62"/>
  <c r="M104" s="1"/>
  <c r="Q242" i="42"/>
  <c r="X95" i="60"/>
  <c r="Q72" i="38"/>
  <c r="F241" i="47"/>
  <c r="L241" s="1"/>
  <c r="Q127" i="45"/>
  <c r="F74" i="20"/>
  <c r="L157" i="31"/>
  <c r="AA218" i="44"/>
  <c r="Z199" i="45"/>
  <c r="Q191" i="44"/>
  <c r="R189" i="45"/>
  <c r="F173" i="47"/>
  <c r="D92" i="9"/>
  <c r="F62"/>
  <c r="N65" i="28"/>
  <c r="N39"/>
  <c r="N19"/>
  <c r="P171" i="33"/>
  <c r="J28"/>
  <c r="M28" s="1"/>
  <c r="M200" i="38"/>
  <c r="P123"/>
  <c r="O122" i="37"/>
  <c r="Q100" i="26"/>
  <c r="I16" i="34"/>
  <c r="L16" s="1"/>
  <c r="Q44" i="47"/>
  <c r="L191" i="45"/>
  <c r="R241" i="41"/>
  <c r="E164" i="60"/>
  <c r="L242" i="42"/>
  <c r="AA127" i="45"/>
  <c r="S24" i="47"/>
  <c r="N241"/>
  <c r="Q145"/>
  <c r="L231" i="43"/>
  <c r="M247" i="57"/>
  <c r="J16" i="34"/>
  <c r="F76" i="43"/>
  <c r="N117" i="59"/>
  <c r="M118"/>
  <c r="C22" i="20"/>
  <c r="C74" s="1"/>
  <c r="L68" i="22"/>
  <c r="L60"/>
  <c r="L52"/>
  <c r="L49" i="28"/>
  <c r="L40" i="25"/>
  <c r="L124" i="31"/>
  <c r="L64"/>
  <c r="L47"/>
  <c r="Q153" i="32"/>
  <c r="P237" i="33"/>
  <c r="D210"/>
  <c r="P210" s="1"/>
  <c r="P185"/>
  <c r="P106"/>
  <c r="D101"/>
  <c r="P93"/>
  <c r="I251" i="38"/>
  <c r="G251" s="1"/>
  <c r="G87"/>
  <c r="E84"/>
  <c r="Q123" i="40"/>
  <c r="Q52"/>
  <c r="Q42"/>
  <c r="E71" i="37"/>
  <c r="L81" i="41"/>
  <c r="P101" i="38"/>
  <c r="Z197" i="47"/>
  <c r="Z190" i="43"/>
  <c r="Z136" i="47"/>
  <c r="F189" i="44"/>
  <c r="M78" i="38"/>
  <c r="L241" i="37"/>
  <c r="L66" i="25"/>
  <c r="L58"/>
  <c r="L38"/>
  <c r="F147" i="32"/>
  <c r="M189" i="33"/>
  <c r="P188"/>
  <c r="P186"/>
  <c r="Q66" i="40"/>
  <c r="Q65"/>
  <c r="S62"/>
  <c r="S56"/>
  <c r="G100" i="62"/>
  <c r="X100" s="1"/>
  <c r="G14" i="20"/>
  <c r="F72" i="45"/>
  <c r="AA149" i="44"/>
  <c r="Z217" i="47"/>
  <c r="Q22" i="40"/>
  <c r="P28" i="33"/>
  <c r="Z185" i="43"/>
  <c r="F165" i="44"/>
  <c r="Q165" s="1"/>
  <c r="D14" i="58"/>
  <c r="J14" s="1"/>
  <c r="L47" i="22"/>
  <c r="P146" i="33"/>
  <c r="J65"/>
  <c r="M65" s="1"/>
  <c r="D225" i="38"/>
  <c r="P225" s="1"/>
  <c r="P119"/>
  <c r="P53"/>
  <c r="P49"/>
  <c r="C218" i="40"/>
  <c r="Q218" s="1"/>
  <c r="Q118"/>
  <c r="L111"/>
  <c r="Q55"/>
  <c r="E14" i="31"/>
  <c r="AA190" i="47"/>
  <c r="N164" i="42"/>
  <c r="AB173" i="44"/>
  <c r="Q90" i="40"/>
  <c r="Z198" i="45"/>
  <c r="AB72"/>
  <c r="D185" i="57"/>
  <c r="P101" i="33"/>
  <c r="M216" i="51"/>
  <c r="Z186" i="43"/>
  <c r="Q183" i="45"/>
  <c r="Z75" i="51"/>
  <c r="AA182" i="45"/>
  <c r="F104" i="9"/>
  <c r="E44" i="11"/>
  <c r="N42" i="22"/>
  <c r="N123" i="31"/>
  <c r="P189" i="33"/>
  <c r="O78" i="38"/>
  <c r="C203" i="47"/>
  <c r="Z141" i="42"/>
  <c r="AB149" i="44"/>
  <c r="AA156" i="45"/>
  <c r="Q198"/>
  <c r="Q25" i="47"/>
  <c r="Z135" i="45"/>
  <c r="X314" i="57"/>
  <c r="F216" i="51"/>
  <c r="L216" s="1"/>
  <c r="Q184" i="45"/>
  <c r="Q198" i="40"/>
  <c r="L148"/>
  <c r="Q250" i="43"/>
  <c r="AA73" i="58"/>
  <c r="AA72" s="1"/>
  <c r="F25" i="20"/>
  <c r="L75" i="22"/>
  <c r="L61"/>
  <c r="L48"/>
  <c r="L50" i="28"/>
  <c r="J41"/>
  <c r="I41" s="1"/>
  <c r="F16" i="24"/>
  <c r="F59" i="31"/>
  <c r="C53" i="32"/>
  <c r="Q214" i="33"/>
  <c r="M200"/>
  <c r="P199"/>
  <c r="P149"/>
  <c r="R246"/>
  <c r="P112"/>
  <c r="P97"/>
  <c r="H239"/>
  <c r="G45"/>
  <c r="P45" s="1"/>
  <c r="K253" i="38"/>
  <c r="P248"/>
  <c r="Q57"/>
  <c r="P43"/>
  <c r="G41"/>
  <c r="Q119" i="40"/>
  <c r="M232" i="43"/>
  <c r="R232"/>
  <c r="Q109" i="41"/>
  <c r="Z207" i="42"/>
  <c r="I22"/>
  <c r="L22" s="1"/>
  <c r="AA212" i="44"/>
  <c r="Q130"/>
  <c r="R198" i="47"/>
  <c r="AA117"/>
  <c r="O133" i="37"/>
  <c r="O175" i="34"/>
  <c r="C140"/>
  <c r="Q140" s="1"/>
  <c r="F30" i="43"/>
  <c r="Z30" s="1"/>
  <c r="U21" i="52"/>
  <c r="Q116" i="55"/>
  <c r="Q24"/>
  <c r="T110" i="54"/>
  <c r="D162" i="57"/>
  <c r="X162" s="1"/>
  <c r="J222" i="58"/>
  <c r="O218" i="62"/>
  <c r="I233" i="41"/>
  <c r="L233" s="1"/>
  <c r="Q187"/>
  <c r="N172"/>
  <c r="L20"/>
  <c r="L125" i="42"/>
  <c r="AA178" i="47"/>
  <c r="N176" i="37"/>
  <c r="O81"/>
  <c r="T61" i="54"/>
  <c r="T24"/>
  <c r="D40" i="57"/>
  <c r="X40" s="1"/>
  <c r="O162"/>
  <c r="U158" i="60"/>
  <c r="G46"/>
  <c r="X46" s="1"/>
  <c r="U19" i="62"/>
  <c r="U21"/>
  <c r="R32"/>
  <c r="G44"/>
  <c r="X44" s="1"/>
  <c r="G47"/>
  <c r="X47" s="1"/>
  <c r="G56"/>
  <c r="X282"/>
  <c r="R343"/>
  <c r="O181" i="61"/>
  <c r="X112" i="64"/>
  <c r="L245" i="41"/>
  <c r="Q141"/>
  <c r="N81"/>
  <c r="L80"/>
  <c r="C174" i="42"/>
  <c r="Z174" s="1"/>
  <c r="G246"/>
  <c r="F246" s="1"/>
  <c r="Z41" i="45"/>
  <c r="N147" i="47"/>
  <c r="C15" i="50"/>
  <c r="O213" i="37"/>
  <c r="L200"/>
  <c r="O77"/>
  <c r="O18"/>
  <c r="I49" i="34"/>
  <c r="L49" s="1"/>
  <c r="L20" i="43"/>
  <c r="Z154" i="51"/>
  <c r="L152"/>
  <c r="L45"/>
  <c r="I24"/>
  <c r="L24" s="1"/>
  <c r="D206" i="52"/>
  <c r="H175"/>
  <c r="D82"/>
  <c r="U71"/>
  <c r="U50"/>
  <c r="J80" i="55"/>
  <c r="Q67"/>
  <c r="Q41"/>
  <c r="T116" i="54"/>
  <c r="F202" i="57"/>
  <c r="X157"/>
  <c r="D96" i="58"/>
  <c r="X69" i="57"/>
  <c r="G196"/>
  <c r="X196" s="1"/>
  <c r="G127" i="60"/>
  <c r="G133"/>
  <c r="G131" i="62"/>
  <c r="I197"/>
  <c r="G197" s="1"/>
  <c r="D233"/>
  <c r="J269"/>
  <c r="V313"/>
  <c r="O332"/>
  <c r="G174" i="61"/>
  <c r="K92"/>
  <c r="G300"/>
  <c r="M209" i="64"/>
  <c r="M241" i="37"/>
  <c r="G209" i="57"/>
  <c r="M209" s="1"/>
  <c r="J132" i="58"/>
  <c r="D49" i="60"/>
  <c r="X49" s="1"/>
  <c r="G141"/>
  <c r="J391" i="61"/>
  <c r="U30" i="62"/>
  <c r="D88"/>
  <c r="G301"/>
  <c r="M316" i="64"/>
  <c r="Q114" i="41"/>
  <c r="Q106"/>
  <c r="N251" i="42"/>
  <c r="Q119"/>
  <c r="Z66"/>
  <c r="F202" i="44"/>
  <c r="Z118" i="45"/>
  <c r="F39"/>
  <c r="Q39" s="1"/>
  <c r="Q91" i="47"/>
  <c r="O105" i="37"/>
  <c r="Q118" i="34"/>
  <c r="C172" i="43"/>
  <c r="Q172" s="1"/>
  <c r="Z45"/>
  <c r="AA187" i="51"/>
  <c r="K237" i="52"/>
  <c r="N237" s="1"/>
  <c r="J23"/>
  <c r="Q121" i="55"/>
  <c r="I88"/>
  <c r="L88" s="1"/>
  <c r="Q25" i="54"/>
  <c r="F21"/>
  <c r="T21" s="1"/>
  <c r="L282" i="57"/>
  <c r="D126"/>
  <c r="M219"/>
  <c r="M242"/>
  <c r="O24" i="60"/>
  <c r="G36" i="62"/>
  <c r="X36" s="1"/>
  <c r="O99"/>
  <c r="I209"/>
  <c r="G209" s="1"/>
  <c r="X209" s="1"/>
  <c r="G235"/>
  <c r="X235" s="1"/>
  <c r="D239"/>
  <c r="X239" s="1"/>
  <c r="G229" i="61"/>
  <c r="F81" i="41"/>
  <c r="M229" i="42"/>
  <c r="Z112"/>
  <c r="K253" i="44"/>
  <c r="I253" s="1"/>
  <c r="F39"/>
  <c r="I222" i="45"/>
  <c r="L222" s="1"/>
  <c r="Z111"/>
  <c r="Z110"/>
  <c r="Z105"/>
  <c r="Z104"/>
  <c r="Q102"/>
  <c r="C199" i="47"/>
  <c r="C186"/>
  <c r="L110"/>
  <c r="Z23"/>
  <c r="O194" i="37"/>
  <c r="Q176"/>
  <c r="H159" i="34"/>
  <c r="C49"/>
  <c r="F30"/>
  <c r="L111" i="43"/>
  <c r="Q66"/>
  <c r="F62"/>
  <c r="U159" i="52"/>
  <c r="F149" i="55"/>
  <c r="Q107"/>
  <c r="C154" i="54"/>
  <c r="T104"/>
  <c r="T100"/>
  <c r="M248" i="57"/>
  <c r="X111"/>
  <c r="X98"/>
  <c r="E65" i="59"/>
  <c r="E49" s="1"/>
  <c r="J202" i="57"/>
  <c r="M202" s="1"/>
  <c r="U45" i="60"/>
  <c r="R149"/>
  <c r="S14" i="64"/>
  <c r="J241" i="37"/>
  <c r="I241" s="1"/>
  <c r="M243"/>
  <c r="L243" s="1"/>
  <c r="M18" i="51"/>
  <c r="R175" i="52"/>
  <c r="U165"/>
  <c r="U139"/>
  <c r="U119"/>
  <c r="C29" i="54"/>
  <c r="X266" i="57"/>
  <c r="V118"/>
  <c r="V117" s="1"/>
  <c r="J75" i="58"/>
  <c r="X90" i="57"/>
  <c r="G113" i="60"/>
  <c r="X113" s="1"/>
  <c r="G118"/>
  <c r="X118" s="1"/>
  <c r="G123"/>
  <c r="M324" i="61"/>
  <c r="R21" i="62"/>
  <c r="D278"/>
  <c r="X278" s="1"/>
  <c r="R332"/>
  <c r="R341"/>
  <c r="K137" i="59"/>
  <c r="K13" s="1"/>
  <c r="N13" s="1"/>
  <c r="D138"/>
  <c r="D14" s="1"/>
  <c r="K14"/>
  <c r="N14" s="1"/>
  <c r="I137"/>
  <c r="I13" s="1"/>
  <c r="Z161" i="47"/>
  <c r="AA161"/>
  <c r="Q161"/>
  <c r="X140" i="62"/>
  <c r="M140"/>
  <c r="U289"/>
  <c r="V288"/>
  <c r="X91" i="60"/>
  <c r="M91"/>
  <c r="S82" i="43"/>
  <c r="F82"/>
  <c r="H81"/>
  <c r="Q46" i="44"/>
  <c r="AA46"/>
  <c r="Z59" i="45"/>
  <c r="Q59"/>
  <c r="Z32" i="44"/>
  <c r="Q32"/>
  <c r="X96" i="62"/>
  <c r="Q168" i="47"/>
  <c r="C15" i="54"/>
  <c r="X94" i="60"/>
  <c r="X189" i="62"/>
  <c r="M189"/>
  <c r="I65" i="60"/>
  <c r="G73"/>
  <c r="M73" s="1"/>
  <c r="Z128" i="51"/>
  <c r="Q128"/>
  <c r="Z160" i="47"/>
  <c r="AA160"/>
  <c r="Q130" i="43"/>
  <c r="Z130"/>
  <c r="Q136" i="44"/>
  <c r="AA136"/>
  <c r="Z25" i="42"/>
  <c r="Q25"/>
  <c r="R14" i="52"/>
  <c r="S13"/>
  <c r="R13" s="1"/>
  <c r="F77" i="43"/>
  <c r="Z77" s="1"/>
  <c r="N77"/>
  <c r="S77"/>
  <c r="D18" i="25"/>
  <c r="D16"/>
  <c r="J13" i="45"/>
  <c r="Q76" i="40"/>
  <c r="I206" i="33"/>
  <c r="R206" s="1"/>
  <c r="J252" i="38"/>
  <c r="N277" i="57"/>
  <c r="X42" i="62"/>
  <c r="D164" i="60"/>
  <c r="M117" i="52"/>
  <c r="M116" s="1"/>
  <c r="L36" i="31"/>
  <c r="C254" i="45"/>
  <c r="H73" i="44"/>
  <c r="K206" i="33"/>
  <c r="P237" i="38"/>
  <c r="F162" i="31"/>
  <c r="Q161" i="43"/>
  <c r="Z40"/>
  <c r="Z248" i="44"/>
  <c r="I25" i="31"/>
  <c r="L25" s="1"/>
  <c r="X345" i="62"/>
  <c r="G196"/>
  <c r="X40"/>
  <c r="AB74" i="44"/>
  <c r="AA140"/>
  <c r="Q138" i="43"/>
  <c r="M140" i="60"/>
  <c r="Z77" i="51"/>
  <c r="Q217" i="47"/>
  <c r="X134" i="60"/>
  <c r="K164" i="57"/>
  <c r="X328"/>
  <c r="G223" i="40"/>
  <c r="M223" s="1"/>
  <c r="M245" s="1"/>
  <c r="Q149" i="44"/>
  <c r="R281" i="57"/>
  <c r="R165"/>
  <c r="AA223" i="44"/>
  <c r="F75" i="40"/>
  <c r="Q75" s="1"/>
  <c r="D158" i="34"/>
  <c r="G76" i="52"/>
  <c r="G75" s="1"/>
  <c r="G74" s="1"/>
  <c r="M223" i="42"/>
  <c r="M245" s="1"/>
  <c r="Q62" i="47"/>
  <c r="Z79" i="44"/>
  <c r="M76"/>
  <c r="Z130" i="45"/>
  <c r="AA122" i="51"/>
  <c r="R249"/>
  <c r="U60" i="52"/>
  <c r="J213"/>
  <c r="M213" s="1"/>
  <c r="D227"/>
  <c r="U227" s="1"/>
  <c r="O80" i="37"/>
  <c r="Z165" i="43"/>
  <c r="Q171" i="47"/>
  <c r="P34" i="38"/>
  <c r="AA206" i="45"/>
  <c r="H16" i="25"/>
  <c r="R249" i="47"/>
  <c r="F239" i="43"/>
  <c r="AA137" i="44"/>
  <c r="Q166" i="51"/>
  <c r="Q206" i="45"/>
  <c r="Q247" i="47"/>
  <c r="R75" i="45"/>
  <c r="AA29" i="44"/>
  <c r="I135" i="51"/>
  <c r="AA247" i="47"/>
  <c r="F162" i="42"/>
  <c r="K306" i="57"/>
  <c r="X33"/>
  <c r="X83"/>
  <c r="Q148" i="43"/>
  <c r="Z173" i="51"/>
  <c r="Z52"/>
  <c r="Q154" i="44"/>
  <c r="Q199" i="45"/>
  <c r="I156" i="55"/>
  <c r="L156" s="1"/>
  <c r="N77" i="42"/>
  <c r="N43" i="51"/>
  <c r="L170" i="44"/>
  <c r="F74" i="52"/>
  <c r="F14" s="1"/>
  <c r="M73" i="47"/>
  <c r="H74" i="52"/>
  <c r="H14" s="1"/>
  <c r="Q64" i="40"/>
  <c r="X94" i="57"/>
  <c r="X187"/>
  <c r="J100"/>
  <c r="M100" s="1"/>
  <c r="S175" i="43"/>
  <c r="Q85" i="51"/>
  <c r="L243" i="43"/>
  <c r="G62" i="51"/>
  <c r="AB62" s="1"/>
  <c r="Z121"/>
  <c r="T139" i="54"/>
  <c r="Q123" i="55"/>
  <c r="Q121" i="51"/>
  <c r="L163" i="31"/>
  <c r="Q202" i="44"/>
  <c r="Z202"/>
  <c r="AA202"/>
  <c r="P242" i="33"/>
  <c r="H191" i="52"/>
  <c r="Z178" i="43"/>
  <c r="U49" i="52"/>
  <c r="M108" i="34"/>
  <c r="M179" s="1"/>
  <c r="L179" s="1"/>
  <c r="J78"/>
  <c r="S79" i="47"/>
  <c r="Q29" i="45"/>
  <c r="G207" i="38"/>
  <c r="N255" i="44"/>
  <c r="Q79" i="41"/>
  <c r="J42" i="58"/>
  <c r="N70" i="22"/>
  <c r="L70" s="1"/>
  <c r="G32" i="24"/>
  <c r="N26" i="31"/>
  <c r="P175" i="32"/>
  <c r="M226" i="33"/>
  <c r="P223"/>
  <c r="R63"/>
  <c r="Q255" i="38"/>
  <c r="Q229" i="40"/>
  <c r="S53"/>
  <c r="L222" i="41"/>
  <c r="S216"/>
  <c r="R212"/>
  <c r="N170"/>
  <c r="F170"/>
  <c r="R30"/>
  <c r="L229" i="42"/>
  <c r="F167"/>
  <c r="L164"/>
  <c r="Q135"/>
  <c r="Q128"/>
  <c r="S53"/>
  <c r="R25"/>
  <c r="R22"/>
  <c r="G226" i="44"/>
  <c r="G225" s="1"/>
  <c r="R225" s="1"/>
  <c r="S59"/>
  <c r="AB21"/>
  <c r="Q145" i="45"/>
  <c r="S100" i="43"/>
  <c r="AA47" i="47"/>
  <c r="J61" i="51"/>
  <c r="J248" s="1"/>
  <c r="F169" i="42"/>
  <c r="M255" i="44"/>
  <c r="F204" i="47"/>
  <c r="AA204" s="1"/>
  <c r="R19" i="59"/>
  <c r="G77"/>
  <c r="M77" s="1"/>
  <c r="M65" s="1"/>
  <c r="X85" i="58"/>
  <c r="J67"/>
  <c r="J162"/>
  <c r="D98"/>
  <c r="J53"/>
  <c r="C77" i="8"/>
  <c r="D77"/>
  <c r="F74"/>
  <c r="C65"/>
  <c r="F65" s="1"/>
  <c r="F51"/>
  <c r="F47"/>
  <c r="F26"/>
  <c r="D115" i="9"/>
  <c r="D114" s="1"/>
  <c r="C115"/>
  <c r="C114" s="1"/>
  <c r="F58"/>
  <c r="C54"/>
  <c r="C20" s="1"/>
  <c r="C16" s="1"/>
  <c r="F46"/>
  <c r="E29" i="11"/>
  <c r="E21"/>
  <c r="E20"/>
  <c r="Q48" i="26"/>
  <c r="L58" i="22"/>
  <c r="L53"/>
  <c r="L49"/>
  <c r="L35"/>
  <c r="L23"/>
  <c r="L60" i="28"/>
  <c r="L56"/>
  <c r="L52"/>
  <c r="L47"/>
  <c r="L79" i="25"/>
  <c r="L77"/>
  <c r="L76"/>
  <c r="L75"/>
  <c r="L48"/>
  <c r="L44"/>
  <c r="L34"/>
  <c r="C20"/>
  <c r="C165" i="31"/>
  <c r="L159"/>
  <c r="L146"/>
  <c r="L144"/>
  <c r="L135"/>
  <c r="L122"/>
  <c r="L120"/>
  <c r="L118"/>
  <c r="L114"/>
  <c r="L110"/>
  <c r="L108"/>
  <c r="L104"/>
  <c r="L102"/>
  <c r="L98"/>
  <c r="L92"/>
  <c r="L68"/>
  <c r="L52"/>
  <c r="L51"/>
  <c r="L48"/>
  <c r="I38"/>
  <c r="L38" s="1"/>
  <c r="L37"/>
  <c r="L33"/>
  <c r="L17"/>
  <c r="E159" i="32"/>
  <c r="C159" s="1"/>
  <c r="Q137"/>
  <c r="C136"/>
  <c r="C134"/>
  <c r="Q134" s="1"/>
  <c r="Q120"/>
  <c r="Q116"/>
  <c r="F112"/>
  <c r="Q112" s="1"/>
  <c r="F109"/>
  <c r="I68"/>
  <c r="L68" s="1"/>
  <c r="I60"/>
  <c r="L60" s="1"/>
  <c r="F47"/>
  <c r="C43"/>
  <c r="C27"/>
  <c r="C21"/>
  <c r="R214" i="33"/>
  <c r="P195"/>
  <c r="P190"/>
  <c r="P184"/>
  <c r="M177"/>
  <c r="P173"/>
  <c r="P169"/>
  <c r="P160"/>
  <c r="P155"/>
  <c r="P154"/>
  <c r="P153"/>
  <c r="P137"/>
  <c r="P127"/>
  <c r="P126"/>
  <c r="P124"/>
  <c r="P119"/>
  <c r="P116"/>
  <c r="P111"/>
  <c r="P91"/>
  <c r="N78"/>
  <c r="R72"/>
  <c r="P52"/>
  <c r="P47"/>
  <c r="P44"/>
  <c r="O36"/>
  <c r="G31"/>
  <c r="Q22"/>
  <c r="Q245" i="38"/>
  <c r="R243"/>
  <c r="P232"/>
  <c r="Q231"/>
  <c r="E207"/>
  <c r="Q207" s="1"/>
  <c r="D202"/>
  <c r="P202" s="1"/>
  <c r="P186"/>
  <c r="P159"/>
  <c r="P155"/>
  <c r="P147"/>
  <c r="P138"/>
  <c r="P133"/>
  <c r="P120"/>
  <c r="P115"/>
  <c r="P113"/>
  <c r="P106"/>
  <c r="P103"/>
  <c r="F251"/>
  <c r="D251" s="1"/>
  <c r="P98"/>
  <c r="M83"/>
  <c r="P66"/>
  <c r="Q61"/>
  <c r="G59"/>
  <c r="P59" s="1"/>
  <c r="D41"/>
  <c r="P41" s="1"/>
  <c r="P40"/>
  <c r="P33"/>
  <c r="P27"/>
  <c r="R22"/>
  <c r="P21"/>
  <c r="I250" i="40"/>
  <c r="S245"/>
  <c r="K223"/>
  <c r="R216"/>
  <c r="Q193"/>
  <c r="F183"/>
  <c r="Q183" s="1"/>
  <c r="N159"/>
  <c r="S141"/>
  <c r="Q115"/>
  <c r="Q110"/>
  <c r="Q107"/>
  <c r="Q99"/>
  <c r="Q95"/>
  <c r="Q91"/>
  <c r="I79"/>
  <c r="L79" s="1"/>
  <c r="C79"/>
  <c r="Q79" s="1"/>
  <c r="Q54"/>
  <c r="Q39"/>
  <c r="Q34"/>
  <c r="R25"/>
  <c r="I246" i="41"/>
  <c r="I241"/>
  <c r="Q239"/>
  <c r="Q234"/>
  <c r="S212"/>
  <c r="Q193"/>
  <c r="Q182"/>
  <c r="Q181"/>
  <c r="F177"/>
  <c r="Q153"/>
  <c r="Q151"/>
  <c r="Q126"/>
  <c r="Q110"/>
  <c r="H242"/>
  <c r="F86"/>
  <c r="Q86" s="1"/>
  <c r="L82"/>
  <c r="F74"/>
  <c r="Q43"/>
  <c r="Q29"/>
  <c r="Z225" i="42"/>
  <c r="Z215"/>
  <c r="Z212"/>
  <c r="C177"/>
  <c r="C173"/>
  <c r="Z173" s="1"/>
  <c r="C170"/>
  <c r="Q108"/>
  <c r="Z92"/>
  <c r="C60"/>
  <c r="Z60" s="1"/>
  <c r="C49"/>
  <c r="F33"/>
  <c r="Z230" i="44"/>
  <c r="R220"/>
  <c r="Z119"/>
  <c r="AA104"/>
  <c r="Z102"/>
  <c r="C101"/>
  <c r="Z62"/>
  <c r="F59"/>
  <c r="Z58"/>
  <c r="F57"/>
  <c r="F26"/>
  <c r="AA26" s="1"/>
  <c r="L19"/>
  <c r="F238" i="45"/>
  <c r="Z221"/>
  <c r="S199"/>
  <c r="AA196"/>
  <c r="C194"/>
  <c r="Z194" s="1"/>
  <c r="C188"/>
  <c r="C170"/>
  <c r="S157"/>
  <c r="F157"/>
  <c r="F151"/>
  <c r="N145"/>
  <c r="Z117"/>
  <c r="Z115"/>
  <c r="L110"/>
  <c r="Z58"/>
  <c r="I52"/>
  <c r="L52" s="1"/>
  <c r="C46"/>
  <c r="C43"/>
  <c r="F24"/>
  <c r="F244" i="47"/>
  <c r="I225"/>
  <c r="L225" s="1"/>
  <c r="F222"/>
  <c r="C221"/>
  <c r="Z218"/>
  <c r="C187"/>
  <c r="Z187" s="1"/>
  <c r="AC184"/>
  <c r="AC152"/>
  <c r="AA141"/>
  <c r="L139"/>
  <c r="Z49"/>
  <c r="L17"/>
  <c r="C63" i="46"/>
  <c r="C61"/>
  <c r="C59"/>
  <c r="C57"/>
  <c r="C243" i="37"/>
  <c r="F227"/>
  <c r="P214"/>
  <c r="O211"/>
  <c r="O198"/>
  <c r="O189"/>
  <c r="F182"/>
  <c r="O182" s="1"/>
  <c r="O138"/>
  <c r="AA11" i="36"/>
  <c r="Z11" s="1"/>
  <c r="S56" i="43"/>
  <c r="AB93" i="51"/>
  <c r="Z66" i="58"/>
  <c r="Z14" s="1"/>
  <c r="X14" s="1"/>
  <c r="O106"/>
  <c r="O105" s="1"/>
  <c r="U105" s="1"/>
  <c r="G187"/>
  <c r="J187" s="1"/>
  <c r="S208"/>
  <c r="E73"/>
  <c r="L90"/>
  <c r="J101"/>
  <c r="U65" i="59"/>
  <c r="O187" i="57"/>
  <c r="G198"/>
  <c r="X198" s="1"/>
  <c r="D21" i="60"/>
  <c r="D23"/>
  <c r="X23" s="1"/>
  <c r="W20"/>
  <c r="G27"/>
  <c r="R122"/>
  <c r="R82" s="1"/>
  <c r="D158"/>
  <c r="I31"/>
  <c r="G31" s="1"/>
  <c r="X31" s="1"/>
  <c r="X43"/>
  <c r="W82" i="61"/>
  <c r="U305"/>
  <c r="U353"/>
  <c r="R377"/>
  <c r="G45" i="62"/>
  <c r="X45" s="1"/>
  <c r="U57"/>
  <c r="G66"/>
  <c r="X66" s="1"/>
  <c r="R69"/>
  <c r="K95"/>
  <c r="K99"/>
  <c r="G134"/>
  <c r="G136"/>
  <c r="G148"/>
  <c r="G152"/>
  <c r="X152" s="1"/>
  <c r="D157"/>
  <c r="X157" s="1"/>
  <c r="G159"/>
  <c r="D160"/>
  <c r="X160" s="1"/>
  <c r="G174"/>
  <c r="X174" s="1"/>
  <c r="N179"/>
  <c r="U179"/>
  <c r="D181"/>
  <c r="G181"/>
  <c r="E200"/>
  <c r="D200" s="1"/>
  <c r="G201"/>
  <c r="G208"/>
  <c r="D244"/>
  <c r="X244" s="1"/>
  <c r="D250"/>
  <c r="D265"/>
  <c r="X277"/>
  <c r="D303"/>
  <c r="X303" s="1"/>
  <c r="D307"/>
  <c r="G327"/>
  <c r="U327"/>
  <c r="X331"/>
  <c r="J332"/>
  <c r="D349"/>
  <c r="X349" s="1"/>
  <c r="G263" i="61"/>
  <c r="X13" i="65"/>
  <c r="Q87" i="37"/>
  <c r="L79"/>
  <c r="O79"/>
  <c r="O67"/>
  <c r="O62"/>
  <c r="O60"/>
  <c r="Y17" i="36"/>
  <c r="F146" i="34"/>
  <c r="Q146" s="1"/>
  <c r="F138"/>
  <c r="Q138" s="1"/>
  <c r="Q126"/>
  <c r="Q117"/>
  <c r="F114"/>
  <c r="Q114" s="1"/>
  <c r="C113"/>
  <c r="Q113" s="1"/>
  <c r="F112"/>
  <c r="Q112" s="1"/>
  <c r="F109"/>
  <c r="P68"/>
  <c r="C45"/>
  <c r="F27"/>
  <c r="K248" i="43"/>
  <c r="I248" s="1"/>
  <c r="F230"/>
  <c r="Z225"/>
  <c r="C169"/>
  <c r="Z125"/>
  <c r="Q98"/>
  <c r="Z94"/>
  <c r="I77"/>
  <c r="L36"/>
  <c r="F33"/>
  <c r="Q33" s="1"/>
  <c r="F27"/>
  <c r="Q27" s="1"/>
  <c r="M246" i="51"/>
  <c r="L225"/>
  <c r="L224"/>
  <c r="AA210"/>
  <c r="L191"/>
  <c r="L185"/>
  <c r="Z177"/>
  <c r="Z159"/>
  <c r="Q149"/>
  <c r="Q145"/>
  <c r="L94"/>
  <c r="AA84"/>
  <c r="N64"/>
  <c r="Z48"/>
  <c r="R196" i="52"/>
  <c r="G194"/>
  <c r="U194" s="1"/>
  <c r="U171"/>
  <c r="D169"/>
  <c r="R166"/>
  <c r="U157"/>
  <c r="U144"/>
  <c r="D125"/>
  <c r="U72"/>
  <c r="N45"/>
  <c r="R31"/>
  <c r="R26"/>
  <c r="C154" i="55"/>
  <c r="G143"/>
  <c r="Q130"/>
  <c r="Q98"/>
  <c r="Q65"/>
  <c r="Q46"/>
  <c r="C35"/>
  <c r="Q35" s="1"/>
  <c r="F31"/>
  <c r="Q31" s="1"/>
  <c r="C29"/>
  <c r="Q29" s="1"/>
  <c r="C27"/>
  <c r="Q27" s="1"/>
  <c r="Q22"/>
  <c r="Q20"/>
  <c r="T132" i="54"/>
  <c r="F113"/>
  <c r="F111"/>
  <c r="T111" s="1"/>
  <c r="Q85"/>
  <c r="T84"/>
  <c r="T83"/>
  <c r="C81"/>
  <c r="T72"/>
  <c r="T68"/>
  <c r="T22"/>
  <c r="X313" i="57"/>
  <c r="D308"/>
  <c r="X303"/>
  <c r="X276"/>
  <c r="X262"/>
  <c r="X251"/>
  <c r="X248"/>
  <c r="X221"/>
  <c r="D202"/>
  <c r="X202" s="1"/>
  <c r="X193"/>
  <c r="X126"/>
  <c r="M84"/>
  <c r="F80"/>
  <c r="X77"/>
  <c r="X72"/>
  <c r="X70"/>
  <c r="X46"/>
  <c r="R154"/>
  <c r="X37"/>
  <c r="X71"/>
  <c r="X75"/>
  <c r="X237"/>
  <c r="M150" i="58"/>
  <c r="M280" i="57"/>
  <c r="M288"/>
  <c r="Q30" i="60"/>
  <c r="Q20" s="1"/>
  <c r="U80"/>
  <c r="D116"/>
  <c r="X141"/>
  <c r="X327" i="61"/>
  <c r="D332"/>
  <c r="O348"/>
  <c r="M357"/>
  <c r="O355"/>
  <c r="R30" i="62"/>
  <c r="G34"/>
  <c r="R35"/>
  <c r="U46"/>
  <c r="G48"/>
  <c r="X48" s="1"/>
  <c r="O305"/>
  <c r="M138" i="59"/>
  <c r="A135" i="69"/>
  <c r="A136" s="1"/>
  <c r="A137" s="1"/>
  <c r="A138" s="1"/>
  <c r="A149"/>
  <c r="A154" s="1"/>
  <c r="A156" s="1"/>
  <c r="A157" s="1"/>
  <c r="A158" s="1"/>
  <c r="A159" s="1"/>
  <c r="A162" s="1"/>
  <c r="A163" s="1"/>
  <c r="A164" s="1"/>
  <c r="A165" s="1"/>
  <c r="A168" s="1"/>
  <c r="A169" s="1"/>
  <c r="A174" s="1"/>
  <c r="A180" s="1"/>
  <c r="A182" s="1"/>
  <c r="A184" s="1"/>
  <c r="R12" i="67"/>
  <c r="G12" i="65"/>
  <c r="X18"/>
  <c r="X53"/>
  <c r="X38"/>
  <c r="X32"/>
  <c r="X82" i="64"/>
  <c r="X97"/>
  <c r="M97"/>
  <c r="D315"/>
  <c r="N81"/>
  <c r="X123"/>
  <c r="X341"/>
  <c r="O15"/>
  <c r="I408"/>
  <c r="O408" s="1"/>
  <c r="F127"/>
  <c r="D127" s="1"/>
  <c r="X128"/>
  <c r="D367"/>
  <c r="X316"/>
  <c r="X389"/>
  <c r="D408"/>
  <c r="M41"/>
  <c r="X41"/>
  <c r="X367"/>
  <c r="M168"/>
  <c r="D80"/>
  <c r="D402"/>
  <c r="E13"/>
  <c r="J337"/>
  <c r="D403"/>
  <c r="O106"/>
  <c r="G106"/>
  <c r="M106" s="1"/>
  <c r="M116"/>
  <c r="X116"/>
  <c r="G15"/>
  <c r="X15" s="1"/>
  <c r="H400"/>
  <c r="N400" s="1"/>
  <c r="X131"/>
  <c r="X204"/>
  <c r="J179"/>
  <c r="C71" i="41"/>
  <c r="S71"/>
  <c r="E77" i="11"/>
  <c r="D76"/>
  <c r="E76" s="1"/>
  <c r="I223" i="47"/>
  <c r="J203"/>
  <c r="N223" i="43"/>
  <c r="N245" s="1"/>
  <c r="H222"/>
  <c r="S223"/>
  <c r="K50" i="54"/>
  <c r="N51"/>
  <c r="L127" i="55"/>
  <c r="I126"/>
  <c r="L126" s="1"/>
  <c r="C203" i="42"/>
  <c r="Z203" s="1"/>
  <c r="S203"/>
  <c r="Q250" i="51"/>
  <c r="AA250"/>
  <c r="Q27" i="47"/>
  <c r="AA27"/>
  <c r="C58" i="40"/>
  <c r="Q58" s="1"/>
  <c r="S58"/>
  <c r="M47"/>
  <c r="I47"/>
  <c r="L47" s="1"/>
  <c r="F40"/>
  <c r="Q40" s="1"/>
  <c r="S40"/>
  <c r="R35"/>
  <c r="C35"/>
  <c r="Q35" s="1"/>
  <c r="R33"/>
  <c r="F33"/>
  <c r="C177" i="41"/>
  <c r="Q177" s="1"/>
  <c r="R177"/>
  <c r="D142"/>
  <c r="K70"/>
  <c r="I71"/>
  <c r="L71" s="1"/>
  <c r="C204" i="42"/>
  <c r="S204"/>
  <c r="Q194"/>
  <c r="Z194"/>
  <c r="Z124"/>
  <c r="Q124"/>
  <c r="Q118"/>
  <c r="Z118"/>
  <c r="Z113"/>
  <c r="Q113"/>
  <c r="Q160" i="40"/>
  <c r="L160"/>
  <c r="AB70" i="45"/>
  <c r="N216" i="37"/>
  <c r="Q216"/>
  <c r="Q247" s="1"/>
  <c r="K13" i="60"/>
  <c r="J20"/>
  <c r="Q151" i="44"/>
  <c r="Z151"/>
  <c r="H16" i="32"/>
  <c r="F59"/>
  <c r="D69" i="45"/>
  <c r="R82"/>
  <c r="E252" i="38"/>
  <c r="Q71"/>
  <c r="Z70" i="47"/>
  <c r="AA70"/>
  <c r="L80" i="40"/>
  <c r="Q80"/>
  <c r="AA100" i="47"/>
  <c r="Z100"/>
  <c r="L100"/>
  <c r="L68" i="51"/>
  <c r="Z68"/>
  <c r="Q68"/>
  <c r="H254" i="47"/>
  <c r="S148"/>
  <c r="F148"/>
  <c r="M70" i="45"/>
  <c r="M254" s="1"/>
  <c r="L254" s="1"/>
  <c r="I70"/>
  <c r="M203" i="40"/>
  <c r="I203"/>
  <c r="L203" s="1"/>
  <c r="N122" i="55"/>
  <c r="K117"/>
  <c r="N117" s="1"/>
  <c r="I122"/>
  <c r="L122" s="1"/>
  <c r="F83" i="43"/>
  <c r="N83"/>
  <c r="F65" i="51"/>
  <c r="AC65"/>
  <c r="S65"/>
  <c r="Q204" i="47"/>
  <c r="Z204"/>
  <c r="H156" i="54"/>
  <c r="I18" i="25"/>
  <c r="K17"/>
  <c r="C95" i="9"/>
  <c r="C91"/>
  <c r="N361" i="62"/>
  <c r="K360"/>
  <c r="N360" s="1"/>
  <c r="N74"/>
  <c r="K15"/>
  <c r="N15" s="1"/>
  <c r="K117" i="57"/>
  <c r="M57" i="55"/>
  <c r="F130" i="51"/>
  <c r="Z130" s="1"/>
  <c r="H80"/>
  <c r="S130"/>
  <c r="H74" i="43"/>
  <c r="F74" s="1"/>
  <c r="S75"/>
  <c r="F75"/>
  <c r="Z75" s="1"/>
  <c r="G223" i="47"/>
  <c r="G203" s="1"/>
  <c r="AB224"/>
  <c r="R224"/>
  <c r="C83"/>
  <c r="R83"/>
  <c r="AB83"/>
  <c r="L238" i="52"/>
  <c r="D185" i="62"/>
  <c r="S78" i="57"/>
  <c r="S14" s="1"/>
  <c r="S13" s="1"/>
  <c r="S12" s="1"/>
  <c r="H255"/>
  <c r="R340" i="62"/>
  <c r="C144" i="45"/>
  <c r="S239" i="40"/>
  <c r="Q132" i="42"/>
  <c r="X259" i="57"/>
  <c r="G258"/>
  <c r="X258" s="1"/>
  <c r="J14" i="31"/>
  <c r="I18"/>
  <c r="Z159" i="47"/>
  <c r="AA159"/>
  <c r="L159"/>
  <c r="AA24" i="45"/>
  <c r="Q24"/>
  <c r="AA165" i="44"/>
  <c r="Z165"/>
  <c r="Q173" i="45"/>
  <c r="L173"/>
  <c r="AA173"/>
  <c r="Z173"/>
  <c r="G207" i="33"/>
  <c r="Q207"/>
  <c r="Q172" i="42"/>
  <c r="Z172"/>
  <c r="N80" i="45"/>
  <c r="F80"/>
  <c r="L80" s="1"/>
  <c r="S80"/>
  <c r="X85" i="62"/>
  <c r="M85"/>
  <c r="J320" i="57"/>
  <c r="M320" s="1"/>
  <c r="O320"/>
  <c r="F41" i="47"/>
  <c r="AC41"/>
  <c r="N41"/>
  <c r="S41"/>
  <c r="Z87" i="42"/>
  <c r="Q87"/>
  <c r="L87"/>
  <c r="H59" i="20"/>
  <c r="F60"/>
  <c r="L160" i="43"/>
  <c r="Q160"/>
  <c r="Z160"/>
  <c r="D49" i="55"/>
  <c r="D153"/>
  <c r="C153" s="1"/>
  <c r="C50"/>
  <c r="AC135" i="51"/>
  <c r="S135"/>
  <c r="C135"/>
  <c r="E248"/>
  <c r="J15"/>
  <c r="J14" s="1"/>
  <c r="D216" i="37"/>
  <c r="C217"/>
  <c r="O217" s="1"/>
  <c r="AB188" i="45"/>
  <c r="S188"/>
  <c r="N231" i="40"/>
  <c r="H224"/>
  <c r="F231"/>
  <c r="Q231" s="1"/>
  <c r="S128"/>
  <c r="F128"/>
  <c r="Q128" s="1"/>
  <c r="H250"/>
  <c r="C47"/>
  <c r="Q47" s="1"/>
  <c r="R47"/>
  <c r="F44"/>
  <c r="R44"/>
  <c r="I35"/>
  <c r="L35" s="1"/>
  <c r="S73" i="41"/>
  <c r="C73"/>
  <c r="Q73" s="1"/>
  <c r="J17"/>
  <c r="I64"/>
  <c r="L64" s="1"/>
  <c r="M64"/>
  <c r="C201" i="42"/>
  <c r="G201"/>
  <c r="G198"/>
  <c r="R198" s="1"/>
  <c r="C198"/>
  <c r="C167"/>
  <c r="Q167" s="1"/>
  <c r="S167"/>
  <c r="Q117"/>
  <c r="Z117"/>
  <c r="D15" i="24"/>
  <c r="D14" s="1"/>
  <c r="D78"/>
  <c r="M70" i="44"/>
  <c r="M253" s="1"/>
  <c r="Q255" i="47"/>
  <c r="Z255"/>
  <c r="F142" i="54"/>
  <c r="H141"/>
  <c r="F141" s="1"/>
  <c r="G233" i="62"/>
  <c r="X233" s="1"/>
  <c r="N233"/>
  <c r="M363"/>
  <c r="M328" i="57"/>
  <c r="J325"/>
  <c r="J324" s="1"/>
  <c r="L340"/>
  <c r="L324"/>
  <c r="L323" s="1"/>
  <c r="N82" i="45"/>
  <c r="AB82"/>
  <c r="Q174" i="47"/>
  <c r="AA174"/>
  <c r="F168" i="45"/>
  <c r="G144"/>
  <c r="R168"/>
  <c r="Z190"/>
  <c r="AA190"/>
  <c r="F205"/>
  <c r="AB205"/>
  <c r="Z146" i="44"/>
  <c r="AA146"/>
  <c r="N145" i="31"/>
  <c r="K162"/>
  <c r="N162" s="1"/>
  <c r="K140"/>
  <c r="AA176" i="47"/>
  <c r="Q176"/>
  <c r="Z176"/>
  <c r="Z196" i="42"/>
  <c r="L196"/>
  <c r="Q196"/>
  <c r="Q242" i="45"/>
  <c r="Z242"/>
  <c r="L242"/>
  <c r="S162" i="44"/>
  <c r="F162"/>
  <c r="Z162" s="1"/>
  <c r="Q165" i="47"/>
  <c r="Z165"/>
  <c r="AA165"/>
  <c r="AA172" i="45"/>
  <c r="Q172"/>
  <c r="X266" i="62"/>
  <c r="M266"/>
  <c r="X138"/>
  <c r="M138"/>
  <c r="O310"/>
  <c r="G310"/>
  <c r="X310" s="1"/>
  <c r="Q82" i="43"/>
  <c r="L82"/>
  <c r="Z82"/>
  <c r="N72" i="40"/>
  <c r="S72"/>
  <c r="F72"/>
  <c r="H71"/>
  <c r="S71" s="1"/>
  <c r="D241" i="33"/>
  <c r="Q241"/>
  <c r="N244" i="45"/>
  <c r="H224"/>
  <c r="S224" s="1"/>
  <c r="S262" s="1"/>
  <c r="U118" i="57"/>
  <c r="W117"/>
  <c r="W13" s="1"/>
  <c r="Q66" i="47"/>
  <c r="Z66"/>
  <c r="AA66"/>
  <c r="AA179"/>
  <c r="L179"/>
  <c r="Z179"/>
  <c r="F149"/>
  <c r="AC149"/>
  <c r="AA129" i="51"/>
  <c r="L129"/>
  <c r="Z129"/>
  <c r="Q150" i="43"/>
  <c r="Z150"/>
  <c r="S260" i="45"/>
  <c r="S259"/>
  <c r="F71" i="43"/>
  <c r="N71"/>
  <c r="N248" s="1"/>
  <c r="S71"/>
  <c r="H70"/>
  <c r="L80"/>
  <c r="Q80"/>
  <c r="Z234"/>
  <c r="Q234"/>
  <c r="L234"/>
  <c r="S224"/>
  <c r="N224"/>
  <c r="L238"/>
  <c r="Q238"/>
  <c r="Z238"/>
  <c r="P145" i="37"/>
  <c r="M145"/>
  <c r="G90"/>
  <c r="F145"/>
  <c r="L145" s="1"/>
  <c r="Q151" i="47"/>
  <c r="AA151"/>
  <c r="S175" i="44"/>
  <c r="N175"/>
  <c r="AB175"/>
  <c r="L236"/>
  <c r="Z236"/>
  <c r="AA236"/>
  <c r="Q236"/>
  <c r="M177" i="42"/>
  <c r="F177"/>
  <c r="R177"/>
  <c r="Q229" i="41"/>
  <c r="L229"/>
  <c r="M176" i="47"/>
  <c r="AB176"/>
  <c r="R176"/>
  <c r="F169" i="45"/>
  <c r="AB169"/>
  <c r="S169"/>
  <c r="H144"/>
  <c r="R194" i="44"/>
  <c r="F194"/>
  <c r="Q240" i="42"/>
  <c r="Q80" i="45"/>
  <c r="N71" i="40"/>
  <c r="N248" s="1"/>
  <c r="X121" i="62"/>
  <c r="H250" i="42"/>
  <c r="F250" s="1"/>
  <c r="C119" i="55"/>
  <c r="Q119" s="1"/>
  <c r="Z172" i="43"/>
  <c r="AA80" i="45"/>
  <c r="Z168" i="47"/>
  <c r="E87" i="45"/>
  <c r="Q159" i="47"/>
  <c r="K16" i="44"/>
  <c r="K15" s="1"/>
  <c r="K13" s="1"/>
  <c r="K12" s="1"/>
  <c r="I51" i="54"/>
  <c r="L51" s="1"/>
  <c r="M223" i="47"/>
  <c r="Q220" i="44"/>
  <c r="R127" i="52"/>
  <c r="D144" i="42"/>
  <c r="M233" i="62"/>
  <c r="C184" i="41"/>
  <c r="Q184" s="1"/>
  <c r="F207" i="37"/>
  <c r="L164" i="57"/>
  <c r="L117" s="1"/>
  <c r="C168" i="42"/>
  <c r="AA24" i="51"/>
  <c r="Q24"/>
  <c r="M175" i="44"/>
  <c r="F175"/>
  <c r="R175"/>
  <c r="D257" i="57"/>
  <c r="X257" s="1"/>
  <c r="E340"/>
  <c r="I249" i="51"/>
  <c r="M249"/>
  <c r="C144" i="40"/>
  <c r="E89"/>
  <c r="A163" i="58"/>
  <c r="A165"/>
  <c r="A167" s="1"/>
  <c r="A168" s="1"/>
  <c r="A169" s="1"/>
  <c r="A170" s="1"/>
  <c r="A171" s="1"/>
  <c r="A172" s="1"/>
  <c r="Q149" i="45"/>
  <c r="AA149"/>
  <c r="C80" i="51"/>
  <c r="S80"/>
  <c r="E79"/>
  <c r="J165" i="57"/>
  <c r="L334"/>
  <c r="AB74" i="51"/>
  <c r="R74"/>
  <c r="G61"/>
  <c r="G15" s="1"/>
  <c r="M74"/>
  <c r="F74"/>
  <c r="Z35" i="43"/>
  <c r="Q35"/>
  <c r="S239" i="52"/>
  <c r="R239" s="1"/>
  <c r="R237"/>
  <c r="Z90" i="43"/>
  <c r="Q90"/>
  <c r="Z60"/>
  <c r="Q60"/>
  <c r="J202"/>
  <c r="I222"/>
  <c r="Z123" i="51"/>
  <c r="AA123"/>
  <c r="Q123"/>
  <c r="D70" i="43"/>
  <c r="D17" s="1"/>
  <c r="R74"/>
  <c r="Q197" i="51"/>
  <c r="AA197"/>
  <c r="Z197"/>
  <c r="AA223" i="45"/>
  <c r="Z223"/>
  <c r="F232" i="40"/>
  <c r="S232"/>
  <c r="F135"/>
  <c r="S135"/>
  <c r="C73"/>
  <c r="L73" s="1"/>
  <c r="G73"/>
  <c r="F73" s="1"/>
  <c r="D71"/>
  <c r="C71" s="1"/>
  <c r="C60"/>
  <c r="R60"/>
  <c r="I58"/>
  <c r="L58" s="1"/>
  <c r="N58"/>
  <c r="L183" i="41"/>
  <c r="Q183"/>
  <c r="S178"/>
  <c r="E142"/>
  <c r="C178"/>
  <c r="S76"/>
  <c r="E74"/>
  <c r="N74"/>
  <c r="N247" s="1"/>
  <c r="L247" s="1"/>
  <c r="I74"/>
  <c r="L74" s="1"/>
  <c r="R64"/>
  <c r="C64"/>
  <c r="Q64" s="1"/>
  <c r="D17"/>
  <c r="N62"/>
  <c r="I62"/>
  <c r="L62" s="1"/>
  <c r="K17"/>
  <c r="K16" s="1"/>
  <c r="K14" s="1"/>
  <c r="K13" s="1"/>
  <c r="S62"/>
  <c r="C62"/>
  <c r="F60"/>
  <c r="R60"/>
  <c r="N204" i="42"/>
  <c r="K203"/>
  <c r="I204"/>
  <c r="L204" s="1"/>
  <c r="R199"/>
  <c r="G249"/>
  <c r="F199"/>
  <c r="S197"/>
  <c r="F197"/>
  <c r="R168"/>
  <c r="F168"/>
  <c r="H163"/>
  <c r="E144"/>
  <c r="C163"/>
  <c r="Q123"/>
  <c r="Z123"/>
  <c r="Z120"/>
  <c r="Q120"/>
  <c r="Q116"/>
  <c r="Z116"/>
  <c r="Z106"/>
  <c r="Q106"/>
  <c r="E15" i="9"/>
  <c r="E19"/>
  <c r="O299" i="57"/>
  <c r="L281"/>
  <c r="J299"/>
  <c r="M299" s="1"/>
  <c r="AB226" i="44"/>
  <c r="F226"/>
  <c r="AA226" s="1"/>
  <c r="H225"/>
  <c r="S225" s="1"/>
  <c r="J218" i="41"/>
  <c r="I219"/>
  <c r="I142" i="54"/>
  <c r="L142" s="1"/>
  <c r="N142"/>
  <c r="L229" i="43"/>
  <c r="Z229"/>
  <c r="L83" i="41"/>
  <c r="Q83"/>
  <c r="J36" i="28"/>
  <c r="J16"/>
  <c r="I37"/>
  <c r="H223" i="40"/>
  <c r="F237"/>
  <c r="Q237" s="1"/>
  <c r="S237"/>
  <c r="I239" i="51"/>
  <c r="L239" s="1"/>
  <c r="M239"/>
  <c r="O108" i="34"/>
  <c r="G78"/>
  <c r="F108"/>
  <c r="Z224" i="43"/>
  <c r="Q224"/>
  <c r="G265" i="62"/>
  <c r="N265"/>
  <c r="U95"/>
  <c r="V91"/>
  <c r="D186" i="57"/>
  <c r="X186" s="1"/>
  <c r="F339"/>
  <c r="D339" s="1"/>
  <c r="F184"/>
  <c r="H89" i="41"/>
  <c r="H243"/>
  <c r="F142"/>
  <c r="F174" i="43"/>
  <c r="S174"/>
  <c r="R171" i="47"/>
  <c r="AB171"/>
  <c r="H73" i="45"/>
  <c r="N73" s="1"/>
  <c r="S74"/>
  <c r="R79" i="42"/>
  <c r="F79"/>
  <c r="F174" i="40"/>
  <c r="R174"/>
  <c r="S77"/>
  <c r="F77"/>
  <c r="L77" s="1"/>
  <c r="N77"/>
  <c r="Q183" i="42"/>
  <c r="Z183"/>
  <c r="F30" i="20"/>
  <c r="G29"/>
  <c r="G13" s="1"/>
  <c r="G12" s="1"/>
  <c r="AA164" i="47"/>
  <c r="Z164"/>
  <c r="AC80"/>
  <c r="N80"/>
  <c r="AA124" i="51"/>
  <c r="I185" i="62"/>
  <c r="O185" s="1"/>
  <c r="J14" i="54"/>
  <c r="G200" i="62"/>
  <c r="M200" s="1"/>
  <c r="N249" i="40"/>
  <c r="H13" i="52"/>
  <c r="AA186" i="45"/>
  <c r="D324" i="57"/>
  <c r="E376" i="62"/>
  <c r="D203"/>
  <c r="X203" s="1"/>
  <c r="X172"/>
  <c r="K70" i="40"/>
  <c r="K17" s="1"/>
  <c r="D118" i="55"/>
  <c r="I252" i="44"/>
  <c r="N218" i="41"/>
  <c r="S74" i="42"/>
  <c r="F70" i="45"/>
  <c r="L254" i="44"/>
  <c r="E256" i="57"/>
  <c r="AB80" i="45"/>
  <c r="Z149"/>
  <c r="C74" i="42"/>
  <c r="N71" i="41"/>
  <c r="N244" s="1"/>
  <c r="L244" s="1"/>
  <c r="Q178" i="43"/>
  <c r="J356" i="62"/>
  <c r="M356" s="1"/>
  <c r="M35" i="40"/>
  <c r="P80" i="33"/>
  <c r="C53" i="40"/>
  <c r="Q191" i="45"/>
  <c r="Z191"/>
  <c r="Q158" i="47"/>
  <c r="Z158"/>
  <c r="L158"/>
  <c r="Q141" i="45"/>
  <c r="Z141"/>
  <c r="C181" i="32"/>
  <c r="E180"/>
  <c r="C180" s="1"/>
  <c r="Z131" i="51"/>
  <c r="AA131"/>
  <c r="Q131"/>
  <c r="AC215"/>
  <c r="E214"/>
  <c r="H118" i="54"/>
  <c r="F119"/>
  <c r="T119" s="1"/>
  <c r="E122" i="55"/>
  <c r="C126"/>
  <c r="AA126" i="45"/>
  <c r="Q126"/>
  <c r="Z126"/>
  <c r="Z232"/>
  <c r="Q232"/>
  <c r="AA232"/>
  <c r="R174" i="44"/>
  <c r="F174"/>
  <c r="N76"/>
  <c r="S76"/>
  <c r="F76"/>
  <c r="L76" s="1"/>
  <c r="AB76"/>
  <c r="H81" i="42"/>
  <c r="F82"/>
  <c r="L82" s="1"/>
  <c r="J69" i="28"/>
  <c r="AA195" i="51"/>
  <c r="Z195"/>
  <c r="Q136" i="43"/>
  <c r="Z136"/>
  <c r="Z160" i="45"/>
  <c r="AA160"/>
  <c r="L160"/>
  <c r="R228" i="47"/>
  <c r="AB228"/>
  <c r="M228"/>
  <c r="Q231"/>
  <c r="L231"/>
  <c r="N101" i="45"/>
  <c r="S101"/>
  <c r="H252"/>
  <c r="F252" s="1"/>
  <c r="Z132" i="44"/>
  <c r="Q132"/>
  <c r="AA132"/>
  <c r="G239" i="40"/>
  <c r="R240"/>
  <c r="E244" i="33"/>
  <c r="G13" i="55"/>
  <c r="Q156" i="34"/>
  <c r="U338" i="62"/>
  <c r="D375"/>
  <c r="X357"/>
  <c r="M310"/>
  <c r="Q194" i="45"/>
  <c r="N253" i="44"/>
  <c r="M276" i="62"/>
  <c r="U340"/>
  <c r="X127"/>
  <c r="Q33" i="41"/>
  <c r="R172" i="47"/>
  <c r="X95" i="57"/>
  <c r="L198" i="44"/>
  <c r="Q180"/>
  <c r="Q198" i="47"/>
  <c r="AA198"/>
  <c r="Z198"/>
  <c r="F178" i="40"/>
  <c r="S178"/>
  <c r="Q236" i="47"/>
  <c r="Z236"/>
  <c r="AC162"/>
  <c r="S162"/>
  <c r="M119" i="55"/>
  <c r="I119"/>
  <c r="L119" s="1"/>
  <c r="J118"/>
  <c r="Z78" i="42"/>
  <c r="Q78"/>
  <c r="L78"/>
  <c r="R224"/>
  <c r="N339" i="57"/>
  <c r="J339"/>
  <c r="M339" s="1"/>
  <c r="Q200" i="43"/>
  <c r="Z200"/>
  <c r="Q131" i="44"/>
  <c r="Z131"/>
  <c r="AA131"/>
  <c r="Q189" i="45"/>
  <c r="AA189"/>
  <c r="AA138" i="47"/>
  <c r="Z138"/>
  <c r="S172" i="40"/>
  <c r="F172"/>
  <c r="Q172" s="1"/>
  <c r="S149" i="42"/>
  <c r="F149"/>
  <c r="E79" i="57"/>
  <c r="E78" s="1"/>
  <c r="D80"/>
  <c r="X80" s="1"/>
  <c r="E15" i="59"/>
  <c r="D19"/>
  <c r="U106" i="58"/>
  <c r="P106"/>
  <c r="M18" i="28"/>
  <c r="L18" s="1"/>
  <c r="AA83" i="47"/>
  <c r="N16" i="37"/>
  <c r="AA68" i="47"/>
  <c r="X358" i="62"/>
  <c r="X128" i="60"/>
  <c r="X124" i="62"/>
  <c r="J66" i="58"/>
  <c r="Q224" i="41"/>
  <c r="S74" i="40"/>
  <c r="S205" i="45"/>
  <c r="Z135" i="42"/>
  <c r="N70" i="41"/>
  <c r="N242" s="1"/>
  <c r="C31" i="24"/>
  <c r="X192" i="57"/>
  <c r="Q122" i="51"/>
  <c r="Q60" i="40"/>
  <c r="Q35" i="41"/>
  <c r="Q130" i="40"/>
  <c r="G32" i="60"/>
  <c r="X197" i="57"/>
  <c r="M197"/>
  <c r="Q157" i="44"/>
  <c r="AA157"/>
  <c r="Q77" i="43"/>
  <c r="L77"/>
  <c r="Z126"/>
  <c r="Q126"/>
  <c r="N159" i="34"/>
  <c r="I159"/>
  <c r="L159" s="1"/>
  <c r="K88" i="40"/>
  <c r="I88" s="1"/>
  <c r="I89"/>
  <c r="M77" i="43"/>
  <c r="R77"/>
  <c r="R173" i="44"/>
  <c r="M173"/>
  <c r="Z228" i="43"/>
  <c r="Q228"/>
  <c r="Q176" i="45"/>
  <c r="L176"/>
  <c r="AA176"/>
  <c r="L247"/>
  <c r="AA247"/>
  <c r="L77" i="44"/>
  <c r="Z77"/>
  <c r="Q77"/>
  <c r="S168" i="43"/>
  <c r="F168"/>
  <c r="AA175" i="47"/>
  <c r="Z175"/>
  <c r="M74" i="45"/>
  <c r="G73"/>
  <c r="G58" i="24"/>
  <c r="G87"/>
  <c r="D13" i="10"/>
  <c r="D16"/>
  <c r="Z99" i="47"/>
  <c r="Q99"/>
  <c r="Z128" i="43"/>
  <c r="Q128"/>
  <c r="S37" i="47"/>
  <c r="F37"/>
  <c r="AC81"/>
  <c r="F81"/>
  <c r="Z240"/>
  <c r="AA240"/>
  <c r="Q240"/>
  <c r="L233" i="45"/>
  <c r="Z233"/>
  <c r="S180" i="47"/>
  <c r="AC180"/>
  <c r="E174" i="52"/>
  <c r="E173" s="1"/>
  <c r="D173" s="1"/>
  <c r="D11" i="53" s="1"/>
  <c r="E11" s="1"/>
  <c r="D175" i="52"/>
  <c r="Q124" i="47"/>
  <c r="AA124"/>
  <c r="R82"/>
  <c r="AB82"/>
  <c r="F82"/>
  <c r="G80"/>
  <c r="F80" s="1"/>
  <c r="N163" i="43"/>
  <c r="S163"/>
  <c r="AB174" i="47"/>
  <c r="M174"/>
  <c r="AA201" i="45"/>
  <c r="Z201"/>
  <c r="E110" i="26"/>
  <c r="Q110" s="1"/>
  <c r="Q113"/>
  <c r="Q109"/>
  <c r="E105"/>
  <c r="E106"/>
  <c r="Q106" s="1"/>
  <c r="F23"/>
  <c r="G23" s="1"/>
  <c r="F27"/>
  <c r="G27" s="1"/>
  <c r="F15"/>
  <c r="G15" s="1"/>
  <c r="F29"/>
  <c r="G31"/>
  <c r="L37" i="20"/>
  <c r="L75" s="1"/>
  <c r="I75"/>
  <c r="F27"/>
  <c r="H24"/>
  <c r="H14" s="1"/>
  <c r="M74" i="22"/>
  <c r="L74" s="1"/>
  <c r="I74"/>
  <c r="I75" i="28"/>
  <c r="M75"/>
  <c r="L75" s="1"/>
  <c r="F73"/>
  <c r="M73"/>
  <c r="L73" s="1"/>
  <c r="I21"/>
  <c r="M21"/>
  <c r="L21" s="1"/>
  <c r="K69" i="25"/>
  <c r="I70"/>
  <c r="I30"/>
  <c r="N30"/>
  <c r="K15" i="31"/>
  <c r="K14" s="1"/>
  <c r="N16"/>
  <c r="I16"/>
  <c r="L16" s="1"/>
  <c r="D15"/>
  <c r="O16"/>
  <c r="C113" i="32"/>
  <c r="E108"/>
  <c r="E78" s="1"/>
  <c r="E77" s="1"/>
  <c r="N72"/>
  <c r="I72"/>
  <c r="L72" s="1"/>
  <c r="K59"/>
  <c r="K16" s="1"/>
  <c r="J75" i="33"/>
  <c r="M75" s="1"/>
  <c r="K71"/>
  <c r="Q75"/>
  <c r="D75"/>
  <c r="P75" s="1"/>
  <c r="Q72"/>
  <c r="H71"/>
  <c r="G72"/>
  <c r="P72" s="1"/>
  <c r="O63"/>
  <c r="J63"/>
  <c r="M63" s="1"/>
  <c r="Q36"/>
  <c r="D36"/>
  <c r="P36" s="1"/>
  <c r="F87" i="38"/>
  <c r="D88"/>
  <c r="P88" s="1"/>
  <c r="J65"/>
  <c r="M65" s="1"/>
  <c r="N65"/>
  <c r="N28"/>
  <c r="J28"/>
  <c r="M28" s="1"/>
  <c r="K17"/>
  <c r="X28" i="62"/>
  <c r="D82" i="38"/>
  <c r="P82" s="1"/>
  <c r="L71" i="44"/>
  <c r="X157" i="61"/>
  <c r="L83" i="47"/>
  <c r="AA174" i="45"/>
  <c r="Z80" i="44"/>
  <c r="Z256" i="45"/>
  <c r="P148" i="58"/>
  <c r="N142" i="55"/>
  <c r="S17" i="36"/>
  <c r="S19" s="1"/>
  <c r="J202" i="40"/>
  <c r="M316" i="62"/>
  <c r="K102" i="58"/>
  <c r="P167" i="31"/>
  <c r="W79" i="62"/>
  <c r="G38" i="60"/>
  <c r="X38" s="1"/>
  <c r="P36" i="38"/>
  <c r="Q115" i="34"/>
  <c r="I69" i="44"/>
  <c r="Q182" i="40"/>
  <c r="Q165" i="43"/>
  <c r="AA194" i="45"/>
  <c r="Z250" i="51"/>
  <c r="G250" i="62"/>
  <c r="X250" s="1"/>
  <c r="X156"/>
  <c r="Q200" i="41"/>
  <c r="M227" i="52"/>
  <c r="R110" i="57"/>
  <c r="E15" i="20"/>
  <c r="G108" i="32"/>
  <c r="G78" s="1"/>
  <c r="G77" s="1"/>
  <c r="G13" s="1"/>
  <c r="G12" s="1"/>
  <c r="AA71" i="51"/>
  <c r="Q71"/>
  <c r="Z71"/>
  <c r="Q76"/>
  <c r="AA76"/>
  <c r="F203" i="45"/>
  <c r="R203"/>
  <c r="AB194" i="44"/>
  <c r="S194"/>
  <c r="K247" i="43"/>
  <c r="I247" s="1"/>
  <c r="K17"/>
  <c r="F120" i="26"/>
  <c r="G130"/>
  <c r="D22" i="28"/>
  <c r="C23"/>
  <c r="N51" i="32"/>
  <c r="I51"/>
  <c r="L51" s="1"/>
  <c r="Q182" i="33"/>
  <c r="H145"/>
  <c r="R151"/>
  <c r="F145"/>
  <c r="Q235" i="38"/>
  <c r="G235"/>
  <c r="P235" s="1"/>
  <c r="D221"/>
  <c r="P221" s="1"/>
  <c r="F207"/>
  <c r="Q91"/>
  <c r="H250"/>
  <c r="D54"/>
  <c r="P54" s="1"/>
  <c r="Q54"/>
  <c r="N161" i="40"/>
  <c r="F161"/>
  <c r="Q161" s="1"/>
  <c r="R146"/>
  <c r="F146"/>
  <c r="Q146" s="1"/>
  <c r="S142"/>
  <c r="S253" s="1"/>
  <c r="F142"/>
  <c r="Q142" s="1"/>
  <c r="E246"/>
  <c r="S102"/>
  <c r="H84"/>
  <c r="C84"/>
  <c r="E83"/>
  <c r="E70" s="1"/>
  <c r="E247" s="1"/>
  <c r="N230" i="41"/>
  <c r="F230"/>
  <c r="S230"/>
  <c r="R225"/>
  <c r="F225"/>
  <c r="Q225" s="1"/>
  <c r="S169"/>
  <c r="C169"/>
  <c r="Q169" s="1"/>
  <c r="R157"/>
  <c r="C157"/>
  <c r="Q157" s="1"/>
  <c r="R100"/>
  <c r="G242"/>
  <c r="F242" s="1"/>
  <c r="N234" i="42"/>
  <c r="S234"/>
  <c r="H224"/>
  <c r="F138"/>
  <c r="S138"/>
  <c r="Z238" i="45"/>
  <c r="AA238"/>
  <c r="R153"/>
  <c r="F153"/>
  <c r="AA33"/>
  <c r="Q33"/>
  <c r="AC245" i="47"/>
  <c r="H243"/>
  <c r="N233"/>
  <c r="N256" s="1"/>
  <c r="S233"/>
  <c r="N14" i="36"/>
  <c r="D17"/>
  <c r="E17" s="1"/>
  <c r="N173" i="34"/>
  <c r="I173"/>
  <c r="L173" s="1"/>
  <c r="N216" i="43"/>
  <c r="K203"/>
  <c r="G166"/>
  <c r="R166" s="1"/>
  <c r="G164"/>
  <c r="C164"/>
  <c r="G162"/>
  <c r="D144"/>
  <c r="K15" i="58"/>
  <c r="G15"/>
  <c r="J15" s="1"/>
  <c r="T15"/>
  <c r="P15"/>
  <c r="S15" s="1"/>
  <c r="T36"/>
  <c r="P36"/>
  <c r="S36" s="1"/>
  <c r="M69"/>
  <c r="O66"/>
  <c r="H73"/>
  <c r="G74"/>
  <c r="J74" s="1"/>
  <c r="T74"/>
  <c r="T73" s="1"/>
  <c r="T72" s="1"/>
  <c r="Q73"/>
  <c r="G207"/>
  <c r="L207"/>
  <c r="U212"/>
  <c r="P212"/>
  <c r="F86"/>
  <c r="L87"/>
  <c r="D87"/>
  <c r="U40" i="59"/>
  <c r="W29"/>
  <c r="U29" s="1"/>
  <c r="H117"/>
  <c r="H116" s="1"/>
  <c r="G118"/>
  <c r="G117" s="1"/>
  <c r="G116" s="1"/>
  <c r="H14"/>
  <c r="G138"/>
  <c r="G14" s="1"/>
  <c r="O227" i="57"/>
  <c r="J227"/>
  <c r="M227" s="1"/>
  <c r="O234"/>
  <c r="I233"/>
  <c r="I171"/>
  <c r="D171"/>
  <c r="F170"/>
  <c r="D170" s="1"/>
  <c r="G50"/>
  <c r="X50" s="1"/>
  <c r="I48"/>
  <c r="G48" s="1"/>
  <c r="X48" s="1"/>
  <c r="N173"/>
  <c r="H170"/>
  <c r="O181"/>
  <c r="I180"/>
  <c r="G181"/>
  <c r="I105" i="60"/>
  <c r="G105" s="1"/>
  <c r="X105" s="1"/>
  <c r="F100"/>
  <c r="G179" i="32"/>
  <c r="I148" i="58"/>
  <c r="Q60" i="41"/>
  <c r="Q84" i="44"/>
  <c r="X292" i="57"/>
  <c r="X247"/>
  <c r="AA216" i="51"/>
  <c r="G73" i="44"/>
  <c r="AA67" i="51"/>
  <c r="D174" i="52"/>
  <c r="C247" i="51"/>
  <c r="O181" i="37"/>
  <c r="F73" i="47"/>
  <c r="C83" i="40"/>
  <c r="Q57" i="47"/>
  <c r="D15" i="59"/>
  <c r="D106" i="58"/>
  <c r="J106" s="1"/>
  <c r="P147" i="33"/>
  <c r="J70" i="40"/>
  <c r="J17" s="1"/>
  <c r="G70" i="41"/>
  <c r="O243" i="37"/>
  <c r="D203" i="43"/>
  <c r="E179" i="34"/>
  <c r="C179" s="1"/>
  <c r="E78"/>
  <c r="AA241" i="45"/>
  <c r="Q241"/>
  <c r="AB203" i="44"/>
  <c r="S203"/>
  <c r="AA201" i="47"/>
  <c r="Q201"/>
  <c r="AB180"/>
  <c r="R180"/>
  <c r="D95" i="9"/>
  <c r="D91"/>
  <c r="N71" i="28"/>
  <c r="K70"/>
  <c r="G70"/>
  <c r="F71"/>
  <c r="G41"/>
  <c r="M41" s="1"/>
  <c r="L41" s="1"/>
  <c r="F42"/>
  <c r="M30" i="25"/>
  <c r="L30" s="1"/>
  <c r="F30"/>
  <c r="I160" i="32"/>
  <c r="L160" s="1"/>
  <c r="M160"/>
  <c r="N75" i="38"/>
  <c r="N256" s="1"/>
  <c r="J75"/>
  <c r="M75" s="1"/>
  <c r="M239" i="40"/>
  <c r="I239"/>
  <c r="R194"/>
  <c r="F194"/>
  <c r="Q194" s="1"/>
  <c r="I58" i="41"/>
  <c r="L58" s="1"/>
  <c r="M58"/>
  <c r="M44"/>
  <c r="I44"/>
  <c r="L44" s="1"/>
  <c r="S30"/>
  <c r="C30"/>
  <c r="H178" i="42"/>
  <c r="N178" s="1"/>
  <c r="C178"/>
  <c r="S178"/>
  <c r="N175"/>
  <c r="S175"/>
  <c r="R100"/>
  <c r="D246"/>
  <c r="C246" s="1"/>
  <c r="Z246" s="1"/>
  <c r="Z96"/>
  <c r="Q96"/>
  <c r="M292" i="57"/>
  <c r="I62" i="51"/>
  <c r="L14" i="52"/>
  <c r="O207" i="37"/>
  <c r="I17" i="43"/>
  <c r="K18" i="59"/>
  <c r="K16" s="1"/>
  <c r="K12" s="1"/>
  <c r="K140" s="1"/>
  <c r="G145" i="38"/>
  <c r="M145" s="1"/>
  <c r="N191" i="52"/>
  <c r="AA99" i="47"/>
  <c r="Z203" i="45"/>
  <c r="Q216" i="41"/>
  <c r="C246" i="40"/>
  <c r="Q113" i="32"/>
  <c r="Q157" i="47"/>
  <c r="L247" i="44"/>
  <c r="L232"/>
  <c r="U80" i="57"/>
  <c r="U79" s="1"/>
  <c r="X54"/>
  <c r="L160" i="42"/>
  <c r="Q134" i="45"/>
  <c r="F78"/>
  <c r="AA247" i="44"/>
  <c r="J202" i="42"/>
  <c r="Z153"/>
  <c r="G192" i="52"/>
  <c r="J89"/>
  <c r="M89" s="1"/>
  <c r="F15" i="55"/>
  <c r="Q72" i="45"/>
  <c r="Q212" i="41"/>
  <c r="Q150" i="40"/>
  <c r="L71" i="51"/>
  <c r="N163" i="45"/>
  <c r="AA177" i="44"/>
  <c r="M62" i="51"/>
  <c r="S82" i="47"/>
  <c r="S237" i="42"/>
  <c r="C155" i="55"/>
  <c r="F170" i="45"/>
  <c r="Z81" i="47"/>
  <c r="L249" i="43"/>
  <c r="M256" i="38"/>
  <c r="K204" i="45"/>
  <c r="I41" i="32"/>
  <c r="L41" s="1"/>
  <c r="R202" i="38"/>
  <c r="F64" i="51"/>
  <c r="AB64"/>
  <c r="M126" i="54"/>
  <c r="J122"/>
  <c r="M122" s="1"/>
  <c r="F167" i="47"/>
  <c r="AA167" s="1"/>
  <c r="R167"/>
  <c r="F203" i="44"/>
  <c r="R203"/>
  <c r="F86" i="45"/>
  <c r="Z86" s="1"/>
  <c r="G85"/>
  <c r="H37" i="22"/>
  <c r="N39"/>
  <c r="L39" s="1"/>
  <c r="E23" i="24"/>
  <c r="G21"/>
  <c r="G230" i="33"/>
  <c r="P230" s="1"/>
  <c r="Q230"/>
  <c r="G82"/>
  <c r="M82" s="1"/>
  <c r="O82"/>
  <c r="D31"/>
  <c r="P31" s="1"/>
  <c r="Q31"/>
  <c r="R167" i="38"/>
  <c r="D167"/>
  <c r="P167" s="1"/>
  <c r="H188" i="40"/>
  <c r="C188"/>
  <c r="H177"/>
  <c r="N177" s="1"/>
  <c r="F243" i="42"/>
  <c r="R243"/>
  <c r="H150"/>
  <c r="E249"/>
  <c r="C249" s="1"/>
  <c r="M72"/>
  <c r="M249" s="1"/>
  <c r="L249" s="1"/>
  <c r="G71"/>
  <c r="Z65" i="44"/>
  <c r="Q65"/>
  <c r="AA40"/>
  <c r="Z40"/>
  <c r="G187" i="62"/>
  <c r="X187" s="1"/>
  <c r="X60"/>
  <c r="X46"/>
  <c r="N115" i="52"/>
  <c r="X190" i="57"/>
  <c r="Q77" i="51"/>
  <c r="E15" i="60"/>
  <c r="E14" s="1"/>
  <c r="F126" i="54"/>
  <c r="T126" s="1"/>
  <c r="Q127" i="40"/>
  <c r="Q53"/>
  <c r="Z189" i="42"/>
  <c r="N119" i="55"/>
  <c r="H90" i="38"/>
  <c r="N90" s="1"/>
  <c r="Z49" i="43"/>
  <c r="E334" i="57"/>
  <c r="F155" i="55"/>
  <c r="Q155" s="1"/>
  <c r="D206" i="37"/>
  <c r="G11" i="36"/>
  <c r="N253" i="47"/>
  <c r="M224"/>
  <c r="P243" i="38"/>
  <c r="P65"/>
  <c r="Q247" i="44"/>
  <c r="AA157" i="47"/>
  <c r="Q126" i="44"/>
  <c r="X18" i="57"/>
  <c r="AB243" i="47"/>
  <c r="Q155" i="42"/>
  <c r="Q59" i="47"/>
  <c r="D81" i="52"/>
  <c r="C249" i="51"/>
  <c r="M245"/>
  <c r="S203" i="43"/>
  <c r="M75" i="52"/>
  <c r="M74" s="1"/>
  <c r="J81"/>
  <c r="O65" i="37"/>
  <c r="O26"/>
  <c r="H29" i="59"/>
  <c r="S189" i="44"/>
  <c r="Z126" i="47"/>
  <c r="P14" i="58"/>
  <c r="S14" s="1"/>
  <c r="R87" i="43"/>
  <c r="Q132" i="45"/>
  <c r="M178" i="44"/>
  <c r="M203" i="45"/>
  <c r="F18" i="59"/>
  <c r="X104" i="57"/>
  <c r="T16" i="54"/>
  <c r="D117"/>
  <c r="C117" s="1"/>
  <c r="R171" i="42"/>
  <c r="O41" i="37"/>
  <c r="S84" i="44"/>
  <c r="Q30" i="41"/>
  <c r="Z206" i="44"/>
  <c r="C242" i="41"/>
  <c r="L25" i="25"/>
  <c r="L109" i="31"/>
  <c r="F242" i="40"/>
  <c r="R234"/>
  <c r="L175"/>
  <c r="H239" i="42"/>
  <c r="AB189" i="44"/>
  <c r="C30" i="40"/>
  <c r="Q30" s="1"/>
  <c r="R30"/>
  <c r="R163" i="41"/>
  <c r="C163"/>
  <c r="R218" i="51"/>
  <c r="M218"/>
  <c r="Z161" i="42"/>
  <c r="Q162" i="40"/>
  <c r="X101" i="57"/>
  <c r="S168" i="44"/>
  <c r="R65" i="51"/>
  <c r="F156" i="55"/>
  <c r="L67" i="51"/>
  <c r="AA133" i="47"/>
  <c r="Q239" i="44"/>
  <c r="L64" i="51"/>
  <c r="Q22" i="43"/>
  <c r="K252" i="47"/>
  <c r="Z133" i="42"/>
  <c r="J160" i="58"/>
  <c r="Q157" i="32"/>
  <c r="M80" i="45"/>
  <c r="J78" i="58"/>
  <c r="F83" i="44"/>
  <c r="M71" i="28"/>
  <c r="L71" s="1"/>
  <c r="P66" i="58"/>
  <c r="S66" s="1"/>
  <c r="O49" i="59"/>
  <c r="S73" i="58"/>
  <c r="S72" s="1"/>
  <c r="L66"/>
  <c r="S149"/>
  <c r="F89" i="9"/>
  <c r="F57"/>
  <c r="C67" i="10"/>
  <c r="C66" s="1"/>
  <c r="F66" s="1"/>
  <c r="D67"/>
  <c r="D66" s="1"/>
  <c r="F54"/>
  <c r="E34" i="11"/>
  <c r="H119" i="26"/>
  <c r="H61"/>
  <c r="H64" s="1"/>
  <c r="H53" i="20"/>
  <c r="I73"/>
  <c r="C27"/>
  <c r="L66" i="22"/>
  <c r="L59"/>
  <c r="L51"/>
  <c r="L44"/>
  <c r="I42"/>
  <c r="N73" i="28"/>
  <c r="N68"/>
  <c r="L64"/>
  <c r="C20"/>
  <c r="L26" i="25"/>
  <c r="L23"/>
  <c r="P153" i="31"/>
  <c r="L126"/>
  <c r="F123"/>
  <c r="L123" s="1"/>
  <c r="L116"/>
  <c r="L112"/>
  <c r="L105"/>
  <c r="L99"/>
  <c r="L94"/>
  <c r="L87"/>
  <c r="L80"/>
  <c r="L70"/>
  <c r="L62"/>
  <c r="F58"/>
  <c r="F55"/>
  <c r="L49"/>
  <c r="C42"/>
  <c r="C38"/>
  <c r="L35"/>
  <c r="L30"/>
  <c r="M29"/>
  <c r="L27"/>
  <c r="M16"/>
  <c r="Q151" i="32"/>
  <c r="Q128"/>
  <c r="F75"/>
  <c r="F51"/>
  <c r="I21"/>
  <c r="L21" s="1"/>
  <c r="O244" i="33"/>
  <c r="O241"/>
  <c r="R208"/>
  <c r="P205"/>
  <c r="M202"/>
  <c r="P201"/>
  <c r="P164"/>
  <c r="P159"/>
  <c r="P143"/>
  <c r="P139"/>
  <c r="G102"/>
  <c r="P102" s="1"/>
  <c r="P100"/>
  <c r="P96"/>
  <c r="P92"/>
  <c r="P86"/>
  <c r="N82"/>
  <c r="D82"/>
  <c r="P58"/>
  <c r="P27"/>
  <c r="G26"/>
  <c r="P20"/>
  <c r="L253" i="38"/>
  <c r="J253" s="1"/>
  <c r="J250"/>
  <c r="R250"/>
  <c r="G240"/>
  <c r="P240" s="1"/>
  <c r="N254"/>
  <c r="M254" s="1"/>
  <c r="Q225"/>
  <c r="J223"/>
  <c r="M223" s="1"/>
  <c r="P192"/>
  <c r="P160"/>
  <c r="P141"/>
  <c r="P139"/>
  <c r="P134"/>
  <c r="P132"/>
  <c r="P131"/>
  <c r="P107"/>
  <c r="P97"/>
  <c r="D80"/>
  <c r="P80" s="1"/>
  <c r="G45"/>
  <c r="G22"/>
  <c r="P20"/>
  <c r="F240" i="40"/>
  <c r="Q240" s="1"/>
  <c r="Q124"/>
  <c r="Q120"/>
  <c r="Q114"/>
  <c r="Q21"/>
  <c r="F245" i="41"/>
  <c r="Q245" s="1"/>
  <c r="I216"/>
  <c r="L216" s="1"/>
  <c r="L172"/>
  <c r="L165"/>
  <c r="Q148"/>
  <c r="Q145"/>
  <c r="N77"/>
  <c r="Q68"/>
  <c r="Q67"/>
  <c r="Q66"/>
  <c r="Q61"/>
  <c r="Q57"/>
  <c r="C239" i="42"/>
  <c r="F231"/>
  <c r="S218"/>
  <c r="N161"/>
  <c r="Q27" i="44"/>
  <c r="N247" i="45"/>
  <c r="AB198" i="44"/>
  <c r="S198"/>
  <c r="F63" i="37"/>
  <c r="O63" s="1"/>
  <c r="Q63"/>
  <c r="G237" i="43"/>
  <c r="M238"/>
  <c r="Q230" i="40"/>
  <c r="L102" i="42"/>
  <c r="U19" i="59"/>
  <c r="J96" i="58"/>
  <c r="J82"/>
  <c r="L86"/>
  <c r="J45"/>
  <c r="J195"/>
  <c r="L14"/>
  <c r="F66" i="8"/>
  <c r="F30"/>
  <c r="F18"/>
  <c r="D54" i="9"/>
  <c r="D20" s="1"/>
  <c r="D16" s="1"/>
  <c r="F42"/>
  <c r="F51" i="10"/>
  <c r="F45"/>
  <c r="F19"/>
  <c r="D71" i="11"/>
  <c r="C33"/>
  <c r="E33" s="1"/>
  <c r="F102" i="26"/>
  <c r="I57" i="20"/>
  <c r="L57" s="1"/>
  <c r="M73"/>
  <c r="C25"/>
  <c r="L78" i="22"/>
  <c r="L63"/>
  <c r="L56"/>
  <c r="L40"/>
  <c r="N22"/>
  <c r="L22" s="1"/>
  <c r="N72" i="28"/>
  <c r="M34"/>
  <c r="L34" s="1"/>
  <c r="L65" i="25"/>
  <c r="L61"/>
  <c r="L57"/>
  <c r="L53"/>
  <c r="C22"/>
  <c r="H18"/>
  <c r="N18" s="1"/>
  <c r="O153" i="31"/>
  <c r="F152"/>
  <c r="L91"/>
  <c r="P67"/>
  <c r="N59"/>
  <c r="Q150" i="32"/>
  <c r="F141"/>
  <c r="Q141" s="1"/>
  <c r="Q139"/>
  <c r="C110"/>
  <c r="Q110" s="1"/>
  <c r="H181"/>
  <c r="N181"/>
  <c r="P63"/>
  <c r="G234" i="33"/>
  <c r="M234" s="1"/>
  <c r="R232"/>
  <c r="G231"/>
  <c r="P231" s="1"/>
  <c r="D218"/>
  <c r="P218" s="1"/>
  <c r="G208"/>
  <c r="P208" s="1"/>
  <c r="P203"/>
  <c r="R182"/>
  <c r="D182"/>
  <c r="P182" s="1"/>
  <c r="I241"/>
  <c r="R241" s="1"/>
  <c r="P163"/>
  <c r="P162"/>
  <c r="P157"/>
  <c r="P131"/>
  <c r="P99"/>
  <c r="P95"/>
  <c r="P81"/>
  <c r="P67"/>
  <c r="P60"/>
  <c r="Q41"/>
  <c r="P40"/>
  <c r="P246" i="38"/>
  <c r="N255"/>
  <c r="M255" s="1"/>
  <c r="E228"/>
  <c r="G223"/>
  <c r="P223" s="1"/>
  <c r="R221"/>
  <c r="P195"/>
  <c r="P194"/>
  <c r="P183"/>
  <c r="P130"/>
  <c r="P129"/>
  <c r="P60"/>
  <c r="J50"/>
  <c r="M50" s="1"/>
  <c r="P30"/>
  <c r="P24"/>
  <c r="S100" i="40"/>
  <c r="Q20"/>
  <c r="I242" i="41"/>
  <c r="Q236"/>
  <c r="I220"/>
  <c r="Q137"/>
  <c r="Q134"/>
  <c r="Q129"/>
  <c r="Q118"/>
  <c r="Q111"/>
  <c r="N35"/>
  <c r="Q26"/>
  <c r="F218" i="42"/>
  <c r="Q218" s="1"/>
  <c r="Z206"/>
  <c r="F34" i="45"/>
  <c r="L34" s="1"/>
  <c r="AA195" i="47"/>
  <c r="N160" i="40"/>
  <c r="S160"/>
  <c r="AB157" i="44"/>
  <c r="S157"/>
  <c r="O202" i="57"/>
  <c r="J107" i="58"/>
  <c r="J87"/>
  <c r="AB14"/>
  <c r="J48"/>
  <c r="C20" i="8"/>
  <c r="F21" i="10"/>
  <c r="E53" i="20"/>
  <c r="C53" s="1"/>
  <c r="N73"/>
  <c r="C73"/>
  <c r="L50" i="22"/>
  <c r="F30"/>
  <c r="L20"/>
  <c r="L62" i="28"/>
  <c r="L59"/>
  <c r="L46"/>
  <c r="L50" i="25"/>
  <c r="L47"/>
  <c r="I32" i="31"/>
  <c r="L32" s="1"/>
  <c r="C32"/>
  <c r="C149" i="32"/>
  <c r="Q149" s="1"/>
  <c r="Q121"/>
  <c r="C109"/>
  <c r="Q109" s="1"/>
  <c r="I70"/>
  <c r="L70" s="1"/>
  <c r="F27"/>
  <c r="P180" i="33"/>
  <c r="P152"/>
  <c r="P130"/>
  <c r="P129"/>
  <c r="P109"/>
  <c r="P98"/>
  <c r="P94"/>
  <c r="P83"/>
  <c r="J80"/>
  <c r="M80" s="1"/>
  <c r="P66"/>
  <c r="D63"/>
  <c r="P63" s="1"/>
  <c r="P62"/>
  <c r="P37"/>
  <c r="P199" i="38"/>
  <c r="P156"/>
  <c r="P136"/>
  <c r="P135"/>
  <c r="P126"/>
  <c r="P124"/>
  <c r="P58"/>
  <c r="P47"/>
  <c r="D45"/>
  <c r="P45" s="1"/>
  <c r="P44"/>
  <c r="P29"/>
  <c r="J22"/>
  <c r="M22" s="1"/>
  <c r="F62" i="40"/>
  <c r="Q62" s="1"/>
  <c r="F49"/>
  <c r="Q49" s="1"/>
  <c r="Q43"/>
  <c r="Q189" i="41"/>
  <c r="C171"/>
  <c r="Q117"/>
  <c r="Q115"/>
  <c r="Q104"/>
  <c r="C76"/>
  <c r="Q76" s="1"/>
  <c r="L72"/>
  <c r="Q36"/>
  <c r="Q19"/>
  <c r="L103" i="42"/>
  <c r="I148" i="57"/>
  <c r="G148" s="1"/>
  <c r="D148"/>
  <c r="O88"/>
  <c r="G88"/>
  <c r="M88" s="1"/>
  <c r="I335"/>
  <c r="G335" s="1"/>
  <c r="X335" s="1"/>
  <c r="I87"/>
  <c r="G87" s="1"/>
  <c r="X87" s="1"/>
  <c r="S204" i="40"/>
  <c r="L125"/>
  <c r="Q112"/>
  <c r="C100"/>
  <c r="Q100" s="1"/>
  <c r="Q68"/>
  <c r="Q46"/>
  <c r="Q38"/>
  <c r="Q32"/>
  <c r="S27"/>
  <c r="R22"/>
  <c r="H244" i="41"/>
  <c r="S244" s="1"/>
  <c r="L239"/>
  <c r="N246"/>
  <c r="L246" s="1"/>
  <c r="C197"/>
  <c r="Q197" s="1"/>
  <c r="F178"/>
  <c r="L171"/>
  <c r="L159"/>
  <c r="Q156"/>
  <c r="Q149"/>
  <c r="Q140"/>
  <c r="Q139"/>
  <c r="Q122"/>
  <c r="Q120"/>
  <c r="M77"/>
  <c r="C77"/>
  <c r="Q77" s="1"/>
  <c r="Q69"/>
  <c r="C49"/>
  <c r="Q49" s="1"/>
  <c r="C47"/>
  <c r="Q47" s="1"/>
  <c r="Q42"/>
  <c r="R33"/>
  <c r="R27"/>
  <c r="Q21"/>
  <c r="Q20"/>
  <c r="I250" i="42"/>
  <c r="F232"/>
  <c r="Z232" s="1"/>
  <c r="Z214"/>
  <c r="Z211"/>
  <c r="Z210"/>
  <c r="Z105"/>
  <c r="Z94"/>
  <c r="I86"/>
  <c r="L86" s="1"/>
  <c r="F56"/>
  <c r="F195" i="44"/>
  <c r="S156"/>
  <c r="Z113"/>
  <c r="AA111"/>
  <c r="L107"/>
  <c r="Z95"/>
  <c r="AA92"/>
  <c r="R46"/>
  <c r="L45"/>
  <c r="L35"/>
  <c r="I34"/>
  <c r="C34"/>
  <c r="Q34" s="1"/>
  <c r="Z33"/>
  <c r="C226" i="45"/>
  <c r="S220"/>
  <c r="Z208"/>
  <c r="L124"/>
  <c r="Z123"/>
  <c r="Z121"/>
  <c r="Z108"/>
  <c r="Z107"/>
  <c r="F52"/>
  <c r="Q52" s="1"/>
  <c r="L45"/>
  <c r="L35"/>
  <c r="C241" i="47"/>
  <c r="Q241" s="1"/>
  <c r="AC222"/>
  <c r="L195"/>
  <c r="C173"/>
  <c r="AA173" s="1"/>
  <c r="F150"/>
  <c r="Z33"/>
  <c r="O199" i="37"/>
  <c r="O193"/>
  <c r="O119"/>
  <c r="O118"/>
  <c r="O115"/>
  <c r="I80"/>
  <c r="L80" s="1"/>
  <c r="Q34"/>
  <c r="C31"/>
  <c r="O31" s="1"/>
  <c r="Q28"/>
  <c r="L17" i="36"/>
  <c r="F173" i="34"/>
  <c r="Q151"/>
  <c r="Q143"/>
  <c r="C136"/>
  <c r="Q136" s="1"/>
  <c r="Q128"/>
  <c r="Q125"/>
  <c r="Q124"/>
  <c r="F32"/>
  <c r="F19"/>
  <c r="N234" i="43"/>
  <c r="Z214"/>
  <c r="F183"/>
  <c r="N159"/>
  <c r="H80" i="55"/>
  <c r="F80" s="1"/>
  <c r="C62" i="43"/>
  <c r="S62"/>
  <c r="J70" i="52"/>
  <c r="M70" s="1"/>
  <c r="O70"/>
  <c r="O286" i="57"/>
  <c r="G286"/>
  <c r="M286" s="1"/>
  <c r="D39"/>
  <c r="F38"/>
  <c r="D38" s="1"/>
  <c r="X38" s="1"/>
  <c r="O279"/>
  <c r="G279"/>
  <c r="X279" s="1"/>
  <c r="U52" i="60"/>
  <c r="V51"/>
  <c r="N85"/>
  <c r="J85"/>
  <c r="M404" i="64"/>
  <c r="X404"/>
  <c r="R34" i="44"/>
  <c r="L145" i="45"/>
  <c r="AB41" i="47"/>
  <c r="S30"/>
  <c r="S44" i="43"/>
  <c r="X140" i="57"/>
  <c r="X191"/>
  <c r="X58"/>
  <c r="R131" i="51"/>
  <c r="AB131"/>
  <c r="N105" i="57"/>
  <c r="K104"/>
  <c r="N104" s="1"/>
  <c r="I134"/>
  <c r="G134" s="1"/>
  <c r="D134"/>
  <c r="O159"/>
  <c r="G159"/>
  <c r="X159" s="1"/>
  <c r="D112" i="60"/>
  <c r="I112"/>
  <c r="G112" s="1"/>
  <c r="X112" s="1"/>
  <c r="Z41" i="42"/>
  <c r="Q28"/>
  <c r="R198" i="44"/>
  <c r="Q56"/>
  <c r="C24"/>
  <c r="F21"/>
  <c r="AA21" s="1"/>
  <c r="I226" i="45"/>
  <c r="L226" s="1"/>
  <c r="AB145"/>
  <c r="AB125"/>
  <c r="Z116"/>
  <c r="AA96"/>
  <c r="E85"/>
  <c r="C85" s="1"/>
  <c r="F26"/>
  <c r="Z26" s="1"/>
  <c r="I255" i="47"/>
  <c r="I251"/>
  <c r="AC239"/>
  <c r="F196"/>
  <c r="F153"/>
  <c r="S147"/>
  <c r="AB146"/>
  <c r="AA121"/>
  <c r="Z93"/>
  <c r="I74"/>
  <c r="L74" s="1"/>
  <c r="C30"/>
  <c r="O201" i="37"/>
  <c r="O197"/>
  <c r="L189"/>
  <c r="O165"/>
  <c r="O141"/>
  <c r="O135"/>
  <c r="O58"/>
  <c r="F50"/>
  <c r="O50" s="1"/>
  <c r="O39"/>
  <c r="O21"/>
  <c r="C141" i="34"/>
  <c r="Q141" s="1"/>
  <c r="C134"/>
  <c r="Q134" s="1"/>
  <c r="F72"/>
  <c r="S220" i="43"/>
  <c r="I390" i="64"/>
  <c r="O391"/>
  <c r="C218" i="37"/>
  <c r="O200"/>
  <c r="L178"/>
  <c r="L176"/>
  <c r="O166"/>
  <c r="O160"/>
  <c r="O154"/>
  <c r="O142"/>
  <c r="O130"/>
  <c r="O113"/>
  <c r="F84"/>
  <c r="O43"/>
  <c r="O35"/>
  <c r="Q142" i="34"/>
  <c r="Q133"/>
  <c r="I75"/>
  <c r="L75" s="1"/>
  <c r="F45"/>
  <c r="R250" i="43"/>
  <c r="I245"/>
  <c r="S216"/>
  <c r="Z212"/>
  <c r="Q122"/>
  <c r="R101"/>
  <c r="S58"/>
  <c r="F56"/>
  <c r="Q56" s="1"/>
  <c r="N44"/>
  <c r="Z41"/>
  <c r="Z37"/>
  <c r="Q238" i="51"/>
  <c r="C232"/>
  <c r="L228"/>
  <c r="Z222"/>
  <c r="Z221"/>
  <c r="Z220"/>
  <c r="Z174"/>
  <c r="Z144"/>
  <c r="Q109"/>
  <c r="AC92"/>
  <c r="R91"/>
  <c r="AA83"/>
  <c r="M69"/>
  <c r="AA60"/>
  <c r="AA45"/>
  <c r="Z36"/>
  <c r="D215" i="52"/>
  <c r="G203"/>
  <c r="U203" s="1"/>
  <c r="U190"/>
  <c r="G167"/>
  <c r="U167" s="1"/>
  <c r="U162"/>
  <c r="U158"/>
  <c r="T237"/>
  <c r="T239" s="1"/>
  <c r="R126"/>
  <c r="U104"/>
  <c r="U95"/>
  <c r="K81"/>
  <c r="K74" s="1"/>
  <c r="K14" s="1"/>
  <c r="D53"/>
  <c r="U53" s="1"/>
  <c r="D34"/>
  <c r="D143" i="55"/>
  <c r="D142" s="1"/>
  <c r="F139"/>
  <c r="Q139" s="1"/>
  <c r="F111"/>
  <c r="Q111" s="1"/>
  <c r="Q104"/>
  <c r="Q60"/>
  <c r="Q59"/>
  <c r="Q38"/>
  <c r="F37"/>
  <c r="Q37" s="1"/>
  <c r="F154" i="54"/>
  <c r="T147"/>
  <c r="T115"/>
  <c r="T106"/>
  <c r="T99"/>
  <c r="T82"/>
  <c r="T71"/>
  <c r="T67"/>
  <c r="F54"/>
  <c r="C33"/>
  <c r="T33" s="1"/>
  <c r="F29"/>
  <c r="T29" s="1"/>
  <c r="C19"/>
  <c r="T19" s="1"/>
  <c r="U299" i="57"/>
  <c r="U295"/>
  <c r="X261"/>
  <c r="M189"/>
  <c r="X181"/>
  <c r="O83"/>
  <c r="O33"/>
  <c r="G68"/>
  <c r="X68" s="1"/>
  <c r="G110"/>
  <c r="X110" s="1"/>
  <c r="G114"/>
  <c r="X114" s="1"/>
  <c r="J54" i="58"/>
  <c r="K76"/>
  <c r="J35"/>
  <c r="L80"/>
  <c r="R34" i="60"/>
  <c r="U38"/>
  <c r="U37" s="1"/>
  <c r="V81" i="62"/>
  <c r="V80" s="1"/>
  <c r="O315" i="64"/>
  <c r="F44" i="43"/>
  <c r="L44" s="1"/>
  <c r="Z21"/>
  <c r="N250" i="51"/>
  <c r="AC250"/>
  <c r="Z231"/>
  <c r="AA208"/>
  <c r="AA200"/>
  <c r="Z188"/>
  <c r="Z141"/>
  <c r="Z137"/>
  <c r="Z56"/>
  <c r="F16"/>
  <c r="G225" i="52"/>
  <c r="R204"/>
  <c r="U172"/>
  <c r="U124"/>
  <c r="S81"/>
  <c r="R45"/>
  <c r="Q108" i="55"/>
  <c r="Q92"/>
  <c r="Q85"/>
  <c r="T103" i="54"/>
  <c r="T87"/>
  <c r="T62"/>
  <c r="H50"/>
  <c r="Q35"/>
  <c r="C23"/>
  <c r="T23" s="1"/>
  <c r="X315" i="57"/>
  <c r="O292"/>
  <c r="N290"/>
  <c r="X270"/>
  <c r="R249"/>
  <c r="M181"/>
  <c r="X129"/>
  <c r="X109"/>
  <c r="R45"/>
  <c r="X44"/>
  <c r="U40"/>
  <c r="G76"/>
  <c r="X76" s="1"/>
  <c r="X84"/>
  <c r="M36" i="58"/>
  <c r="L45"/>
  <c r="L48"/>
  <c r="J51"/>
  <c r="J117"/>
  <c r="Y149"/>
  <c r="L187"/>
  <c r="J189"/>
  <c r="X152" i="57"/>
  <c r="X51"/>
  <c r="I218"/>
  <c r="G218" s="1"/>
  <c r="G25" i="60"/>
  <c r="L16"/>
  <c r="L14" s="1"/>
  <c r="L12" s="1"/>
  <c r="O34"/>
  <c r="T33"/>
  <c r="T30" s="1"/>
  <c r="R30" s="1"/>
  <c r="V37"/>
  <c r="J80"/>
  <c r="M80" s="1"/>
  <c r="L82"/>
  <c r="L54" s="1"/>
  <c r="J54" s="1"/>
  <c r="G108"/>
  <c r="N154"/>
  <c r="R158"/>
  <c r="G50"/>
  <c r="G86"/>
  <c r="X86" s="1"/>
  <c r="G89"/>
  <c r="X89" s="1"/>
  <c r="R128" i="61"/>
  <c r="U328"/>
  <c r="G330"/>
  <c r="X331"/>
  <c r="G210"/>
  <c r="G84"/>
  <c r="G91"/>
  <c r="G141"/>
  <c r="M356"/>
  <c r="N355"/>
  <c r="R16" i="62"/>
  <c r="G20"/>
  <c r="X20" s="1"/>
  <c r="G22"/>
  <c r="X22" s="1"/>
  <c r="R24"/>
  <c r="X73"/>
  <c r="W74"/>
  <c r="W15" s="1"/>
  <c r="G83"/>
  <c r="L109"/>
  <c r="O109" s="1"/>
  <c r="V117"/>
  <c r="U117" s="1"/>
  <c r="F165"/>
  <c r="D165" s="1"/>
  <c r="W164"/>
  <c r="W163" s="1"/>
  <c r="W116" s="1"/>
  <c r="R175"/>
  <c r="D224"/>
  <c r="G231"/>
  <c r="X231" s="1"/>
  <c r="I258"/>
  <c r="D273"/>
  <c r="R310"/>
  <c r="J365"/>
  <c r="M365" s="1"/>
  <c r="D372"/>
  <c r="O337" i="64"/>
  <c r="X111" i="60"/>
  <c r="G106" i="62"/>
  <c r="N322"/>
  <c r="G236" i="61"/>
  <c r="M236" s="1"/>
  <c r="O179"/>
  <c r="G337" i="64"/>
  <c r="X337" s="1"/>
  <c r="X202"/>
  <c r="Z120" i="43"/>
  <c r="Q34"/>
  <c r="L223" i="51"/>
  <c r="AA44"/>
  <c r="AA37"/>
  <c r="U30" i="52"/>
  <c r="Q95" i="55"/>
  <c r="Q71"/>
  <c r="T114" i="54"/>
  <c r="T40"/>
  <c r="O278" i="57"/>
  <c r="N170"/>
  <c r="X121"/>
  <c r="V80"/>
  <c r="V79" s="1"/>
  <c r="V78" s="1"/>
  <c r="X60"/>
  <c r="M58"/>
  <c r="G278"/>
  <c r="M278" s="1"/>
  <c r="G320"/>
  <c r="X320" s="1"/>
  <c r="M36"/>
  <c r="K22" i="58"/>
  <c r="J79"/>
  <c r="J208"/>
  <c r="J166"/>
  <c r="J171"/>
  <c r="J175"/>
  <c r="J202"/>
  <c r="X212" i="57"/>
  <c r="X106"/>
  <c r="M279"/>
  <c r="S20" i="60"/>
  <c r="R20" s="1"/>
  <c r="D25"/>
  <c r="U25"/>
  <c r="R45"/>
  <c r="R76"/>
  <c r="G80"/>
  <c r="R80"/>
  <c r="X130"/>
  <c r="X133"/>
  <c r="G92"/>
  <c r="X92" s="1"/>
  <c r="R33" i="61"/>
  <c r="R36"/>
  <c r="T75"/>
  <c r="R78"/>
  <c r="F204"/>
  <c r="D350"/>
  <c r="U371"/>
  <c r="R375"/>
  <c r="U40" i="62"/>
  <c r="G43"/>
  <c r="X43" s="1"/>
  <c r="I74"/>
  <c r="G107"/>
  <c r="X107" s="1"/>
  <c r="P91"/>
  <c r="P74" s="1"/>
  <c r="U107"/>
  <c r="R109"/>
  <c r="G151"/>
  <c r="X151" s="1"/>
  <c r="G162"/>
  <c r="X162" s="1"/>
  <c r="D167"/>
  <c r="X167" s="1"/>
  <c r="G173"/>
  <c r="X173" s="1"/>
  <c r="D179"/>
  <c r="X179" s="1"/>
  <c r="J185"/>
  <c r="G204"/>
  <c r="J221"/>
  <c r="M221" s="1"/>
  <c r="G237"/>
  <c r="D242"/>
  <c r="X242" s="1"/>
  <c r="J259"/>
  <c r="G264"/>
  <c r="D269"/>
  <c r="R276"/>
  <c r="G281"/>
  <c r="X281" s="1"/>
  <c r="M326"/>
  <c r="M100" i="61"/>
  <c r="M180" i="64"/>
  <c r="I179"/>
  <c r="I127" s="1"/>
  <c r="O127" s="1"/>
  <c r="G201"/>
  <c r="M201" s="1"/>
  <c r="J127"/>
  <c r="G101"/>
  <c r="M101" s="1"/>
  <c r="O101"/>
  <c r="M279"/>
  <c r="X279"/>
  <c r="X206"/>
  <c r="M206"/>
  <c r="H80"/>
  <c r="G81"/>
  <c r="I402"/>
  <c r="O402" s="1"/>
  <c r="O92"/>
  <c r="I80"/>
  <c r="I403"/>
  <c r="O403" s="1"/>
  <c r="O404"/>
  <c r="M128"/>
  <c r="M92"/>
  <c r="R14"/>
  <c r="S13"/>
  <c r="M264"/>
  <c r="X264"/>
  <c r="N408"/>
  <c r="J315"/>
  <c r="L13"/>
  <c r="L12" s="1"/>
  <c r="U80"/>
  <c r="V14"/>
  <c r="H127"/>
  <c r="M341"/>
  <c r="H315"/>
  <c r="G315" s="1"/>
  <c r="X315" s="1"/>
  <c r="O400"/>
  <c r="A45"/>
  <c r="A46" s="1"/>
  <c r="A44"/>
  <c r="N367"/>
  <c r="J367"/>
  <c r="M367" s="1"/>
  <c r="X93"/>
  <c r="N179"/>
  <c r="K13"/>
  <c r="K12" s="1"/>
  <c r="J14"/>
  <c r="J400"/>
  <c r="J80"/>
  <c r="M102"/>
  <c r="X102"/>
  <c r="F14"/>
  <c r="N337"/>
  <c r="E80" i="61"/>
  <c r="G63"/>
  <c r="G216"/>
  <c r="G226"/>
  <c r="G230"/>
  <c r="U21"/>
  <c r="U29"/>
  <c r="X352"/>
  <c r="M259"/>
  <c r="G277"/>
  <c r="G69"/>
  <c r="I262"/>
  <c r="U166"/>
  <c r="S178"/>
  <c r="P166"/>
  <c r="J273"/>
  <c r="G154"/>
  <c r="O231"/>
  <c r="G269"/>
  <c r="Q166"/>
  <c r="I204"/>
  <c r="O205"/>
  <c r="N105"/>
  <c r="M45"/>
  <c r="F64"/>
  <c r="U78"/>
  <c r="W178"/>
  <c r="W177" s="1"/>
  <c r="R183"/>
  <c r="M187"/>
  <c r="V178"/>
  <c r="V177" s="1"/>
  <c r="D248"/>
  <c r="X337"/>
  <c r="R267"/>
  <c r="R199" s="1"/>
  <c r="D242"/>
  <c r="D245"/>
  <c r="D265"/>
  <c r="D302"/>
  <c r="G28"/>
  <c r="X28" s="1"/>
  <c r="I267"/>
  <c r="O267" s="1"/>
  <c r="D96"/>
  <c r="L92"/>
  <c r="J92" s="1"/>
  <c r="R61"/>
  <c r="O123"/>
  <c r="D367"/>
  <c r="J367"/>
  <c r="M367" s="1"/>
  <c r="U367"/>
  <c r="R369"/>
  <c r="H366"/>
  <c r="X69"/>
  <c r="M108"/>
  <c r="H267"/>
  <c r="G262"/>
  <c r="X262" s="1"/>
  <c r="N16"/>
  <c r="D19"/>
  <c r="X37"/>
  <c r="R328"/>
  <c r="D330"/>
  <c r="J330"/>
  <c r="J33"/>
  <c r="D297"/>
  <c r="F202"/>
  <c r="F403" s="1"/>
  <c r="G88"/>
  <c r="G129"/>
  <c r="G139"/>
  <c r="G142"/>
  <c r="G145"/>
  <c r="G159"/>
  <c r="G167"/>
  <c r="G130"/>
  <c r="G143"/>
  <c r="G147"/>
  <c r="O194"/>
  <c r="D205"/>
  <c r="N227"/>
  <c r="N263"/>
  <c r="G289"/>
  <c r="N179"/>
  <c r="A20"/>
  <c r="A25"/>
  <c r="I99"/>
  <c r="F93"/>
  <c r="O105"/>
  <c r="J217"/>
  <c r="G18"/>
  <c r="X63"/>
  <c r="G162"/>
  <c r="X162" s="1"/>
  <c r="I242"/>
  <c r="G253"/>
  <c r="X253" s="1"/>
  <c r="G256"/>
  <c r="X256" s="1"/>
  <c r="G260"/>
  <c r="G287"/>
  <c r="X287" s="1"/>
  <c r="I290"/>
  <c r="I297"/>
  <c r="G390"/>
  <c r="M124"/>
  <c r="D123"/>
  <c r="D115"/>
  <c r="G278"/>
  <c r="M164"/>
  <c r="M263"/>
  <c r="M60"/>
  <c r="L75"/>
  <c r="L15" s="1"/>
  <c r="D58"/>
  <c r="X59"/>
  <c r="X54"/>
  <c r="R50"/>
  <c r="U47"/>
  <c r="X40"/>
  <c r="N33"/>
  <c r="T15"/>
  <c r="M346"/>
  <c r="L122"/>
  <c r="O122" s="1"/>
  <c r="J123"/>
  <c r="D109"/>
  <c r="J98"/>
  <c r="D290"/>
  <c r="G274"/>
  <c r="M274" s="1"/>
  <c r="G218"/>
  <c r="I217"/>
  <c r="H217"/>
  <c r="D214"/>
  <c r="G214"/>
  <c r="G212"/>
  <c r="H207"/>
  <c r="N207" s="1"/>
  <c r="X51"/>
  <c r="G104"/>
  <c r="M104" s="1"/>
  <c r="G34"/>
  <c r="O115"/>
  <c r="G115"/>
  <c r="X115" s="1"/>
  <c r="G25"/>
  <c r="X25" s="1"/>
  <c r="D105"/>
  <c r="J128"/>
  <c r="G156"/>
  <c r="X156" s="1"/>
  <c r="D194"/>
  <c r="X195"/>
  <c r="G189"/>
  <c r="X390"/>
  <c r="G389"/>
  <c r="X389" s="1"/>
  <c r="G42"/>
  <c r="X42" s="1"/>
  <c r="O42"/>
  <c r="N244"/>
  <c r="D50"/>
  <c r="V15"/>
  <c r="I254"/>
  <c r="G254" s="1"/>
  <c r="M277"/>
  <c r="G117"/>
  <c r="X117" s="1"/>
  <c r="R123"/>
  <c r="G343"/>
  <c r="X343" s="1"/>
  <c r="G298"/>
  <c r="X298" s="1"/>
  <c r="M206"/>
  <c r="T127"/>
  <c r="R115"/>
  <c r="X45"/>
  <c r="J36"/>
  <c r="S314"/>
  <c r="S313" s="1"/>
  <c r="J87"/>
  <c r="M87" s="1"/>
  <c r="O292"/>
  <c r="H270"/>
  <c r="N270" s="1"/>
  <c r="D31"/>
  <c r="G168"/>
  <c r="X168" s="1"/>
  <c r="G205"/>
  <c r="J302"/>
  <c r="M302" s="1"/>
  <c r="G57"/>
  <c r="X57" s="1"/>
  <c r="N384"/>
  <c r="F41"/>
  <c r="I41" s="1"/>
  <c r="O41" s="1"/>
  <c r="I222"/>
  <c r="K283"/>
  <c r="N283" s="1"/>
  <c r="G180"/>
  <c r="X180" s="1"/>
  <c r="F33"/>
  <c r="I33" s="1"/>
  <c r="R58"/>
  <c r="G61"/>
  <c r="R64"/>
  <c r="V127"/>
  <c r="D181"/>
  <c r="U183"/>
  <c r="O274"/>
  <c r="O287"/>
  <c r="G151"/>
  <c r="H238"/>
  <c r="H257"/>
  <c r="H261"/>
  <c r="N261" s="1"/>
  <c r="G265"/>
  <c r="M116"/>
  <c r="M169"/>
  <c r="L234"/>
  <c r="J234" s="1"/>
  <c r="M121"/>
  <c r="M352"/>
  <c r="L402"/>
  <c r="J341"/>
  <c r="M341" s="1"/>
  <c r="J233"/>
  <c r="N388"/>
  <c r="X296"/>
  <c r="M235"/>
  <c r="D56"/>
  <c r="R102"/>
  <c r="R101" s="1"/>
  <c r="S75"/>
  <c r="Q178"/>
  <c r="U199"/>
  <c r="G250"/>
  <c r="M250" s="1"/>
  <c r="H98"/>
  <c r="N98" s="1"/>
  <c r="G266"/>
  <c r="X266" s="1"/>
  <c r="X275"/>
  <c r="E383"/>
  <c r="D383" s="1"/>
  <c r="J358"/>
  <c r="O236"/>
  <c r="X65"/>
  <c r="D380"/>
  <c r="F122"/>
  <c r="D122" s="1"/>
  <c r="F314"/>
  <c r="F313" s="1"/>
  <c r="F207"/>
  <c r="J41"/>
  <c r="F43"/>
  <c r="I43" s="1"/>
  <c r="G43" s="1"/>
  <c r="R109"/>
  <c r="U332"/>
  <c r="X376"/>
  <c r="K127"/>
  <c r="N127" s="1"/>
  <c r="H286"/>
  <c r="N286" s="1"/>
  <c r="L111"/>
  <c r="O111" s="1"/>
  <c r="M163"/>
  <c r="N285"/>
  <c r="D111"/>
  <c r="D47"/>
  <c r="O256"/>
  <c r="I286"/>
  <c r="O286" s="1"/>
  <c r="D120"/>
  <c r="U194"/>
  <c r="N330"/>
  <c r="X350"/>
  <c r="G285"/>
  <c r="X285" s="1"/>
  <c r="O380"/>
  <c r="J371"/>
  <c r="M371" s="1"/>
  <c r="D44"/>
  <c r="O85"/>
  <c r="R85"/>
  <c r="D179"/>
  <c r="X307"/>
  <c r="X319"/>
  <c r="O217"/>
  <c r="G152"/>
  <c r="G186"/>
  <c r="M287"/>
  <c r="N211"/>
  <c r="N273"/>
  <c r="G110"/>
  <c r="X110" s="1"/>
  <c r="G138"/>
  <c r="G148"/>
  <c r="G150"/>
  <c r="X150" s="1"/>
  <c r="I238"/>
  <c r="O238" s="1"/>
  <c r="N115"/>
  <c r="U128"/>
  <c r="J348"/>
  <c r="M348" s="1"/>
  <c r="D375"/>
  <c r="X375" s="1"/>
  <c r="G371"/>
  <c r="X372"/>
  <c r="O89"/>
  <c r="J257"/>
  <c r="J300"/>
  <c r="J181"/>
  <c r="J398"/>
  <c r="O94"/>
  <c r="O402" s="1"/>
  <c r="M402" s="1"/>
  <c r="J94"/>
  <c r="J96"/>
  <c r="O294"/>
  <c r="N245"/>
  <c r="J223"/>
  <c r="J211"/>
  <c r="M309"/>
  <c r="J276"/>
  <c r="G328"/>
  <c r="D315"/>
  <c r="I315"/>
  <c r="N89"/>
  <c r="G190" i="62"/>
  <c r="M190" s="1"/>
  <c r="O190"/>
  <c r="AA234" i="51"/>
  <c r="Q234"/>
  <c r="AA224" i="47"/>
  <c r="L224"/>
  <c r="Z70" i="45"/>
  <c r="L70"/>
  <c r="H14" i="31"/>
  <c r="N18"/>
  <c r="R144" i="44"/>
  <c r="G88"/>
  <c r="Q168" i="45"/>
  <c r="AA168"/>
  <c r="R254"/>
  <c r="F254"/>
  <c r="AA254" s="1"/>
  <c r="O136" i="59"/>
  <c r="L137"/>
  <c r="Z82" i="45"/>
  <c r="Q82"/>
  <c r="K16" i="42"/>
  <c r="I17"/>
  <c r="AA150" i="45"/>
  <c r="Q150"/>
  <c r="E14" i="57"/>
  <c r="S91" i="62"/>
  <c r="R91" s="1"/>
  <c r="R95"/>
  <c r="M205" i="61"/>
  <c r="X205"/>
  <c r="O284"/>
  <c r="G77" i="62"/>
  <c r="H74"/>
  <c r="Z250" i="42"/>
  <c r="Q250"/>
  <c r="D29" i="26"/>
  <c r="Q32"/>
  <c r="J13" i="43"/>
  <c r="AA82" i="45"/>
  <c r="J14" i="55"/>
  <c r="M144" i="44"/>
  <c r="J140" i="59"/>
  <c r="M140" s="1"/>
  <c r="N140"/>
  <c r="I18" i="28"/>
  <c r="Z163" i="44"/>
  <c r="L163"/>
  <c r="F18" i="31"/>
  <c r="L18" s="1"/>
  <c r="M18"/>
  <c r="G14"/>
  <c r="G13" s="1"/>
  <c r="G12" s="1"/>
  <c r="G166" s="1"/>
  <c r="I203" i="47"/>
  <c r="M203"/>
  <c r="G216" i="37"/>
  <c r="M217"/>
  <c r="M239" s="1"/>
  <c r="L239" s="1"/>
  <c r="AC224" i="47"/>
  <c r="H223"/>
  <c r="S224"/>
  <c r="O184" i="57"/>
  <c r="N217" i="33"/>
  <c r="N239" s="1"/>
  <c r="G217"/>
  <c r="P217" s="1"/>
  <c r="H216"/>
  <c r="I50" i="54"/>
  <c r="L50" s="1"/>
  <c r="S219" i="41"/>
  <c r="N219"/>
  <c r="N241" s="1"/>
  <c r="E204" i="44"/>
  <c r="C204" s="1"/>
  <c r="C224"/>
  <c r="M89" i="62"/>
  <c r="X89"/>
  <c r="R117"/>
  <c r="T116"/>
  <c r="I89" i="38"/>
  <c r="R89" s="1"/>
  <c r="Q74" i="44"/>
  <c r="L74"/>
  <c r="AA74"/>
  <c r="G117" i="52"/>
  <c r="I116"/>
  <c r="R173" i="43"/>
  <c r="F173"/>
  <c r="F16" i="34"/>
  <c r="G15"/>
  <c r="R163" i="47"/>
  <c r="M163"/>
  <c r="D15"/>
  <c r="D14" s="1"/>
  <c r="D13" s="1"/>
  <c r="D12" s="1"/>
  <c r="D252"/>
  <c r="E287" i="62"/>
  <c r="D309"/>
  <c r="C108" i="32"/>
  <c r="N15" i="20"/>
  <c r="I15"/>
  <c r="L15" s="1"/>
  <c r="K14"/>
  <c r="N14" s="1"/>
  <c r="O256" i="57"/>
  <c r="G256"/>
  <c r="D78" i="32"/>
  <c r="Z234" i="51"/>
  <c r="D323" i="57"/>
  <c r="S250" i="42"/>
  <c r="P15" i="34"/>
  <c r="O224" i="62"/>
  <c r="G224"/>
  <c r="X217"/>
  <c r="H15"/>
  <c r="I17" i="37"/>
  <c r="L17" s="1"/>
  <c r="J16"/>
  <c r="J388" i="61"/>
  <c r="J387" s="1"/>
  <c r="M389"/>
  <c r="L217" i="37"/>
  <c r="H204" i="45"/>
  <c r="AB204" s="1"/>
  <c r="Q70"/>
  <c r="Z224" i="47"/>
  <c r="Z168" i="45"/>
  <c r="Q163" i="44"/>
  <c r="J115" i="52"/>
  <c r="M115" s="1"/>
  <c r="Q86" i="43"/>
  <c r="N50" i="54"/>
  <c r="AB225" i="44"/>
  <c r="H224"/>
  <c r="N225"/>
  <c r="N250" s="1"/>
  <c r="J234" i="52"/>
  <c r="C88" i="45"/>
  <c r="D87"/>
  <c r="J227" i="38"/>
  <c r="K206"/>
  <c r="F179" i="34"/>
  <c r="O179"/>
  <c r="O184" s="1"/>
  <c r="H212" i="62"/>
  <c r="H185"/>
  <c r="G144" i="40"/>
  <c r="M177"/>
  <c r="F177"/>
  <c r="F91" i="24"/>
  <c r="E80"/>
  <c r="P85" i="58"/>
  <c r="S85" s="1"/>
  <c r="T85"/>
  <c r="Q188" i="42"/>
  <c r="Z188"/>
  <c r="J14"/>
  <c r="J13" s="1"/>
  <c r="I88"/>
  <c r="H77" i="34"/>
  <c r="P78"/>
  <c r="U74" i="62"/>
  <c r="V15"/>
  <c r="U15" s="1"/>
  <c r="D17" i="37"/>
  <c r="P71"/>
  <c r="D240"/>
  <c r="J45" i="31"/>
  <c r="I67"/>
  <c r="L67" s="1"/>
  <c r="AA239" i="51"/>
  <c r="Q239"/>
  <c r="X132" i="60"/>
  <c r="M132"/>
  <c r="O269" i="62"/>
  <c r="G269"/>
  <c r="I186"/>
  <c r="G193"/>
  <c r="D74"/>
  <c r="E15"/>
  <c r="E248" i="40"/>
  <c r="C249"/>
  <c r="R81" i="42"/>
  <c r="D70"/>
  <c r="D16" i="43"/>
  <c r="G155" i="34"/>
  <c r="O193" i="62"/>
  <c r="G340"/>
  <c r="X340" s="1"/>
  <c r="J196" i="51"/>
  <c r="M214"/>
  <c r="I215" i="62"/>
  <c r="O215" s="1"/>
  <c r="I15" i="44"/>
  <c r="X108" i="61"/>
  <c r="K378" i="62"/>
  <c r="N378" s="1"/>
  <c r="K339"/>
  <c r="X31"/>
  <c r="D186"/>
  <c r="U117" i="57"/>
  <c r="N224" i="45"/>
  <c r="AA70"/>
  <c r="O88" i="52"/>
  <c r="Z150" i="45"/>
  <c r="G224" i="44"/>
  <c r="P217" i="37"/>
  <c r="Q217" i="33"/>
  <c r="L163" i="47"/>
  <c r="Q163"/>
  <c r="L218" i="37"/>
  <c r="O218"/>
  <c r="E198" i="41"/>
  <c r="S218"/>
  <c r="S250" s="1"/>
  <c r="X216" i="62"/>
  <c r="M216"/>
  <c r="N17" i="41"/>
  <c r="D16"/>
  <c r="D31" i="57"/>
  <c r="X31" s="1"/>
  <c r="F15"/>
  <c r="G128"/>
  <c r="L77" i="45"/>
  <c r="Z77"/>
  <c r="AA77"/>
  <c r="Q77"/>
  <c r="C45" i="31"/>
  <c r="E44"/>
  <c r="G240" i="37"/>
  <c r="P218"/>
  <c r="M218"/>
  <c r="M240" s="1"/>
  <c r="L240" s="1"/>
  <c r="Q222" i="45"/>
  <c r="Z222"/>
  <c r="Q58" i="42"/>
  <c r="Z58"/>
  <c r="S85"/>
  <c r="H83"/>
  <c r="F83" s="1"/>
  <c r="C73" i="45"/>
  <c r="E69"/>
  <c r="AB73"/>
  <c r="S73"/>
  <c r="F226"/>
  <c r="AA226" s="1"/>
  <c r="G225"/>
  <c r="L44" i="42"/>
  <c r="Q44"/>
  <c r="M170"/>
  <c r="F170"/>
  <c r="G144"/>
  <c r="R170"/>
  <c r="Q193" i="44"/>
  <c r="L193"/>
  <c r="AA85" i="58"/>
  <c r="AB71"/>
  <c r="F241" i="37"/>
  <c r="Q241"/>
  <c r="Q33" i="42"/>
  <c r="Z33"/>
  <c r="L216" i="33"/>
  <c r="J217"/>
  <c r="M217" s="1"/>
  <c r="O217"/>
  <c r="O239" s="1"/>
  <c r="L89" i="38"/>
  <c r="J90"/>
  <c r="L14"/>
  <c r="J16" i="41"/>
  <c r="I17"/>
  <c r="X95" i="62"/>
  <c r="M16" i="22"/>
  <c r="X133" i="62"/>
  <c r="X52" i="60"/>
  <c r="O212" i="37"/>
  <c r="AA81" i="44"/>
  <c r="Z81"/>
  <c r="K122" i="54"/>
  <c r="N126"/>
  <c r="Q25" i="51"/>
  <c r="Z25"/>
  <c r="L145" i="44"/>
  <c r="Z145"/>
  <c r="AA145"/>
  <c r="AC251" i="47"/>
  <c r="F251"/>
  <c r="M222" i="62"/>
  <c r="X222"/>
  <c r="X92"/>
  <c r="L309"/>
  <c r="L91"/>
  <c r="L374" s="1"/>
  <c r="J95"/>
  <c r="M95" s="1"/>
  <c r="O95"/>
  <c r="R289"/>
  <c r="S288"/>
  <c r="S287" s="1"/>
  <c r="C82" i="44"/>
  <c r="R82"/>
  <c r="U91" i="62"/>
  <c r="U82" i="61"/>
  <c r="O242"/>
  <c r="R379"/>
  <c r="Q203" i="42"/>
  <c r="I247"/>
  <c r="L379" i="62"/>
  <c r="J204" i="45"/>
  <c r="C87" i="47"/>
  <c r="H144" i="43"/>
  <c r="F166"/>
  <c r="Q166" s="1"/>
  <c r="F156" i="54"/>
  <c r="I60" i="20"/>
  <c r="L60" s="1"/>
  <c r="J59"/>
  <c r="L174" i="47"/>
  <c r="Z174"/>
  <c r="R164" i="62"/>
  <c r="S163"/>
  <c r="S116" s="1"/>
  <c r="R116" s="1"/>
  <c r="X260"/>
  <c r="M260"/>
  <c r="Q130" i="51"/>
  <c r="AA130"/>
  <c r="Z158" i="43"/>
  <c r="Q158"/>
  <c r="Z101" i="42"/>
  <c r="Q101"/>
  <c r="S149" i="40"/>
  <c r="F149"/>
  <c r="Q149" s="1"/>
  <c r="H249"/>
  <c r="F249" s="1"/>
  <c r="H144"/>
  <c r="R165" i="45"/>
  <c r="F165"/>
  <c r="R201" i="40"/>
  <c r="M201"/>
  <c r="F201"/>
  <c r="Q187" i="44"/>
  <c r="Z187"/>
  <c r="AA169" i="45"/>
  <c r="Q169"/>
  <c r="Z169"/>
  <c r="J116" i="59"/>
  <c r="M116" s="1"/>
  <c r="M117"/>
  <c r="H29" i="20"/>
  <c r="F29" s="1"/>
  <c r="F53"/>
  <c r="D376" i="62"/>
  <c r="X221"/>
  <c r="X33"/>
  <c r="D377"/>
  <c r="M350" i="61"/>
  <c r="L145" i="42"/>
  <c r="Z186" i="45"/>
  <c r="O42" i="60"/>
  <c r="M179" i="62"/>
  <c r="F183"/>
  <c r="Z68" i="47"/>
  <c r="J111" i="61"/>
  <c r="M358"/>
  <c r="D382"/>
  <c r="Z83" i="47"/>
  <c r="O93" i="57"/>
  <c r="U339" i="62"/>
  <c r="O241" i="37"/>
  <c r="O17" i="33"/>
  <c r="F70" i="44"/>
  <c r="Z70" s="1"/>
  <c r="X70" i="60"/>
  <c r="V30"/>
  <c r="U30" s="1"/>
  <c r="AC161" i="47"/>
  <c r="H143"/>
  <c r="S143" s="1"/>
  <c r="AA164" i="44"/>
  <c r="Z164"/>
  <c r="Q164"/>
  <c r="Q199"/>
  <c r="AA199"/>
  <c r="M97" i="60"/>
  <c r="AA235" i="47"/>
  <c r="Z235"/>
  <c r="H36" i="28"/>
  <c r="N36" s="1"/>
  <c r="N41"/>
  <c r="Q61" i="44"/>
  <c r="AA61"/>
  <c r="Z66" i="51"/>
  <c r="AA66"/>
  <c r="N16" i="32"/>
  <c r="K15"/>
  <c r="L198" i="43"/>
  <c r="Z198"/>
  <c r="Q198"/>
  <c r="F144" i="45"/>
  <c r="K30" i="60"/>
  <c r="X96"/>
  <c r="AA167" i="45"/>
  <c r="X128" i="62"/>
  <c r="X128" i="57"/>
  <c r="O28" i="37"/>
  <c r="AA168" i="47"/>
  <c r="F229" i="44"/>
  <c r="Q71" i="41"/>
  <c r="H103" i="62"/>
  <c r="G103" s="1"/>
  <c r="L163"/>
  <c r="O59"/>
  <c r="G59"/>
  <c r="M59" s="1"/>
  <c r="F379"/>
  <c r="D379" s="1"/>
  <c r="D153"/>
  <c r="I153"/>
  <c r="X54"/>
  <c r="N142" i="41"/>
  <c r="Z22" i="47"/>
  <c r="AA22"/>
  <c r="I51" i="55"/>
  <c r="L51" s="1"/>
  <c r="K50"/>
  <c r="N51"/>
  <c r="C199" i="41"/>
  <c r="S199"/>
  <c r="M224" i="40"/>
  <c r="F224"/>
  <c r="E76" i="8"/>
  <c r="E80"/>
  <c r="F77"/>
  <c r="L202" i="47"/>
  <c r="Q202"/>
  <c r="D158" i="32"/>
  <c r="O159"/>
  <c r="E33" i="10"/>
  <c r="E15" s="1"/>
  <c r="M222" i="42"/>
  <c r="G202"/>
  <c r="AB222" i="44"/>
  <c r="F222"/>
  <c r="S222"/>
  <c r="H205"/>
  <c r="X199" i="57"/>
  <c r="F98" i="26"/>
  <c r="F61" s="1"/>
  <c r="G102"/>
  <c r="L181" i="32"/>
  <c r="N180"/>
  <c r="L180" s="1"/>
  <c r="P59" i="33"/>
  <c r="H117" i="62"/>
  <c r="J183"/>
  <c r="L72" i="40"/>
  <c r="Q72"/>
  <c r="D281" i="57"/>
  <c r="E277"/>
  <c r="D277" s="1"/>
  <c r="S198" i="43"/>
  <c r="N198"/>
  <c r="E16" i="28"/>
  <c r="E18"/>
  <c r="I24" i="20"/>
  <c r="L24" s="1"/>
  <c r="J14"/>
  <c r="AB75" i="44"/>
  <c r="S75"/>
  <c r="F75"/>
  <c r="Q173"/>
  <c r="AA173"/>
  <c r="L90" i="42"/>
  <c r="Q90"/>
  <c r="Z41" i="47"/>
  <c r="Z245"/>
  <c r="AA245"/>
  <c r="F149" i="43"/>
  <c r="H249"/>
  <c r="C181" i="34"/>
  <c r="E180"/>
  <c r="C180" s="1"/>
  <c r="Z26" i="44"/>
  <c r="Q26"/>
  <c r="N78"/>
  <c r="AB78"/>
  <c r="S78"/>
  <c r="R223" i="40"/>
  <c r="F165"/>
  <c r="Q165" s="1"/>
  <c r="S165"/>
  <c r="Q130" i="26"/>
  <c r="E119"/>
  <c r="Q119" s="1"/>
  <c r="Q40" i="42"/>
  <c r="Q71" i="26"/>
  <c r="E23"/>
  <c r="Q23" s="1"/>
  <c r="E63"/>
  <c r="Q63" s="1"/>
  <c r="X114" i="62"/>
  <c r="X161" i="57"/>
  <c r="E179" i="32"/>
  <c r="N243" i="41"/>
  <c r="X102" i="62"/>
  <c r="D365"/>
  <c r="X365" s="1"/>
  <c r="X366"/>
  <c r="X315"/>
  <c r="M315"/>
  <c r="X158"/>
  <c r="Z90" i="42"/>
  <c r="F165" i="57"/>
  <c r="D166"/>
  <c r="G104" i="60"/>
  <c r="O104"/>
  <c r="O104" i="57"/>
  <c r="E184"/>
  <c r="E338"/>
  <c r="D338" s="1"/>
  <c r="Z86" i="44"/>
  <c r="Q86"/>
  <c r="P214" i="33"/>
  <c r="H18" i="22"/>
  <c r="N18" s="1"/>
  <c r="H16"/>
  <c r="N16" s="1"/>
  <c r="F244" i="45"/>
  <c r="S244"/>
  <c r="K13" i="37"/>
  <c r="N215" i="51"/>
  <c r="K214"/>
  <c r="I214" s="1"/>
  <c r="L214" s="1"/>
  <c r="L72" i="58"/>
  <c r="Z159" i="43"/>
  <c r="L159"/>
  <c r="Q245" i="45"/>
  <c r="AA245"/>
  <c r="Q180"/>
  <c r="Z180"/>
  <c r="L180"/>
  <c r="AA180"/>
  <c r="L251" i="40"/>
  <c r="Z139" i="42"/>
  <c r="Q139"/>
  <c r="I88" i="44"/>
  <c r="J87"/>
  <c r="I87" s="1"/>
  <c r="Q100" i="43"/>
  <c r="Z100"/>
  <c r="Q228" i="41"/>
  <c r="L228"/>
  <c r="R253" i="38"/>
  <c r="L73" i="47"/>
  <c r="AA73"/>
  <c r="Q73"/>
  <c r="F15" i="59"/>
  <c r="D65" i="26"/>
  <c r="D61" s="1"/>
  <c r="D15" i="20"/>
  <c r="C17"/>
  <c r="D102" i="61"/>
  <c r="J353" i="62"/>
  <c r="M353" s="1"/>
  <c r="X41"/>
  <c r="X69"/>
  <c r="L306" i="57"/>
  <c r="J110"/>
  <c r="M110" s="1"/>
  <c r="M155" i="54"/>
  <c r="Q193" i="43"/>
  <c r="AA32" i="44"/>
  <c r="Z218"/>
  <c r="X142" i="60"/>
  <c r="G21"/>
  <c r="X21" s="1"/>
  <c r="Z72" i="45"/>
  <c r="AA72"/>
  <c r="K158" i="34"/>
  <c r="J227" i="52"/>
  <c r="AA243" i="45"/>
  <c r="R14" i="36"/>
  <c r="AA164" i="51"/>
  <c r="L248" i="43"/>
  <c r="Q175" i="47"/>
  <c r="AA184" i="44"/>
  <c r="AB173" i="47"/>
  <c r="G71" i="40"/>
  <c r="R202" i="47"/>
  <c r="U73" i="57"/>
  <c r="J76" i="52"/>
  <c r="J75" s="1"/>
  <c r="J74" s="1"/>
  <c r="V277" i="57"/>
  <c r="V255" s="1"/>
  <c r="U255" s="1"/>
  <c r="W12"/>
  <c r="T78"/>
  <c r="T14" s="1"/>
  <c r="T13" s="1"/>
  <c r="R80"/>
  <c r="R79" s="1"/>
  <c r="Q89" i="45"/>
  <c r="L88" i="47"/>
  <c r="C225" i="45"/>
  <c r="Z67" i="51"/>
  <c r="Z218" i="45"/>
  <c r="M53" i="20"/>
  <c r="I144" i="45"/>
  <c r="Z151" i="47"/>
  <c r="Q102" i="42"/>
  <c r="Q19" i="55"/>
  <c r="O74" i="52"/>
  <c r="I253" i="47"/>
  <c r="L79" i="45"/>
  <c r="Z190" i="44"/>
  <c r="J236" i="52"/>
  <c r="M236" s="1"/>
  <c r="AB73" i="47"/>
  <c r="L72" i="44"/>
  <c r="H251"/>
  <c r="AA81" i="47"/>
  <c r="Q164" i="51"/>
  <c r="Q243" i="42"/>
  <c r="Z192" i="45"/>
  <c r="M87" i="40"/>
  <c r="AB182" i="45"/>
  <c r="AA189" i="44"/>
  <c r="AB170" i="45"/>
  <c r="I179" i="34"/>
  <c r="N83" i="44"/>
  <c r="R85"/>
  <c r="Q233" i="45"/>
  <c r="AB65" i="51"/>
  <c r="Q192" i="40"/>
  <c r="Z21" i="47"/>
  <c r="H90" i="37"/>
  <c r="U204" i="52"/>
  <c r="F59" i="34"/>
  <c r="I145" i="33"/>
  <c r="J59" i="32"/>
  <c r="I223" i="42"/>
  <c r="J74" i="28"/>
  <c r="R243" i="33"/>
  <c r="J31" i="58"/>
  <c r="J69"/>
  <c r="J25"/>
  <c r="J38"/>
  <c r="AC71"/>
  <c r="J201"/>
  <c r="J98"/>
  <c r="J165"/>
  <c r="F116" i="9"/>
  <c r="D71"/>
  <c r="D70" s="1"/>
  <c r="D15" s="1"/>
  <c r="D11" s="1"/>
  <c r="C34" i="10"/>
  <c r="C33" s="1"/>
  <c r="F33" s="1"/>
  <c r="Q72" i="26"/>
  <c r="F31" i="20"/>
  <c r="I19"/>
  <c r="K74"/>
  <c r="L33" i="22"/>
  <c r="F76" i="28"/>
  <c r="M76"/>
  <c r="L76" s="1"/>
  <c r="D79" i="24"/>
  <c r="L32" i="25"/>
  <c r="X339" i="57"/>
  <c r="K334"/>
  <c r="U127" i="52"/>
  <c r="Z141" i="43"/>
  <c r="M84"/>
  <c r="P54" i="33"/>
  <c r="Z80" i="42"/>
  <c r="L175" i="47"/>
  <c r="R173"/>
  <c r="M74" i="44"/>
  <c r="Q202" i="45"/>
  <c r="D61" i="51"/>
  <c r="AA137" i="47"/>
  <c r="D73" i="57"/>
  <c r="X59"/>
  <c r="F136" i="59"/>
  <c r="F137" s="1"/>
  <c r="F13" s="1"/>
  <c r="Q88" i="47"/>
  <c r="AA57"/>
  <c r="Q190" i="44"/>
  <c r="R79" i="43"/>
  <c r="Q238" i="47"/>
  <c r="Q184" i="43"/>
  <c r="M72" i="40"/>
  <c r="Z237" i="47"/>
  <c r="Q137"/>
  <c r="Z22" i="43"/>
  <c r="L159" i="45"/>
  <c r="N74" i="52"/>
  <c r="AB70" i="44"/>
  <c r="N241" i="33"/>
  <c r="M241" s="1"/>
  <c r="R170" i="47"/>
  <c r="L21"/>
  <c r="N205" i="45"/>
  <c r="AC70" i="51"/>
  <c r="F169" i="43"/>
  <c r="Z169" s="1"/>
  <c r="AA192" i="45"/>
  <c r="Z192" i="47"/>
  <c r="AB187"/>
  <c r="G86" i="40"/>
  <c r="G83"/>
  <c r="Z241" i="44"/>
  <c r="AB149" i="45"/>
  <c r="L34" i="44"/>
  <c r="AA206"/>
  <c r="AA69" i="51"/>
  <c r="M159" i="34"/>
  <c r="AA233" i="45"/>
  <c r="Z179"/>
  <c r="M203" i="44"/>
  <c r="N170" i="45"/>
  <c r="AA21" i="47"/>
  <c r="Z151" i="43"/>
  <c r="T39" i="54"/>
  <c r="Q45" i="55"/>
  <c r="F175" i="43"/>
  <c r="I237" i="52"/>
  <c r="G237" s="1"/>
  <c r="U237" s="1"/>
  <c r="F188" i="45"/>
  <c r="C216" i="37"/>
  <c r="Z171" i="42"/>
  <c r="L255" i="44"/>
  <c r="D19" i="22"/>
  <c r="P90" i="58"/>
  <c r="S90" s="1"/>
  <c r="Q231" i="33"/>
  <c r="R29" i="59"/>
  <c r="J27" i="58"/>
  <c r="J198"/>
  <c r="J91"/>
  <c r="F101" i="8"/>
  <c r="D65"/>
  <c r="D53"/>
  <c r="F40"/>
  <c r="D20"/>
  <c r="D16" s="1"/>
  <c r="F85" i="9"/>
  <c r="F101" i="26"/>
  <c r="G101" s="1"/>
  <c r="F57" i="20"/>
  <c r="L73" i="22"/>
  <c r="L65"/>
  <c r="L55"/>
  <c r="N76" i="28"/>
  <c r="F38" i="31"/>
  <c r="L241" i="33"/>
  <c r="J241" s="1"/>
  <c r="M49" i="59"/>
  <c r="M322" i="62"/>
  <c r="G236"/>
  <c r="X236" s="1"/>
  <c r="X65"/>
  <c r="X104"/>
  <c r="X161"/>
  <c r="X147"/>
  <c r="AA59" i="45"/>
  <c r="F76" i="47"/>
  <c r="L76" s="1"/>
  <c r="Z228" i="42"/>
  <c r="Q164" i="45"/>
  <c r="D83" i="60"/>
  <c r="D15" s="1"/>
  <c r="H83"/>
  <c r="F255" i="57"/>
  <c r="O32" i="60"/>
  <c r="L248" i="45"/>
  <c r="H157" i="55"/>
  <c r="X73" i="60"/>
  <c r="J218" i="57"/>
  <c r="Q130" i="34"/>
  <c r="L36" i="37"/>
  <c r="M249" i="40"/>
  <c r="L249" s="1"/>
  <c r="R80" i="47"/>
  <c r="L69" i="51"/>
  <c r="F182" i="43"/>
  <c r="M80" i="47"/>
  <c r="AA237"/>
  <c r="C62" i="51"/>
  <c r="F237" i="42"/>
  <c r="J335" i="57"/>
  <c r="M335" s="1"/>
  <c r="M95"/>
  <c r="J87"/>
  <c r="M87" s="1"/>
  <c r="Z156" i="42"/>
  <c r="Q159" i="45"/>
  <c r="L238" i="47"/>
  <c r="I232" i="51"/>
  <c r="L232" s="1"/>
  <c r="R249" i="40"/>
  <c r="Z240" i="45"/>
  <c r="S165" i="47"/>
  <c r="Z179" i="51"/>
  <c r="M51" i="54"/>
  <c r="L227" i="43"/>
  <c r="E206" i="37"/>
  <c r="F172" i="47"/>
  <c r="O87" i="37"/>
  <c r="U164" i="58"/>
  <c r="Q133" i="42"/>
  <c r="Q184" i="47"/>
  <c r="Z39"/>
  <c r="S70" i="51"/>
  <c r="AA192" i="47"/>
  <c r="F63" i="51"/>
  <c r="F87" i="40"/>
  <c r="L87" s="1"/>
  <c r="M84"/>
  <c r="M74" i="47"/>
  <c r="L161" i="40"/>
  <c r="AB80" i="47"/>
  <c r="F178" i="42"/>
  <c r="Z241" i="45"/>
  <c r="Q179"/>
  <c r="R85"/>
  <c r="M201" i="43"/>
  <c r="R71"/>
  <c r="F167"/>
  <c r="S253"/>
  <c r="S80" i="47"/>
  <c r="L116" i="59"/>
  <c r="O116" s="1"/>
  <c r="Q204" i="40"/>
  <c r="F206" i="38"/>
  <c r="R206" s="1"/>
  <c r="Q75" i="26"/>
  <c r="Q233" i="40"/>
  <c r="E53" i="10"/>
  <c r="E77" s="1"/>
  <c r="F77" s="1"/>
  <c r="M42" i="28"/>
  <c r="L42" s="1"/>
  <c r="K66" i="58"/>
  <c r="AA14"/>
  <c r="J216"/>
  <c r="X66"/>
  <c r="J29"/>
  <c r="J50"/>
  <c r="E92" i="9"/>
  <c r="F94"/>
  <c r="F34"/>
  <c r="F78" i="10"/>
  <c r="F29"/>
  <c r="K53" i="20"/>
  <c r="N53" s="1"/>
  <c r="L77" i="22"/>
  <c r="G36"/>
  <c r="M36" s="1"/>
  <c r="L25"/>
  <c r="L61" i="28"/>
  <c r="L48"/>
  <c r="C26" i="24"/>
  <c r="L21" i="25"/>
  <c r="C157" i="31"/>
  <c r="P157"/>
  <c r="C36"/>
  <c r="P15"/>
  <c r="J242" i="33"/>
  <c r="P166"/>
  <c r="N236" i="45"/>
  <c r="S236"/>
  <c r="R145" i="47"/>
  <c r="AB145"/>
  <c r="L45" i="28"/>
  <c r="G69" i="25"/>
  <c r="L49"/>
  <c r="L28"/>
  <c r="I150" i="31"/>
  <c r="L150" s="1"/>
  <c r="J145"/>
  <c r="J162" s="1"/>
  <c r="F54"/>
  <c r="J159" i="32"/>
  <c r="I159" s="1"/>
  <c r="L159" s="1"/>
  <c r="C68"/>
  <c r="I47"/>
  <c r="L47" s="1"/>
  <c r="J239" i="33"/>
  <c r="P233"/>
  <c r="G232"/>
  <c r="P232" s="1"/>
  <c r="P192"/>
  <c r="P187"/>
  <c r="P177"/>
  <c r="P168"/>
  <c r="P136"/>
  <c r="P134"/>
  <c r="P114"/>
  <c r="P77"/>
  <c r="P64"/>
  <c r="D26"/>
  <c r="P26" s="1"/>
  <c r="G242" i="38"/>
  <c r="P242" s="1"/>
  <c r="Q162"/>
  <c r="P114"/>
  <c r="P112"/>
  <c r="P109"/>
  <c r="P105"/>
  <c r="P93"/>
  <c r="J59"/>
  <c r="M59" s="1"/>
  <c r="F197" i="40"/>
  <c r="C77"/>
  <c r="Q77" s="1"/>
  <c r="Q63"/>
  <c r="Q24"/>
  <c r="G244" i="41"/>
  <c r="Q223"/>
  <c r="I142"/>
  <c r="L142" s="1"/>
  <c r="Q163"/>
  <c r="Q147"/>
  <c r="C40"/>
  <c r="Q40" s="1"/>
  <c r="R146" i="42"/>
  <c r="F146"/>
  <c r="F126"/>
  <c r="S126"/>
  <c r="R156" i="44"/>
  <c r="F156"/>
  <c r="G162" i="47"/>
  <c r="C32"/>
  <c r="L76" i="22"/>
  <c r="F74"/>
  <c r="L72"/>
  <c r="L57"/>
  <c r="L38"/>
  <c r="N30"/>
  <c r="L30" s="1"/>
  <c r="L24"/>
  <c r="L21"/>
  <c r="N67" i="28"/>
  <c r="L63"/>
  <c r="L54"/>
  <c r="L44"/>
  <c r="L23"/>
  <c r="D80" i="24"/>
  <c r="C14"/>
  <c r="C13" s="1"/>
  <c r="C10" s="1"/>
  <c r="C12" s="1"/>
  <c r="L80" i="25"/>
  <c r="N70"/>
  <c r="L70" s="1"/>
  <c r="L31"/>
  <c r="L20"/>
  <c r="C123" i="31"/>
  <c r="I42"/>
  <c r="L42" s="1"/>
  <c r="N15"/>
  <c r="O175" i="32"/>
  <c r="H159"/>
  <c r="F160"/>
  <c r="F148"/>
  <c r="Q148" s="1"/>
  <c r="F146"/>
  <c r="Q146" s="1"/>
  <c r="Q142"/>
  <c r="Q127"/>
  <c r="Q242" i="33"/>
  <c r="N228"/>
  <c r="N243"/>
  <c r="M205"/>
  <c r="P204"/>
  <c r="P198"/>
  <c r="P179"/>
  <c r="P161"/>
  <c r="P140"/>
  <c r="P138"/>
  <c r="P132"/>
  <c r="P120"/>
  <c r="M110"/>
  <c r="Q91"/>
  <c r="P79"/>
  <c r="N75"/>
  <c r="N244" s="1"/>
  <c r="M244" s="1"/>
  <c r="P74"/>
  <c r="P70"/>
  <c r="D65"/>
  <c r="G61"/>
  <c r="P61" s="1"/>
  <c r="P56"/>
  <c r="G34"/>
  <c r="P34" s="1"/>
  <c r="R26"/>
  <c r="P19"/>
  <c r="M248" i="38"/>
  <c r="Q240"/>
  <c r="M232"/>
  <c r="M205"/>
  <c r="M169"/>
  <c r="M104"/>
  <c r="D86"/>
  <c r="P86" s="1"/>
  <c r="G57"/>
  <c r="P57" s="1"/>
  <c r="R50"/>
  <c r="J41"/>
  <c r="M41" s="1"/>
  <c r="J248" i="40"/>
  <c r="I248" s="1"/>
  <c r="S243"/>
  <c r="Q217"/>
  <c r="F184"/>
  <c r="Q184" s="1"/>
  <c r="Q135"/>
  <c r="Q117"/>
  <c r="Q113"/>
  <c r="Q109"/>
  <c r="Q97"/>
  <c r="Q93"/>
  <c r="C87"/>
  <c r="I71"/>
  <c r="M60"/>
  <c r="F56"/>
  <c r="Q56" s="1"/>
  <c r="Q51"/>
  <c r="Q36"/>
  <c r="Q31"/>
  <c r="I30"/>
  <c r="L30" s="1"/>
  <c r="Q29"/>
  <c r="C27"/>
  <c r="Q27" s="1"/>
  <c r="L238" i="41"/>
  <c r="S233"/>
  <c r="S214"/>
  <c r="L192"/>
  <c r="Q191"/>
  <c r="Q175"/>
  <c r="L174"/>
  <c r="M170"/>
  <c r="Q152"/>
  <c r="Q150"/>
  <c r="L103"/>
  <c r="Q63"/>
  <c r="F62"/>
  <c r="Q62" s="1"/>
  <c r="Q46"/>
  <c r="R40"/>
  <c r="N242" i="42"/>
  <c r="Q232"/>
  <c r="Q50" i="44"/>
  <c r="AB48"/>
  <c r="S238" i="45"/>
  <c r="N238"/>
  <c r="AB236"/>
  <c r="N234"/>
  <c r="N257" s="1"/>
  <c r="S234"/>
  <c r="S57"/>
  <c r="F40" i="10"/>
  <c r="D34"/>
  <c r="D33" s="1"/>
  <c r="D15" s="1"/>
  <c r="D11" s="1"/>
  <c r="H15" i="26"/>
  <c r="D60" i="20"/>
  <c r="F75"/>
  <c r="E30"/>
  <c r="E29" s="1"/>
  <c r="C29" s="1"/>
  <c r="E24"/>
  <c r="E14" s="1"/>
  <c r="I25"/>
  <c r="L25" s="1"/>
  <c r="J69" i="22"/>
  <c r="L45"/>
  <c r="M37"/>
  <c r="L34"/>
  <c r="L29"/>
  <c r="L26"/>
  <c r="G18"/>
  <c r="N80" i="28"/>
  <c r="N79"/>
  <c r="N78"/>
  <c r="N77"/>
  <c r="M67"/>
  <c r="L67" s="1"/>
  <c r="N66"/>
  <c r="L57"/>
  <c r="L43"/>
  <c r="N40"/>
  <c r="L25"/>
  <c r="L78" i="25"/>
  <c r="L74"/>
  <c r="L33"/>
  <c r="L24"/>
  <c r="L136" i="31"/>
  <c r="L121"/>
  <c r="L106"/>
  <c r="L73"/>
  <c r="L66"/>
  <c r="N32"/>
  <c r="P32"/>
  <c r="I15"/>
  <c r="L15" s="1"/>
  <c r="Q152" i="32"/>
  <c r="C147"/>
  <c r="Q147" s="1"/>
  <c r="F136"/>
  <c r="Q136" s="1"/>
  <c r="Q135"/>
  <c r="Q132"/>
  <c r="Q124"/>
  <c r="Q123"/>
  <c r="Q117"/>
  <c r="F114"/>
  <c r="Q114" s="1"/>
  <c r="F87"/>
  <c r="F49"/>
  <c r="M47"/>
  <c r="C45"/>
  <c r="M221" i="33"/>
  <c r="R210"/>
  <c r="M174"/>
  <c r="P167"/>
  <c r="M103"/>
  <c r="G65"/>
  <c r="P21"/>
  <c r="L207" i="38"/>
  <c r="P198"/>
  <c r="P185"/>
  <c r="D181"/>
  <c r="P108"/>
  <c r="P96"/>
  <c r="N82"/>
  <c r="P70"/>
  <c r="I86" i="40"/>
  <c r="D74"/>
  <c r="R74" s="1"/>
  <c r="N35"/>
  <c r="L223" i="41"/>
  <c r="S222"/>
  <c r="C194"/>
  <c r="Q194" s="1"/>
  <c r="Q172"/>
  <c r="Q171"/>
  <c r="Q146"/>
  <c r="Q130"/>
  <c r="Q119"/>
  <c r="C82"/>
  <c r="Q82" s="1"/>
  <c r="S82"/>
  <c r="R56"/>
  <c r="F56"/>
  <c r="Q56" s="1"/>
  <c r="N243" i="42"/>
  <c r="S243"/>
  <c r="M233"/>
  <c r="AB201" i="44"/>
  <c r="F201"/>
  <c r="Z201" s="1"/>
  <c r="S160"/>
  <c r="N160"/>
  <c r="Z130" i="42"/>
  <c r="C56"/>
  <c r="AA196" i="44"/>
  <c r="F186"/>
  <c r="AA138"/>
  <c r="Q103"/>
  <c r="I59"/>
  <c r="L59" s="1"/>
  <c r="F57" i="45"/>
  <c r="C32"/>
  <c r="Z27"/>
  <c r="I169" i="47"/>
  <c r="L169" s="1"/>
  <c r="Z96"/>
  <c r="F55"/>
  <c r="Z48"/>
  <c r="S32"/>
  <c r="R79" i="41"/>
  <c r="Q38"/>
  <c r="S33"/>
  <c r="F22"/>
  <c r="Q22" s="1"/>
  <c r="Z219" i="42"/>
  <c r="F158"/>
  <c r="N145"/>
  <c r="C73"/>
  <c r="S64"/>
  <c r="N44"/>
  <c r="Z37"/>
  <c r="S35"/>
  <c r="S30"/>
  <c r="I229" i="44"/>
  <c r="L229" s="1"/>
  <c r="AA215"/>
  <c r="AB57"/>
  <c r="R43"/>
  <c r="C39"/>
  <c r="F246" i="45"/>
  <c r="Z217"/>
  <c r="F193"/>
  <c r="I85"/>
  <c r="F246" i="47"/>
  <c r="AC217"/>
  <c r="AB154"/>
  <c r="Z140"/>
  <c r="C76"/>
  <c r="O202" i="37"/>
  <c r="O172"/>
  <c r="Q113" i="41"/>
  <c r="Q107"/>
  <c r="S100"/>
  <c r="L78"/>
  <c r="Q59"/>
  <c r="S58"/>
  <c r="I49"/>
  <c r="L49" s="1"/>
  <c r="R47"/>
  <c r="S25"/>
  <c r="I246" i="42"/>
  <c r="L232"/>
  <c r="R158"/>
  <c r="Z119"/>
  <c r="Q107"/>
  <c r="M251"/>
  <c r="L251" s="1"/>
  <c r="F53"/>
  <c r="Q53" s="1"/>
  <c r="S47"/>
  <c r="L36"/>
  <c r="Q31"/>
  <c r="C27"/>
  <c r="Q27" s="1"/>
  <c r="I25"/>
  <c r="L25" s="1"/>
  <c r="Z23"/>
  <c r="R222" i="44"/>
  <c r="AB206"/>
  <c r="C200"/>
  <c r="L196"/>
  <c r="C166"/>
  <c r="AB130"/>
  <c r="L124"/>
  <c r="Z117"/>
  <c r="R100"/>
  <c r="AA97"/>
  <c r="C57"/>
  <c r="AB52"/>
  <c r="Z51"/>
  <c r="I29"/>
  <c r="L29" s="1"/>
  <c r="Z212" i="45"/>
  <c r="L196"/>
  <c r="C166"/>
  <c r="Z119"/>
  <c r="Z109"/>
  <c r="L107"/>
  <c r="R79"/>
  <c r="S24"/>
  <c r="Z121" i="47"/>
  <c r="L43"/>
  <c r="O203" i="37"/>
  <c r="S47" i="43"/>
  <c r="F47"/>
  <c r="Z47" s="1"/>
  <c r="R180" i="51"/>
  <c r="AB180"/>
  <c r="S17"/>
  <c r="AC17"/>
  <c r="S77" i="52"/>
  <c r="R53" i="47"/>
  <c r="O221" i="37"/>
  <c r="F214"/>
  <c r="O214" s="1"/>
  <c r="O205"/>
  <c r="O163"/>
  <c r="F111" i="34"/>
  <c r="Q111" s="1"/>
  <c r="C39"/>
  <c r="C177" i="43"/>
  <c r="AC132" i="51"/>
  <c r="S132"/>
  <c r="S116"/>
  <c r="F116"/>
  <c r="O121" i="37"/>
  <c r="O107"/>
  <c r="P82"/>
  <c r="O76"/>
  <c r="P59"/>
  <c r="O24"/>
  <c r="R172" i="51"/>
  <c r="AB172"/>
  <c r="S118"/>
  <c r="F118"/>
  <c r="Z38"/>
  <c r="AA38"/>
  <c r="Q38"/>
  <c r="J221" i="52"/>
  <c r="M221" s="1"/>
  <c r="M214" s="1"/>
  <c r="N221"/>
  <c r="N214" s="1"/>
  <c r="F15" i="49"/>
  <c r="L221" i="37"/>
  <c r="L174"/>
  <c r="O167"/>
  <c r="O147"/>
  <c r="O129"/>
  <c r="N244"/>
  <c r="L244" s="1"/>
  <c r="O68"/>
  <c r="F61"/>
  <c r="O61" s="1"/>
  <c r="Q57"/>
  <c r="O40"/>
  <c r="O29"/>
  <c r="F22"/>
  <c r="O22" s="1"/>
  <c r="F175" i="34"/>
  <c r="Q131"/>
  <c r="F53"/>
  <c r="C43"/>
  <c r="F21"/>
  <c r="F245" i="43"/>
  <c r="C237"/>
  <c r="Z211"/>
  <c r="Z90" i="51"/>
  <c r="S245" i="43"/>
  <c r="C76"/>
  <c r="Z76" s="1"/>
  <c r="E74"/>
  <c r="S64"/>
  <c r="Z63"/>
  <c r="C58"/>
  <c r="S40"/>
  <c r="R33"/>
  <c r="S30"/>
  <c r="Q26"/>
  <c r="AB250" i="51"/>
  <c r="R234"/>
  <c r="Z211"/>
  <c r="S173"/>
  <c r="Z153"/>
  <c r="Z146"/>
  <c r="F126"/>
  <c r="D210" i="52"/>
  <c r="U210" s="1"/>
  <c r="I175"/>
  <c r="D189"/>
  <c r="U126"/>
  <c r="U78"/>
  <c r="U73"/>
  <c r="U61"/>
  <c r="O45"/>
  <c r="O41"/>
  <c r="O19"/>
  <c r="Q73" i="55"/>
  <c r="F21"/>
  <c r="Q21" s="1"/>
  <c r="T130" i="54"/>
  <c r="T101"/>
  <c r="T94"/>
  <c r="T91"/>
  <c r="J80"/>
  <c r="T78"/>
  <c r="T73"/>
  <c r="E50"/>
  <c r="F45"/>
  <c r="T45" s="1"/>
  <c r="Q39"/>
  <c r="T26"/>
  <c r="V307" i="57"/>
  <c r="X218"/>
  <c r="N115"/>
  <c r="K114"/>
  <c r="J63" i="58"/>
  <c r="F61" i="45"/>
  <c r="Q61" s="1"/>
  <c r="AB55"/>
  <c r="N34"/>
  <c r="Z25"/>
  <c r="AB21"/>
  <c r="I243" i="47"/>
  <c r="C225"/>
  <c r="C177"/>
  <c r="Z177" s="1"/>
  <c r="Q122"/>
  <c r="I41"/>
  <c r="L41" s="1"/>
  <c r="F230" i="37"/>
  <c r="O230" s="1"/>
  <c r="L205"/>
  <c r="O196"/>
  <c r="O186"/>
  <c r="O177"/>
  <c r="O164"/>
  <c r="O139"/>
  <c r="O132"/>
  <c r="O114"/>
  <c r="P102"/>
  <c r="O73"/>
  <c r="F54"/>
  <c r="O54" s="1"/>
  <c r="Q50"/>
  <c r="Q48"/>
  <c r="O27"/>
  <c r="Q154" i="34"/>
  <c r="F147"/>
  <c r="Q147" s="1"/>
  <c r="C145"/>
  <c r="Q145" s="1"/>
  <c r="Q137"/>
  <c r="Q129"/>
  <c r="C109"/>
  <c r="Q109" s="1"/>
  <c r="F75"/>
  <c r="F68"/>
  <c r="P66"/>
  <c r="I43"/>
  <c r="L43" s="1"/>
  <c r="C21"/>
  <c r="Z208" i="43"/>
  <c r="Z118"/>
  <c r="Z96"/>
  <c r="Z67"/>
  <c r="R64"/>
  <c r="R62"/>
  <c r="S49"/>
  <c r="Z39"/>
  <c r="Q28"/>
  <c r="Q19"/>
  <c r="Z235" i="51"/>
  <c r="C219"/>
  <c r="AA219" s="1"/>
  <c r="Z190"/>
  <c r="Z158"/>
  <c r="AA95"/>
  <c r="M81"/>
  <c r="K65"/>
  <c r="Z51"/>
  <c r="Z42"/>
  <c r="AA29"/>
  <c r="J235" i="52"/>
  <c r="M235" s="1"/>
  <c r="I227"/>
  <c r="I213" s="1"/>
  <c r="G221"/>
  <c r="G199"/>
  <c r="L237"/>
  <c r="O237" s="1"/>
  <c r="D192"/>
  <c r="U192" s="1"/>
  <c r="U168"/>
  <c r="U166"/>
  <c r="U155"/>
  <c r="U140"/>
  <c r="U114"/>
  <c r="J90"/>
  <c r="M90" s="1"/>
  <c r="D51"/>
  <c r="U51" s="1"/>
  <c r="G31"/>
  <c r="U31" s="1"/>
  <c r="M25"/>
  <c r="M23" s="1"/>
  <c r="G23"/>
  <c r="U23" s="1"/>
  <c r="Q150" i="55"/>
  <c r="Q136"/>
  <c r="Q132"/>
  <c r="I123"/>
  <c r="L123" s="1"/>
  <c r="Q78"/>
  <c r="Q72"/>
  <c r="T128" i="54"/>
  <c r="D155"/>
  <c r="C155" s="1"/>
  <c r="T155" s="1"/>
  <c r="T105"/>
  <c r="Q87"/>
  <c r="Q82"/>
  <c r="H80"/>
  <c r="D80"/>
  <c r="T307" i="57"/>
  <c r="O273"/>
  <c r="L125" i="43"/>
  <c r="L103"/>
  <c r="L237" i="51"/>
  <c r="Z178"/>
  <c r="L139"/>
  <c r="G219" i="52"/>
  <c r="U101"/>
  <c r="E75"/>
  <c r="E156" i="55"/>
  <c r="C156" s="1"/>
  <c r="Q156" s="1"/>
  <c r="H126" i="54"/>
  <c r="H122" s="1"/>
  <c r="F122" s="1"/>
  <c r="T122" s="1"/>
  <c r="M58"/>
  <c r="J57"/>
  <c r="I57" s="1"/>
  <c r="L57" s="1"/>
  <c r="X272" i="57"/>
  <c r="J111" i="58"/>
  <c r="J143"/>
  <c r="E90"/>
  <c r="K91"/>
  <c r="D100"/>
  <c r="J100" s="1"/>
  <c r="D218"/>
  <c r="J218" s="1"/>
  <c r="M179" i="57"/>
  <c r="J176"/>
  <c r="M176" s="1"/>
  <c r="O284"/>
  <c r="G284"/>
  <c r="I282"/>
  <c r="I144"/>
  <c r="G144" s="1"/>
  <c r="D144"/>
  <c r="U170" i="52"/>
  <c r="U142"/>
  <c r="G125"/>
  <c r="D86"/>
  <c r="G70"/>
  <c r="U70" s="1"/>
  <c r="R51"/>
  <c r="O23"/>
  <c r="N19"/>
  <c r="N15" s="1"/>
  <c r="H126" i="55"/>
  <c r="Q105"/>
  <c r="Q103"/>
  <c r="Q89"/>
  <c r="Q87"/>
  <c r="H79"/>
  <c r="E15"/>
  <c r="C16"/>
  <c r="Q16" s="1"/>
  <c r="E143" i="54"/>
  <c r="T134"/>
  <c r="T112"/>
  <c r="K80"/>
  <c r="K153" s="1"/>
  <c r="N153" s="1"/>
  <c r="T70"/>
  <c r="C37"/>
  <c r="T37" s="1"/>
  <c r="C35"/>
  <c r="C25"/>
  <c r="T25" s="1"/>
  <c r="X317" i="57"/>
  <c r="X286"/>
  <c r="X124"/>
  <c r="J119" i="58"/>
  <c r="L160"/>
  <c r="J163"/>
  <c r="J184"/>
  <c r="J188"/>
  <c r="N164"/>
  <c r="N148" s="1"/>
  <c r="T148" s="1"/>
  <c r="J200"/>
  <c r="L209"/>
  <c r="D80"/>
  <c r="J80" s="1"/>
  <c r="I131" i="57"/>
  <c r="G131" s="1"/>
  <c r="D131"/>
  <c r="O58"/>
  <c r="I56"/>
  <c r="O56" s="1"/>
  <c r="X39"/>
  <c r="X123" i="60"/>
  <c r="F35" i="54"/>
  <c r="C27"/>
  <c r="T27" s="1"/>
  <c r="X208" i="57"/>
  <c r="U182"/>
  <c r="M162"/>
  <c r="G249"/>
  <c r="X249" s="1"/>
  <c r="AA140" i="58"/>
  <c r="K216"/>
  <c r="G326" i="57"/>
  <c r="G325" s="1"/>
  <c r="X325" s="1"/>
  <c r="I325"/>
  <c r="I324" s="1"/>
  <c r="O173"/>
  <c r="G173"/>
  <c r="X173" s="1"/>
  <c r="F79"/>
  <c r="D79" s="1"/>
  <c r="X67"/>
  <c r="M55"/>
  <c r="K56" i="58"/>
  <c r="J59"/>
  <c r="N73"/>
  <c r="L100"/>
  <c r="X102"/>
  <c r="J152"/>
  <c r="K156"/>
  <c r="J183"/>
  <c r="J203"/>
  <c r="E165" i="60"/>
  <c r="D32"/>
  <c r="D45"/>
  <c r="X45" s="1"/>
  <c r="J84"/>
  <c r="N100"/>
  <c r="X121"/>
  <c r="G22"/>
  <c r="G119"/>
  <c r="X119" s="1"/>
  <c r="G150"/>
  <c r="R29" i="61"/>
  <c r="U33"/>
  <c r="D36"/>
  <c r="U36"/>
  <c r="U41"/>
  <c r="R43"/>
  <c r="U70"/>
  <c r="X328"/>
  <c r="U379"/>
  <c r="D398"/>
  <c r="O106"/>
  <c r="D251"/>
  <c r="R19" i="62"/>
  <c r="R28"/>
  <c r="J35"/>
  <c r="M35" s="1"/>
  <c r="M208" i="57"/>
  <c r="M195"/>
  <c r="X61"/>
  <c r="X55"/>
  <c r="M34"/>
  <c r="X21"/>
  <c r="X19"/>
  <c r="I73"/>
  <c r="G73" s="1"/>
  <c r="M73" s="1"/>
  <c r="J16" i="58"/>
  <c r="M19"/>
  <c r="K53"/>
  <c r="L62"/>
  <c r="L78"/>
  <c r="J115"/>
  <c r="K160"/>
  <c r="L162"/>
  <c r="J206"/>
  <c r="J207"/>
  <c r="J211"/>
  <c r="X220" i="57"/>
  <c r="J88" i="60"/>
  <c r="M88" s="1"/>
  <c r="L165"/>
  <c r="D42"/>
  <c r="G151"/>
  <c r="U51"/>
  <c r="V20"/>
  <c r="U20" s="1"/>
  <c r="R33"/>
  <c r="X50"/>
  <c r="U65"/>
  <c r="G72"/>
  <c r="X72" s="1"/>
  <c r="N117"/>
  <c r="K149"/>
  <c r="X36"/>
  <c r="R97" i="61"/>
  <c r="R105"/>
  <c r="U105"/>
  <c r="F234"/>
  <c r="D234" s="1"/>
  <c r="X326"/>
  <c r="D369"/>
  <c r="X370"/>
  <c r="U373"/>
  <c r="G377"/>
  <c r="X377" s="1"/>
  <c r="X378"/>
  <c r="K165" i="60"/>
  <c r="J32"/>
  <c r="G153"/>
  <c r="D139"/>
  <c r="X139" s="1"/>
  <c r="D108"/>
  <c r="X108" s="1"/>
  <c r="O21"/>
  <c r="R23"/>
  <c r="R25"/>
  <c r="R65"/>
  <c r="F84"/>
  <c r="D97"/>
  <c r="X97" s="1"/>
  <c r="D125"/>
  <c r="X125" s="1"/>
  <c r="U149"/>
  <c r="G155"/>
  <c r="D156"/>
  <c r="X156" s="1"/>
  <c r="D24" i="61"/>
  <c r="U31"/>
  <c r="D89"/>
  <c r="O98"/>
  <c r="T178"/>
  <c r="T177" s="1"/>
  <c r="T126" s="1"/>
  <c r="I207"/>
  <c r="O207" s="1"/>
  <c r="G25" i="62"/>
  <c r="X25" s="1"/>
  <c r="X58"/>
  <c r="X127" i="60"/>
  <c r="X73" i="61"/>
  <c r="G83"/>
  <c r="R82"/>
  <c r="R81" s="1"/>
  <c r="M86"/>
  <c r="X189"/>
  <c r="M330"/>
  <c r="E314"/>
  <c r="D314" s="1"/>
  <c r="G38" i="62"/>
  <c r="I111"/>
  <c r="G111" s="1"/>
  <c r="X111" s="1"/>
  <c r="F109"/>
  <c r="E127" i="61"/>
  <c r="W127"/>
  <c r="U190"/>
  <c r="G196"/>
  <c r="R196"/>
  <c r="D204"/>
  <c r="X250"/>
  <c r="D254"/>
  <c r="D273"/>
  <c r="D300"/>
  <c r="X300" s="1"/>
  <c r="U300"/>
  <c r="V314"/>
  <c r="V313" s="1"/>
  <c r="U335"/>
  <c r="R339"/>
  <c r="X341"/>
  <c r="D348"/>
  <c r="X348" s="1"/>
  <c r="N348"/>
  <c r="U348"/>
  <c r="M349"/>
  <c r="R350"/>
  <c r="G353"/>
  <c r="S338"/>
  <c r="S334" s="1"/>
  <c r="D358"/>
  <c r="X358" s="1"/>
  <c r="U358"/>
  <c r="X362"/>
  <c r="I366"/>
  <c r="I365" s="1"/>
  <c r="R367"/>
  <c r="X27" i="62"/>
  <c r="U28"/>
  <c r="U32"/>
  <c r="U35"/>
  <c r="R40"/>
  <c r="U49"/>
  <c r="X53"/>
  <c r="G76"/>
  <c r="X76" s="1"/>
  <c r="G82"/>
  <c r="H94"/>
  <c r="H377" s="1"/>
  <c r="G155"/>
  <c r="X155" s="1"/>
  <c r="Q164"/>
  <c r="X294"/>
  <c r="U310"/>
  <c r="V309"/>
  <c r="V287" s="1"/>
  <c r="M335"/>
  <c r="I314"/>
  <c r="O322"/>
  <c r="G337"/>
  <c r="X337" s="1"/>
  <c r="H332"/>
  <c r="G87"/>
  <c r="D94"/>
  <c r="J100"/>
  <c r="M100" s="1"/>
  <c r="R111"/>
  <c r="E117"/>
  <c r="D117" s="1"/>
  <c r="G166"/>
  <c r="M166" s="1"/>
  <c r="V164"/>
  <c r="U169"/>
  <c r="G202"/>
  <c r="M230"/>
  <c r="X237"/>
  <c r="G248"/>
  <c r="X248" s="1"/>
  <c r="H247"/>
  <c r="G247" s="1"/>
  <c r="I259"/>
  <c r="O259" s="1"/>
  <c r="W313"/>
  <c r="U313" s="1"/>
  <c r="D197"/>
  <c r="G220"/>
  <c r="D230"/>
  <c r="X230" s="1"/>
  <c r="U281"/>
  <c r="M282"/>
  <c r="D301"/>
  <c r="X301" s="1"/>
  <c r="G305"/>
  <c r="X305" s="1"/>
  <c r="X306"/>
  <c r="G307"/>
  <c r="U332"/>
  <c r="R349"/>
  <c r="D351"/>
  <c r="X351" s="1"/>
  <c r="G353"/>
  <c r="U354"/>
  <c r="G49" i="61"/>
  <c r="X49" s="1"/>
  <c r="G72"/>
  <c r="X72" s="1"/>
  <c r="G74"/>
  <c r="X74" s="1"/>
  <c r="G79"/>
  <c r="M79" s="1"/>
  <c r="G176"/>
  <c r="M176" s="1"/>
  <c r="G249"/>
  <c r="X249" s="1"/>
  <c r="G252"/>
  <c r="X252" s="1"/>
  <c r="X325"/>
  <c r="F402"/>
  <c r="J194"/>
  <c r="J254"/>
  <c r="M254" s="1"/>
  <c r="O204"/>
  <c r="G17"/>
  <c r="X17" s="1"/>
  <c r="G23"/>
  <c r="X23" s="1"/>
  <c r="G30"/>
  <c r="X30" s="1"/>
  <c r="G38"/>
  <c r="X38" s="1"/>
  <c r="G241"/>
  <c r="M241" s="1"/>
  <c r="H242"/>
  <c r="G242" s="1"/>
  <c r="H294"/>
  <c r="N294" s="1"/>
  <c r="H297"/>
  <c r="G297" s="1"/>
  <c r="X297" s="1"/>
  <c r="H302"/>
  <c r="X321"/>
  <c r="J207"/>
  <c r="O244"/>
  <c r="R107" i="62"/>
  <c r="G123"/>
  <c r="X123" s="1"/>
  <c r="G129"/>
  <c r="G132"/>
  <c r="X136"/>
  <c r="G145"/>
  <c r="X148"/>
  <c r="J169"/>
  <c r="M169" s="1"/>
  <c r="O206"/>
  <c r="J227"/>
  <c r="M227" s="1"/>
  <c r="D247"/>
  <c r="G252"/>
  <c r="D276"/>
  <c r="X276" s="1"/>
  <c r="X283"/>
  <c r="U307"/>
  <c r="X319"/>
  <c r="U322"/>
  <c r="U349"/>
  <c r="D354"/>
  <c r="M366"/>
  <c r="E401" i="61"/>
  <c r="M337"/>
  <c r="X151"/>
  <c r="G155"/>
  <c r="X155" s="1"/>
  <c r="X170"/>
  <c r="H203"/>
  <c r="I220"/>
  <c r="O220" s="1"/>
  <c r="G237"/>
  <c r="X237" s="1"/>
  <c r="G393"/>
  <c r="X393" s="1"/>
  <c r="O291"/>
  <c r="M251"/>
  <c r="X100"/>
  <c r="G123"/>
  <c r="G122" s="1"/>
  <c r="X122" s="1"/>
  <c r="G135"/>
  <c r="X135" s="1"/>
  <c r="X138"/>
  <c r="M148"/>
  <c r="O270"/>
  <c r="I201"/>
  <c r="I402" s="1"/>
  <c r="G71"/>
  <c r="X346"/>
  <c r="K339"/>
  <c r="J344"/>
  <c r="M344" s="1"/>
  <c r="M239"/>
  <c r="E402"/>
  <c r="G94"/>
  <c r="K402"/>
  <c r="I128"/>
  <c r="O128" s="1"/>
  <c r="G131"/>
  <c r="N242"/>
  <c r="S177"/>
  <c r="R177" s="1"/>
  <c r="E313"/>
  <c r="E312" s="1"/>
  <c r="M272"/>
  <c r="X272"/>
  <c r="X242"/>
  <c r="G120"/>
  <c r="H119"/>
  <c r="G119" s="1"/>
  <c r="X317"/>
  <c r="S15"/>
  <c r="I227"/>
  <c r="G227" s="1"/>
  <c r="X227" s="1"/>
  <c r="N111"/>
  <c r="I273"/>
  <c r="T82"/>
  <c r="T81" s="1"/>
  <c r="O186"/>
  <c r="J332"/>
  <c r="M332" s="1"/>
  <c r="J261"/>
  <c r="J47"/>
  <c r="M47" s="1"/>
  <c r="U178"/>
  <c r="U97"/>
  <c r="D85"/>
  <c r="I251"/>
  <c r="G251" s="1"/>
  <c r="X251" s="1"/>
  <c r="I248"/>
  <c r="O248" s="1"/>
  <c r="G244"/>
  <c r="X244" s="1"/>
  <c r="G292"/>
  <c r="D78"/>
  <c r="H314"/>
  <c r="H313" s="1"/>
  <c r="G20"/>
  <c r="X20" s="1"/>
  <c r="J248"/>
  <c r="T338"/>
  <c r="T334" s="1"/>
  <c r="T312" s="1"/>
  <c r="N239"/>
  <c r="G283"/>
  <c r="L335"/>
  <c r="J335" s="1"/>
  <c r="M335" s="1"/>
  <c r="J244"/>
  <c r="D97"/>
  <c r="H95"/>
  <c r="N95" s="1"/>
  <c r="L290"/>
  <c r="J290" s="1"/>
  <c r="N220"/>
  <c r="J120"/>
  <c r="J115"/>
  <c r="G113"/>
  <c r="U98"/>
  <c r="F82"/>
  <c r="F81" s="1"/>
  <c r="X260"/>
  <c r="I245"/>
  <c r="G245" s="1"/>
  <c r="X245" s="1"/>
  <c r="H339"/>
  <c r="G280"/>
  <c r="X280" s="1"/>
  <c r="W314"/>
  <c r="W313" s="1"/>
  <c r="J70"/>
  <c r="M70" s="1"/>
  <c r="G55"/>
  <c r="M55" s="1"/>
  <c r="E178"/>
  <c r="E75"/>
  <c r="E406" s="1"/>
  <c r="J326"/>
  <c r="M326" s="1"/>
  <c r="W338"/>
  <c r="W334" s="1"/>
  <c r="M331"/>
  <c r="X330"/>
  <c r="G35"/>
  <c r="M35" s="1"/>
  <c r="D98"/>
  <c r="G39"/>
  <c r="M39" s="1"/>
  <c r="N300"/>
  <c r="G125"/>
  <c r="X125" s="1"/>
  <c r="R19"/>
  <c r="X158"/>
  <c r="G258"/>
  <c r="X258" s="1"/>
  <c r="G255"/>
  <c r="X255" s="1"/>
  <c r="U106"/>
  <c r="G345"/>
  <c r="X345" s="1"/>
  <c r="X154"/>
  <c r="J270"/>
  <c r="J16"/>
  <c r="M77"/>
  <c r="W366"/>
  <c r="W365" s="1"/>
  <c r="K366"/>
  <c r="J210"/>
  <c r="M210" s="1"/>
  <c r="K238"/>
  <c r="J238" s="1"/>
  <c r="J375"/>
  <c r="M375" s="1"/>
  <c r="D222"/>
  <c r="U380"/>
  <c r="O235"/>
  <c r="L388"/>
  <c r="L387" s="1"/>
  <c r="L386" s="1"/>
  <c r="S366"/>
  <c r="N284"/>
  <c r="T366"/>
  <c r="T365" s="1"/>
  <c r="T364" s="1"/>
  <c r="O210"/>
  <c r="J180"/>
  <c r="J380"/>
  <c r="M380" s="1"/>
  <c r="K122"/>
  <c r="N122" s="1"/>
  <c r="G383"/>
  <c r="D131"/>
  <c r="F166"/>
  <c r="D166" s="1"/>
  <c r="D392"/>
  <c r="D391" s="1"/>
  <c r="D172"/>
  <c r="F203"/>
  <c r="F404" s="1"/>
  <c r="D404" s="1"/>
  <c r="U16"/>
  <c r="J50"/>
  <c r="U50"/>
  <c r="G56"/>
  <c r="X56" s="1"/>
  <c r="J56"/>
  <c r="U56"/>
  <c r="F70"/>
  <c r="R70"/>
  <c r="D71"/>
  <c r="X71" s="1"/>
  <c r="U111"/>
  <c r="M361"/>
  <c r="V366"/>
  <c r="V365" s="1"/>
  <c r="V364" s="1"/>
  <c r="G380"/>
  <c r="N257"/>
  <c r="H223"/>
  <c r="N223" s="1"/>
  <c r="I257"/>
  <c r="G257" s="1"/>
  <c r="X257" s="1"/>
  <c r="I305"/>
  <c r="G305" s="1"/>
  <c r="X324"/>
  <c r="J267"/>
  <c r="L166"/>
  <c r="L283"/>
  <c r="J283" s="1"/>
  <c r="G44"/>
  <c r="J119"/>
  <c r="O346"/>
  <c r="J95"/>
  <c r="K404"/>
  <c r="J97"/>
  <c r="M43"/>
  <c r="X373"/>
  <c r="X277"/>
  <c r="D64"/>
  <c r="X322"/>
  <c r="D95"/>
  <c r="I223"/>
  <c r="O223" s="1"/>
  <c r="N97"/>
  <c r="H365"/>
  <c r="H364" s="1"/>
  <c r="D140"/>
  <c r="X140" s="1"/>
  <c r="G98"/>
  <c r="M98" s="1"/>
  <c r="U115"/>
  <c r="H290"/>
  <c r="G290" s="1"/>
  <c r="X290" s="1"/>
  <c r="G306"/>
  <c r="X306" s="1"/>
  <c r="R353"/>
  <c r="V338"/>
  <c r="J214"/>
  <c r="M214" s="1"/>
  <c r="G295"/>
  <c r="X295" s="1"/>
  <c r="H204"/>
  <c r="G90"/>
  <c r="G182"/>
  <c r="X182" s="1"/>
  <c r="R98"/>
  <c r="L314"/>
  <c r="L313" s="1"/>
  <c r="J109"/>
  <c r="M109" s="1"/>
  <c r="N194"/>
  <c r="K314"/>
  <c r="D83"/>
  <c r="G303"/>
  <c r="X303" s="1"/>
  <c r="J315"/>
  <c r="G246"/>
  <c r="X246" s="1"/>
  <c r="N254"/>
  <c r="X130"/>
  <c r="J281"/>
  <c r="M281" s="1"/>
  <c r="G225"/>
  <c r="X293"/>
  <c r="G46"/>
  <c r="L366"/>
  <c r="O366" s="1"/>
  <c r="G222"/>
  <c r="F128"/>
  <c r="D128" s="1"/>
  <c r="J373"/>
  <c r="M373" s="1"/>
  <c r="O180"/>
  <c r="I382"/>
  <c r="G382" s="1"/>
  <c r="X382" s="1"/>
  <c r="W81"/>
  <c r="M363"/>
  <c r="E220"/>
  <c r="M362"/>
  <c r="F391"/>
  <c r="F388" s="1"/>
  <c r="D210"/>
  <c r="R21"/>
  <c r="O43"/>
  <c r="U43"/>
  <c r="G47"/>
  <c r="X47" s="1"/>
  <c r="R47"/>
  <c r="J76"/>
  <c r="N85"/>
  <c r="G106"/>
  <c r="M106" s="1"/>
  <c r="G160"/>
  <c r="G173"/>
  <c r="N181"/>
  <c r="X52"/>
  <c r="N90"/>
  <c r="X320"/>
  <c r="H391"/>
  <c r="H388" s="1"/>
  <c r="H387" s="1"/>
  <c r="H386" s="1"/>
  <c r="D119"/>
  <c r="X53"/>
  <c r="N279"/>
  <c r="J24"/>
  <c r="H398"/>
  <c r="N398" s="1"/>
  <c r="G105"/>
  <c r="X105" s="1"/>
  <c r="O330"/>
  <c r="X235"/>
  <c r="G271"/>
  <c r="X271" s="1"/>
  <c r="X149"/>
  <c r="U81"/>
  <c r="F366"/>
  <c r="F365" s="1"/>
  <c r="N235"/>
  <c r="J195"/>
  <c r="M195" s="1"/>
  <c r="D220"/>
  <c r="E366"/>
  <c r="E365" s="1"/>
  <c r="E364" s="1"/>
  <c r="I234"/>
  <c r="U122"/>
  <c r="J227"/>
  <c r="M227" s="1"/>
  <c r="G384"/>
  <c r="X384" s="1"/>
  <c r="O336"/>
  <c r="E202"/>
  <c r="F183"/>
  <c r="G279"/>
  <c r="X279" s="1"/>
  <c r="R24"/>
  <c r="X27"/>
  <c r="G66"/>
  <c r="X66" s="1"/>
  <c r="Q81"/>
  <c r="D371"/>
  <c r="X371" s="1"/>
  <c r="H16"/>
  <c r="H24"/>
  <c r="G172"/>
  <c r="M172" s="1"/>
  <c r="X176"/>
  <c r="I261"/>
  <c r="X318"/>
  <c r="L305"/>
  <c r="J305" s="1"/>
  <c r="F305"/>
  <c r="D305" s="1"/>
  <c r="D283"/>
  <c r="G62"/>
  <c r="X62" s="1"/>
  <c r="J89"/>
  <c r="J201"/>
  <c r="F401"/>
  <c r="H128"/>
  <c r="X143"/>
  <c r="X147"/>
  <c r="N128"/>
  <c r="X136"/>
  <c r="X171"/>
  <c r="G233"/>
  <c r="H231"/>
  <c r="G231" s="1"/>
  <c r="J231"/>
  <c r="N231"/>
  <c r="O78"/>
  <c r="G78"/>
  <c r="M78" s="1"/>
  <c r="I339"/>
  <c r="O339" s="1"/>
  <c r="G347"/>
  <c r="X347" s="1"/>
  <c r="I281"/>
  <c r="G281" s="1"/>
  <c r="X281" s="1"/>
  <c r="G282"/>
  <c r="X282" s="1"/>
  <c r="X316"/>
  <c r="G315"/>
  <c r="R334"/>
  <c r="I75"/>
  <c r="O75" s="1"/>
  <c r="O76"/>
  <c r="O175"/>
  <c r="G175"/>
  <c r="G76"/>
  <c r="X76" s="1"/>
  <c r="M209"/>
  <c r="X209"/>
  <c r="T92"/>
  <c r="R111"/>
  <c r="O392"/>
  <c r="I391"/>
  <c r="G392"/>
  <c r="A22"/>
  <c r="A23" s="1"/>
  <c r="O245"/>
  <c r="J245"/>
  <c r="M245" s="1"/>
  <c r="N350"/>
  <c r="G284"/>
  <c r="M284" s="1"/>
  <c r="M342"/>
  <c r="H102"/>
  <c r="G102" s="1"/>
  <c r="X79"/>
  <c r="U75"/>
  <c r="R338"/>
  <c r="I50"/>
  <c r="G50" s="1"/>
  <c r="X50" s="1"/>
  <c r="T80"/>
  <c r="T14" s="1"/>
  <c r="T13" s="1"/>
  <c r="T12" s="1"/>
  <c r="D33"/>
  <c r="J105"/>
  <c r="M105" s="1"/>
  <c r="H75"/>
  <c r="J31"/>
  <c r="M31" s="1"/>
  <c r="X153"/>
  <c r="D207"/>
  <c r="X137"/>
  <c r="X335"/>
  <c r="D34"/>
  <c r="X34" s="1"/>
  <c r="H166"/>
  <c r="G351"/>
  <c r="M351" s="1"/>
  <c r="I24"/>
  <c r="O24" s="1"/>
  <c r="I36"/>
  <c r="O36" s="1"/>
  <c r="H93"/>
  <c r="H183"/>
  <c r="H178" s="1"/>
  <c r="I302"/>
  <c r="G302" s="1"/>
  <c r="X302" s="1"/>
  <c r="L200"/>
  <c r="L401" s="1"/>
  <c r="I93"/>
  <c r="N96"/>
  <c r="N404" s="1"/>
  <c r="K202"/>
  <c r="K403" s="1"/>
  <c r="K200"/>
  <c r="G270"/>
  <c r="K75"/>
  <c r="K15" s="1"/>
  <c r="D101"/>
  <c r="X284"/>
  <c r="D41"/>
  <c r="G103"/>
  <c r="G219"/>
  <c r="J220"/>
  <c r="D217"/>
  <c r="N209"/>
  <c r="S92"/>
  <c r="S80" s="1"/>
  <c r="R80" s="1"/>
  <c r="S126"/>
  <c r="R126" s="1"/>
  <c r="W15"/>
  <c r="M255"/>
  <c r="X32"/>
  <c r="M336"/>
  <c r="X379"/>
  <c r="X31"/>
  <c r="O279"/>
  <c r="D186"/>
  <c r="X186" s="1"/>
  <c r="U375"/>
  <c r="J247"/>
  <c r="M247" s="1"/>
  <c r="H36"/>
  <c r="G36" s="1"/>
  <c r="I398"/>
  <c r="O398" s="1"/>
  <c r="I96"/>
  <c r="O96" s="1"/>
  <c r="H201"/>
  <c r="H402" s="1"/>
  <c r="L202"/>
  <c r="L403" s="1"/>
  <c r="J186"/>
  <c r="M186" s="1"/>
  <c r="O16"/>
  <c r="L338"/>
  <c r="M306"/>
  <c r="D339"/>
  <c r="X55"/>
  <c r="D67"/>
  <c r="D231"/>
  <c r="O56"/>
  <c r="D61"/>
  <c r="J29"/>
  <c r="M29" s="1"/>
  <c r="V92"/>
  <c r="V80" s="1"/>
  <c r="M57"/>
  <c r="X21"/>
  <c r="N76"/>
  <c r="I82"/>
  <c r="I81" s="1"/>
  <c r="X332"/>
  <c r="J242"/>
  <c r="G41"/>
  <c r="X369"/>
  <c r="G109"/>
  <c r="X109" s="1"/>
  <c r="D174"/>
  <c r="X174" s="1"/>
  <c r="G19"/>
  <c r="X19" s="1"/>
  <c r="G89"/>
  <c r="H96"/>
  <c r="H234"/>
  <c r="G234" s="1"/>
  <c r="O239"/>
  <c r="L203"/>
  <c r="L404" s="1"/>
  <c r="J404" s="1"/>
  <c r="J343"/>
  <c r="M343" s="1"/>
  <c r="J93"/>
  <c r="M196" i="51"/>
  <c r="H378" i="62"/>
  <c r="J251" i="43"/>
  <c r="R313" i="61"/>
  <c r="S312"/>
  <c r="G339" i="62"/>
  <c r="H338"/>
  <c r="G338" s="1"/>
  <c r="E163"/>
  <c r="D183"/>
  <c r="G30"/>
  <c r="I15"/>
  <c r="G15" s="1"/>
  <c r="H376"/>
  <c r="G93"/>
  <c r="D338" i="61"/>
  <c r="F334"/>
  <c r="F312" s="1"/>
  <c r="G41" i="60"/>
  <c r="M41" s="1"/>
  <c r="O41"/>
  <c r="K16" i="40"/>
  <c r="U177" i="61"/>
  <c r="J386"/>
  <c r="K386"/>
  <c r="N386" s="1"/>
  <c r="N387"/>
  <c r="F14" i="31"/>
  <c r="J323" i="57"/>
  <c r="D10" i="53"/>
  <c r="E10" s="1"/>
  <c r="N141" i="55"/>
  <c r="I141"/>
  <c r="L141" s="1"/>
  <c r="Q74" i="42"/>
  <c r="Z74"/>
  <c r="C198" i="41"/>
  <c r="S198"/>
  <c r="AB17" i="36"/>
  <c r="Z14"/>
  <c r="F8" i="53"/>
  <c r="A173" i="58"/>
  <c r="A174" s="1"/>
  <c r="A175" s="1"/>
  <c r="A179" s="1"/>
  <c r="A180" s="1"/>
  <c r="A181" s="1"/>
  <c r="A182" s="1"/>
  <c r="A185" s="1"/>
  <c r="A186" s="1"/>
  <c r="A187" s="1"/>
  <c r="A189" s="1"/>
  <c r="A190" s="1"/>
  <c r="A191" s="1"/>
  <c r="A192" s="1"/>
  <c r="A193" s="1"/>
  <c r="A194" s="1"/>
  <c r="A195" s="1"/>
  <c r="A198" s="1"/>
  <c r="A201" s="1"/>
  <c r="A204" s="1"/>
  <c r="A207" s="1"/>
  <c r="A208" s="1"/>
  <c r="A209" s="1"/>
  <c r="A212" s="1"/>
  <c r="A176"/>
  <c r="A177" s="1"/>
  <c r="A178" s="1"/>
  <c r="P105"/>
  <c r="G12" i="54"/>
  <c r="T338" i="62"/>
  <c r="R338" s="1"/>
  <c r="R339"/>
  <c r="M218"/>
  <c r="X218"/>
  <c r="N144" i="43"/>
  <c r="H247"/>
  <c r="H89"/>
  <c r="S144"/>
  <c r="F16" i="32"/>
  <c r="H15"/>
  <c r="C59"/>
  <c r="D16"/>
  <c r="D179"/>
  <c r="Z79" i="47"/>
  <c r="AA79"/>
  <c r="Q79"/>
  <c r="F78" i="32"/>
  <c r="H77"/>
  <c r="P78"/>
  <c r="N338" i="57"/>
  <c r="N122" i="54"/>
  <c r="I122"/>
  <c r="L122" s="1"/>
  <c r="K117"/>
  <c r="N117" s="1"/>
  <c r="J251" i="42"/>
  <c r="I16" i="38"/>
  <c r="O17"/>
  <c r="G17"/>
  <c r="K253" i="45"/>
  <c r="I253" s="1"/>
  <c r="I69"/>
  <c r="K16"/>
  <c r="Z182" i="42"/>
  <c r="Q182"/>
  <c r="Q90" i="38"/>
  <c r="E89"/>
  <c r="D90"/>
  <c r="D362" i="62"/>
  <c r="X362" s="1"/>
  <c r="F361"/>
  <c r="U288"/>
  <c r="G14" i="51"/>
  <c r="M14" s="1"/>
  <c r="M15"/>
  <c r="X32" i="60"/>
  <c r="M32"/>
  <c r="X104"/>
  <c r="M104"/>
  <c r="J334" i="57"/>
  <c r="F105" i="58"/>
  <c r="L148"/>
  <c r="S222" i="43"/>
  <c r="S254" s="1"/>
  <c r="E202"/>
  <c r="H88" i="41"/>
  <c r="F89"/>
  <c r="L89" s="1"/>
  <c r="N89"/>
  <c r="A200" i="57"/>
  <c r="A201" s="1"/>
  <c r="A202"/>
  <c r="G101" i="61"/>
  <c r="X88" i="60"/>
  <c r="M187" i="62"/>
  <c r="X29"/>
  <c r="D13" i="24"/>
  <c r="D10" s="1"/>
  <c r="D12" s="1"/>
  <c r="R15" i="61"/>
  <c r="R14" i="57"/>
  <c r="D256"/>
  <c r="X256" s="1"/>
  <c r="Z17" i="36"/>
  <c r="G113" i="62"/>
  <c r="X113" s="1"/>
  <c r="R309"/>
  <c r="G58" i="61"/>
  <c r="O58"/>
  <c r="K256" i="44"/>
  <c r="J12" i="59"/>
  <c r="L14" i="33"/>
  <c r="O16"/>
  <c r="L14" i="57"/>
  <c r="L12" i="59"/>
  <c r="O16"/>
  <c r="M14" i="31"/>
  <c r="I204" i="45"/>
  <c r="J12"/>
  <c r="AA144"/>
  <c r="Z144"/>
  <c r="Q144"/>
  <c r="I15" i="60"/>
  <c r="I164"/>
  <c r="I148"/>
  <c r="G149"/>
  <c r="X149" s="1"/>
  <c r="O149"/>
  <c r="E105" i="58"/>
  <c r="D148"/>
  <c r="K148"/>
  <c r="O15" i="62"/>
  <c r="L378"/>
  <c r="J378" s="1"/>
  <c r="J15"/>
  <c r="M85" i="60"/>
  <c r="X85"/>
  <c r="N30"/>
  <c r="K163"/>
  <c r="K18"/>
  <c r="O14" i="52"/>
  <c r="G14"/>
  <c r="I67" i="47"/>
  <c r="J252"/>
  <c r="I252" s="1"/>
  <c r="J15"/>
  <c r="D16" i="45"/>
  <c r="C69"/>
  <c r="D253"/>
  <c r="H138" i="31"/>
  <c r="F138" s="1"/>
  <c r="P139"/>
  <c r="F139"/>
  <c r="D306" i="57"/>
  <c r="X306" s="1"/>
  <c r="F305"/>
  <c r="D305" s="1"/>
  <c r="X305" s="1"/>
  <c r="S249" i="51"/>
  <c r="F249"/>
  <c r="AC249"/>
  <c r="N249"/>
  <c r="M13" i="32"/>
  <c r="Z181" i="44"/>
  <c r="Q181"/>
  <c r="AA181"/>
  <c r="E15" i="32"/>
  <c r="P16"/>
  <c r="C138" i="31"/>
  <c r="P138"/>
  <c r="Q229" i="44"/>
  <c r="AA229"/>
  <c r="Z229"/>
  <c r="F16" i="33"/>
  <c r="D17"/>
  <c r="R17"/>
  <c r="P240" i="37"/>
  <c r="F240"/>
  <c r="E38" i="8"/>
  <c r="J117" i="57"/>
  <c r="G33" i="61"/>
  <c r="O33"/>
  <c r="O102"/>
  <c r="O253" i="62"/>
  <c r="G253"/>
  <c r="M253" s="1"/>
  <c r="X35"/>
  <c r="G99"/>
  <c r="H91"/>
  <c r="O194"/>
  <c r="G194"/>
  <c r="M194" s="1"/>
  <c r="J309"/>
  <c r="L287"/>
  <c r="J287" s="1"/>
  <c r="K371"/>
  <c r="A119"/>
  <c r="A120"/>
  <c r="A121" s="1"/>
  <c r="R288"/>
  <c r="T287"/>
  <c r="R287" s="1"/>
  <c r="N276" i="61"/>
  <c r="E13" i="31"/>
  <c r="P14"/>
  <c r="D15" i="34"/>
  <c r="O16"/>
  <c r="C16"/>
  <c r="K244" i="37"/>
  <c r="G65" i="60"/>
  <c r="I13"/>
  <c r="O65"/>
  <c r="O131"/>
  <c r="G131"/>
  <c r="M118" i="54"/>
  <c r="I118"/>
  <c r="L118" s="1"/>
  <c r="J117"/>
  <c r="A92" i="57"/>
  <c r="A97"/>
  <c r="A101" s="1"/>
  <c r="A105" s="1"/>
  <c r="A109" s="1"/>
  <c r="A111" s="1"/>
  <c r="A112" s="1"/>
  <c r="A115" s="1"/>
  <c r="R13"/>
  <c r="S79" i="62"/>
  <c r="X139" i="57"/>
  <c r="M139"/>
  <c r="L175" i="42"/>
  <c r="Z175"/>
  <c r="J79" i="51"/>
  <c r="I80"/>
  <c r="Z245" i="43"/>
  <c r="Q245"/>
  <c r="C73" i="44"/>
  <c r="E69"/>
  <c r="N74" i="45"/>
  <c r="AB74"/>
  <c r="F74"/>
  <c r="AA193" i="44"/>
  <c r="Z193"/>
  <c r="L228" i="37"/>
  <c r="O228"/>
  <c r="S177" i="42"/>
  <c r="N177"/>
  <c r="Q227" i="40"/>
  <c r="L227"/>
  <c r="H255" i="44"/>
  <c r="AB98"/>
  <c r="E114" i="9"/>
  <c r="F114" s="1"/>
  <c r="F115"/>
  <c r="N59" i="32"/>
  <c r="N179" s="1"/>
  <c r="K179"/>
  <c r="AA180" i="47"/>
  <c r="Q180"/>
  <c r="Q187"/>
  <c r="AA187"/>
  <c r="L148" i="44"/>
  <c r="Z148"/>
  <c r="K256" i="57"/>
  <c r="J257"/>
  <c r="M257" s="1"/>
  <c r="N307"/>
  <c r="J307"/>
  <c r="M307" s="1"/>
  <c r="AA188" i="44"/>
  <c r="Z188"/>
  <c r="G164" i="58"/>
  <c r="J164" s="1"/>
  <c r="J182"/>
  <c r="C80" i="8"/>
  <c r="C76"/>
  <c r="F76" s="1"/>
  <c r="D76"/>
  <c r="D80"/>
  <c r="C18" i="10"/>
  <c r="F25"/>
  <c r="C17" i="11"/>
  <c r="C16" s="1"/>
  <c r="C15" s="1"/>
  <c r="C11" s="1"/>
  <c r="C13"/>
  <c r="G36" i="28"/>
  <c r="F41"/>
  <c r="N37"/>
  <c r="K16"/>
  <c r="N16" s="1"/>
  <c r="N30"/>
  <c r="K18"/>
  <c r="E158" i="32"/>
  <c r="P159"/>
  <c r="K89" i="33"/>
  <c r="J90"/>
  <c r="G207" i="61"/>
  <c r="G16"/>
  <c r="G85"/>
  <c r="X85" s="1"/>
  <c r="R127"/>
  <c r="O164" i="62"/>
  <c r="X75"/>
  <c r="I376"/>
  <c r="O376" s="1"/>
  <c r="M14" i="54"/>
  <c r="J339" i="62"/>
  <c r="M339" s="1"/>
  <c r="G97" i="61"/>
  <c r="P156" i="32"/>
  <c r="Z76" i="44"/>
  <c r="G42" i="60"/>
  <c r="I29" i="61"/>
  <c r="G29" s="1"/>
  <c r="X29" s="1"/>
  <c r="D30" i="62"/>
  <c r="I118"/>
  <c r="G205"/>
  <c r="M215" i="51"/>
  <c r="K340" i="57"/>
  <c r="J15"/>
  <c r="K247" i="40"/>
  <c r="M17" i="37"/>
  <c r="E30" i="60"/>
  <c r="F15" i="62"/>
  <c r="M324"/>
  <c r="Q68" i="47"/>
  <c r="D63" i="62"/>
  <c r="X63" s="1"/>
  <c r="J122" i="61"/>
  <c r="M122" s="1"/>
  <c r="X206"/>
  <c r="J101"/>
  <c r="R75"/>
  <c r="M268"/>
  <c r="X148"/>
  <c r="R122"/>
  <c r="M246"/>
  <c r="R314"/>
  <c r="Q75" i="42"/>
  <c r="W92" i="61"/>
  <c r="M174"/>
  <c r="L365"/>
  <c r="K365"/>
  <c r="J379"/>
  <c r="M379" s="1"/>
  <c r="J383"/>
  <c r="M383" s="1"/>
  <c r="H206" i="33"/>
  <c r="Q216"/>
  <c r="Q247" s="1"/>
  <c r="S223" i="47"/>
  <c r="S261" s="1"/>
  <c r="N223"/>
  <c r="G204" i="44"/>
  <c r="AB224" i="45"/>
  <c r="O18" i="31"/>
  <c r="G16" i="38"/>
  <c r="P18" i="31"/>
  <c r="L70" i="44"/>
  <c r="G87"/>
  <c r="M216" i="37"/>
  <c r="Q224" i="47"/>
  <c r="L13" i="52"/>
  <c r="AA71" i="44"/>
  <c r="AC143" i="47"/>
  <c r="R83" i="42"/>
  <c r="Q81" i="40"/>
  <c r="I142" i="55"/>
  <c r="L142" s="1"/>
  <c r="Q83" i="47"/>
  <c r="L336" i="57"/>
  <c r="Z16" i="36"/>
  <c r="D15" i="57"/>
  <c r="D16" i="44"/>
  <c r="C79" i="51"/>
  <c r="Q162" i="44"/>
  <c r="Q71"/>
  <c r="AA163" i="47"/>
  <c r="L237" i="40"/>
  <c r="N143" i="47"/>
  <c r="H87"/>
  <c r="Q177"/>
  <c r="E202" i="42"/>
  <c r="C222" i="43"/>
  <c r="Z80" i="45"/>
  <c r="AA76"/>
  <c r="J136" i="59"/>
  <c r="F225" i="44"/>
  <c r="M225"/>
  <c r="M250" s="1"/>
  <c r="L250" s="1"/>
  <c r="N224" i="47"/>
  <c r="Z228"/>
  <c r="AA163" i="44"/>
  <c r="AA162"/>
  <c r="R248" i="43"/>
  <c r="Z163" i="47"/>
  <c r="Z171" i="45"/>
  <c r="M20" i="60"/>
  <c r="AB253" i="47"/>
  <c r="S223" i="40"/>
  <c r="N223"/>
  <c r="N245" s="1"/>
  <c r="L245" s="1"/>
  <c r="G83" i="60"/>
  <c r="E85" i="47"/>
  <c r="I224" i="45"/>
  <c r="Z71"/>
  <c r="O361" i="62"/>
  <c r="R70" i="44"/>
  <c r="L86" i="43"/>
  <c r="I16" i="28"/>
  <c r="P19" i="31"/>
  <c r="N19"/>
  <c r="G70" i="42"/>
  <c r="I16" i="22"/>
  <c r="H16" i="41"/>
  <c r="K49" i="54"/>
  <c r="E13" i="51"/>
  <c r="F108" i="32"/>
  <c r="P140" i="31"/>
  <c r="L231" i="40"/>
  <c r="S144" i="45"/>
  <c r="C205"/>
  <c r="L148" i="42"/>
  <c r="H184" i="57"/>
  <c r="G185"/>
  <c r="X185" s="1"/>
  <c r="P108" i="32"/>
  <c r="H179"/>
  <c r="AB79" i="47"/>
  <c r="Z167" i="45"/>
  <c r="F115" i="52"/>
  <c r="N218" i="62"/>
  <c r="I157" i="55"/>
  <c r="L157" s="1"/>
  <c r="R229" i="44"/>
  <c r="P45" i="31"/>
  <c r="M76" i="45"/>
  <c r="N41" i="60"/>
  <c r="X234" i="62"/>
  <c r="G71" i="38"/>
  <c r="M71" s="1"/>
  <c r="K141" i="54"/>
  <c r="Z24" i="45"/>
  <c r="L159" i="44"/>
  <c r="I78" i="32"/>
  <c r="L78" s="1"/>
  <c r="F251" i="51"/>
  <c r="N251"/>
  <c r="O325" i="57"/>
  <c r="M68" i="47"/>
  <c r="M253" s="1"/>
  <c r="L253" s="1"/>
  <c r="O74" i="62"/>
  <c r="R144" i="40"/>
  <c r="F255" i="45"/>
  <c r="Z74" i="44"/>
  <c r="AA222" i="45"/>
  <c r="Z186" i="47"/>
  <c r="D71" i="33"/>
  <c r="F240"/>
  <c r="M60" i="20"/>
  <c r="K158" i="32"/>
  <c r="I154" i="57"/>
  <c r="O71" i="38"/>
  <c r="J18" i="22"/>
  <c r="I19"/>
  <c r="S250" i="40"/>
  <c r="F250"/>
  <c r="Q250" s="1"/>
  <c r="R16" i="36"/>
  <c r="D9" i="53"/>
  <c r="E9" s="1"/>
  <c r="Q145" i="44"/>
  <c r="Q235" i="47"/>
  <c r="AB181" i="44"/>
  <c r="Q152"/>
  <c r="H85" i="58"/>
  <c r="F15" i="54"/>
  <c r="T15" s="1"/>
  <c r="C30" i="20"/>
  <c r="N20" i="60"/>
  <c r="H47"/>
  <c r="L373" i="62"/>
  <c r="C59" i="34"/>
  <c r="M261" i="62"/>
  <c r="E91"/>
  <c r="Z244" i="45"/>
  <c r="R163" i="62"/>
  <c r="O339"/>
  <c r="M229"/>
  <c r="X272"/>
  <c r="R313"/>
  <c r="N169"/>
  <c r="X311"/>
  <c r="Q155" i="54"/>
  <c r="Z75" i="44"/>
  <c r="L173" i="52"/>
  <c r="N80" i="51"/>
  <c r="Q75" i="43"/>
  <c r="AB172" i="44"/>
  <c r="F172"/>
  <c r="Z52" i="45"/>
  <c r="R76" i="47"/>
  <c r="Q140" i="44"/>
  <c r="Z61" i="45"/>
  <c r="F164" i="43"/>
  <c r="L160" i="47"/>
  <c r="L201" i="43"/>
  <c r="Z248" i="45"/>
  <c r="AA129" i="47"/>
  <c r="X87" i="60"/>
  <c r="Z173" i="44"/>
  <c r="H89" i="38"/>
  <c r="D207" i="33"/>
  <c r="P207" s="1"/>
  <c r="C84" i="37"/>
  <c r="O84" s="1"/>
  <c r="Z62" i="47"/>
  <c r="F80" i="8"/>
  <c r="P91" i="38"/>
  <c r="K29" i="20"/>
  <c r="Z44" i="42"/>
  <c r="F225" i="47"/>
  <c r="AA225" s="1"/>
  <c r="Q199" i="41"/>
  <c r="P87" i="33"/>
  <c r="Q33" i="40"/>
  <c r="F59" i="20"/>
  <c r="U15" i="57"/>
  <c r="T255"/>
  <c r="R255" s="1"/>
  <c r="C251" i="47"/>
  <c r="M255"/>
  <c r="L255" s="1"/>
  <c r="C224" i="45"/>
  <c r="O210" i="37"/>
  <c r="F16" i="59"/>
  <c r="F12" s="1"/>
  <c r="F140" s="1"/>
  <c r="Y71" i="58"/>
  <c r="Z13"/>
  <c r="Z12" s="1"/>
  <c r="AC13"/>
  <c r="AC12" s="1"/>
  <c r="H340" i="57"/>
  <c r="I30" i="20"/>
  <c r="L30" s="1"/>
  <c r="C15"/>
  <c r="H18" i="28"/>
  <c r="H17" s="1"/>
  <c r="H15" s="1"/>
  <c r="H17" i="25"/>
  <c r="M243" i="33"/>
  <c r="M242"/>
  <c r="P65"/>
  <c r="G166" i="57"/>
  <c r="M166" s="1"/>
  <c r="N166"/>
  <c r="O185"/>
  <c r="L338"/>
  <c r="J185"/>
  <c r="AA70" i="51"/>
  <c r="Q70"/>
  <c r="AA192"/>
  <c r="Z192"/>
  <c r="F51" i="55"/>
  <c r="H50"/>
  <c r="F187" i="43"/>
  <c r="R187"/>
  <c r="AA171" i="47"/>
  <c r="Z171"/>
  <c r="F220" i="40"/>
  <c r="Q220" s="1"/>
  <c r="S220"/>
  <c r="Q77" i="47"/>
  <c r="L77"/>
  <c r="AA77"/>
  <c r="C170" i="41"/>
  <c r="Q170" s="1"/>
  <c r="Q167"/>
  <c r="L89" i="44"/>
  <c r="Z89"/>
  <c r="N170" i="42"/>
  <c r="S170"/>
  <c r="S85" i="40"/>
  <c r="F85"/>
  <c r="Q85" s="1"/>
  <c r="H83"/>
  <c r="H70" s="1"/>
  <c r="S70" s="1"/>
  <c r="Q227" i="42"/>
  <c r="Z227"/>
  <c r="F34" i="24"/>
  <c r="E36"/>
  <c r="N105" i="58"/>
  <c r="T105" s="1"/>
  <c r="M148"/>
  <c r="S148" s="1"/>
  <c r="K17" i="33"/>
  <c r="K240"/>
  <c r="J240" s="1"/>
  <c r="AA175" i="45"/>
  <c r="L175"/>
  <c r="E18" i="59"/>
  <c r="E16" s="1"/>
  <c r="E12" s="1"/>
  <c r="E140" s="1"/>
  <c r="D140" s="1"/>
  <c r="E136"/>
  <c r="D29"/>
  <c r="D18" s="1"/>
  <c r="A183" i="57"/>
  <c r="A187"/>
  <c r="N96"/>
  <c r="K93"/>
  <c r="L172" i="47"/>
  <c r="Q172"/>
  <c r="J85"/>
  <c r="D49" i="54"/>
  <c r="C50"/>
  <c r="Q167" i="47"/>
  <c r="Z167"/>
  <c r="N83"/>
  <c r="S83"/>
  <c r="C223"/>
  <c r="AB223"/>
  <c r="R223"/>
  <c r="R261" s="1"/>
  <c r="L86" i="45"/>
  <c r="AA86"/>
  <c r="Q86"/>
  <c r="R71" i="58"/>
  <c r="U85"/>
  <c r="D66" i="11"/>
  <c r="E71"/>
  <c r="D13"/>
  <c r="E13" s="1"/>
  <c r="D17"/>
  <c r="E19"/>
  <c r="Q57" i="26"/>
  <c r="E56"/>
  <c r="F37" i="22"/>
  <c r="N37"/>
  <c r="L37" s="1"/>
  <c r="H36"/>
  <c r="M41" i="25"/>
  <c r="L41" s="1"/>
  <c r="J36"/>
  <c r="M19"/>
  <c r="L19" s="1"/>
  <c r="G18"/>
  <c r="F19"/>
  <c r="K13" i="32"/>
  <c r="I13" s="1"/>
  <c r="L13" s="1"/>
  <c r="N78"/>
  <c r="Q174" i="40"/>
  <c r="G253" i="38"/>
  <c r="P253" s="1"/>
  <c r="J118" i="57"/>
  <c r="C253" i="44"/>
  <c r="Z50" i="47"/>
  <c r="D68" i="26"/>
  <c r="Q68" s="1"/>
  <c r="F75" i="38"/>
  <c r="R77"/>
  <c r="Q48"/>
  <c r="G48"/>
  <c r="P48" s="1"/>
  <c r="I118" i="55"/>
  <c r="L118" s="1"/>
  <c r="Q76" i="43"/>
  <c r="Q220"/>
  <c r="AB80" i="44"/>
  <c r="Q82" i="42"/>
  <c r="Q80"/>
  <c r="L237" i="47"/>
  <c r="F249"/>
  <c r="I70" i="28"/>
  <c r="Z173" i="47"/>
  <c r="H18" i="59"/>
  <c r="H16" s="1"/>
  <c r="Z82" i="42"/>
  <c r="C67" i="31"/>
  <c r="F75" i="45"/>
  <c r="AB251" i="51"/>
  <c r="Q29" i="44"/>
  <c r="Z73" i="47"/>
  <c r="Q169" i="43"/>
  <c r="AA126" i="44"/>
  <c r="R250" i="45"/>
  <c r="R62" i="51"/>
  <c r="M237" i="42"/>
  <c r="L90" i="43"/>
  <c r="F118" i="54"/>
  <c r="D65" i="59"/>
  <c r="D49" s="1"/>
  <c r="Z176" i="45"/>
  <c r="I143" i="47"/>
  <c r="Q67" i="51"/>
  <c r="AA197" i="47"/>
  <c r="Q197"/>
  <c r="Q152"/>
  <c r="Q194" i="43"/>
  <c r="Q28" i="51"/>
  <c r="N89" i="52"/>
  <c r="F27" i="51"/>
  <c r="Q152" i="45"/>
  <c r="E60" i="24"/>
  <c r="E87" s="1"/>
  <c r="L161" i="42"/>
  <c r="Q236"/>
  <c r="M249" i="47"/>
  <c r="Z226" i="43"/>
  <c r="AA77" i="44"/>
  <c r="Q60" i="42"/>
  <c r="AA240" i="45"/>
  <c r="Z59" i="47"/>
  <c r="Z80" i="43"/>
  <c r="AA163" i="51"/>
  <c r="N236" i="52"/>
  <c r="AA197" i="45"/>
  <c r="Z47" i="47"/>
  <c r="Z231" i="43"/>
  <c r="Z196"/>
  <c r="Z227"/>
  <c r="Z159" i="45"/>
  <c r="Z171" i="43"/>
  <c r="N242" i="45"/>
  <c r="AB101"/>
  <c r="R74" i="47"/>
  <c r="AC84"/>
  <c r="R168" i="44"/>
  <c r="S64" i="51"/>
  <c r="U205" i="52"/>
  <c r="AB169" i="47"/>
  <c r="R167" i="44"/>
  <c r="Z27" i="47"/>
  <c r="Q153" i="43"/>
  <c r="R182" i="45"/>
  <c r="AB167" i="47"/>
  <c r="Q134"/>
  <c r="G135" i="51"/>
  <c r="M181"/>
  <c r="N84" i="47"/>
  <c r="AB164" i="45"/>
  <c r="F178"/>
  <c r="C118" i="54"/>
  <c r="T118" s="1"/>
  <c r="M87" i="42"/>
  <c r="H247" i="51"/>
  <c r="F93"/>
  <c r="AA234" i="47"/>
  <c r="F85" i="44"/>
  <c r="K87" i="47"/>
  <c r="Z239" i="44"/>
  <c r="Z235"/>
  <c r="AA39" i="45"/>
  <c r="N81" i="47"/>
  <c r="H78"/>
  <c r="F78" s="1"/>
  <c r="G81" i="43"/>
  <c r="I234" i="51"/>
  <c r="L234" s="1"/>
  <c r="R83" i="44"/>
  <c r="F84" i="45"/>
  <c r="C65" i="51"/>
  <c r="Q63" i="47"/>
  <c r="M86" i="45"/>
  <c r="Z139" i="44"/>
  <c r="H62" i="51"/>
  <c r="F62" s="1"/>
  <c r="L218"/>
  <c r="Z69"/>
  <c r="R169" i="42"/>
  <c r="Q137"/>
  <c r="N176" i="47"/>
  <c r="F101" i="44"/>
  <c r="K73" i="58"/>
  <c r="F125" i="9"/>
  <c r="F52" i="8"/>
  <c r="C83" i="9"/>
  <c r="F106"/>
  <c r="O19" i="59"/>
  <c r="D24" i="20"/>
  <c r="O77" i="59"/>
  <c r="O65" s="1"/>
  <c r="AA66" i="58"/>
  <c r="I85"/>
  <c r="Q76" i="26"/>
  <c r="M33" i="20"/>
  <c r="N19"/>
  <c r="N74" s="1"/>
  <c r="I165" i="31"/>
  <c r="L165" s="1"/>
  <c r="N68" i="32"/>
  <c r="N60"/>
  <c r="P35" i="33"/>
  <c r="P33"/>
  <c r="P18"/>
  <c r="M247" i="38"/>
  <c r="Q239"/>
  <c r="H229"/>
  <c r="R223"/>
  <c r="P203"/>
  <c r="D190"/>
  <c r="P190" s="1"/>
  <c r="M189"/>
  <c r="P184"/>
  <c r="G181"/>
  <c r="P181" s="1"/>
  <c r="P179"/>
  <c r="D178"/>
  <c r="P178" s="1"/>
  <c r="P118"/>
  <c r="P100"/>
  <c r="P94"/>
  <c r="P92"/>
  <c r="G84"/>
  <c r="R80"/>
  <c r="P69"/>
  <c r="P62"/>
  <c r="P52"/>
  <c r="P39"/>
  <c r="P37"/>
  <c r="D22"/>
  <c r="P22" s="1"/>
  <c r="P19"/>
  <c r="D248" i="40"/>
  <c r="S166"/>
  <c r="S161"/>
  <c r="Q122"/>
  <c r="Q104"/>
  <c r="L102"/>
  <c r="Q96"/>
  <c r="Q94"/>
  <c r="Q92"/>
  <c r="F181" i="42"/>
  <c r="R250" i="44"/>
  <c r="Z128"/>
  <c r="N36" i="33"/>
  <c r="J36"/>
  <c r="M36" s="1"/>
  <c r="F133" i="40"/>
  <c r="Q133" s="1"/>
  <c r="S133"/>
  <c r="Z138" i="42"/>
  <c r="Q138"/>
  <c r="R34" i="33"/>
  <c r="D163" i="38"/>
  <c r="P163" s="1"/>
  <c r="R63"/>
  <c r="R48"/>
  <c r="Q197" i="40"/>
  <c r="S168"/>
  <c r="AB230" i="47"/>
  <c r="R230"/>
  <c r="AC153"/>
  <c r="S153"/>
  <c r="F127"/>
  <c r="S127"/>
  <c r="S66"/>
  <c r="AC66"/>
  <c r="R55"/>
  <c r="C55"/>
  <c r="N233" i="41"/>
  <c r="G220"/>
  <c r="E81"/>
  <c r="I77"/>
  <c r="L77" s="1"/>
  <c r="S47"/>
  <c r="S130" i="42"/>
  <c r="Q112"/>
  <c r="N64"/>
  <c r="F30"/>
  <c r="Z30" s="1"/>
  <c r="N25"/>
  <c r="G251" i="44"/>
  <c r="F251" s="1"/>
  <c r="H150"/>
  <c r="F52"/>
  <c r="Q52" s="1"/>
  <c r="N222" i="45"/>
  <c r="F100"/>
  <c r="Z100" s="1"/>
  <c r="F63"/>
  <c r="R63"/>
  <c r="Q47"/>
  <c r="F46"/>
  <c r="Z42"/>
  <c r="AB39"/>
  <c r="Q38"/>
  <c r="F32"/>
  <c r="S21"/>
  <c r="N247" i="47"/>
  <c r="R238"/>
  <c r="F205"/>
  <c r="AB205"/>
  <c r="F182"/>
  <c r="N179"/>
  <c r="N158"/>
  <c r="S156"/>
  <c r="Z123"/>
  <c r="Z120"/>
  <c r="Z115"/>
  <c r="E71"/>
  <c r="N32"/>
  <c r="F32"/>
  <c r="AA32" s="1"/>
  <c r="AB27"/>
  <c r="H27" i="49"/>
  <c r="C17" i="50"/>
  <c r="C64" i="46"/>
  <c r="C62"/>
  <c r="C60"/>
  <c r="C58"/>
  <c r="C56"/>
  <c r="M176" i="52"/>
  <c r="M175" s="1"/>
  <c r="U156"/>
  <c r="D89"/>
  <c r="U89" s="1"/>
  <c r="R53"/>
  <c r="I80" i="54"/>
  <c r="L80" s="1"/>
  <c r="G72" i="47"/>
  <c r="C72"/>
  <c r="AA43" i="45"/>
  <c r="R39"/>
  <c r="F197" i="43"/>
  <c r="Z197" s="1"/>
  <c r="C72"/>
  <c r="R27"/>
  <c r="D215" i="51"/>
  <c r="J51" i="52"/>
  <c r="I111" i="54"/>
  <c r="L111" s="1"/>
  <c r="I86"/>
  <c r="L86" s="1"/>
  <c r="C82" i="37"/>
  <c r="O82" s="1"/>
  <c r="R58" i="43"/>
  <c r="AC116" i="51"/>
  <c r="X327" i="57"/>
  <c r="D326"/>
  <c r="X326" s="1"/>
  <c r="G169"/>
  <c r="X169" s="1"/>
  <c r="H168"/>
  <c r="G168" s="1"/>
  <c r="X168" s="1"/>
  <c r="I241"/>
  <c r="O241" s="1"/>
  <c r="G243"/>
  <c r="X243" s="1"/>
  <c r="N21" i="60"/>
  <c r="J21"/>
  <c r="M21" s="1"/>
  <c r="D89" i="57"/>
  <c r="X89" s="1"/>
  <c r="D241"/>
  <c r="E20" i="60"/>
  <c r="X114"/>
  <c r="I276" i="61"/>
  <c r="O276" s="1"/>
  <c r="I34" i="60"/>
  <c r="D34"/>
  <c r="F33"/>
  <c r="I64" i="62"/>
  <c r="D64"/>
  <c r="I84"/>
  <c r="F81"/>
  <c r="N95"/>
  <c r="J65" i="60"/>
  <c r="M65" s="1"/>
  <c r="D122"/>
  <c r="X122" s="1"/>
  <c r="D90"/>
  <c r="X90" s="1"/>
  <c r="R52"/>
  <c r="J100"/>
  <c r="L51"/>
  <c r="D107"/>
  <c r="X107" s="1"/>
  <c r="G93"/>
  <c r="G106"/>
  <c r="H116"/>
  <c r="G135"/>
  <c r="K82" i="61"/>
  <c r="H200"/>
  <c r="I166"/>
  <c r="D16" i="62"/>
  <c r="X16" s="1"/>
  <c r="G37"/>
  <c r="R55"/>
  <c r="U63"/>
  <c r="T74"/>
  <c r="R74" s="1"/>
  <c r="M78"/>
  <c r="L81"/>
  <c r="Q91"/>
  <c r="Q74" s="1"/>
  <c r="G108"/>
  <c r="X108" s="1"/>
  <c r="G110"/>
  <c r="X110" s="1"/>
  <c r="G126"/>
  <c r="X126" s="1"/>
  <c r="G139"/>
  <c r="X139" s="1"/>
  <c r="X145"/>
  <c r="Q153"/>
  <c r="H84"/>
  <c r="D84"/>
  <c r="I372"/>
  <c r="I88"/>
  <c r="N111"/>
  <c r="K109"/>
  <c r="H82" i="61"/>
  <c r="L82"/>
  <c r="I200"/>
  <c r="M36" i="62"/>
  <c r="G64"/>
  <c r="I291"/>
  <c r="F290"/>
  <c r="D143"/>
  <c r="X143" s="1"/>
  <c r="H165"/>
  <c r="E190"/>
  <c r="D190" s="1"/>
  <c r="X190" s="1"/>
  <c r="D192"/>
  <c r="X192" s="1"/>
  <c r="J197"/>
  <c r="M197" s="1"/>
  <c r="D205"/>
  <c r="H215"/>
  <c r="N227"/>
  <c r="X252"/>
  <c r="J257"/>
  <c r="M257" s="1"/>
  <c r="X279"/>
  <c r="X307"/>
  <c r="W309"/>
  <c r="U309" s="1"/>
  <c r="J203" i="61"/>
  <c r="G181"/>
  <c r="X181" s="1"/>
  <c r="G194"/>
  <c r="I202"/>
  <c r="I403" s="1"/>
  <c r="N234"/>
  <c r="G201"/>
  <c r="I183"/>
  <c r="L178"/>
  <c r="G274" i="62"/>
  <c r="X274" s="1"/>
  <c r="H273"/>
  <c r="G273" s="1"/>
  <c r="X273" s="1"/>
  <c r="G179" i="61"/>
  <c r="J179"/>
  <c r="H202"/>
  <c r="H403" s="1"/>
  <c r="I203"/>
  <c r="K183"/>
  <c r="K178" s="1"/>
  <c r="E353" i="62"/>
  <c r="G354"/>
  <c r="X354" s="1"/>
  <c r="E356"/>
  <c r="D356" s="1"/>
  <c r="X356" s="1"/>
  <c r="S356"/>
  <c r="R356" s="1"/>
  <c r="R358"/>
  <c r="G184" i="61"/>
  <c r="M184" s="1"/>
  <c r="O206"/>
  <c r="H174" i="52" l="1"/>
  <c r="H238"/>
  <c r="M16" i="34"/>
  <c r="J15"/>
  <c r="Z39" i="45"/>
  <c r="M279" i="61"/>
  <c r="J282" i="57"/>
  <c r="L337"/>
  <c r="X56" i="62"/>
  <c r="M56"/>
  <c r="G239" i="33"/>
  <c r="P239" s="1"/>
  <c r="Q239"/>
  <c r="E16" i="38"/>
  <c r="Q16" s="1"/>
  <c r="Q17"/>
  <c r="Q186" i="47"/>
  <c r="AA186"/>
  <c r="X209" i="57"/>
  <c r="D84" i="38"/>
  <c r="P84" s="1"/>
  <c r="Q84"/>
  <c r="Q30" i="43"/>
  <c r="X194" i="62"/>
  <c r="X197"/>
  <c r="Q73" i="40"/>
  <c r="X106" i="64"/>
  <c r="Q199" i="47"/>
  <c r="Z199"/>
  <c r="AA199"/>
  <c r="E16" i="24"/>
  <c r="F15"/>
  <c r="F14" s="1"/>
  <c r="H44" i="31"/>
  <c r="N45"/>
  <c r="F45"/>
  <c r="G267" i="61"/>
  <c r="X267" s="1"/>
  <c r="G144" i="43"/>
  <c r="H173" i="52"/>
  <c r="H12" s="1"/>
  <c r="I80" i="55"/>
  <c r="L80" s="1"/>
  <c r="J79"/>
  <c r="M80"/>
  <c r="J153"/>
  <c r="M153" s="1"/>
  <c r="Q174" i="42"/>
  <c r="G214" i="52"/>
  <c r="U214" s="1"/>
  <c r="P159" i="34"/>
  <c r="H158"/>
  <c r="E17" i="37"/>
  <c r="C71"/>
  <c r="O71" s="1"/>
  <c r="E240"/>
  <c r="Q240" s="1"/>
  <c r="Q71"/>
  <c r="F159" i="34"/>
  <c r="Q159" s="1"/>
  <c r="J12" i="64"/>
  <c r="X200" i="62"/>
  <c r="Q189" i="44"/>
  <c r="Z189"/>
  <c r="J88" i="52"/>
  <c r="M88" s="1"/>
  <c r="N137" i="59"/>
  <c r="J137"/>
  <c r="AA252" i="45"/>
  <c r="Z252"/>
  <c r="Q230" i="43"/>
  <c r="Z230"/>
  <c r="E72" i="58"/>
  <c r="D72" s="1"/>
  <c r="D73"/>
  <c r="L227" i="37"/>
  <c r="O227"/>
  <c r="Q221" i="47"/>
  <c r="Z221"/>
  <c r="AA221"/>
  <c r="AA157" i="45"/>
  <c r="Z157"/>
  <c r="Q157"/>
  <c r="Q238"/>
  <c r="L238"/>
  <c r="Z49" i="42"/>
  <c r="Q49"/>
  <c r="K222" i="40"/>
  <c r="I223"/>
  <c r="C19" i="9"/>
  <c r="F16"/>
  <c r="K305" i="57"/>
  <c r="N305" s="1"/>
  <c r="N306"/>
  <c r="D155" i="34"/>
  <c r="C155" s="1"/>
  <c r="O158"/>
  <c r="H69" i="44"/>
  <c r="AB73"/>
  <c r="N73"/>
  <c r="N256" s="1"/>
  <c r="S73"/>
  <c r="D17" i="25"/>
  <c r="C18"/>
  <c r="D16" i="59"/>
  <c r="D12" s="1"/>
  <c r="X247" i="62"/>
  <c r="E13" i="20"/>
  <c r="E12" s="1"/>
  <c r="H248" i="40"/>
  <c r="O87" i="57"/>
  <c r="S177" i="40"/>
  <c r="G183" i="32"/>
  <c r="G17" i="36"/>
  <c r="M106" i="58"/>
  <c r="S106" s="1"/>
  <c r="Z27" i="43"/>
  <c r="Z33"/>
  <c r="Q173" i="42"/>
  <c r="C39" i="8"/>
  <c r="F143" i="55"/>
  <c r="G157"/>
  <c r="F157" s="1"/>
  <c r="G142"/>
  <c r="J99" i="62"/>
  <c r="M99" s="1"/>
  <c r="N99"/>
  <c r="Z222" i="47"/>
  <c r="AA222"/>
  <c r="Q244"/>
  <c r="AA244"/>
  <c r="Z244"/>
  <c r="Q43" i="45"/>
  <c r="Z43"/>
  <c r="AA151"/>
  <c r="Z151"/>
  <c r="Q151"/>
  <c r="AA59" i="44"/>
  <c r="Z59"/>
  <c r="Q59"/>
  <c r="Z169" i="42"/>
  <c r="Q169"/>
  <c r="M78" i="34"/>
  <c r="J77"/>
  <c r="I78"/>
  <c r="L78" s="1"/>
  <c r="J13"/>
  <c r="Z162" i="42"/>
  <c r="Q162"/>
  <c r="Z239" i="43"/>
  <c r="Q239"/>
  <c r="F16" i="25"/>
  <c r="N16"/>
  <c r="L16" s="1"/>
  <c r="S81" i="43"/>
  <c r="N81"/>
  <c r="Z56"/>
  <c r="I79" i="57"/>
  <c r="W14" i="62"/>
  <c r="W13" s="1"/>
  <c r="W12" s="1"/>
  <c r="P145" i="38"/>
  <c r="F19" i="9"/>
  <c r="G408" i="64"/>
  <c r="F54" i="9"/>
  <c r="L239" i="43"/>
  <c r="F20" i="9"/>
  <c r="C158" i="34"/>
  <c r="A185" i="69"/>
  <c r="A186"/>
  <c r="A187" s="1"/>
  <c r="A188" s="1"/>
  <c r="A189" s="1"/>
  <c r="V12" i="65"/>
  <c r="U12" s="1"/>
  <c r="M15" i="64"/>
  <c r="X81"/>
  <c r="G400"/>
  <c r="E12"/>
  <c r="N80"/>
  <c r="X101"/>
  <c r="M337"/>
  <c r="O179"/>
  <c r="G179"/>
  <c r="X408"/>
  <c r="M400"/>
  <c r="J16" i="40"/>
  <c r="J14" s="1"/>
  <c r="J13" s="1"/>
  <c r="I17"/>
  <c r="F14" i="20"/>
  <c r="H13"/>
  <c r="J14" i="52"/>
  <c r="K13"/>
  <c r="N14"/>
  <c r="K13" i="31"/>
  <c r="N14"/>
  <c r="I14"/>
  <c r="L14" s="1"/>
  <c r="Q83" i="42"/>
  <c r="Z83"/>
  <c r="L83"/>
  <c r="V14" i="57"/>
  <c r="U78"/>
  <c r="Y148" i="58"/>
  <c r="X149"/>
  <c r="I389" i="64"/>
  <c r="O390"/>
  <c r="Q150" i="47"/>
  <c r="Z150"/>
  <c r="AA150"/>
  <c r="AA241"/>
  <c r="Z241"/>
  <c r="Q195" i="44"/>
  <c r="AA195"/>
  <c r="Z195"/>
  <c r="F181" i="32"/>
  <c r="H180"/>
  <c r="F180" s="1"/>
  <c r="Q231" i="42"/>
  <c r="L231"/>
  <c r="Q83" i="44"/>
  <c r="AA83"/>
  <c r="Z83"/>
  <c r="L83"/>
  <c r="F150" i="42"/>
  <c r="S150"/>
  <c r="H144"/>
  <c r="S144" s="1"/>
  <c r="AA64" i="51"/>
  <c r="Z64"/>
  <c r="Q64"/>
  <c r="AA78" i="45"/>
  <c r="Q78"/>
  <c r="Z78"/>
  <c r="R70" i="41"/>
  <c r="F70"/>
  <c r="M70"/>
  <c r="S212" i="58"/>
  <c r="S164" s="1"/>
  <c r="P164"/>
  <c r="Q72"/>
  <c r="P73"/>
  <c r="O14"/>
  <c r="M66"/>
  <c r="C144" i="43"/>
  <c r="D247"/>
  <c r="D89"/>
  <c r="N224" i="42"/>
  <c r="H223"/>
  <c r="S224"/>
  <c r="Q230" i="41"/>
  <c r="L230"/>
  <c r="N84" i="40"/>
  <c r="S84"/>
  <c r="F84"/>
  <c r="L84" s="1"/>
  <c r="C22" i="28"/>
  <c r="D19"/>
  <c r="L203" i="45"/>
  <c r="AA203"/>
  <c r="Q203"/>
  <c r="R87" i="38"/>
  <c r="D87"/>
  <c r="P87" s="1"/>
  <c r="Q105" i="26"/>
  <c r="E102"/>
  <c r="E64"/>
  <c r="Q64" s="1"/>
  <c r="E101"/>
  <c r="Q101" s="1"/>
  <c r="L81" i="47"/>
  <c r="Q81"/>
  <c r="M73" i="45"/>
  <c r="M257" s="1"/>
  <c r="F73"/>
  <c r="R73"/>
  <c r="G69"/>
  <c r="Q168" i="43"/>
  <c r="Z168"/>
  <c r="M118" i="55"/>
  <c r="J117"/>
  <c r="L178" i="40"/>
  <c r="Q178"/>
  <c r="X265" i="62"/>
  <c r="M265"/>
  <c r="G77" i="34"/>
  <c r="O77" s="1"/>
  <c r="O78"/>
  <c r="F78"/>
  <c r="N163" i="42"/>
  <c r="F163"/>
  <c r="L163" s="1"/>
  <c r="Z197"/>
  <c r="Q197"/>
  <c r="S74" i="41"/>
  <c r="C74"/>
  <c r="Q74" s="1"/>
  <c r="AA74" i="51"/>
  <c r="L74"/>
  <c r="Z74"/>
  <c r="Q74"/>
  <c r="H88" i="45"/>
  <c r="N144"/>
  <c r="R201" i="42"/>
  <c r="F201"/>
  <c r="M201"/>
  <c r="H79" i="51"/>
  <c r="AC80"/>
  <c r="L83" i="43"/>
  <c r="Q83"/>
  <c r="Z83"/>
  <c r="AA148" i="47"/>
  <c r="Q148"/>
  <c r="Z148"/>
  <c r="K243" i="41"/>
  <c r="I70"/>
  <c r="G95" i="61"/>
  <c r="X131"/>
  <c r="X73" i="57"/>
  <c r="J104"/>
  <c r="M104" s="1"/>
  <c r="Q254" i="45"/>
  <c r="M239" i="33"/>
  <c r="M159" i="57"/>
  <c r="AA34" i="45"/>
  <c r="G241" i="33"/>
  <c r="AA26" i="45"/>
  <c r="I84" i="60"/>
  <c r="H249" i="42"/>
  <c r="H248" s="1"/>
  <c r="AC79" i="51"/>
  <c r="M61"/>
  <c r="F67" i="10"/>
  <c r="E17" i="40"/>
  <c r="E16" s="1"/>
  <c r="J164" i="57"/>
  <c r="Z218" i="42"/>
  <c r="Z167"/>
  <c r="Z30" i="47"/>
  <c r="Q30"/>
  <c r="AA30"/>
  <c r="S85" i="45"/>
  <c r="AB85"/>
  <c r="E227" i="38"/>
  <c r="D228"/>
  <c r="M237" i="43"/>
  <c r="R237"/>
  <c r="G223"/>
  <c r="F237"/>
  <c r="L237" s="1"/>
  <c r="S239" i="42"/>
  <c r="N239"/>
  <c r="F239"/>
  <c r="L239" s="1"/>
  <c r="Q242" i="40"/>
  <c r="L242"/>
  <c r="E248" i="42"/>
  <c r="C248" s="1"/>
  <c r="E21" i="24"/>
  <c r="G79"/>
  <c r="M85" i="45"/>
  <c r="F85"/>
  <c r="Q85" s="1"/>
  <c r="K69" i="28"/>
  <c r="N69" s="1"/>
  <c r="N70"/>
  <c r="E77" i="34"/>
  <c r="C78"/>
  <c r="D100" i="60"/>
  <c r="I100"/>
  <c r="O233" i="57"/>
  <c r="G233"/>
  <c r="D86" i="58"/>
  <c r="J86" s="1"/>
  <c r="F85"/>
  <c r="F71" s="1"/>
  <c r="F13" s="1"/>
  <c r="F12" s="1"/>
  <c r="H72"/>
  <c r="G73"/>
  <c r="J73" s="1"/>
  <c r="M164" i="43"/>
  <c r="R164"/>
  <c r="M14" i="36"/>
  <c r="M17" s="1"/>
  <c r="N17"/>
  <c r="Q250" i="38"/>
  <c r="G250"/>
  <c r="P250" s="1"/>
  <c r="Q145" i="33"/>
  <c r="H90"/>
  <c r="H240"/>
  <c r="Q240" s="1"/>
  <c r="N145"/>
  <c r="K16" i="43"/>
  <c r="G29" i="26"/>
  <c r="F25"/>
  <c r="G25" s="1"/>
  <c r="Q82" i="47"/>
  <c r="Z82"/>
  <c r="AA82"/>
  <c r="E58" i="24"/>
  <c r="G57"/>
  <c r="Z149" i="42"/>
  <c r="Q149"/>
  <c r="R239" i="40"/>
  <c r="F239"/>
  <c r="Q239" s="1"/>
  <c r="G222"/>
  <c r="I69" i="28"/>
  <c r="E117" i="55"/>
  <c r="C122"/>
  <c r="Z79" i="42"/>
  <c r="L79"/>
  <c r="Q79"/>
  <c r="E89"/>
  <c r="E88" s="1"/>
  <c r="E247"/>
  <c r="G248"/>
  <c r="R248" s="1"/>
  <c r="R249"/>
  <c r="F249"/>
  <c r="S142" i="41"/>
  <c r="E89"/>
  <c r="C89" i="40"/>
  <c r="E88"/>
  <c r="C88" s="1"/>
  <c r="N70" i="43"/>
  <c r="N246" s="1"/>
  <c r="H17"/>
  <c r="H16" s="1"/>
  <c r="N16" s="1"/>
  <c r="Z149" i="47"/>
  <c r="AA149"/>
  <c r="Q149"/>
  <c r="M144" i="45"/>
  <c r="R144"/>
  <c r="G88"/>
  <c r="F198" i="42"/>
  <c r="M198"/>
  <c r="D14" i="55"/>
  <c r="D13" s="1"/>
  <c r="C49"/>
  <c r="Q41" i="47"/>
  <c r="AA41"/>
  <c r="R203"/>
  <c r="AB203"/>
  <c r="R92" i="61"/>
  <c r="M38"/>
  <c r="X144" i="57"/>
  <c r="O15" i="52"/>
  <c r="L257" i="45"/>
  <c r="D77" i="24"/>
  <c r="Q173" i="47"/>
  <c r="F144" i="43"/>
  <c r="Z166"/>
  <c r="Z254" i="45"/>
  <c r="M42" i="61"/>
  <c r="X201" i="64"/>
  <c r="N315"/>
  <c r="X88" i="57"/>
  <c r="X134"/>
  <c r="X148"/>
  <c r="P82" i="33"/>
  <c r="Z34" i="44"/>
  <c r="M76" i="57"/>
  <c r="O335"/>
  <c r="Z44" i="43"/>
  <c r="L239" i="40"/>
  <c r="Z231" i="42"/>
  <c r="Q84" i="40"/>
  <c r="O108" i="32"/>
  <c r="Q26" i="45"/>
  <c r="O218" i="57"/>
  <c r="F224" i="42"/>
  <c r="I78" i="57"/>
  <c r="F24" i="20"/>
  <c r="R73" i="40"/>
  <c r="L78" i="45"/>
  <c r="P241" i="33"/>
  <c r="D157" i="55"/>
  <c r="Q76" i="44"/>
  <c r="AA16" i="51"/>
  <c r="Q16"/>
  <c r="Z16"/>
  <c r="Z196" i="47"/>
  <c r="AA196"/>
  <c r="Q196"/>
  <c r="Z24" i="44"/>
  <c r="AA24"/>
  <c r="Q24"/>
  <c r="C16" i="8"/>
  <c r="F20"/>
  <c r="G29" i="59"/>
  <c r="G18" s="1"/>
  <c r="G16" s="1"/>
  <c r="H136"/>
  <c r="Z243" i="42"/>
  <c r="L243"/>
  <c r="S188" i="40"/>
  <c r="F188"/>
  <c r="Q188" s="1"/>
  <c r="L203" i="44"/>
  <c r="Q203"/>
  <c r="Z203"/>
  <c r="AA203"/>
  <c r="F70" i="28"/>
  <c r="G16"/>
  <c r="F16" s="1"/>
  <c r="G69"/>
  <c r="F69" s="1"/>
  <c r="G180" i="57"/>
  <c r="O180"/>
  <c r="I170"/>
  <c r="G171"/>
  <c r="X171" s="1"/>
  <c r="N203" i="43"/>
  <c r="I203"/>
  <c r="L203" s="1"/>
  <c r="K202"/>
  <c r="S243" i="47"/>
  <c r="AC243"/>
  <c r="N243"/>
  <c r="F243"/>
  <c r="Z153" i="45"/>
  <c r="Q153"/>
  <c r="AA153"/>
  <c r="F116" i="26"/>
  <c r="G116" s="1"/>
  <c r="G120"/>
  <c r="N17" i="38"/>
  <c r="J17"/>
  <c r="K16"/>
  <c r="H17" i="33"/>
  <c r="G71"/>
  <c r="P71" s="1"/>
  <c r="Q71"/>
  <c r="N71"/>
  <c r="J71"/>
  <c r="O15" i="31"/>
  <c r="C15"/>
  <c r="D14"/>
  <c r="AA80" i="47"/>
  <c r="Z80"/>
  <c r="L80"/>
  <c r="Q80"/>
  <c r="AA37"/>
  <c r="Q37"/>
  <c r="Q174" i="44"/>
  <c r="Z174"/>
  <c r="AA174"/>
  <c r="E196" i="51"/>
  <c r="S214"/>
  <c r="AC214"/>
  <c r="C118" i="55"/>
  <c r="Q118" s="1"/>
  <c r="D117"/>
  <c r="C117" s="1"/>
  <c r="Q174" i="43"/>
  <c r="Z174"/>
  <c r="F336" i="57"/>
  <c r="F337"/>
  <c r="F223" i="40"/>
  <c r="H222"/>
  <c r="J281" i="57"/>
  <c r="L277"/>
  <c r="Z163" i="42"/>
  <c r="Q163"/>
  <c r="Z199"/>
  <c r="Q199"/>
  <c r="I203"/>
  <c r="L203" s="1"/>
  <c r="N203"/>
  <c r="K202"/>
  <c r="Q232" i="40"/>
  <c r="L232"/>
  <c r="L175" i="44"/>
  <c r="AA175"/>
  <c r="Q175"/>
  <c r="Z175"/>
  <c r="Q168" i="42"/>
  <c r="Z168"/>
  <c r="Z194" i="44"/>
  <c r="Q194"/>
  <c r="AA194"/>
  <c r="Q177" i="42"/>
  <c r="Z177"/>
  <c r="L177"/>
  <c r="G89" i="37"/>
  <c r="M90"/>
  <c r="P90"/>
  <c r="L71" i="43"/>
  <c r="Q71"/>
  <c r="Z71"/>
  <c r="L44" i="40"/>
  <c r="Q44"/>
  <c r="O238" i="52"/>
  <c r="J238"/>
  <c r="H253" i="47"/>
  <c r="S254"/>
  <c r="AC254"/>
  <c r="Z204" i="42"/>
  <c r="Q204"/>
  <c r="W80" i="61"/>
  <c r="M15" i="62"/>
  <c r="M17" i="38"/>
  <c r="F199" i="61"/>
  <c r="J16" i="60"/>
  <c r="J237" i="52"/>
  <c r="AA34" i="44"/>
  <c r="L144" i="45"/>
  <c r="M305" i="62"/>
  <c r="G90" i="38"/>
  <c r="M90" s="1"/>
  <c r="M315" i="64"/>
  <c r="P179" i="34"/>
  <c r="P184" s="1"/>
  <c r="G15" i="24"/>
  <c r="M281" i="62"/>
  <c r="X278" i="57"/>
  <c r="Z37" i="47"/>
  <c r="AA52" i="45"/>
  <c r="C143" i="55"/>
  <c r="Q143" s="1"/>
  <c r="M70" i="28"/>
  <c r="L70" s="1"/>
  <c r="Q178" i="41"/>
  <c r="I16" i="44"/>
  <c r="O145" i="37"/>
  <c r="J362" i="62"/>
  <c r="L253" i="44"/>
  <c r="AB144" i="45"/>
  <c r="K15" i="25"/>
  <c r="K83" s="1"/>
  <c r="H69" i="45"/>
  <c r="S69" s="1"/>
  <c r="X106" i="62"/>
  <c r="M106"/>
  <c r="I184"/>
  <c r="G258"/>
  <c r="X258" s="1"/>
  <c r="I257"/>
  <c r="G257" s="1"/>
  <c r="X257" s="1"/>
  <c r="H49" i="54"/>
  <c r="F50"/>
  <c r="D141" i="55"/>
  <c r="C141" s="1"/>
  <c r="C142"/>
  <c r="Q232" i="51"/>
  <c r="Z232"/>
  <c r="AA232"/>
  <c r="Z153" i="47"/>
  <c r="Q153"/>
  <c r="AA153"/>
  <c r="Z21" i="44"/>
  <c r="Q21"/>
  <c r="Z62" i="43"/>
  <c r="Q62"/>
  <c r="Q183"/>
  <c r="Z183"/>
  <c r="Z34" i="45"/>
  <c r="Q34"/>
  <c r="Q239" i="42"/>
  <c r="M71"/>
  <c r="M248" s="1"/>
  <c r="L248" s="1"/>
  <c r="R71"/>
  <c r="F71"/>
  <c r="Q170" i="45"/>
  <c r="AA170"/>
  <c r="Z170"/>
  <c r="L170"/>
  <c r="R203" i="43"/>
  <c r="C203"/>
  <c r="D202"/>
  <c r="J247" i="40"/>
  <c r="I247" s="1"/>
  <c r="I70"/>
  <c r="R73" i="44"/>
  <c r="M73"/>
  <c r="M256" s="1"/>
  <c r="L256" s="1"/>
  <c r="F73"/>
  <c r="L73" s="1"/>
  <c r="I105" i="58"/>
  <c r="G105" s="1"/>
  <c r="G148"/>
  <c r="J148" s="1"/>
  <c r="R162" i="43"/>
  <c r="F162"/>
  <c r="D207" i="38"/>
  <c r="P207" s="1"/>
  <c r="R207"/>
  <c r="F90" i="33"/>
  <c r="D145"/>
  <c r="N69" i="25"/>
  <c r="I69"/>
  <c r="F81" i="42"/>
  <c r="N81"/>
  <c r="S81"/>
  <c r="I36" i="28"/>
  <c r="J17"/>
  <c r="J198" i="41"/>
  <c r="I198" s="1"/>
  <c r="I218"/>
  <c r="C144" i="42"/>
  <c r="D89"/>
  <c r="K139" i="31"/>
  <c r="N140"/>
  <c r="S224" i="40"/>
  <c r="N224"/>
  <c r="R142" i="41"/>
  <c r="D243"/>
  <c r="D89"/>
  <c r="C142"/>
  <c r="Q142" s="1"/>
  <c r="H202" i="43"/>
  <c r="S202" s="1"/>
  <c r="N222"/>
  <c r="L105" i="58"/>
  <c r="I375" i="62"/>
  <c r="L85" i="45"/>
  <c r="J13" i="44"/>
  <c r="Q44" i="43"/>
  <c r="P234" i="33"/>
  <c r="F164" i="62"/>
  <c r="D164" s="1"/>
  <c r="H21" i="26"/>
  <c r="V79" i="62"/>
  <c r="S163" i="42"/>
  <c r="AA76" i="44"/>
  <c r="G69"/>
  <c r="Z201" i="42"/>
  <c r="G17" i="41"/>
  <c r="G127" i="64"/>
  <c r="X127" s="1"/>
  <c r="N127"/>
  <c r="S12"/>
  <c r="R12" s="1"/>
  <c r="R13"/>
  <c r="O80"/>
  <c r="I14"/>
  <c r="G80"/>
  <c r="M80" s="1"/>
  <c r="H14"/>
  <c r="G403"/>
  <c r="M81"/>
  <c r="X92"/>
  <c r="J13"/>
  <c r="A48"/>
  <c r="A49" s="1"/>
  <c r="A51" s="1"/>
  <c r="A52" s="1"/>
  <c r="A53" s="1"/>
  <c r="A54" s="1"/>
  <c r="A55"/>
  <c r="F13"/>
  <c r="D14"/>
  <c r="V13"/>
  <c r="U14"/>
  <c r="G402"/>
  <c r="V126" i="61"/>
  <c r="U126" s="1"/>
  <c r="E15"/>
  <c r="E14" s="1"/>
  <c r="E199"/>
  <c r="E403"/>
  <c r="D403" s="1"/>
  <c r="H15"/>
  <c r="O257"/>
  <c r="F15"/>
  <c r="M258"/>
  <c r="M257"/>
  <c r="X265"/>
  <c r="D402"/>
  <c r="J402"/>
  <c r="O234"/>
  <c r="N267"/>
  <c r="W126"/>
  <c r="J15"/>
  <c r="M17"/>
  <c r="A26"/>
  <c r="A30"/>
  <c r="X254"/>
  <c r="M123"/>
  <c r="M117"/>
  <c r="O227"/>
  <c r="G99"/>
  <c r="O99"/>
  <c r="M95"/>
  <c r="X123"/>
  <c r="X380"/>
  <c r="M256"/>
  <c r="D81"/>
  <c r="F92"/>
  <c r="F80" s="1"/>
  <c r="D80" s="1"/>
  <c r="D93"/>
  <c r="X214"/>
  <c r="O93"/>
  <c r="I92"/>
  <c r="G261"/>
  <c r="X261" s="1"/>
  <c r="O261"/>
  <c r="H92"/>
  <c r="W312"/>
  <c r="M125"/>
  <c r="M66"/>
  <c r="X104"/>
  <c r="L406"/>
  <c r="W14"/>
  <c r="W13" s="1"/>
  <c r="W12" s="1"/>
  <c r="D43"/>
  <c r="X43" s="1"/>
  <c r="M36"/>
  <c r="U15"/>
  <c r="D334"/>
  <c r="M283"/>
  <c r="X274"/>
  <c r="M270"/>
  <c r="D401"/>
  <c r="M267"/>
  <c r="G217"/>
  <c r="M217" s="1"/>
  <c r="N217"/>
  <c r="O50"/>
  <c r="M41"/>
  <c r="M56"/>
  <c r="M115"/>
  <c r="G111"/>
  <c r="X111" s="1"/>
  <c r="M25"/>
  <c r="I404"/>
  <c r="X106"/>
  <c r="G286"/>
  <c r="X61"/>
  <c r="G248"/>
  <c r="M248" s="1"/>
  <c r="M150"/>
  <c r="M111"/>
  <c r="M271"/>
  <c r="M168"/>
  <c r="M285"/>
  <c r="O254"/>
  <c r="X39"/>
  <c r="X44"/>
  <c r="X383"/>
  <c r="X283"/>
  <c r="M295"/>
  <c r="N339"/>
  <c r="G238"/>
  <c r="X238" s="1"/>
  <c r="G273"/>
  <c r="M273" s="1"/>
  <c r="O273"/>
  <c r="G294"/>
  <c r="O283"/>
  <c r="H127"/>
  <c r="M315"/>
  <c r="M180"/>
  <c r="M290"/>
  <c r="S14"/>
  <c r="S13" s="1"/>
  <c r="M347"/>
  <c r="M234"/>
  <c r="M182"/>
  <c r="M181"/>
  <c r="U127"/>
  <c r="F127"/>
  <c r="D127" s="1"/>
  <c r="I314"/>
  <c r="I313" s="1"/>
  <c r="G313" s="1"/>
  <c r="O315"/>
  <c r="G366"/>
  <c r="X89"/>
  <c r="O335"/>
  <c r="M94"/>
  <c r="G402"/>
  <c r="J202"/>
  <c r="X305"/>
  <c r="J166"/>
  <c r="L334"/>
  <c r="L312" s="1"/>
  <c r="X315"/>
  <c r="D312"/>
  <c r="J339"/>
  <c r="K338"/>
  <c r="O375" i="62"/>
  <c r="G375"/>
  <c r="M162" i="31"/>
  <c r="I162"/>
  <c r="L162" s="1"/>
  <c r="I212" i="52"/>
  <c r="G212" s="1"/>
  <c r="U212" s="1"/>
  <c r="G213"/>
  <c r="U213" s="1"/>
  <c r="X234" i="61"/>
  <c r="I109" i="62"/>
  <c r="D109"/>
  <c r="X22" i="60"/>
  <c r="M22"/>
  <c r="H56" i="55"/>
  <c r="F56" s="1"/>
  <c r="Q56" s="1"/>
  <c r="F79"/>
  <c r="Q79" s="1"/>
  <c r="G282" i="57"/>
  <c r="I281"/>
  <c r="K90" i="58"/>
  <c r="E85"/>
  <c r="D90"/>
  <c r="J90" s="1"/>
  <c r="T306" i="57"/>
  <c r="R307"/>
  <c r="I174" i="52"/>
  <c r="I238"/>
  <c r="G238" s="1"/>
  <c r="U238" s="1"/>
  <c r="C74" i="43"/>
  <c r="E70"/>
  <c r="Q166" i="45"/>
  <c r="AA166"/>
  <c r="Z166"/>
  <c r="Z166" i="44"/>
  <c r="AA166"/>
  <c r="Q166"/>
  <c r="Q73" i="42"/>
  <c r="L73"/>
  <c r="O207" i="38"/>
  <c r="J207"/>
  <c r="M207" s="1"/>
  <c r="AB162" i="47"/>
  <c r="F162"/>
  <c r="M162"/>
  <c r="G143"/>
  <c r="Z167" i="43"/>
  <c r="Q167"/>
  <c r="AA63" i="51"/>
  <c r="Z63"/>
  <c r="Q63"/>
  <c r="L63"/>
  <c r="Z182" i="43"/>
  <c r="Q182"/>
  <c r="D16" i="22"/>
  <c r="D18"/>
  <c r="C19"/>
  <c r="C16" s="1"/>
  <c r="AA188" i="45"/>
  <c r="Q188"/>
  <c r="Z188"/>
  <c r="R83" i="40"/>
  <c r="M83"/>
  <c r="I74" i="28"/>
  <c r="M74"/>
  <c r="L74" s="1"/>
  <c r="D165" i="57"/>
  <c r="F334"/>
  <c r="D334" s="1"/>
  <c r="F164"/>
  <c r="E17" i="28"/>
  <c r="G61" i="26"/>
  <c r="F21"/>
  <c r="D155" i="32"/>
  <c r="O155" s="1"/>
  <c r="O158"/>
  <c r="N50" i="55"/>
  <c r="K49"/>
  <c r="K153"/>
  <c r="I50"/>
  <c r="L50" s="1"/>
  <c r="O153" i="62"/>
  <c r="I379"/>
  <c r="M103"/>
  <c r="X103"/>
  <c r="S144" i="40"/>
  <c r="N144"/>
  <c r="H89"/>
  <c r="S74" i="43"/>
  <c r="J216" i="33"/>
  <c r="O216"/>
  <c r="L206"/>
  <c r="L170" i="42"/>
  <c r="Z170"/>
  <c r="Q170"/>
  <c r="P44" i="31"/>
  <c r="C44"/>
  <c r="F340" i="57"/>
  <c r="D340" s="1"/>
  <c r="J12" i="44"/>
  <c r="I13"/>
  <c r="X269" i="62"/>
  <c r="M269"/>
  <c r="F16" i="22"/>
  <c r="E255" i="57"/>
  <c r="D255" s="1"/>
  <c r="V163" i="62"/>
  <c r="U164"/>
  <c r="G403" i="61"/>
  <c r="M185" i="57"/>
  <c r="X30" i="62"/>
  <c r="G314" i="61"/>
  <c r="X314" s="1"/>
  <c r="X253" i="62"/>
  <c r="X41" i="60"/>
  <c r="U314" i="61"/>
  <c r="O290"/>
  <c r="K401"/>
  <c r="K400" s="1"/>
  <c r="L400"/>
  <c r="D313"/>
  <c r="F400"/>
  <c r="M244"/>
  <c r="F406"/>
  <c r="D406" s="1"/>
  <c r="M237"/>
  <c r="X153" i="60"/>
  <c r="M153"/>
  <c r="N149"/>
  <c r="K148"/>
  <c r="K15"/>
  <c r="K14" s="1"/>
  <c r="K12" s="1"/>
  <c r="J149"/>
  <c r="K164"/>
  <c r="X151"/>
  <c r="M151"/>
  <c r="N72" i="58"/>
  <c r="M73"/>
  <c r="I323" i="57"/>
  <c r="O323" s="1"/>
  <c r="O324"/>
  <c r="G56"/>
  <c r="I15"/>
  <c r="E142" i="54"/>
  <c r="C143"/>
  <c r="T143" s="1"/>
  <c r="E156"/>
  <c r="C156" s="1"/>
  <c r="T156" s="1"/>
  <c r="H122" i="55"/>
  <c r="F126"/>
  <c r="Q126" s="1"/>
  <c r="M284" i="57"/>
  <c r="X284"/>
  <c r="O282"/>
  <c r="D79" i="54"/>
  <c r="C80"/>
  <c r="D153"/>
  <c r="K61" i="51"/>
  <c r="I65"/>
  <c r="L65" s="1"/>
  <c r="M80" i="54"/>
  <c r="J79"/>
  <c r="J56" s="1"/>
  <c r="J153"/>
  <c r="Z58" i="43"/>
  <c r="Q58"/>
  <c r="Q116" i="51"/>
  <c r="AA116"/>
  <c r="Z116"/>
  <c r="Q177" i="43"/>
  <c r="Z177"/>
  <c r="S76" i="52"/>
  <c r="S75" s="1"/>
  <c r="R77"/>
  <c r="R76" s="1"/>
  <c r="R75" s="1"/>
  <c r="Q76" i="47"/>
  <c r="Z76"/>
  <c r="AA76"/>
  <c r="Z246"/>
  <c r="Q246"/>
  <c r="L246"/>
  <c r="AA246"/>
  <c r="Z246" i="45"/>
  <c r="AA246"/>
  <c r="Q56" i="42"/>
  <c r="Z56"/>
  <c r="Q201" i="44"/>
  <c r="AA201"/>
  <c r="I69" i="22"/>
  <c r="M69"/>
  <c r="L69" s="1"/>
  <c r="Q87" i="40"/>
  <c r="R162" i="47"/>
  <c r="Z126" i="42"/>
  <c r="Q126"/>
  <c r="R244" i="41"/>
  <c r="F244"/>
  <c r="Q244" s="1"/>
  <c r="M159" i="32"/>
  <c r="J158"/>
  <c r="H15" i="60"/>
  <c r="H14" s="1"/>
  <c r="H12" s="1"/>
  <c r="H164"/>
  <c r="H82"/>
  <c r="N83"/>
  <c r="R86" i="40"/>
  <c r="F86"/>
  <c r="M86"/>
  <c r="F78" i="57"/>
  <c r="D78" s="1"/>
  <c r="L19" i="20"/>
  <c r="L74" s="1"/>
  <c r="I74"/>
  <c r="H117" i="54"/>
  <c r="F117" s="1"/>
  <c r="T117" s="1"/>
  <c r="L206" i="38"/>
  <c r="O206" s="1"/>
  <c r="Z53" i="42"/>
  <c r="U277" i="57"/>
  <c r="I53" i="20"/>
  <c r="L53" s="1"/>
  <c r="X59" i="62"/>
  <c r="F53" i="10"/>
  <c r="Z222" i="44"/>
  <c r="Q222"/>
  <c r="AA222"/>
  <c r="F34" i="10"/>
  <c r="N15" i="32"/>
  <c r="AA70" i="44"/>
  <c r="Q70"/>
  <c r="R78" i="57"/>
  <c r="Z82" i="44"/>
  <c r="AA82"/>
  <c r="Q82"/>
  <c r="J89" i="38"/>
  <c r="O89"/>
  <c r="G224" i="45"/>
  <c r="R225"/>
  <c r="M225"/>
  <c r="M250" s="1"/>
  <c r="L250" s="1"/>
  <c r="F225"/>
  <c r="L225" s="1"/>
  <c r="E16"/>
  <c r="AB69"/>
  <c r="E253"/>
  <c r="R224" i="44"/>
  <c r="R261" s="1"/>
  <c r="M224"/>
  <c r="F224"/>
  <c r="D247" i="42"/>
  <c r="C247" s="1"/>
  <c r="C70"/>
  <c r="D17"/>
  <c r="E378" i="62"/>
  <c r="D16" i="37"/>
  <c r="P17"/>
  <c r="C17"/>
  <c r="O17" s="1"/>
  <c r="P77" i="34"/>
  <c r="H13"/>
  <c r="M144" i="40"/>
  <c r="G89"/>
  <c r="F144"/>
  <c r="C87" i="45"/>
  <c r="X166" i="62"/>
  <c r="D256" i="47"/>
  <c r="G13" i="34"/>
  <c r="F15"/>
  <c r="I115" i="52"/>
  <c r="I234"/>
  <c r="I336" i="57"/>
  <c r="AC223" i="47"/>
  <c r="F223"/>
  <c r="L223" s="1"/>
  <c r="H203"/>
  <c r="M14" i="55"/>
  <c r="H379" i="62"/>
  <c r="G379" s="1"/>
  <c r="G74"/>
  <c r="L13" i="59"/>
  <c r="O13" s="1"/>
  <c r="O137"/>
  <c r="S249" i="40"/>
  <c r="T15" i="62"/>
  <c r="AA52" i="44"/>
  <c r="G398" i="61"/>
  <c r="X97"/>
  <c r="G365"/>
  <c r="N290"/>
  <c r="L127"/>
  <c r="R178"/>
  <c r="I313" i="62"/>
  <c r="O314"/>
  <c r="G314"/>
  <c r="M38"/>
  <c r="X38"/>
  <c r="X155" i="60"/>
  <c r="M155"/>
  <c r="F82"/>
  <c r="F16"/>
  <c r="F14" s="1"/>
  <c r="F12" s="1"/>
  <c r="D84"/>
  <c r="F165"/>
  <c r="D165" s="1"/>
  <c r="M76" i="62"/>
  <c r="X150" i="60"/>
  <c r="M150"/>
  <c r="G324" i="57"/>
  <c r="M325"/>
  <c r="N80" i="54"/>
  <c r="K79"/>
  <c r="M57"/>
  <c r="J156"/>
  <c r="E234" i="52"/>
  <c r="D234" s="1"/>
  <c r="E74"/>
  <c r="D75"/>
  <c r="H79" i="54"/>
  <c r="F80"/>
  <c r="H153"/>
  <c r="F153" s="1"/>
  <c r="G15" i="52"/>
  <c r="U15" s="1"/>
  <c r="U199"/>
  <c r="G196"/>
  <c r="G195" s="1"/>
  <c r="U307" i="57"/>
  <c r="V306"/>
  <c r="E49" i="54"/>
  <c r="E14" s="1"/>
  <c r="E13" s="1"/>
  <c r="E153"/>
  <c r="AA126" i="51"/>
  <c r="Z126"/>
  <c r="Q126"/>
  <c r="Z237" i="43"/>
  <c r="Q237"/>
  <c r="Z57" i="44"/>
  <c r="Q57"/>
  <c r="AA57"/>
  <c r="AA200"/>
  <c r="Z200"/>
  <c r="Q200"/>
  <c r="AA39"/>
  <c r="Z39"/>
  <c r="Q39"/>
  <c r="Q158" i="42"/>
  <c r="Z158"/>
  <c r="D59" i="20"/>
  <c r="C59" s="1"/>
  <c r="C60"/>
  <c r="Q156" i="44"/>
  <c r="Z156"/>
  <c r="AA156"/>
  <c r="Z146" i="42"/>
  <c r="Q146"/>
  <c r="Z178"/>
  <c r="L178"/>
  <c r="Q178"/>
  <c r="AA172" i="47"/>
  <c r="Z172"/>
  <c r="L175" i="43"/>
  <c r="Q175"/>
  <c r="Z175"/>
  <c r="J16" i="32"/>
  <c r="M59"/>
  <c r="M179" s="1"/>
  <c r="L179" s="1"/>
  <c r="J179"/>
  <c r="I179" s="1"/>
  <c r="I59"/>
  <c r="L59" s="1"/>
  <c r="H89" i="37"/>
  <c r="N90"/>
  <c r="F90"/>
  <c r="Q90"/>
  <c r="J214" i="52"/>
  <c r="M249" i="57"/>
  <c r="AA61" i="45"/>
  <c r="L305" i="57"/>
  <c r="O306"/>
  <c r="J306"/>
  <c r="M306" s="1"/>
  <c r="K196" i="51"/>
  <c r="N214"/>
  <c r="L244" i="45"/>
  <c r="AA244"/>
  <c r="Q244"/>
  <c r="E337" i="57"/>
  <c r="D337" s="1"/>
  <c r="E164"/>
  <c r="E117" s="1"/>
  <c r="E13" s="1"/>
  <c r="E336"/>
  <c r="D336" s="1"/>
  <c r="D184"/>
  <c r="S249" i="43"/>
  <c r="H248"/>
  <c r="F249"/>
  <c r="Q75" i="44"/>
  <c r="AA75"/>
  <c r="L75"/>
  <c r="M14" i="20"/>
  <c r="J13"/>
  <c r="I14"/>
  <c r="L14" s="1"/>
  <c r="E11" i="10"/>
  <c r="E14" s="1"/>
  <c r="G259" i="62"/>
  <c r="Z219" i="51"/>
  <c r="L201" i="40"/>
  <c r="Q201"/>
  <c r="Z165" i="45"/>
  <c r="AA165"/>
  <c r="Q165"/>
  <c r="I59" i="20"/>
  <c r="L59" s="1"/>
  <c r="M59"/>
  <c r="J14" i="41"/>
  <c r="I16"/>
  <c r="AB13" i="58"/>
  <c r="AB12" s="1"/>
  <c r="AA12" s="1"/>
  <c r="AA71"/>
  <c r="I119" i="57"/>
  <c r="O155" i="34"/>
  <c r="G186" i="62"/>
  <c r="M186" s="1"/>
  <c r="X193"/>
  <c r="M193"/>
  <c r="M45" i="31"/>
  <c r="I45"/>
  <c r="L45" s="1"/>
  <c r="J44"/>
  <c r="G185" i="62"/>
  <c r="H183"/>
  <c r="N185"/>
  <c r="J206" i="38"/>
  <c r="AB224" i="44"/>
  <c r="N224"/>
  <c r="N204" i="45"/>
  <c r="S204"/>
  <c r="C78" i="32"/>
  <c r="O78"/>
  <c r="D77"/>
  <c r="G116" i="52"/>
  <c r="G216" i="33"/>
  <c r="P216" s="1"/>
  <c r="N216"/>
  <c r="F216" i="37"/>
  <c r="P216"/>
  <c r="P247" s="1"/>
  <c r="G206"/>
  <c r="Q29" i="26"/>
  <c r="D25"/>
  <c r="D21" s="1"/>
  <c r="X77" i="62"/>
  <c r="M77"/>
  <c r="M88" i="44"/>
  <c r="R88"/>
  <c r="O336" i="57"/>
  <c r="G241"/>
  <c r="M241" s="1"/>
  <c r="F91" i="62"/>
  <c r="H404" i="61"/>
  <c r="M242"/>
  <c r="G203"/>
  <c r="M203" s="1"/>
  <c r="D82"/>
  <c r="M345"/>
  <c r="N238"/>
  <c r="M280"/>
  <c r="G332" i="62"/>
  <c r="H313"/>
  <c r="N332"/>
  <c r="G220" i="61"/>
  <c r="X220" s="1"/>
  <c r="N165" i="60"/>
  <c r="J165"/>
  <c r="X131" i="57"/>
  <c r="M173"/>
  <c r="T35" i="54"/>
  <c r="E14" i="55"/>
  <c r="C15"/>
  <c r="Q15" s="1"/>
  <c r="E157"/>
  <c r="C157" s="1"/>
  <c r="N114" i="57"/>
  <c r="J114"/>
  <c r="M114" s="1"/>
  <c r="F9" i="53"/>
  <c r="G9" s="1"/>
  <c r="M237" i="52"/>
  <c r="Q118" i="51"/>
  <c r="AA118"/>
  <c r="Z118"/>
  <c r="Q193" i="45"/>
  <c r="L193"/>
  <c r="Z193"/>
  <c r="AA193"/>
  <c r="AA57"/>
  <c r="Q57"/>
  <c r="Z57"/>
  <c r="AA186" i="44"/>
  <c r="Q186"/>
  <c r="Z186"/>
  <c r="D70" i="40"/>
  <c r="C74"/>
  <c r="Q74" s="1"/>
  <c r="F18" i="22"/>
  <c r="G17"/>
  <c r="G15" s="1"/>
  <c r="H158" i="32"/>
  <c r="F159"/>
  <c r="Q159" s="1"/>
  <c r="M145" i="31"/>
  <c r="J140"/>
  <c r="I145"/>
  <c r="F69" i="25"/>
  <c r="M69"/>
  <c r="L69" s="1"/>
  <c r="E91" i="9"/>
  <c r="F91" s="1"/>
  <c r="E95"/>
  <c r="F95" s="1"/>
  <c r="F92"/>
  <c r="Q47" i="43"/>
  <c r="C206" i="37"/>
  <c r="Q206"/>
  <c r="Q237" i="42"/>
  <c r="L237"/>
  <c r="Z237"/>
  <c r="J184" i="57"/>
  <c r="M218"/>
  <c r="D39" i="8"/>
  <c r="D38" s="1"/>
  <c r="D15" s="1"/>
  <c r="D11" s="1"/>
  <c r="Z27" i="42"/>
  <c r="C61" i="51"/>
  <c r="D15"/>
  <c r="AB61"/>
  <c r="R61"/>
  <c r="D248"/>
  <c r="C248" s="1"/>
  <c r="I338" i="57"/>
  <c r="G338" s="1"/>
  <c r="X338" s="1"/>
  <c r="O145" i="33"/>
  <c r="O240" s="1"/>
  <c r="G145"/>
  <c r="I90"/>
  <c r="R145"/>
  <c r="Q225" i="45"/>
  <c r="AA225"/>
  <c r="M71" i="40"/>
  <c r="M248" s="1"/>
  <c r="L248" s="1"/>
  <c r="F71"/>
  <c r="Q71" s="1"/>
  <c r="R71"/>
  <c r="G70"/>
  <c r="N158" i="34"/>
  <c r="I158"/>
  <c r="L158" s="1"/>
  <c r="K155"/>
  <c r="I240" i="33"/>
  <c r="G240" s="1"/>
  <c r="O73" i="57"/>
  <c r="Q149" i="43"/>
  <c r="Z149"/>
  <c r="G153" i="62"/>
  <c r="M153" s="1"/>
  <c r="F205" i="44"/>
  <c r="S205"/>
  <c r="H204"/>
  <c r="AB205"/>
  <c r="M202" i="42"/>
  <c r="R202"/>
  <c r="L224" i="40"/>
  <c r="Q224"/>
  <c r="G94" i="62"/>
  <c r="J163"/>
  <c r="L116"/>
  <c r="J116" s="1"/>
  <c r="AA177" i="47"/>
  <c r="O379" i="62"/>
  <c r="J379"/>
  <c r="Z73" i="42"/>
  <c r="L16" i="22"/>
  <c r="L13" i="38"/>
  <c r="L256" s="1"/>
  <c r="M144" i="42"/>
  <c r="R144"/>
  <c r="G89"/>
  <c r="F144"/>
  <c r="S83"/>
  <c r="N83"/>
  <c r="H70"/>
  <c r="N339" i="62"/>
  <c r="K338"/>
  <c r="F248" i="42"/>
  <c r="S248"/>
  <c r="Q249" i="40"/>
  <c r="I377" i="62"/>
  <c r="O186"/>
  <c r="L177" i="40"/>
  <c r="Q177"/>
  <c r="N212" i="62"/>
  <c r="G212"/>
  <c r="M144" i="43"/>
  <c r="R144"/>
  <c r="G89"/>
  <c r="F77" i="34"/>
  <c r="J14" i="37"/>
  <c r="I16"/>
  <c r="L16" s="1"/>
  <c r="M16"/>
  <c r="X224" i="62"/>
  <c r="M224"/>
  <c r="Z173" i="43"/>
  <c r="Q173"/>
  <c r="S224" i="44"/>
  <c r="S261" s="1"/>
  <c r="I337" i="57"/>
  <c r="O337" s="1"/>
  <c r="I16" i="42"/>
  <c r="K14"/>
  <c r="O14" i="31"/>
  <c r="E399" i="61"/>
  <c r="D199"/>
  <c r="U365"/>
  <c r="W364"/>
  <c r="U364" s="1"/>
  <c r="G204"/>
  <c r="N204"/>
  <c r="D388"/>
  <c r="F387"/>
  <c r="N314"/>
  <c r="J314"/>
  <c r="M314" s="1"/>
  <c r="K313"/>
  <c r="X90"/>
  <c r="M90"/>
  <c r="V334"/>
  <c r="U338"/>
  <c r="I70"/>
  <c r="G70" s="1"/>
  <c r="D70"/>
  <c r="S365"/>
  <c r="R366"/>
  <c r="J366"/>
  <c r="M366" s="1"/>
  <c r="N366"/>
  <c r="I364"/>
  <c r="G364" s="1"/>
  <c r="M305"/>
  <c r="R312"/>
  <c r="X248"/>
  <c r="G223"/>
  <c r="M223" s="1"/>
  <c r="J403"/>
  <c r="M50"/>
  <c r="X210"/>
  <c r="D203"/>
  <c r="H338"/>
  <c r="H334" s="1"/>
  <c r="H312" s="1"/>
  <c r="H401"/>
  <c r="M292"/>
  <c r="X292"/>
  <c r="M179"/>
  <c r="U366"/>
  <c r="G128"/>
  <c r="M128" s="1"/>
  <c r="D75"/>
  <c r="X217"/>
  <c r="I401"/>
  <c r="D202"/>
  <c r="D183"/>
  <c r="F178"/>
  <c r="M46"/>
  <c r="X46"/>
  <c r="E397"/>
  <c r="E177"/>
  <c r="E126" s="1"/>
  <c r="U313"/>
  <c r="D92"/>
  <c r="X98"/>
  <c r="O305"/>
  <c r="X172"/>
  <c r="D366"/>
  <c r="G166"/>
  <c r="X166" s="1"/>
  <c r="X101"/>
  <c r="E400"/>
  <c r="U80"/>
  <c r="V14"/>
  <c r="U14" s="1"/>
  <c r="I64"/>
  <c r="G67"/>
  <c r="X67" s="1"/>
  <c r="O211"/>
  <c r="G211"/>
  <c r="J200"/>
  <c r="K199"/>
  <c r="H406"/>
  <c r="G75"/>
  <c r="X175"/>
  <c r="M175"/>
  <c r="M89"/>
  <c r="L199"/>
  <c r="L399" s="1"/>
  <c r="M101"/>
  <c r="X231"/>
  <c r="X41"/>
  <c r="M76"/>
  <c r="X36"/>
  <c r="M231"/>
  <c r="G96"/>
  <c r="O391"/>
  <c r="I388"/>
  <c r="I338"/>
  <c r="O338" s="1"/>
  <c r="G339"/>
  <c r="G24"/>
  <c r="X270"/>
  <c r="J75"/>
  <c r="N75"/>
  <c r="K406"/>
  <c r="G93"/>
  <c r="X93" s="1"/>
  <c r="N93"/>
  <c r="N92"/>
  <c r="M392"/>
  <c r="G391"/>
  <c r="X392"/>
  <c r="X207"/>
  <c r="X78"/>
  <c r="Z78" i="47"/>
  <c r="AA78"/>
  <c r="Q78"/>
  <c r="J178" i="61"/>
  <c r="N178"/>
  <c r="X184"/>
  <c r="K9" i="63"/>
  <c r="O203" i="61"/>
  <c r="O404" s="1"/>
  <c r="M404" s="1"/>
  <c r="I178"/>
  <c r="G178" s="1"/>
  <c r="O183"/>
  <c r="N165" i="62"/>
  <c r="G165"/>
  <c r="H164"/>
  <c r="F289"/>
  <c r="D290"/>
  <c r="L81" i="61"/>
  <c r="O82"/>
  <c r="J109" i="62"/>
  <c r="M109" s="1"/>
  <c r="N109"/>
  <c r="O88"/>
  <c r="G88"/>
  <c r="X37"/>
  <c r="M37"/>
  <c r="K81" i="61"/>
  <c r="K80" s="1"/>
  <c r="K14" s="1"/>
  <c r="J82"/>
  <c r="N82"/>
  <c r="M135" i="60"/>
  <c r="X135"/>
  <c r="J82"/>
  <c r="I81" i="62"/>
  <c r="I80" s="1"/>
  <c r="O84"/>
  <c r="M51" i="52"/>
  <c r="M15" s="1"/>
  <c r="J15"/>
  <c r="M72" i="47"/>
  <c r="R72"/>
  <c r="AB72"/>
  <c r="G71"/>
  <c r="F72"/>
  <c r="L72" s="1"/>
  <c r="Q32"/>
  <c r="L32"/>
  <c r="Z32"/>
  <c r="Z63" i="45"/>
  <c r="AA63"/>
  <c r="Q63"/>
  <c r="G243" i="41"/>
  <c r="R220"/>
  <c r="G219"/>
  <c r="F220"/>
  <c r="M220"/>
  <c r="Q181" i="42"/>
  <c r="Z181"/>
  <c r="C24" i="20"/>
  <c r="D14"/>
  <c r="K85" i="47"/>
  <c r="N87"/>
  <c r="AA75" i="45"/>
  <c r="L75"/>
  <c r="Z75"/>
  <c r="Q75"/>
  <c r="E339" i="62"/>
  <c r="D353"/>
  <c r="X353" s="1"/>
  <c r="G202" i="61"/>
  <c r="N202"/>
  <c r="N403" s="1"/>
  <c r="M22" i="63"/>
  <c r="X179" i="61"/>
  <c r="O202"/>
  <c r="O403" s="1"/>
  <c r="M194"/>
  <c r="X194"/>
  <c r="N215" i="62"/>
  <c r="G215"/>
  <c r="I290"/>
  <c r="I289" s="1"/>
  <c r="G291"/>
  <c r="I199" i="61"/>
  <c r="O200"/>
  <c r="G82"/>
  <c r="H81"/>
  <c r="H80" s="1"/>
  <c r="O372" i="62"/>
  <c r="G372"/>
  <c r="G84"/>
  <c r="M84" s="1"/>
  <c r="H81"/>
  <c r="N84"/>
  <c r="L80"/>
  <c r="O81"/>
  <c r="G200" i="61"/>
  <c r="N200"/>
  <c r="H199"/>
  <c r="H177" s="1"/>
  <c r="K405"/>
  <c r="N15"/>
  <c r="G116" i="60"/>
  <c r="N116"/>
  <c r="M93"/>
  <c r="X93"/>
  <c r="O51"/>
  <c r="J51"/>
  <c r="M51" s="1"/>
  <c r="L30"/>
  <c r="F80" i="62"/>
  <c r="D81"/>
  <c r="F30" i="60"/>
  <c r="D30" s="1"/>
  <c r="D33"/>
  <c r="I33"/>
  <c r="G34"/>
  <c r="D20"/>
  <c r="E13"/>
  <c r="E12" s="1"/>
  <c r="E18"/>
  <c r="E17" s="1"/>
  <c r="C215" i="51"/>
  <c r="AA215" s="1"/>
  <c r="D214"/>
  <c r="AB215"/>
  <c r="Q72" i="43"/>
  <c r="Z72"/>
  <c r="Z72" i="47"/>
  <c r="Q72"/>
  <c r="AA72"/>
  <c r="Z182"/>
  <c r="AA182"/>
  <c r="F254"/>
  <c r="Q182"/>
  <c r="AA205"/>
  <c r="Q205"/>
  <c r="Z205"/>
  <c r="AA32" i="45"/>
  <c r="Q32"/>
  <c r="Z32"/>
  <c r="Z46"/>
  <c r="AA46"/>
  <c r="Q46"/>
  <c r="Z251" i="44"/>
  <c r="AA251"/>
  <c r="S81" i="41"/>
  <c r="C81"/>
  <c r="Q81" s="1"/>
  <c r="AA127" i="47"/>
  <c r="Q127"/>
  <c r="Z127"/>
  <c r="R248" i="40"/>
  <c r="C248"/>
  <c r="Q229" i="38"/>
  <c r="N229"/>
  <c r="H228"/>
  <c r="G229"/>
  <c r="H252"/>
  <c r="I71" i="58"/>
  <c r="L85"/>
  <c r="F83" i="9"/>
  <c r="C71"/>
  <c r="L101" i="44"/>
  <c r="AA101"/>
  <c r="Q101"/>
  <c r="Z101"/>
  <c r="N62" i="51"/>
  <c r="AC62"/>
  <c r="H61"/>
  <c r="S62"/>
  <c r="AA65"/>
  <c r="Q65"/>
  <c r="Z65"/>
  <c r="M81" i="43"/>
  <c r="R81"/>
  <c r="F81"/>
  <c r="G70"/>
  <c r="Q85" i="44"/>
  <c r="Z85"/>
  <c r="AA85"/>
  <c r="L93" i="51"/>
  <c r="Z93"/>
  <c r="Q93"/>
  <c r="L178" i="45"/>
  <c r="AA178"/>
  <c r="Z178"/>
  <c r="Q178"/>
  <c r="F135" i="51"/>
  <c r="R135"/>
  <c r="G80"/>
  <c r="G248"/>
  <c r="M135"/>
  <c r="AB135"/>
  <c r="Z27"/>
  <c r="Q27"/>
  <c r="AA27"/>
  <c r="AA249" i="47"/>
  <c r="Q249"/>
  <c r="Z249"/>
  <c r="L249"/>
  <c r="D8" i="53"/>
  <c r="E28" i="26"/>
  <c r="Q28" s="1"/>
  <c r="E25"/>
  <c r="E24"/>
  <c r="Q24" s="1"/>
  <c r="Q56"/>
  <c r="D65" i="11"/>
  <c r="E65" s="1"/>
  <c r="E66"/>
  <c r="R13" i="58"/>
  <c r="U71"/>
  <c r="Q223" i="47"/>
  <c r="Z223"/>
  <c r="AA223"/>
  <c r="E137" i="59"/>
  <c r="D136"/>
  <c r="S83" i="40"/>
  <c r="N83"/>
  <c r="F83"/>
  <c r="H153" i="55"/>
  <c r="F153" s="1"/>
  <c r="Q153" s="1"/>
  <c r="H49"/>
  <c r="F50"/>
  <c r="X71" i="58"/>
  <c r="Y13"/>
  <c r="AA251" i="47"/>
  <c r="Z251"/>
  <c r="H12" i="20"/>
  <c r="F12" s="1"/>
  <c r="F13"/>
  <c r="N29"/>
  <c r="K13"/>
  <c r="I29"/>
  <c r="L29" s="1"/>
  <c r="N89" i="38"/>
  <c r="G89"/>
  <c r="M89" s="1"/>
  <c r="E79" i="62"/>
  <c r="D91"/>
  <c r="E374"/>
  <c r="E373"/>
  <c r="G47" i="60"/>
  <c r="X47" s="1"/>
  <c r="H30"/>
  <c r="G85" i="58"/>
  <c r="H71"/>
  <c r="K85"/>
  <c r="I18" i="22"/>
  <c r="M18"/>
  <c r="L18" s="1"/>
  <c r="J17"/>
  <c r="O154" i="57"/>
  <c r="G154"/>
  <c r="I118"/>
  <c r="Q255" i="45"/>
  <c r="Z255"/>
  <c r="AA255"/>
  <c r="F374" i="62"/>
  <c r="F373"/>
  <c r="F179" i="32"/>
  <c r="P179"/>
  <c r="P184" s="1"/>
  <c r="E12" i="51"/>
  <c r="H14" i="41"/>
  <c r="N16"/>
  <c r="G17" i="42"/>
  <c r="F70"/>
  <c r="R70"/>
  <c r="M70"/>
  <c r="G247"/>
  <c r="X83" i="60"/>
  <c r="M83"/>
  <c r="AC87" i="47"/>
  <c r="S87"/>
  <c r="H85"/>
  <c r="H86" s="1"/>
  <c r="D15" i="44"/>
  <c r="L364" i="61"/>
  <c r="O364" s="1"/>
  <c r="O365"/>
  <c r="D365"/>
  <c r="F364"/>
  <c r="D364" s="1"/>
  <c r="E163" i="60"/>
  <c r="J340" i="57"/>
  <c r="N340"/>
  <c r="X42" i="60"/>
  <c r="M42"/>
  <c r="R14" i="61"/>
  <c r="J89" i="33"/>
  <c r="C158" i="32"/>
  <c r="P158"/>
  <c r="E155"/>
  <c r="F36" i="28"/>
  <c r="G17"/>
  <c r="M36"/>
  <c r="L36" s="1"/>
  <c r="C16" i="10"/>
  <c r="F18"/>
  <c r="C13"/>
  <c r="F13" s="1"/>
  <c r="L74" i="45"/>
  <c r="AA74"/>
  <c r="Q74"/>
  <c r="Z74"/>
  <c r="Q73" i="44"/>
  <c r="AA73"/>
  <c r="Z73"/>
  <c r="I79" i="51"/>
  <c r="J13"/>
  <c r="X131" i="60"/>
  <c r="M131"/>
  <c r="D13" i="34"/>
  <c r="O15"/>
  <c r="C15"/>
  <c r="E12" i="31"/>
  <c r="E166" s="1"/>
  <c r="H374" i="62"/>
  <c r="H373"/>
  <c r="M102" i="61"/>
  <c r="X102"/>
  <c r="D13" i="26"/>
  <c r="E15" i="8"/>
  <c r="Q249" i="51"/>
  <c r="Z249"/>
  <c r="AA249"/>
  <c r="L249"/>
  <c r="D15" i="45"/>
  <c r="C16"/>
  <c r="I15" i="47"/>
  <c r="J14"/>
  <c r="N18" i="60"/>
  <c r="K17"/>
  <c r="K105" i="58"/>
  <c r="D105"/>
  <c r="J105" s="1"/>
  <c r="O164" i="60"/>
  <c r="G164"/>
  <c r="J257" i="45"/>
  <c r="AD204"/>
  <c r="L140" i="59"/>
  <c r="O140" s="1"/>
  <c r="O12"/>
  <c r="L13" i="33"/>
  <c r="O313" i="61"/>
  <c r="A203" i="57"/>
  <c r="A204" s="1"/>
  <c r="A205" s="1"/>
  <c r="A208"/>
  <c r="A209" s="1"/>
  <c r="A210" s="1"/>
  <c r="N88" i="41"/>
  <c r="F88"/>
  <c r="F360" i="62"/>
  <c r="D361"/>
  <c r="P77" i="32"/>
  <c r="F77"/>
  <c r="D15"/>
  <c r="C16"/>
  <c r="O16"/>
  <c r="F15"/>
  <c r="H13"/>
  <c r="G157" i="54"/>
  <c r="J251" i="40"/>
  <c r="G8" i="53"/>
  <c r="H239" i="52"/>
  <c r="G183" i="61"/>
  <c r="X84" i="62"/>
  <c r="X34" i="60"/>
  <c r="K91" i="62"/>
  <c r="X64"/>
  <c r="X241" i="57"/>
  <c r="Q197" i="43"/>
  <c r="Q100" i="45"/>
  <c r="AA100"/>
  <c r="I87" i="47"/>
  <c r="Z52" i="44"/>
  <c r="E70" i="41"/>
  <c r="C14" i="11"/>
  <c r="X166" i="57"/>
  <c r="D14" i="54"/>
  <c r="J13" i="60"/>
  <c r="C202" i="42"/>
  <c r="U92" i="61"/>
  <c r="G15" i="60"/>
  <c r="G276" i="61"/>
  <c r="H165" i="57"/>
  <c r="X99" i="62"/>
  <c r="M207" i="61"/>
  <c r="W287" i="62"/>
  <c r="U287" s="1"/>
  <c r="AA13" i="58"/>
  <c r="J183" i="61"/>
  <c r="N183"/>
  <c r="H397"/>
  <c r="O166"/>
  <c r="I406"/>
  <c r="M106" i="60"/>
  <c r="X106"/>
  <c r="R15" i="62"/>
  <c r="T14"/>
  <c r="T13" s="1"/>
  <c r="T12" s="1"/>
  <c r="E67" i="47"/>
  <c r="AC71"/>
  <c r="S71"/>
  <c r="S150" i="44"/>
  <c r="AB150"/>
  <c r="F150"/>
  <c r="H144"/>
  <c r="H254"/>
  <c r="Q55" i="47"/>
  <c r="AA55"/>
  <c r="Z55"/>
  <c r="Z84" i="45"/>
  <c r="Q84"/>
  <c r="AA84"/>
  <c r="AC78" i="47"/>
  <c r="S78"/>
  <c r="H67"/>
  <c r="N247" i="51"/>
  <c r="F247"/>
  <c r="S247"/>
  <c r="H12" i="59"/>
  <c r="N16"/>
  <c r="R75" i="38"/>
  <c r="D75"/>
  <c r="P75" s="1"/>
  <c r="F71"/>
  <c r="N13" i="32"/>
  <c r="F18" i="25"/>
  <c r="M18"/>
  <c r="L18" s="1"/>
  <c r="G17"/>
  <c r="J17"/>
  <c r="I36"/>
  <c r="M36"/>
  <c r="L36" s="1"/>
  <c r="F36" i="22"/>
  <c r="N36"/>
  <c r="L36" s="1"/>
  <c r="H17"/>
  <c r="E17" i="11"/>
  <c r="D16"/>
  <c r="J86" i="47"/>
  <c r="I85"/>
  <c r="K337" i="57"/>
  <c r="K78"/>
  <c r="K336"/>
  <c r="J93"/>
  <c r="M93" s="1"/>
  <c r="N93"/>
  <c r="J17" i="33"/>
  <c r="N17"/>
  <c r="K16"/>
  <c r="M105" i="58"/>
  <c r="S105" s="1"/>
  <c r="E34" i="24"/>
  <c r="F33"/>
  <c r="F78"/>
  <c r="Z187" i="43"/>
  <c r="Q187"/>
  <c r="L187"/>
  <c r="O338" i="57"/>
  <c r="J338"/>
  <c r="M338" s="1"/>
  <c r="H15" i="25"/>
  <c r="N17"/>
  <c r="AA62" i="51"/>
  <c r="L62"/>
  <c r="Z62"/>
  <c r="Q62"/>
  <c r="L164" i="43"/>
  <c r="Z164"/>
  <c r="Q164"/>
  <c r="AA172" i="44"/>
  <c r="Z172"/>
  <c r="Q172"/>
  <c r="O173" i="52"/>
  <c r="J173"/>
  <c r="O252" i="38"/>
  <c r="O251"/>
  <c r="K155" i="32"/>
  <c r="N158"/>
  <c r="I158"/>
  <c r="L158" s="1"/>
  <c r="R240" i="33"/>
  <c r="D240"/>
  <c r="P240" s="1"/>
  <c r="Q251" i="51"/>
  <c r="AA251"/>
  <c r="L251"/>
  <c r="Z251"/>
  <c r="I141" i="54"/>
  <c r="L141" s="1"/>
  <c r="N141"/>
  <c r="H247" i="40"/>
  <c r="H17"/>
  <c r="N70"/>
  <c r="F88" i="52"/>
  <c r="D115"/>
  <c r="G184" i="57"/>
  <c r="H336"/>
  <c r="G336" s="1"/>
  <c r="X336" s="1"/>
  <c r="H337"/>
  <c r="G337" s="1"/>
  <c r="X337" s="1"/>
  <c r="N184"/>
  <c r="Z205" i="45"/>
  <c r="Q205"/>
  <c r="AA205"/>
  <c r="K14" i="54"/>
  <c r="I49"/>
  <c r="L49" s="1"/>
  <c r="N49"/>
  <c r="E86" i="47"/>
  <c r="AC86" s="1"/>
  <c r="AC85"/>
  <c r="L225" i="44"/>
  <c r="Q225"/>
  <c r="AA225"/>
  <c r="Z225"/>
  <c r="J13" i="52"/>
  <c r="L12"/>
  <c r="M87" i="44"/>
  <c r="R87"/>
  <c r="F204"/>
  <c r="M204"/>
  <c r="R204"/>
  <c r="Q206" i="33"/>
  <c r="G206"/>
  <c r="N206"/>
  <c r="N365" i="61"/>
  <c r="J365"/>
  <c r="M365" s="1"/>
  <c r="K364"/>
  <c r="M398"/>
  <c r="X398"/>
  <c r="D15" i="62"/>
  <c r="X15" s="1"/>
  <c r="F378"/>
  <c r="D378" s="1"/>
  <c r="G118"/>
  <c r="I117"/>
  <c r="O118"/>
  <c r="M16" i="61"/>
  <c r="X16"/>
  <c r="N18" i="28"/>
  <c r="K17"/>
  <c r="J256" i="57"/>
  <c r="M256" s="1"/>
  <c r="K255"/>
  <c r="N256"/>
  <c r="F255" i="44"/>
  <c r="S255"/>
  <c r="S69"/>
  <c r="C69"/>
  <c r="E16"/>
  <c r="E252"/>
  <c r="AB69"/>
  <c r="S14" i="62"/>
  <c r="R79"/>
  <c r="A121" i="57"/>
  <c r="A122" s="1"/>
  <c r="A120"/>
  <c r="I117" i="54"/>
  <c r="L117" s="1"/>
  <c r="M117"/>
  <c r="O13" i="60"/>
  <c r="X65"/>
  <c r="G13"/>
  <c r="A123" i="62"/>
  <c r="A124" s="1"/>
  <c r="A125" s="1"/>
  <c r="A126" s="1"/>
  <c r="A127" s="1"/>
  <c r="A128" s="1"/>
  <c r="A122"/>
  <c r="X33" i="61"/>
  <c r="M33"/>
  <c r="D16" i="33"/>
  <c r="R16"/>
  <c r="E13" i="32"/>
  <c r="P15"/>
  <c r="C253" i="45"/>
  <c r="M14" i="52"/>
  <c r="O148" i="60"/>
  <c r="G148"/>
  <c r="O15"/>
  <c r="L13" i="57"/>
  <c r="M58" i="61"/>
  <c r="X58"/>
  <c r="D89" i="38"/>
  <c r="Q89"/>
  <c r="E14"/>
  <c r="I16" i="45"/>
  <c r="K15"/>
  <c r="I14" i="38"/>
  <c r="O16"/>
  <c r="O179" i="32"/>
  <c r="O184" s="1"/>
  <c r="C179"/>
  <c r="N89" i="43"/>
  <c r="F89"/>
  <c r="S89"/>
  <c r="H88"/>
  <c r="Q144"/>
  <c r="L144"/>
  <c r="Z144"/>
  <c r="A215" i="58"/>
  <c r="A217" s="1"/>
  <c r="A219" s="1"/>
  <c r="A220" s="1"/>
  <c r="A221" s="1"/>
  <c r="A213"/>
  <c r="K14" i="40"/>
  <c r="I16"/>
  <c r="N376" i="62"/>
  <c r="G376"/>
  <c r="M376" s="1"/>
  <c r="E116"/>
  <c r="AC247" i="51"/>
  <c r="I127" i="61"/>
  <c r="C71" i="47"/>
  <c r="J81" i="62"/>
  <c r="AA93" i="51"/>
  <c r="C85" i="47"/>
  <c r="F70" i="40"/>
  <c r="H14" i="38"/>
  <c r="E11" i="9"/>
  <c r="Q30" i="42"/>
  <c r="M97" i="61"/>
  <c r="M85"/>
  <c r="L85" i="44"/>
  <c r="P89" i="38" l="1"/>
  <c r="S85" i="47"/>
  <c r="S86" s="1"/>
  <c r="Z225" i="45"/>
  <c r="M238" i="61"/>
  <c r="Z239" i="42"/>
  <c r="M79" i="55"/>
  <c r="I79"/>
  <c r="L79" s="1"/>
  <c r="J56"/>
  <c r="E16" i="37"/>
  <c r="Q17"/>
  <c r="C49" i="54"/>
  <c r="P158" i="34"/>
  <c r="H155"/>
  <c r="F158"/>
  <c r="M15"/>
  <c r="I15"/>
  <c r="L15" s="1"/>
  <c r="I15" i="61"/>
  <c r="S249" i="42"/>
  <c r="Q158" i="34"/>
  <c r="F44" i="31"/>
  <c r="N44"/>
  <c r="H13"/>
  <c r="C240" i="37"/>
  <c r="O240" s="1"/>
  <c r="M137" i="59"/>
  <c r="J13"/>
  <c r="M13" s="1"/>
  <c r="M13" i="34"/>
  <c r="I13"/>
  <c r="L13" s="1"/>
  <c r="J12"/>
  <c r="M77"/>
  <c r="I77"/>
  <c r="L77" s="1"/>
  <c r="C38" i="8"/>
  <c r="F38" s="1"/>
  <c r="F39"/>
  <c r="S248" i="40"/>
  <c r="F248"/>
  <c r="Q248" s="1"/>
  <c r="D15" i="25"/>
  <c r="C15" s="1"/>
  <c r="C17"/>
  <c r="N69" i="44"/>
  <c r="N251" s="1"/>
  <c r="H16"/>
  <c r="K202" i="40"/>
  <c r="I202" s="1"/>
  <c r="I222"/>
  <c r="Q157" i="55"/>
  <c r="P90" i="38"/>
  <c r="M71" i="33"/>
  <c r="O79" i="57"/>
  <c r="G79"/>
  <c r="G141" i="55"/>
  <c r="F142"/>
  <c r="Q142" s="1"/>
  <c r="A195" i="69"/>
  <c r="A191"/>
  <c r="A192" s="1"/>
  <c r="A193" s="1"/>
  <c r="N12" i="65"/>
  <c r="X160"/>
  <c r="M12"/>
  <c r="O12"/>
  <c r="O389" i="64"/>
  <c r="X179"/>
  <c r="X400"/>
  <c r="F12"/>
  <c r="D12" s="1"/>
  <c r="E410"/>
  <c r="X80"/>
  <c r="M179"/>
  <c r="M408"/>
  <c r="M127"/>
  <c r="G16" i="41"/>
  <c r="F17"/>
  <c r="L17" s="1"/>
  <c r="M17"/>
  <c r="R17"/>
  <c r="N139" i="31"/>
  <c r="K138"/>
  <c r="Z162" i="43"/>
  <c r="Q162"/>
  <c r="Z71" i="42"/>
  <c r="Q71"/>
  <c r="L71"/>
  <c r="H16" i="45"/>
  <c r="H253"/>
  <c r="S253" s="1"/>
  <c r="N69"/>
  <c r="J361" i="62"/>
  <c r="M362"/>
  <c r="AC253" i="47"/>
  <c r="S253"/>
  <c r="F253"/>
  <c r="M89" i="37"/>
  <c r="P89"/>
  <c r="G14"/>
  <c r="N222" i="40"/>
  <c r="H202"/>
  <c r="S222"/>
  <c r="S254" s="1"/>
  <c r="D13" i="31"/>
  <c r="C14"/>
  <c r="J16" i="38"/>
  <c r="M16" s="1"/>
  <c r="K14"/>
  <c r="N16"/>
  <c r="Z243" i="47"/>
  <c r="Q243"/>
  <c r="AA243"/>
  <c r="I202" i="43"/>
  <c r="N202"/>
  <c r="O170" i="57"/>
  <c r="I165"/>
  <c r="E88" i="41"/>
  <c r="S88" s="1"/>
  <c r="S89"/>
  <c r="E57" i="24"/>
  <c r="G31"/>
  <c r="K14" i="43"/>
  <c r="I14" s="1"/>
  <c r="I16"/>
  <c r="K72" i="58"/>
  <c r="G72"/>
  <c r="J72" s="1"/>
  <c r="E13" i="34"/>
  <c r="E12" s="1"/>
  <c r="E183" s="1"/>
  <c r="C77"/>
  <c r="M117" i="55"/>
  <c r="I117"/>
  <c r="L117" s="1"/>
  <c r="G253" i="45"/>
  <c r="M69"/>
  <c r="M253" s="1"/>
  <c r="R69"/>
  <c r="G16"/>
  <c r="F69"/>
  <c r="E98" i="26"/>
  <c r="E61" s="1"/>
  <c r="Q61" s="1"/>
  <c r="Q102"/>
  <c r="Q150" i="42"/>
  <c r="Z150"/>
  <c r="Y105" i="58"/>
  <c r="X105" s="1"/>
  <c r="X148"/>
  <c r="L243" i="47"/>
  <c r="E14" i="40"/>
  <c r="E13" s="1"/>
  <c r="E251" s="1"/>
  <c r="M16" i="28"/>
  <c r="L16" s="1"/>
  <c r="AA85" i="45"/>
  <c r="E15" i="24"/>
  <c r="G14"/>
  <c r="M238" i="52"/>
  <c r="F10" i="53"/>
  <c r="G10" s="1"/>
  <c r="I202" i="42"/>
  <c r="Q17" i="33"/>
  <c r="H16"/>
  <c r="G17"/>
  <c r="P17" s="1"/>
  <c r="G12" i="59"/>
  <c r="M12" s="1"/>
  <c r="M16"/>
  <c r="L224" i="42"/>
  <c r="Z224"/>
  <c r="Q224"/>
  <c r="G202" i="40"/>
  <c r="F222"/>
  <c r="R222"/>
  <c r="R254" s="1"/>
  <c r="M222"/>
  <c r="N90" i="33"/>
  <c r="H89"/>
  <c r="Q90"/>
  <c r="X233" i="57"/>
  <c r="M233"/>
  <c r="F223" i="43"/>
  <c r="R223"/>
  <c r="M223"/>
  <c r="M245" s="1"/>
  <c r="L245" s="1"/>
  <c r="G222"/>
  <c r="D227" i="38"/>
  <c r="E206"/>
  <c r="D206" s="1"/>
  <c r="L201" i="42"/>
  <c r="Q201"/>
  <c r="D16" i="28"/>
  <c r="D18"/>
  <c r="C19"/>
  <c r="C16" s="1"/>
  <c r="H222" i="42"/>
  <c r="S223"/>
  <c r="F223"/>
  <c r="N223"/>
  <c r="N245" s="1"/>
  <c r="L245" s="1"/>
  <c r="P72" i="58"/>
  <c r="Q71"/>
  <c r="F14" i="57"/>
  <c r="D14" s="1"/>
  <c r="F163" i="62"/>
  <c r="D12" i="55"/>
  <c r="D158" s="1"/>
  <c r="N17" i="43"/>
  <c r="L70" i="41"/>
  <c r="M69" i="44"/>
  <c r="G16"/>
  <c r="F69"/>
  <c r="L69" s="1"/>
  <c r="G252"/>
  <c r="R252" s="1"/>
  <c r="R69"/>
  <c r="H24" i="26"/>
  <c r="H13"/>
  <c r="H20" s="1"/>
  <c r="D88" i="41"/>
  <c r="R89"/>
  <c r="C89"/>
  <c r="Q89" s="1"/>
  <c r="Q203" i="43"/>
  <c r="Z203"/>
  <c r="F49" i="54"/>
  <c r="T49" s="1"/>
  <c r="H14"/>
  <c r="F14" s="1"/>
  <c r="L255" i="57"/>
  <c r="J277"/>
  <c r="AC196" i="51"/>
  <c r="S196"/>
  <c r="M180" i="57"/>
  <c r="X180"/>
  <c r="H137" i="59"/>
  <c r="G136"/>
  <c r="M136" s="1"/>
  <c r="N136"/>
  <c r="G78" i="57"/>
  <c r="X78" s="1"/>
  <c r="O78"/>
  <c r="M88" i="45"/>
  <c r="G87"/>
  <c r="F88"/>
  <c r="R88"/>
  <c r="Q249" i="42"/>
  <c r="Z249"/>
  <c r="E14"/>
  <c r="E13" s="1"/>
  <c r="G84" i="60"/>
  <c r="X84" s="1"/>
  <c r="O84"/>
  <c r="I82"/>
  <c r="I16"/>
  <c r="I165"/>
  <c r="H87" i="45"/>
  <c r="N88"/>
  <c r="AB88"/>
  <c r="S88"/>
  <c r="L73"/>
  <c r="Z73"/>
  <c r="AA73"/>
  <c r="Q73"/>
  <c r="N144" i="42"/>
  <c r="H89"/>
  <c r="U14" i="57"/>
  <c r="V13"/>
  <c r="U13" s="1"/>
  <c r="K12" i="52"/>
  <c r="N13"/>
  <c r="M17" i="33"/>
  <c r="N247" i="43"/>
  <c r="G170" i="57"/>
  <c r="Z85" i="45"/>
  <c r="U79" i="62"/>
  <c r="V14"/>
  <c r="D88" i="42"/>
  <c r="C88" s="1"/>
  <c r="C89"/>
  <c r="I17" i="28"/>
  <c r="J15"/>
  <c r="I15" s="1"/>
  <c r="L81" i="42"/>
  <c r="Q81"/>
  <c r="Z81"/>
  <c r="F89" i="33"/>
  <c r="D90"/>
  <c r="C202" i="43"/>
  <c r="O184" i="62"/>
  <c r="G184"/>
  <c r="I183"/>
  <c r="G183" s="1"/>
  <c r="Q223" i="40"/>
  <c r="L223"/>
  <c r="C19" i="8"/>
  <c r="F19" s="1"/>
  <c r="F16"/>
  <c r="L198" i="42"/>
  <c r="Z198"/>
  <c r="Q198"/>
  <c r="G100" i="60"/>
  <c r="M100" s="1"/>
  <c r="O100"/>
  <c r="G77" i="24"/>
  <c r="E79"/>
  <c r="I243" i="41"/>
  <c r="K247"/>
  <c r="S79" i="51"/>
  <c r="N79"/>
  <c r="D88" i="43"/>
  <c r="C89"/>
  <c r="O13" i="58"/>
  <c r="O12" s="1"/>
  <c r="M14"/>
  <c r="M69" i="28"/>
  <c r="L69" s="1"/>
  <c r="N240" i="33"/>
  <c r="M240" s="1"/>
  <c r="N253" i="45"/>
  <c r="X403" i="64"/>
  <c r="M403"/>
  <c r="D13"/>
  <c r="K410"/>
  <c r="G14"/>
  <c r="M14" s="1"/>
  <c r="H13"/>
  <c r="N14"/>
  <c r="L410"/>
  <c r="X402"/>
  <c r="M402"/>
  <c r="U13"/>
  <c r="V12"/>
  <c r="U12" s="1"/>
  <c r="A60"/>
  <c r="A57"/>
  <c r="A59" s="1"/>
  <c r="I13"/>
  <c r="I12" s="1"/>
  <c r="O14"/>
  <c r="H14" i="61"/>
  <c r="G15"/>
  <c r="M15" s="1"/>
  <c r="F399"/>
  <c r="F14"/>
  <c r="D14" s="1"/>
  <c r="M261"/>
  <c r="H400"/>
  <c r="L397"/>
  <c r="L80"/>
  <c r="L14" s="1"/>
  <c r="J14" s="1"/>
  <c r="M99"/>
  <c r="X99"/>
  <c r="A34"/>
  <c r="A35"/>
  <c r="A32"/>
  <c r="X364"/>
  <c r="G92"/>
  <c r="D15"/>
  <c r="X223"/>
  <c r="M166"/>
  <c r="M75"/>
  <c r="O92"/>
  <c r="I80"/>
  <c r="G64"/>
  <c r="O64"/>
  <c r="V13"/>
  <c r="U13" s="1"/>
  <c r="H405"/>
  <c r="D400"/>
  <c r="X273"/>
  <c r="D399"/>
  <c r="X202"/>
  <c r="G404"/>
  <c r="I400"/>
  <c r="O400" s="1"/>
  <c r="X183"/>
  <c r="X286"/>
  <c r="M286"/>
  <c r="E405"/>
  <c r="X82"/>
  <c r="O314"/>
  <c r="M202"/>
  <c r="O401"/>
  <c r="M294"/>
  <c r="X294"/>
  <c r="X75"/>
  <c r="N338"/>
  <c r="F405"/>
  <c r="X203"/>
  <c r="X365"/>
  <c r="X366"/>
  <c r="K334"/>
  <c r="N334" s="1"/>
  <c r="M339"/>
  <c r="O178"/>
  <c r="X128"/>
  <c r="J401"/>
  <c r="L177"/>
  <c r="L126" s="1"/>
  <c r="O199"/>
  <c r="J199"/>
  <c r="J198" s="1"/>
  <c r="J338"/>
  <c r="M56" i="54"/>
  <c r="J13"/>
  <c r="E12" i="57"/>
  <c r="K177" i="61"/>
  <c r="N177" s="1"/>
  <c r="X339"/>
  <c r="M89" i="43"/>
  <c r="G88"/>
  <c r="R89"/>
  <c r="G377" i="62"/>
  <c r="O377"/>
  <c r="J338"/>
  <c r="M338" s="1"/>
  <c r="N338"/>
  <c r="G17" i="40"/>
  <c r="M70"/>
  <c r="O90" i="33"/>
  <c r="R90"/>
  <c r="I89"/>
  <c r="G90"/>
  <c r="I140" i="31"/>
  <c r="L140" s="1"/>
  <c r="L145"/>
  <c r="F158" i="32"/>
  <c r="H155"/>
  <c r="F155" s="1"/>
  <c r="C70" i="40"/>
  <c r="D17"/>
  <c r="R70"/>
  <c r="D247"/>
  <c r="E13" i="55"/>
  <c r="C14"/>
  <c r="G313" i="62"/>
  <c r="N313"/>
  <c r="H309"/>
  <c r="N183"/>
  <c r="J13" i="41"/>
  <c r="I14"/>
  <c r="J12" i="20"/>
  <c r="M12" s="1"/>
  <c r="M13"/>
  <c r="N196" i="51"/>
  <c r="I196"/>
  <c r="L196" s="1"/>
  <c r="L90" i="37"/>
  <c r="O90"/>
  <c r="V305" i="57"/>
  <c r="U306"/>
  <c r="G12" i="34"/>
  <c r="F13"/>
  <c r="G88" i="40"/>
  <c r="M89"/>
  <c r="R89"/>
  <c r="F89"/>
  <c r="D16" i="42"/>
  <c r="C17"/>
  <c r="L224" i="44"/>
  <c r="Q224"/>
  <c r="AA224"/>
  <c r="Z224"/>
  <c r="L86" i="40"/>
  <c r="Q86"/>
  <c r="D16" i="60"/>
  <c r="D14" s="1"/>
  <c r="J15"/>
  <c r="J14" s="1"/>
  <c r="J12" s="1"/>
  <c r="M149"/>
  <c r="I12" i="44"/>
  <c r="J256"/>
  <c r="I256" s="1"/>
  <c r="M216" i="33"/>
  <c r="D164" i="57"/>
  <c r="F117"/>
  <c r="D17" i="22"/>
  <c r="C18"/>
  <c r="L162" i="47"/>
  <c r="Z162"/>
  <c r="AA162"/>
  <c r="Q162"/>
  <c r="G174" i="52"/>
  <c r="U174" s="1"/>
  <c r="I173"/>
  <c r="G173" s="1"/>
  <c r="U173" s="1"/>
  <c r="D85" i="58"/>
  <c r="J85" s="1"/>
  <c r="E71"/>
  <c r="Q158" i="32"/>
  <c r="N204" i="44"/>
  <c r="AB204"/>
  <c r="S204"/>
  <c r="K12" i="34"/>
  <c r="N155"/>
  <c r="I155"/>
  <c r="L155" s="1"/>
  <c r="M145" i="33"/>
  <c r="P145"/>
  <c r="J139" i="31"/>
  <c r="M140"/>
  <c r="M332" i="62"/>
  <c r="X332"/>
  <c r="G13" i="37"/>
  <c r="P206"/>
  <c r="M206"/>
  <c r="F206"/>
  <c r="M185" i="62"/>
  <c r="X185"/>
  <c r="X259"/>
  <c r="M259"/>
  <c r="Q249" i="43"/>
  <c r="Z249"/>
  <c r="D74" i="52"/>
  <c r="U74" s="1"/>
  <c r="E14"/>
  <c r="G323" i="57"/>
  <c r="M324"/>
  <c r="X324"/>
  <c r="I309" i="62"/>
  <c r="O309" s="1"/>
  <c r="O313"/>
  <c r="M74"/>
  <c r="X74"/>
  <c r="F203" i="47"/>
  <c r="N203"/>
  <c r="AC203"/>
  <c r="S203"/>
  <c r="G234" i="52"/>
  <c r="O234"/>
  <c r="D56" i="54"/>
  <c r="C56" s="1"/>
  <c r="C79"/>
  <c r="E141"/>
  <c r="C141" s="1"/>
  <c r="T141" s="1"/>
  <c r="C142"/>
  <c r="T142" s="1"/>
  <c r="E247" i="43"/>
  <c r="S70"/>
  <c r="C70"/>
  <c r="E17"/>
  <c r="G109" i="62"/>
  <c r="X109" s="1"/>
  <c r="I91"/>
  <c r="L144" i="42"/>
  <c r="Z144"/>
  <c r="Q144"/>
  <c r="X94" i="62"/>
  <c r="M94"/>
  <c r="I44" i="31"/>
  <c r="L44" s="1"/>
  <c r="J13"/>
  <c r="M44"/>
  <c r="S248" i="43"/>
  <c r="F248"/>
  <c r="N89" i="37"/>
  <c r="H14"/>
  <c r="Q89"/>
  <c r="F89"/>
  <c r="M16" i="32"/>
  <c r="J15"/>
  <c r="I16"/>
  <c r="L16" s="1"/>
  <c r="G191" i="52"/>
  <c r="U195"/>
  <c r="U191" s="1"/>
  <c r="N79" i="54"/>
  <c r="K56"/>
  <c r="N56" s="1"/>
  <c r="F54" i="60"/>
  <c r="D54" s="1"/>
  <c r="D82"/>
  <c r="M379" i="62"/>
  <c r="G115" i="52"/>
  <c r="U115" s="1"/>
  <c r="I88"/>
  <c r="G247" i="40"/>
  <c r="H12" i="34"/>
  <c r="H183" s="1"/>
  <c r="P13"/>
  <c r="D14" i="37"/>
  <c r="P16"/>
  <c r="C16"/>
  <c r="O16" s="1"/>
  <c r="E15" i="45"/>
  <c r="S16"/>
  <c r="AB16"/>
  <c r="F224"/>
  <c r="R224"/>
  <c r="R262" s="1"/>
  <c r="G204"/>
  <c r="M224"/>
  <c r="M158" i="32"/>
  <c r="J155"/>
  <c r="I153" i="54"/>
  <c r="L153" s="1"/>
  <c r="M153"/>
  <c r="K15" i="51"/>
  <c r="K248"/>
  <c r="I248" s="1"/>
  <c r="I61"/>
  <c r="F122" i="55"/>
  <c r="Q122" s="1"/>
  <c r="H117"/>
  <c r="F117" s="1"/>
  <c r="Q117" s="1"/>
  <c r="G15" i="57"/>
  <c r="O15"/>
  <c r="I14"/>
  <c r="N148" i="60"/>
  <c r="J148"/>
  <c r="V116" i="62"/>
  <c r="U116" s="1"/>
  <c r="U163"/>
  <c r="O206" i="33"/>
  <c r="J206"/>
  <c r="S89" i="40"/>
  <c r="H88"/>
  <c r="N89"/>
  <c r="N153" i="55"/>
  <c r="I153"/>
  <c r="L153" s="1"/>
  <c r="AB143" i="47"/>
  <c r="F143"/>
  <c r="G87"/>
  <c r="R143"/>
  <c r="M143"/>
  <c r="L71" i="40"/>
  <c r="Z74" i="43"/>
  <c r="Q74"/>
  <c r="T305" i="57"/>
  <c r="R306"/>
  <c r="I277"/>
  <c r="G281"/>
  <c r="O281"/>
  <c r="X375" i="62"/>
  <c r="M375"/>
  <c r="I14" i="42"/>
  <c r="K13"/>
  <c r="I14" i="37"/>
  <c r="M14"/>
  <c r="J13"/>
  <c r="M212" i="62"/>
  <c r="X212"/>
  <c r="Z248" i="42"/>
  <c r="Q248"/>
  <c r="H17"/>
  <c r="H247"/>
  <c r="S247" s="1"/>
  <c r="S70"/>
  <c r="N70"/>
  <c r="M89"/>
  <c r="F89"/>
  <c r="G88"/>
  <c r="R89"/>
  <c r="Q205" i="44"/>
  <c r="AA205"/>
  <c r="Z205"/>
  <c r="D14" i="51"/>
  <c r="C15"/>
  <c r="AB15"/>
  <c r="R15"/>
  <c r="O216" i="37"/>
  <c r="L216"/>
  <c r="O77" i="32"/>
  <c r="C77"/>
  <c r="G119" i="57"/>
  <c r="O119"/>
  <c r="O305"/>
  <c r="J305"/>
  <c r="M305" s="1"/>
  <c r="E12" i="54"/>
  <c r="E157" s="1"/>
  <c r="H56"/>
  <c r="F79"/>
  <c r="I156"/>
  <c r="L156" s="1"/>
  <c r="M156"/>
  <c r="X314" i="62"/>
  <c r="M314"/>
  <c r="J127" i="61"/>
  <c r="L405"/>
  <c r="J405" s="1"/>
  <c r="L144" i="40"/>
  <c r="Q144"/>
  <c r="X186" i="62"/>
  <c r="X153"/>
  <c r="H54" i="60"/>
  <c r="N82"/>
  <c r="G82"/>
  <c r="X82" s="1"/>
  <c r="M79" i="54"/>
  <c r="I79"/>
  <c r="L79" s="1"/>
  <c r="C153"/>
  <c r="T153" s="1"/>
  <c r="M56" i="57"/>
  <c r="X56"/>
  <c r="N71" i="58"/>
  <c r="M72"/>
  <c r="N164" i="60"/>
  <c r="J164"/>
  <c r="M164" s="1"/>
  <c r="M220" i="61"/>
  <c r="N49" i="55"/>
  <c r="K14"/>
  <c r="I49"/>
  <c r="L49" s="1"/>
  <c r="G21" i="26"/>
  <c r="F13"/>
  <c r="E15" i="28"/>
  <c r="X282" i="57"/>
  <c r="M282"/>
  <c r="X204" i="61"/>
  <c r="M204"/>
  <c r="S364"/>
  <c r="R364" s="1"/>
  <c r="R365"/>
  <c r="U334"/>
  <c r="V312"/>
  <c r="U312" s="1"/>
  <c r="F397"/>
  <c r="D178"/>
  <c r="X178" s="1"/>
  <c r="F177"/>
  <c r="J313"/>
  <c r="N313"/>
  <c r="D387"/>
  <c r="D386" s="1"/>
  <c r="F386"/>
  <c r="M403"/>
  <c r="M93"/>
  <c r="X70"/>
  <c r="M211"/>
  <c r="X211"/>
  <c r="N406"/>
  <c r="J406"/>
  <c r="M24"/>
  <c r="X24"/>
  <c r="K399"/>
  <c r="J399" s="1"/>
  <c r="M92"/>
  <c r="O388"/>
  <c r="I387"/>
  <c r="I334"/>
  <c r="G338"/>
  <c r="X338" s="1"/>
  <c r="M96"/>
  <c r="X96"/>
  <c r="I399"/>
  <c r="O399" s="1"/>
  <c r="G388"/>
  <c r="X391"/>
  <c r="M391"/>
  <c r="N14" i="38"/>
  <c r="G14"/>
  <c r="H14" i="43"/>
  <c r="N88"/>
  <c r="S88"/>
  <c r="F88"/>
  <c r="L89"/>
  <c r="Z89"/>
  <c r="Q89"/>
  <c r="E15" i="44"/>
  <c r="AB16"/>
  <c r="S16"/>
  <c r="Z255"/>
  <c r="AA255"/>
  <c r="Q255"/>
  <c r="K15" i="28"/>
  <c r="N15" s="1"/>
  <c r="N17"/>
  <c r="X118" i="62"/>
  <c r="M118"/>
  <c r="J364" i="61"/>
  <c r="M364" s="1"/>
  <c r="N364"/>
  <c r="P206" i="33"/>
  <c r="M206"/>
  <c r="Z204" i="44"/>
  <c r="Q204"/>
  <c r="AA204"/>
  <c r="L204"/>
  <c r="K13" i="54"/>
  <c r="N14"/>
  <c r="I14"/>
  <c r="L14" s="1"/>
  <c r="N246" i="40"/>
  <c r="N247"/>
  <c r="E14" i="9"/>
  <c r="L70" i="40"/>
  <c r="Q70"/>
  <c r="G127" i="61"/>
  <c r="O127"/>
  <c r="K13" i="40"/>
  <c r="I14"/>
  <c r="I13" i="38"/>
  <c r="O14"/>
  <c r="K13" i="45"/>
  <c r="I15"/>
  <c r="Q14" i="38"/>
  <c r="E13"/>
  <c r="L12" i="57"/>
  <c r="M148" i="60"/>
  <c r="X148"/>
  <c r="E12" i="32"/>
  <c r="E183" s="1"/>
  <c r="P13"/>
  <c r="A123" i="57"/>
  <c r="A124"/>
  <c r="A125" s="1"/>
  <c r="A126" s="1"/>
  <c r="A127" s="1"/>
  <c r="A128" s="1"/>
  <c r="A129" s="1"/>
  <c r="A130" s="1"/>
  <c r="A131" s="1"/>
  <c r="A132" s="1"/>
  <c r="A133" s="1"/>
  <c r="A134" s="1"/>
  <c r="R14" i="62"/>
  <c r="S13"/>
  <c r="C252" i="44"/>
  <c r="Z69"/>
  <c r="AA69"/>
  <c r="Q69"/>
  <c r="O117" i="62"/>
  <c r="G117"/>
  <c r="J12" i="52"/>
  <c r="L239"/>
  <c r="M184" i="57"/>
  <c r="X184"/>
  <c r="D88" i="52"/>
  <c r="F13"/>
  <c r="H16" i="40"/>
  <c r="S17"/>
  <c r="N17"/>
  <c r="F17"/>
  <c r="N155" i="32"/>
  <c r="I155"/>
  <c r="L155" s="1"/>
  <c r="F32" i="24"/>
  <c r="E33"/>
  <c r="N16" i="33"/>
  <c r="K14"/>
  <c r="J16"/>
  <c r="K14" i="57"/>
  <c r="J78"/>
  <c r="M78" s="1"/>
  <c r="N78"/>
  <c r="I86" i="47"/>
  <c r="I17" i="25"/>
  <c r="J15"/>
  <c r="M17"/>
  <c r="L17" s="1"/>
  <c r="S254" i="44"/>
  <c r="H253"/>
  <c r="Q150"/>
  <c r="AA150"/>
  <c r="F254"/>
  <c r="Z150"/>
  <c r="O406" i="61"/>
  <c r="G406"/>
  <c r="H334" i="57"/>
  <c r="H164"/>
  <c r="N165"/>
  <c r="G165"/>
  <c r="X276" i="61"/>
  <c r="M276"/>
  <c r="C14" i="54"/>
  <c r="T14" s="1"/>
  <c r="D13"/>
  <c r="S70" i="41"/>
  <c r="E243"/>
  <c r="E17"/>
  <c r="C70"/>
  <c r="Q70" s="1"/>
  <c r="N91" i="62"/>
  <c r="J91"/>
  <c r="K374"/>
  <c r="K373"/>
  <c r="K79"/>
  <c r="L244" i="33"/>
  <c r="I14" i="47"/>
  <c r="J13"/>
  <c r="D13" i="45"/>
  <c r="C15"/>
  <c r="E11" i="8"/>
  <c r="D20" i="26"/>
  <c r="J12" i="51"/>
  <c r="C15" i="10"/>
  <c r="F16"/>
  <c r="G15" i="28"/>
  <c r="F17"/>
  <c r="M17"/>
  <c r="L17" s="1"/>
  <c r="C155" i="32"/>
  <c r="Q155" s="1"/>
  <c r="P155"/>
  <c r="S12" i="61"/>
  <c r="R12" s="1"/>
  <c r="R13"/>
  <c r="F247" i="42"/>
  <c r="R247"/>
  <c r="G16"/>
  <c r="R17"/>
  <c r="F17"/>
  <c r="M17"/>
  <c r="N14" i="41"/>
  <c r="H13"/>
  <c r="E252" i="51"/>
  <c r="I340" i="57"/>
  <c r="G118"/>
  <c r="O118"/>
  <c r="E14" i="62"/>
  <c r="N13" i="20"/>
  <c r="K12"/>
  <c r="I13"/>
  <c r="L13" s="1"/>
  <c r="Y12" i="58"/>
  <c r="X12" s="1"/>
  <c r="X13"/>
  <c r="U13"/>
  <c r="R12"/>
  <c r="U12" s="1"/>
  <c r="E8" i="53"/>
  <c r="AB248" i="51"/>
  <c r="M248"/>
  <c r="R248"/>
  <c r="G247" i="43"/>
  <c r="M70"/>
  <c r="F70"/>
  <c r="R70"/>
  <c r="G17"/>
  <c r="N61" i="51"/>
  <c r="AC61"/>
  <c r="S61"/>
  <c r="H15"/>
  <c r="H248"/>
  <c r="F61"/>
  <c r="I13" i="58"/>
  <c r="L71"/>
  <c r="M229" i="38"/>
  <c r="P229"/>
  <c r="N251"/>
  <c r="M251" s="1"/>
  <c r="N252"/>
  <c r="M252" s="1"/>
  <c r="C214" i="51"/>
  <c r="AB214"/>
  <c r="D196"/>
  <c r="R214"/>
  <c r="D18" i="60"/>
  <c r="X20"/>
  <c r="D13"/>
  <c r="D12" s="1"/>
  <c r="G33"/>
  <c r="I30"/>
  <c r="O30" s="1"/>
  <c r="F18"/>
  <c r="F163"/>
  <c r="D163" s="1"/>
  <c r="F371" i="62"/>
  <c r="D371" s="1"/>
  <c r="F79"/>
  <c r="F14" s="1"/>
  <c r="D80"/>
  <c r="G199" i="61"/>
  <c r="X199" s="1"/>
  <c r="N199"/>
  <c r="H399"/>
  <c r="G290" i="62"/>
  <c r="X291"/>
  <c r="M215"/>
  <c r="X215"/>
  <c r="C14" i="20"/>
  <c r="D13"/>
  <c r="M243" i="41"/>
  <c r="L243" s="1"/>
  <c r="M242"/>
  <c r="L242" s="1"/>
  <c r="M219"/>
  <c r="M241" s="1"/>
  <c r="L241" s="1"/>
  <c r="F219"/>
  <c r="G218"/>
  <c r="R219"/>
  <c r="F243"/>
  <c r="R243"/>
  <c r="M71" i="47"/>
  <c r="M256" s="1"/>
  <c r="L256" s="1"/>
  <c r="R71"/>
  <c r="F71"/>
  <c r="L71" s="1"/>
  <c r="G67"/>
  <c r="AB71"/>
  <c r="J81" i="61"/>
  <c r="N81"/>
  <c r="O81"/>
  <c r="F288" i="62"/>
  <c r="D289"/>
  <c r="X165"/>
  <c r="M165"/>
  <c r="J400" i="61"/>
  <c r="K12" i="32"/>
  <c r="M183" i="61"/>
  <c r="C16" i="44"/>
  <c r="D374" i="62"/>
  <c r="K397" i="61"/>
  <c r="C86" i="47"/>
  <c r="E251" i="42"/>
  <c r="A130" i="62"/>
  <c r="A129"/>
  <c r="N255" i="57"/>
  <c r="J255"/>
  <c r="S247" i="40"/>
  <c r="F247"/>
  <c r="M173" i="52"/>
  <c r="F11" i="53"/>
  <c r="H83" i="25"/>
  <c r="N15"/>
  <c r="N83" s="1"/>
  <c r="F77" i="24"/>
  <c r="E78"/>
  <c r="E77" s="1"/>
  <c r="N336" i="57"/>
  <c r="J336"/>
  <c r="M336" s="1"/>
  <c r="J337"/>
  <c r="M337" s="1"/>
  <c r="N337"/>
  <c r="D15" i="11"/>
  <c r="E16"/>
  <c r="N17" i="22"/>
  <c r="F17"/>
  <c r="H15"/>
  <c r="G15" i="25"/>
  <c r="F17"/>
  <c r="F252" i="38"/>
  <c r="R71"/>
  <c r="D71"/>
  <c r="P71" s="1"/>
  <c r="F17"/>
  <c r="N12" i="59"/>
  <c r="H140"/>
  <c r="G140" s="1"/>
  <c r="L247" i="51"/>
  <c r="Z247"/>
  <c r="Q247"/>
  <c r="AA247"/>
  <c r="N67" i="47"/>
  <c r="H15"/>
  <c r="H252"/>
  <c r="S144" i="44"/>
  <c r="H252"/>
  <c r="F252" s="1"/>
  <c r="N144"/>
  <c r="N252" s="1"/>
  <c r="F144"/>
  <c r="AB144"/>
  <c r="H88"/>
  <c r="E252" i="47"/>
  <c r="E15"/>
  <c r="AC67"/>
  <c r="S67"/>
  <c r="C67"/>
  <c r="H126" i="61"/>
  <c r="X313"/>
  <c r="M313"/>
  <c r="F13" i="32"/>
  <c r="H12"/>
  <c r="C15"/>
  <c r="O15"/>
  <c r="D13"/>
  <c r="D360" i="62"/>
  <c r="X360" s="1"/>
  <c r="X361"/>
  <c r="L88" i="41"/>
  <c r="X164" i="60"/>
  <c r="D12" i="34"/>
  <c r="O13"/>
  <c r="C13"/>
  <c r="E13" i="61"/>
  <c r="C15" i="44"/>
  <c r="D13"/>
  <c r="M246" i="42"/>
  <c r="M247"/>
  <c r="L70"/>
  <c r="Z70"/>
  <c r="Q70"/>
  <c r="M154" i="57"/>
  <c r="X154"/>
  <c r="M17" i="22"/>
  <c r="I17"/>
  <c r="J15"/>
  <c r="G71" i="58"/>
  <c r="K71"/>
  <c r="H13"/>
  <c r="H18" i="60"/>
  <c r="H17" s="1"/>
  <c r="N17" s="1"/>
  <c r="H163"/>
  <c r="G30"/>
  <c r="G18" s="1"/>
  <c r="F49" i="55"/>
  <c r="Q49" s="1"/>
  <c r="H14"/>
  <c r="L83" i="40"/>
  <c r="Q83"/>
  <c r="D137" i="59"/>
  <c r="D13" s="1"/>
  <c r="E13"/>
  <c r="E21" i="26"/>
  <c r="Q25"/>
  <c r="F80" i="51"/>
  <c r="AB80"/>
  <c r="G79"/>
  <c r="M80"/>
  <c r="R80"/>
  <c r="Z135"/>
  <c r="Q135"/>
  <c r="L135"/>
  <c r="AA135"/>
  <c r="L81" i="43"/>
  <c r="Q81"/>
  <c r="Z81"/>
  <c r="C70" i="9"/>
  <c r="F71"/>
  <c r="G252" i="38"/>
  <c r="Q252"/>
  <c r="Q228"/>
  <c r="N228"/>
  <c r="N250" s="1"/>
  <c r="M250" s="1"/>
  <c r="H227"/>
  <c r="G228"/>
  <c r="AA254" i="47"/>
  <c r="Q254"/>
  <c r="Z254"/>
  <c r="L163" i="60"/>
  <c r="L18"/>
  <c r="J30"/>
  <c r="M116"/>
  <c r="X116"/>
  <c r="N405" i="61"/>
  <c r="G401"/>
  <c r="N401"/>
  <c r="X200"/>
  <c r="M200"/>
  <c r="L79" i="62"/>
  <c r="O80"/>
  <c r="J80"/>
  <c r="L371"/>
  <c r="G81"/>
  <c r="M81" s="1"/>
  <c r="N81"/>
  <c r="H80"/>
  <c r="H371" s="1"/>
  <c r="X372"/>
  <c r="M372"/>
  <c r="G81" i="61"/>
  <c r="X81" s="1"/>
  <c r="G289" i="62"/>
  <c r="M289" s="1"/>
  <c r="O289"/>
  <c r="I288"/>
  <c r="E338"/>
  <c r="D338" s="1"/>
  <c r="X338" s="1"/>
  <c r="D339"/>
  <c r="X339" s="1"/>
  <c r="K86" i="47"/>
  <c r="N85"/>
  <c r="N86" s="1"/>
  <c r="K13"/>
  <c r="L220" i="41"/>
  <c r="Q220"/>
  <c r="I79" i="62"/>
  <c r="I14" s="1"/>
  <c r="I371"/>
  <c r="M88"/>
  <c r="X88"/>
  <c r="N164"/>
  <c r="H163"/>
  <c r="G164"/>
  <c r="I177" i="61"/>
  <c r="I126" s="1"/>
  <c r="I397"/>
  <c r="G397" s="1"/>
  <c r="I378" i="62"/>
  <c r="D373"/>
  <c r="X33" i="60"/>
  <c r="X81" i="62"/>
  <c r="M82" i="61"/>
  <c r="X290" i="62"/>
  <c r="M178" i="61"/>
  <c r="I14" l="1"/>
  <c r="C15" i="8"/>
  <c r="J13" i="55"/>
  <c r="M56"/>
  <c r="I56"/>
  <c r="L56" s="1"/>
  <c r="F13" i="31"/>
  <c r="P13"/>
  <c r="N13"/>
  <c r="H12"/>
  <c r="P155" i="34"/>
  <c r="F155"/>
  <c r="Q155" s="1"/>
  <c r="X30" i="60"/>
  <c r="F17"/>
  <c r="D17" s="1"/>
  <c r="E14" i="37"/>
  <c r="E13" s="1"/>
  <c r="E244" s="1"/>
  <c r="Q16"/>
  <c r="M79" i="57"/>
  <c r="X79"/>
  <c r="N16" i="44"/>
  <c r="H15"/>
  <c r="N15" s="1"/>
  <c r="J183" i="34"/>
  <c r="M12"/>
  <c r="M183" s="1"/>
  <c r="X100" i="60"/>
  <c r="F141" i="55"/>
  <c r="Q141" s="1"/>
  <c r="G12"/>
  <c r="G158" s="1"/>
  <c r="K13" i="43"/>
  <c r="A204" i="69"/>
  <c r="A207" s="1"/>
  <c r="A212" s="1"/>
  <c r="A215" s="1"/>
  <c r="A218" s="1"/>
  <c r="A221" s="1"/>
  <c r="A224" s="1"/>
  <c r="A228" s="1"/>
  <c r="A232" s="1"/>
  <c r="A235" s="1"/>
  <c r="A239" s="1"/>
  <c r="A243" s="1"/>
  <c r="A246" s="1"/>
  <c r="A249" s="1"/>
  <c r="A252" s="1"/>
  <c r="A255" s="1"/>
  <c r="A258" s="1"/>
  <c r="A262" s="1"/>
  <c r="A197"/>
  <c r="X12" i="65"/>
  <c r="H12" i="64"/>
  <c r="C88" i="43"/>
  <c r="D14"/>
  <c r="D13" s="1"/>
  <c r="D251" s="1"/>
  <c r="O165" i="60"/>
  <c r="G165"/>
  <c r="G16"/>
  <c r="G14" s="1"/>
  <c r="G12" s="1"/>
  <c r="M84"/>
  <c r="G15" i="44"/>
  <c r="M16"/>
  <c r="F16"/>
  <c r="L16" s="1"/>
  <c r="R16"/>
  <c r="Z223" i="42"/>
  <c r="Q223"/>
  <c r="L223"/>
  <c r="D17" i="28"/>
  <c r="C18"/>
  <c r="K13" i="38"/>
  <c r="J14"/>
  <c r="G14" i="41"/>
  <c r="R16"/>
  <c r="M16"/>
  <c r="F16"/>
  <c r="L16" s="1"/>
  <c r="D89" i="33"/>
  <c r="F14"/>
  <c r="U14" i="62"/>
  <c r="V13"/>
  <c r="K239" i="52"/>
  <c r="N239" s="1"/>
  <c r="N12"/>
  <c r="AB87" i="45"/>
  <c r="S87"/>
  <c r="N87"/>
  <c r="F87"/>
  <c r="M87"/>
  <c r="R87"/>
  <c r="G13" i="24"/>
  <c r="G10" s="1"/>
  <c r="G12" s="1"/>
  <c r="E14"/>
  <c r="F16" i="45"/>
  <c r="R16"/>
  <c r="M16"/>
  <c r="G15"/>
  <c r="I334" i="57"/>
  <c r="O334" s="1"/>
  <c r="O165"/>
  <c r="I164"/>
  <c r="K251" i="43"/>
  <c r="I251" s="1"/>
  <c r="I13"/>
  <c r="O13" i="31"/>
  <c r="D12"/>
  <c r="C13"/>
  <c r="N252" i="45"/>
  <c r="N251"/>
  <c r="K12" i="31"/>
  <c r="N138"/>
  <c r="M14" i="38"/>
  <c r="X184" i="62"/>
  <c r="M184"/>
  <c r="M170" i="57"/>
  <c r="X170"/>
  <c r="S89" i="42"/>
  <c r="H88"/>
  <c r="N89"/>
  <c r="O82" i="60"/>
  <c r="I54"/>
  <c r="O54" s="1"/>
  <c r="L88" i="45"/>
  <c r="Z88"/>
  <c r="Q88"/>
  <c r="AA88"/>
  <c r="C88" i="41"/>
  <c r="Q88" s="1"/>
  <c r="R88"/>
  <c r="D14"/>
  <c r="F222" i="42"/>
  <c r="H202"/>
  <c r="N222"/>
  <c r="S222"/>
  <c r="S254" s="1"/>
  <c r="F222" i="43"/>
  <c r="G202"/>
  <c r="M222"/>
  <c r="R222"/>
  <c r="R254" s="1"/>
  <c r="R202" i="40"/>
  <c r="F202"/>
  <c r="M202"/>
  <c r="Z69" i="45"/>
  <c r="L69"/>
  <c r="AA69"/>
  <c r="Q69"/>
  <c r="R253"/>
  <c r="F253"/>
  <c r="AA253" i="47"/>
  <c r="Q253"/>
  <c r="Z253"/>
  <c r="M361" i="62"/>
  <c r="J360"/>
  <c r="M360" s="1"/>
  <c r="G14" i="61"/>
  <c r="L253" i="45"/>
  <c r="O183" i="62"/>
  <c r="I163"/>
  <c r="O16" i="60"/>
  <c r="I14"/>
  <c r="G137" i="59"/>
  <c r="G13" s="1"/>
  <c r="H13"/>
  <c r="M251" i="44"/>
  <c r="L251" s="1"/>
  <c r="M252"/>
  <c r="L252" s="1"/>
  <c r="F116" i="62"/>
  <c r="D116" s="1"/>
  <c r="D163"/>
  <c r="Q13" i="58"/>
  <c r="P71"/>
  <c r="Q223" i="43"/>
  <c r="L223"/>
  <c r="Z223"/>
  <c r="Q89" i="33"/>
  <c r="N89"/>
  <c r="Q222" i="40"/>
  <c r="L222"/>
  <c r="H14" i="33"/>
  <c r="G16"/>
  <c r="P16" s="1"/>
  <c r="Q16"/>
  <c r="M252" i="45"/>
  <c r="M251"/>
  <c r="N202" i="40"/>
  <c r="S202"/>
  <c r="H15" i="45"/>
  <c r="N16"/>
  <c r="A62" i="64"/>
  <c r="A63" s="1"/>
  <c r="A65" s="1"/>
  <c r="A66"/>
  <c r="F410"/>
  <c r="D410" s="1"/>
  <c r="O13"/>
  <c r="G13"/>
  <c r="M13" s="1"/>
  <c r="N13"/>
  <c r="J410"/>
  <c r="X14"/>
  <c r="A37" i="61"/>
  <c r="A38" s="1"/>
  <c r="A39" s="1"/>
  <c r="D405"/>
  <c r="X64"/>
  <c r="M64"/>
  <c r="V12"/>
  <c r="U12" s="1"/>
  <c r="I405"/>
  <c r="O405" s="1"/>
  <c r="X92"/>
  <c r="X15"/>
  <c r="O15"/>
  <c r="K312"/>
  <c r="N312" s="1"/>
  <c r="J334"/>
  <c r="M199"/>
  <c r="K126"/>
  <c r="J126" s="1"/>
  <c r="J177"/>
  <c r="M406"/>
  <c r="N14" i="55"/>
  <c r="K13"/>
  <c r="I14"/>
  <c r="L14" s="1"/>
  <c r="Z89" i="42"/>
  <c r="L89"/>
  <c r="Q89"/>
  <c r="Q143" i="47"/>
  <c r="AA143"/>
  <c r="Z143"/>
  <c r="L143"/>
  <c r="R204" i="45"/>
  <c r="F204"/>
  <c r="M204"/>
  <c r="P14" i="37"/>
  <c r="D13"/>
  <c r="C14"/>
  <c r="G88" i="52"/>
  <c r="I13"/>
  <c r="L89" i="37"/>
  <c r="O89"/>
  <c r="Z248" i="43"/>
  <c r="Q248"/>
  <c r="E16"/>
  <c r="S17"/>
  <c r="C17"/>
  <c r="F13" i="57"/>
  <c r="D117"/>
  <c r="L89" i="40"/>
  <c r="Q89"/>
  <c r="J247" i="41"/>
  <c r="I247" s="1"/>
  <c r="I13"/>
  <c r="R247" i="40"/>
  <c r="C247"/>
  <c r="Q247" s="1"/>
  <c r="P90" i="33"/>
  <c r="M90"/>
  <c r="M246" i="40"/>
  <c r="M247"/>
  <c r="L247" s="1"/>
  <c r="E341" i="57"/>
  <c r="L246" i="40"/>
  <c r="F20" i="26"/>
  <c r="G20" s="1"/>
  <c r="G13"/>
  <c r="H13" i="54"/>
  <c r="F56"/>
  <c r="T56" s="1"/>
  <c r="N17" i="42"/>
  <c r="H16"/>
  <c r="S17"/>
  <c r="K251"/>
  <c r="I251" s="1"/>
  <c r="I13"/>
  <c r="R305" i="57"/>
  <c r="T12"/>
  <c r="R12" s="1"/>
  <c r="N88" i="40"/>
  <c r="S88"/>
  <c r="X15" i="57"/>
  <c r="M15"/>
  <c r="M155" i="32"/>
  <c r="J12"/>
  <c r="E13" i="45"/>
  <c r="AB15"/>
  <c r="S15"/>
  <c r="M323" i="57"/>
  <c r="X323"/>
  <c r="G183" i="34"/>
  <c r="F183" s="1"/>
  <c r="F12"/>
  <c r="M183" i="62"/>
  <c r="X183"/>
  <c r="M313"/>
  <c r="X313"/>
  <c r="O89" i="33"/>
  <c r="R89"/>
  <c r="G89"/>
  <c r="I14"/>
  <c r="G16" i="40"/>
  <c r="M17"/>
  <c r="M377" i="62"/>
  <c r="X377"/>
  <c r="M13" i="54"/>
  <c r="J12"/>
  <c r="U88" i="52"/>
  <c r="N13" i="58"/>
  <c r="T71"/>
  <c r="M71"/>
  <c r="S71" s="1"/>
  <c r="N54" i="60"/>
  <c r="G54"/>
  <c r="X119" i="57"/>
  <c r="M119"/>
  <c r="C14" i="51"/>
  <c r="D13"/>
  <c r="C13" s="1"/>
  <c r="AB14"/>
  <c r="R14"/>
  <c r="N246" i="42"/>
  <c r="L246" s="1"/>
  <c r="N247"/>
  <c r="M13" i="37"/>
  <c r="J244"/>
  <c r="I244" s="1"/>
  <c r="I13"/>
  <c r="M281" i="57"/>
  <c r="X281"/>
  <c r="I15" i="51"/>
  <c r="K14"/>
  <c r="Q224" i="45"/>
  <c r="L224"/>
  <c r="Z224"/>
  <c r="AA224"/>
  <c r="M15" i="32"/>
  <c r="I15"/>
  <c r="L15" s="1"/>
  <c r="N14" i="37"/>
  <c r="H13"/>
  <c r="Q14"/>
  <c r="F14"/>
  <c r="L14" s="1"/>
  <c r="I373" i="62"/>
  <c r="O91"/>
  <c r="I374"/>
  <c r="G91"/>
  <c r="X91" s="1"/>
  <c r="M234" i="52"/>
  <c r="U234"/>
  <c r="Z203" i="47"/>
  <c r="AA203"/>
  <c r="Q203"/>
  <c r="L203"/>
  <c r="E13" i="52"/>
  <c r="D14"/>
  <c r="U14" s="1"/>
  <c r="G244" i="37"/>
  <c r="F13"/>
  <c r="J138" i="31"/>
  <c r="M139"/>
  <c r="I139"/>
  <c r="L139" s="1"/>
  <c r="D71" i="58"/>
  <c r="J71" s="1"/>
  <c r="E13"/>
  <c r="D16" i="40"/>
  <c r="R17"/>
  <c r="C17"/>
  <c r="I56" i="54"/>
  <c r="L56" s="1"/>
  <c r="L247" i="42"/>
  <c r="M88"/>
  <c r="F88"/>
  <c r="R88"/>
  <c r="G277" i="57"/>
  <c r="O277"/>
  <c r="I255"/>
  <c r="AB87" i="47"/>
  <c r="M87"/>
  <c r="R87"/>
  <c r="G85"/>
  <c r="F87"/>
  <c r="G14" i="57"/>
  <c r="X14" s="1"/>
  <c r="O14"/>
  <c r="M13" i="31"/>
  <c r="J12"/>
  <c r="I13"/>
  <c r="L13" s="1"/>
  <c r="M82" i="60"/>
  <c r="C247" i="43"/>
  <c r="S247"/>
  <c r="T79" i="54"/>
  <c r="O206" i="37"/>
  <c r="L206"/>
  <c r="N12" i="34"/>
  <c r="N183" s="1"/>
  <c r="L183" s="1"/>
  <c r="K183"/>
  <c r="I183" s="1"/>
  <c r="I12"/>
  <c r="L12" s="1"/>
  <c r="D15" i="22"/>
  <c r="C15" s="1"/>
  <c r="C17"/>
  <c r="D14" i="42"/>
  <c r="C16"/>
  <c r="M88" i="40"/>
  <c r="R88"/>
  <c r="F88"/>
  <c r="U305" i="57"/>
  <c r="V12"/>
  <c r="U12" s="1"/>
  <c r="N309" i="62"/>
  <c r="H287"/>
  <c r="N287" s="1"/>
  <c r="G309"/>
  <c r="C13" i="55"/>
  <c r="E12"/>
  <c r="M88" i="43"/>
  <c r="R88"/>
  <c r="D177" i="61"/>
  <c r="F126"/>
  <c r="G334"/>
  <c r="I312"/>
  <c r="O334"/>
  <c r="M338"/>
  <c r="G387"/>
  <c r="X388"/>
  <c r="M388"/>
  <c r="I386"/>
  <c r="O386" s="1"/>
  <c r="O387"/>
  <c r="G371" i="62"/>
  <c r="N371"/>
  <c r="G288"/>
  <c r="M288" s="1"/>
  <c r="I287"/>
  <c r="O288"/>
  <c r="O371"/>
  <c r="J371"/>
  <c r="L17" i="60"/>
  <c r="AB79" i="51"/>
  <c r="F79"/>
  <c r="R79"/>
  <c r="M79"/>
  <c r="G13"/>
  <c r="E13" i="26"/>
  <c r="Q21"/>
  <c r="N163" i="60"/>
  <c r="H12" i="58"/>
  <c r="G13"/>
  <c r="K13"/>
  <c r="E12" i="61"/>
  <c r="C12" i="34"/>
  <c r="D183"/>
  <c r="C183" s="1"/>
  <c r="O378" i="62"/>
  <c r="G378"/>
  <c r="M164"/>
  <c r="X164"/>
  <c r="N163"/>
  <c r="G163"/>
  <c r="H116"/>
  <c r="K12" i="47"/>
  <c r="G80" i="61"/>
  <c r="X80" s="1"/>
  <c r="H79" i="62"/>
  <c r="N79" s="1"/>
  <c r="G80"/>
  <c r="N80"/>
  <c r="O79"/>
  <c r="L14"/>
  <c r="M401" i="61"/>
  <c r="X401"/>
  <c r="J163" i="60"/>
  <c r="P228" i="38"/>
  <c r="M228"/>
  <c r="H13" i="55"/>
  <c r="F14"/>
  <c r="Q14" s="1"/>
  <c r="I15" i="22"/>
  <c r="M15"/>
  <c r="D12" i="32"/>
  <c r="C13"/>
  <c r="O13"/>
  <c r="E14" i="47"/>
  <c r="C15"/>
  <c r="S15"/>
  <c r="AC15"/>
  <c r="F88" i="44"/>
  <c r="S88"/>
  <c r="H87"/>
  <c r="AB88"/>
  <c r="N88"/>
  <c r="L144"/>
  <c r="AA144"/>
  <c r="Q144"/>
  <c r="Z144"/>
  <c r="N250" i="47"/>
  <c r="N251"/>
  <c r="N252"/>
  <c r="D252" i="38"/>
  <c r="P252" s="1"/>
  <c r="R252"/>
  <c r="F15" i="25"/>
  <c r="F83" s="1"/>
  <c r="G83"/>
  <c r="G11" i="53"/>
  <c r="F287" i="62"/>
  <c r="D287" s="1"/>
  <c r="D288"/>
  <c r="O80" i="61"/>
  <c r="J80"/>
  <c r="N80"/>
  <c r="R218" i="41"/>
  <c r="R250" s="1"/>
  <c r="G198"/>
  <c r="M218"/>
  <c r="F218"/>
  <c r="I18" i="60"/>
  <c r="I17" s="1"/>
  <c r="I163"/>
  <c r="O163" s="1"/>
  <c r="C196" i="51"/>
  <c r="AB196"/>
  <c r="R196"/>
  <c r="D12"/>
  <c r="AA214"/>
  <c r="Q214"/>
  <c r="Z214"/>
  <c r="L13" i="58"/>
  <c r="I12"/>
  <c r="L12" s="1"/>
  <c r="S248" i="51"/>
  <c r="AC248"/>
  <c r="N248"/>
  <c r="M246" i="43"/>
  <c r="L246" s="1"/>
  <c r="M247"/>
  <c r="L247" s="1"/>
  <c r="O340" i="57"/>
  <c r="G340"/>
  <c r="Z17" i="42"/>
  <c r="Q17"/>
  <c r="L17"/>
  <c r="M16"/>
  <c r="G14"/>
  <c r="R16"/>
  <c r="F16"/>
  <c r="Q247"/>
  <c r="Z247"/>
  <c r="J252" i="51"/>
  <c r="J12" i="47"/>
  <c r="I13"/>
  <c r="K14" i="62"/>
  <c r="J79"/>
  <c r="J374"/>
  <c r="N374"/>
  <c r="C17" i="41"/>
  <c r="Q17" s="1"/>
  <c r="S17"/>
  <c r="E16"/>
  <c r="D12" i="54"/>
  <c r="C13"/>
  <c r="M165" i="57"/>
  <c r="X165"/>
  <c r="G164"/>
  <c r="H117"/>
  <c r="N164"/>
  <c r="S253" i="44"/>
  <c r="F253"/>
  <c r="E32" i="24"/>
  <c r="F31"/>
  <c r="F16" i="40"/>
  <c r="H14"/>
  <c r="S16"/>
  <c r="N16"/>
  <c r="K12" i="45"/>
  <c r="I13"/>
  <c r="I8" i="40"/>
  <c r="X127" i="61"/>
  <c r="M127"/>
  <c r="N13" i="54"/>
  <c r="K12"/>
  <c r="I13"/>
  <c r="L13" s="1"/>
  <c r="E13" i="44"/>
  <c r="AB15"/>
  <c r="S15"/>
  <c r="L88" i="43"/>
  <c r="Z88"/>
  <c r="Q88"/>
  <c r="M80" i="62"/>
  <c r="G17" i="60"/>
  <c r="L17" i="22"/>
  <c r="G177" i="61"/>
  <c r="O397"/>
  <c r="O126"/>
  <c r="X18" i="60"/>
  <c r="F248" i="51"/>
  <c r="D79" i="62"/>
  <c r="S252" i="44"/>
  <c r="Q71" i="47"/>
  <c r="AA71"/>
  <c r="X404" i="61"/>
  <c r="J18" i="60"/>
  <c r="M18" s="1"/>
  <c r="M30"/>
  <c r="G227" i="38"/>
  <c r="Q227"/>
  <c r="Q259" s="1"/>
  <c r="H206"/>
  <c r="N227"/>
  <c r="C15" i="9"/>
  <c r="F70"/>
  <c r="Q80" i="51"/>
  <c r="Z80"/>
  <c r="AA80"/>
  <c r="L80"/>
  <c r="C13" i="44"/>
  <c r="D12"/>
  <c r="H183" i="32"/>
  <c r="F183" s="1"/>
  <c r="F12"/>
  <c r="C252" i="47"/>
  <c r="AC252"/>
  <c r="S252"/>
  <c r="N15"/>
  <c r="H14"/>
  <c r="F16" i="38"/>
  <c r="D17"/>
  <c r="P17" s="1"/>
  <c r="R17"/>
  <c r="F15" i="22"/>
  <c r="N15"/>
  <c r="E15" i="11"/>
  <c r="D11"/>
  <c r="A131" i="62"/>
  <c r="A132" s="1"/>
  <c r="A133"/>
  <c r="J397" i="61"/>
  <c r="M397" s="1"/>
  <c r="N397"/>
  <c r="AA16" i="44"/>
  <c r="Q16"/>
  <c r="Z16"/>
  <c r="K183" i="32"/>
  <c r="N12"/>
  <c r="N183" s="1"/>
  <c r="I12"/>
  <c r="L12" s="1"/>
  <c r="F67" i="47"/>
  <c r="L67" s="1"/>
  <c r="AB67"/>
  <c r="G15"/>
  <c r="R67"/>
  <c r="M67"/>
  <c r="G252"/>
  <c r="Q219" i="41"/>
  <c r="L219"/>
  <c r="D12" i="20"/>
  <c r="C12" s="1"/>
  <c r="C13"/>
  <c r="G399" i="61"/>
  <c r="X399" s="1"/>
  <c r="N399"/>
  <c r="G400"/>
  <c r="X400" s="1"/>
  <c r="N400"/>
  <c r="Z61" i="51"/>
  <c r="Q61"/>
  <c r="AA61"/>
  <c r="L61"/>
  <c r="H14"/>
  <c r="AC15"/>
  <c r="S15"/>
  <c r="F15"/>
  <c r="N15"/>
  <c r="F17" i="43"/>
  <c r="M17"/>
  <c r="G16"/>
  <c r="R17"/>
  <c r="L70"/>
  <c r="Z70"/>
  <c r="Q70"/>
  <c r="F247"/>
  <c r="R247"/>
  <c r="N12" i="20"/>
  <c r="I12"/>
  <c r="L12" s="1"/>
  <c r="E13" i="62"/>
  <c r="D14"/>
  <c r="X118" i="57"/>
  <c r="M118"/>
  <c r="H247" i="41"/>
  <c r="N13"/>
  <c r="F15" i="28"/>
  <c r="M15"/>
  <c r="L15" s="1"/>
  <c r="C11" i="10"/>
  <c r="F15"/>
  <c r="E14" i="8"/>
  <c r="D12" i="45"/>
  <c r="C13"/>
  <c r="J373" i="62"/>
  <c r="N373"/>
  <c r="S243" i="41"/>
  <c r="C243"/>
  <c r="Q243" s="1"/>
  <c r="G334" i="57"/>
  <c r="N334"/>
  <c r="Q254" i="44"/>
  <c r="AA254"/>
  <c r="Z254"/>
  <c r="M15" i="25"/>
  <c r="J83"/>
  <c r="I15"/>
  <c r="I83" s="1"/>
  <c r="J14" i="57"/>
  <c r="M14" s="1"/>
  <c r="K13"/>
  <c r="N14"/>
  <c r="K13" i="33"/>
  <c r="N14"/>
  <c r="J14"/>
  <c r="Q17" i="40"/>
  <c r="L17"/>
  <c r="X13" i="52"/>
  <c r="D13"/>
  <c r="F12"/>
  <c r="O239"/>
  <c r="J239"/>
  <c r="M117" i="62"/>
  <c r="X117"/>
  <c r="Q252" i="44"/>
  <c r="Z252"/>
  <c r="AA252"/>
  <c r="S12" i="62"/>
  <c r="R12" s="1"/>
  <c r="R13"/>
  <c r="A137" i="57"/>
  <c r="A138" s="1"/>
  <c r="A139" s="1"/>
  <c r="A140" s="1"/>
  <c r="A141" s="1"/>
  <c r="A142" s="1"/>
  <c r="A135"/>
  <c r="A136" s="1"/>
  <c r="L341"/>
  <c r="E256" i="38"/>
  <c r="I256"/>
  <c r="O13"/>
  <c r="K251" i="40"/>
  <c r="I251" s="1"/>
  <c r="I13"/>
  <c r="H13" i="43"/>
  <c r="N14"/>
  <c r="G126" i="61"/>
  <c r="X17" i="60"/>
  <c r="X289" i="62"/>
  <c r="M81" i="61"/>
  <c r="O177"/>
  <c r="X80" i="62"/>
  <c r="X371"/>
  <c r="I13" i="61"/>
  <c r="Z71" i="47"/>
  <c r="X288" i="62" l="1"/>
  <c r="F13"/>
  <c r="F12" s="1"/>
  <c r="F380" s="1"/>
  <c r="M13" i="55"/>
  <c r="J12"/>
  <c r="C11" i="8"/>
  <c r="F15"/>
  <c r="H166" i="31"/>
  <c r="F166" s="1"/>
  <c r="F12"/>
  <c r="A266" i="69"/>
  <c r="A268"/>
  <c r="A271" s="1"/>
  <c r="A274" s="1"/>
  <c r="A277" s="1"/>
  <c r="A28" i="65"/>
  <c r="A33" s="1"/>
  <c r="A37" s="1"/>
  <c r="A39" s="1"/>
  <c r="A42" s="1"/>
  <c r="A46" s="1"/>
  <c r="A50" s="1"/>
  <c r="A61" s="1"/>
  <c r="G12" i="64"/>
  <c r="R14" i="41"/>
  <c r="D13"/>
  <c r="D247" s="1"/>
  <c r="N12" i="31"/>
  <c r="K166"/>
  <c r="N166" s="1"/>
  <c r="C12"/>
  <c r="D166"/>
  <c r="C166" s="1"/>
  <c r="O164" i="57"/>
  <c r="I117"/>
  <c r="M15" i="44"/>
  <c r="G13"/>
  <c r="R15"/>
  <c r="F15"/>
  <c r="O163" i="62"/>
  <c r="I116"/>
  <c r="Q253" i="45"/>
  <c r="Z253"/>
  <c r="AA253"/>
  <c r="Z222" i="43"/>
  <c r="L222"/>
  <c r="Q222"/>
  <c r="Q222" i="42"/>
  <c r="L222"/>
  <c r="Z222"/>
  <c r="M15" i="45"/>
  <c r="F15"/>
  <c r="R15"/>
  <c r="G13"/>
  <c r="L87"/>
  <c r="Q87"/>
  <c r="Z87"/>
  <c r="AA87"/>
  <c r="D14" i="33"/>
  <c r="F13"/>
  <c r="J13" i="38"/>
  <c r="K256"/>
  <c r="J256" s="1"/>
  <c r="X165" i="60"/>
  <c r="M165"/>
  <c r="H13" i="45"/>
  <c r="S13" s="1"/>
  <c r="N15"/>
  <c r="Q12" i="58"/>
  <c r="P12" s="1"/>
  <c r="P13"/>
  <c r="Q202" i="40"/>
  <c r="L202"/>
  <c r="F202" i="43"/>
  <c r="M202"/>
  <c r="R202"/>
  <c r="F202" i="42"/>
  <c r="S202"/>
  <c r="N202"/>
  <c r="N88"/>
  <c r="S88"/>
  <c r="AA16" i="45"/>
  <c r="Z16"/>
  <c r="L16"/>
  <c r="Q16"/>
  <c r="AA67" i="47"/>
  <c r="L252" i="45"/>
  <c r="Q14" i="33"/>
  <c r="H13"/>
  <c r="O14" i="60"/>
  <c r="I12"/>
  <c r="O12" s="1"/>
  <c r="U13" i="62"/>
  <c r="V12"/>
  <c r="U12" s="1"/>
  <c r="M14" i="41"/>
  <c r="F14"/>
  <c r="L14" s="1"/>
  <c r="D15" i="28"/>
  <c r="C15" s="1"/>
  <c r="C17"/>
  <c r="M16" i="33"/>
  <c r="L251" i="45"/>
  <c r="H410" i="64"/>
  <c r="N12"/>
  <c r="A73"/>
  <c r="A74" s="1"/>
  <c r="A86" s="1"/>
  <c r="A90" s="1"/>
  <c r="A98" s="1"/>
  <c r="A102" s="1"/>
  <c r="A107" s="1"/>
  <c r="A111" s="1"/>
  <c r="A113" s="1"/>
  <c r="A116" s="1"/>
  <c r="A120" s="1"/>
  <c r="A124" s="1"/>
  <c r="A133" s="1"/>
  <c r="A135" s="1"/>
  <c r="A67"/>
  <c r="A71" s="1"/>
  <c r="A72" s="1"/>
  <c r="I410"/>
  <c r="O12"/>
  <c r="X13"/>
  <c r="A40" i="61"/>
  <c r="A42"/>
  <c r="A45" s="1"/>
  <c r="M80"/>
  <c r="G405"/>
  <c r="X405" s="1"/>
  <c r="X177"/>
  <c r="J312"/>
  <c r="N126"/>
  <c r="R85" i="47"/>
  <c r="R86" s="1"/>
  <c r="F85"/>
  <c r="M85"/>
  <c r="M86" s="1"/>
  <c r="AB85"/>
  <c r="G86"/>
  <c r="AB86" s="1"/>
  <c r="G255" i="57"/>
  <c r="O255"/>
  <c r="L88" i="42"/>
  <c r="Z88"/>
  <c r="Q88"/>
  <c r="O373" i="62"/>
  <c r="G373"/>
  <c r="X373" s="1"/>
  <c r="G14" i="40"/>
  <c r="M16"/>
  <c r="J183" i="32"/>
  <c r="I183" s="1"/>
  <c r="M12"/>
  <c r="M183" s="1"/>
  <c r="L183" s="1"/>
  <c r="F12" i="57"/>
  <c r="D13"/>
  <c r="S16" i="43"/>
  <c r="E14"/>
  <c r="C16"/>
  <c r="D244" i="37"/>
  <c r="P13"/>
  <c r="P252" s="1"/>
  <c r="C13"/>
  <c r="O13" s="1"/>
  <c r="X309" i="62"/>
  <c r="M309"/>
  <c r="D14" i="40"/>
  <c r="C16"/>
  <c r="Q16" s="1"/>
  <c r="R16"/>
  <c r="I13" i="33"/>
  <c r="O14"/>
  <c r="G14"/>
  <c r="P14" s="1"/>
  <c r="R14"/>
  <c r="O13" i="52"/>
  <c r="I12"/>
  <c r="G13"/>
  <c r="M13" s="1"/>
  <c r="L88" i="40"/>
  <c r="Q88"/>
  <c r="D13" i="42"/>
  <c r="C14"/>
  <c r="M277" i="57"/>
  <c r="X277"/>
  <c r="D13" i="58"/>
  <c r="J13" s="1"/>
  <c r="E12"/>
  <c r="D12" s="1"/>
  <c r="M138" i="31"/>
  <c r="I138"/>
  <c r="L138" s="1"/>
  <c r="W13" i="52"/>
  <c r="E12"/>
  <c r="D12" s="1"/>
  <c r="O374" i="62"/>
  <c r="G374"/>
  <c r="X374" s="1"/>
  <c r="M54" i="60"/>
  <c r="X54"/>
  <c r="M13" i="58"/>
  <c r="S13" s="1"/>
  <c r="T13"/>
  <c r="N12"/>
  <c r="P89" i="33"/>
  <c r="M89"/>
  <c r="H12" i="54"/>
  <c r="F13"/>
  <c r="T13" s="1"/>
  <c r="M91" i="62"/>
  <c r="N13" i="55"/>
  <c r="K12"/>
  <c r="I13"/>
  <c r="L13" s="1"/>
  <c r="Z67" i="47"/>
  <c r="M371" i="62"/>
  <c r="C12" i="55"/>
  <c r="E158"/>
  <c r="C158" s="1"/>
  <c r="J166" i="31"/>
  <c r="M12"/>
  <c r="I12"/>
  <c r="L12" s="1"/>
  <c r="L87" i="47"/>
  <c r="Q87"/>
  <c r="Z87"/>
  <c r="AA87"/>
  <c r="H244" i="37"/>
  <c r="Q244" s="1"/>
  <c r="N13"/>
  <c r="Q13"/>
  <c r="Q252" s="1"/>
  <c r="K13" i="51"/>
  <c r="I14"/>
  <c r="L13" i="37"/>
  <c r="M12" i="54"/>
  <c r="J157"/>
  <c r="M157" s="1"/>
  <c r="E12" i="45"/>
  <c r="C12" s="1"/>
  <c r="AB13"/>
  <c r="N16" i="42"/>
  <c r="S16"/>
  <c r="H14"/>
  <c r="F14" s="1"/>
  <c r="O14" i="37"/>
  <c r="Z204" i="45"/>
  <c r="Q204"/>
  <c r="AA204"/>
  <c r="L204"/>
  <c r="D126" i="61"/>
  <c r="X126" s="1"/>
  <c r="F13"/>
  <c r="M177"/>
  <c r="M387"/>
  <c r="G386"/>
  <c r="X387"/>
  <c r="G312"/>
  <c r="O312"/>
  <c r="X334"/>
  <c r="M334"/>
  <c r="I12"/>
  <c r="I407" s="1"/>
  <c r="X334" i="57"/>
  <c r="M334"/>
  <c r="F16" i="43"/>
  <c r="G14"/>
  <c r="M16"/>
  <c r="R16"/>
  <c r="L17"/>
  <c r="Z17"/>
  <c r="Q17"/>
  <c r="Z15" i="51"/>
  <c r="Q15"/>
  <c r="AA15"/>
  <c r="L15"/>
  <c r="F252" i="47"/>
  <c r="Q252" s="1"/>
  <c r="AB252"/>
  <c r="R252"/>
  <c r="A134" i="62"/>
  <c r="A135" s="1"/>
  <c r="A136"/>
  <c r="A137" s="1"/>
  <c r="A138" s="1"/>
  <c r="A139" s="1"/>
  <c r="A140" s="1"/>
  <c r="A141" s="1"/>
  <c r="E11" i="11"/>
  <c r="D14"/>
  <c r="E14" s="1"/>
  <c r="R16" i="38"/>
  <c r="F14"/>
  <c r="D16"/>
  <c r="P16" s="1"/>
  <c r="L16" i="40"/>
  <c r="N117" i="57"/>
  <c r="G117"/>
  <c r="H13"/>
  <c r="E14" i="41"/>
  <c r="S16"/>
  <c r="C16"/>
  <c r="Q16" s="1"/>
  <c r="X340" i="57"/>
  <c r="M340"/>
  <c r="C12" i="51"/>
  <c r="D252"/>
  <c r="C252" s="1"/>
  <c r="Q218" i="41"/>
  <c r="L218"/>
  <c r="G13"/>
  <c r="F198"/>
  <c r="R198"/>
  <c r="M198"/>
  <c r="K13" i="61"/>
  <c r="N14"/>
  <c r="L13"/>
  <c r="O14"/>
  <c r="S87" i="44"/>
  <c r="N87"/>
  <c r="AB87"/>
  <c r="F87"/>
  <c r="H13"/>
  <c r="L88"/>
  <c r="AA88"/>
  <c r="Z88"/>
  <c r="Q88"/>
  <c r="AC14" i="47"/>
  <c r="C14"/>
  <c r="S14"/>
  <c r="E13"/>
  <c r="O14" i="62"/>
  <c r="L13"/>
  <c r="G79"/>
  <c r="M79" s="1"/>
  <c r="H14"/>
  <c r="N14" s="1"/>
  <c r="K256" i="47"/>
  <c r="M163" i="62"/>
  <c r="X163"/>
  <c r="M378"/>
  <c r="X378"/>
  <c r="E407" i="61"/>
  <c r="K12" i="58"/>
  <c r="G12"/>
  <c r="E20" i="26"/>
  <c r="Q20" s="1"/>
  <c r="Q13"/>
  <c r="Q79" i="51"/>
  <c r="Z79"/>
  <c r="AA79"/>
  <c r="L79"/>
  <c r="X79" i="62"/>
  <c r="M399" i="61"/>
  <c r="L15" i="22"/>
  <c r="G163" i="60"/>
  <c r="X163" s="1"/>
  <c r="O18"/>
  <c r="H251" i="43"/>
  <c r="N13"/>
  <c r="F239" i="52"/>
  <c r="X12"/>
  <c r="A144" i="57"/>
  <c r="A145" s="1"/>
  <c r="A146" s="1"/>
  <c r="A147" s="1"/>
  <c r="A148" s="1"/>
  <c r="A149" s="1"/>
  <c r="A153" s="1"/>
  <c r="A143"/>
  <c r="F12" i="53"/>
  <c r="M239" i="52"/>
  <c r="V13"/>
  <c r="U13"/>
  <c r="K244" i="33"/>
  <c r="J244" s="1"/>
  <c r="N13"/>
  <c r="J13"/>
  <c r="J13" i="57"/>
  <c r="K12"/>
  <c r="N13"/>
  <c r="L15" i="25"/>
  <c r="L83" s="1"/>
  <c r="M83"/>
  <c r="D257" i="45"/>
  <c r="C14" i="10"/>
  <c r="F14" s="1"/>
  <c r="F11"/>
  <c r="E12" i="62"/>
  <c r="Q247" i="43"/>
  <c r="Z247"/>
  <c r="H13" i="51"/>
  <c r="F13" s="1"/>
  <c r="AC14"/>
  <c r="S14"/>
  <c r="F14"/>
  <c r="N14"/>
  <c r="M251" i="47"/>
  <c r="L251" s="1"/>
  <c r="M250"/>
  <c r="L250" s="1"/>
  <c r="M252"/>
  <c r="L252" s="1"/>
  <c r="F15"/>
  <c r="L15" s="1"/>
  <c r="G14"/>
  <c r="R15"/>
  <c r="AB15"/>
  <c r="M15"/>
  <c r="N14"/>
  <c r="H13"/>
  <c r="Z252"/>
  <c r="AA252"/>
  <c r="D256" i="44"/>
  <c r="C11" i="9"/>
  <c r="F15"/>
  <c r="Q206" i="38"/>
  <c r="N206"/>
  <c r="G206"/>
  <c r="H13"/>
  <c r="P227"/>
  <c r="M227"/>
  <c r="Q248" i="51"/>
  <c r="AA248"/>
  <c r="Z248"/>
  <c r="L248"/>
  <c r="E12" i="44"/>
  <c r="C12" s="1"/>
  <c r="AB13"/>
  <c r="S13"/>
  <c r="N12" i="54"/>
  <c r="K157"/>
  <c r="I12"/>
  <c r="L12" s="1"/>
  <c r="K257" i="45"/>
  <c r="I257" s="1"/>
  <c r="I12"/>
  <c r="H13" i="40"/>
  <c r="S14"/>
  <c r="F14"/>
  <c r="N14"/>
  <c r="E31" i="24"/>
  <c r="F13"/>
  <c r="Z253" i="44"/>
  <c r="Q253"/>
  <c r="AA253"/>
  <c r="X164" i="57"/>
  <c r="M164"/>
  <c r="D157" i="54"/>
  <c r="C157" s="1"/>
  <c r="C12"/>
  <c r="K13" i="62"/>
  <c r="J14"/>
  <c r="J256" i="47"/>
  <c r="I256" s="1"/>
  <c r="I12"/>
  <c r="L16" i="42"/>
  <c r="Q16"/>
  <c r="Z16"/>
  <c r="G13"/>
  <c r="M14"/>
  <c r="R14"/>
  <c r="AA196" i="51"/>
  <c r="Z196"/>
  <c r="Q196"/>
  <c r="D183" i="32"/>
  <c r="C183" s="1"/>
  <c r="C12"/>
  <c r="F13" i="55"/>
  <c r="Q13" s="1"/>
  <c r="H12"/>
  <c r="H13" i="61"/>
  <c r="N116" i="62"/>
  <c r="G116"/>
  <c r="G12" i="51"/>
  <c r="AB13"/>
  <c r="R13"/>
  <c r="M13"/>
  <c r="O17" i="60"/>
  <c r="J17"/>
  <c r="M17" s="1"/>
  <c r="O287" i="62"/>
  <c r="G287"/>
  <c r="M287" s="1"/>
  <c r="M126" i="61"/>
  <c r="Q67" i="47"/>
  <c r="M400" i="61"/>
  <c r="AA15" i="47" l="1"/>
  <c r="C14" i="8"/>
  <c r="F14" s="1"/>
  <c r="F11"/>
  <c r="J158" i="55"/>
  <c r="M158" s="1"/>
  <c r="M12"/>
  <c r="D13" i="62"/>
  <c r="J12" i="58"/>
  <c r="A136" i="64"/>
  <c r="A137" s="1"/>
  <c r="A138" s="1"/>
  <c r="A139" s="1"/>
  <c r="A148"/>
  <c r="A150" s="1"/>
  <c r="A152" s="1"/>
  <c r="A155" s="1"/>
  <c r="A157" s="1"/>
  <c r="A158" s="1"/>
  <c r="A159" s="1"/>
  <c r="A160" s="1"/>
  <c r="A163" s="1"/>
  <c r="A164" s="1"/>
  <c r="A165" s="1"/>
  <c r="A166" s="1"/>
  <c r="A167" s="1"/>
  <c r="A170" s="1"/>
  <c r="A171" s="1"/>
  <c r="A284" i="69"/>
  <c r="A287" s="1"/>
  <c r="A291" s="1"/>
  <c r="A295" s="1"/>
  <c r="A298" s="1"/>
  <c r="A302" s="1"/>
  <c r="A304" s="1"/>
  <c r="A305" s="1"/>
  <c r="A307" s="1"/>
  <c r="A308" s="1"/>
  <c r="A282"/>
  <c r="M12" i="64"/>
  <c r="O410"/>
  <c r="X12"/>
  <c r="F244" i="33"/>
  <c r="D244" s="1"/>
  <c r="D13"/>
  <c r="AA15" i="45"/>
  <c r="Z15"/>
  <c r="Q15"/>
  <c r="L15"/>
  <c r="H12"/>
  <c r="N13"/>
  <c r="O116" i="62"/>
  <c r="I13"/>
  <c r="I12" s="1"/>
  <c r="I380" s="1"/>
  <c r="G12" i="44"/>
  <c r="M13"/>
  <c r="R13"/>
  <c r="Q13" i="33"/>
  <c r="Q252" s="1"/>
  <c r="H244"/>
  <c r="Q244" s="1"/>
  <c r="Q202" i="42"/>
  <c r="Z202"/>
  <c r="L202"/>
  <c r="M13" i="45"/>
  <c r="F13"/>
  <c r="G12"/>
  <c r="R13"/>
  <c r="Z202" i="43"/>
  <c r="L202"/>
  <c r="Q202"/>
  <c r="L15" i="44"/>
  <c r="Z15"/>
  <c r="Q15"/>
  <c r="AA15"/>
  <c r="I13" i="57"/>
  <c r="O117"/>
  <c r="M374" i="62"/>
  <c r="G410" i="64"/>
  <c r="N410"/>
  <c r="A44" i="61"/>
  <c r="A46" s="1"/>
  <c r="X14"/>
  <c r="M405"/>
  <c r="K12" i="51"/>
  <c r="I13"/>
  <c r="I166" i="31"/>
  <c r="L166" s="1"/>
  <c r="M166"/>
  <c r="P244" i="37"/>
  <c r="C244"/>
  <c r="E239" i="52"/>
  <c r="D239" s="1"/>
  <c r="D12" i="53" s="1"/>
  <c r="W12" i="52"/>
  <c r="M14" i="33"/>
  <c r="F341" i="57"/>
  <c r="D341" s="1"/>
  <c r="D12"/>
  <c r="F244" i="37"/>
  <c r="Z15" i="47"/>
  <c r="S14" i="42"/>
  <c r="N14"/>
  <c r="H13"/>
  <c r="F13" s="1"/>
  <c r="M12" i="58"/>
  <c r="S12" s="1"/>
  <c r="T12"/>
  <c r="D251" i="42"/>
  <c r="C251" s="1"/>
  <c r="C13"/>
  <c r="O12" i="52"/>
  <c r="G12"/>
  <c r="M12" s="1"/>
  <c r="I239"/>
  <c r="G239" s="1"/>
  <c r="R14" i="40"/>
  <c r="D13"/>
  <c r="D8"/>
  <c r="C14"/>
  <c r="C8" s="1"/>
  <c r="E13" i="43"/>
  <c r="C14"/>
  <c r="S14"/>
  <c r="G13" i="40"/>
  <c r="F13" s="1"/>
  <c r="M14"/>
  <c r="X255" i="57"/>
  <c r="M255"/>
  <c r="F86" i="47"/>
  <c r="Q85"/>
  <c r="Q86" s="1"/>
  <c r="L85"/>
  <c r="L86" s="1"/>
  <c r="AA85"/>
  <c r="AA86" s="1"/>
  <c r="Z85"/>
  <c r="Z86" s="1"/>
  <c r="Q15"/>
  <c r="E257" i="45"/>
  <c r="C257" s="1"/>
  <c r="AB12"/>
  <c r="S12"/>
  <c r="S267" s="1"/>
  <c r="K158" i="55"/>
  <c r="N12"/>
  <c r="I12"/>
  <c r="L12" s="1"/>
  <c r="H157" i="54"/>
  <c r="F157" s="1"/>
  <c r="F12"/>
  <c r="T12" s="1"/>
  <c r="I244" i="33"/>
  <c r="G13"/>
  <c r="P13" s="1"/>
  <c r="O13"/>
  <c r="R13"/>
  <c r="R252" s="1"/>
  <c r="M373" i="62"/>
  <c r="F12" i="61"/>
  <c r="D12" s="1"/>
  <c r="D13"/>
  <c r="X386"/>
  <c r="M386"/>
  <c r="X312"/>
  <c r="M312"/>
  <c r="M116" i="62"/>
  <c r="X116"/>
  <c r="G13" i="61"/>
  <c r="H12"/>
  <c r="F10" i="24"/>
  <c r="E13"/>
  <c r="N157" i="54"/>
  <c r="I157"/>
  <c r="L157" s="1"/>
  <c r="G252" i="51"/>
  <c r="M12"/>
  <c r="L14" i="42"/>
  <c r="Q14"/>
  <c r="Z14"/>
  <c r="G251"/>
  <c r="R13"/>
  <c r="R259" s="1"/>
  <c r="M13"/>
  <c r="F8" i="40"/>
  <c r="Q14"/>
  <c r="L14"/>
  <c r="H251"/>
  <c r="S13"/>
  <c r="S259" s="1"/>
  <c r="N13"/>
  <c r="G13" i="38"/>
  <c r="M13" s="1"/>
  <c r="H256"/>
  <c r="N13"/>
  <c r="Q13"/>
  <c r="Q264" s="1"/>
  <c r="H12" i="47"/>
  <c r="N13"/>
  <c r="H12" i="51"/>
  <c r="S13"/>
  <c r="AC13"/>
  <c r="N13"/>
  <c r="E380" i="62"/>
  <c r="D380" s="1"/>
  <c r="D12"/>
  <c r="K341" i="57"/>
  <c r="J12"/>
  <c r="V12" i="52"/>
  <c r="Z87" i="44"/>
  <c r="L87"/>
  <c r="AA87"/>
  <c r="Q87"/>
  <c r="N13" i="61"/>
  <c r="K12"/>
  <c r="J13"/>
  <c r="F13" i="41"/>
  <c r="L13" s="1"/>
  <c r="G247"/>
  <c r="M13"/>
  <c r="R13"/>
  <c r="R255" s="1"/>
  <c r="G13" i="57"/>
  <c r="X13" s="1"/>
  <c r="H12"/>
  <c r="N12" s="1"/>
  <c r="L16" i="43"/>
  <c r="Z16"/>
  <c r="Q16"/>
  <c r="M163" i="60"/>
  <c r="X287" i="62"/>
  <c r="AB12" i="51"/>
  <c r="Q13"/>
  <c r="AA13"/>
  <c r="Z13"/>
  <c r="L13"/>
  <c r="H158" i="55"/>
  <c r="F158" s="1"/>
  <c r="F12"/>
  <c r="Q12" s="1"/>
  <c r="J13" i="62"/>
  <c r="K12"/>
  <c r="E256" i="44"/>
  <c r="C256" s="1"/>
  <c r="P206" i="38"/>
  <c r="M206"/>
  <c r="C14" i="9"/>
  <c r="F14" s="1"/>
  <c r="F11"/>
  <c r="G13" i="47"/>
  <c r="R14"/>
  <c r="F14"/>
  <c r="L14" s="1"/>
  <c r="AB14"/>
  <c r="M14"/>
  <c r="AA14" i="51"/>
  <c r="Z14"/>
  <c r="Q14"/>
  <c r="L14"/>
  <c r="G12" i="53"/>
  <c r="G14" s="1"/>
  <c r="F14"/>
  <c r="A155" i="57"/>
  <c r="A156"/>
  <c r="A167" s="1"/>
  <c r="A169" s="1"/>
  <c r="G14" i="62"/>
  <c r="X14" s="1"/>
  <c r="H13"/>
  <c r="O13"/>
  <c r="L12"/>
  <c r="AC13" i="47"/>
  <c r="E12"/>
  <c r="S13"/>
  <c r="C13"/>
  <c r="AA14"/>
  <c r="N13" i="44"/>
  <c r="H12"/>
  <c r="AB12" s="1"/>
  <c r="F13"/>
  <c r="L12" i="61"/>
  <c r="O13"/>
  <c r="L198" i="41"/>
  <c r="Q198"/>
  <c r="E13"/>
  <c r="S14"/>
  <c r="C14"/>
  <c r="Q14" s="1"/>
  <c r="M117" i="57"/>
  <c r="X117"/>
  <c r="R14" i="38"/>
  <c r="F13"/>
  <c r="D14"/>
  <c r="P14" s="1"/>
  <c r="A143" i="62"/>
  <c r="A144" s="1"/>
  <c r="A145" s="1"/>
  <c r="A146" s="1"/>
  <c r="A147" s="1"/>
  <c r="A148" s="1"/>
  <c r="A151" s="1"/>
  <c r="A152" s="1"/>
  <c r="A142"/>
  <c r="M14" i="43"/>
  <c r="F14"/>
  <c r="G13"/>
  <c r="R14"/>
  <c r="M14" i="62"/>
  <c r="M14" i="61"/>
  <c r="R12" i="51"/>
  <c r="M13" i="57" l="1"/>
  <c r="Q14" i="47"/>
  <c r="Z14"/>
  <c r="U12" i="52"/>
  <c r="A176" i="64"/>
  <c r="A182" s="1"/>
  <c r="A184" s="1"/>
  <c r="A186" s="1"/>
  <c r="A311" i="69"/>
  <c r="A309"/>
  <c r="A312" s="1"/>
  <c r="D14" i="53"/>
  <c r="E12"/>
  <c r="E14" s="1"/>
  <c r="L13" i="45"/>
  <c r="Z13"/>
  <c r="Q13"/>
  <c r="AA13"/>
  <c r="M12"/>
  <c r="G257"/>
  <c r="R12"/>
  <c r="R267" s="1"/>
  <c r="F12"/>
  <c r="O13" i="57"/>
  <c r="I12"/>
  <c r="G12" s="1"/>
  <c r="M12" i="44"/>
  <c r="G256"/>
  <c r="R256" s="1"/>
  <c r="R12"/>
  <c r="R266" s="1"/>
  <c r="H257" i="45"/>
  <c r="S257" s="1"/>
  <c r="N12"/>
  <c r="M410" i="64"/>
  <c r="X410"/>
  <c r="A48" i="61"/>
  <c r="A49" s="1"/>
  <c r="A51" s="1"/>
  <c r="A52" s="1"/>
  <c r="A53" s="1"/>
  <c r="A54" s="1"/>
  <c r="A55"/>
  <c r="A60" s="1"/>
  <c r="A66" s="1"/>
  <c r="A73" s="1"/>
  <c r="C13" i="40"/>
  <c r="D251"/>
  <c r="R13"/>
  <c r="R259" s="1"/>
  <c r="X13" i="61"/>
  <c r="E251" i="43"/>
  <c r="C13"/>
  <c r="S13"/>
  <c r="S259" s="1"/>
  <c r="S13" i="42"/>
  <c r="S259" s="1"/>
  <c r="H251"/>
  <c r="S251" s="1"/>
  <c r="N13"/>
  <c r="G244" i="33"/>
  <c r="P244" s="1"/>
  <c r="R244"/>
  <c r="G251" i="40"/>
  <c r="F251" s="1"/>
  <c r="M13"/>
  <c r="O244" i="37"/>
  <c r="N158" i="55"/>
  <c r="I158"/>
  <c r="L158" s="1"/>
  <c r="M13" i="33"/>
  <c r="K252" i="51"/>
  <c r="I252" s="1"/>
  <c r="I12"/>
  <c r="M13" i="61"/>
  <c r="L14" i="43"/>
  <c r="Z14"/>
  <c r="Q14"/>
  <c r="AC12" i="47"/>
  <c r="E256"/>
  <c r="S12"/>
  <c r="S266" s="1"/>
  <c r="C12"/>
  <c r="G13" i="62"/>
  <c r="X13" s="1"/>
  <c r="H12"/>
  <c r="F13" i="43"/>
  <c r="G251"/>
  <c r="R13"/>
  <c r="R259" s="1"/>
  <c r="M13"/>
  <c r="A155" i="62"/>
  <c r="A166" s="1"/>
  <c r="A168" s="1"/>
  <c r="A170" s="1"/>
  <c r="A154"/>
  <c r="R13" i="38"/>
  <c r="R264" s="1"/>
  <c r="F256"/>
  <c r="D13"/>
  <c r="P13" s="1"/>
  <c r="E247" i="41"/>
  <c r="S13"/>
  <c r="S255" s="1"/>
  <c r="C13"/>
  <c r="Q13" s="1"/>
  <c r="L407" i="61"/>
  <c r="O407" s="1"/>
  <c r="O12"/>
  <c r="H256" i="44"/>
  <c r="F256" s="1"/>
  <c r="Z256" s="1"/>
  <c r="N12"/>
  <c r="F12"/>
  <c r="R13" i="47"/>
  <c r="G12"/>
  <c r="F13"/>
  <c r="L13" s="1"/>
  <c r="AB13"/>
  <c r="M13"/>
  <c r="K380" i="62"/>
  <c r="N12"/>
  <c r="J12"/>
  <c r="H341" i="57"/>
  <c r="N12" i="61"/>
  <c r="J12"/>
  <c r="K407"/>
  <c r="J341" i="57"/>
  <c r="N341"/>
  <c r="H252" i="51"/>
  <c r="N252" s="1"/>
  <c r="S12"/>
  <c r="AC12"/>
  <c r="N12"/>
  <c r="H256" i="47"/>
  <c r="N12"/>
  <c r="Q13" i="40"/>
  <c r="L13"/>
  <c r="S251"/>
  <c r="L13" i="42"/>
  <c r="Z13"/>
  <c r="Q13"/>
  <c r="G12" i="61"/>
  <c r="X12" s="1"/>
  <c r="H407"/>
  <c r="G407" s="1"/>
  <c r="S12" i="44"/>
  <c r="S266" s="1"/>
  <c r="M13" i="62"/>
  <c r="F12" i="51"/>
  <c r="L13" i="44"/>
  <c r="AA13"/>
  <c r="Q13"/>
  <c r="Z13"/>
  <c r="L380" i="62"/>
  <c r="O380" s="1"/>
  <c r="O12"/>
  <c r="F247" i="41"/>
  <c r="R247"/>
  <c r="G256" i="38"/>
  <c r="Q256"/>
  <c r="R251" i="42"/>
  <c r="F251"/>
  <c r="M252" i="51"/>
  <c r="E10" i="24"/>
  <c r="I10"/>
  <c r="F12"/>
  <c r="E12" s="1"/>
  <c r="S256" i="44"/>
  <c r="N13" i="62"/>
  <c r="X12" i="57" l="1"/>
  <c r="M12"/>
  <c r="A188" i="64"/>
  <c r="A189" s="1"/>
  <c r="A190" s="1"/>
  <c r="A191" s="1"/>
  <c r="A187"/>
  <c r="F252" i="51"/>
  <c r="L252" s="1"/>
  <c r="O12" i="57"/>
  <c r="I341"/>
  <c r="O341" s="1"/>
  <c r="F257" i="45"/>
  <c r="R257"/>
  <c r="AA12"/>
  <c r="Z12"/>
  <c r="L12"/>
  <c r="Q12"/>
  <c r="A57" i="61"/>
  <c r="A59" s="1"/>
  <c r="A62" s="1"/>
  <c r="A63" s="1"/>
  <c r="A65" s="1"/>
  <c r="A67" s="1"/>
  <c r="A71" s="1"/>
  <c r="A72" s="1"/>
  <c r="A74" s="1"/>
  <c r="A86" s="1"/>
  <c r="A90" s="1"/>
  <c r="A98" s="1"/>
  <c r="A102" s="1"/>
  <c r="A106" s="1"/>
  <c r="A110" s="1"/>
  <c r="A112" s="1"/>
  <c r="A115" s="1"/>
  <c r="A119" s="1"/>
  <c r="A123" s="1"/>
  <c r="A131" s="1"/>
  <c r="A133" s="1"/>
  <c r="A134" s="1"/>
  <c r="A135" s="1"/>
  <c r="A136" s="1"/>
  <c r="A137" s="1"/>
  <c r="A148" s="1"/>
  <c r="A150" s="1"/>
  <c r="A153" s="1"/>
  <c r="A155" s="1"/>
  <c r="A156" s="1"/>
  <c r="A157" s="1"/>
  <c r="A158" s="1"/>
  <c r="C251" i="40"/>
  <c r="Q251" s="1"/>
  <c r="R251"/>
  <c r="C251" i="43"/>
  <c r="S251"/>
  <c r="Z251" i="42"/>
  <c r="Q251"/>
  <c r="L12" i="51"/>
  <c r="Q12"/>
  <c r="Z12"/>
  <c r="AA12"/>
  <c r="J407" i="61"/>
  <c r="M407" s="1"/>
  <c r="N407"/>
  <c r="N380" i="62"/>
  <c r="J380"/>
  <c r="AB12" i="47"/>
  <c r="G256"/>
  <c r="F12"/>
  <c r="L12" s="1"/>
  <c r="R12"/>
  <c r="R266" s="1"/>
  <c r="M12"/>
  <c r="S247" i="41"/>
  <c r="C247"/>
  <c r="Q247" s="1"/>
  <c r="R256" i="38"/>
  <c r="D256"/>
  <c r="P256" s="1"/>
  <c r="F251" i="43"/>
  <c r="R251"/>
  <c r="G12" i="62"/>
  <c r="X12" s="1"/>
  <c r="H380"/>
  <c r="G380" s="1"/>
  <c r="X380" s="1"/>
  <c r="Z12" i="47"/>
  <c r="AA12"/>
  <c r="C256"/>
  <c r="AC256"/>
  <c r="S256"/>
  <c r="M12" i="61"/>
  <c r="AA13" i="47"/>
  <c r="Q13"/>
  <c r="Q256" i="44"/>
  <c r="AA256"/>
  <c r="L12"/>
  <c r="Z12"/>
  <c r="AA12"/>
  <c r="Q12"/>
  <c r="A172" i="62"/>
  <c r="A173" s="1"/>
  <c r="A174" s="1"/>
  <c r="A171"/>
  <c r="L13" i="43"/>
  <c r="Q13"/>
  <c r="Z13"/>
  <c r="Z13" i="47"/>
  <c r="A197" i="64" l="1"/>
  <c r="A193"/>
  <c r="A194" s="1"/>
  <c r="A195" s="1"/>
  <c r="G341" i="57"/>
  <c r="X341" s="1"/>
  <c r="A64" i="65"/>
  <c r="A69" s="1"/>
  <c r="A72" s="1"/>
  <c r="A75" s="1"/>
  <c r="A78" s="1"/>
  <c r="A81" s="1"/>
  <c r="A85" s="1"/>
  <c r="A89" s="1"/>
  <c r="A92" s="1"/>
  <c r="A96" s="1"/>
  <c r="A100" s="1"/>
  <c r="A103" s="1"/>
  <c r="A106" s="1"/>
  <c r="A109" s="1"/>
  <c r="A112" s="1"/>
  <c r="A115" s="1"/>
  <c r="A119" s="1"/>
  <c r="A55"/>
  <c r="M341" i="57"/>
  <c r="Z257" i="45"/>
  <c r="AA257"/>
  <c r="Q257"/>
  <c r="A168" i="61"/>
  <c r="A169" s="1"/>
  <c r="A180" s="1"/>
  <c r="A182" s="1"/>
  <c r="A184" s="1"/>
  <c r="A161"/>
  <c r="A162" s="1"/>
  <c r="A163" s="1"/>
  <c r="Q12" i="47"/>
  <c r="A180" i="62"/>
  <c r="A176"/>
  <c r="A177" s="1"/>
  <c r="A178" s="1"/>
  <c r="M12"/>
  <c r="Z251" i="43"/>
  <c r="Q251"/>
  <c r="F256" i="47"/>
  <c r="Q256" s="1"/>
  <c r="AB256"/>
  <c r="R256"/>
  <c r="M380" i="62"/>
  <c r="A206" i="64" l="1"/>
  <c r="A209" s="1"/>
  <c r="A214" s="1"/>
  <c r="A217" s="1"/>
  <c r="A220" s="1"/>
  <c r="A223" s="1"/>
  <c r="A226" s="1"/>
  <c r="A230" s="1"/>
  <c r="A234" s="1"/>
  <c r="A237" s="1"/>
  <c r="A241" s="1"/>
  <c r="A245" s="1"/>
  <c r="A248" s="1"/>
  <c r="A251" s="1"/>
  <c r="A254" s="1"/>
  <c r="A257" s="1"/>
  <c r="A260" s="1"/>
  <c r="A264" s="1"/>
  <c r="A199"/>
  <c r="A125" i="65"/>
  <c r="A128" s="1"/>
  <c r="A131" s="1"/>
  <c r="A134" s="1"/>
  <c r="A123"/>
  <c r="A186" i="61"/>
  <c r="A187" s="1"/>
  <c r="A188" s="1"/>
  <c r="A189" s="1"/>
  <c r="A185"/>
  <c r="Z256" i="47"/>
  <c r="A187" i="62"/>
  <c r="A190" s="1"/>
  <c r="A194" s="1"/>
  <c r="A197" s="1"/>
  <c r="A200" s="1"/>
  <c r="A203" s="1"/>
  <c r="A206" s="1"/>
  <c r="A209" s="1"/>
  <c r="A212" s="1"/>
  <c r="A215" s="1"/>
  <c r="A218" s="1"/>
  <c r="A221" s="1"/>
  <c r="A224" s="1"/>
  <c r="A182"/>
  <c r="AA256" i="47"/>
  <c r="A270" i="64" l="1"/>
  <c r="A273" s="1"/>
  <c r="A276" s="1"/>
  <c r="A279" s="1"/>
  <c r="A268"/>
  <c r="A141" i="65"/>
  <c r="A144" s="1"/>
  <c r="A148" s="1"/>
  <c r="A152" s="1"/>
  <c r="A155" s="1"/>
  <c r="A162" s="1"/>
  <c r="A163" s="1"/>
  <c r="A164" s="1"/>
  <c r="A165" s="1"/>
  <c r="A166" s="1"/>
  <c r="A167" s="1"/>
  <c r="A168" s="1"/>
  <c r="A139"/>
  <c r="A191" i="61"/>
  <c r="A192" s="1"/>
  <c r="A193" s="1"/>
  <c r="A195"/>
  <c r="D397"/>
  <c r="X397" s="1"/>
  <c r="F407"/>
  <c r="D407" s="1"/>
  <c r="X407" s="1"/>
  <c r="A284" i="64" l="1"/>
  <c r="A286"/>
  <c r="A289" s="1"/>
  <c r="A293" s="1"/>
  <c r="A297" s="1"/>
  <c r="A300" s="1"/>
  <c r="A304" s="1"/>
  <c r="A306" s="1"/>
  <c r="A307" s="1"/>
  <c r="A309" s="1"/>
  <c r="A310" s="1"/>
  <c r="A311" s="1"/>
  <c r="A312" s="1"/>
  <c r="A197" i="61"/>
  <c r="A204"/>
  <c r="A207" s="1"/>
  <c r="A211" s="1"/>
  <c r="A214" s="1"/>
  <c r="A217" s="1"/>
  <c r="A220" s="1"/>
  <c r="A223" s="1"/>
  <c r="A227" s="1"/>
  <c r="A231" s="1"/>
  <c r="A234" s="1"/>
  <c r="A238" s="1"/>
  <c r="A242" s="1"/>
  <c r="A245" s="1"/>
  <c r="A248" s="1"/>
  <c r="A251" s="1"/>
  <c r="A254" s="1"/>
  <c r="A257" s="1"/>
  <c r="A261" s="1"/>
  <c r="A265" l="1"/>
  <c r="A267"/>
  <c r="A270" l="1"/>
  <c r="A273" s="1"/>
  <c r="A276" s="1"/>
  <c r="A283" s="1"/>
  <c r="A281" l="1"/>
  <c r="A286" s="1"/>
  <c r="A290" s="1"/>
  <c r="A294" s="1"/>
  <c r="A297" s="1"/>
  <c r="A301" s="1"/>
  <c r="A303" s="1"/>
  <c r="A304" s="1"/>
  <c r="A306" s="1"/>
  <c r="A307" s="1"/>
  <c r="A308" s="1"/>
  <c r="A309" s="1"/>
</calcChain>
</file>

<file path=xl/sharedStrings.xml><?xml version="1.0" encoding="utf-8"?>
<sst xmlns="http://schemas.openxmlformats.org/spreadsheetml/2006/main" count="23151" uniqueCount="1935">
  <si>
    <t>Наименование объекта</t>
  </si>
  <si>
    <t>в том числе:</t>
  </si>
  <si>
    <t>II.</t>
  </si>
  <si>
    <t>III.</t>
  </si>
  <si>
    <t>2.</t>
  </si>
  <si>
    <t>СПРАВКА</t>
  </si>
  <si>
    <t>I.</t>
  </si>
  <si>
    <t>(тыс.руб.)</t>
  </si>
  <si>
    <t>Фактически профинанси-ровано</t>
  </si>
  <si>
    <t>на                    9 месяцев</t>
  </si>
  <si>
    <t>Расходы - всего</t>
  </si>
  <si>
    <t>% финансиро-вания</t>
  </si>
  <si>
    <t>Прионежский муниципальный район</t>
  </si>
  <si>
    <t>строительство II очереди акушерско-хирургического корпуса c поликлиникой на 105 посещений в смену в пос.Калевала</t>
  </si>
  <si>
    <t>строительство участка автомобильной дороги "Кочкома-Тикша-Ледмозеро-Костомукша-Госграница", км 44-км 64</t>
  </si>
  <si>
    <t>Субсидии бюджетам муниципальных районов и городских округов на софинансирование объектов капитального строительства собственности муниципальных образований</t>
  </si>
  <si>
    <t>строительство физкультурно-оздоровительного комплекса с универсальным залом, г.Лахденпохья (в том числе проектно-изыскательские работы)</t>
  </si>
  <si>
    <t>строительство психоневрологического интерната в п.Надвоицы Сегежского района (в том числе проектно-изыскательские работы,  охрана)</t>
  </si>
  <si>
    <t>№ п/п</t>
  </si>
  <si>
    <t>3</t>
  </si>
  <si>
    <t>4</t>
  </si>
  <si>
    <t>Обеспечение мероприятий по переселению граждан из аварийного жилищного фонда</t>
  </si>
  <si>
    <t>Петрозаводский городской округ - всего</t>
  </si>
  <si>
    <t>IV.</t>
  </si>
  <si>
    <t xml:space="preserve">Объекты капитального строительства государственной собственности Республики Карелия - главный распорядитель Министерство строительства РК </t>
  </si>
  <si>
    <t>Объекты капитального строительства  государственной собственности Республики Карелия в сфере дорожного строительства - главный распорядитель Министерство строительства РК</t>
  </si>
  <si>
    <t>Лахденпохский муниципальный район</t>
  </si>
  <si>
    <t>реконструкция сетей теплоснабжения , г.Лахденпохья</t>
  </si>
  <si>
    <t xml:space="preserve">о финансировании объектов Адресной инвестиционной программы Республики Карелия </t>
  </si>
  <si>
    <t>проектно-изыскательские работы по дорожному строительству</t>
  </si>
  <si>
    <t>I.I</t>
  </si>
  <si>
    <t>I.II</t>
  </si>
  <si>
    <t>строительство и реконструкция водопроводных очистных сооружений г.Петрозаводска (II этап) - всего</t>
  </si>
  <si>
    <t>-за счет средств федерального бюджета</t>
  </si>
  <si>
    <t>-за счет средств бюджета Республики Карелия</t>
  </si>
  <si>
    <t>3.</t>
  </si>
  <si>
    <t>-за счет средств государственной корпорации Фонд содействия реформированию жилищно-коммунального хозяйства</t>
  </si>
  <si>
    <t>II.I</t>
  </si>
  <si>
    <t>II.II</t>
  </si>
  <si>
    <t>Объекты, финансируемые за счет средств бюджета Республики Карелия - всего</t>
  </si>
  <si>
    <t>Объекты, софинансируемые из федерального бюджета -всего</t>
  </si>
  <si>
    <t>Объекты, софинансируемые из федерального бюджета - всего</t>
  </si>
  <si>
    <t>III.I</t>
  </si>
  <si>
    <t>Объекты капитального строительства  государственной собственности Республики Карелия - главный распорядитель Министерство внутренних дел РК</t>
  </si>
  <si>
    <t xml:space="preserve">строительство здания детского сада  по ул. Зеленой в районе переулка Гончарова </t>
  </si>
  <si>
    <t>строительство разгрузочного коллектора по ул.Фурманова от КНС-4 до ул.Чапаева. Реконструкция КНС-4 (в  том числе проектно-изыскательские работы)</t>
  </si>
  <si>
    <t>Кондопожский муниципальный район</t>
  </si>
  <si>
    <t>строительство газопровода распределительного (уличная сеть), пос.Березовка</t>
  </si>
  <si>
    <t>строительство газопровода распределительного (уличная сеть), с.Янишполе</t>
  </si>
  <si>
    <t>строительство газопровода распределительного (уличная сеть), пос. Шуя (2,3 очереди строительства)</t>
  </si>
  <si>
    <t>1.</t>
  </si>
  <si>
    <t>строительство многоквартирного жилого дома на пересечении улицы Боровая и улицы Тупиковая</t>
  </si>
  <si>
    <t>проектно-изыскательские работы по объектам культуры</t>
  </si>
  <si>
    <t>проектно-изыскательские работы по объекту "Великая Губа - Оятевщина"</t>
  </si>
  <si>
    <t>строительство участка автомобильной дороги "Великая губа - Оятевщина"</t>
  </si>
  <si>
    <t xml:space="preserve">пусковые объекты в 2011 году - по данным Министерства строительства Республики Карелия </t>
  </si>
  <si>
    <t xml:space="preserve">строительство  республиканского  спортивного комплекса "Курган",                                           г.Петрозаводск </t>
  </si>
  <si>
    <t>строительство гамма-терапевтического корпуса республиканского онкологического диспансера в г.Петрозаводске (в том числе проектно-изыскательские работы)</t>
  </si>
  <si>
    <t>реконструкция Национальной библиотеки Республики Карелия, г.Петрозаводск (в том числе проектно-изыскательские работы)</t>
  </si>
  <si>
    <t>Заместитель Министра финансов                                                                              М.Е.Лебедева</t>
  </si>
  <si>
    <t>исп.Субботина Л.А.</t>
  </si>
  <si>
    <t xml:space="preserve">Министерство строительства Республики Карелия - главный распорядитель средств </t>
  </si>
  <si>
    <t>*</t>
  </si>
  <si>
    <t>реконструкция магистрали общегородского значения  "Кукковка-Древлянка"</t>
  </si>
  <si>
    <t>военно-мемориальный комплекс Карельского фронта в г.Петрозаводске с реконструкцией монумента "Воинам, партизанам и подпольщикам Карелии ("Аллея Памяти и Славы")" (в том числе проектно-изыскательские работы)</t>
  </si>
  <si>
    <t>строительство сквера с организацией детского спортивно-игрового комплекса по ул.Мелентьевой в г.Петрозаводске</t>
  </si>
  <si>
    <t>строительство газопровода распределительного (уличная сеть), по дер.Большое Вороново</t>
  </si>
  <si>
    <t>строительство газопровода распределительного (уличная сеть), по пос. Новая Вилга (1-ая очередь строительства)</t>
  </si>
  <si>
    <t>Медвежьегорский муниципальный район</t>
  </si>
  <si>
    <t>строительство горнолыжного комплекса в Медвежьегорском районе, Республика Карелия. Буксировочная канатная дорога.</t>
  </si>
  <si>
    <t>оформление и согласование документации на получение земельных участков под строительство автомобильных дорог и мостов</t>
  </si>
  <si>
    <t>изолятор временного содержания с административным зданием городского отдела внутренних дел в г.Костомукше МВД по Республике Карелия (строительство объекта)</t>
  </si>
  <si>
    <t>реконструкция  части незавершенного строительством производственно-бытового корпуса троллейбусного депо по  Курганскому проезду для размещения административного здания  Управления внутренних дел г.Петрозаводска</t>
  </si>
  <si>
    <t>строительство гаража на 150 автомашин и 125 мотоциклов по ул.Фабричной в г.Петрозаводске (корректировка проектно-сметной документации)</t>
  </si>
  <si>
    <t>строительство Центра кинологической службы Министерства внутренних дел по Республике Карелия по Лососинскому шоссе в г.Петрозаводске (разработка проектно-сметной документации)</t>
  </si>
  <si>
    <t>строительство многоквартирного жилого дома в районе улиц Пограничной и Беломорской в г.Петрозаводске (в том числе проектно-изыскательские работы)</t>
  </si>
  <si>
    <t>IV.I</t>
  </si>
  <si>
    <t>реконструкция блоков А и Б центральной районной больницы в г.Петрозаводске под диагностический центр республиканской больницы имени В.А.Баранова (в том числе проектно-изыскательские работы, охрана)</t>
  </si>
  <si>
    <t>Форма № 16  (еженедельнная)</t>
  </si>
  <si>
    <t xml:space="preserve">Начальник отдела финансов ЖКХ, транспорта и строительства </t>
  </si>
  <si>
    <t xml:space="preserve">                                                                   </t>
  </si>
  <si>
    <t xml:space="preserve"> В.В.Романова</t>
  </si>
  <si>
    <t>спортивно-туристский  комплекс "Ялгуба" (в том числе проектно-изыскательские работы)</t>
  </si>
  <si>
    <t>строительство газопровода распределительного (уличная сеть), по д. Вилга (1-ая очередь строительства)</t>
  </si>
  <si>
    <t>строительство врачебной амбулатории в пос. Валдай</t>
  </si>
  <si>
    <t>Начальник Управления расходов</t>
  </si>
  <si>
    <t>С.М. Литвина</t>
  </si>
  <si>
    <t>Обеспечение мероприятий по переселению граждан из аварийного жилищного фонда с учетом развития малоэтажного жилищного строительства</t>
  </si>
  <si>
    <t>за счет средств федерального бюджета:</t>
  </si>
  <si>
    <t>за счет средств бюджета Республики Карелия:</t>
  </si>
  <si>
    <t>Пряжинский муниципальный район</t>
  </si>
  <si>
    <t>2*</t>
  </si>
  <si>
    <t>4*</t>
  </si>
  <si>
    <t>6*</t>
  </si>
  <si>
    <t>7*</t>
  </si>
  <si>
    <t>8*</t>
  </si>
  <si>
    <t>9*</t>
  </si>
  <si>
    <t>10*</t>
  </si>
  <si>
    <t>11</t>
  </si>
  <si>
    <t>12</t>
  </si>
  <si>
    <t>13</t>
  </si>
  <si>
    <t>14</t>
  </si>
  <si>
    <t>15</t>
  </si>
  <si>
    <t>16</t>
  </si>
  <si>
    <t>(11)</t>
  </si>
  <si>
    <t>(12)</t>
  </si>
  <si>
    <t>(13)</t>
  </si>
  <si>
    <t>17</t>
  </si>
  <si>
    <t>18</t>
  </si>
  <si>
    <t>19</t>
  </si>
  <si>
    <t>(18)</t>
  </si>
  <si>
    <t>(19)</t>
  </si>
  <si>
    <t>реконструкция системы водоотведения и очистки сточных вод в п.Чална</t>
  </si>
  <si>
    <t>реконструкция системы водоотведения и очистки сточных вод в с.Ведлозеро</t>
  </si>
  <si>
    <t>реконструкция системы водоотведения и очистки сточных вод в п.г.т.Пряжа</t>
  </si>
  <si>
    <t>реконструкция системы водоотведения и очистки сточных вод в п.Новая Вилга</t>
  </si>
  <si>
    <t>реконструкция системы водоотведения и очистки сточных вод в с.Заозерье</t>
  </si>
  <si>
    <t>20</t>
  </si>
  <si>
    <t>21</t>
  </si>
  <si>
    <t>22*</t>
  </si>
  <si>
    <t>23*</t>
  </si>
  <si>
    <t>24*</t>
  </si>
  <si>
    <t>25</t>
  </si>
  <si>
    <t>26</t>
  </si>
  <si>
    <t>27</t>
  </si>
  <si>
    <t>28</t>
  </si>
  <si>
    <t>29</t>
  </si>
  <si>
    <t>30</t>
  </si>
  <si>
    <t>31</t>
  </si>
  <si>
    <t>33</t>
  </si>
  <si>
    <t>35</t>
  </si>
  <si>
    <t>40</t>
  </si>
  <si>
    <t>(32)</t>
  </si>
  <si>
    <t>(17)</t>
  </si>
  <si>
    <t>исп.Маркова</t>
  </si>
  <si>
    <t>тел.716-473</t>
  </si>
  <si>
    <t>Форма № 16 А  (ежемесячная)</t>
  </si>
  <si>
    <t xml:space="preserve"> по состоянию на 01 января 2012 года </t>
  </si>
  <si>
    <t>Объем капитальных вложений              на 2011 год (согласно сводной бюджетной росписи)</t>
  </si>
  <si>
    <t>реконструкция системы водоотведения и очистки сточных вод в с.Шелтозеро</t>
  </si>
  <si>
    <t>4.</t>
  </si>
  <si>
    <t>5.</t>
  </si>
  <si>
    <t>III.II</t>
  </si>
  <si>
    <t>строительство участка автомобильной дороги Великая губа - Оятевщина</t>
  </si>
  <si>
    <t>строительство участка автомобильной дороги Кочкома-Тикша-Ледмозеро-Костомукша-Госграница, км 44-км 64</t>
  </si>
  <si>
    <t>6.</t>
  </si>
  <si>
    <t>7.</t>
  </si>
  <si>
    <t>8.</t>
  </si>
  <si>
    <t>9.</t>
  </si>
  <si>
    <t>13*</t>
  </si>
  <si>
    <t>16*</t>
  </si>
  <si>
    <t>17*</t>
  </si>
  <si>
    <t>18*</t>
  </si>
  <si>
    <t>19*</t>
  </si>
  <si>
    <t>22</t>
  </si>
  <si>
    <t>23</t>
  </si>
  <si>
    <t>24</t>
  </si>
  <si>
    <t>25*</t>
  </si>
  <si>
    <t>32</t>
  </si>
  <si>
    <t>34</t>
  </si>
  <si>
    <t>36</t>
  </si>
  <si>
    <t>38</t>
  </si>
  <si>
    <t>43</t>
  </si>
  <si>
    <t>Прионежский муниципальный район - всего</t>
  </si>
  <si>
    <t>Пряжинский муниципальный район -всего</t>
  </si>
  <si>
    <t>за счет средств федерального бюджета</t>
  </si>
  <si>
    <t>за счет средств бюджета Республики Карелия</t>
  </si>
  <si>
    <t>208</t>
  </si>
  <si>
    <t xml:space="preserve"> по состоянию на 01 марта 2012 года </t>
  </si>
  <si>
    <t>Объем капитальных вложений              на 2012 год (согласно сводной бюджетной росписи)</t>
  </si>
  <si>
    <t xml:space="preserve">строительство разгрузочного коллектора по ул.Фурманова от КНС-4 до ул.Чапаева. Реконструкция КНС-4 </t>
  </si>
  <si>
    <t xml:space="preserve">строительство инженерной,  транспортной  инфраструктуры жилого района  "Древлянка-II"   
</t>
  </si>
  <si>
    <t xml:space="preserve">строительство газопровода распределительного (уличная сеть) по с. Кончезеро 1,2,3,4 очереди  
</t>
  </si>
  <si>
    <t xml:space="preserve">строительство газопровода распределительного (уличная сеть) по         
с. Спасская Губа 
 1,2,3 очереди  
</t>
  </si>
  <si>
    <t>строительство газопровода распределительного (уличная сеть), по санаторию "Марциальные  воды"</t>
  </si>
  <si>
    <t>10.</t>
  </si>
  <si>
    <t xml:space="preserve">реконструкция канализационной  насосной станции N 2/4 по ул. Бумажников, г. Кондопога     
</t>
  </si>
  <si>
    <t>реконструкция системы водоотведения и очистки сточных вод в с. Заозерье</t>
  </si>
  <si>
    <t xml:space="preserve">строительство водопровода и канализации в пос.  Мелиоративный    
</t>
  </si>
  <si>
    <t>11.</t>
  </si>
  <si>
    <t>12.</t>
  </si>
  <si>
    <t>13.</t>
  </si>
  <si>
    <t>14.</t>
  </si>
  <si>
    <t>15.</t>
  </si>
  <si>
    <t xml:space="preserve">строительство газопровода распределительного (уличная сеть) по дер. Вилга, 1, 2, 3 очереди  
</t>
  </si>
  <si>
    <t xml:space="preserve">строительство газопровода распределительного (уличная сеть) по пос. Новая Вилга, 1, 2 очереди     
</t>
  </si>
  <si>
    <t xml:space="preserve">строительство газопровода распределительного (уличная сеть) по дер. Вилга (Военный городок)         
</t>
  </si>
  <si>
    <t xml:space="preserve">реконструкция системы  водоотведения и очистки сточных вод в пгт. Пряжа 
</t>
  </si>
  <si>
    <t>16.</t>
  </si>
  <si>
    <t>17.</t>
  </si>
  <si>
    <t>18.</t>
  </si>
  <si>
    <t>19.</t>
  </si>
  <si>
    <t>20.</t>
  </si>
  <si>
    <t xml:space="preserve">реконструкция здания по ул. Правды, д. 36б в г. Петрозаводске под фондохранилище  республиканских музеев (в том числе проектно-изыскательские работы)          
</t>
  </si>
  <si>
    <t xml:space="preserve">реконструкция Карельского государственного краеведческого музея (приспособление здания) на пл. Ленина в г. Петрозаводске 
</t>
  </si>
  <si>
    <t>21.</t>
  </si>
  <si>
    <t>22.</t>
  </si>
  <si>
    <t>спортивно-туристский  комплекс "Ялгуба" (проектно-изыскательские работы)</t>
  </si>
  <si>
    <t>23.</t>
  </si>
  <si>
    <t>строительство психоневрологического интерната в п.Надвоицы Сегежского района (в том числе проектно-изыскательские работы)</t>
  </si>
  <si>
    <t xml:space="preserve">24. </t>
  </si>
  <si>
    <t>строительсво арендного жилья  (в том числе проектно-изыскательские работы)</t>
  </si>
  <si>
    <t>реконструкция блоков А и Б центральной районной больницы в г.Петрозаводске под республиканский перинатальный центр (в том числе проектно-изыскательские работы)</t>
  </si>
  <si>
    <t>строительство врачебной амбулатории в пос. Валдай Сегежского района  (в том числе проектно-изыскательские работы)</t>
  </si>
  <si>
    <t>25.</t>
  </si>
  <si>
    <t>26.</t>
  </si>
  <si>
    <t>строительство II очереди акушерско-хирургического корпуса c поликлиникой на 105 посещений в смену в пос.Калевала (в том числе проектно-изыскательские работы)</t>
  </si>
  <si>
    <t>29.</t>
  </si>
  <si>
    <t>30.</t>
  </si>
  <si>
    <t>31.</t>
  </si>
  <si>
    <t>28.</t>
  </si>
  <si>
    <t xml:space="preserve">реконструкция автодороги "Ихала-Райвио-Госграница" (в том числе проектно-изыскательские работы)          
</t>
  </si>
  <si>
    <t>32.</t>
  </si>
  <si>
    <t xml:space="preserve">пусковые объекты в 2012 году - по данным Министерства строительства Республики Карелия </t>
  </si>
  <si>
    <t>Исп.Маркова</t>
  </si>
  <si>
    <t>Костомукшский городской округ - всего</t>
  </si>
  <si>
    <t xml:space="preserve">Министерство финансов Республики Карелия - главный распорядитель средств </t>
  </si>
  <si>
    <t xml:space="preserve">строительство  физкультурно-оздоровительного комплекса (лыжно-биатлонного комплекса)       
</t>
  </si>
  <si>
    <t xml:space="preserve">развитие инженерной инфраструктуры  для жилищного строительства    
</t>
  </si>
  <si>
    <t xml:space="preserve">строительство жилья для врачей и учителей       
</t>
  </si>
  <si>
    <t xml:space="preserve">Субсидии бюджетам муниципальных районов и городских округов на софинансирование объектов капитального строительства собственности муниципальных образований - главный распорядитель Министерство финансов Республики Карелия </t>
  </si>
  <si>
    <t>Объекты капитального строительства государственной собственности Республики Карелия</t>
  </si>
  <si>
    <t>Объекты капитального строительства  государственной собственности Республики Карелия в сфере дорожного строительства</t>
  </si>
  <si>
    <t>34.</t>
  </si>
  <si>
    <t>35.</t>
  </si>
  <si>
    <t>33.</t>
  </si>
  <si>
    <t>Объем капитальных вложений              на 2012 год (согласно Распоряжению)</t>
  </si>
  <si>
    <t>…</t>
  </si>
  <si>
    <t>Главный распорядитель бюджетных средств ___________________________________</t>
  </si>
  <si>
    <t>по состоянию на _________________________ года</t>
  </si>
  <si>
    <t>тыс.рублей</t>
  </si>
  <si>
    <t>Фактически профинан-сировано</t>
  </si>
  <si>
    <t>%  финансиро-вания</t>
  </si>
  <si>
    <t>Объем капитальных вложений на 20__ год</t>
  </si>
  <si>
    <t>Исполнитель,тел.</t>
  </si>
  <si>
    <t>Лимиты бюджетных обязательств</t>
  </si>
  <si>
    <t xml:space="preserve">о расходах на реализацию Адресной инвестиционной программы Республики Карелия </t>
  </si>
  <si>
    <t>Исполнено</t>
  </si>
  <si>
    <t>%  исполнения</t>
  </si>
  <si>
    <t>Форма N 16      (еженедельная)</t>
  </si>
  <si>
    <t>Форма N 16А      (ежемесячная)</t>
  </si>
  <si>
    <t>Приложение 3</t>
  </si>
  <si>
    <t>Приложение 4</t>
  </si>
  <si>
    <t xml:space="preserve">Приложение </t>
  </si>
  <si>
    <t xml:space="preserve">Объекты капитального строительства, предназначенные для решения вопросов местного значения, финансовое обеспечение которых осуществляется в форме субсидий бюджетам муниципальных образований
</t>
  </si>
  <si>
    <t xml:space="preserve">Объекты капитального строительства, предназначенные для решения вопросов местного значения, финансовое обеспечение которых осуществляется в форме бюджетных инвестиций
</t>
  </si>
  <si>
    <t>II.I.</t>
  </si>
  <si>
    <t>II.I.I.</t>
  </si>
  <si>
    <t>II.I.II.</t>
  </si>
  <si>
    <t>II.II.</t>
  </si>
  <si>
    <t>II.II.I.</t>
  </si>
  <si>
    <t>II.II.II.</t>
  </si>
  <si>
    <t xml:space="preserve">Объекты капитального строительства, финансовое обеспечение которых осуществляется в форме бюджетных инвестиций
</t>
  </si>
  <si>
    <t>I.I.</t>
  </si>
  <si>
    <t>I.II.</t>
  </si>
  <si>
    <t>Главный распорядитель бюджетных средств _________________________</t>
  </si>
  <si>
    <t>Главный распорядитель бюджетных средств __________________________</t>
  </si>
  <si>
    <t>в том числе за счет средств</t>
  </si>
  <si>
    <t>бюджета РК</t>
  </si>
  <si>
    <t>фед. бюджета, Фонда реф.ЖКХ, ФОМС</t>
  </si>
  <si>
    <t>Объем капитальных вложений на 2015 год</t>
  </si>
  <si>
    <t>Главный распорядитель бюджетных средств - Министерство строительства, ЖКХ и энергетики</t>
  </si>
  <si>
    <t>Главный распорядитель бюджетных средств -Государственный комитет РК по транспорту</t>
  </si>
  <si>
    <t>Проектно-изыскательские работы</t>
  </si>
  <si>
    <t>Строительство мостового перехода через р.Кузрека на км 19+100 автомобильной дороги Беломорск - Сумпосад - Колежма</t>
  </si>
  <si>
    <t>Реконструкция участка автомобильной дороги Кочкома - Тикша - Ледмозеро - Костомукша - госграница, км 35 - км 44</t>
  </si>
  <si>
    <t>Строительство мостового перехода через протоку на 21 км автомобильной дороги «Кола», 1051 км — Нильмозеро — Нильмогуба» (0,50 км/19,9 пм)</t>
  </si>
  <si>
    <t>36.</t>
  </si>
  <si>
    <t>Оформление и согласование документации на получение земельных участков под строительство автомобильных дорог и мостов</t>
  </si>
  <si>
    <t>37.</t>
  </si>
  <si>
    <t>Строительство автомобильной дороги Великая Губа — Оятевщина</t>
  </si>
  <si>
    <t>38.</t>
  </si>
  <si>
    <t>Реконструкция автомобильной дороги Ихала - Райвио - госграница, км 0 - км 14</t>
  </si>
  <si>
    <t>39.</t>
  </si>
  <si>
    <t>Реконструкция автомобильной дороги Ихала - Райвио - госграница, км 14 - км 28</t>
  </si>
  <si>
    <t>Строительство мостового перехода через р. Колежма на км 16+500 автомобильной дороги Сумпосад — Воренжа — Вирандозеро — Нюхча (0,90 км/41,6 км)</t>
  </si>
  <si>
    <t xml:space="preserve">Строительство и реконструкция водопроводных очистных сооружений г.Петрозаводска (II этап) </t>
  </si>
  <si>
    <t>Реконструкция системы водоотведения и очистки сточных вод  в п.Чална</t>
  </si>
  <si>
    <t xml:space="preserve">Строительство канализационных очистных сооружений в с. Ведлозеро </t>
  </si>
  <si>
    <t>Реконструкция системы водоотведения и очистки сточных вод в с.Заозерье</t>
  </si>
  <si>
    <t>Строительство 8-квартирного и 10-квартирного жилых домов в с. Рыбрека</t>
  </si>
  <si>
    <t>Сегежский муниципальный район</t>
  </si>
  <si>
    <t>Реконструкция водовода речной воды от насосной станции I подъема до насосной станции II подъема в г. Сегежа Республики Карелия</t>
  </si>
  <si>
    <t>Петрозаводский городской округ</t>
  </si>
  <si>
    <t xml:space="preserve">Строительство теплотрассы от блочно-модульной котельной до магистральной теплотрассы в г. Суоярви </t>
  </si>
  <si>
    <t>Строительство газопровода распределительного (уличная сеть) по д.Верховье, г.Олонец, д.Судалица Олонецкого городского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</si>
  <si>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д.Татчелица, д.Путилица, д.Тахтасово,  д.Иммалицы, д.Рыпушкалицы, д.Капшойла Олонецкого городского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</si>
  <si>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д.Куйтежа, п.Речная Сельга Куйтежского сельского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</si>
  <si>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д.Ильинская Горка, д.Большаково, п.Ильинский, д.Алексала, д.Еройла, д.Герпеля, c.Нурмойла, п.cовхоза "Ильинский",  д.Тулокса, д.Устье Тулоксы Ильинского сельского поселения Олонецкого национального района (в том числе проектно-изыскательские работы)</t>
  </si>
  <si>
    <t>Строительство газопровода распределительного (уличная сеть) по д.Верхняя Видлица, д.Гавриловка, с.Видлица, п.Устье Видлицы Видлицкого сельского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</si>
  <si>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д.Нурмолицы, д.Новинка, п.Ковера Коверского сельского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</si>
  <si>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с.Михайловское  Михайловского сельского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</si>
  <si>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д.Гошкила, д.Торосозеро, д.Коткозеро Коткозерского сельского поселения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</si>
  <si>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д.Юргелица, д.Онькулица, д.Мегрега   Олонецкого национального муниципального района  (в том числе проектно-изыскательские работы)</t>
  </si>
  <si>
    <t>Строительство газопровода распределительного (уличная сеть) по  г.Питкяранта, д.Койриноя, д.Ууксу Питкярантского городского поселения Питкярантского  муниципального района  (в том числе проектно-изыскательские работы)</t>
  </si>
  <si>
    <t>Строительство газопровода распределительного (уличная сеть) по  п.Салми, д.Ряймяля Салминского сельского поселения Питкярантского  муниципального района  (в том числе проектно-изыскательские работы)</t>
  </si>
  <si>
    <t>Строительство газопровода распределительного (уличная сеть) по г.Лахденпохья Лахденпохского городского поселения Лахденпохского муниципального района  (в том числе проектно-изыскательские работы)</t>
  </si>
  <si>
    <t>Строительство газопровода распределительного (уличная сеть) п.Куркиеки Куркиекского сельского поселения Лахденпохского муниципального района  (в том числе проектно-изыскательские работы)</t>
  </si>
  <si>
    <t>24.</t>
  </si>
  <si>
    <t>Строительство газопровода распределительного (уличная сеть) п.Хийтола, п.Куликово, п.Тоунан Хийтольского сельского поселения Лахденпохского муниципального района (в том числе проектно-изыскательские работы)</t>
  </si>
  <si>
    <t>Строительство газопровода распределительного (уличная сеть) п.Элисенваара, п.Вялимяки Элисенваарского  сельского поселения Лахденпохского муниципального района  (в том числе проектно-изыскательские работы)</t>
  </si>
  <si>
    <t>Строительство газопровода распределительного (уличная сеть)  п.Ихала, п.Раухала, п.Мийнала Мийнальского  сельского поселения Лахденпохского муниципального района  (в том числе проектно-изыскательские работы)</t>
  </si>
  <si>
    <t>27.</t>
  </si>
  <si>
    <t>Строительство газопровода распределительного (уличная сеть) по с. Спасская Губа Кондопожского района (в том числе проектно-изыскательские работы)</t>
  </si>
  <si>
    <t>Строительство котельной в с. Спасская Губа Кондопожского района (в том числе проектно-изыскательские работы)</t>
  </si>
  <si>
    <t>Реконструкция Национальной библиотеки Республики Карелия, г.Петрозаводск (в том числе проектно-изыскательские работы)</t>
  </si>
  <si>
    <t>Строительство перинатального центра в Республике Карелия по адресу г. Петрозаводск, пр. Лесной, мощностью 130 коек (в том числе проектно–изыскательские работы)</t>
  </si>
  <si>
    <t>Строительство больницы на 200 коек, блок «В», г. Сортавала (в том числе проектно-изыскательские работы)</t>
  </si>
  <si>
    <t>Долгосрочная целевая программа «Обеспечение населения Республики Карелия питьевой водой» на 2011–2017 годы»</t>
  </si>
  <si>
    <t>Справочно (по напрввлениям):</t>
  </si>
  <si>
    <t>Начальник управления расходов</t>
  </si>
  <si>
    <t>Исп. Маркова В.Б. 716473</t>
  </si>
  <si>
    <t>Развитие газоснабжения и газификации Республики Карелия</t>
  </si>
  <si>
    <t>Объекты капитального строительства государственной собственности Республики Карелия, финансовое обеспечение которых осуществляется в форме бюджетных инвестиций</t>
  </si>
  <si>
    <t xml:space="preserve">Объекты капитального строительства, предназначенные для решения вопросов местного значения
</t>
  </si>
  <si>
    <t xml:space="preserve">Объекты капитального строительства государственной собственности
</t>
  </si>
  <si>
    <t>Форма N 16     (еженедельная)</t>
  </si>
  <si>
    <t xml:space="preserve">Информация о расходах на реализацию Адресной инвестиционной программы Республики Карелия </t>
  </si>
  <si>
    <t>из них подлежит обеспечению в 2015 году</t>
  </si>
  <si>
    <t>из них объекты, софинансируемые из федерального бюджета</t>
  </si>
  <si>
    <t>ГРБС - Министерство строительства, ЖКХ и энергетики РК</t>
  </si>
  <si>
    <t>Субсидии бюджетам муниципальных образований</t>
  </si>
  <si>
    <t xml:space="preserve">Объекты, софинансируемые из федерального бюджета </t>
  </si>
  <si>
    <t xml:space="preserve">Обеспечение мероприятий по переселению граждан из аварийного жилищного фонда </t>
  </si>
  <si>
    <t xml:space="preserve">Строительство и реконструкция ВОС  г.Петрозаводска (II этап) </t>
  </si>
  <si>
    <t xml:space="preserve">ДЦП «Обеспечение населения Республики Карелия питьевой водой» на 2011–2017 годы» реконструкция объектов водоотведения </t>
  </si>
  <si>
    <t>Реконструкция системы водоотведения и очистки сточных вод в п.г.т.Пряжа</t>
  </si>
  <si>
    <t>Реконструкция системы водоотведения и очистки сточных вод  в пос.Мелиоративный</t>
  </si>
  <si>
    <t>Реконструкция системы водоотведения и очистки сточных вод в с. Шелтозеро</t>
  </si>
  <si>
    <t>Реконструкция системы водоотведения и очистки сточных вод в п. Новая Вилга</t>
  </si>
  <si>
    <t>Реконструкция системы водоотведения и очистки сточных вод в п. Чална</t>
  </si>
  <si>
    <t xml:space="preserve">Реконструкция водовода речной воды от насосной станции I подъема до насосной станции II подъема в г. Сегежа </t>
  </si>
  <si>
    <t xml:space="preserve"> </t>
  </si>
  <si>
    <t>Суоярвский муниципальный район</t>
  </si>
  <si>
    <t>Реконструкция Национальной библиотеки Республики Карелия, г.Петрозаводск (в том числе ПСД)</t>
  </si>
  <si>
    <t>Строительство перинатального центра в г. Петрозаводск, пр. Лесной, мощностью 130 коек (в  том числе ПСД)</t>
  </si>
  <si>
    <t>Строительство газопровода распределительного (уличная сеть) Северного Приладожья</t>
  </si>
  <si>
    <t>Строительство газопровода распределительного (уличная сеть) по  п.Ляскеля, д.Янис, д.Хийденсельга Ляскельского сельского поселения Питкярантского  муниципального района (в том числе проектно-изыскательские работы)</t>
  </si>
  <si>
    <t>Строительство газопровода распределительного (уличная сеть) по  п.Харлу, д.Рауталахти Харлуского сельского поселения Питкярантского  муниципального района  (в том числе проектно-изыскательские работы)</t>
  </si>
  <si>
    <t>Строительство газопровода распределительного (уличная сеть) г.Сортавала, п.Хюмпеля, п.Лахденкюля Сортавальского городского поселения Сортавальского муниципального района  (в том числе проектно-изыскательские работы)</t>
  </si>
  <si>
    <t>Строительство газопровода распределительного (уличная сеть) п.Хелюля, с.Хелюля, п.Раутакангас Хелюльского городского поселения Сортавальского муниципального района  (в том числе проектно-изыскательские работы)</t>
  </si>
  <si>
    <t>Строительство газопровода распределительного (уличная сеть) п.Рускеала,  п.Пуйккола, п.Партала, п.Кааламо, п.Маткаселькя, п.Рюттю Кааламского  сельского поселения Сортавальского муниципального района  (в том числе проектно-изыскательские работы)</t>
  </si>
  <si>
    <t>Строительство газопровода распределительного (уличная сеть) п.Хаапалампи, п.Заозерный, п.Ниэмилянхови, п.Вуорио Хаапалампинского  сельского поселения Сортавальского муниципального района (в том числе проектно-изыскательские работы)</t>
  </si>
  <si>
    <t>Строительство больницы на 200 коек, блок «В», г. Сортавала</t>
  </si>
  <si>
    <t>Реконструкция автомобильной дороги Ихала - Райвио - госграница, км0-км14</t>
  </si>
  <si>
    <t>Реконструкция автомобильной дороги Ихала - Райвио - госграница, км14-км28</t>
  </si>
  <si>
    <t>26.01.2015г.</t>
  </si>
  <si>
    <t xml:space="preserve">ГРБС - Госкомитет РК по транспорту </t>
  </si>
  <si>
    <t>за 2015 год</t>
  </si>
  <si>
    <t xml:space="preserve">Объем капитальных вложений на 2015 год </t>
  </si>
  <si>
    <t>Отклонения</t>
  </si>
  <si>
    <t xml:space="preserve"> - за счет средств фонда содействия ЖКХ</t>
  </si>
  <si>
    <t xml:space="preserve"> - за счет средств  бюджета РК</t>
  </si>
  <si>
    <t>х</t>
  </si>
  <si>
    <t>Пояснения</t>
  </si>
  <si>
    <t>после подтверждения потребности в средствах субсидии из фед.бюджета - ЛБО в полном объеме для объявления аукциона на последний этап</t>
  </si>
  <si>
    <t>после подтверждения потребности в средствах субсидии из фед.бюджета - ЛБО в полном объеме для объявления аукциона в целях завершения объекта в 2015 году</t>
  </si>
  <si>
    <t>Для завершения объекта в 2015 году  требуются еще доп. средства, МК заключены. ЛБО - в полном объеме</t>
  </si>
  <si>
    <t>МК заключен, объект планируется к завершению в 2015 году. ЛБО - в полном объеме</t>
  </si>
  <si>
    <t>ЛБО  в полном объеме</t>
  </si>
  <si>
    <t>Конкурсные процедуры признаны несостоявшимися в 2014 году. В настоящее время объект не начат. Без открытия ЛБО</t>
  </si>
  <si>
    <t>В настоящее время объект не начат, без открытия ЛБО</t>
  </si>
  <si>
    <t>В 2015 году планируется объявление аукциона  последней очереди строительства объекта. ЛБО - в полном объеме в целях завершения объекта в 2015 году.</t>
  </si>
  <si>
    <t>Для оплаты госконтракта на сумму 6540,0, т.р., заключенного в 2014 году на разработку ПСД,  необходимо  3651,9 т.р.(недостаток средств 243,9 т.р.)  Сроки завершения работ по контракту -  2015 год.  ЛБО - в полной сумме в целях частичной оплаты госконтракта</t>
  </si>
  <si>
    <t>В 2014 году госконтракт расторгнут (недобросовестный подрядчик). Необходимо повторное объявление аукциона. В настоящее время объект не начат, без открытия ЛБО</t>
  </si>
  <si>
    <t>В 2014 году аукцион не  объявлен ввиду недостаточности средств. В настоящее время объект не начат, без открытия ЛБО</t>
  </si>
  <si>
    <t>Лимиты (85%) -заявка Минстроя РК № 75</t>
  </si>
  <si>
    <t xml:space="preserve">по расходам на реализацию Адресной инвестиционной программы Республики Карелия </t>
  </si>
  <si>
    <t>(Министерство строительства, ЖКХ и энергетики  Республики Карелия)</t>
  </si>
  <si>
    <t>Предложения Отдела ЖКХ, транспорта и строительства по открытию лимитов бюджетных обязательств</t>
  </si>
  <si>
    <t>Всего лимиты (предложение отдела ЖКХ)</t>
  </si>
  <si>
    <t>Объекты культуры (Нац.библиотека)</t>
  </si>
  <si>
    <t>Объекты здравоохранения (больница Сортавала, перинатальный центр)</t>
  </si>
  <si>
    <t>Всего</t>
  </si>
  <si>
    <t>Прочие объекты (ж/д Рыбрека, водовод Сегежа, теплотрасса Суоярви, ВОС)</t>
  </si>
  <si>
    <t>ЛБО - в полном объеме</t>
  </si>
  <si>
    <t xml:space="preserve"> после подтверждения остатков ФБ и ФФОМС</t>
  </si>
  <si>
    <t>тыс. рублей</t>
  </si>
  <si>
    <t xml:space="preserve">на 26.02.2015г.  </t>
  </si>
  <si>
    <t>Всего ЛБО (90,7%), на 26.02. (88,7%)</t>
  </si>
  <si>
    <t>Для оплаты госконтракта на сумму 9652,0 т.р., заключенного в 2014 году на разработку ПСД,  необходимо 4410,9 т.р. Сроки завершения работ по контракту -  2015 год. ЛБО - в сумме, необходимой для оплаты госконтракта.</t>
  </si>
  <si>
    <t>В целях завершения объекта требуются дополнительные средства. Срок завершения работ - 2015 год. ЛБО- в полном объеме. 21324,0 - за счет дотации - после внесения изменений в РАИП</t>
  </si>
  <si>
    <t>В настоящее время идет судебные процедуры по расторжению муниципального контракта, после чего будет заключен новый мун. контракт</t>
  </si>
  <si>
    <t xml:space="preserve"> ЛБО - в полном объеме. 312753,0  - за счет дотации - после внесения изменений в РАИП, 49320,0 после изменения порядка предоставления средств </t>
  </si>
  <si>
    <t>ЛБО (всего к открытию)</t>
  </si>
  <si>
    <t>Отклонения (предложения к сокращению)</t>
  </si>
  <si>
    <t>Объем капитальных вложений на 2015 год (СБР)</t>
  </si>
  <si>
    <t>В.В.Романова</t>
  </si>
  <si>
    <t>Начальник отдела ЖКХ, транспорта и строительства</t>
  </si>
  <si>
    <t>Наташа</t>
  </si>
  <si>
    <t>40.</t>
  </si>
  <si>
    <t xml:space="preserve">Главный распорядитель бюджетных средств - Государственный комитет РК по транспорту </t>
  </si>
  <si>
    <t>Переходящий объект. Заключено 3 гос.контракта:  ГК № 56/2012 от 04.12.2012г.  на сумму 361,70981 т.р. со сроком исполнения до 12.2013г. (разборка внутренних перегородок и разрушенных козырьков),ГК № 246 от 24.12.2012г на сумму 1877,290 т.р. со сроком исполнения до 12.2013г.(корректировка ПСД),  ГК № 23/2013 от 09.07.2014г. на сумму 95400,0 тыс. рублей со сроком исполнения до 12.2015г.(СМР)</t>
  </si>
  <si>
    <t>-за счет средств федерального фонда обязательного медицинского страхования</t>
  </si>
  <si>
    <t>-за счет средств федерального бюджета, федерального фонда обязательного медицинского страхования</t>
  </si>
  <si>
    <t>22.08.2014г. объявлен аукцион на заключение государственного контракта в сумме 15000,0  т.р. (3 этап) . Идет рассмотрение заявок. Сроки выполнения до 15.12.2014г.</t>
  </si>
  <si>
    <t>Разработка ПСД и сроки строительства объекта перенесены начиная с 2015 года</t>
  </si>
  <si>
    <t>ПСД</t>
  </si>
  <si>
    <t>Заключен государственный контракт(на разработку ПСД) № 17/2014 от 04.08.2014г. на сумму 6540,0 т.р. Срок выполнения работ  в течении 4 мес. с даты подписания ГК.</t>
  </si>
  <si>
    <t>Заключен государственный контракт(на разработку ПСД) № 16/2014 от 04.08.2014г. на сумму 9652,0 т.р. Срок выполнения работ  в течении 4 мес. с даты подписания ГК.</t>
  </si>
  <si>
    <t>На 2 этап заключен  государственный контракт № 10/2014 от 30.06.2014г. на сумму 4991,82728 т.р. (срок выполнения работ до 01.11.2014г.)   На 4 этап аключен  государственный контракт на сумму 3900,7887 т.р.  № 14/2014  от 04.08.2014г.(срок выполнения работ до 01.12.2014г.).   30.09.2014г. объявлен аукцион на 3 этап на заключение государственного контракта в сумме 15466,8 т.р. со сроком выполнения работ до 01.08.2014г.</t>
  </si>
  <si>
    <t xml:space="preserve">Муниципальный контракт заключен 09.12.2013г. № 1к-13 на сумму 2800,0 т.р.. Срок исполнения - 12.2014г. Выполнением работ будет служить положительное заключение  АУ РК "Карелгосэкспертиза". Проектировщиками не выдержаны нормативные сроки проектирования. Ввиду оплаты работ по факту выполнения, оплата переносится на 2015 год. </t>
  </si>
  <si>
    <t>МК????</t>
  </si>
  <si>
    <t xml:space="preserve">Муниципальный контракт заключен 09.12.2013г. № 1к-13 на сумму 2119,0 т.р.. Срок исполнения - 12.2014г. Выполнением работ будет служить положительное заключение  АУ РК "Карелгосэкспертиза". Проектировщиками не выдержаны нормативные сроки проектирования. Ввиду оплаты работ по факту выполнения, оплата переносится на 2015 год. </t>
  </si>
  <si>
    <t xml:space="preserve">Муниципальный контракт заключен 09.12.2013г. № 1к-13 на сумму 2600,0 т.р.. Срок исполнения - 12.2014г. Выполнением работ будет служить положительное заключение  АУ РК "Карелгосэкспертиза". Проектировщиками не выдержаны нормативные сроки проектирования. Ввиду оплаты работ по факту выполнения, оплата переносится на 2015 год. </t>
  </si>
  <si>
    <t xml:space="preserve">Муниципальный контракт заключен 13.12.2013г. № 1к-13 на сумму 4790,0 т.р.. Срок исполнения - 12.2014г. Выполнением работ будет служить положительное заключение  АУ РК "Карелгосэкспертиза". Проектировщиками не выдержаны нормативные сроки проектирования. Ввиду оплаты работ по факту выполнения, оплата переносится на 2015 год. </t>
  </si>
  <si>
    <t xml:space="preserve">Муниципальный контракт заключен 13.12.2013г. № 1к-13 на сумму 2960,0 т.р.. Срок исполнения - 12.2014г.авершение разработки ПСД планируется в декабре т.г. - январе  2015г. Выполнением работ будет служить положительное заключение  АУ РК "Карелгосэкспертиза". Проектировщиками не выдержаны нормативные сроки проектирования. Ввиду оплаты работ по факту выполнения, оплата переносится на 2015 год. </t>
  </si>
  <si>
    <t>Аукцион не проведен. Разработка ПСД и сроки строительства объекта перенесены начиная с 2015 года</t>
  </si>
  <si>
    <t xml:space="preserve">Объекты строительства в рамках подпрограммы «Развитие газоснабжения и газификации Республики Карелия» государственной программы Республики Карелия «Энергосбережение, энергоэффективность и развитие энергетики Республики Карелия» - всего, в том числе: </t>
  </si>
  <si>
    <t>Аукцион (обявленный 27.08.2014г. на сумму 35499 т.р.)  отменен в связи с планируемым  изменением лимитов финансирования (поправками дополнительно  учтено 7000,0 т.р.). Будет обявлен повторно. Объект переходящий на 2015 год (в 2015 году предусмотрено 25000,0 т.р.)</t>
  </si>
  <si>
    <t>-за счет средств Фонда содействия реформированию ЖКХ</t>
  </si>
  <si>
    <t>-за счет средств федерального бюджета,  Фонда содействия реформированию ЖКХ, федерального фонда обязательного медицинского страхования</t>
  </si>
  <si>
    <t xml:space="preserve">В результате корректировки проектной документации (доп. работы), в 2015 году необходимы бюджетные ассигнования в сумме 4125,0 тыс. рублей для завершения объекта. Кроме того, ввод объекта предусматривается в целевых показателях выполнения  Программы переселения из аварийного жилья  </t>
  </si>
  <si>
    <t>В настоящее время положительное заключение  ФАУ "Главгосэкспертиза России" (корректировка проекта) отсутствует. Постле устранения замечаний повторно будет направлена на Главгосэкспертизу.</t>
  </si>
  <si>
    <t>Объекты реконструкции в рамках подпрограммы «Долгосрочная целевая программа «Обеспечение населения Республики Карелия питьевой водой» на 2011–2017 годы» государственной программы Республики Карелия «Обеспечение доступным и комфортным жильем и жилищно–коммунальными услугами", в том числе:</t>
  </si>
  <si>
    <t>- за счет средств Инвестиционного фонда РФ</t>
  </si>
  <si>
    <t xml:space="preserve">Аукцион на строительство четвертого пускового комплекса - электролизная станция (на заключение муниципального контракта в сумме 82749,45 тр.р), объявленный 02.09.2014г. не состоялся.  Планируется объявление нового аукциона. </t>
  </si>
  <si>
    <t>-за счет средств федерального бюджета,   Фонда содействия реформированию ЖКХ, Инвестиционного фонда РФ</t>
  </si>
  <si>
    <t>-за счет средств федерального бюджета, Фонда содействия реформированию ЖКХ, Инвестиционного фонда РФ, федерального фонда обязательного медицинского страхования</t>
  </si>
  <si>
    <t>Главный распорядитель бюджетных средств - Министерство строительства, ЖКХ и энергетики РК</t>
  </si>
  <si>
    <t>средства федерального фонда обязательного медицинского страхования</t>
  </si>
  <si>
    <t>средстваИнвестиционного фонда РФ</t>
  </si>
  <si>
    <t>средства Фонда содействия реформированию ЖКХ</t>
  </si>
  <si>
    <t>средства федерального бюджета</t>
  </si>
  <si>
    <t>-за счет средств федерального бюджета, Фонда содействия реформированию ЖКХ, Инвестиционного фонда РФ, федерального фонда обязательного медицинского страхования, из них:</t>
  </si>
  <si>
    <t>Примечания</t>
  </si>
  <si>
    <t>Ожидаемой исполнение</t>
  </si>
  <si>
    <t>Сметная стоимость</t>
  </si>
  <si>
    <t>по состоянию на 01 января 2015 года</t>
  </si>
  <si>
    <t>Форма N 16 (еженедельная)</t>
  </si>
  <si>
    <t>по состоянию на 19.03.2015 года</t>
  </si>
  <si>
    <t>Олонецкий муниципальный район</t>
  </si>
  <si>
    <t>Справочно (по направлениям):</t>
  </si>
  <si>
    <t>Костомукшский городской округ</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</si>
  <si>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t>
  </si>
  <si>
    <t xml:space="preserve"> - строительство мостового перехода через ручей на км 34+350 автомобильной дороги Сумпосад – Воренжа – Вирандозеро – Нюхча</t>
  </si>
  <si>
    <t xml:space="preserve"> - строительство мостового перехода через р. Колежма на км 16+500 автомобильной дороги Сумпосад – Воренжа – Вирандозеро – Нюхча</t>
  </si>
  <si>
    <t>Объекты капитального строительства, финансовое обеспечение которых осуществляется в форме субсидий</t>
  </si>
  <si>
    <t>Объекты капитального строительства, финансовое обеспечение которых осуществляется в форме субсидий государственным корпорациям (компаниям)</t>
  </si>
  <si>
    <t>Объекты капитального строительства, предназначенные для решения вопросов местного значения, финансовое обеспечение которых осуществляется в форме субсидий бюджетам муниципальных образований</t>
  </si>
  <si>
    <t>I.I.I</t>
  </si>
  <si>
    <t>I.II.I</t>
  </si>
  <si>
    <t xml:space="preserve">Лимиты бюджетных обязательств                     </t>
  </si>
  <si>
    <t>Пудожский муниципальный район</t>
  </si>
  <si>
    <t>Реализация мероприятий в рамках ФЦП "Развитие Республики Карелия на период до 2020 года"</t>
  </si>
  <si>
    <t xml:space="preserve">Строительство перинатального центра в г. Петрозаводске, мощностью 130 коек </t>
  </si>
  <si>
    <t>Реализация мероприятий в рамках ФЦП "Развитие Республики Карелия на период до 2020 г."</t>
  </si>
  <si>
    <t xml:space="preserve">Обеспечение мероприятий по переселению граждан из аварийного жилищного фонда  </t>
  </si>
  <si>
    <t xml:space="preserve">в том числе   </t>
  </si>
  <si>
    <t>38.5</t>
  </si>
  <si>
    <t>«Республиканский спортивный комплекс «Курган», г.Петрозаводск</t>
  </si>
  <si>
    <t>37.3.</t>
  </si>
  <si>
    <t>37.4.</t>
  </si>
  <si>
    <t>Главный распорядитель бюджетных средств - Министерство строительства, ЖКХ и энергетики Республики Карелия</t>
  </si>
  <si>
    <t>Строительство фельдшерско-акушерского пункта в с.Ведлозеро, Пряжинский район</t>
  </si>
  <si>
    <t>Строительство дома-интерната для престарелых граждан и инвалидов на территории Костомукшского городского округа (на 200 мест)</t>
  </si>
  <si>
    <t>Главный распорядитель бюджетных средств -Министерство по дорожному хозяйству, транспорту и связи Республики Карелия</t>
  </si>
  <si>
    <t>Сортавальский муниципальный район</t>
  </si>
  <si>
    <t>Калевальский национальный район</t>
  </si>
  <si>
    <t>Прокладка трубопровода холодного водоснабжения и установка водоразборных колонок по ул.Линдозерская, ул.Анохина, ул.А.Лисициной. ул.Ригоева в г.Сегежа</t>
  </si>
  <si>
    <t>Строительство физкультурно-оздоровительного комплекса в г. Медвежьегорск</t>
  </si>
  <si>
    <t xml:space="preserve">Реконструкция универсальной загородной учебно-тренировочной базы в местечке Ялгуба, Прионежский район - 2 этап </t>
  </si>
  <si>
    <t>Реконструкция нежилых помещений, расположенных на 1 и 2 этажах здания № 7 по проезду Монтажников в г. Сегежа под детскую поликлинику на 400 посещений в сутки</t>
  </si>
  <si>
    <t>Строительство детского сада в п. Ляскеля Питкярантского муниципального района на 110 мест</t>
  </si>
  <si>
    <t>Строительство газопровода распределительного (уличная сеть) по с. Спасская Губа Кондопожского муниципального района</t>
  </si>
  <si>
    <t>Строительство газопровода распределительного (уличная сеть) по д. Тукса Туксинского сельского поселения Олонецкого национального муниципального района</t>
  </si>
  <si>
    <t>Строительство газовой котельной в с.Спасская Губа Кондопожского муниципального района</t>
  </si>
  <si>
    <t>5</t>
  </si>
  <si>
    <t>6</t>
  </si>
  <si>
    <t>Реконструкция участка автодороги Кочкома – Тикша – Ледмозеро – Костомукша – госграница, км 35 – 44 (9 км)</t>
  </si>
  <si>
    <t>Строительство автодороги Медвежьегорск - Толвуя - Великая Губа, км 106 - Больничный</t>
  </si>
  <si>
    <t>Строительство мостового перехода через ручей на км 34+350 автомобильной дороги Сумпосад – Воренжа – Вирандозеро – Нюхча</t>
  </si>
  <si>
    <t>Строительство мостового перехода через р. Колежма на км 16+500 автомобильной дороги Сумпосад – Воренжа – Вирандозеро – Нюхча</t>
  </si>
  <si>
    <t>Строительство мостового перехода через ручей на км 81+960 автомобильной дороги Тикша-Реболы</t>
  </si>
  <si>
    <t>Строительство мостового перехода через ручей на км 37+800 автомобильной дороги Реболы - Лендеры-госграница</t>
  </si>
  <si>
    <t>Строительство автомобильной дороги к туристическому объекту "Водопад "Молочный", км 0 - км 4+500</t>
  </si>
  <si>
    <t>Строительство автомобильной дороги к туристическому объекту "Вотчина карельского деда мороза Талви Укко", км 0 - км 0+800</t>
  </si>
  <si>
    <t xml:space="preserve">Объем капитальных вложений на 2018 год             </t>
  </si>
  <si>
    <t>Строительство объектов на территории гражданского сектора аэропорта «Петрозаводск» (Бесовец)</t>
  </si>
  <si>
    <t>Строительство газопровода распределительного (уличная сеть) по дер. Верхняя Видлица, дер. Гавриловка, с. Видлица, пос. Устье Видлицы Видлицкого сельского поселения Олонецкого национального муниципального района (разработка проектно-сметной документации)</t>
  </si>
  <si>
    <t>Строительство газопровода распределительного (уличная сеть) по дер. Татчелица, дер. Путилица, дер. Тахтасово, дер. Иммалицы, дер. Рыпушкалицы, дер. Капшойла Олонецкого городского поселения  Олонецкого национального муниципального района (разработка проектно-сметной документации)</t>
  </si>
  <si>
    <t>Мероприятия по поддержке отрасли культуры (Разработка проектно-сметной документации на строительство сельского дома культуры в дер. Мегрега Олонецкого национального муниципального района)</t>
  </si>
  <si>
    <t>Строительство в г. Петрозаводске отделения судебно-медицинской экспертизы (разработка проектно-сметной документации)</t>
  </si>
  <si>
    <t>Строительство регионального центра по спортивной гимнастике в г. Петрозаводске (II этап) (разработка проектно-сметной документации)</t>
  </si>
  <si>
    <r>
      <t>Субсидия на реализацию мероприятий государственной  программы Республики Карелия  «Развитие физической культуры, спорта и совершенствование молодежной политики» в целях строительства и реконструкции объектов муниципальной собственности (</t>
    </r>
    <r>
      <rPr>
        <b/>
        <sz val="18"/>
        <rFont val="Times New Roman"/>
        <family val="1"/>
        <charset val="204"/>
      </rPr>
      <t>Реконструкция стадиона МКОУ Сортавальский муниципальный район, Республика Карелия СОШ №3</t>
    </r>
    <r>
      <rPr>
        <sz val="18"/>
        <rFont val="Times New Roman"/>
        <family val="1"/>
        <charset val="204"/>
      </rPr>
      <t>)</t>
    </r>
  </si>
  <si>
    <r>
      <t>Субсидия на реализацию мероприятий государственной  программы Республики Карелия  «Развитие физической культуры, спорта и совершенствование молодежной политики» в целях строительства и реконструкции объектов муниципальной собственности (</t>
    </r>
    <r>
      <rPr>
        <b/>
        <sz val="18"/>
        <rFont val="Times New Roman"/>
        <family val="1"/>
        <charset val="204"/>
      </rPr>
      <t>Реконструкция стадиона МКОУ "Гимназия", г. Костомукша)</t>
    </r>
  </si>
  <si>
    <r>
      <t>Субсидия на реализацию мероприятий государственной  программы Республики Карелия  «Развитие физической культуры, спорта и совершенствование молодежной политики» в целях строительства и реконструкции объектов муниципальной собственности (</t>
    </r>
    <r>
      <rPr>
        <b/>
        <sz val="18"/>
        <rFont val="Times New Roman"/>
        <family val="1"/>
        <charset val="204"/>
      </rPr>
      <t>Реконструкций здания спортивного комплекса по ул. Советская, 15 в пос. Боровой Калевальского района Республики Карелия (для ДЮСШ</t>
    </r>
    <r>
      <rPr>
        <sz val="18"/>
        <rFont val="Times New Roman"/>
        <family val="1"/>
        <charset val="204"/>
      </rPr>
      <t>))</t>
    </r>
  </si>
  <si>
    <r>
      <t>Субсидия на реализацию мероприятий государственной программы Республики Карелия «Развитие транспортной системы» в целях строительства и реконструкции объектов муниципальной собственности (</t>
    </r>
    <r>
      <rPr>
        <b/>
        <sz val="18"/>
        <rFont val="Times New Roman"/>
        <family val="1"/>
        <charset val="204"/>
      </rPr>
      <t>Реконструкция причальной стенки в пос. Новостеклянное Шальского сельского поселения, Пудожский муниципальный район)</t>
    </r>
  </si>
  <si>
    <r>
      <t>Субсидия на реализацию мероприятий государственной программы Республики Карелия  «Развитие культуры» в целях строительства и реконструкции объектов муниципальной собственности (</t>
    </r>
    <r>
      <rPr>
        <b/>
        <sz val="18"/>
        <rFont val="Times New Roman"/>
        <family val="1"/>
        <charset val="204"/>
      </rPr>
      <t>Реконструкция здания МБУ "Сегежская централизованная библиотечная система", г.Сегежа, ул.Мира, д.16</t>
    </r>
    <r>
      <rPr>
        <sz val="18"/>
        <rFont val="Times New Roman"/>
        <family val="1"/>
        <charset val="204"/>
      </rPr>
      <t>)</t>
    </r>
  </si>
  <si>
    <r>
      <t>Субсидия на реализацию мероприятий государственной  программы Республики Карелия  «Развитие физической культуры, спорта и совершенствование молодежной политики» в целях строительства и реконструкции объектов муниципальной собственности (</t>
    </r>
    <r>
      <rPr>
        <b/>
        <sz val="18"/>
        <rFont val="Times New Roman"/>
        <family val="1"/>
        <charset val="204"/>
      </rPr>
      <t>Реконструкция стадиона в г.Сегежа</t>
    </r>
    <r>
      <rPr>
        <sz val="18"/>
        <rFont val="Times New Roman"/>
        <family val="1"/>
        <charset val="204"/>
      </rPr>
      <t>)</t>
    </r>
  </si>
  <si>
    <t>4.1</t>
  </si>
  <si>
    <t>4.3.</t>
  </si>
  <si>
    <t>4.4.</t>
  </si>
  <si>
    <t>4.5.</t>
  </si>
  <si>
    <t>4.6.</t>
  </si>
  <si>
    <t>4.7.</t>
  </si>
  <si>
    <r>
      <t>Финансовое обеспечение расходных обязательств, имеющих целевое назначение, источником финансового обеспечения которых являются средства  Фонда развития моногородов (</t>
    </r>
    <r>
      <rPr>
        <b/>
        <sz val="18"/>
        <rFont val="Times New Roman"/>
        <family val="1"/>
        <charset val="204"/>
      </rPr>
      <t>Промпарк пос. Надвоицы)</t>
    </r>
  </si>
  <si>
    <r>
      <t>Субсидии на реализацию мероприятий федеральной целевой программы "Развитие внутреннего и въездного туризма в Российской Федерации (2011 - 2018 годы)" (</t>
    </r>
    <r>
      <rPr>
        <b/>
        <sz val="18"/>
        <rFont val="Times New Roman"/>
        <family val="1"/>
        <charset val="204"/>
      </rPr>
      <t>Строительство линии ЛЭП (14,0 км) на участке «поселок Леппясилта – водопад «Белые мосты»</t>
    </r>
    <r>
      <rPr>
        <sz val="18"/>
        <rFont val="Times New Roman"/>
        <family val="1"/>
        <charset val="204"/>
      </rPr>
      <t xml:space="preserve">). </t>
    </r>
  </si>
  <si>
    <t>Обеспечение необходимой инфраструктуры земельных участков для семей, имеющих 3 и более детей (строительство водоводов и водоотведения в пгт Пряжа)</t>
  </si>
  <si>
    <t>Реконструкция здания пожарного депо в г.Беломорск, ул.Пионерская, д.26</t>
  </si>
  <si>
    <t>Реконструкция сети посадочных площадок, обеспечивающих функционирование воздушного транспорта на территории Республики Карелия (разработка проектно-сметной документации)</t>
  </si>
  <si>
    <t xml:space="preserve"> Инфраструктурное обеспечение промплощадки на территории Петрозаводского гор. округа  </t>
  </si>
  <si>
    <t>Реконструкция здания бюджетного учреждения Республики Карелия «Национальный музей Республики Карелия» (разработка проектно-сметной документации)</t>
  </si>
  <si>
    <t>Строительство здания общеобразовательной организации, г.Сортавала (разработка проектно-сметной документации)</t>
  </si>
  <si>
    <t>Строительство блоков "А" и "Б" межрайонной больницы на 300 коек с поликлиникой на 800 посещений в районе Древлянка, г.Петрозаводск  (разработка проектно-сметной документации)</t>
  </si>
  <si>
    <t>Реконструкция здания автономного учреждения Республики Карелия «Центральный республиканский стадион «Спартак», г.Петрозаводск (разработка проектно-сметной документации)</t>
  </si>
  <si>
    <t>Реконструкция автовокзала г. Петрозаводска и опорной сети автостанций Республики Карелия (разработка проектно-сметной документации)</t>
  </si>
  <si>
    <t>Строительство газопровода распределительного (уличная сеть) по с. Михайловское  Михайловского сельского поселения Олонецкого национального муниципального района (разработка проектно-сметной документации)</t>
  </si>
  <si>
    <t xml:space="preserve">Строительство газопровода распределительного (уличная сеть) по д. Куйтежа, пос. Речная Сельга Куйтежского сельского поселения Олонецкого национального муниципального района (разработка проектно-сметной документации) </t>
  </si>
  <si>
    <t xml:space="preserve">Строительство газопровода распределительного (уличная сеть) по д. Ильинская Горка, д. Большаково, пос. Ильинский, д. Алексала, д. Еройла, д. Герпеля, c. Нурмойла, п. cовхоза «Ильинский»,  д. Тулокса, д. Устье Тулоксы Ильинского сельского поселения Олонецкого национального муниципального района  (разработка проектно-сметной документации) </t>
  </si>
  <si>
    <t xml:space="preserve">Строительство газопровода распределительного (уличная сеть) по дер. Гошкила, дер. Торосозеро, дер. Коткозеро Коткозерского сельского поселения Олонецкого национального муниципального района (разработка проектно-сметной документации) </t>
  </si>
  <si>
    <t>Реконструкция автомобильной дороги Ихала-Райвио-госграница, км 14 – км 28</t>
  </si>
  <si>
    <t>Субсидии местным бюджетам на реализацию мероприятий государственной программы Республики Карелия «Развитие транспортной системы» в целях содержания и ремонта дорог</t>
  </si>
  <si>
    <t>форма 16</t>
  </si>
  <si>
    <r>
      <t xml:space="preserve">Субсидия местным бюджетам на реализацию мероприятий государственной программы Республики Карелия «Обеспечение доступным и комфортным жильем и жилищно–коммунальными услугами» в целях реализации мероприятий по улучшению качества водоснабжения </t>
    </r>
    <r>
      <rPr>
        <b/>
        <sz val="18"/>
        <rFont val="Times New Roman"/>
        <family val="1"/>
        <charset val="204"/>
      </rPr>
      <t>(Реконструкция системы водоотведения и очистки сточных вод в п.Н.Вилга, Мелиоративный</t>
    </r>
    <r>
      <rPr>
        <sz val="18"/>
        <rFont val="Times New Roman"/>
        <family val="1"/>
        <charset val="204"/>
      </rPr>
      <t>)</t>
    </r>
  </si>
  <si>
    <r>
      <t>Субсидия на реализацию мероприятий государственной  программы Республики Карелия  «Развитие физической культуры, спорта и совершенствование молодежной политики» в целях строительства и реконструкции объектов муниципальной собственности (</t>
    </r>
    <r>
      <rPr>
        <b/>
        <sz val="18"/>
        <rFont val="Times New Roman"/>
        <family val="1"/>
        <charset val="204"/>
      </rPr>
      <t>Реконструкция стадиона в г.Олонце</t>
    </r>
    <r>
      <rPr>
        <sz val="18"/>
        <rFont val="Times New Roman"/>
        <family val="1"/>
        <charset val="204"/>
      </rPr>
      <t>)</t>
    </r>
  </si>
  <si>
    <t>Строительство здания для размещения пожарной техники с подсобными помещениями в пгт. Лоухи (разработка проектно-сметной документации)</t>
  </si>
  <si>
    <t>Строительство здания пожарного депо государственного казенного учреждения «Отряд противопожарной службы по Медвежьегорскому району» (разработка проектно-сметной документации)</t>
  </si>
  <si>
    <t>Строительство автоматизированной блочно-модульной водогрейной котельной для нужд ООО "Санаторий "Марциальные воды" в пос. Марциальные воды Кондопожского района РК (разработка проектно-сметной документации)</t>
  </si>
  <si>
    <t>Строительство открытой конькобежной дорожки с искусственным льдом в городе Сортавале (разработка проектно-сметной документации)</t>
  </si>
  <si>
    <t>Строительство газопровода распределительного (уличная сеть) в микрорайоне "Университетский городок" (разработка проектно-сметной документации)</t>
  </si>
  <si>
    <t>Субсидии на реализацию мероприятий федеральной целевой программы "Развитие внутреннего и въездного туризма в Российской Федерации (2011 - 2018 годы)"</t>
  </si>
  <si>
    <t>Строительство газопровода распределительного (уличная сеть) в микрорайоне «Университетский городок»</t>
  </si>
  <si>
    <t>Дноуглубительные работы для организации водного подхода судов маломерного флота к гостиничному комплексу «Ладожская усадьба» в заливе Ниэмелянсалми Ладожского озера</t>
  </si>
  <si>
    <t>Комплекс причальных и волнозащитных сооружений на Онежском озере в Деревянской бухте</t>
  </si>
  <si>
    <t>Проектирование реконструкции помещений для размещения судебных участков в г. Петрозаводске</t>
  </si>
  <si>
    <t>3.1.</t>
  </si>
  <si>
    <t>Капитальный ремонт плотины на реке Вама в Пудожском районе Республики Карелия (разработка проектно-сметной документации)</t>
  </si>
  <si>
    <t xml:space="preserve">Мероприятия по разработке проектно-сметной документации по объектам ФЦП "Развитие Республики Карелия на период до 2020г" </t>
  </si>
  <si>
    <t>Прочие объекты</t>
  </si>
  <si>
    <t>Разработка проектно-сметной документации на строительство линии электропередачи от ПС-20 для обеспечения электроснабжения деревобрабатывающего производства, г. Кондопога</t>
  </si>
  <si>
    <t>Внешнее электроснабжение 6 кВ туристко-гостиничного комплекса "Белые мосты" от ПС-6 пос. Леппясилта</t>
  </si>
  <si>
    <t>37</t>
  </si>
  <si>
    <t>Разработка проектно-сметной документации на реконструкцию Музея Карельского фронта (г.Беломорск)</t>
  </si>
  <si>
    <t xml:space="preserve">Реконструкция универсальной загородной учебно-тренировочной базы в местечке Ялгуба, Прионежский район - I этап </t>
  </si>
  <si>
    <t>Строительство ул. Сыктывкарской на участке от ул. Чкалова до Лесного проспекта в г. Петрозаводске</t>
  </si>
  <si>
    <t>39</t>
  </si>
  <si>
    <t>Строительство газопровода распределительного (уличная сеть) по д. Нурмолицы, д. Новинка, п. Ковера Коверского сельского поселения Олонецкого национального муниципального района</t>
  </si>
  <si>
    <t>1</t>
  </si>
  <si>
    <t>2</t>
  </si>
  <si>
    <t>Реконструкция объектов инфраструктуры здравоохранения (резерв)</t>
  </si>
  <si>
    <t>Реконструкция объектов инфраструктуры газоснабжения (резерв)</t>
  </si>
  <si>
    <t>Строительство газопровода распределительного (уличная сеть) по д. Тукса Туксинского сельского поселения Олонецкого национального муниципального района (разработка проектно-сметной документации)</t>
  </si>
  <si>
    <t>Строительство газопровода распределительного (уличная сеть) по Мегрегскому сельскому поселению Олонецкого национального муниципального района (разработка проектно-сметной документации)</t>
  </si>
  <si>
    <t>Строительство объектов на территории гражданского сектора аэропорта «Петрозаводск» (Бесовец) - (разработка проектно-сметной документации)</t>
  </si>
  <si>
    <t>44</t>
  </si>
  <si>
    <t>Разработка проектно-сметной документации на строительство водопроводных очистных сооружений в г. Кеми</t>
  </si>
  <si>
    <t>Разработка проектно-сметной документации на строительство водопроводных очистных сооружений г. Пудож</t>
  </si>
  <si>
    <t>Разработка проектно-сметной документации на строительство канализационных очистных сооружений хозяйственно-бытовых сточных вод г. Медвежьегорска мощностью 4000 м3/сутки</t>
  </si>
  <si>
    <t>Разработка проектно-сметной документации на реконструкцию котельной в пос. Кварцитный Прионежского района Республики Карелия (кадастровый № 10:22:0010301:99) на 3МВт с заменой оборудования и ликвидацией мазутного хозяйства</t>
  </si>
  <si>
    <t>Разработка проектно-сметной документации на реконструкцию котельной в пос. Деревянка Прионежского района Республики Карелия (кадастровый № 10:20:0000000:4317) на 3МВт с заменой оборудования и увеличения мощности</t>
  </si>
  <si>
    <t>Разработка проектно-сметной документации на реконструкцию котельной в пос. Деревянное Прионежского района Республики Карелия (кадастровый № 10:20:0000000:5011) на 1,5МВт с заменой оборудования</t>
  </si>
  <si>
    <t>Проектирование первого этапа строительства мусоросортировочного комплекса мощностью до 150000 тонн ТКО в год с объектом размещения в Кондопожском муниципальном районе</t>
  </si>
  <si>
    <t>Реконструкция Национальной библиотеки Республики Карелия, г. Петрозаводск</t>
  </si>
  <si>
    <t>Строительство линии электропередач 6 кВ на участке "г. Сортавала - пос. Рантуэ"</t>
  </si>
  <si>
    <t>41</t>
  </si>
  <si>
    <t>42</t>
  </si>
  <si>
    <t>45</t>
  </si>
  <si>
    <t>46</t>
  </si>
  <si>
    <t>47</t>
  </si>
  <si>
    <t>48</t>
  </si>
  <si>
    <t>49</t>
  </si>
  <si>
    <t>Реконструкция здания Национальной библиотеки на ул.Пушкинской в г.Петрозаводске</t>
  </si>
  <si>
    <t>50</t>
  </si>
  <si>
    <t>Субсидия местным бюджетам на реализацию мероприятий государственной программы Республики Карелия «Обеспечение доступным и комфортным жильем и жилищно–коммунальными услугами» в целях реализации мероприятий по улучшению качества водоснабжения (Реконструкция системы водоотведения и очистки сточных вод в Медвежьегорском ГП, Повенецком ГП)</t>
  </si>
  <si>
    <t>4.2</t>
  </si>
  <si>
    <t>4.8.</t>
  </si>
  <si>
    <r>
      <t>Субсидия на реализацию мероприятий федеральной целевой программы "Развитие Республики Карелия на период до 2020 года" (</t>
    </r>
    <r>
      <rPr>
        <b/>
        <sz val="18"/>
        <rFont val="Times New Roman"/>
        <family val="1"/>
        <charset val="204"/>
      </rPr>
      <t>Реконструкция КОС в с. Видлица</t>
    </r>
    <r>
      <rPr>
        <sz val="18"/>
        <rFont val="Times New Roman"/>
        <family val="1"/>
        <charset val="204"/>
      </rPr>
      <t>)</t>
    </r>
  </si>
  <si>
    <t>Строительство КОС в п. Ладва Прионежского муниципального района Республики Карелия</t>
  </si>
  <si>
    <t>Корректировка сметной документации по объекту «IV – ая очередь газопроводов низкого давления в Октябрьском микрорайоне г. Петрозаводска. 1-й пусковой комплекс»</t>
  </si>
  <si>
    <t>Корректировка сметной документации по объекту «Газораспределительная сеть для газоснабжения жилого района «Зарека» г. Петрозаводска 3 очередь»</t>
  </si>
  <si>
    <t>Корректировка сметной документации по объекту «Газораспределительная сеть для газоснабжения жилого района «Зарека» г. Петрозаводска 4 очередь»</t>
  </si>
  <si>
    <t>Разработка проектно-сметной документации на строительство газопровода распределительного (уличная сеть) по п. Салми, д. Ряймяля Салминского сельского поселения Питкярантского муниципального района</t>
  </si>
  <si>
    <t>51</t>
  </si>
  <si>
    <t>%  исполнения     (к ЛБО)</t>
  </si>
  <si>
    <t>Строительство газопровода распределительного (уличная сеть) по д. Юргелица,  д. Онькулица,  д. Мегрега Олонецкого национального муниципального района</t>
  </si>
  <si>
    <t>24.1</t>
  </si>
  <si>
    <t>24.2</t>
  </si>
  <si>
    <t>24.3</t>
  </si>
  <si>
    <t>24.4</t>
  </si>
  <si>
    <t>Реализация мероприятий в рамках ФЦП "Развитие Республики Карелия на период до 2020г"  - 35 объектов ФЦП</t>
  </si>
  <si>
    <r>
      <t>Субсидия на реализацию мероприятий федеральной целевой программы "Развитие Республики Карелия на период до 2020 года" (</t>
    </r>
    <r>
      <rPr>
        <b/>
        <sz val="18"/>
        <rFont val="Times New Roman"/>
        <family val="1"/>
        <charset val="204"/>
      </rPr>
      <t>Реконструкция КОС п.Заозерный</t>
    </r>
    <r>
      <rPr>
        <sz val="18"/>
        <rFont val="Times New Roman"/>
        <family val="1"/>
        <charset val="204"/>
      </rPr>
      <t>)</t>
    </r>
  </si>
  <si>
    <t>4.9.</t>
  </si>
  <si>
    <t>Лоухский муниципальный район</t>
  </si>
  <si>
    <t>4.10.</t>
  </si>
  <si>
    <r>
      <t>Субсидия на реализацию мероприятий федеральной целевой программы "Развитие Республики Карелия на период до 2020 года" (</t>
    </r>
    <r>
      <rPr>
        <b/>
        <sz val="18"/>
        <rFont val="Times New Roman"/>
        <family val="1"/>
        <charset val="204"/>
      </rPr>
      <t>Реконструкция КОС в пгт.Чупа</t>
    </r>
    <r>
      <rPr>
        <sz val="18"/>
        <rFont val="Times New Roman"/>
        <family val="1"/>
        <charset val="204"/>
      </rPr>
      <t>)</t>
    </r>
  </si>
  <si>
    <t>Реконструкция зданий пожарных депо(резерв)</t>
  </si>
  <si>
    <t>Строительство газопровода распределительного (уличная сеть) по пос. Ряймяля Салминского  сельского поселения Питкярантского национального муниципального района</t>
  </si>
  <si>
    <t>Строительство газопровода распределительного (уличная сеть) по дер. Татчелица, дер. Путилица, дер. Тахтасово, дер. Иммалицы, дер. Рыпушкалицы, дер. Капшойла Олонецкого городского поселения  Олонецкого национального муниципального района</t>
  </si>
  <si>
    <t>Строительство газопровода распределительного (уличная сеть) по дер. Гошкила, дер. Торосозеро, дер. Коткозеро Коткозерского сельского поселения Олонецкого национального муниципального района</t>
  </si>
  <si>
    <t>Строительство газопровода распределительного (уличная сеть) по г. Питкяранта, д. Кортнойя, д. Ууксу Питкярантского городского поселения Питкярантского  муниципального района</t>
  </si>
  <si>
    <t>Строительство газопровода распределительного (уличная сеть) по дер. Верхняя Видлица, дер. Гавриловка, с. Видлица, пос. Устье Видлицы Видлицкого сельского поселения Олонецкого национального муниципального района</t>
  </si>
  <si>
    <t>Строительство детского сада на 200 мест в п.Ильинский Олонецкого района</t>
  </si>
  <si>
    <t>Строительство и рекконструкция объектов инфраструктуры образования (резерв)</t>
  </si>
  <si>
    <t>24.6.</t>
  </si>
  <si>
    <t>24.7.</t>
  </si>
  <si>
    <t>24.8.</t>
  </si>
  <si>
    <t>24.9.</t>
  </si>
  <si>
    <t>24.10.</t>
  </si>
  <si>
    <t>24.12.</t>
  </si>
  <si>
    <t>24.11.</t>
  </si>
  <si>
    <t>24.13.</t>
  </si>
  <si>
    <t>24.14.</t>
  </si>
  <si>
    <t>24.15.</t>
  </si>
  <si>
    <t>24.17.</t>
  </si>
  <si>
    <t>24.18.</t>
  </si>
  <si>
    <t>24.20.</t>
  </si>
  <si>
    <t>24.21.</t>
  </si>
  <si>
    <t>24.22.</t>
  </si>
  <si>
    <t>на 28 декабря 2018 года</t>
  </si>
  <si>
    <t>Строительство и рекконструкция объектов инфраструктуры культуры (резерв)</t>
  </si>
  <si>
    <t>Строительство и рекконструкция объектов инфраструктуры спорта (резерв)</t>
  </si>
  <si>
    <t xml:space="preserve">
Реконструкция участка автомобильной дороги Олонец - Вяртсиля, км 96- км 118 (24 км) 1 этап)</t>
  </si>
  <si>
    <t>Т.В.Коновалова</t>
  </si>
  <si>
    <t xml:space="preserve">Объем капитальных вложений на 2019 год             </t>
  </si>
  <si>
    <t>Кемский муниципальный район</t>
  </si>
  <si>
    <t>Строительство газопровода распределительного (уличная сеть) по г. Питкяранта, д. Коринойя, д. Ууксу Питкярантского городского поселения Питкярантского  муниципального района</t>
  </si>
  <si>
    <t>Строительство  мостового перехода через р. Кис-Кис на км 194+400 автомобильной дороги Кемь – Лонка через Калевала</t>
  </si>
  <si>
    <t>Реконструкция ул. Куйбышева от пр. Ленина до наб. Варкауса в г. Петрозаводске</t>
  </si>
  <si>
    <t>Реконструкция мостового сооружения через р. Неглинка по ул. Кирова в г. Петрозаводске</t>
  </si>
  <si>
    <t>Строительство  мостового перехода через р. Семча на км 132+910 автомобильной дороги Суоярви – Юстозеро – (через Поросозеро)–Медвежьегорск</t>
  </si>
  <si>
    <t>Строительство  мостового перехода через р.Тереонкоски на км 105+250 автомобильной дороги Суоярви – Юстозеро – (через Поросозеро)–Медвежьегорск</t>
  </si>
  <si>
    <t>Строительство  мостового перехода через р. Журавлева на км 127+470 автомобильной дороги Суоярви – Юстозеро – (через Поросозеро)–Медвежьегорск</t>
  </si>
  <si>
    <t>Строительство объекта "Автомобильная дорога "Подъезд к объекту  "Горнолыжный центр "Чална"</t>
  </si>
  <si>
    <t>52</t>
  </si>
  <si>
    <t>53</t>
  </si>
  <si>
    <t>54</t>
  </si>
  <si>
    <t>55</t>
  </si>
  <si>
    <t>56</t>
  </si>
  <si>
    <t>57</t>
  </si>
  <si>
    <t>58</t>
  </si>
  <si>
    <t>62</t>
  </si>
  <si>
    <t>63</t>
  </si>
  <si>
    <t>64</t>
  </si>
  <si>
    <t>65</t>
  </si>
  <si>
    <t>66</t>
  </si>
  <si>
    <t>69</t>
  </si>
  <si>
    <t>Строительство дома-интерната для престарелых граждан и инвалидов на территории Костомукшского городского округа (на 200 мест) - разработка проектно-сметной документации</t>
  </si>
  <si>
    <t>Реконструкция здания бюджетного учреждения Республики Карелия «Национальный музей Республики Карелия» - разработка проектно-сметной документации</t>
  </si>
  <si>
    <t>Строительство регионального центра по спортивной гимнастике в г. Петрозаводске (II этап) - разработка проектно-сметной документации</t>
  </si>
  <si>
    <t>Строительство здания пожарного депо государственного казенного учреждения «Отряд противопожарной службы по Медвежьегорскому району»  - разработка проектно-сметной документации</t>
  </si>
  <si>
    <t>Строительство в г. Петрозаводске отделения судебно-медицинской экспертизы -разработка проектно-сметной документации</t>
  </si>
  <si>
    <t>Строительство блоков "А" и "Б" межрайонной больницы на 300 коек с поликлиникой на 800 посещений в районе Древлянка, г.Петрозаводск -разработка проектно-сметной документации</t>
  </si>
  <si>
    <t>Строительство открытой конькобежной дорожки с искусственным льдом в городе Сортавале - разработка проектно-сметной документации</t>
  </si>
  <si>
    <t>Строительство объектов на территории гражданского сектора аэропорта «Петрозаводск» (Бесовец) - разработка проектно-сметной документации</t>
  </si>
  <si>
    <t>Реконструкция здания для размещения судебных участков города Петрозаводска и Прионежского района по адресу: г.Петрозаводск, набережная  Гюллинга, д.13   - разработка проектно-сметной документации</t>
  </si>
  <si>
    <t>Разработка проектно-сметной документации на реконструкцию Музея Карельского фронта (г.Беломорск)  - разработка проектно-сметной документации</t>
  </si>
  <si>
    <t>Республиканский онкологический диспансер Республики Карелия (строительство)  - разработка проектно-сметной документации</t>
  </si>
  <si>
    <t xml:space="preserve">Строительство газопровода распределительного (уличная сеть) по д. Куйтежа, пос. Речная Сельга Куйтежского сельского поселения Олонецкого национального муниципального района -разработка проектно-сметной документации </t>
  </si>
  <si>
    <t xml:space="preserve">Строительство газопровода распределительного (уличная сеть) по  Михайловскому сельскому поселению Олонецкого национального муниципального района -разработка проектно-сметной документации </t>
  </si>
  <si>
    <t xml:space="preserve">Строительство газопровода распределительного (уличная сеть) по Ильинскому сельскому поселению Олонецкого национального муниципального района -разработка проектно-сметной документации </t>
  </si>
  <si>
    <t xml:space="preserve">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 (строительство) -разработка проектно-сметной документации </t>
  </si>
  <si>
    <t xml:space="preserve">Корректировка сметной документации по объекту «IV – ая очередь газопроводов низкого давления в Октябрьском микрорайоне г. Петрозаводска. 1-й пусковой комплекс» -разработка проектно-сметной документации </t>
  </si>
  <si>
    <t xml:space="preserve">Внешнее электроснабжение 6 кВ туристко-гостиничного комплекса "Белые мосты" от ПС-6 пос. Леппясилта -разработка проектно-сметной документации </t>
  </si>
  <si>
    <t xml:space="preserve">Строительство линии электропередач 6 кВ на участке "г. Сортавала - пос. Рантуэ"-разработка проектно-сметной документации </t>
  </si>
  <si>
    <t xml:space="preserve">Инфраструктурное обеспечение промплощадки на территории Петрозаводского гор. округа  </t>
  </si>
  <si>
    <t xml:space="preserve">Реализация мероприятий в рамках федеральной целевой программы  "Развитие внутреннего и въездного туризма Российской Федерации (2019-2025 годы) </t>
  </si>
  <si>
    <t>Исп. Маркова В.Б 416488</t>
  </si>
  <si>
    <t xml:space="preserve">Корректировка сметной документации по объекту «Газораспределительная сеть для газоснабжения жилого района «Зарека» г. Петрозаводска 4 очередь»-разработка проектно-сметной документации </t>
  </si>
  <si>
    <t xml:space="preserve">Строительство газовой котельной в с.Спасская Губа Кондопожского муниципального района </t>
  </si>
  <si>
    <t>Строительство газопровода распределительного (уличная сеть) по с. Спасская Губа Кондопожского муниципального района (1 и 3 очереди)</t>
  </si>
  <si>
    <t xml:space="preserve">Строительство водопроводных очистных сооружений в г. Кеми - разработка проектно-сметной документации </t>
  </si>
  <si>
    <t xml:space="preserve">Строительство водопроводных очистных сооружений г. Пудож - разработка проектно-сметной документации </t>
  </si>
  <si>
    <t xml:space="preserve">Строительство канализационных очистных сооружений хозяйственно-бытовых сточных вод г. Медвежьегорска мощностью 4000 м3/сутки - разработка проектно-сметной документации </t>
  </si>
  <si>
    <t xml:space="preserve">Реконструкция котельной в пос. Кварцитный Прионежского района Республики Карелия (кадастровый № 10:22:0010301:99) на 3МВт с заменой оборудования и ликвидацией мазутного хозяйства - разработка проектно-сметной документации </t>
  </si>
  <si>
    <t xml:space="preserve">Реконструкция  котельной в пос. Деревянка Прионежского района Республики Карелия (кадастровый № 10:20:0000000:4317) на 3МВт с заменой оборудования и увеличения мощности- разработка проектно-сметной документации </t>
  </si>
  <si>
    <t xml:space="preserve">Реконструкция котельной в пос. Деревянное Прионежского района Республики Карелия (кадастровый № 10:20:0000000:5011) на 1,5МВт с заменой оборудования - разработка проектно-сметной документации </t>
  </si>
  <si>
    <t xml:space="preserve">Проектирование первого этапа строительства мусоросортировочного комплекса мощностью до 150000 тонн ТКО в год с объектом размещения в Кондопожском муниципальном районе - разработка проектно-сметной документации </t>
  </si>
  <si>
    <t>Реконструкция участка автомобильной дороги Олонец - Вяртсиля, км 96- км 118 (24 км) 1 этап)</t>
  </si>
  <si>
    <t xml:space="preserve">Реализация мероприятий в рамках ФЦП "Развитие Республики Карелия на период до 2020г." </t>
  </si>
  <si>
    <t>Субсидии местным бюджетам на реализацию мероприятий государственной программы Республики Карелия «Развитие транспортной системы» на проектирование автомобильных дорог общего пользования местного значения</t>
  </si>
  <si>
    <t>на 31 января 2019 года</t>
  </si>
  <si>
    <t>Мероприятия по строительству и реконструкции (модернизации) объектов питьевого водоснабжения</t>
  </si>
  <si>
    <t>Строительство здания общеобразовательной организации в г.Кеми  мощностью 1200 мест -проектные работы</t>
  </si>
  <si>
    <t>Реконструкция канализационных очистных сооружений в Повенецком городском поселении Медвежьегорского муниципального района мощностью 400 м3/сутки -проектные работы</t>
  </si>
  <si>
    <t>Строительство водопроводных очистных сооружений,  г.Сегежа  -проектные работы</t>
  </si>
  <si>
    <t>Перевод на природный газ 7-ми квартирных домов, расположенных  в г.Олонце (ул.Карла Маркса, д.10;  ул.Ленина, д.23, д.25; ул.Речная, д.7а; ул.Свирских девизий, д.3; ул.Урицкого, д.32)</t>
  </si>
  <si>
    <t>Реконструкция стадиона муниципального казенного общеобразовательного учреждения Сортавальского муниципального района Республики Карелия Средняя общеобразовательная школа № 3, г. Сортавала, Выборское шоссе, д. 3</t>
  </si>
  <si>
    <t>Реконструкция КОС п.Заозерный</t>
  </si>
  <si>
    <t>Реконструкция стадиона МКОУ "Гимназия", г. Костомукша</t>
  </si>
  <si>
    <t>Реконструкция здания спортивного комплекса по ул. Советская, 15 в пос. Боровой Калевальского района Республики Карелия (для ДЮСШ)</t>
  </si>
  <si>
    <t>Реконструкция причальной стенки в пос. Новостеклянное Шальского сельского поселения, Пудожский муниципальный район</t>
  </si>
  <si>
    <t>Реконструкция здания МБУ "Сегежская централизованная библиотечная система", г.Сегежа, ул.Мира, д.16</t>
  </si>
  <si>
    <t>Реконструкция стадиона в г.Сегежа</t>
  </si>
  <si>
    <t>Реконструкция КОС в пгт.Чупа</t>
  </si>
  <si>
    <t>7</t>
  </si>
  <si>
    <t>9</t>
  </si>
  <si>
    <t>8</t>
  </si>
  <si>
    <t>10</t>
  </si>
  <si>
    <t>Реконструкция КОС в с. Видлица</t>
  </si>
  <si>
    <t>Реконструкция легкоатлетического ядра стадиона в г.Олонец</t>
  </si>
  <si>
    <t xml:space="preserve">Реконструкция посадочной площадки пос.Хелюля в г.Сортавала </t>
  </si>
  <si>
    <t>Реконструкция посадочной площадки г. Костомукша</t>
  </si>
  <si>
    <t>Строительство водоводов и водоотведения в пгт Пряжа (обеспечение необходимой инфраструктуры земельных участков для семей, имеющих 3 и более детей)</t>
  </si>
  <si>
    <t>Реконструкция здания  бюджетного учреждения "Национальный музей Республики Карелия " (3 и 4 этапы)</t>
  </si>
  <si>
    <t>Реконструкция здания, расположенного по адресу: г. Беломорск, ул. Банковская, д.26,  для создания Музея  Карельского фронта</t>
  </si>
  <si>
    <t>Реконструкция терапевтического корпуса Республиканской больницы,надстройка приемного отделения для размещения помещений ангиографического отделения</t>
  </si>
  <si>
    <t>Реконструкция здания стационара  ГБУЗ "Больница скорой медицинской помощи" по ул.Кирова, д.40 -1 этап пристройка Приемного отделения</t>
  </si>
  <si>
    <t>Строительство блоков "А" и "Б" межрайонной больницы с поликлиникой в районе Древлянка г.Петрозаводска</t>
  </si>
  <si>
    <t>Строительство психоневрологического интерната  на 450 мест в г.Суоярви</t>
  </si>
  <si>
    <t>Строительство психоневрологического интерната  на 450 мест в г.Суоярви - разработка проектно-сметной документации</t>
  </si>
  <si>
    <t xml:space="preserve">Корректировка сметной документации по объекту «IV – ая очередь газопроводов низкого давления в Октябрьском микрорайоне г. Петрозаводска. 1-й пусковой комплекс» </t>
  </si>
  <si>
    <t>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 (строительство)</t>
  </si>
  <si>
    <t>Строительство газопровода распределительного (уличная сеть) по Ильинскому сельскому поселению Олонецкого национального муниципального района</t>
  </si>
  <si>
    <t>Строительство газопровода распределительного (уличная сеть) по  Михайловскому сельскому поселению Олонецкого национального муниципального района</t>
  </si>
  <si>
    <t>Строительство газопровода распределительного (уличная сеть) по д. Куйтежа, пос. Речная Сельга Куйтежского сельского поселения Олонецкого национального муниципального района</t>
  </si>
  <si>
    <t>Строительство подъездной автомобильной дороги к заводу по переработке трески, пикши и иных видов рыб в г.Кондопога, км 0- км 0+600</t>
  </si>
  <si>
    <t xml:space="preserve">Реконструкция здания для размещения судебных участков города Петрозаводска и Прионежского района по адресу: г.Петрозаводск, набережная  Гюллинга, д.13 </t>
  </si>
  <si>
    <t>Реконструкция  здания комплексных очистных очистных сооружений в пгт Пяозерский (1 этап). Реконструкция системы очистки КОС, нанализационных насосоных станций и замену оборудования в пгт Пяозерский (2-этап)</t>
  </si>
  <si>
    <t>Беломорский муниципальный район</t>
  </si>
  <si>
    <t>Реконструкция водоочистных сооружений, расположенных на ул. Пушкинская и ул. Щуркина города Беломорска Республики Карелия</t>
  </si>
  <si>
    <t>Строительство водопроводных очистных сооружений в г. Суоярви</t>
  </si>
  <si>
    <t>Калевальский муниципальный район</t>
  </si>
  <si>
    <t>Реконструкция водоочистных сооружений в пгт Калевала</t>
  </si>
  <si>
    <t>Реконструкция водозабора в пос. Матросы</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</si>
  <si>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г. Кондопога</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</si>
  <si>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Совхозное шоссе в г. Сортавала</t>
  </si>
  <si>
    <t>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посление п.Хаапалампи, кадастровый номер квартала 10:07:006220</t>
  </si>
  <si>
    <t xml:space="preserve">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посление п.Хаапалампи, кадастровый номер квартала 10:07:0062205 </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</si>
  <si>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микрорайоне Лахденкюля в г. Сортавала кадастровый номер квартала 10:07:0042811</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</si>
  <si>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по переулку Фанерному в г. Сортавала кадастровый номер квартала 10:07:00100318 и 10:07:0010319</t>
  </si>
  <si>
    <t xml:space="preserve">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в границах улиц Санаторная-Крупская-Куйбышева и р.Кумса в г.Медвежьегорска»; кадастровый номер земельного участка 10:13:0011003:2 </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</si>
  <si>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по адресу: Медвежьегорский муниципальный район, Медвежьегорское городское поселение, г.Медвежьегорск, ул.Первомайская, кадастровый номер квартала 10:13:0011034</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</si>
  <si>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улиц Лесокультурная –Гоголя–8 Марта в г. Сегежа</t>
  </si>
  <si>
    <t>Костомукшский городской район</t>
  </si>
  <si>
    <t xml:space="preserve">Магистраль общегородского значения в т.т. 35-11а (корректировка проектно-сметной документации по строительству объектов транспортной и инженерной инфраструктуры, обеспечивающей земельные участки, предоставленные для индивидуального жилищного строительства, в том числе многодетным семьям)  </t>
  </si>
  <si>
    <t xml:space="preserve">Магистраль общегородского значения (т.28-т.32) (корректировка проектно-сметной документации по строительству объектов транспортной и инженерной инфраструктуры, обеспечивающей земельные участки, предоставленные для индивидуального жилищного строительства, в том числе многодетным семьям)  </t>
  </si>
  <si>
    <t xml:space="preserve">Продолжение магистрали общегородского значения (корректировка проектно-сметной документации по строительству объектов транспортной и инженерной инфраструктуры, обеспечивающей земельные участки, предоставленные для индивидуального жилищного строительства, в том числе многодетным семьям)  </t>
  </si>
  <si>
    <t>Строительство здания общеобразовательной организации в пос.Деревянка Прионежского муниципального района</t>
  </si>
  <si>
    <t>Питкярантский  муниципальный район</t>
  </si>
  <si>
    <t>Строительство здания общеобразовательной организации в пос.Салми Питкярантского муниципального района</t>
  </si>
  <si>
    <t>Детский сад в п. Ляскеля Питкярантского муниципального района Республики  Карелия  (строительство)</t>
  </si>
  <si>
    <t>59</t>
  </si>
  <si>
    <t>60</t>
  </si>
  <si>
    <t>67</t>
  </si>
  <si>
    <t>68</t>
  </si>
  <si>
    <t>70</t>
  </si>
  <si>
    <t>71</t>
  </si>
  <si>
    <t>72</t>
  </si>
  <si>
    <t>73</t>
  </si>
  <si>
    <t>74</t>
  </si>
  <si>
    <t>75</t>
  </si>
  <si>
    <t>76</t>
  </si>
  <si>
    <t>82</t>
  </si>
  <si>
    <t>83</t>
  </si>
  <si>
    <t>84</t>
  </si>
  <si>
    <t>85</t>
  </si>
  <si>
    <t>86</t>
  </si>
  <si>
    <t>87</t>
  </si>
  <si>
    <t>88</t>
  </si>
  <si>
    <t>89</t>
  </si>
  <si>
    <t>90</t>
  </si>
  <si>
    <t>97</t>
  </si>
  <si>
    <t>98</t>
  </si>
  <si>
    <t>99</t>
  </si>
  <si>
    <t>100</t>
  </si>
  <si>
    <t>101</t>
  </si>
  <si>
    <t>102</t>
  </si>
  <si>
    <t>103</t>
  </si>
  <si>
    <t>104</t>
  </si>
  <si>
    <t>105</t>
  </si>
  <si>
    <t>106</t>
  </si>
  <si>
    <t>81</t>
  </si>
  <si>
    <t xml:space="preserve">Реконструкция автовокзала г. Петрозаводска </t>
  </si>
  <si>
    <t>107</t>
  </si>
  <si>
    <t>Реконструкция автовокзала п.Пряжа</t>
  </si>
  <si>
    <t>Реконструкция автовокзала г.Пудож</t>
  </si>
  <si>
    <t>Реконструкция автовокзала г. Петрозаводска  (разработка проектной документации)</t>
  </si>
  <si>
    <t>Реконструкция посадочной площадки г. Костомукша (разработка проектной документации)</t>
  </si>
  <si>
    <t>Реконструкция посадочной площадки пос.Хелюля в г.Сортавала   (разработка проектной документации)</t>
  </si>
  <si>
    <t>Строительство здания общеобразовательной организации в г.Петрозаводске  микрорайоне "Древлянка-6" жилого района "Древлянка-II" мощностью 1350 мест -проектные работы</t>
  </si>
  <si>
    <t>Строительство здания общеобразовательной организации в г.Кеми  мощностью 1200 мест (после выполнения проектных работ)</t>
  </si>
  <si>
    <t>Строительство здания общеобразовательной организации в г.Петрозаводске  микрорайоне "Древлянка-6" жилого района "Древлянка-II" мощностью 1350 мест  (после выполнения проектных работ)</t>
  </si>
  <si>
    <t xml:space="preserve">Строительство линии электропередачи от ПС-20 для обеспечения электроснабжения деревобрабатывающего производства, г. Кондопога -разработка проектно-сметной документации </t>
  </si>
  <si>
    <t>Газораспределительная сеть для газоснабжения жилого района «Зарека» г. Петрозаводска 3 очередь</t>
  </si>
  <si>
    <t>Газораспределительная сеть для газоснабжения жилого района «Зарека» г. Петрозаводска 4 очередь</t>
  </si>
  <si>
    <t xml:space="preserve">Строительство здания детского сада по Ключевскому шоссе в районе пересечения с ул.Репникова в городе Петрозаводске </t>
  </si>
  <si>
    <t>Мероприятия по разработке проектно-сметной документации, в том числе:</t>
  </si>
  <si>
    <t xml:space="preserve">по объектам ФЦП "Развитие Республики Карелия на период до 2020г" </t>
  </si>
  <si>
    <t>по  объектам государственной собственности, за исключением ФЦП</t>
  </si>
  <si>
    <t>Реализация мероприятий в рамках ФЦП "Развитие Республики Карелия на период до 2020г." (без учета разработки проектно-сметной документации)</t>
  </si>
  <si>
    <t>61</t>
  </si>
  <si>
    <t>77</t>
  </si>
  <si>
    <t>2020 год</t>
  </si>
  <si>
    <t>%</t>
  </si>
  <si>
    <t>отклонения</t>
  </si>
  <si>
    <t>Соглашения 2019 год</t>
  </si>
  <si>
    <t>на  90420</t>
  </si>
  <si>
    <t>не хватает</t>
  </si>
  <si>
    <t>СБР 2019 год</t>
  </si>
  <si>
    <t>Соглашения 2020 год</t>
  </si>
  <si>
    <t>лбо</t>
  </si>
  <si>
    <t>Реализация мероприятий по расселению граждан из непригодного для  проживания жилищного фонда, обеспечивающих соблюдение их жилищных прав, установленных законодательством Российской Федерации</t>
  </si>
  <si>
    <t>Строительство очистных сооружений и отвода очищенных канализационных стоков для завода большой мощности по переработке трески, пикши и иных видов рыб</t>
  </si>
  <si>
    <t>Инфраструктурное обеспечение промплощадки на территории Петрозаводского гор. округа  Республики Карелия</t>
  </si>
  <si>
    <t xml:space="preserve">Строительство распределительных сетей газопровода (уличная сеть) по микрорайону Сюрьга Кондопожского городского поселения  -разработка проектно-сметной документации </t>
  </si>
  <si>
    <t xml:space="preserve">Строительство распределительных сетей газопровода (уличная сеть) по микрорайону Древлянка-4 Петрозаводского городского округа -разработка проектно-сметной документации </t>
  </si>
  <si>
    <t>Строительство и реконструкция объектов водоснабжения и водоотведения, газоснабжения (нераспределенный остаток)</t>
  </si>
  <si>
    <t>Строительство и приобретение объектов инфраструктуры образования (нераспределенный остаток)</t>
  </si>
  <si>
    <t>Строительство и приобретение объектов инфраструктуры культуры (нераспределенный остаток)</t>
  </si>
  <si>
    <t>Строительство и приобретение объектов инфраструктуры здравоохранения (нераспределенный остаток)</t>
  </si>
  <si>
    <t>Реконструкция центрального республиканского стадиона «Спартак»  - разработка проектно-сметной документации</t>
  </si>
  <si>
    <t>Реконструкция тира полуоткрытого типа Республиканского спортивного комплекса «Курган»  - разработка проектно-сметной документации</t>
  </si>
  <si>
    <t>Строительство конькобежной дорожки в г. Петрозаводске  - разработка проектно-сметной документации</t>
  </si>
  <si>
    <t>Строительство фельдшерско-акушерского пункта в пос. Кааламо Сортавальского муниципального района с квартирой для врача   - разработка проектно-сметной документации</t>
  </si>
  <si>
    <t>Строительство инженерной и транспортной инфраструктуры на территории земельного участка в д. Виданы Чалнинского сельского поселения Пряжинского национального муниципального района Республики Карелия под индивидуальное жилищное строительство экономического класса, кадастровый номер земельного участка 10:21:0033304:42   - разработка проектно-сметной документации</t>
  </si>
  <si>
    <t>Строительство распределительных сетей газопровода (уличная сеть) по микрорайону Кукковка-III, ТИЗ «Усадьбы»  - разработка проектно-сметной документации</t>
  </si>
  <si>
    <t>Строительство распределительных сетей газопровода (уличная сеть) по микрорайону Соломенное Петрозаводского городского округа  - разработка проектно-сметной документации</t>
  </si>
  <si>
    <t>Вынос сети газопровода распределительного (уличная сеть) за пределы земельного участка с кадастровым номером:  10:14:0080202:20, Республика Карелия, Олонецкий район, деревня Юргелица  - разработка проектно-сметной документации</t>
  </si>
  <si>
    <t>Реконструкция здания по адресу г. Петрозаводск, ул. Кирова, д. 12 (в котором осуществляют свою деятельность БУ «Театр драмы Республики Карелия», БУ «Карельская государственная филармония»)  - разработка проектно-сметной документации</t>
  </si>
  <si>
    <t>Реконструкция зданий ГБУЗ РК «Республиканская психиатрическая больница» в пос. Матросы Пряжинского национального муниципального района  - разработка проектно-сметной документации</t>
  </si>
  <si>
    <t>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 разработка проектно-сметной документации</t>
  </si>
  <si>
    <t>Строительство плавательного бассейна в г. Медвежьегорске  - разработка проектно-сметной документации</t>
  </si>
  <si>
    <t>ЛБО ВСЕГО</t>
  </si>
  <si>
    <t>ЛБО ФЕД.</t>
  </si>
  <si>
    <t>ЛБО РК</t>
  </si>
  <si>
    <t>вода (нераспределено по объектам)</t>
  </si>
  <si>
    <t>78</t>
  </si>
  <si>
    <t>79</t>
  </si>
  <si>
    <t>80</t>
  </si>
  <si>
    <t>92</t>
  </si>
  <si>
    <t>111</t>
  </si>
  <si>
    <t>112</t>
  </si>
  <si>
    <t>113</t>
  </si>
  <si>
    <t>(2)</t>
  </si>
  <si>
    <t>(4)</t>
  </si>
  <si>
    <t>95</t>
  </si>
  <si>
    <t>96</t>
  </si>
  <si>
    <t>109</t>
  </si>
  <si>
    <t>110</t>
  </si>
  <si>
    <t xml:space="preserve">«IV – ая очередь газопроводов низкого давления в Октябрьском микрорайоне г. Петрозаводска. 1-й пусковой комплекс» -разработка проектно-сметной документации </t>
  </si>
  <si>
    <t xml:space="preserve">«Газораспределительная сеть для газоснабжения жилого района «Зарека» г. Петрозаводска 4 очередь»-разработка проектно-сметной документации </t>
  </si>
  <si>
    <t xml:space="preserve">«IV – ая очередь газопроводов низкого давления в Октябрьском микрорайоне г. Петрозаводска. 1-й пусковой комплекс» </t>
  </si>
  <si>
    <t xml:space="preserve">«Газораспределительная сеть для газоснабжения жилого района «Зарека» г. Петрозаводска 3 очередь»-разработка проектно-сметной документации </t>
  </si>
  <si>
    <t>93</t>
  </si>
  <si>
    <t>94</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</si>
  <si>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в том числе реализация мероприятий по расселению граждан из непригодного для  проживания жилищного фонда, обеспечивающих соблюдение их жилищных прав, установленных законодательством Российской Федерации</t>
  </si>
  <si>
    <t>Строительство  мостового перехода через р.Тереонкоски на км 102+250 автомобильной дороги Суоярви – Юстозеро – (через Поросозеро)–Медвежьегорск</t>
  </si>
  <si>
    <t>Реконструкция стадиона муниципального казенного общеобразовательного учреждения Сортавальского муниципального района Республики Карелия Средняя общеобразовательная школа № 3, г. Сортавала, Выборгское шоссе, д. 3</t>
  </si>
  <si>
    <t xml:space="preserve">Строительство линии электропередачи от ПС-20 для обеспечения электроснабжения деревообрабатывающего производства, г. Кондопога -разработка проектно-сметной документации </t>
  </si>
  <si>
    <t>Реконструкция автовокзала г. Петрозаводск и опорной сети автостанций РК (нераспределенный резерв)</t>
  </si>
  <si>
    <t>Строительство модульной котельной  мощностью 17 МВт в г.Беломорске  - разработка проектно-сметной документации</t>
  </si>
  <si>
    <t>Строительство модульной котельной  мощностью 8,5 МВт в г.Беломорске - разработка проектно-сметной документации</t>
  </si>
  <si>
    <t>Строительство модульной котельной  мощностью 8,0 МВт в пгт Пиндуши Медвежьегорского муниципального района - разработка проектно-сметной документации</t>
  </si>
  <si>
    <t>Строительство модульной котельной  мощностью 13,0 МВт в пгт Лоухи Лоухского муниципального района - разработка проектно-сметной документации</t>
  </si>
  <si>
    <t>Строительство модульной котельной  мощностью 30,0 МВт в пгт Надвоицы Сегежского муниципального  района - разработка проектно-сметной документации</t>
  </si>
  <si>
    <t>Строительство модульной котельной  мощностью 13,0 МВт в г.Кеми - разработка проектно-сметной документации</t>
  </si>
  <si>
    <t>Строительство модульной котельной  мощностью 3,0 МВт в пос. Боровой Калевальского национального муниципального района - разработка проектно-сметной документации</t>
  </si>
  <si>
    <t>Строительство модульной котельной  мощностью 3,5 МВт в пос. Боровой Калевальского национального муниципального района - разработка проектно-сметной документации</t>
  </si>
  <si>
    <t>Строительство модульной котельной  мощностью 0,5 МВт в пгт Калевала  - разработка проектно-сметной документации</t>
  </si>
  <si>
    <t>Строительство модульной котельной  мощностью 8,0 МВт в г.Пудоже - разработка проектно-сметной документации</t>
  </si>
  <si>
    <t>Строительство модульной котельной  мощностью 17,0  МВт в г.Пудоже - разработка проектно-сметной документации</t>
  </si>
  <si>
    <t>Строительство модульной котельной  мощностью 3,5  МВт в г.Пудоже - разработка проектно-сметной документации</t>
  </si>
  <si>
    <t>Строительство модульной котельной  мощностью 13,0  МВт в г.Суоярви - разработка проектно-сметной документации</t>
  </si>
  <si>
    <t>91</t>
  </si>
  <si>
    <t>121</t>
  </si>
  <si>
    <t>122</t>
  </si>
  <si>
    <t>123</t>
  </si>
  <si>
    <t>124</t>
  </si>
  <si>
    <t>125</t>
  </si>
  <si>
    <t>116</t>
  </si>
  <si>
    <t xml:space="preserve">Корректировка, разработка проектно-сметной документации по строительству объектов транспортной и инженерной инфраструктуры, обеспечивающей земельные участки, предоставленные для индивидуального жилищного строительства, в том числе многодетным семьям,   на территории Костомукшского городского округа </t>
  </si>
  <si>
    <t>форма 16А</t>
  </si>
  <si>
    <t>Мероприятия по государственной поддержке отрасли культуры (строительство сельского дома культуры в дер. Мегрега Олонецкого национального муниципального района)</t>
  </si>
  <si>
    <t>Строительство объектов на территории гражданского сектора аэропорта «Петрозаводск» (Бесовец). Реконструкция защитного сооружения гражданской обороны, находящегося в ведении БУ РК «Аэропорт «Петрозаводск»</t>
  </si>
  <si>
    <t>052G552430</t>
  </si>
  <si>
    <t xml:space="preserve"> 05 02</t>
  </si>
  <si>
    <t xml:space="preserve"> 01 05</t>
  </si>
  <si>
    <t xml:space="preserve">01 05 </t>
  </si>
  <si>
    <t>03 10</t>
  </si>
  <si>
    <t>14101R4195</t>
  </si>
  <si>
    <t xml:space="preserve"> 03 10</t>
  </si>
  <si>
    <t xml:space="preserve"> 04 08</t>
  </si>
  <si>
    <t>19-Г29-89281</t>
  </si>
  <si>
    <t>04 08</t>
  </si>
  <si>
    <t>11303R4190</t>
  </si>
  <si>
    <t>19-Г28-52261</t>
  </si>
  <si>
    <t>план оставить в разбивке, факт общий</t>
  </si>
  <si>
    <t>11304R4190</t>
  </si>
  <si>
    <t>19-Г28-52266</t>
  </si>
  <si>
    <t>05 01 (ФБ), 0412 (РК)</t>
  </si>
  <si>
    <t xml:space="preserve"> 0510309502 (ФБ), 3000075010 (РК)</t>
  </si>
  <si>
    <t>414, 412 (ФБ), 414 (РК)</t>
  </si>
  <si>
    <t>O510290400</t>
  </si>
  <si>
    <t>05 102R4194</t>
  </si>
  <si>
    <t>19-954-45864</t>
  </si>
  <si>
    <t>05 02</t>
  </si>
  <si>
    <t>O5203390400</t>
  </si>
  <si>
    <t>O520390400</t>
  </si>
  <si>
    <t>О5203R4197</t>
  </si>
  <si>
    <t>19-954-72022</t>
  </si>
  <si>
    <t>O5203R419П</t>
  </si>
  <si>
    <t>О520590400</t>
  </si>
  <si>
    <t>О520690400</t>
  </si>
  <si>
    <t>О910191010</t>
  </si>
  <si>
    <t>О910191020</t>
  </si>
  <si>
    <t>О9101R4191</t>
  </si>
  <si>
    <t>19-954-19328</t>
  </si>
  <si>
    <t>11303R419Ф</t>
  </si>
  <si>
    <t>19-954-52250</t>
  </si>
  <si>
    <t>18201R4192</t>
  </si>
  <si>
    <t>18201R419G</t>
  </si>
  <si>
    <t>18201R419N</t>
  </si>
  <si>
    <t>18201R419R</t>
  </si>
  <si>
    <t>18201R419S</t>
  </si>
  <si>
    <t>18201R419U</t>
  </si>
  <si>
    <t>18201R419Y</t>
  </si>
  <si>
    <t>18201R419K</t>
  </si>
  <si>
    <t>18201R419Ж</t>
  </si>
  <si>
    <t>18201R419И</t>
  </si>
  <si>
    <t>19-954-70022</t>
  </si>
  <si>
    <t>94*</t>
  </si>
  <si>
    <t>18201R4190</t>
  </si>
  <si>
    <t>95*</t>
  </si>
  <si>
    <t>96*</t>
  </si>
  <si>
    <t>114</t>
  </si>
  <si>
    <t>115</t>
  </si>
  <si>
    <t>126</t>
  </si>
  <si>
    <t>127</t>
  </si>
  <si>
    <t>Комплекс причальных и волнозащитных сооружений на Онежском озере в Деревянской бухте (строительство)</t>
  </si>
  <si>
    <t xml:space="preserve"> 07 01</t>
  </si>
  <si>
    <t>О2203R4190</t>
  </si>
  <si>
    <t>19-Г27-52231</t>
  </si>
  <si>
    <t>07 01</t>
  </si>
  <si>
    <t>О2203R4198</t>
  </si>
  <si>
    <t>O2203R419W</t>
  </si>
  <si>
    <t>07 02</t>
  </si>
  <si>
    <t>О22Е155200</t>
  </si>
  <si>
    <t>08 01</t>
  </si>
  <si>
    <t>О700590400</t>
  </si>
  <si>
    <t>19-Г26-52237</t>
  </si>
  <si>
    <t>О7005К419Я</t>
  </si>
  <si>
    <t>О70А155190</t>
  </si>
  <si>
    <t>19-Е13-00002</t>
  </si>
  <si>
    <t>97*</t>
  </si>
  <si>
    <t>116*</t>
  </si>
  <si>
    <t>09 01</t>
  </si>
  <si>
    <t>О110290400</t>
  </si>
  <si>
    <t>О1102R4196</t>
  </si>
  <si>
    <t>19-Г25-52239</t>
  </si>
  <si>
    <t>О1102R419D</t>
  </si>
  <si>
    <t>О1102R419М</t>
  </si>
  <si>
    <t>Реконструкция терапевтического корпуса республиканской больницы им. Баранова. 1 этап. Надстройка приемного отделения для размещения помещения ангиографического отделения по ул. Пирогова, д.3</t>
  </si>
  <si>
    <t>01102R419Э</t>
  </si>
  <si>
    <t>О120190400</t>
  </si>
  <si>
    <t>09 02</t>
  </si>
  <si>
    <t>О110290460</t>
  </si>
  <si>
    <t>09 09</t>
  </si>
  <si>
    <t>О160290400</t>
  </si>
  <si>
    <t>10 02</t>
  </si>
  <si>
    <t>О330190420</t>
  </si>
  <si>
    <t>О330190460</t>
  </si>
  <si>
    <t>О3301R4190</t>
  </si>
  <si>
    <t>19-Г24-89272</t>
  </si>
  <si>
    <t>11 02</t>
  </si>
  <si>
    <t>О810290400</t>
  </si>
  <si>
    <t>O810290400</t>
  </si>
  <si>
    <t>O8102К419Д</t>
  </si>
  <si>
    <t>19-Г23-52245</t>
  </si>
  <si>
    <t>O81Р554953</t>
  </si>
  <si>
    <t>19-А13-89086</t>
  </si>
  <si>
    <t>05 01</t>
  </si>
  <si>
    <t>О510309502</t>
  </si>
  <si>
    <t xml:space="preserve">05 01 </t>
  </si>
  <si>
    <t>051F309502 (ФБ), 051F309602 (РК)</t>
  </si>
  <si>
    <t>022Е1К5200</t>
  </si>
  <si>
    <t>О510243220</t>
  </si>
  <si>
    <t>О520343220</t>
  </si>
  <si>
    <t>O520343220</t>
  </si>
  <si>
    <t>24344 (по коду района)</t>
  </si>
  <si>
    <t>О220343200</t>
  </si>
  <si>
    <t>24355 ( по коду района)</t>
  </si>
  <si>
    <t>О510143220</t>
  </si>
  <si>
    <t>О5203R419С</t>
  </si>
  <si>
    <t>О8102R419Г</t>
  </si>
  <si>
    <t>24345 (по коду района)</t>
  </si>
  <si>
    <t>О810243230</t>
  </si>
  <si>
    <t>24347 (по коду района)</t>
  </si>
  <si>
    <t>24346  (по коду района)</t>
  </si>
  <si>
    <t>24347(по коду района)</t>
  </si>
  <si>
    <t>О5203R419Q</t>
  </si>
  <si>
    <t>O8102R419Б</t>
  </si>
  <si>
    <t>О8102R419B</t>
  </si>
  <si>
    <t>24312(по коду района)</t>
  </si>
  <si>
    <t>11302R4193</t>
  </si>
  <si>
    <t>19-Г28-89279</t>
  </si>
  <si>
    <t>24344(по коду района)</t>
  </si>
  <si>
    <t>О7005R4199</t>
  </si>
  <si>
    <t>О7005К4190</t>
  </si>
  <si>
    <t>24354 (по коду района)</t>
  </si>
  <si>
    <t>О5102143220</t>
  </si>
  <si>
    <t>23312 (по коду района)</t>
  </si>
  <si>
    <t>24352  (по коду района)</t>
  </si>
  <si>
    <t>24351  (по коду района)</t>
  </si>
  <si>
    <t>24312 (по коду района)</t>
  </si>
  <si>
    <t>24344  (по коду района)</t>
  </si>
  <si>
    <t>О5203R419V</t>
  </si>
  <si>
    <t>O8102R419A</t>
  </si>
  <si>
    <t>О8102R419E</t>
  </si>
  <si>
    <t>04 09</t>
  </si>
  <si>
    <t>Нераспределенный резерв</t>
  </si>
  <si>
    <t>11102R4190</t>
  </si>
  <si>
    <t>11102R419I</t>
  </si>
  <si>
    <t>11102R419J</t>
  </si>
  <si>
    <t>19-Г30-73102</t>
  </si>
  <si>
    <t>1102R419L</t>
  </si>
  <si>
    <t>19-Г30-73142</t>
  </si>
  <si>
    <t>11102R419T</t>
  </si>
  <si>
    <t>11102R419Z</t>
  </si>
  <si>
    <t>19-Г30-73103</t>
  </si>
  <si>
    <t>11102К419H</t>
  </si>
  <si>
    <t>19-Г30-52462</t>
  </si>
  <si>
    <t>11102R419У</t>
  </si>
  <si>
    <t>11102КR419Ц</t>
  </si>
  <si>
    <t>11102R419Ч</t>
  </si>
  <si>
    <t>11102R419Ш</t>
  </si>
  <si>
    <t>11102К419Щ</t>
  </si>
  <si>
    <t>190021R3841</t>
  </si>
  <si>
    <t>19-Д76-89283</t>
  </si>
  <si>
    <t>24340 (по коду района)</t>
  </si>
  <si>
    <t>на  30  мая 2019 года</t>
  </si>
  <si>
    <t>Субсидия местным бюджетам на реализацию мероприятий государственной программы Республики Карелия «Развитие транспортной системы»</t>
  </si>
  <si>
    <t>(14)</t>
  </si>
  <si>
    <t>(5)</t>
  </si>
  <si>
    <t>98*</t>
  </si>
  <si>
    <t>99*</t>
  </si>
  <si>
    <t>117</t>
  </si>
  <si>
    <t>117*</t>
  </si>
  <si>
    <t>128</t>
  </si>
  <si>
    <t>129</t>
  </si>
  <si>
    <t>О7005R419Ю</t>
  </si>
  <si>
    <t>Мероприятия по разработке проектно-сметной документации по  объектам государственной собственности, в том числе:</t>
  </si>
  <si>
    <t>Прочие объекты (за исключением объектов ФЦП, ПСД и мероприятий по переселению аварийного жилищного фонда)</t>
  </si>
  <si>
    <t>ФЦП дороги резерв</t>
  </si>
  <si>
    <t>туризм после АИП</t>
  </si>
  <si>
    <t>Мероприятия по строительству и реконструкции (модернизации) объектов питьевого водоснабжения (объекты не определны)</t>
  </si>
  <si>
    <t>Строительство очистных сооружений раздельной центральной ливневой системы сбора и отведения поверхностного стока на территории г. Петрозаводска (I этап I очереди) -проектные работы</t>
  </si>
  <si>
    <t>Строительство здания общеобразовательной организации в пос.Деревянка Прионежского муниципального района - проектные работы</t>
  </si>
  <si>
    <t>Реконструкция канализационных очистных сооружений в п. Шуя Прионежского муниципального района - проектные работы</t>
  </si>
  <si>
    <t>Строительство здания общеобразовательной организации в пос.Салми Питкярантского муниципального района  - проектные работы</t>
  </si>
  <si>
    <t>Детский сад в п. Ляскеля Питкярантского муниципального района Республики  Карелия  (строительство) -  проектные работы</t>
  </si>
  <si>
    <t>Реконструкция канализационных очистных сооружений в Повенецком городском поселении Медвежьегорского муниципального района мощностью 400 м3/сутки  - проектные работы</t>
  </si>
  <si>
    <t>Комплексное обустройство площадки под компактную жилищную застройку сельской местности, Республика Карелия, Олонецкий национальный муниципальный район, дер. Верховье - проектные работы</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</si>
  <si>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в границах улиц Санаторная-Крупская-Куйбышева и р.Кумса в г.Медвежьегорска»; кадастровый номер земельного участка 10:13:0011003:2 -проектные работы</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</si>
  <si>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по адресу: Медвежьегорский муниципальный район, Медвежьегорское городское поселение, г.Медвежьегорск, ул.Первомайская, кадастровый номер квартала 10:13:0011034 - проектные работы</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</si>
  <si>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улиц Лесокультурная –Гоголя–8 Марта в г. Сегежа -проектные работы</t>
  </si>
  <si>
    <t>Реконструкция канализационных очистных сооружений в пгт Пяозерский Лоухского муниципального района - проектные работы</t>
  </si>
  <si>
    <t xml:space="preserve">Реализация мероприятий государственной программы Республики Карелия «Обеспечение доступным и комфортным жильем и жилищно-коммунальными услугами» </t>
  </si>
  <si>
    <t>Реконструкция водоочистных сооружений, расположенных на ул. Пушкинская и ул. Щуркина города Беломорска Республики Карелия -проектные работы</t>
  </si>
  <si>
    <t>Строительство комплекса канализационных очистных сооружений г. Беломорска (2 станции – северный и южный жилые микрорайоны) -проектные работы</t>
  </si>
  <si>
    <t xml:space="preserve">Строительство канализационных очистных сооружений  г. Суоярви  -проектные работы </t>
  </si>
  <si>
    <t>Строительство водопроводных очистных сооружений в г. Суоярви -проектные работы</t>
  </si>
  <si>
    <t>Строительство канализационных очистных сооружений  г. Пудожа -проектные работы</t>
  </si>
  <si>
    <t>Реконструкция артезианской скважины с водоколонкой в пос. Матросы -проектные работы</t>
  </si>
  <si>
    <t>Реконструкция водоочистных сооружений в пгт Калевала  -проектные работы</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</si>
  <si>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г. Кондопога -проектные работы</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</si>
  <si>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Совхозное шоссе в г. Сортавала -проектные работы</t>
  </si>
  <si>
    <t>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поселение п.Хаапалампи, кадастровый номер квартала 10:07:006220 -проектные работы</t>
  </si>
  <si>
    <t>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поселение п.Хаапалампи, кадастровый номер квартала 10:07:0062205  -проектные работы</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</si>
  <si>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микрорайоне Лахденкюля в г. Сортавала кадастровый номер квартала 10:07:0042811 -проектные работы</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</si>
  <si>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по переулку Фанерному в г. Сортавала кадастровый номер квартала 10:07:00100318 и 10:07:0010319 -проектные работы</t>
  </si>
  <si>
    <t>93*</t>
  </si>
  <si>
    <t>108</t>
  </si>
  <si>
    <t>(90)</t>
  </si>
  <si>
    <t>115*</t>
  </si>
  <si>
    <t>120</t>
  </si>
  <si>
    <t>Сумма строк исходя из  формулы</t>
  </si>
  <si>
    <t>Исп. ___________________</t>
  </si>
  <si>
    <t>СПРАВОЧНО ДЛЯ ПОДГРУЗКИ КБК</t>
  </si>
  <si>
    <t>Начальник отдела</t>
  </si>
  <si>
    <t>Е.В.Шалаева</t>
  </si>
  <si>
    <t>Исп. Маркова В.Б.</t>
  </si>
  <si>
    <t xml:space="preserve">Внешнее электроснабжение 6 кВ туристского центра "Три водопада" от ПС-6 дер. Леппясилта 
 -разработка проектно-сметной документации </t>
  </si>
  <si>
    <t>на  13  июня 2019 года</t>
  </si>
  <si>
    <t>фед. бюджета, Фонда реф.ЖКХ</t>
  </si>
  <si>
    <t>Наименование национального проекта, государственной программы, целевой программы</t>
  </si>
  <si>
    <t>Мероприятия по строительству и реконструкции (модернизации) объектов питьевого водоснабжения (объекты не определены)</t>
  </si>
  <si>
    <t xml:space="preserve">Федеральный проект "Чистая вода" национальный проект "Экология"
</t>
  </si>
  <si>
    <t>К.Ю.Прошутинская</t>
  </si>
  <si>
    <t>И.о.начальника отдела</t>
  </si>
  <si>
    <t>Разработка проектной документации по объекту «Реконструкция ул. Куйбышева от пр. Ленина до наб. Варкауса  в г. Петрозаводске»</t>
  </si>
  <si>
    <t>Разработка проектной документации по объекту «Реконструкция мостового сооружения через р. Неглинка по  ул. Кирова в г. Петрозаводске»</t>
  </si>
  <si>
    <t>Разработка проектной документации по объекту «Реконструкция ул. Хейкконена в г. Петрозаводске»</t>
  </si>
  <si>
    <t>Разработка проектной документации по объекту «Строительство автомобильной дороги проезд Тидена (от Вытегорского шоссе до продления пр. Комсомольского)  в г. Петрозаводске»</t>
  </si>
  <si>
    <t>Разработка проектной документации по объекту «Строительство (продление) пр. Комсомольского до II транспортного полукольца  в г. Петрозаводске»</t>
  </si>
  <si>
    <t>Разработка проектной документации по объекту «Строительство районной магистрали от ул. Попова до ул. Университетской в г. Петрозаводске»</t>
  </si>
  <si>
    <t>Разработка проектной документации по объекту «Реконструкция ул. Достоевского от ул. Зайцева до ул. Боровой с устройством тоннеля под железнодорожными путями по ул. Халтурина в г. Петрозаводске»</t>
  </si>
  <si>
    <t xml:space="preserve">Корректировка проектно-сметной документации по объекту «Строительство Лососинского шоссе от ул. Попова до второго транспортного полукольца в жилом районе «Древлянка II» (общегородская магистраль № 1) в г. Петрозаводске»  </t>
  </si>
  <si>
    <t>Разработка проектной документации по объекту «Устройство транспортной развязки на пересечении улиц Гоголя –  Красноармейская в г. Петрозаводске»</t>
  </si>
  <si>
    <t xml:space="preserve">Разработка проектной документации по объекту «Расширение ул. Университетской на участке ул. Роберта Рождественского до транспортной развязки ул. Чапаева – пр. Лесной» </t>
  </si>
  <si>
    <t>Разработка проектной документации по объекту «Реконструкция мостового перехода через р. Лососинка  по  ул. Луначарского в г. Петрозаводске»</t>
  </si>
  <si>
    <t>Разработка проектной документации по объекту «Реконструкция автомобильной дороги общего пользования местного значения «Медвежьегорск – Толвуя – Великая Губа, км 66 – животноводческий комплекс «Падмозеро» ОАО «Совхоз «Толвуйский» в д. Падмозеро»</t>
  </si>
  <si>
    <t>Разработка проектной документации по объекту «Реконструкция автомобильной дороги общего пользования местного значения «Подъезд к ООО «Совхоз «Аграрный» (от автомобильной дороги общего пользования «Олонец –  Питкяранта –  Леппясилта» км 17 в д. Рыпушкалицы)»</t>
  </si>
  <si>
    <t>Разработка проектной документации по объекту «Строительство  мостового перехода по ул. Промышленная  в г. Сортавала через пролив Ворссунсалми на о. Риеккалансаари взамен существующего наплавного понтонного моста»</t>
  </si>
  <si>
    <t>Реализация мероприятий в рамках Национальных проектов</t>
  </si>
  <si>
    <t>Комплексное обустройство площадки под компактную жилищную застройку сельской местности, Республика Карелия, Медвежьегорский муниципальный район, дер. Толвуя</t>
  </si>
  <si>
    <t>Комплексное обустройство площадки под компактную жилищную застройку сельской местности, Республика Карелия, Олонецкий национальный муниципальный район, дер. Верховье</t>
  </si>
  <si>
    <t>Прочие объекты (за исключением объектов НП, ФЦП, ПСД и мероприятий по переселению аварийного жилищного фонда)</t>
  </si>
  <si>
    <t>Реализация мероприятий в рамках Национальных проектов (без учета переселения граждан из аварийного жилищного фонда)</t>
  </si>
  <si>
    <t>Заключение ГК не требуется. Оплата обязательств прошлых лет.</t>
  </si>
  <si>
    <t>ГК не заключен.</t>
  </si>
  <si>
    <t>ГК № 16к/2018-П от 04.09.2018 г., ГК оплачен 26.12.2018 г. в сумме 5 400,0 тыс.руб.</t>
  </si>
  <si>
    <t xml:space="preserve">Проведение закупки отменено 25.03.2019 г. извещением об отказе от проведения закупки № 31907697994 
</t>
  </si>
  <si>
    <t>ГК № 10аэф-18 от 05.12.2018 г. Заключен с ООО ПРОЕКТНО-СТРОИТЕЛЬНАЯ КОМПАНИЯ"СТРОИТЕЛЬНАЯ МЕХАНИКА" .</t>
  </si>
  <si>
    <t>ГК № 44аэф-18/2018-П от 28.12.2018 г. заключен с ООО "Омская проектная компания".</t>
  </si>
  <si>
    <t xml:space="preserve">ГК № 12аэф-18 от 18.12.2018 г. заключен с ООО "ЭКСПЕРТСТРОЙ" </t>
  </si>
  <si>
    <t>Примечание</t>
  </si>
  <si>
    <t>Заключено  Соглашение с ФОИВ (планируется реконструкция ВОС в г. Сортавала). Пакет документов с обосновывающими документами для заключения дополнительного соглашения  направлен в марте 2019 г. на согласование в Минстрой России. В настоящее времы вносятся изменения в ГП.</t>
  </si>
  <si>
    <t>Муниципальный контракт (г. Кемь) оплачен 13.03.2019 в полном объеме в сумме 9709,0 тыс.руб. Перечисление средств в бюджет Администрации Петрозаводского городского округа после 2 -х судебных решений (выплаты гражданам), заключение МК не требуется.</t>
  </si>
  <si>
    <t>Средства рапределены постановлением Правительства РК бюджетам муниципальных образований в мае 2019 г. Ссоглашения с муниципальными образованиями не заключены (сроки по заключению соглашений нарушены). МК  не заключены.</t>
  </si>
  <si>
    <t>государственный  (муниципальный контракт) (далее- ГК и МК), наименование подрядчика</t>
  </si>
  <si>
    <t>В ЕИС размещено извещение  №0106300008719000025 о проведении закупки (электронный аукцион). По состоянию на 18.06.2019  идет рассмотрение и оценка заявки конкурсной комиссией.</t>
  </si>
  <si>
    <t xml:space="preserve"> Срок выполнения работ: начало выполнения работ – со дня, следующего после дня заключения Контракта, окончание выполнения работ – не позднее 31.11.2019 г.</t>
  </si>
  <si>
    <t xml:space="preserve">Сроки по контракту: I  этап – инженерные изыскания, проектная документация, государственная экспертиза до 30 июня 2019 года; II этап- рабочая документации до 31.08.2019 г. </t>
  </si>
  <si>
    <t>Средства будут перераспределены на другие цели в связи с возвратом остатков в указанной сумме из резервного фонда Правительства РК (объект ФЦП)</t>
  </si>
  <si>
    <t>МК № 01063000010190000360001 от 10.06.2019 г. заключен с ООО "ПРОЕКТЫ и РЕШЕНИЯ"</t>
  </si>
  <si>
    <t xml:space="preserve">Администрацией не объявлены конкурсные процедуры по определению проектной организации. </t>
  </si>
  <si>
    <t>Х</t>
  </si>
  <si>
    <t>Работы не начаты, окончание работ 30 августа 2019 года.</t>
  </si>
  <si>
    <t>Строительство спортивного комплекса в пойме реки Неглинки в районе зданий №12 по ул.Крупской и №8 по ул. Красной в г.Петрозаводске"- II этап  (строительство конькобежной дорожки в г. Петрозаводске)  - разработка проектно-сметной документации</t>
  </si>
  <si>
    <t>Соглашение с  администрацией г.Петрозаводска заключено в конце мая т.г.</t>
  </si>
  <si>
    <t xml:space="preserve"> Срок выполнения проектных работ по контракту - 28 июня 2019 года</t>
  </si>
  <si>
    <t xml:space="preserve">Начало работ: с даты заключения контракта, окончание работ: 25 декабря 2019 года.
</t>
  </si>
  <si>
    <t xml:space="preserve">В конце мая зключено соглашение с МО. Администрацией Прионежского района готовится комплект документов для объявления конкурсных процедур. </t>
  </si>
  <si>
    <t xml:space="preserve"> МК № 0806300011818000399-1  от 22.01.2019 г. с АО "КСМ" </t>
  </si>
  <si>
    <t xml:space="preserve"> Оплачен аванс 30%.</t>
  </si>
  <si>
    <t>На сумму 6666,7 тыс. рублей. Сроки исполнени работ по контракту до 31.12.2019г.</t>
  </si>
  <si>
    <t>На сумму 11 111,1 тыс. рублей.  Сроки исполнени работ по контракту до 31.12.2019г.</t>
  </si>
  <si>
    <t xml:space="preserve"> Соглашения с МО заключены в конце мая т.г.г</t>
  </si>
  <si>
    <t>На сумму 4670,0 тыс. ркблей, сроки окончания работ по контракту до 31.12.2019г.</t>
  </si>
  <si>
    <t>На сумму 3938,5 тыс. рублей. Срок разработки проектной документации 10.12.2019</t>
  </si>
  <si>
    <t xml:space="preserve">На сумму 4897,3 тыс. рублей. Дата окончаниея исполнения контракта 15.11.19г. </t>
  </si>
  <si>
    <t>На сумму 886,4 тыс. рублей. Дата окончания работ по контракту 31.12.2019г.</t>
  </si>
  <si>
    <t>Объект включен в РАИП 07.05.2019г.</t>
  </si>
  <si>
    <t>На сумму 1165,0 тыс. рублей.Дата окончания работ по контракту 31.12.2019г.</t>
  </si>
  <si>
    <t>На сумму 1670,6 тыс. рублей.Дата окончания работ по контракту 31.12.2019г.</t>
  </si>
  <si>
    <t>На сумму 9812,5 тыс. рублей. Сроки подготовки ПСД - 9.08.2019. Экспертиза -  20.09.2019г.</t>
  </si>
  <si>
    <t>22.05.2019 закупка включена в план-график закупок.</t>
  </si>
  <si>
    <t>До конца мая 2019 г. будут завершены работы по проекту планировки и проекта межевания территории (ООО "ГЕОПРОЕКТ"),  распоряжение администрации Сортавальского муниципального района от 28.05.2019 г. № 385; начаты работы по подготовке  технического задания</t>
  </si>
  <si>
    <t xml:space="preserve">На сумму 27157,97 тыс. рублей. Окончание выполнения работ - не позднее 31 октября 2019 года, 1 этап - с даты заключения Контракта по 31.03.2019 г. , 2 этап - с 01.04.2019г. по 31.08.2019г.,  3 этап - с 01.09.2019г. по 31.10.2019г. 
</t>
  </si>
  <si>
    <t>Гражданско-правовой договор №0806300010118000098-0081619-01 от 28.01.2019 г. с ООО "Каньон".</t>
  </si>
  <si>
    <t xml:space="preserve">На сумму 12876,0 тыс. рублей. Сроки выполнения работ по 20 августа 2019 года.
</t>
  </si>
  <si>
    <t>На сумму 22817,3 тыс. рублей. Сроки выполнения работ до 31 августа 2019 года.  (в 2018 году оплачено 11408,6 т.р. (аванс 6845,19.т.р, вып. работы 4563,41 т.р.)</t>
  </si>
  <si>
    <t>На сумму 13293,6 тыс.рублей. Сроки выполнения работ: с даты заключения муниципального контракта до 01.08.2019, 1 этап - подготовительный ноябрь - декабрь 2018г.; 2 этап - основной период строительно - монтажные работы май - август 2019г. Фактически оплачено за выполненные работы в 2018 году 2276,74 т.р., в 2019 году 5582,4 т.р.)</t>
  </si>
  <si>
    <t xml:space="preserve"> На сумму 33824,7 тыс. рублей. Срок выполнения работ по контракту - не позднее 31 октября 2019 г. </t>
  </si>
  <si>
    <t>На сумму 8757,1 тыс. рублей. Сроки выполнения работ: 1 этап - подготовительный: ноябрь - декабрь 2018г.; 2 этап - основной период: строительно-монтажные работы май - июль 2019 г. Оплата выполненныхз работ в 2018 году 875,7 т.р.</t>
  </si>
  <si>
    <t xml:space="preserve">На сумму 60159,8 т.р. Срок завершения работ - до 01.12.2019 г. Оплачены услуги по строительному контролю.
</t>
  </si>
  <si>
    <t xml:space="preserve">Заключен муниципальный контракт 29.05.2019 года с ООО "Центр стратегических решений" </t>
  </si>
  <si>
    <t>На сумму 82 279,5 тыс. руб. Окончание работ – до 14 декабря 2019 года</t>
  </si>
  <si>
    <t>26 декабря 2018 г. заключен муниципальный контракт с ООО "Экостройпроект"</t>
  </si>
  <si>
    <t>Стоимость работ по контракту 180579,60 тыс.руб. Срок завершения работ - не позднее 1 декабря 2019 г.</t>
  </si>
  <si>
    <t>Планируется поступление средств федерального бюджета по программе моногородов.</t>
  </si>
  <si>
    <t xml:space="preserve"> На сумму 14606,25 тыс. рублей. Дата окончания выполнения ГК - 31.12.2019г. Проводятся инженерные изыскания и проектные работы</t>
  </si>
  <si>
    <t>На сумму 5820,65 тыс. рублей, завершение ПИР  30.11.2019.</t>
  </si>
  <si>
    <t xml:space="preserve"> На сумму 3390,0 тыс. рублей. Завершение ПИР - 30.09.2019г.</t>
  </si>
  <si>
    <t xml:space="preserve">Включен в план-график торгов. Нормативный срок  проведения работ  выходит за рамки  2019 г. (11 месяцев) </t>
  </si>
  <si>
    <t>На сумму 2170,0 тыс. рублей.</t>
  </si>
  <si>
    <t>На сумму 1990,0 тыс. рублей.</t>
  </si>
  <si>
    <t>Не согласовано размещение завода. Требуется новая площадка. В настоящее время рассматривается возможность размещения в Прионежском районе</t>
  </si>
  <si>
    <t>Заказчиком работ по разработке проектной документации является администрация Кемского муниципального района. Строительство школы после завершения проектирования.</t>
  </si>
  <si>
    <t>Заказчиком работ по разработке проектной документации является администрация Петрозаводского городского округа. Строительство школы после завершения проектирования.</t>
  </si>
  <si>
    <t>На сумму 59730,6 со сроком выполения работ до 30.07.19г.. ГК расторгнут 10.06.19 года. КУ РК «УК РК» организовано проведение конкурсных процедур на выполнение работ по строительству объекта</t>
  </si>
  <si>
    <t xml:space="preserve">ГК №18аф-18/2018-П от 04.12.2018 г.заключен, завершение ПИР  31.08.19. </t>
  </si>
  <si>
    <t>Строительство объекта после подготовки ПСД</t>
  </si>
  <si>
    <t xml:space="preserve">На сумму 4496,0 тыс. рублей.  Завершение ПИР  15.04.19 </t>
  </si>
  <si>
    <t xml:space="preserve"> Отказ АУ РК "Карелгосэкспертиза", необходимо в срок 30 дней устранить замечания</t>
  </si>
  <si>
    <t>На сумму 13350,0 тыс. руб.  Завершены работы по подготовке проектной документации. В настоящее время проаодиится госэкспетртиза  (до 6 июля 2019 года).</t>
  </si>
  <si>
    <t xml:space="preserve"> Завершение 22.08.19. </t>
  </si>
  <si>
    <t>на  27  июня 2019 года</t>
  </si>
  <si>
    <t>Реконструкция участка автомобильной дороги Олонец - Вяртсиля, км 96- км 118 (24 км) 2 этап)</t>
  </si>
  <si>
    <t xml:space="preserve">Проектирование первого этапа строительства мусоросортировочного комплекса мощностью до 150000 тонн ТКО в год  - разработка проектно-сметной документации </t>
  </si>
  <si>
    <t>Муниципальный контракт не заключен</t>
  </si>
  <si>
    <t xml:space="preserve">Муниципальный контракт № 7аф18  от 03.09.2018г. </t>
  </si>
  <si>
    <t xml:space="preserve">Муниципальный контракт  № 0806300010119000059 от 10.06.2019 г. с ООО «Смартком» </t>
  </si>
  <si>
    <t xml:space="preserve"> Муниципальный контракт  № 31005160024 19 000023 от 03.06.2018 г. с ООО «Куйбышевский Промстройпроект» </t>
  </si>
  <si>
    <t xml:space="preserve">Муниципальный контракт № 2к-18 от 29.01.2019 г. заключен с ООО «Спецстройпроект» </t>
  </si>
  <si>
    <t>Муниципальный контракт  №15аэф-18/2018-П от 09.01.2019 г. заключен с ООО "КОММУНЖИЛПРОЕКТ"</t>
  </si>
  <si>
    <t>Муниципальный контракт № 19аэф-19 от 17.06.2019 г.  с ООО «ГРАДПРОЕКТ»</t>
  </si>
  <si>
    <t>Муниципальный контракт  №№, 20аэф-19 от 17.06.2019 г.  с ООО «ГРАДПРОЕКТ»</t>
  </si>
  <si>
    <t xml:space="preserve">Муниципальный контракт  №0106300001019000024-0001 от 13.05.2019  с ООО "ВКО-Строй". </t>
  </si>
  <si>
    <t>Муниципальный контракт   № 0106300009119000019 от 23.04.19 г. с ООО " УПРАВЛЯЮЩАЯ КОМПАНИЯ "КОНДОПОЖСТРОЙ"</t>
  </si>
  <si>
    <t>Муниципальный контракт   №ЭА-09 от 27.05.2019г. с  ООО «Экостройпроект»</t>
  </si>
  <si>
    <t>Муниципальный контракт № 6аэф-19 от 18.06.2019 г. заключен с ООО "Ярпроект".</t>
  </si>
  <si>
    <t>Муниципальный контракт № 3АФ-19 от 15.04.2019 заключен с ООО "КОММУНЖИЛПРОЕКТ".</t>
  </si>
  <si>
    <t>Муниципальный контракт № 0106300004519000022-1 от 27.05.2019 заключен с ООО "АльфА-ПроекТ"</t>
  </si>
  <si>
    <t>Муниципальный контракт № 0106300009118000069 от 12.11.18 заключен с ООО "СТРОЙТРЕСТ № 4"</t>
  </si>
  <si>
    <t>Муниципальный контракт № 0106300009118000079 от 29.12.2018 г. заключен  с  ООО "Петропромстрой"</t>
  </si>
  <si>
    <t>Муниципальный контракт № 0306300046618000004-0189205-02 от 08.11.18 заключен с ООО "Яккима"</t>
  </si>
  <si>
    <t>Муниципальный контракт № 0106300012118000031-0192048-01 от 28.12.2018 г. заключен с ООО «Петропромстрой»</t>
  </si>
  <si>
    <t>Муниципальный контракт № 1аэф-18  от 20.11.18г. С ООО "ЛУДУС"</t>
  </si>
  <si>
    <t xml:space="preserve">Муниципальный контракт № 0106300008418000076-0226286-02 от 13.12.2018 г. заключен с ООО «Лудус» </t>
  </si>
  <si>
    <t xml:space="preserve">Муниципальный контракт № 0106300001018000074-0029299-02 от 27.12.2018 г. заключен с подрядчиком ООО "Каньон" </t>
  </si>
  <si>
    <t>Государственный контракт не заключен</t>
  </si>
  <si>
    <t>Минздрав считает строительство объекта нецелесообразным.</t>
  </si>
  <si>
    <t>На сумму 6 423,9 тыс.рублей. Фактически оплачено  в 2018 г. 1 927,2 тыс.руб. Срок выполнения работ – в соответствии с календарным планом выполнения работ до 31.08.2019 г..</t>
  </si>
  <si>
    <t xml:space="preserve">На сумму 2 780,0 тыс.рублей. Срок выполнения работ по контракту до 31.07.2019 г.  </t>
  </si>
  <si>
    <t>На сумму 3 932,5 тыс.рублей. Срок выполнения работ до 13.08.2019 г.</t>
  </si>
  <si>
    <t>Конкурсные процедуры запланированы на июль 2019 года.</t>
  </si>
  <si>
    <t>Конурсные процедуры включены в план-график 13.06.2019 г.</t>
  </si>
  <si>
    <t>Конурсные процедуры включены в план-график 20.06.2019 г.</t>
  </si>
  <si>
    <t>Поправками в Закон о бюджете РК   (ЗС РК от 13.06.19) на 2020 год перенесено 4900,0 тыс.рублей. Размещено в плане-графике 21.06.2019. Планируемая дата начала торгов  июль 2019 г.</t>
  </si>
  <si>
    <t xml:space="preserve"> Поправками в Закон о бюджете РК   (ЗС РК от 13.06.19) на 2020 год перенесено 5460,0 тыс.рублей. Размещено в плане-графике 21.06.2019. Планируемая дата начала торгов  июль 2019 г.</t>
  </si>
  <si>
    <t>Размещен открытый конкурс 13.06.2019 г., идет прием заявок. Окончание приема заявок 05.07.2019 г.</t>
  </si>
  <si>
    <t xml:space="preserve"> Поправками в Закон о бюджете РК   (ЗС РК от 13.06.19)  на 2020 год перенесено  14000,0 тыс.рублей. Размещено в плане-графике 20.06.2019. Планируемая дата начала торгов  июль 2019 г.</t>
  </si>
  <si>
    <t>Поправками в Закон о бюджете РК   (ЗС РК от 13.06.19)  увеличены  лимиты до 55000,0 тыс.рублей с разбивкой: на 2019 г. 16500,0 тыс.рублей, на 2020 год  38500,0 тыс.рублей. Размещено в плане-графике 21.06.2019. Планируемая дата начала торгов  июль 2019 г.</t>
  </si>
  <si>
    <t>На сумму 1 950,0 тыс.руб.</t>
  </si>
  <si>
    <t xml:space="preserve"> Размещен открытый конкурс 05.06.2019 г., идет прием заявок.</t>
  </si>
  <si>
    <t>Поправками в Закон о бюджете РК   (ЗС РК от 13.06.19) на 2020 год перенесено 2394,0 тыс.рублей. Конкурсные процедуры включены в план-график 13.06.2019 г.</t>
  </si>
  <si>
    <t>Поправками в Закон о бюджете РК   (ЗС РК от 13.06.19) на 2020 год перенесено1897,0 тыс.рублей</t>
  </si>
  <si>
    <t xml:space="preserve"> Поправками в Закон о бюджете РК   (ЗС РК от 13.06.19) на 2020 год перенесено 1848,0 тыс.рублей</t>
  </si>
  <si>
    <t>Поправками в Закон о бюджете РК   (ЗС РК от 13.06.19) на 2020 год перенесено 2051,0 тыс.рублей. Конкурсные процедуры включены в план-график 13.06.2019 г.</t>
  </si>
  <si>
    <t xml:space="preserve"> Поправками в Закон о бюджете РК   (ЗС РК от 13.06.19) на 2020 год перенесено 3626,0 тыс.рублей. Размещено в плане-графике 20.06.2019. Планируемая дата начала торгов  июль 2019 г.</t>
  </si>
  <si>
    <t xml:space="preserve"> Поправками в Закон о бюджете РК   (ЗС РК от 13.06.19) на 2020 год перенесено 2051,0 тыс.рублей. Размещено в плане-графике 20.06.2019. Планируемая дата начала торгов  июль 2019 г.</t>
  </si>
  <si>
    <t xml:space="preserve"> Поправками в Закон о бюджете РК   (ЗС РК от 13.06.19) на 2020 год перенесено 1463,0 тыс.рублей. Размещено в плане-графике 20.06.2019. Планируемая дата начала торгов  июль 2019 г.</t>
  </si>
  <si>
    <t>Поправками в Закон о бюджете РК   (ЗС РК от 13.06.19) на 2020 год перенесено 1561,0 тыс.рублей</t>
  </si>
  <si>
    <t xml:space="preserve"> Поправками в Закон о бюджете РК   (ЗС РК от 13.06.19) на 2020 год перенесено 1155,0 тыс.рублей. Размещено в плане-графике 20.06.2019. Планируемая дата начала торгов  июль 2019 г.</t>
  </si>
  <si>
    <t>Поправками в Закон о бюджете РК   (ЗС РК от 13.06.19) на 2020 год перенесено 1848,0 тыс.рублей. Размещено в плане-графике 20.06.2019. Планируемая дата начала торгов  июль 2019 г.</t>
  </si>
  <si>
    <t>Поправками в Закон о бюджете РК   (ЗС РК от 13.06.19) на 2020 год перенесено 2394,0 тыс.рублей. Размещено в плане-графике 20.06.2019. Планируемая дата начала торгов  июль 2019 г.</t>
  </si>
  <si>
    <t xml:space="preserve"> Поправками в Закон о бюджете РК   (ЗС РК от 13.06.19) на 2020 год перенесено 1561,0 тыс.рублей. Размещено в плане-графике 20.06.2019. Планируемая дата начала торгов  июль 2019 г.</t>
  </si>
  <si>
    <t>Осуществляется разработка и экспертиза проектно-сметной документации.</t>
  </si>
  <si>
    <t xml:space="preserve"> Односторонний отказ заказчика от исполнения контракта в соответствии с гражданским законодательством. По решению суда срок исполнения государственного контракта по 1 этапу продлен до 25.10.19. </t>
  </si>
  <si>
    <t xml:space="preserve"> Односторонний отказ заказчика от исполнения контракта в соответствии с гражданским законодательством.  По решению суда срок исполения государственного контракта  продлен .</t>
  </si>
  <si>
    <t>Государственный контракт № 40аэф-18/2018-П  от 21.12.2018 г. С АО "ДАР/ВОДГЕО"</t>
  </si>
  <si>
    <t xml:space="preserve">Государственный контракт №38аэф-18/2018-П от 21.12.2018 заключен. </t>
  </si>
  <si>
    <t>Государственный контракт №39аэф-18/2018-П от 19.12.2018 с ООО "АЛГОРИТМ"</t>
  </si>
  <si>
    <t>Государственный контракт №  34аэф-18/2018-П от 14.12.2018г. с ООО "ПРОММОНТАЖАВТОМАТИКА"</t>
  </si>
  <si>
    <t>Государственный контракт №  36аэф-18/2018-П от 14.12.2018г. с ООО "ПРОММОНТАЖАВТОМАТИКА"</t>
  </si>
  <si>
    <t>Государственный контракт №  35аэф-18/2018-П от 14.12.2018г. с ООО "ПРОММОНТАЖАВТОМАТИКА"</t>
  </si>
  <si>
    <t>Государственный контракт № 1аэф-18 от 10.07.2018. с ООО «Десятый легион»</t>
  </si>
  <si>
    <t>Государственный контракт №18аф-18/2018-П от 04.12.2018 г. с ООО "Рея".</t>
  </si>
  <si>
    <t xml:space="preserve">Государственный контракт № 21аэф-18/2018-П  от 06.11.2018 с ООО "Транстройинжиниринг" </t>
  </si>
  <si>
    <t>Государственный контракт № 20аэф-18/2018-П от 14.11.2018 с ООО "Трансстройинжиниринг"</t>
  </si>
  <si>
    <t>Государственный контракт № 11/2018-П от 20.06.2018 г.  с  ООО "АСП Северо-Запад"</t>
  </si>
  <si>
    <t>Государственный контракт № 22к-18/2018-П от 04.02.2019 г. с АО «ГИПРОЗДРАВ»</t>
  </si>
  <si>
    <t xml:space="preserve">Государственный контракт № 21к-18/2018-П от 20.11.2018 г.  с ООО «Инженерный Центр». </t>
  </si>
  <si>
    <t xml:space="preserve">Государственный контракт № 28аэф-18/2018-П от 12.11.2018  с ООО «Спецстройпроект». </t>
  </si>
  <si>
    <t xml:space="preserve">Государственный контракт № 19аэф-18/2018-П от 13.11.2018   с ООО «МАММОНТ» . </t>
  </si>
  <si>
    <t>Государственный контракт № 12к/2018-П от 12.07.2018 г. с ООО "ИНЖЕНЕРНЫЙ ЦЕНТР"</t>
  </si>
  <si>
    <t>Государственный контракт № 17аэф-18 от 31.10.2018 г. с ООО "АЛВАНИ СПБ".</t>
  </si>
  <si>
    <t>Государственный контракт № 2аэф-18 от 04.07.2018 г. с ООО "Тандем проект".</t>
  </si>
  <si>
    <t xml:space="preserve">Переходящий контракт, окончания работ по контракту до 31.12.2019 г. </t>
  </si>
  <si>
    <t>На сумму 980,0 тыс.руб. Срок окончания работ по контракту до 31.12.2019 г.</t>
  </si>
  <si>
    <t>На сумму 5 000,0 тыс.руб. Срок окончания работ по контракту до 31.12.2019 г.</t>
  </si>
  <si>
    <t>Государственный контракт на стадии подписания (до 01.0.2019 г.)</t>
  </si>
  <si>
    <t>На сумму 3,1 тыс.руб. Срок окончания работ по контракту до 08.09.2019г.</t>
  </si>
  <si>
    <t xml:space="preserve">Заключено Дополнительное соглашение к контракту от 29.12.2018 о расторжении контракта.. </t>
  </si>
  <si>
    <t>Осуществляется разработка и экспертиза проектно-сметной документации. Ведется претензионно-исковая работа в связи с нарушением сроков разработки проектно-сметной документации.</t>
  </si>
  <si>
    <t>Осуществляется разработка и экспертиза проектно-сметной документации, срок до 30.07.2019 г..</t>
  </si>
  <si>
    <t>23.05.2019 г. проведена закупка у единственного поставщика во исполнение государственного контракта №42/2018 от 24.12.2018 на сумму 54 138,1 тыс.руб.</t>
  </si>
  <si>
    <t>На сумму 42 719,2 тыс.рублей. Срок окончания работ по контракту до 31.08.2019 г.</t>
  </si>
  <si>
    <t>На сумму 124 405,1 тыс.руб. Срок окончания работ по контракту до 31.12.2020 г.</t>
  </si>
  <si>
    <t>Конкусрные процедуры отменены 15.03.2019 г. В соответствии с приказом ФГУ
"УПРАВЛЕНИЕ СТРОИТЕЛЬСТВА ПО ЦЕНТРАЛЬНОМУ ФЕДЕРАЛЬНОМУ ОКРУГУ ФЕДЕРАЛЬНОЙ СЛУЖБЫ ИСПОЛНЕНИЯ НАКАЗАНИЙ" № 17 от 15.03.2019 г. "Об отмене предложений".</t>
  </si>
  <si>
    <t>На сумму 44 179,2 тыс.руб. Срок окончания работ по контракту до 31.12.2019 г.</t>
  </si>
  <si>
    <t>Конкусрные процедуры отменены 25.03.2019 г. В соответствии с приказом ФГУ
"УПРАВЛЕНИЕ СТРОИТЕЛЬСТВА ПО ЦЕНТРАЛЬНОМУ ФЕДЕРАЛЬНОМУ ОКРУГУ ФЕДЕРАЛЬНОЙ СЛУЖБЫ ИСПОЛНЕНИЯ НАКАЗАНИЙ" № 20 от 24.04.2019 г. "Об отмене предложений".</t>
  </si>
  <si>
    <t>Процедура электронногоь аукциона отменена. Не пройден контроль
по ч. 5 ст. 99 44-ФЗ</t>
  </si>
  <si>
    <t>На сумму 58 021,1 тыс.руб. Срок окончания работ по контракту до 31.12.2019 г.</t>
  </si>
  <si>
    <t>На сумму 49 200,1 тыс.руб. Срок окончания работ по контракту до 31.12.2019 г.</t>
  </si>
  <si>
    <t xml:space="preserve">На сумму 9 988, тыс.ру. Срок окончания работ по контракту до 30.09.2019г. </t>
  </si>
  <si>
    <t>На сумму 18 844,1 тыс.руб. Срок окончания работ по контракту до 31.08.2019г.</t>
  </si>
  <si>
    <t>На сумму 432 000,0 тыс.руб. Срок окончания работ по контракту до 31.12.2019 г.</t>
  </si>
  <si>
    <t>На сумму 39 600, тыс.руб. Срок окончания работ по контракту до 31.12.2019 г.</t>
  </si>
  <si>
    <t>На сумму 139 318,1 тыс.руб. Срок окончания работ по контракту до 01.09.2019 г.</t>
  </si>
  <si>
    <t>На сумму 37 229,1 тыс.руб. Срок окончания работ по контракту до 31.12.2019 г.</t>
  </si>
  <si>
    <t xml:space="preserve">На сумму 8 900,0 тыс.руб. Срок окончания работ по контракту до 31.12.2019 г. </t>
  </si>
  <si>
    <t>На сумму 21 489,0 тыс.руб. Срок окончания работ по контракту до 31.10.2019 г.</t>
  </si>
  <si>
    <t>Осуществляется разоаботка проектной документации в рамках заключенных ГК.</t>
  </si>
  <si>
    <t>На сумму 8 253,0 тыс.рублей. Срок окончания работ по контракту до 31.12.2019 г.</t>
  </si>
  <si>
    <t xml:space="preserve"> Государственный контракт не заключен</t>
  </si>
  <si>
    <t>На сумму 113 279,2 тыс.руб.Срок окончания работ по контракту до 01.10.2019 г.</t>
  </si>
  <si>
    <t>Заключено Соглашение с МО 19.02.19Осуществляется разработка проектно-сметной документации.</t>
  </si>
  <si>
    <t>На сумму 15 520,0 тыс.рублей. Срок окончания работ по контракту до 31.10.2019 г.</t>
  </si>
  <si>
    <t>Осуществляется разработка проектно-сметной документации.</t>
  </si>
  <si>
    <t>ГК № 48аэф-18/2019-П от 04.02.2019 г. с ООО "ТВК-инжиниринг"</t>
  </si>
  <si>
    <t>На сумму 7 450,0 тыс.рублей. Срок окончания работ по контракту до 31.10.2019 г.</t>
  </si>
  <si>
    <t>Разработка проектно-сметной документации на реконструкцию.</t>
  </si>
  <si>
    <t>На сумму 9 012 тыс.рублей. Срок окончания работ по контракту до 31.12.2019 г.</t>
  </si>
  <si>
    <t>Решение заказчика об одностороннем отказе от исполнения контракта № 1122 от 31.08.2018</t>
  </si>
  <si>
    <t>На сумму 83 810,5 тыс.рублей. Срок окончания работ до 30.06.2020 г.</t>
  </si>
  <si>
    <t>Осуществлются конкурсные процедуры. Дата окончания подачи заявок - 05.07.2019 г.</t>
  </si>
  <si>
    <t>Не подано ни одной заявки на участие в электронном аукционе.</t>
  </si>
  <si>
    <t>На сумму 7 510,0 тыс.рублей. Срок окончания работ по контракту до 29.09.2019 г.</t>
  </si>
  <si>
    <t>Размещен открытый конкурс 18.06.2019 г., идет прием заявок.</t>
  </si>
  <si>
    <t xml:space="preserve">Государственный контракт № 42/2018  от 24.12.2018 г.  с ФГУ
"УПРАВЛЕНИЕ СТРОИТЕЛЬСТВА ПО ЦЕНТРАЛЬНОМУ ФЕДЕРАЛЬНОМУ ОКРУГУ ФЕДЕРАЛЬНОЙ СЛУЖБЫ ИСПОЛНЕНИЯ НАКАЗАНИЙ" </t>
  </si>
  <si>
    <t>Государственный контракт № 8аэф-18 от 31.10.2018 г. с ООО "Алвани СПб"</t>
  </si>
  <si>
    <t>Государственный контракт № 37аэф-18 от 17.12.2018 г.  с ООО "ТЕЛЕКОМСТРОЙ".</t>
  </si>
  <si>
    <t>Государственный контракт № 39/2018 от 21.12.2018 г.  с ФГУ
"УПРАВЛЕНИЕ СТРОИТЕЛЬСТВА ПО ЦЕНТРАЛЬНОМУ ФЕДЕРАЛЬНОМУ ОКРУГУ ФЕДЕРАЛЬНОЙ СЛУЖБЫ ИСПОЛНЕНИЯ НАКАЗАНИЙ" .</t>
  </si>
  <si>
    <t>Государственный контракт № 7аэф-18 от 17.10.2018 г.  с  ООО "ТЕЛЕКОМСТРОЙ"</t>
  </si>
  <si>
    <t>Государственный контракт № 6аэф-18 от 19.10.2018 г. с ООО «Эксперт Энерго».</t>
  </si>
  <si>
    <t>Государственный контракт № 9аэф-18 от 30.10.2018 г. с ООО "Петропромстрой".</t>
  </si>
  <si>
    <t>Государственный контракт № 28аэф-18 от 20.11.2018 г. с ООО "ПроектКомСтрой".</t>
  </si>
  <si>
    <t xml:space="preserve">Государственный контракт № 4к-18 от 16.05.2018 г. заключен с ООО "ССП". Переходящий контракт, дата окончания исполнения контракт до 31.12.2019 г. </t>
  </si>
  <si>
    <t>Государственный контракт № 1зп-18/2018-П от 16.07.2018 г. с   ООО "ИНЖЕНЕРНЫЙ ЦЕНТР"</t>
  </si>
  <si>
    <t>Государственный контракт № 2к-18 от 18.05.2018 г.  ООО  "ООО "ССП" .</t>
  </si>
  <si>
    <t>Государственный контракт № 16к/2018-П от 04.09.2018 г., Государственный контракт оплачен 26.12.2018 г. в сумме 5 400,0 тыс.руб.</t>
  </si>
  <si>
    <t>Государственный контракт № 9аэф-19 от 10.06.2019 г. заключен с ООО "Производственная компания "Феникс".</t>
  </si>
  <si>
    <t xml:space="preserve">Государственный контракт № 25аэф-18/2018-П от 30.10.2018 г. заключен с ООО "ИНСТРОЙ-С". </t>
  </si>
  <si>
    <t>Государственный контракт № 339/2017 от 20.12.2017 г. С ООО "АЛЬЯНС ЭЛЕКТРО".</t>
  </si>
  <si>
    <t>Государственный контракт № 15к/2018-П от 21.08.2018 г. с ООО  "ЕВРОГРУП"</t>
  </si>
  <si>
    <t xml:space="preserve">Государственный контракт № 27аэф-18 от 08.11.2018 г. с ООО "ТЕХЭКСПЕРТ" </t>
  </si>
  <si>
    <t>Государственный контракт № 11аэф-18 от 15.10.2018 г.  с ООО СК "ТЕПЛАЯ СТЕНА"</t>
  </si>
  <si>
    <t xml:space="preserve">Государственный контракт №2к-19 от 09.04.2019 г.  с ООО "Специализированное проектированое бюро-спецпроект" </t>
  </si>
  <si>
    <t>Государственный контракт № 3к-19 от 22.04.2019 г. с АО "ПРОЕКТНО-ИЗЫСКАТЕЛЬСКИЙ И НАУЧНО-ИССЛЕДОВАТЕЛЬСКИЙ ИНСТИТУТ ВОЗДУШНОГО ТРАНСПОРТА "ЛЕНАЭРОПРОЕКТ"</t>
  </si>
  <si>
    <t xml:space="preserve"> Государственный контракт № 14к/2018-П от 06.08.2018 г. с ООО "Северо-Западная Инжиниринговая Компания"</t>
  </si>
  <si>
    <t>Государственный контракт № 14аэф-18 от 28.09.2018 г. с ООО ПСК "Строительная механика"</t>
  </si>
  <si>
    <t>Государственный контракт № 1к-19 от 11.04.19г  с ООО "Гласстрой".</t>
  </si>
  <si>
    <t>Государственный контракт № 7зп-18/2018-П от 29.10.2018 г с "ЦЕНТР ГРУПП СПБ".</t>
  </si>
  <si>
    <t>Государственный контракт № 2аэф-19 от 10.04.2019 г. С ООО "СТРОИТЕЛЬНЫЙ ТРЕСТ №4"</t>
  </si>
  <si>
    <t>Государственный контракт №44аэф-18/2018-П от 28.12.2018 г. с "ОМСКАЯ ПРОЕКТНАЯ КОМПАНИЯ"</t>
  </si>
  <si>
    <t>(16)</t>
  </si>
  <si>
    <t>92*</t>
  </si>
  <si>
    <t>(89)</t>
  </si>
  <si>
    <t>114*</t>
  </si>
  <si>
    <t>119</t>
  </si>
  <si>
    <t xml:space="preserve">%  исполнения    </t>
  </si>
  <si>
    <t>тыс.руб.</t>
  </si>
  <si>
    <t>ИТОГО</t>
  </si>
  <si>
    <t>Прочие объекты (за исключением объектов НП, ФЦП, ПСД и мероприятий по переселению из аварийного жилищного фонда)</t>
  </si>
  <si>
    <t>Строительство пассажирского причала «Кондопожская гавань» в г. Кондопога - разработка проектно-сметной документации</t>
  </si>
  <si>
    <t>Строительство здания многофункционального центра культуры в г Кондопога</t>
  </si>
  <si>
    <t>100*</t>
  </si>
  <si>
    <t>118</t>
  </si>
  <si>
    <t>118*</t>
  </si>
  <si>
    <t>89*</t>
  </si>
  <si>
    <t>11*</t>
  </si>
  <si>
    <t>130</t>
  </si>
  <si>
    <t>101*</t>
  </si>
  <si>
    <t>102*</t>
  </si>
  <si>
    <t>103*</t>
  </si>
  <si>
    <t>на 15 августа 2019 года</t>
  </si>
  <si>
    <t>Объекты, софинансируемые из федерального бюджета - всего, в том числе:</t>
  </si>
  <si>
    <t>на 22 августа 2019 года</t>
  </si>
  <si>
    <t>Реконструкция спального корпуса № 2  ГБУСО РК "Партальский дом-интернат для престарелых и инвалидов. Сортавальский муниципальный район, пос. Партала" (исполнительный лист)</t>
  </si>
  <si>
    <t>104*</t>
  </si>
  <si>
    <t>119*</t>
  </si>
  <si>
    <t>131</t>
  </si>
  <si>
    <t>нераспределенный  резерв (в связи с уточнением сметной стоимости)</t>
  </si>
  <si>
    <t>Строительство блоков "А" и "Б" межрайонной больницы с поликлиникой в районе Древлянка г.Петрозаводска - разработка проектно-сметной документации</t>
  </si>
  <si>
    <t>Иные межбюджетные трансферты на финансовое обеспечение дорожной деятельности, в том числе:</t>
  </si>
  <si>
    <t>1.1.</t>
  </si>
  <si>
    <t>1.2.</t>
  </si>
  <si>
    <t>Строительство автодороги Великая Губа - Оятевщина</t>
  </si>
  <si>
    <t>II.I.III.</t>
  </si>
  <si>
    <t>Исп Маркова В.б. 716488</t>
  </si>
  <si>
    <t>на 01 октября 2019 года</t>
  </si>
  <si>
    <t xml:space="preserve">Внешнее электроснабжение 6 кВ туристского центра "Три водопада" от ПС-6 дер. Леппясилта  -разработка проектно-сметной документации </t>
  </si>
  <si>
    <t>Реконструкция легкоатлетического ядра стадиона, расположенного по ул.Лесокультурной в г.Сегежа</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</si>
  <si>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в том числе реализация мероприятий по расселению граждан из непригодного для  проживания жилищного фонда, обеспечивающих соблюдение их жилищных прав, установленных законодательством Российской Федерации, всего, в том числе:</t>
  </si>
  <si>
    <t>в рамках Национального проекта</t>
  </si>
  <si>
    <t>на 10 октября 2019 года</t>
  </si>
  <si>
    <t>на 17 октября 2019 года</t>
  </si>
  <si>
    <t>Перевод на природный газ 8 многоквартирных  домов, расположенных  в г. Олонце  (г. Олонец, ул. К. Маркса, д. 10, 18;  ул. Ленина,  д. 23, 25; ул. Речная, д. 7а; ул. Свирских дивизий, д. 3; ул. Урицкого, д. 32; д. Мегрега, ул. Чапаева, д. 9)</t>
  </si>
  <si>
    <t>Строительство очистных сооружений, п.Ляскеля</t>
  </si>
  <si>
    <t>(10)</t>
  </si>
  <si>
    <t>(91)</t>
  </si>
  <si>
    <t>(92)</t>
  </si>
  <si>
    <t>(93)</t>
  </si>
  <si>
    <t>(94)</t>
  </si>
  <si>
    <t>(95)</t>
  </si>
  <si>
    <t>(96)</t>
  </si>
  <si>
    <t>(98)</t>
  </si>
  <si>
    <t>(99)</t>
  </si>
  <si>
    <t>(100)</t>
  </si>
  <si>
    <t>(114)</t>
  </si>
  <si>
    <t>(115)</t>
  </si>
  <si>
    <t>(116)</t>
  </si>
  <si>
    <t>(97)</t>
  </si>
  <si>
    <t>на 24 октября 2019 года</t>
  </si>
  <si>
    <t>СБР+12247,4</t>
  </si>
  <si>
    <t>ЛБО 12247,4</t>
  </si>
  <si>
    <t>Главный распорядитель бюджетных средств -Министерство образования Республики Карелия</t>
  </si>
  <si>
    <t>Строительство здания деткого сада на 150 мест в г.Сортавала (г.Сортавала, пер.Первомайский)</t>
  </si>
  <si>
    <t>(25)</t>
  </si>
  <si>
    <t>Строительство здания общеобразовательной организации в г.Кеми  мощностью 1200 мест -проектные работы (субсидии)</t>
  </si>
  <si>
    <t>Строительство здания общеобразовательной организации в г.Петрозаводске  микрорайоне "Древлянка-6" жилого района "Древлянка-II" мощностью 1350 мест -проектные работы (субсидии)</t>
  </si>
  <si>
    <t xml:space="preserve">Объем капитальных вложений на 2020 год             </t>
  </si>
  <si>
    <t xml:space="preserve">Объем капитальных вложений на 201 год             </t>
  </si>
  <si>
    <t>В проекте бюджете на 2020 год предусмотрено 182824,4, в том числе за счет средств федерального бюджета 172200 т.р., за счет средств РК 10624,4 тыс. рублей (по инф. Минстроя РК с учетом уточнения сметной стоимости)</t>
  </si>
  <si>
    <t>В проекте бюджета на 2020 год предусмотрены аналогичные показатели</t>
  </si>
  <si>
    <t xml:space="preserve"> тыс. рублей</t>
  </si>
  <si>
    <t>Нераспределенный резерв (не учитывается в распоряжении об утверждении АИП)</t>
  </si>
  <si>
    <t>Реконструкция посадочной площадки пос.Хелюля в г.Сортавала (сверх Соглашения)</t>
  </si>
  <si>
    <t>Реконструкция здания  отделения временного проживания инфвалидов и пожилых людей в пос. Летнереченский Беломорского района ГБУСО РК "Комплексный центр социального обслуживания населения Республики Карелия"</t>
  </si>
  <si>
    <t>Исп Зиновьева Т.В.</t>
  </si>
  <si>
    <t>на 01 декабря 2019 года</t>
  </si>
  <si>
    <t>План</t>
  </si>
  <si>
    <t>Информация о расходах на реализацию Адресной инвестиционной программы Республики Карелия (строительство и реконструкция объектов государственной и муниципальной собственности) по состоянию на 01 декабря 2019 года</t>
  </si>
  <si>
    <t>Объекты в рамках национальных проектов</t>
  </si>
  <si>
    <t>Объекты в рамках ФЦП "Развитие Республики Карелия на период до 2020 года"</t>
  </si>
  <si>
    <t>Разработка проектной документации</t>
  </si>
  <si>
    <t xml:space="preserve">Объекты  дорожного хозяйства </t>
  </si>
  <si>
    <t>Исп. Маркова В.Б 716488</t>
  </si>
  <si>
    <t>на 09 января 2020 года</t>
  </si>
  <si>
    <t>Водопроводная очистная станция, производительностью 8500 м3/сут., по адресу: г.Сортавала, пер.Фабричный (строительство)</t>
  </si>
  <si>
    <t>Разработка проектно-сметной документации</t>
  </si>
  <si>
    <t>Строительно-монтажные работы</t>
  </si>
  <si>
    <t>Объекты, софинансируемые в рамках национальных проектов</t>
  </si>
  <si>
    <t>Национальный проект "Экология"</t>
  </si>
  <si>
    <t xml:space="preserve">Реконструкция водоочистных сооружений, расположенных на ул. Пушкинская и ул. Щуркина города Беломорска Республики Карелия </t>
  </si>
  <si>
    <t xml:space="preserve">Строительство водопроводных очистных сооружений и водопроводных сетей,  г. Суоярви </t>
  </si>
  <si>
    <t>Строительство комплекса канализационных очистных сооружений г. Беломорска (2 станции – северный и южный жилые микрорайоны)</t>
  </si>
  <si>
    <t>Суоярвский  муниципальный район</t>
  </si>
  <si>
    <t>Пудожский  муниципальный район</t>
  </si>
  <si>
    <t>Реконструкция канализационных очистных сооружений в п. Шуя Прионежского муниципального района</t>
  </si>
  <si>
    <t>Реконструкция канализационных очистных сооружений в пгт Пяозерский Лоухского муниципального района</t>
  </si>
  <si>
    <t>Реконструкция (модернизации) действующей системы водоснабжения и водоотведения, п.Матросы Пряжинского района</t>
  </si>
  <si>
    <t>Строительство канализационных очистных сооружений, п.Ляскеля</t>
  </si>
  <si>
    <t>Кемский  муниципальный район</t>
  </si>
  <si>
    <t>Строительство канализационных очистных сооружений (КОС) производительностью 5000 м3/сут в г.Кемь, Республики Карелия</t>
  </si>
  <si>
    <t>Муезерский  муниципальный район</t>
  </si>
  <si>
    <t>Строительство станции водоочистки и водоподготовки в поселке Муезерский Республики Карелия</t>
  </si>
  <si>
    <t>Национальный проект "Жилье и городская среда"</t>
  </si>
  <si>
    <t>051F367484 (РК), 051F367483 (ФБ)</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</si>
  <si>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(реализация Региональной адресной программы по переселению граждан из аварийного жилищного фонда на 2019 – 2025 годы)</t>
  </si>
  <si>
    <t xml:space="preserve">Строительство канализационных очистных сооружений  г. Суоярви  </t>
  </si>
  <si>
    <t>Строительство наружных сетей водоотведения и канализационных насосных станций в г.Суоярви</t>
  </si>
  <si>
    <t xml:space="preserve">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поселение п.Хаапалампи, кадастровый номер квартала 10:07:0062203 </t>
  </si>
  <si>
    <t xml:space="preserve">Строительство объектов транспортной и инженерной инфраструктуры обеспечивающей земельные участки под компактную жилищную застройку по адресу: Республика Карелия, Сортавальский муниципальный район, Хаапалампинское сельское поселение п.Хаапалампи, кадастровый номер квартала 10:07:0062205  </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</si>
  <si>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микрорайоне Лахденкюля в г. Сортавала, кадастровый номер квартала 10:07:0042811</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</si>
  <si>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по переулку Фанерному в г. Сортавала, кадастровые номера кварталов 10:07:00100318 и 10:07:0010319</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</si>
  <si>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t>
  </si>
  <si>
    <t>Разработка проектной документации по объекту «Строительство автомобильной дороги общего пользования местного значения, обеспечивающей подъезд от автодороги по  ул. Вокзальная к земельному участку, определенному под строительство здания общеобразовательной организации на 1200 мест»</t>
  </si>
  <si>
    <t>Главный распорядитель бюджетных средств -Министерство спорта Республики Карелия</t>
  </si>
  <si>
    <t>Разработка проектно-сметной документации на реконструкцию горнолыжной трассы в г. Медвежьегорске</t>
  </si>
  <si>
    <t>Реконструкция стадиона в г.Кемь</t>
  </si>
  <si>
    <t>Разработка проектно-сметной документации на строительство трамплина К-50 с сопутствующей инфраструктурой для проведения тренировочных занятий и соревнований по лыжным видам спорта в Сортавальском муниципальном районе</t>
  </si>
  <si>
    <t>.0820290400</t>
  </si>
  <si>
    <t>.0810243230</t>
  </si>
  <si>
    <t>.0409</t>
  </si>
  <si>
    <t>.0501</t>
  </si>
  <si>
    <t>.0502</t>
  </si>
  <si>
    <t>.0510243220</t>
  </si>
  <si>
    <t>.0520343220</t>
  </si>
  <si>
    <t>.052G552430</t>
  </si>
  <si>
    <t>.1240343280</t>
  </si>
  <si>
    <t>Объекты капитального строительства государственной собственности Республики Карелия, в том числе предназначенные для решения вопросов местного значения,  финансовое обеспечение которых осуществляется в форме бюджетных инвестиций</t>
  </si>
  <si>
    <t>Объекты, реализуемые в рамках федеральной целевой программы "Развитие Республики Карелия на период до 2020 года"</t>
  </si>
  <si>
    <t>Строительство газопровода распределительного (уличная сеть) по  Куйтежскому сельскому поселению Олонецкого национального муниципального района</t>
  </si>
  <si>
    <t>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 (строительство)</t>
  </si>
  <si>
    <t>IV-я очередь газопроводов низкого и среднего  давления в Октябрьском микрорайоне г. Петрозаводска. 1-й пусковой комплекс</t>
  </si>
  <si>
    <t>Газораспределительная сеть для газоснабжения жилого района «Зарека» г. Петрозаводска  4 очередь</t>
  </si>
  <si>
    <t>Газораспределительная сеть для газоснабжения жилого района «Зарека» г. Петрозаводска  3 очередь</t>
  </si>
  <si>
    <t>Строительство газопровода распределительного (уличная сеть) по г. Питкяранта, д. Койриноя, д. Ууксу Питкярантского городского поселения Питкярантского муниципального района</t>
  </si>
  <si>
    <t>Строительство газопровода распределительного (уличная сеть) по п. Салми, д. Ряймяля Салминского сельского поселения Питкярантского муниципального района</t>
  </si>
  <si>
    <t>Строительство распределительных сетей газопровода (уличная сеть) по микрорайону Соломенное Петрозаводского городского округа</t>
  </si>
  <si>
    <t>Вынос сети газопровода распределительного (уличная сеть) за пределы земельных участков с кадастровыми номерами:  10:14:0080202:20, 10:14:0080201:22, Республика Карелия, Олонецкий район, деревня Юргелица</t>
  </si>
  <si>
    <t>.0520590400</t>
  </si>
  <si>
    <t>Строительство модульной котельной  мощностью 17,0 МВт в г. Беломорске</t>
  </si>
  <si>
    <t>Строительство модульной котельной  мощностью 8,5 МВт в г. Беломорске</t>
  </si>
  <si>
    <t>Строительство модульной котельной  мощностью 13,0 МВт в пгт Лоухи Лоухского муниципального района</t>
  </si>
  <si>
    <t>Строительство модульной котельной  мощностью 30,0 МВт в пгт Надвоицы Сегежского муниципального  района</t>
  </si>
  <si>
    <t>Строительство модульной котельной  мощностью 9,5 МВт в г. Кеми</t>
  </si>
  <si>
    <t>Строительство модульной котельной  мощностью 3,0 МВт в пос. Боровой Калевальского национального района</t>
  </si>
  <si>
    <t>Строительство модульной котельной  мощностью 3,5 МВт в пос. Боровой Калевальского национального района</t>
  </si>
  <si>
    <t xml:space="preserve">Строительство модульной котельной  мощностью 0,5 МВт в пгт Калевала </t>
  </si>
  <si>
    <t>Строительство модульной котельной  мощностью 13,0  МВт в г. Суоярви</t>
  </si>
  <si>
    <t>.0520690400</t>
  </si>
  <si>
    <t xml:space="preserve">Проектирование первого этапа строительства мусоросортировочного комплекса мощностью до 150 000 тонн твердых коммунальных отходов в год </t>
  </si>
  <si>
    <t>.0701</t>
  </si>
  <si>
    <t>.02203R4190</t>
  </si>
  <si>
    <t xml:space="preserve">Строительство здания общеобразовательной организации в г.Петрозаводске  микрорайоне "Древлянка-6" жилого района "Древлянка-II" мощностью 1350 мест </t>
  </si>
  <si>
    <t xml:space="preserve">Строительство здания общеобразовательной организации в г.Кеми  мощностью 1200 мест </t>
  </si>
  <si>
    <t>Национальный проект "Образование"</t>
  </si>
  <si>
    <t>.0702</t>
  </si>
  <si>
    <t>.022Е155200</t>
  </si>
  <si>
    <t>.022Е152390</t>
  </si>
  <si>
    <t>Строительство здания общеобразовательной организации в п. Деревянка на 330 мест</t>
  </si>
  <si>
    <t>Строительство специальной (коррекционной) общеобразовательной школы-интерната на 300 мест в г. Петрозаводске</t>
  </si>
  <si>
    <t>Строительство плавательного бассейна в г. Медвежьегорске</t>
  </si>
  <si>
    <t>.0810290400</t>
  </si>
  <si>
    <t>Строительство физкультурно-оздоровительного  комплекса  в  г. Медвежьегорске Республики Карелия</t>
  </si>
  <si>
    <t>Национальный проект "Культура"</t>
  </si>
  <si>
    <t>.070F55190</t>
  </si>
  <si>
    <t>Cтроительство сельского дома культуры в дер. Мегрега Олонецкого национального муниципального района</t>
  </si>
  <si>
    <t>Строительство здания многофункционального центра культуры в г.Кондопога</t>
  </si>
  <si>
    <t>.0801</t>
  </si>
  <si>
    <t>.0700590400</t>
  </si>
  <si>
    <t>.0105</t>
  </si>
  <si>
    <t>.0408</t>
  </si>
  <si>
    <t>Строительство объектов на территории гражданского сектора аэропорта «Петрозаводск» (Бесовец). Реконструкция  защитного сооружения гражданской обороны, находящегося в ведении БУ РК «Аэропорт «Петрозаводск»</t>
  </si>
  <si>
    <t>07005R419Ю</t>
  </si>
  <si>
    <t>07005R419Э</t>
  </si>
  <si>
    <t>.0901</t>
  </si>
  <si>
    <t>.01102R419D</t>
  </si>
  <si>
    <t>.01102R419М</t>
  </si>
  <si>
    <t>.01102R419Э</t>
  </si>
  <si>
    <t xml:space="preserve">Реконструкция зданий ГБУЗ РК «Республиканская психиатрическая больница» в пос. Матросы Пряжинского национального муниципального района  </t>
  </si>
  <si>
    <t>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t>
  </si>
  <si>
    <t>.0110290400</t>
  </si>
  <si>
    <t>Строительство психоневрологического интерната  на 450 мест в г. Суоярви</t>
  </si>
  <si>
    <t>.03301R4190</t>
  </si>
  <si>
    <t>.0330190400</t>
  </si>
  <si>
    <t>Строительство пассажирского причала "Кондопожская гавань" в г.Кондопога</t>
  </si>
  <si>
    <t>Строительство  базы расположения Государственного казенного учреждения Республики Карелия "Карельская республиканская поисково-спасательная служба"</t>
  </si>
  <si>
    <t>.0309</t>
  </si>
  <si>
    <t>.1420190400</t>
  </si>
  <si>
    <t>Строительство очистных сооружений и отвода очищенных канализационных стоков для завода большой мощности по переработке трески, пикши и иных видов рыбы</t>
  </si>
  <si>
    <t>.0910191020</t>
  </si>
  <si>
    <t>Строительство  мостового перехода через ручей на км 34+350 автомобильной дороги Сумпосад –  Воренжа –  Вирандозеро – Нюхча</t>
  </si>
  <si>
    <t>Строительство мостового перехода через р.Колежма на км 16+500 автомобильной дороги Сумпосад – Воренжа – Вирандозеро –  Нюхча</t>
  </si>
  <si>
    <t>Строительство  мостового перехода через р. Семча на км 132+910 автомобильной дороги Суоярви – Юстозеро – (через Поросозеро) – Медвежьегорск</t>
  </si>
  <si>
    <t xml:space="preserve">Строительство  мостового перехода через р. Тереонкоски на км 105+250 автомобильной дороги Суоярви – Юстозеро – (через Поросозеро) – Медвежьегорск
</t>
  </si>
  <si>
    <t>Строительство  мостового перехода через р. Журавлева на км 127+470 автомобильной дороги Суоярви – Юстозеро – (через Поросозеро) – Медвежьегорск</t>
  </si>
  <si>
    <t>Реконструкция мостового сооружения через р. Неглинка                                                        по ул. Кирова в г. Петрозаводске</t>
  </si>
  <si>
    <t xml:space="preserve">Реконструкция ул. Куйбышева от пр. Ленина до наб. Варкауса в г. Петрозаводске, 0,8 км
</t>
  </si>
  <si>
    <t>11102R419Т</t>
  </si>
  <si>
    <t>11102R419Щ</t>
  </si>
  <si>
    <t>11102R419P</t>
  </si>
  <si>
    <t>19002R3841</t>
  </si>
  <si>
    <t xml:space="preserve">Реализация мероприятий в рамках реализуемые в рамках государственной программы Российской Федерации "Комплексное развитие сельских территорий" </t>
  </si>
  <si>
    <t>Реконструкция автомобильной дороги общего пользования регионального значения Республики Карелия «Педасельга – Ладва-Ветка» (подъезд к ООО «Маяк»),(I этап, км 0+000 – км 5+000)</t>
  </si>
  <si>
    <t>12405R3721</t>
  </si>
  <si>
    <t>Строительство подъездной автомобильной дороги к заводу большой мощности  по переработке трески, пикши и иных видов рыб в г. Кондопога, км 0 – км 0+600</t>
  </si>
  <si>
    <t>.110290400</t>
  </si>
  <si>
    <t>Объекты, реализуемые в рамках софинансирования расходов бюджета Республики Карелия некоммерческой организацией "Фонд развития моногородов"</t>
  </si>
  <si>
    <t>Реализация мероприятий в рамках  государственной программы Российской Федерации «Экономическое развитие и инновационная экономика»</t>
  </si>
  <si>
    <t>II.II.III.</t>
  </si>
  <si>
    <t>II.II.IV.</t>
  </si>
  <si>
    <t xml:space="preserve">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г. Кондопога </t>
  </si>
  <si>
    <t xml:space="preserve">Строительство канализационных очистных сооружений  г. Пудожа </t>
  </si>
  <si>
    <t>I.II.I.</t>
  </si>
  <si>
    <t xml:space="preserve">Реализация мероприятий в рамках Национальных проектов </t>
  </si>
  <si>
    <t>в том числе обеспечение мероприятий по переселению граждан из аварийного жилищного фонда</t>
  </si>
  <si>
    <r>
      <t>Строительство канализационных очистных сооружений хозяйственно-бытовых сточных вод г. Медвежьегорска мощностью  4000 м</t>
    </r>
    <r>
      <rPr>
        <vertAlign val="superscript"/>
        <sz val="16"/>
        <rFont val="Times New Roman"/>
        <family val="1"/>
        <charset val="204"/>
      </rPr>
      <t>3</t>
    </r>
    <r>
      <rPr>
        <sz val="16"/>
        <rFont val="Times New Roman"/>
        <family val="1"/>
        <charset val="204"/>
      </rPr>
      <t xml:space="preserve">/сутки </t>
    </r>
  </si>
  <si>
    <t xml:space="preserve">Реконструкция здания по адресу г. Петрозаводск, ул. Кирова, д. 12 (в котором осуществляют свою деятельность БУ «Театр драмы Республики Карелия», БУ «Карельская государственная филармония»)  </t>
  </si>
  <si>
    <t xml:space="preserve">Мероприятия по разработке проектно-сметной документации </t>
  </si>
  <si>
    <t xml:space="preserve">Реализация мероприятий в рамках  федеральной целевой программы "Развитие Республики Карелия на период до 2020г." </t>
  </si>
  <si>
    <t>.1110290400</t>
  </si>
  <si>
    <t xml:space="preserve">в том числе реализация мероприятий в рамках федеральной целевой программы "Развитие Республики Карелия на период до 2020г." </t>
  </si>
  <si>
    <t>Реализация мероприятий в рамках государственных программ РФ (федеральных целевых программ), софинансирование бюджета РК за счет средств НКО "Фонд развития моногородов"</t>
  </si>
  <si>
    <t xml:space="preserve">Разработка проектно-сметной документации </t>
  </si>
  <si>
    <t>на 23 января 2020 года</t>
  </si>
  <si>
    <t>на 20  февраля 2020 года</t>
  </si>
  <si>
    <t>ИТОГ 41_(ГРБС 811)</t>
  </si>
  <si>
    <t>ИТОГ (ГРБС 811_ _ _ _ _ R419_)</t>
  </si>
  <si>
    <t>41_</t>
  </si>
  <si>
    <t>Код цели</t>
  </si>
  <si>
    <t>14072</t>
  </si>
  <si>
    <t>14058</t>
  </si>
  <si>
    <t>24366</t>
  </si>
  <si>
    <t>20-52430-89303-00000</t>
  </si>
  <si>
    <t>20-53720-06008-00000</t>
  </si>
  <si>
    <t>20-53840-06189-00000</t>
  </si>
  <si>
    <t>20-54190-73142-00000</t>
  </si>
  <si>
    <t>20-54190-73102-00000</t>
  </si>
  <si>
    <t>20-54190-72022-00000</t>
  </si>
  <si>
    <t>20-54190-52231-00000</t>
  </si>
  <si>
    <t>без кода</t>
  </si>
  <si>
    <t>20-52390-00000-00000</t>
  </si>
  <si>
    <t>20-54190-52237-00000</t>
  </si>
  <si>
    <t>20-55190-66854-00000</t>
  </si>
  <si>
    <t>20-54190-52266-00000</t>
  </si>
  <si>
    <t>24363                  24362              24368</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</si>
  <si>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в границах улиц Санаторная-Крупская-Куйбышева и р. Кумса в г. Медвежьегорска"; кадастровый номер земельного участка 10:13:0011003:2</t>
  </si>
  <si>
    <t>Строительство инженерной и транспортной инфраструктуры к земельным участкам, выделенным под индивидуальное жилищное строительство экономического класса для многодетных семей в районе малоэтажной жилой застройки по адресу: Медвежьегорский муниципальный район, Медвежьегорское городское поселение, г. Медвежьегорск, ул. Первомайская, кадастровый номер квартала 10:13:0011034</t>
  </si>
  <si>
    <t>Сегежский  муниципальный район</t>
  </si>
  <si>
    <t>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улиц Лесокультурная-Гоголя-8 Марта в г. Сегежа</t>
  </si>
  <si>
    <t>Строительство водопроводных очистных сооружений, г. Сегежа-проектные работы</t>
  </si>
  <si>
    <t>Реконструкция системы водоотведения и канилизационных очистных сооружений, г.Олонец</t>
  </si>
  <si>
    <t>Реконструкция канализационных очистных сооружений в с.Видлица Олонецкого района Республики Карелия</t>
  </si>
  <si>
    <t>Реконструкция канализационных очистных сооружений в пгт.Чупа Лоухского муниципального района Республики Карелия на 2016 год</t>
  </si>
  <si>
    <t>Реконструкция канализационных очистных сооружений (КОС) поселка Заозерный Сортавальского муниципального района</t>
  </si>
  <si>
    <t>Комплексное обустройство площадки под компактную жилищную застройку сельской местности, Республики Карелия, Медвежьегорский муниципальный район, дер. Толвуя</t>
  </si>
  <si>
    <t>Комплексное обустройство площадки под компактную жилищную застройку сельской местности, Республики Карелия, Олонецкий национальный муниципальный район, дер. Верховье</t>
  </si>
  <si>
    <t>Реконструкция стадиона муниципального бюджетного образовательного учреждения «Гимназия», г. Костомукша</t>
  </si>
  <si>
    <t>Реконструкция легкоатлетического ядра стадиона, расположенного по ул. Лесокультурной в г.Сегежа Республики Карелия</t>
  </si>
  <si>
    <t>Строительство спортивного комплекса в пойме реки Неглинки в районе зданий №12 по ул. Крупской м №8 по ул.Красной в г.Петрозаводске"-II этап (строительство конькобежной дорожки в г.Петрозаводске)</t>
  </si>
  <si>
    <t>Реконструкция административного здания муниципального бюджетного учреждения «Сегежская централизованная библиотечная система»</t>
  </si>
  <si>
    <t>Строительство здания общеобразовательной организации в пос. Деревянка Прионежского муниципального района</t>
  </si>
  <si>
    <t>Разработка проектной документации по разборке незавершенного строительства здания детского сада в пос. Калевала</t>
  </si>
  <si>
    <t>Разработка проектной документации по объекту "Реконструкция ул. Куйбышева от пр. Ленина до наб. Варкауса в г. Петрозаводске"</t>
  </si>
  <si>
    <t>Разработка проектной документации по объекту "Реконструкция ул. Хейкконена в г. Петрозаводске"</t>
  </si>
  <si>
    <t>Разработка проектной документации по объекту "Строительство автомобильной дороги проезд Тидена (от Вытегорского шоссе до продления пр. Комсомольского) в г. Петрозаводске"</t>
  </si>
  <si>
    <t>Разработка проектной документации по объекту "Строительство (продление) пр. Комсомольского до II транспортного полукольца в г. Петрозаводске"</t>
  </si>
  <si>
    <t>Разработка проектной документации по объекту "Реконструкция ул. Достоевского от ул. Зайцева до ул. Боровой с устройством тоннеля под железнодорожными путями по ул. Халтурина в г. Петрозаводске""</t>
  </si>
  <si>
    <t>Корректировка прроектно-сметной документации по объекту "Строительство Лососинского шоссе от ул. Попова до второго транспортного полукольца в жилом районе "Древлянка II"(общегородская магистраль № 1) в г. Петрозаводске"</t>
  </si>
  <si>
    <t>Разработка проектной документации по объекту "Расширение ул. Роберта Рождественского до транспортной развязки ул. Чапаева-пр. Лесной"</t>
  </si>
  <si>
    <t>Разработка прроектной документации по объекту "Реконструкция мостового перехода через р. Лососинка по ул. Луначарского в г. Петрозаводске"</t>
  </si>
  <si>
    <t>Разработка прроектной документации по объекту "Строительство автомобильной дороги к Дому культуры в д. Мегрегап"</t>
  </si>
  <si>
    <t>Разработка проектно-сметной документации на перепроектирование объекта капитального незавершенного строительства (спортивного блока № 2 в г. Кондопогоа)</t>
  </si>
  <si>
    <t>Разработка проектно-сметной документации на реконструкцию физкультурно-оздоровительного комплекса в пгт .Пяозерский</t>
  </si>
  <si>
    <t>Разработка проектно-сметной документации на строительство физкультурно-оздоровительного комплекса в г. Олонце</t>
  </si>
  <si>
    <t>Разработка проектно-сметной документации на строительство физкультурно-оздоровительного комплекса в пгт. Пряжа</t>
  </si>
  <si>
    <t xml:space="preserve">Строительство газопровода распределительного (уличная сеть) по д. Верхняя Видлица, д. Гавриловка, с. Видлица, п. Устье Видлицы Видлицкого сельского поселения Олонецкого нацонального муниципального района </t>
  </si>
  <si>
    <t>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t>
  </si>
  <si>
    <t xml:space="preserve">Строительство газопровода распределительного (уличная сеть) по д. Татчелица, д. Путилица, д. Тахтасово, д. Иммалицы, д. Рыпушкалицы, д. Капшойла, Олонецкого городского поселения Олонецкого нацонального муниципального района </t>
  </si>
  <si>
    <t>Строительство газопровода распределительного (уличная сеть) по д.Тукса Туксинского сельского поселения Олонецкого национального муниципального района</t>
  </si>
  <si>
    <t>Строительство газопровода распределительного (уличная сеть) по д. Юргелица, д.Онькулица, д.Мегрега Олонецкого национального муниципального района 1-й этап строительства</t>
  </si>
  <si>
    <t>Строительство котельной в с. Спасская Губа Кондопожского района</t>
  </si>
  <si>
    <t>Строительство водопроводных очистных сооружений, г. Кеми</t>
  </si>
  <si>
    <t>Прокладка трубопровода холодного водоснабжения и установка водоразборных колонок по ул. Линдозерская, ул. Анохина, ул. А. Лисициной, ул. Ригоева в г. Сегежа Республики Карелия</t>
  </si>
  <si>
    <t>Строительство водоводов и водоотведения в пгт. Пряжа в целях жилищного строительства для семей, имеющих трех и более детей</t>
  </si>
  <si>
    <t>Строительство очистных канализационных сооружений в п. Ладва Прионежского муниципального района Республики Карелия</t>
  </si>
  <si>
    <t>Строительство водопроводных очистных сооружений г. Пудож</t>
  </si>
  <si>
    <t>Реконструкция котельной в пос. Кварцитный Прионежского района Республики Карелия (кадастровый № 10:22:0010301:99) на 3МВт с заменой оборудования и ликвидацией мазутного хозяйства</t>
  </si>
  <si>
    <t>Реконструкция котельной в пос. Деревянка Прионежского района Республики Карелия (кадастровый № 10:20:000000:5011) на 3МВт с заменой оборудования и увеличения мощности</t>
  </si>
  <si>
    <t>Детский сад в п. Ляскеля Питкярантского муниципального района Республики Карелия</t>
  </si>
  <si>
    <t>Детский сад на 200 мест в п.Ильинский Олонецкого района Республики Карелия</t>
  </si>
  <si>
    <t>Реконструкция  автостанции,                                                                                                 пгт  Пряжа</t>
  </si>
  <si>
    <t>Реконструкция  автостанции,                                                                                                 г. Пудож</t>
  </si>
  <si>
    <t>Реконструкция сети посадочных площадок, обеспечивающих функционирование воздушного транспорта на территории Республики Карелия. Реконструкция посадочной площадки, г.Сортавала, пос. Хелюля</t>
  </si>
  <si>
    <t>Реконструкция нежилых помещений, расположенных на 1 и 2 этажах здания № 7 по проезду Монтажников в г.Сегежа под детскую поликлинику. 1 этап</t>
  </si>
  <si>
    <t>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t>
  </si>
  <si>
    <t>Республиканский онкологический диспансер Республики Карелия (строительство)</t>
  </si>
  <si>
    <t>Корректировка, разработка проектно-сметной документации по строительству объектов транспортной и инжинерной инфраструктуры, обеспечивающей земельные участки, предоставленные для индивидуального жилищного строительства, в том числе многодетным семьям на территории Костомукшеского городского округа</t>
  </si>
  <si>
    <t>Строительство здания общеобразовательной организации в пос. Салми Питкяранского муниципального района</t>
  </si>
  <si>
    <t>Разработка проектной документации по объекту "Строительство районной магистрали от ул. Попова до ул. Университетской в г. Петрозаводске</t>
  </si>
  <si>
    <t>Строительство автомобильной дороги Великая Губа-Оятевщина</t>
  </si>
  <si>
    <t>Реконструкция мостового перехода через р. Сяпся на км 58+060 автомобильной дороги Петрозаводск-Суоярви</t>
  </si>
  <si>
    <t>Реконструкция котельной в пос. Деревянка  Прионежского района Республики Карелия (кадастровый № 10:20:000000:4317) на 3МВт с заменой оборудования и ликвидацией мазутного хозяйства</t>
  </si>
  <si>
    <t>20-53900-0000-00001</t>
  </si>
  <si>
    <t>20-54190-52250-00000</t>
  </si>
  <si>
    <t>20-54190-52261-00000</t>
  </si>
  <si>
    <t>14037</t>
  </si>
  <si>
    <t>20-54190-45864-00000</t>
  </si>
  <si>
    <t>Прокладка трубопровода холодного водоснабжения и установка водозаборных колонок по ул. Линдозерская, ул. Анохина, ул. Лисициной, ул. Ригоева в г. Сегежа Республики Карелия</t>
  </si>
  <si>
    <t>Строительство открытой конькобежной дорожки с искусственным льдом в городе Сортавале</t>
  </si>
  <si>
    <t>Строительство модульной котельной мощностью 30,0 МВт в пгт Надвоицы Сегежского муниципального района</t>
  </si>
  <si>
    <t>Строительство газопровода распредилительного (уличная сеть) в микрорайоне "Университетский городок"</t>
  </si>
  <si>
    <t>Внешнее электроснабжение 6кВ туристского центра "Три водопада" от ПС-6 пос. Леппясилта (Питкярантский муниципальный район, вдп. Юканоски)</t>
  </si>
  <si>
    <t>Строительство детского сада в п. Ляскеля Питкяранского муниципального района Республики Карелия</t>
  </si>
  <si>
    <t xml:space="preserve"> - в рамках соглашения</t>
  </si>
  <si>
    <t xml:space="preserve"> - сверх соглашения</t>
  </si>
  <si>
    <t>I.II.II.</t>
  </si>
  <si>
    <t>Реконструкция здания МБУ «Сегежская централизованная библиотечная система», г. Сегежа, ул. Мира, д. 6</t>
  </si>
  <si>
    <t>Олонецкий  муниципальный район</t>
  </si>
  <si>
    <t>Реконструкция канализационных очистных сооружений в с. Видлица Олонецкого района Республики Карелия)</t>
  </si>
  <si>
    <t>Сортавальский  муниципальный район</t>
  </si>
  <si>
    <t xml:space="preserve">Реконструкция канализационных очистных сооружений поселка Заозерный </t>
  </si>
  <si>
    <t>Объекты, реализуемые в рамках федеральной целевой программы "Развитие Республики Карелия на период до 2020 года" (корректировка ПСД)</t>
  </si>
  <si>
    <t xml:space="preserve">Реконструкция канализационно-очистных сооружений в пгт. Чупа </t>
  </si>
  <si>
    <t>R419</t>
  </si>
  <si>
    <t>К419</t>
  </si>
  <si>
    <t>24363                  24362              24368, 05 1 F3 67484 и 05 1 F3 67483</t>
  </si>
  <si>
    <t>Реконструкция здания под размещение пожарного депо ГКУ «Отряд противопожарной службы по Беломорскому району»,    г. Беломорск, ул. Пионерская, д. 2-б</t>
  </si>
  <si>
    <t xml:space="preserve">Строительство линии электропередачи от ПС-20 для обеспечения электроснабжения деревообрабатывающего производства, г. Кондопога </t>
  </si>
  <si>
    <t>Реконструкция универсальной загородной учебно-тренировочной базы ГБУ РК «Центр спортивной подготовки «Школа высшего спортивного мастерства»; Прионежский муниципальный район, местечко Ялгуба» – 2 этап</t>
  </si>
  <si>
    <t>II.II.V.</t>
  </si>
  <si>
    <t>Объекты, реализуемые в рамках федеральной целевой программы "Развитие Республики Карелия на период до 2020 года" (корректировка, разработка ПСД)</t>
  </si>
  <si>
    <t>Разработка проектной документации по объекту «Строительство подъездной автомобильной дороги общего пользования местного значения к жилому комплексу в пос. Сопоха»</t>
  </si>
  <si>
    <t>I.II.III.</t>
  </si>
  <si>
    <t>Объекты, реализуемые в рамках  государственной программы Российской Федерации «Экономическое развитие и инновационная экономика»</t>
  </si>
  <si>
    <t xml:space="preserve">Объекты, реализуемые в рамках государственной программы Российской Федерации "Комплексное развитие сельских территорий" </t>
  </si>
  <si>
    <t>Объекты, реализуемые в рамках мероприятий ФЦП "Развитие Республики Карелия на период до 2020 года"</t>
  </si>
  <si>
    <t xml:space="preserve">Объем капитальных вложений на 2021 год             </t>
  </si>
  <si>
    <t xml:space="preserve">Объем капитальных вложений на 2022 год             </t>
  </si>
  <si>
    <t xml:space="preserve">Строительство здания общеобразовательной организации в г.Медвежьегорске на    1200 мест </t>
  </si>
  <si>
    <t>Строительство крытого футбольного манежа в г.Петрозаводске</t>
  </si>
  <si>
    <t>Строительство физкультурно-оздоровительного  комплекса  в  г. Олонец</t>
  </si>
  <si>
    <t>Национальный проект "Спорт- норма жизни"</t>
  </si>
  <si>
    <t>Реконструкция участка автомобильной дороги Олонец-Вяртсиля, км96-км118 (24 км) 2 этап</t>
  </si>
  <si>
    <t>Национальный проект "Демография"</t>
  </si>
  <si>
    <r>
      <t>Строительство канализационных очистных сооружений хозяйственно-бытовых сточных вод г. Медвежьегорска мощностью  4000 м</t>
    </r>
    <r>
      <rPr>
        <vertAlign val="superscript"/>
        <sz val="14"/>
        <rFont val="Times New Roman"/>
        <family val="1"/>
        <charset val="204"/>
      </rPr>
      <t>3</t>
    </r>
    <r>
      <rPr>
        <sz val="14"/>
        <rFont val="Times New Roman"/>
        <family val="1"/>
        <charset val="204"/>
      </rPr>
      <t xml:space="preserve">/сутки </t>
    </r>
  </si>
  <si>
    <t>Реконструкция канализационных очистных сооружений в пгт Позерский Лоухского муниципального района</t>
  </si>
  <si>
    <t>Cстроительство сельского дома культуры в дер. Мегрега Олонецкого национального муниципального района</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</si>
  <si>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(Петрозаводский городской округ)</t>
  </si>
  <si>
    <t>Прокладка трубопровода холодного водоснабжения и установка водоразборных колонок по ул. Линдозерская, ул. Анохина, ул. А. Лисицыной, ул. Ригоева в г. Сегежа Республики Карелия</t>
  </si>
  <si>
    <t xml:space="preserve">Строительство газопровода распределительного (уличная сеть) по д. Верхняя Видлица, д. Гавриловка, с. Видлица, п. Устье Видлицы Видлицкого сельского поселения Олонецкого национального муниципального района </t>
  </si>
  <si>
    <t>Строительство газопровода распределительного (уличная сеть) в микрорайоне "Университетский городок"</t>
  </si>
  <si>
    <t>Осуществляются конкурсные процедуры. Дата окончания подачи заявок - 05.07.2019 г.</t>
  </si>
  <si>
    <t>Заключено  Соглашение с ФОИВ (планируется реконструкция ВОС в г. Сортавала). Пакет документов с обосновывающими документами для заключения дополнительного соглашения  направлен в марте 2019 г. на согласование в Минстрой России. В настоящее время вносятся изменения в ГП.</t>
  </si>
  <si>
    <t>Реконструкция легкоатлетического ядра стадиона, расположенного по ул. Лесокультурой в г.Сегежа Республики Карелия</t>
  </si>
  <si>
    <t>Прокладка трубопровода холодного водоснабжения и установка водозаборных колонок по ул. Линдозерская, ул. Анохина, ул. Лисицыной, ул. Ригоева в г. Сегежа Республики Карелия</t>
  </si>
  <si>
    <t xml:space="preserve">Строительство газопровода распределительного (уличная сеть) по д. Татчелица, д. Путилица, д. Тахтасово, д. Иммалицы, д. Рыпушкалицы, д. Капшойла, Олонецкого городского поселения Олонецкого национального муниципального района </t>
  </si>
  <si>
    <t>Конкурсные процедуры отменены 15.03.2019 г. В соответствии с приказом ФГУ
"УПРАВЛЕНИЕ СТРОИТЕЛЬСТВА ПО ЦЕНТРАЛЬНОМУ ФЕДЕРАЛЬНОМУ ОКРУГУ ФЕДЕРАЛЬНОЙ СЛУЖБЫ ИСПОЛНЕНИЯ НАКАЗАНИЙ" № 17 от 15.03.2019 г. "Об отмене предложений".</t>
  </si>
  <si>
    <t>Разработка проектной документации по объекту "Строительство автомобильной дороги к Дому культуры в д. Мегрега"</t>
  </si>
  <si>
    <t>Разработка проектной документации по объекту "Реконструкция мостового перехода через р. Лососинка по ул. Луначарского в г. Петрозаводске"</t>
  </si>
  <si>
    <t>Корректировка проектно-сметной документации по объекту "Строительство Лососинского шоссе от ул. Попова до второго транспортного полукольца в жилом районе "Древлянка II"(общегородская магистраль № 1) в г. Петрозаводске"</t>
  </si>
  <si>
    <t>Муниципальный район (Беломорский, Кемский, Суоярвский)</t>
  </si>
  <si>
    <t xml:space="preserve">Реконструкция КОС (канализационные очистные сооружения) в пос. Салми Питкярантского района Республики Карелия
</t>
  </si>
  <si>
    <t>Завершение строительства сельского дома культуры в дер. Мегрега Олонецкого национального муниципального района (за счет собственных средств)</t>
  </si>
  <si>
    <t>Завершение строительства физкультурно-оздоровительного  комплекса  в  г. Медвежьегорске Республики Карелия (за счет собственных средств)</t>
  </si>
  <si>
    <t>83*</t>
  </si>
  <si>
    <t xml:space="preserve">Исполнено </t>
  </si>
  <si>
    <t>Исп. Липасова М.Е. 717-224</t>
  </si>
  <si>
    <t>Корректировка, разработка проектно-сметной документации по строительству объектов транспортной и инженерной инфраструктуры, обеспечивающей земельные участки, предоставленные для индивидуального жилищного строительства, в том числе многодетным семьям на территории Костомукшского городского округа</t>
  </si>
  <si>
    <t>Строительство здания общеобразовательной организации в пос. Салми Питкярантского муниципального района</t>
  </si>
  <si>
    <t>Строительство детского сада в п. Ляскеля Питкярантского муниципального района Республики Карелия</t>
  </si>
  <si>
    <t>Разработка проектно-сметной документации на перепроектирование объекта капитального незавершенного строительства (спортивного блока № 2 в г. Кондопога)</t>
  </si>
  <si>
    <t>40*</t>
  </si>
  <si>
    <t>41*</t>
  </si>
  <si>
    <t xml:space="preserve">на 19 марта 2020 года </t>
  </si>
  <si>
    <t>I</t>
  </si>
  <si>
    <t>В.Б. Маркова</t>
  </si>
  <si>
    <t>82*</t>
  </si>
  <si>
    <t xml:space="preserve">Реконструкция здания отделения временного проживания инвалидов и пожилых людей в пос. Летнереченский Беломорского района государственного бюджетного учреждения социального обслуживания Республики Карелия "Комплексный центр социального обслуживания населения Республики Карелия"
</t>
  </si>
  <si>
    <t>Отклонения от первоначального плана</t>
  </si>
  <si>
    <t>Первоначальный план</t>
  </si>
  <si>
    <t>Реконструкция сети посадочных площадок, обеспечивающих функционирование воздушного транспорта на территории Республики Карелия. Реконструкция посадочной площадки, г.Котомукша</t>
  </si>
  <si>
    <t xml:space="preserve">Сортавальский муниципальный район </t>
  </si>
  <si>
    <t>Разработка проектной документации по объекту "Строительство мостового перехода по улице Промышленная в г. Сортавала через пролив Ворссунсалми на остров Риеккалансаари взамен существующего наплавного понтонного моста"</t>
  </si>
  <si>
    <t>Строительство здания детского сада на 150 мест в г.Сортавале, пер. Первомайский</t>
  </si>
  <si>
    <t>Строительство здания детского сада на 150 мест в г.Сортавале, ул. Бондарева</t>
  </si>
  <si>
    <t>Корректировка проектно-сметной документации</t>
  </si>
  <si>
    <t>Информация</t>
  </si>
  <si>
    <t>об объектах, реализуемых в рамках федеральной целевой программы "Развитие Республики Карелия на период до 2020 года"</t>
  </si>
  <si>
    <t>Бюджетные инвестиции</t>
  </si>
  <si>
    <t xml:space="preserve"> - разработка проектно-сметной документации </t>
  </si>
  <si>
    <t>Расходы - всего, в том силе:</t>
  </si>
  <si>
    <t xml:space="preserve">по сотоянию на 26 марта 2020 года </t>
  </si>
  <si>
    <t>всего -  субсидии в рамках соглашения</t>
  </si>
  <si>
    <t>всего -  субсидии сверх соглашения</t>
  </si>
  <si>
    <t>Строительство детского сада на 300 мест в районе ул.Чехова в г.Петрозаводске</t>
  </si>
  <si>
    <t>Инфраструктурное обеспечение промышленной площадки на территории Петрозаводкого городского округа Республики Карелия</t>
  </si>
  <si>
    <t>Обследование для строительства здания детского сада в г.Петрозаводске по Ключевскому шоссе в районе пересечения с ул. Репникова в городе Петрозаводске</t>
  </si>
  <si>
    <t xml:space="preserve"> Строительство здания общеобразовательной организации в г.Медвежьегорске</t>
  </si>
  <si>
    <t>Реконструкция МБОУ ДО «Музыкальная школа в г.Питкяранта»</t>
  </si>
  <si>
    <t>Строительство общеобразовательной организации на 330 мест в г.Суоярви</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</si>
  <si>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(Лоухский муниципальный район)</t>
  </si>
  <si>
    <t>Участок автомобильной дороги ул. Оборонная от шоссе Лососинское до ул. Новоселов, участок автомобильной дороги ул. Новоселов от ул. Оборонная до ул. Хейкконена в г. Петрозаводске</t>
  </si>
  <si>
    <t>Реконструкция здания под размещение пожарного депо ГКУ «Отряд противопожарной службы по Беломорскому району», г. Беломорск, ул. Пионерская, д. 2-б</t>
  </si>
  <si>
    <t>Строительство автомобильной дороги к памятнику археологии «Петроглифы Залавруги»</t>
  </si>
  <si>
    <t>Перепроектирование спортивного блока № 2 в г.Кондопоге</t>
  </si>
  <si>
    <t xml:space="preserve">Строительство физкультурно-оздоровительного  комплекса  в  г. Медвежьегорске Республики Карелия </t>
  </si>
  <si>
    <t xml:space="preserve">Строительство насосной станции с водоводами для нужд пгт Калевала
</t>
  </si>
  <si>
    <t xml:space="preserve">Строительство водоочистных сооружений с подключением магистральных сетей в действующую систему водоснабжения для нужд пгт Калевала
</t>
  </si>
  <si>
    <t xml:space="preserve">Реконструкция канализационных очистных сооружений города Олонца Республики Карелия
</t>
  </si>
  <si>
    <t xml:space="preserve">Реконструкция системы водоотведения города Олонца Республики Карелия
</t>
  </si>
  <si>
    <t xml:space="preserve">Реконструкция канализационных очистных сооружений в поселке Шуя Прионежского муниципального района
</t>
  </si>
  <si>
    <t xml:space="preserve">Реконструкция системы водоотведения и очистки сточных вод в пос. Новая Вилга
</t>
  </si>
  <si>
    <t xml:space="preserve">Реконструкция системы водоотведения и очистки сточных вод в пос. Мелиоративный
</t>
  </si>
  <si>
    <t xml:space="preserve">Реконструкция системы водоотведения и очистки сточных вод в с. Заозерье
</t>
  </si>
  <si>
    <t>Объекты, реализуемые в рамках  индивидуальной программы социально-экономического развития Республики Карелия на 2020-2024 годы</t>
  </si>
  <si>
    <t>Начальник управления</t>
  </si>
  <si>
    <t>Коновалова Т.В.</t>
  </si>
  <si>
    <t>47*</t>
  </si>
  <si>
    <t>48*</t>
  </si>
  <si>
    <t>88*</t>
  </si>
  <si>
    <t>108*</t>
  </si>
  <si>
    <t>110*</t>
  </si>
  <si>
    <t xml:space="preserve">на 1 августа 2020 года </t>
  </si>
  <si>
    <t>Реализация мероприятий по обеспечению дорожной деятельности за счет средств резервного фонда Правительства РФ</t>
  </si>
  <si>
    <t>о расходах на реализацию мероприятий, реализуемых в рамках федеральной целевой программы "Развитие Республики Карелия на период до 2020 года"</t>
  </si>
  <si>
    <t>Объекты, реализуемые в рамках федеральной целевой программы "Развитие Республики Карелия на период до 2020 года" - всего</t>
  </si>
  <si>
    <t>Корректировка ПСД</t>
  </si>
  <si>
    <t>2.1.</t>
  </si>
  <si>
    <t>2.2.</t>
  </si>
  <si>
    <t>2.3.</t>
  </si>
  <si>
    <t>2.4.</t>
  </si>
  <si>
    <t>2.5.</t>
  </si>
  <si>
    <t>2.6.</t>
  </si>
  <si>
    <t>2.7.</t>
  </si>
  <si>
    <t>1.3.</t>
  </si>
  <si>
    <t>1.4.</t>
  </si>
  <si>
    <t>1.5.</t>
  </si>
  <si>
    <t>1.6.</t>
  </si>
  <si>
    <t>1.7.</t>
  </si>
  <si>
    <t>2.8.</t>
  </si>
  <si>
    <t>2.9.</t>
  </si>
  <si>
    <t>2.10.</t>
  </si>
  <si>
    <t>2.11.</t>
  </si>
  <si>
    <t>2.12.</t>
  </si>
  <si>
    <t>2.13.</t>
  </si>
  <si>
    <t>2.14.</t>
  </si>
  <si>
    <t>2.15.</t>
  </si>
  <si>
    <t>2.16.</t>
  </si>
  <si>
    <t>2.17.</t>
  </si>
  <si>
    <t>2.18.</t>
  </si>
  <si>
    <t>2.19.</t>
  </si>
  <si>
    <t>2.20.</t>
  </si>
  <si>
    <t>2.21.</t>
  </si>
  <si>
    <t>2.22.</t>
  </si>
  <si>
    <t>2.23.</t>
  </si>
  <si>
    <t>2.24.</t>
  </si>
  <si>
    <t>2.25.</t>
  </si>
  <si>
    <t>2.26.</t>
  </si>
  <si>
    <t>2.27.</t>
  </si>
  <si>
    <t>2.28.</t>
  </si>
  <si>
    <t>корректировка проектной документации</t>
  </si>
  <si>
    <t>2.29.</t>
  </si>
  <si>
    <t>федеральная целевая программа "Развитие Республики Карелия на период до 2020 года"</t>
  </si>
  <si>
    <t xml:space="preserve"> - в рамках соглашения (остатки по приказу)</t>
  </si>
  <si>
    <t xml:space="preserve">Объекты, реализуемые в рамках реализации мероприятий индивидуальной программы социально-экономического развития Республики Карелия на 2020-2024 годы </t>
  </si>
  <si>
    <t>Строительство автомобильной дороги к памятнику археологии «Петроглифы Залавруги» в рамках развития инфраструктуры археологического комплекса "Беломорские петроглифы"</t>
  </si>
  <si>
    <t>Разработка проектно-сметной документации на строительство моста через протоку Кислый Пудас в рамках развития инфраструктуры археологического комплекса «Беломорские петроглифы»</t>
  </si>
  <si>
    <t>Разработка проектно-сметной документации на создание кластера для развития зимних видов спорта в г. Петрозаводске</t>
  </si>
  <si>
    <t>Разработка проектно-сметной документации на строительство визит-центра в рамках развития инфраструктуры археологического комплекса «Беломорские петроглифы»</t>
  </si>
  <si>
    <t>Разработка проектно-сметной документации на строительство производственных помещений на территории промышленного парка в г. Петрозаводске</t>
  </si>
  <si>
    <t>в том числе корректировка ПСД (федеральная целевая программа "Развитие Республики Карелия на период до 2020г." )</t>
  </si>
  <si>
    <t>II.I.IV.</t>
  </si>
  <si>
    <t xml:space="preserve">на 27 августа 2020 года </t>
  </si>
  <si>
    <t>Нераспределенные средства</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</si>
  <si>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(I этап)</t>
  </si>
  <si>
    <t>_____90420</t>
  </si>
  <si>
    <t>___G5</t>
  </si>
  <si>
    <t>051F3</t>
  </si>
  <si>
    <t>____R419</t>
  </si>
  <si>
    <t>____К419</t>
  </si>
  <si>
    <t>______419</t>
  </si>
  <si>
    <t>остатки</t>
  </si>
  <si>
    <t>_____К419</t>
  </si>
  <si>
    <t>_____R419</t>
  </si>
  <si>
    <t>_____419</t>
  </si>
  <si>
    <t>07 02 414</t>
  </si>
  <si>
    <t>052G5</t>
  </si>
  <si>
    <t>081P5</t>
  </si>
  <si>
    <t>0, перенос кассы после открытия ЛБО</t>
  </si>
  <si>
    <t>0+09101</t>
  </si>
  <si>
    <t xml:space="preserve">0510309502
</t>
  </si>
  <si>
    <t xml:space="preserve"> - в рамках соглашения (резервный фонд ПРФ)</t>
  </si>
  <si>
    <t>Водопроводная очистная станция, производительностью 8500 м3/сут., по адресу: г.Сортавала, пер.Фабричный (разработка ПСД)</t>
  </si>
  <si>
    <t>Строительство объекта "Сети электроснабжения гостиничного комплекса на озере Линдозеро в г.Сегежа"</t>
  </si>
  <si>
    <t>Строительство здания детского сада в пос. Калевала</t>
  </si>
  <si>
    <t>Реконструкция здания спортивного комплекса по ул. Советская, д.15 в п. Боровой Калевальского муниципального района Республики Карелия</t>
  </si>
  <si>
    <t>Калевальский  муниципальный район</t>
  </si>
  <si>
    <t>42*</t>
  </si>
  <si>
    <t>43*</t>
  </si>
  <si>
    <t>77*</t>
  </si>
  <si>
    <t>90*</t>
  </si>
  <si>
    <t>91*</t>
  </si>
  <si>
    <t>Исп. Зиновьева</t>
  </si>
  <si>
    <t>Здание общеобразовательной организации в с. Заозерье Прионежского муниципального района (на 100 мест) Республика Карелия, Прионежский муниципальный район, с. Заозерье)</t>
  </si>
  <si>
    <t>Здание общеобразовательной организации в г. Суоярви (на 330 мест) Республика Карелия, г. Суоярви</t>
  </si>
  <si>
    <t>Республиканский спортивный комплекс "Курган" г. Петрозаводск (инженерная подготовка территорий вдоль теплотрассы) (строительство)</t>
  </si>
  <si>
    <t xml:space="preserve">Объем капитальных вложений                                                   на 2020 год             </t>
  </si>
  <si>
    <t>фед. бюджета,                                        Фонда реф.ЖКХ</t>
  </si>
  <si>
    <t>фед. бюджета,                                                   Фонда реф.ЖКХ</t>
  </si>
  <si>
    <t>фед. бюджета,                                                 Фонда реф.ЖКХ</t>
  </si>
  <si>
    <t xml:space="preserve">Начальник управления расходов </t>
  </si>
  <si>
    <t xml:space="preserve">на 30 декабря 2020 года </t>
  </si>
  <si>
    <t>почему Пряжа?</t>
  </si>
  <si>
    <t xml:space="preserve">на 31 декабря 2020 года </t>
  </si>
  <si>
    <t xml:space="preserve"> - в рамках соглашения </t>
  </si>
  <si>
    <t>55*</t>
  </si>
  <si>
    <t>68*</t>
  </si>
  <si>
    <t>69*</t>
  </si>
  <si>
    <t>66*</t>
  </si>
  <si>
    <t>76*</t>
  </si>
  <si>
    <t>Расходы - Всего</t>
  </si>
  <si>
    <t>Объекты в сфере дорожного строительства</t>
  </si>
  <si>
    <t>Cубсидии бюджетам муниципальных образований</t>
  </si>
  <si>
    <t xml:space="preserve"> - объекты дорожного строительства</t>
  </si>
  <si>
    <t xml:space="preserve"> -  в рамках соглашения</t>
  </si>
  <si>
    <t xml:space="preserve"> -   сверх соглашения</t>
  </si>
  <si>
    <t>всего -  сверх соглашения</t>
  </si>
  <si>
    <t>всего -   в рамках соглашения</t>
  </si>
  <si>
    <t>Исполнено (уточняется на 31.12.2020г.)</t>
  </si>
  <si>
    <t>Строительство объектов инженерно-технического обеспечения Промышленного парка в пгт Надвоицы Сегежского района Республики Карелия</t>
  </si>
  <si>
    <t>Исп. Маркова</t>
  </si>
  <si>
    <t>75*</t>
  </si>
  <si>
    <t>% исполнения</t>
  </si>
  <si>
    <t>Нераспределенные средства (Объекты дорожного строительства)</t>
  </si>
  <si>
    <t xml:space="preserve"> о финансовом обеспечении мероприятий, реализуемых в рамках федеральной целевой программы "Развитие Республики Карелия на период до 2020 года" </t>
  </si>
  <si>
    <t>Мероприятия, реализуемые в рамках федеральной целевой программы "Развитие Республики Карелия на период до 2020 года"</t>
  </si>
  <si>
    <t>Мероприятия, реализуемые в рамках федеральной целевой программы "Развитие Республики Карелия на период до 2020 года" (без учета сумм, предусмотренных сверх заключенных соглашений)</t>
  </si>
  <si>
    <t xml:space="preserve">федерального бюджета                         </t>
  </si>
  <si>
    <t>2021 год</t>
  </si>
  <si>
    <t xml:space="preserve">2020год </t>
  </si>
  <si>
    <t xml:space="preserve">Информация </t>
  </si>
  <si>
    <t>Строительство угольной котельной  мощностью 16,1 МВт в г. Кеми</t>
  </si>
  <si>
    <t xml:space="preserve">Строительство водопроводных очистных сооружений в г. Кеми </t>
  </si>
  <si>
    <t>на 2020-2021 гг.</t>
  </si>
  <si>
    <t>Строительство причальных сооружений в пос. Рабочеостровске в Кемском муниципальном районе Республики Карелия</t>
  </si>
  <si>
    <t>на 31 декабря 2020 года</t>
  </si>
  <si>
    <t xml:space="preserve">по состоянию на 31 декабря 2020 года </t>
  </si>
  <si>
    <t>на 31 декабря 2020 года и на 2021 год</t>
  </si>
  <si>
    <t>ВСЕГО</t>
  </si>
  <si>
    <t>федеральный бюджета</t>
  </si>
  <si>
    <t>бюджета Республики Карелия</t>
  </si>
  <si>
    <r>
      <t xml:space="preserve">Расходы по Программе всего, </t>
    </r>
    <r>
      <rPr>
        <sz val="14"/>
        <rFont val="Times New Roman"/>
        <family val="1"/>
        <charset val="204"/>
      </rPr>
      <t>в том числе:</t>
    </r>
  </si>
  <si>
    <t>объекты газоснабжения</t>
  </si>
  <si>
    <t>объекты водоснабжения, водоотведения, теплоснабжения</t>
  </si>
  <si>
    <t>Водопроводная очистная станция, производительностью 8500 м3/сут., по адресу: г.Сортавала, пер.Фабричный (строительство, разработка ПСД)</t>
  </si>
  <si>
    <t>инженерные сети</t>
  </si>
  <si>
    <t>объекты физической культуры и спорта</t>
  </si>
  <si>
    <t>объекты культуры</t>
  </si>
  <si>
    <t>объекты здравоохранения и социальной защиты населения</t>
  </si>
  <si>
    <t>объекты транспорта</t>
  </si>
  <si>
    <t>объекты туризма</t>
  </si>
  <si>
    <t>объекты образования</t>
  </si>
  <si>
    <t>объекты дошкольного образования</t>
  </si>
  <si>
    <t>объекты жилищного строительства</t>
  </si>
  <si>
    <t>объекты пожарной безопасности</t>
  </si>
  <si>
    <t>прочие объекты</t>
  </si>
  <si>
    <t>объекты в сфере дорожного строительства</t>
  </si>
  <si>
    <t>1.8.</t>
  </si>
  <si>
    <t>1.9.</t>
  </si>
  <si>
    <t>1.10.</t>
  </si>
  <si>
    <t>1.11.</t>
  </si>
  <si>
    <t>1.12.</t>
  </si>
  <si>
    <t>1.13.</t>
  </si>
  <si>
    <t>Объекты, финансируемые в рамках ФЦП "Развитие Республики Карелия до 2020 года" (*)</t>
  </si>
  <si>
    <r>
      <t xml:space="preserve">Расходы, </t>
    </r>
    <r>
      <rPr>
        <sz val="14"/>
        <rFont val="Times New Roman"/>
        <family val="1"/>
        <charset val="204"/>
      </rPr>
      <t>в том числе:</t>
    </r>
  </si>
  <si>
    <t>Объект введен в эксплуатацию</t>
  </si>
  <si>
    <t>Расселено 2,45 тыс. человек из 42,95 тыс. кв. метров аварийного жилищного фонда</t>
  </si>
  <si>
    <t>Реконструкция участка автомобильной дороги Олонец-Вяртсиля, км 96-км118 (24 км) 2 этап</t>
  </si>
  <si>
    <t>Объем финансирования</t>
  </si>
  <si>
    <t>Информация о реализации проектов</t>
  </si>
  <si>
    <t>Инфраструктурное обеспечение промышленной площадки на территории Петрозаводского городского округа Республики Карелия</t>
  </si>
  <si>
    <t>Строительство спортивного комплекса в пойме реки Неглинки в районе зданий №12 по ул. Крупской  №8 по ул.Красной в г.Петрозаводске"-II этап (строительство конькобежной дорожки в г.Петрозаводске)</t>
  </si>
  <si>
    <t xml:space="preserve">Строительство объектов на территории гражданского сектора аэропорта «Петрозаводск» </t>
  </si>
  <si>
    <t>Строительство объектов на территории гражданского сектора аэропорта «Петрозаводск». Реконструкция  защитного сооружения гражданской обороны, находящегося в ведении БУ РК «Аэропорт «Петрозаводск»</t>
  </si>
  <si>
    <t>Объем финансирования (млн руб.)</t>
  </si>
  <si>
    <t>РЕАЛИЗАЦИЯ В 2020 ГОДУ АДРЕСНОЙ ИНВЕСТИЦИОННОЙ ПРОГРАММЫ РЕСПУБЛИКИ КАРЕЛИЯ</t>
  </si>
  <si>
    <t>Работы по реконструкции завершены.</t>
  </si>
  <si>
    <t xml:space="preserve">Работы  выполнены. </t>
  </si>
  <si>
    <t>Строительство объекта завершено</t>
  </si>
  <si>
    <t>Строительство объекта завершено.</t>
  </si>
  <si>
    <t>Разработка проектной документации. Срок завершения работ –2021 год.</t>
  </si>
  <si>
    <t>Выполняются строительно-монтажные работы. Срок завершения работ –         2021 год.</t>
  </si>
  <si>
    <t>Завершены работы по пуско-наладке оборудования. Плановый срок ввода в эксплуатацию - 2021 год.</t>
  </si>
  <si>
    <t xml:space="preserve">Завершены проектно-изыскательские работы по объекту. </t>
  </si>
  <si>
    <t>Строительство производственных, зданий на территории промышленного парка в г. Петрозаводске</t>
  </si>
  <si>
    <r>
      <t xml:space="preserve">Заключен контракт на выполнение проектно-изыскательских работ и строительство объекта. Срок завершения работ –  2024 год.  </t>
    </r>
    <r>
      <rPr>
        <sz val="14"/>
        <color rgb="FFFF0000"/>
        <rFont val="Times New Roman"/>
        <family val="1"/>
        <charset val="204"/>
      </rPr>
      <t xml:space="preserve"> </t>
    </r>
  </si>
  <si>
    <t>Расходы на погашение исковых требований. Объект введен в эксплуатацию в 2017 году.</t>
  </si>
  <si>
    <t>Объект введен в эксплуатацию в 2019 году. Оплата выполненных работ.</t>
  </si>
  <si>
    <t>Устранение замечаний и повторное направление проектной документации на экспертизу.</t>
  </si>
  <si>
    <t xml:space="preserve">Завершены работы по обследованию здания. </t>
  </si>
  <si>
    <t>Объект введен в эксплуатацию.</t>
  </si>
  <si>
    <t>Завершены строительно-монтажные работы.Срок ввода в эксплуатацию объекта - 2021 год.</t>
  </si>
  <si>
    <t>Завершены работы по разработке рабочей документации.</t>
  </si>
  <si>
    <t>Заключен контракт на выполнение  работ по строительству объекта. Срок завершения работ - 2021 год.</t>
  </si>
  <si>
    <t xml:space="preserve">Завершена разработка проектно-сметной документации. </t>
  </si>
  <si>
    <t>Заключен контракт на выполнение работ по строительству объекта. Срок завершения работ – 2021 год.</t>
  </si>
  <si>
    <t xml:space="preserve">Заключен  контракт на выполнение работ по объекту. Срок завершения работ –  2021 год. </t>
  </si>
  <si>
    <t xml:space="preserve">Выполнены проектно-изыскательские работы. </t>
  </si>
  <si>
    <t>1.14.</t>
  </si>
  <si>
    <t>Выполнение строительно-монтажных работ. Срок завершения работ –  2021 год.</t>
  </si>
  <si>
    <t>Выполнение строительно-монтажных работ. Срок завершения работ – 2021 год.</t>
  </si>
  <si>
    <t>Выполнение проектно-изыскательских работ по объекту. Срок завершения работ – 2021 год.</t>
  </si>
  <si>
    <t>Выполнение строительно-монтажных работ, закупка оборудования. Срок завершения работ – 2021 год.</t>
  </si>
  <si>
    <t xml:space="preserve">Разработка проектно-сметной документации. Продление срока выполнения работ по контракту оспаривается в Арбитражном суде Республики Карелия. </t>
  </si>
  <si>
    <t>Работы выполнены</t>
  </si>
  <si>
    <t xml:space="preserve"> Работы выполнены.</t>
  </si>
  <si>
    <t>Разработка проектно-сметной документации. Срок выполнения работ - 2021 год.</t>
  </si>
  <si>
    <t>Работа по устранению замечаний и повторному направлению проектной документации на экспертизу</t>
  </si>
  <si>
    <t>Заключен контракт на выполнение работ по строительству объекта.  Срок завершения работ – 2021 год.</t>
  </si>
  <si>
    <t>Разработана проектная документация и направлена для прохождения государственной экспертизы.</t>
  </si>
  <si>
    <t>Выполнение строительно-монтажных работ. Срок завершения работ – 2023 год.</t>
  </si>
  <si>
    <t>Заключен контракт на строительство объекта. Срок завершения работ -        2021 год.</t>
  </si>
  <si>
    <t>Строительство объекта завершено.  Планируемый срок ввода объекта в эксплуатацию –  2021 год.</t>
  </si>
  <si>
    <t>Работы по реконструкции завершены. Ввод объекта в эксплуатацию в 2021 году.</t>
  </si>
  <si>
    <t>Выполнены работы по подготовке проекта организации работ по сносу объекта</t>
  </si>
  <si>
    <t>Строительство объекта завершено.  Планируемый срок ввода объекта в эксплуатацию – 2021 год.</t>
  </si>
  <si>
    <t>1185,5*</t>
  </si>
  <si>
    <t>*  - средства Фонда содействия реформированию жилищно-коммунального хозяйства</t>
  </si>
</sst>
</file>

<file path=xl/styles.xml><?xml version="1.0" encoding="utf-8"?>
<styleSheet xmlns="http://schemas.openxmlformats.org/spreadsheetml/2006/main">
  <numFmts count="12">
    <numFmt numFmtId="164" formatCode="0.0"/>
    <numFmt numFmtId="165" formatCode="#,##0.0"/>
    <numFmt numFmtId="166" formatCode="00\.00\.00"/>
    <numFmt numFmtId="167" formatCode="0.0%"/>
    <numFmt numFmtId="168" formatCode="0.000%"/>
    <numFmt numFmtId="169" formatCode="#,##0.000000"/>
    <numFmt numFmtId="170" formatCode="#,##0.0;[Red]\-#,##0.0"/>
    <numFmt numFmtId="171" formatCode="#,##0.0000000000"/>
    <numFmt numFmtId="172" formatCode="0.0000%"/>
    <numFmt numFmtId="173" formatCode="0.0000000000"/>
    <numFmt numFmtId="174" formatCode="#,##0.000"/>
    <numFmt numFmtId="175" formatCode="#,##0.00_р_."/>
  </numFmts>
  <fonts count="154">
    <font>
      <sz val="10"/>
      <name val="Arial Cyr"/>
      <charset val="204"/>
    </font>
    <font>
      <sz val="10"/>
      <name val="Arial Cyr"/>
      <charset val="204"/>
    </font>
    <font>
      <sz val="11"/>
      <name val="Times New Roman"/>
      <family val="1"/>
    </font>
    <font>
      <b/>
      <sz val="11"/>
      <name val="Times New Roman"/>
      <family val="1"/>
    </font>
    <font>
      <sz val="11"/>
      <name val="Arial Cyr"/>
      <charset val="204"/>
    </font>
    <font>
      <b/>
      <i/>
      <sz val="11"/>
      <name val="Times New Roman"/>
      <family val="1"/>
    </font>
    <font>
      <b/>
      <sz val="11"/>
      <name val="Times New Roman"/>
      <family val="1"/>
      <charset val="204"/>
    </font>
    <font>
      <sz val="11"/>
      <name val="Times New Roman"/>
      <family val="1"/>
      <charset val="204"/>
    </font>
    <font>
      <sz val="10"/>
      <name val="Times New Roman"/>
      <family val="1"/>
      <charset val="204"/>
    </font>
    <font>
      <b/>
      <sz val="14"/>
      <name val="Times New Roman"/>
      <family val="1"/>
      <charset val="204"/>
    </font>
    <font>
      <b/>
      <sz val="11"/>
      <name val="Times New Roman Cyr"/>
      <family val="1"/>
      <charset val="204"/>
    </font>
    <font>
      <b/>
      <sz val="11"/>
      <name val="Times New Roman Cyr"/>
      <charset val="204"/>
    </font>
    <font>
      <sz val="11"/>
      <name val="Times New Roman Cyr"/>
      <family val="1"/>
      <charset val="204"/>
    </font>
    <font>
      <sz val="10"/>
      <name val="Times New Roman"/>
      <family val="1"/>
    </font>
    <font>
      <b/>
      <sz val="10"/>
      <name val="Times New Roman"/>
      <family val="1"/>
      <charset val="204"/>
    </font>
    <font>
      <sz val="11"/>
      <name val="Times New Roman Cyr"/>
      <charset val="204"/>
    </font>
    <font>
      <sz val="12"/>
      <name val="Times New Roman"/>
      <family val="1"/>
      <charset val="204"/>
    </font>
    <font>
      <sz val="10"/>
      <name val="Arial Cyr"/>
      <charset val="204"/>
    </font>
    <font>
      <sz val="12"/>
      <name val="Times New Roman"/>
      <family val="1"/>
    </font>
    <font>
      <b/>
      <sz val="12"/>
      <name val="Times New Roman"/>
      <family val="1"/>
      <charset val="204"/>
    </font>
    <font>
      <sz val="13"/>
      <name val="Times New Roman"/>
      <family val="1"/>
      <charset val="204"/>
    </font>
    <font>
      <i/>
      <sz val="10"/>
      <name val="Times New Roman"/>
      <family val="1"/>
      <charset val="204"/>
    </font>
    <font>
      <b/>
      <i/>
      <sz val="10"/>
      <name val="Times New Roman"/>
      <family val="1"/>
      <charset val="204"/>
    </font>
    <font>
      <i/>
      <sz val="12"/>
      <name val="Times New Roman"/>
      <family val="1"/>
      <charset val="204"/>
    </font>
    <font>
      <b/>
      <i/>
      <sz val="12"/>
      <name val="Times New Roman"/>
      <family val="1"/>
      <charset val="204"/>
    </font>
    <font>
      <sz val="13"/>
      <name val="Times New Roman"/>
      <family val="1"/>
    </font>
    <font>
      <b/>
      <sz val="13"/>
      <name val="Times New Roman Cyr"/>
      <family val="1"/>
      <charset val="204"/>
    </font>
    <font>
      <b/>
      <sz val="13"/>
      <name val="Times New Roman"/>
      <family val="1"/>
      <charset val="204"/>
    </font>
    <font>
      <i/>
      <sz val="11"/>
      <name val="Times New Roman"/>
      <family val="1"/>
      <charset val="204"/>
    </font>
    <font>
      <i/>
      <sz val="11"/>
      <name val="Times New Roman Cyr"/>
      <charset val="204"/>
    </font>
    <font>
      <i/>
      <sz val="12"/>
      <name val="Times New Roman"/>
      <family val="1"/>
    </font>
    <font>
      <b/>
      <i/>
      <sz val="11"/>
      <name val="Times New Roman Cyr"/>
      <charset val="204"/>
    </font>
    <font>
      <i/>
      <sz val="11"/>
      <name val="Arial Cyr"/>
      <charset val="204"/>
    </font>
    <font>
      <b/>
      <i/>
      <sz val="11"/>
      <name val="Times New Roman"/>
      <family val="1"/>
      <charset val="204"/>
    </font>
    <font>
      <sz val="10"/>
      <name val="Arial"/>
      <family val="2"/>
      <charset val="204"/>
    </font>
    <font>
      <i/>
      <sz val="10"/>
      <name val="Times New Roman"/>
      <family val="1"/>
    </font>
    <font>
      <sz val="14"/>
      <name val="Times New Roman"/>
      <family val="1"/>
      <charset val="204"/>
    </font>
    <font>
      <sz val="10"/>
      <name val="Arial"/>
      <family val="2"/>
      <charset val="204"/>
    </font>
    <font>
      <sz val="14"/>
      <name val="Times New Roman CYR"/>
      <family val="1"/>
      <charset val="204"/>
    </font>
    <font>
      <sz val="12"/>
      <name val="Times New Roman CYR"/>
      <family val="1"/>
      <charset val="204"/>
    </font>
    <font>
      <b/>
      <sz val="15.5"/>
      <name val="Times New Roman"/>
      <family val="1"/>
      <charset val="204"/>
    </font>
    <font>
      <b/>
      <i/>
      <sz val="15.5"/>
      <name val="Times New Roman"/>
      <family val="1"/>
      <charset val="204"/>
    </font>
    <font>
      <sz val="15.5"/>
      <name val="Times New Roman"/>
      <family val="1"/>
      <charset val="204"/>
    </font>
    <font>
      <i/>
      <sz val="14"/>
      <name val="Times New Roman"/>
      <family val="1"/>
      <charset val="204"/>
    </font>
    <font>
      <i/>
      <sz val="15.5"/>
      <name val="Times New Roman"/>
      <family val="1"/>
      <charset val="204"/>
    </font>
    <font>
      <b/>
      <sz val="16"/>
      <name val="Times New Roman"/>
      <family val="1"/>
      <charset val="204"/>
    </font>
    <font>
      <b/>
      <i/>
      <sz val="16"/>
      <name val="Times New Roman"/>
      <family val="1"/>
      <charset val="204"/>
    </font>
    <font>
      <sz val="16"/>
      <name val="Times New Roman"/>
      <family val="1"/>
      <charset val="204"/>
    </font>
    <font>
      <i/>
      <sz val="16"/>
      <name val="Times New Roman"/>
      <family val="1"/>
      <charset val="204"/>
    </font>
    <font>
      <b/>
      <sz val="20"/>
      <name val="Times New Roman"/>
      <family val="1"/>
      <charset val="204"/>
    </font>
    <font>
      <sz val="10"/>
      <name val="Arial"/>
      <family val="2"/>
      <charset val="204"/>
    </font>
    <font>
      <b/>
      <sz val="18"/>
      <name val="Times New Roman"/>
      <family val="1"/>
      <charset val="204"/>
    </font>
    <font>
      <sz val="18"/>
      <name val="Times New Roman"/>
      <family val="1"/>
      <charset val="204"/>
    </font>
    <font>
      <i/>
      <sz val="18"/>
      <name val="Times New Roman"/>
      <family val="1"/>
      <charset val="204"/>
    </font>
    <font>
      <b/>
      <i/>
      <sz val="18"/>
      <name val="Times New Roman"/>
      <family val="1"/>
      <charset val="204"/>
    </font>
    <font>
      <sz val="24"/>
      <name val="Times New Roman"/>
      <family val="1"/>
      <charset val="204"/>
    </font>
    <font>
      <sz val="20"/>
      <name val="Times New Roman"/>
      <family val="1"/>
      <charset val="204"/>
    </font>
    <font>
      <sz val="20"/>
      <name val="Arial Cyr"/>
      <charset val="204"/>
    </font>
    <font>
      <b/>
      <sz val="22"/>
      <name val="Times New Roman"/>
      <family val="1"/>
      <charset val="204"/>
    </font>
    <font>
      <b/>
      <sz val="24"/>
      <name val="Times New Roman"/>
      <family val="1"/>
      <charset val="204"/>
    </font>
    <font>
      <sz val="22"/>
      <name val="Times New Roman"/>
      <family val="1"/>
      <charset val="204"/>
    </font>
    <font>
      <sz val="26"/>
      <name val="Times New Roman"/>
      <family val="1"/>
      <charset val="204"/>
    </font>
    <font>
      <b/>
      <sz val="26"/>
      <name val="Times New Roman"/>
      <family val="1"/>
      <charset val="204"/>
    </font>
    <font>
      <sz val="26"/>
      <name val="Arial Cyr"/>
      <charset val="204"/>
    </font>
    <font>
      <i/>
      <sz val="22"/>
      <name val="Times New Roman"/>
      <family val="1"/>
      <charset val="204"/>
    </font>
    <font>
      <b/>
      <i/>
      <sz val="22"/>
      <name val="Times New Roman"/>
      <family val="1"/>
      <charset val="204"/>
    </font>
    <font>
      <i/>
      <sz val="20"/>
      <name val="Times New Roman"/>
      <family val="1"/>
      <charset val="204"/>
    </font>
    <font>
      <b/>
      <sz val="14"/>
      <name val="Arial"/>
      <family val="2"/>
      <charset val="204"/>
    </font>
    <font>
      <b/>
      <sz val="10"/>
      <name val="Arial Cyr"/>
      <charset val="204"/>
    </font>
    <font>
      <b/>
      <i/>
      <sz val="14"/>
      <name val="Times New Roman"/>
      <family val="1"/>
      <charset val="204"/>
    </font>
    <font>
      <b/>
      <sz val="14"/>
      <name val="Arial Cyr"/>
      <charset val="204"/>
    </font>
    <font>
      <vertAlign val="superscript"/>
      <sz val="16"/>
      <name val="Times New Roman"/>
      <family val="1"/>
      <charset val="204"/>
    </font>
    <font>
      <vertAlign val="superscript"/>
      <sz val="14"/>
      <name val="Times New Roman"/>
      <family val="1"/>
      <charset val="204"/>
    </font>
    <font>
      <sz val="12"/>
      <color theme="1"/>
      <name val="Times New Roman"/>
      <family val="2"/>
      <charset val="204"/>
    </font>
    <font>
      <b/>
      <sz val="11"/>
      <color rgb="FFFF0000"/>
      <name val="Times New Roman Cyr"/>
      <charset val="204"/>
    </font>
    <font>
      <b/>
      <sz val="12"/>
      <color rgb="FFFF0000"/>
      <name val="Times New Roman"/>
      <family val="1"/>
      <charset val="204"/>
    </font>
    <font>
      <b/>
      <sz val="11"/>
      <color rgb="FFFF0000"/>
      <name val="Times New Roman Cyr"/>
      <family val="1"/>
      <charset val="204"/>
    </font>
    <font>
      <i/>
      <sz val="11"/>
      <color rgb="FFFF0000"/>
      <name val="Times New Roman"/>
      <family val="1"/>
      <charset val="204"/>
    </font>
    <font>
      <i/>
      <sz val="12"/>
      <color rgb="FFFF0000"/>
      <name val="Times New Roman"/>
      <family val="1"/>
      <charset val="204"/>
    </font>
    <font>
      <i/>
      <sz val="11"/>
      <color rgb="FFFF0000"/>
      <name val="Times New Roman Cyr"/>
      <charset val="204"/>
    </font>
    <font>
      <sz val="12"/>
      <color rgb="FFFF0000"/>
      <name val="Times New Roman"/>
      <family val="1"/>
      <charset val="204"/>
    </font>
    <font>
      <sz val="11"/>
      <color rgb="FFFF0000"/>
      <name val="Times New Roman CYR"/>
      <charset val="204"/>
    </font>
    <font>
      <b/>
      <i/>
      <sz val="11"/>
      <color rgb="FFFF0000"/>
      <name val="Times New Roman"/>
      <family val="1"/>
      <charset val="204"/>
    </font>
    <font>
      <b/>
      <i/>
      <sz val="12"/>
      <color rgb="FFFF0000"/>
      <name val="Times New Roman"/>
      <family val="1"/>
      <charset val="204"/>
    </font>
    <font>
      <b/>
      <i/>
      <sz val="11"/>
      <color rgb="FFFF0000"/>
      <name val="Times New Roman Cyr"/>
      <charset val="204"/>
    </font>
    <font>
      <b/>
      <sz val="10"/>
      <color rgb="FF7030A0"/>
      <name val="Times New Roman"/>
      <family val="1"/>
      <charset val="204"/>
    </font>
    <font>
      <b/>
      <sz val="11"/>
      <color rgb="FF7030A0"/>
      <name val="Times New Roman Cyr"/>
      <charset val="204"/>
    </font>
    <font>
      <sz val="11"/>
      <color rgb="FF7030A0"/>
      <name val="Times New Roman"/>
      <family val="1"/>
    </font>
    <font>
      <sz val="12"/>
      <color rgb="FF7030A0"/>
      <name val="Times New Roman"/>
      <family val="1"/>
    </font>
    <font>
      <sz val="11"/>
      <color rgb="FF7030A0"/>
      <name val="Times New Roman"/>
      <family val="1"/>
      <charset val="204"/>
    </font>
    <font>
      <sz val="12"/>
      <color rgb="FF7030A0"/>
      <name val="Times New Roman"/>
      <family val="1"/>
      <charset val="204"/>
    </font>
    <font>
      <b/>
      <sz val="12"/>
      <color rgb="FF7030A0"/>
      <name val="Times New Roman"/>
      <family val="1"/>
      <charset val="204"/>
    </font>
    <font>
      <sz val="11"/>
      <color rgb="FF00B0F0"/>
      <name val="Times New Roman Cyr"/>
      <family val="1"/>
      <charset val="204"/>
    </font>
    <font>
      <sz val="12"/>
      <color rgb="FF00B0F0"/>
      <name val="Times New Roman"/>
      <family val="1"/>
      <charset val="204"/>
    </font>
    <font>
      <sz val="10"/>
      <color theme="9" tint="-0.249977111117893"/>
      <name val="Times New Roman"/>
      <family val="1"/>
      <charset val="204"/>
    </font>
    <font>
      <sz val="11"/>
      <color theme="9" tint="-0.249977111117893"/>
      <name val="Times New Roman Cyr"/>
      <family val="1"/>
      <charset val="204"/>
    </font>
    <font>
      <sz val="12"/>
      <color theme="9" tint="-0.249977111117893"/>
      <name val="Times New Roman"/>
      <family val="1"/>
      <charset val="204"/>
    </font>
    <font>
      <sz val="11"/>
      <color theme="9" tint="-0.249977111117893"/>
      <name val="Times New Roman"/>
      <family val="1"/>
      <charset val="204"/>
    </font>
    <font>
      <sz val="11"/>
      <color theme="9" tint="-0.249977111117893"/>
      <name val="Times New Roman"/>
      <family val="1"/>
    </font>
    <font>
      <sz val="12"/>
      <color theme="9" tint="-0.249977111117893"/>
      <name val="Times New Roman"/>
      <family val="1"/>
    </font>
    <font>
      <b/>
      <sz val="12"/>
      <color theme="9" tint="-0.249977111117893"/>
      <name val="Times New Roman"/>
      <family val="1"/>
      <charset val="204"/>
    </font>
    <font>
      <sz val="11"/>
      <color rgb="FF00B0F0"/>
      <name val="Times New Roman"/>
      <family val="1"/>
      <charset val="204"/>
    </font>
    <font>
      <b/>
      <sz val="12"/>
      <color rgb="FF00B0F0"/>
      <name val="Times New Roman"/>
      <family val="1"/>
      <charset val="204"/>
    </font>
    <font>
      <i/>
      <sz val="11"/>
      <color rgb="FF00B0F0"/>
      <name val="Times New Roman"/>
      <family val="1"/>
      <charset val="204"/>
    </font>
    <font>
      <i/>
      <sz val="11"/>
      <color rgb="FF00B0F0"/>
      <name val="Times New Roman Cyr"/>
      <charset val="204"/>
    </font>
    <font>
      <b/>
      <sz val="10"/>
      <color theme="1"/>
      <name val="Times New Roman"/>
      <family val="1"/>
      <charset val="204"/>
    </font>
    <font>
      <sz val="10"/>
      <color theme="1"/>
      <name val="Arial Cyr"/>
      <charset val="204"/>
    </font>
    <font>
      <sz val="10"/>
      <color theme="1"/>
      <name val="Times New Roman"/>
      <family val="1"/>
      <charset val="204"/>
    </font>
    <font>
      <b/>
      <sz val="11"/>
      <color theme="1"/>
      <name val="Times New Roman"/>
      <family val="1"/>
      <charset val="204"/>
    </font>
    <font>
      <sz val="12"/>
      <color theme="1"/>
      <name val="Times New Roman"/>
      <family val="1"/>
    </font>
    <font>
      <sz val="11"/>
      <color theme="1"/>
      <name val="Times New Roman CYR"/>
      <charset val="204"/>
    </font>
    <font>
      <b/>
      <sz val="12"/>
      <color theme="1"/>
      <name val="Times New Roman"/>
      <family val="1"/>
      <charset val="204"/>
    </font>
    <font>
      <i/>
      <sz val="12"/>
      <color theme="1"/>
      <name val="Times New Roman"/>
      <family val="1"/>
    </font>
    <font>
      <b/>
      <i/>
      <sz val="11"/>
      <color theme="1"/>
      <name val="Times New Roman"/>
      <family val="1"/>
      <charset val="204"/>
    </font>
    <font>
      <b/>
      <i/>
      <sz val="12"/>
      <color theme="1"/>
      <name val="Times New Roman"/>
      <family val="1"/>
      <charset val="204"/>
    </font>
    <font>
      <b/>
      <i/>
      <sz val="11"/>
      <color theme="1"/>
      <name val="Times New Roman Cyr"/>
      <charset val="204"/>
    </font>
    <font>
      <sz val="11"/>
      <color theme="1"/>
      <name val="Arial Cyr"/>
      <charset val="204"/>
    </font>
    <font>
      <b/>
      <sz val="11"/>
      <color theme="1"/>
      <name val="Times New Roman Cyr"/>
      <charset val="204"/>
    </font>
    <font>
      <b/>
      <sz val="11"/>
      <color theme="1"/>
      <name val="Times New Roman Cyr"/>
      <family val="1"/>
      <charset val="204"/>
    </font>
    <font>
      <i/>
      <sz val="11"/>
      <color theme="1"/>
      <name val="Times New Roman"/>
      <family val="1"/>
      <charset val="204"/>
    </font>
    <font>
      <i/>
      <sz val="10"/>
      <color theme="1"/>
      <name val="Times New Roman"/>
      <family val="1"/>
      <charset val="204"/>
    </font>
    <font>
      <i/>
      <sz val="12"/>
      <color theme="1"/>
      <name val="Times New Roman"/>
      <family val="1"/>
      <charset val="204"/>
    </font>
    <font>
      <i/>
      <sz val="11"/>
      <color theme="1"/>
      <name val="Times New Roman Cyr"/>
      <charset val="204"/>
    </font>
    <font>
      <sz val="12"/>
      <color theme="1"/>
      <name val="Times New Roman"/>
      <family val="1"/>
      <charset val="204"/>
    </font>
    <font>
      <sz val="11"/>
      <color theme="1"/>
      <name val="Times New Roman"/>
      <family val="1"/>
    </font>
    <font>
      <sz val="11"/>
      <color theme="1"/>
      <name val="Times New Roman"/>
      <family val="1"/>
      <charset val="204"/>
    </font>
    <font>
      <sz val="10"/>
      <color theme="1"/>
      <name val="Times New Roman"/>
      <family val="1"/>
    </font>
    <font>
      <b/>
      <sz val="11"/>
      <color theme="1"/>
      <name val="Times New Roman"/>
      <family val="1"/>
    </font>
    <font>
      <sz val="11"/>
      <color theme="1"/>
      <name val="Times New Roman Cyr"/>
      <family val="1"/>
      <charset val="204"/>
    </font>
    <font>
      <sz val="13"/>
      <color theme="1"/>
      <name val="Times New Roman"/>
      <family val="1"/>
      <charset val="204"/>
    </font>
    <font>
      <sz val="13"/>
      <color theme="1"/>
      <name val="Times New Roman"/>
      <family val="1"/>
    </font>
    <font>
      <b/>
      <sz val="13"/>
      <color theme="1"/>
      <name val="Times New Roman Cyr"/>
      <family val="1"/>
      <charset val="204"/>
    </font>
    <font>
      <b/>
      <sz val="13"/>
      <color theme="1"/>
      <name val="Times New Roman"/>
      <family val="1"/>
      <charset val="204"/>
    </font>
    <font>
      <sz val="12"/>
      <color theme="1"/>
      <name val="Arial Cyr"/>
      <charset val="204"/>
    </font>
    <font>
      <sz val="12"/>
      <color rgb="FFFF0000"/>
      <name val="Times New Roman"/>
      <family val="1"/>
    </font>
    <font>
      <sz val="14"/>
      <color theme="1"/>
      <name val="Times New Roman"/>
      <family val="1"/>
      <charset val="204"/>
    </font>
    <font>
      <b/>
      <sz val="14"/>
      <color theme="1"/>
      <name val="Times New Roman"/>
      <family val="1"/>
      <charset val="204"/>
    </font>
    <font>
      <b/>
      <sz val="20"/>
      <color rgb="FFFF0000"/>
      <name val="Times New Roman"/>
      <family val="1"/>
      <charset val="204"/>
    </font>
    <font>
      <sz val="18"/>
      <color rgb="FFFF0000"/>
      <name val="Times New Roman"/>
      <family val="1"/>
      <charset val="204"/>
    </font>
    <font>
      <sz val="20"/>
      <color rgb="FFFF0000"/>
      <name val="Times New Roman"/>
      <family val="1"/>
      <charset val="204"/>
    </font>
    <font>
      <b/>
      <sz val="14"/>
      <color rgb="FF000000"/>
      <name val="Arial"/>
      <family val="2"/>
      <charset val="204"/>
    </font>
    <font>
      <b/>
      <sz val="22"/>
      <color rgb="FFFF0000"/>
      <name val="Times New Roman"/>
      <family val="1"/>
      <charset val="204"/>
    </font>
    <font>
      <b/>
      <sz val="14"/>
      <color rgb="FFFF0000"/>
      <name val="Times New Roman"/>
      <family val="1"/>
      <charset val="204"/>
    </font>
    <font>
      <b/>
      <sz val="16"/>
      <color theme="1"/>
      <name val="Times New Roman"/>
      <family val="1"/>
      <charset val="204"/>
    </font>
    <font>
      <sz val="16"/>
      <color theme="1"/>
      <name val="Times New Roman"/>
      <family val="1"/>
      <charset val="204"/>
    </font>
    <font>
      <b/>
      <sz val="16"/>
      <color rgb="FFFF0000"/>
      <name val="Times New Roman"/>
      <family val="1"/>
      <charset val="204"/>
    </font>
    <font>
      <sz val="14"/>
      <color rgb="FFFF0000"/>
      <name val="Times New Roman"/>
      <family val="1"/>
      <charset val="204"/>
    </font>
    <font>
      <sz val="14"/>
      <color rgb="FF000000"/>
      <name val="Arial"/>
      <family val="2"/>
      <charset val="204"/>
    </font>
    <font>
      <b/>
      <i/>
      <sz val="11"/>
      <color theme="1"/>
      <name val="Times New Roman"/>
      <family val="1"/>
    </font>
    <font>
      <b/>
      <sz val="12"/>
      <color theme="1"/>
      <name val="Times New Roman Cyr"/>
      <charset val="204"/>
    </font>
    <font>
      <sz val="20"/>
      <color theme="1"/>
      <name val="Times New Roman"/>
      <family val="1"/>
      <charset val="204"/>
    </font>
    <font>
      <b/>
      <sz val="18"/>
      <color rgb="FFFF0000"/>
      <name val="Times New Roman"/>
      <family val="1"/>
      <charset val="204"/>
    </font>
    <font>
      <b/>
      <u/>
      <sz val="20"/>
      <name val="Times New Roman"/>
      <family val="1"/>
      <charset val="204"/>
    </font>
    <font>
      <b/>
      <sz val="10"/>
      <color rgb="FF000000"/>
      <name val="Times New Roman"/>
      <family val="1"/>
      <charset val="20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6"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8"/>
      </right>
      <top style="thin">
        <color indexed="8"/>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s>
  <cellStyleXfs count="22">
    <xf numFmtId="0" fontId="0" fillId="0" borderId="0"/>
    <xf numFmtId="0" fontId="73" fillId="0" borderId="0"/>
    <xf numFmtId="0" fontId="73" fillId="0" borderId="0"/>
    <xf numFmtId="0" fontId="73" fillId="0" borderId="0"/>
    <xf numFmtId="0" fontId="73"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73" fillId="0" borderId="0"/>
    <xf numFmtId="0" fontId="73" fillId="0" borderId="0"/>
    <xf numFmtId="0" fontId="37" fillId="0" borderId="0"/>
    <xf numFmtId="0" fontId="34" fillId="0" borderId="0"/>
    <xf numFmtId="0" fontId="17" fillId="0" borderId="0"/>
    <xf numFmtId="0" fontId="17" fillId="0" borderId="0"/>
    <xf numFmtId="9" fontId="1" fillId="0" borderId="0" applyFont="0" applyFill="0" applyBorder="0" applyAlignment="0" applyProtection="0"/>
  </cellStyleXfs>
  <cellXfs count="2604">
    <xf numFmtId="0" fontId="0" fillId="0" borderId="0" xfId="0"/>
    <xf numFmtId="0" fontId="4" fillId="0" borderId="0" xfId="0" applyFont="1"/>
    <xf numFmtId="0" fontId="10" fillId="0" borderId="1" xfId="0" applyFont="1" applyFill="1" applyBorder="1" applyAlignment="1">
      <alignment vertical="top" wrapText="1"/>
    </xf>
    <xf numFmtId="49" fontId="13" fillId="0" borderId="1" xfId="0" applyNumberFormat="1" applyFont="1" applyFill="1" applyBorder="1" applyAlignment="1">
      <alignment horizontal="center" vertical="top" wrapText="1"/>
    </xf>
    <xf numFmtId="0" fontId="14" fillId="0" borderId="1" xfId="0" applyFont="1" applyFill="1" applyBorder="1" applyAlignment="1">
      <alignment horizontal="center" vertical="top" wrapText="1"/>
    </xf>
    <xf numFmtId="49" fontId="14" fillId="0" borderId="1" xfId="0" applyNumberFormat="1" applyFont="1" applyFill="1" applyBorder="1" applyAlignment="1">
      <alignment horizontal="center" vertical="top" wrapText="1"/>
    </xf>
    <xf numFmtId="49" fontId="8" fillId="0" borderId="1" xfId="0" applyNumberFormat="1" applyFont="1" applyFill="1" applyBorder="1" applyAlignment="1">
      <alignment horizontal="center" vertical="top" wrapText="1"/>
    </xf>
    <xf numFmtId="0" fontId="6"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2" fillId="0" borderId="1" xfId="0" applyFont="1" applyFill="1" applyBorder="1" applyAlignment="1">
      <alignment vertical="top" wrapText="1"/>
    </xf>
    <xf numFmtId="0" fontId="15" fillId="0" borderId="1" xfId="0" applyFont="1" applyFill="1" applyBorder="1" applyAlignment="1">
      <alignment vertical="top" wrapText="1"/>
    </xf>
    <xf numFmtId="0" fontId="11" fillId="0" borderId="1" xfId="0" applyFont="1" applyFill="1" applyBorder="1" applyAlignment="1">
      <alignment vertical="top" wrapText="1"/>
    </xf>
    <xf numFmtId="0" fontId="3" fillId="0" borderId="1" xfId="0" applyFont="1" applyFill="1" applyBorder="1" applyAlignment="1">
      <alignment horizontal="left" vertical="top" wrapText="1"/>
    </xf>
    <xf numFmtId="0" fontId="7" fillId="0" borderId="1" xfId="0" applyFont="1" applyFill="1" applyBorder="1" applyAlignment="1">
      <alignment vertical="top" wrapText="1"/>
    </xf>
    <xf numFmtId="0" fontId="12" fillId="0" borderId="1" xfId="0" applyFont="1" applyFill="1" applyBorder="1" applyAlignment="1">
      <alignment vertical="top" wrapText="1"/>
    </xf>
    <xf numFmtId="0" fontId="7" fillId="0" borderId="1" xfId="0" applyFont="1" applyFill="1" applyBorder="1" applyAlignment="1">
      <alignment horizontal="left" vertical="top" wrapText="1"/>
    </xf>
    <xf numFmtId="0" fontId="8" fillId="0" borderId="0" xfId="0" applyFont="1" applyFill="1" applyAlignment="1">
      <alignment horizontal="right"/>
    </xf>
    <xf numFmtId="0" fontId="11"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8" fillId="0" borderId="1" xfId="0" applyFont="1" applyFill="1" applyBorder="1" applyAlignment="1">
      <alignment horizontal="center" vertical="top" wrapText="1"/>
    </xf>
    <xf numFmtId="49" fontId="8" fillId="0" borderId="0" xfId="0" applyNumberFormat="1" applyFont="1" applyFill="1" applyAlignment="1">
      <alignment horizontal="left"/>
    </xf>
    <xf numFmtId="0" fontId="18" fillId="0" borderId="1" xfId="0" applyFont="1" applyFill="1" applyBorder="1" applyAlignment="1">
      <alignment vertical="top" wrapText="1"/>
    </xf>
    <xf numFmtId="165" fontId="19" fillId="0" borderId="1" xfId="0" applyNumberFormat="1" applyFont="1" applyFill="1" applyBorder="1" applyAlignment="1">
      <alignment horizontal="right" vertical="top" wrapText="1"/>
    </xf>
    <xf numFmtId="164" fontId="19" fillId="0" borderId="1" xfId="0" applyNumberFormat="1" applyFont="1" applyFill="1" applyBorder="1" applyAlignment="1">
      <alignment vertical="top" wrapText="1"/>
    </xf>
    <xf numFmtId="0" fontId="21" fillId="0" borderId="0" xfId="0" applyFont="1"/>
    <xf numFmtId="49" fontId="20" fillId="0" borderId="0" xfId="0" applyNumberFormat="1" applyFont="1" applyFill="1" applyAlignment="1">
      <alignment horizontal="center" vertical="center" wrapText="1"/>
    </xf>
    <xf numFmtId="165" fontId="16" fillId="0" borderId="1" xfId="0" applyNumberFormat="1" applyFont="1" applyFill="1" applyBorder="1" applyAlignment="1">
      <alignment vertical="top" wrapText="1"/>
    </xf>
    <xf numFmtId="165" fontId="16" fillId="0" borderId="1" xfId="0" applyNumberFormat="1" applyFont="1" applyFill="1" applyBorder="1" applyAlignment="1">
      <alignment horizontal="right" vertical="top" wrapText="1"/>
    </xf>
    <xf numFmtId="164" fontId="16" fillId="0" borderId="1" xfId="0" applyNumberFormat="1" applyFont="1" applyFill="1" applyBorder="1" applyAlignment="1">
      <alignment vertical="top" wrapText="1"/>
    </xf>
    <xf numFmtId="0" fontId="8" fillId="0" borderId="1" xfId="0" applyFont="1" applyFill="1" applyBorder="1" applyAlignment="1">
      <alignment horizontal="center" vertical="center" wrapText="1"/>
    </xf>
    <xf numFmtId="0" fontId="11" fillId="2" borderId="1" xfId="0" applyFont="1" applyFill="1" applyBorder="1" applyAlignment="1">
      <alignment vertical="top" wrapText="1"/>
    </xf>
    <xf numFmtId="165" fontId="19" fillId="2" borderId="1" xfId="0" applyNumberFormat="1" applyFont="1" applyFill="1" applyBorder="1" applyAlignment="1">
      <alignment horizontal="right" vertical="top" wrapText="1"/>
    </xf>
    <xf numFmtId="164" fontId="19" fillId="2" borderId="1" xfId="0" applyNumberFormat="1" applyFont="1" applyFill="1" applyBorder="1" applyAlignment="1">
      <alignment vertical="top" wrapText="1"/>
    </xf>
    <xf numFmtId="49" fontId="14" fillId="2" borderId="1" xfId="0" applyNumberFormat="1" applyFont="1" applyFill="1" applyBorder="1" applyAlignment="1">
      <alignment horizontal="center" vertical="top" wrapText="1"/>
    </xf>
    <xf numFmtId="0" fontId="3" fillId="2" borderId="1" xfId="0" applyFont="1" applyFill="1" applyBorder="1" applyAlignment="1">
      <alignment vertical="top" wrapText="1"/>
    </xf>
    <xf numFmtId="49" fontId="21" fillId="0" borderId="1" xfId="0" applyNumberFormat="1" applyFont="1" applyFill="1" applyBorder="1" applyAlignment="1">
      <alignment horizontal="center" vertical="top" wrapText="1"/>
    </xf>
    <xf numFmtId="165" fontId="19" fillId="2" borderId="1" xfId="0" applyNumberFormat="1" applyFont="1" applyFill="1" applyBorder="1" applyAlignment="1">
      <alignment vertical="top" wrapText="1"/>
    </xf>
    <xf numFmtId="0" fontId="4" fillId="0" borderId="1" xfId="0" applyFont="1" applyBorder="1"/>
    <xf numFmtId="0" fontId="6" fillId="0" borderId="1" xfId="0" applyFont="1" applyFill="1" applyBorder="1" applyAlignment="1">
      <alignment horizontal="left" vertical="top" wrapText="1"/>
    </xf>
    <xf numFmtId="0" fontId="21" fillId="0" borderId="0" xfId="0" applyFont="1" applyAlignment="1">
      <alignment horizontal="left"/>
    </xf>
    <xf numFmtId="165" fontId="19" fillId="0" borderId="1" xfId="0" applyNumberFormat="1" applyFont="1" applyFill="1" applyBorder="1" applyAlignment="1">
      <alignment vertical="top" wrapText="1"/>
    </xf>
    <xf numFmtId="165" fontId="23" fillId="0" borderId="1" xfId="0" applyNumberFormat="1" applyFont="1" applyFill="1" applyBorder="1" applyAlignment="1">
      <alignment vertical="top" wrapText="1"/>
    </xf>
    <xf numFmtId="164" fontId="23" fillId="0" borderId="1" xfId="0" applyNumberFormat="1" applyFont="1" applyFill="1" applyBorder="1" applyAlignment="1">
      <alignment vertical="top" wrapText="1"/>
    </xf>
    <xf numFmtId="0" fontId="14" fillId="4" borderId="1" xfId="0" applyFont="1" applyFill="1" applyBorder="1" applyAlignment="1">
      <alignment horizontal="center" vertical="top" wrapText="1"/>
    </xf>
    <xf numFmtId="0" fontId="8" fillId="0" borderId="1" xfId="0" applyFont="1" applyFill="1" applyBorder="1" applyAlignment="1">
      <alignment horizontal="center"/>
    </xf>
    <xf numFmtId="0" fontId="6" fillId="2" borderId="1" xfId="0" applyFont="1" applyFill="1" applyBorder="1" applyAlignment="1">
      <alignment vertical="top" wrapText="1"/>
    </xf>
    <xf numFmtId="0" fontId="20" fillId="0" borderId="0" xfId="0" applyFont="1" applyFill="1" applyAlignment="1">
      <alignment horizontal="left"/>
    </xf>
    <xf numFmtId="49" fontId="28" fillId="0" borderId="1" xfId="0" applyNumberFormat="1" applyFont="1" applyFill="1" applyBorder="1" applyAlignment="1">
      <alignment vertical="top" wrapText="1"/>
    </xf>
    <xf numFmtId="165" fontId="23" fillId="0" borderId="1" xfId="0" applyNumberFormat="1" applyFont="1" applyFill="1" applyBorder="1" applyAlignment="1">
      <alignment horizontal="right" vertical="top" wrapText="1"/>
    </xf>
    <xf numFmtId="49" fontId="29" fillId="0" borderId="1" xfId="0" applyNumberFormat="1" applyFont="1" applyFill="1" applyBorder="1" applyAlignment="1">
      <alignment vertical="top" wrapText="1"/>
    </xf>
    <xf numFmtId="0" fontId="22" fillId="0" borderId="1" xfId="0" applyFont="1" applyFill="1" applyBorder="1" applyAlignment="1">
      <alignment horizontal="center" vertical="top" wrapText="1"/>
    </xf>
    <xf numFmtId="164" fontId="24" fillId="0" borderId="1" xfId="0" applyNumberFormat="1" applyFont="1" applyFill="1" applyBorder="1" applyAlignment="1">
      <alignment vertical="top" wrapText="1"/>
    </xf>
    <xf numFmtId="165" fontId="24" fillId="0" borderId="1" xfId="0" applyNumberFormat="1" applyFont="1" applyFill="1" applyBorder="1" applyAlignment="1">
      <alignment horizontal="right" vertical="top" wrapText="1"/>
    </xf>
    <xf numFmtId="0" fontId="30" fillId="0" borderId="1" xfId="0" applyFont="1" applyFill="1" applyBorder="1" applyAlignment="1">
      <alignment vertical="top" wrapText="1"/>
    </xf>
    <xf numFmtId="0" fontId="32" fillId="0" borderId="1" xfId="0" applyFont="1" applyFill="1" applyBorder="1"/>
    <xf numFmtId="0" fontId="7" fillId="0" borderId="2" xfId="0" applyFont="1" applyFill="1" applyBorder="1" applyAlignment="1">
      <alignment vertical="top" wrapText="1"/>
    </xf>
    <xf numFmtId="0" fontId="28" fillId="0" borderId="1" xfId="0" applyFont="1" applyFill="1" applyBorder="1" applyAlignment="1">
      <alignment vertical="top" wrapText="1"/>
    </xf>
    <xf numFmtId="49" fontId="33" fillId="0" borderId="1" xfId="0" applyNumberFormat="1" applyFont="1" applyFill="1" applyBorder="1" applyAlignment="1">
      <alignment vertical="top" wrapText="1"/>
    </xf>
    <xf numFmtId="49" fontId="31" fillId="0" borderId="1" xfId="0" applyNumberFormat="1" applyFont="1" applyFill="1" applyBorder="1" applyAlignment="1">
      <alignment vertical="top" wrapText="1"/>
    </xf>
    <xf numFmtId="0" fontId="7" fillId="0" borderId="1" xfId="0" applyFont="1" applyBorder="1" applyAlignment="1">
      <alignment vertical="top" wrapText="1"/>
    </xf>
    <xf numFmtId="0" fontId="6" fillId="0" borderId="2" xfId="0" applyFont="1" applyBorder="1" applyAlignment="1">
      <alignment horizontal="left" vertical="center" wrapText="1"/>
    </xf>
    <xf numFmtId="0" fontId="7" fillId="0" borderId="2" xfId="0" applyFont="1" applyBorder="1" applyAlignment="1">
      <alignment vertical="top" wrapText="1"/>
    </xf>
    <xf numFmtId="0" fontId="7" fillId="0" borderId="3" xfId="0" applyFont="1" applyFill="1" applyBorder="1" applyAlignment="1">
      <alignment horizontal="left" vertical="top" wrapText="1"/>
    </xf>
    <xf numFmtId="0" fontId="25" fillId="4" borderId="1" xfId="0" applyFont="1" applyFill="1" applyBorder="1" applyAlignment="1">
      <alignment vertical="center" wrapText="1"/>
    </xf>
    <xf numFmtId="0" fontId="26" fillId="2" borderId="1" xfId="0" applyFont="1" applyFill="1" applyBorder="1" applyAlignment="1">
      <alignment vertical="center" wrapText="1"/>
    </xf>
    <xf numFmtId="165" fontId="27" fillId="2" borderId="1" xfId="0" applyNumberFormat="1" applyFont="1" applyFill="1" applyBorder="1" applyAlignment="1">
      <alignment horizontal="right" vertical="center" wrapText="1"/>
    </xf>
    <xf numFmtId="164" fontId="27" fillId="2" borderId="1" xfId="0" applyNumberFormat="1" applyFont="1" applyFill="1" applyBorder="1" applyAlignment="1">
      <alignment vertical="center" wrapText="1"/>
    </xf>
    <xf numFmtId="0" fontId="8" fillId="0" borderId="0" xfId="0" applyFont="1" applyFill="1" applyAlignment="1">
      <alignment horizontal="right" vertical="top"/>
    </xf>
    <xf numFmtId="0" fontId="8" fillId="0" borderId="0" xfId="0" applyFont="1"/>
    <xf numFmtId="0" fontId="7" fillId="0" borderId="3" xfId="0" applyFont="1" applyFill="1" applyBorder="1" applyAlignment="1">
      <alignment vertical="top" wrapText="1"/>
    </xf>
    <xf numFmtId="0" fontId="6" fillId="0" borderId="1" xfId="0" applyFont="1" applyFill="1" applyBorder="1" applyAlignment="1">
      <alignment vertical="top" wrapText="1"/>
    </xf>
    <xf numFmtId="49" fontId="20" fillId="0" borderId="0" xfId="0" applyNumberFormat="1" applyFont="1" applyFill="1" applyAlignment="1">
      <alignment horizontal="left" wrapText="1"/>
    </xf>
    <xf numFmtId="0" fontId="6" fillId="4" borderId="1" xfId="0" applyFont="1" applyFill="1" applyBorder="1" applyAlignment="1">
      <alignment vertical="top" wrapText="1"/>
    </xf>
    <xf numFmtId="165" fontId="19" fillId="4" borderId="1" xfId="0" applyNumberFormat="1" applyFont="1" applyFill="1" applyBorder="1" applyAlignment="1">
      <alignment vertical="top" wrapText="1"/>
    </xf>
    <xf numFmtId="164" fontId="19" fillId="4" borderId="1" xfId="0" applyNumberFormat="1" applyFont="1" applyFill="1" applyBorder="1" applyAlignment="1">
      <alignment vertical="top" wrapText="1"/>
    </xf>
    <xf numFmtId="0" fontId="11" fillId="4" borderId="1" xfId="0" applyFont="1" applyFill="1" applyBorder="1" applyAlignment="1">
      <alignment horizontal="left" vertical="top" wrapText="1"/>
    </xf>
    <xf numFmtId="165" fontId="19" fillId="4" borderId="1" xfId="0" applyNumberFormat="1" applyFont="1" applyFill="1" applyBorder="1" applyAlignment="1">
      <alignment horizontal="right" vertical="top" wrapText="1"/>
    </xf>
    <xf numFmtId="0" fontId="0" fillId="0" borderId="0" xfId="0" applyFont="1" applyFill="1"/>
    <xf numFmtId="0" fontId="0" fillId="0" borderId="0" xfId="0" applyFont="1"/>
    <xf numFmtId="0" fontId="0" fillId="0" borderId="0" xfId="0" applyFont="1" applyAlignment="1">
      <alignment vertical="center"/>
    </xf>
    <xf numFmtId="165" fontId="18" fillId="0" borderId="1" xfId="0" applyNumberFormat="1" applyFont="1" applyFill="1" applyBorder="1" applyAlignment="1">
      <alignment horizontal="right" vertical="top" wrapText="1"/>
    </xf>
    <xf numFmtId="165" fontId="18" fillId="0" borderId="1" xfId="0" applyNumberFormat="1" applyFont="1" applyFill="1" applyBorder="1" applyAlignment="1">
      <alignment vertical="top" wrapText="1"/>
    </xf>
    <xf numFmtId="164" fontId="16" fillId="0" borderId="1" xfId="0" applyNumberFormat="1" applyFont="1" applyBorder="1" applyAlignment="1">
      <alignment horizontal="right" vertical="top"/>
    </xf>
    <xf numFmtId="49" fontId="14" fillId="4" borderId="1" xfId="0" applyNumberFormat="1" applyFont="1" applyFill="1" applyBorder="1" applyAlignment="1">
      <alignment horizontal="center" vertical="top" wrapText="1"/>
    </xf>
    <xf numFmtId="49" fontId="8" fillId="0" borderId="0" xfId="0" applyNumberFormat="1" applyFont="1" applyFill="1" applyBorder="1" applyAlignment="1">
      <alignment horizontal="center" vertical="top" wrapText="1"/>
    </xf>
    <xf numFmtId="0" fontId="7" fillId="0" borderId="0" xfId="0" applyFont="1" applyBorder="1" applyAlignment="1">
      <alignment vertical="center" wrapText="1"/>
    </xf>
    <xf numFmtId="0" fontId="7" fillId="0" borderId="0" xfId="0" applyFont="1" applyBorder="1" applyAlignment="1">
      <alignment horizontal="right" vertical="justify"/>
    </xf>
    <xf numFmtId="165" fontId="21" fillId="0" borderId="0" xfId="0" applyNumberFormat="1" applyFont="1" applyFill="1" applyBorder="1" applyAlignment="1">
      <alignment vertical="top" wrapText="1"/>
    </xf>
    <xf numFmtId="164" fontId="21" fillId="0" borderId="0" xfId="0" applyNumberFormat="1" applyFont="1" applyFill="1" applyBorder="1" applyAlignment="1">
      <alignment vertical="top" wrapText="1"/>
    </xf>
    <xf numFmtId="0" fontId="0" fillId="0" borderId="0" xfId="0" applyFont="1" applyFill="1" applyAlignment="1">
      <alignment horizontal="right" vertical="top"/>
    </xf>
    <xf numFmtId="0" fontId="0" fillId="0" borderId="0" xfId="0" applyFont="1" applyFill="1" applyAlignment="1">
      <alignment horizontal="center" vertical="top"/>
    </xf>
    <xf numFmtId="49" fontId="8" fillId="0" borderId="1" xfId="0" applyNumberFormat="1" applyFont="1" applyFill="1" applyBorder="1" applyAlignment="1">
      <alignment horizontal="center"/>
    </xf>
    <xf numFmtId="0" fontId="4" fillId="0" borderId="0" xfId="0" applyFont="1" applyFill="1"/>
    <xf numFmtId="49" fontId="35" fillId="0" borderId="1" xfId="0" applyNumberFormat="1" applyFont="1" applyFill="1" applyBorder="1" applyAlignment="1">
      <alignment horizontal="center" vertical="top" wrapText="1"/>
    </xf>
    <xf numFmtId="0" fontId="5" fillId="0" borderId="1" xfId="0" applyFont="1" applyFill="1" applyBorder="1" applyAlignment="1">
      <alignment horizontal="left" vertical="top" wrapText="1"/>
    </xf>
    <xf numFmtId="0" fontId="32" fillId="0" borderId="0" xfId="0" applyFont="1" applyFill="1"/>
    <xf numFmtId="0" fontId="0" fillId="0" borderId="0" xfId="0" applyFont="1" applyFill="1" applyAlignment="1">
      <alignment vertical="center"/>
    </xf>
    <xf numFmtId="0" fontId="4" fillId="0" borderId="1" xfId="0" applyFont="1" applyFill="1" applyBorder="1"/>
    <xf numFmtId="0" fontId="6" fillId="0" borderId="2" xfId="0" applyFont="1" applyFill="1" applyBorder="1" applyAlignment="1">
      <alignment horizontal="left" vertical="center" wrapText="1"/>
    </xf>
    <xf numFmtId="164" fontId="16" fillId="0" borderId="1" xfId="0" applyNumberFormat="1" applyFont="1" applyFill="1" applyBorder="1" applyAlignment="1">
      <alignment horizontal="right" vertical="top"/>
    </xf>
    <xf numFmtId="0" fontId="7" fillId="0" borderId="0" xfId="0" applyFont="1" applyFill="1" applyBorder="1" applyAlignment="1">
      <alignment vertical="center" wrapText="1"/>
    </xf>
    <xf numFmtId="0" fontId="7" fillId="0" borderId="0" xfId="0" applyFont="1" applyFill="1" applyBorder="1" applyAlignment="1">
      <alignment horizontal="right" vertical="justify"/>
    </xf>
    <xf numFmtId="0" fontId="21" fillId="0" borderId="0" xfId="0" applyFont="1" applyFill="1"/>
    <xf numFmtId="0" fontId="21" fillId="0" borderId="0" xfId="0" applyFont="1" applyFill="1" applyAlignment="1">
      <alignment horizontal="left"/>
    </xf>
    <xf numFmtId="0" fontId="8" fillId="0" borderId="0" xfId="0" applyFont="1" applyFill="1"/>
    <xf numFmtId="0" fontId="26" fillId="4" borderId="1" xfId="0" applyFont="1" applyFill="1" applyBorder="1" applyAlignment="1">
      <alignment vertical="center" wrapText="1"/>
    </xf>
    <xf numFmtId="165" fontId="27" fillId="4" borderId="1" xfId="0" applyNumberFormat="1" applyFont="1" applyFill="1" applyBorder="1" applyAlignment="1">
      <alignment horizontal="right" vertical="center" wrapText="1"/>
    </xf>
    <xf numFmtId="164" fontId="27" fillId="4" borderId="1" xfId="0" applyNumberFormat="1" applyFont="1" applyFill="1" applyBorder="1" applyAlignment="1">
      <alignment vertical="center" wrapText="1"/>
    </xf>
    <xf numFmtId="0" fontId="11" fillId="4" borderId="1" xfId="0" applyFont="1" applyFill="1" applyBorder="1" applyAlignment="1">
      <alignment vertical="top" wrapText="1"/>
    </xf>
    <xf numFmtId="0" fontId="3" fillId="4" borderId="1" xfId="0" applyFont="1" applyFill="1" applyBorder="1" applyAlignment="1">
      <alignment vertical="top" wrapText="1"/>
    </xf>
    <xf numFmtId="0" fontId="74" fillId="0" borderId="1" xfId="0" applyFont="1" applyFill="1" applyBorder="1" applyAlignment="1">
      <alignment vertical="top" wrapText="1"/>
    </xf>
    <xf numFmtId="165" fontId="4" fillId="0" borderId="0" xfId="0" applyNumberFormat="1" applyFont="1" applyFill="1"/>
    <xf numFmtId="165" fontId="75" fillId="0" borderId="1" xfId="0" applyNumberFormat="1" applyFont="1" applyFill="1" applyBorder="1" applyAlignment="1">
      <alignment horizontal="right" vertical="top" wrapText="1"/>
    </xf>
    <xf numFmtId="164" fontId="75" fillId="0" borderId="1" xfId="0" applyNumberFormat="1" applyFont="1" applyFill="1" applyBorder="1" applyAlignment="1">
      <alignment vertical="top" wrapText="1"/>
    </xf>
    <xf numFmtId="0" fontId="76" fillId="0" borderId="1" xfId="0" applyFont="1" applyFill="1" applyBorder="1" applyAlignment="1">
      <alignment vertical="top" wrapText="1"/>
    </xf>
    <xf numFmtId="0" fontId="77" fillId="0" borderId="1" xfId="0" applyFont="1" applyFill="1" applyBorder="1" applyAlignment="1">
      <alignment vertical="top" wrapText="1"/>
    </xf>
    <xf numFmtId="49" fontId="77" fillId="0" borderId="1" xfId="0" applyNumberFormat="1" applyFont="1" applyFill="1" applyBorder="1" applyAlignment="1">
      <alignment vertical="top" wrapText="1"/>
    </xf>
    <xf numFmtId="165" fontId="78" fillId="0" borderId="1" xfId="0" applyNumberFormat="1" applyFont="1" applyFill="1" applyBorder="1" applyAlignment="1">
      <alignment horizontal="right" vertical="top" wrapText="1"/>
    </xf>
    <xf numFmtId="164" fontId="78" fillId="0" borderId="1" xfId="0" applyNumberFormat="1" applyFont="1" applyFill="1" applyBorder="1" applyAlignment="1">
      <alignment vertical="top" wrapText="1"/>
    </xf>
    <xf numFmtId="49" fontId="79" fillId="0" borderId="1" xfId="0" applyNumberFormat="1" applyFont="1" applyFill="1" applyBorder="1" applyAlignment="1">
      <alignment vertical="top" wrapText="1"/>
    </xf>
    <xf numFmtId="165" fontId="75" fillId="0" borderId="1" xfId="0" applyNumberFormat="1" applyFont="1" applyFill="1" applyBorder="1" applyAlignment="1">
      <alignment vertical="top" wrapText="1"/>
    </xf>
    <xf numFmtId="165" fontId="80" fillId="0" borderId="1" xfId="0" applyNumberFormat="1" applyFont="1" applyFill="1" applyBorder="1" applyAlignment="1">
      <alignment horizontal="right" vertical="top" wrapText="1"/>
    </xf>
    <xf numFmtId="165" fontId="78" fillId="0" borderId="1" xfId="0" applyNumberFormat="1" applyFont="1" applyFill="1" applyBorder="1" applyAlignment="1">
      <alignment vertical="top" wrapText="1"/>
    </xf>
    <xf numFmtId="165" fontId="80" fillId="0" borderId="1" xfId="0" applyNumberFormat="1" applyFont="1" applyFill="1" applyBorder="1" applyAlignment="1">
      <alignment vertical="top" wrapText="1"/>
    </xf>
    <xf numFmtId="164" fontId="80" fillId="0" borderId="1" xfId="0" applyNumberFormat="1" applyFont="1" applyFill="1" applyBorder="1" applyAlignment="1">
      <alignment vertical="top" wrapText="1"/>
    </xf>
    <xf numFmtId="0" fontId="74" fillId="0" borderId="1" xfId="0" applyFont="1" applyFill="1" applyBorder="1" applyAlignment="1">
      <alignment horizontal="left" vertical="top" wrapText="1"/>
    </xf>
    <xf numFmtId="0" fontId="81" fillId="0" borderId="1" xfId="0" applyFont="1" applyFill="1" applyBorder="1" applyAlignment="1">
      <alignment vertical="top" wrapText="1"/>
    </xf>
    <xf numFmtId="49" fontId="82" fillId="0" borderId="1" xfId="0" applyNumberFormat="1" applyFont="1" applyFill="1" applyBorder="1" applyAlignment="1">
      <alignment vertical="top" wrapText="1"/>
    </xf>
    <xf numFmtId="165" fontId="83" fillId="0" borderId="1" xfId="0" applyNumberFormat="1" applyFont="1" applyFill="1" applyBorder="1" applyAlignment="1">
      <alignment horizontal="right" vertical="top" wrapText="1"/>
    </xf>
    <xf numFmtId="164" fontId="83" fillId="0" borderId="1" xfId="0" applyNumberFormat="1" applyFont="1" applyFill="1" applyBorder="1" applyAlignment="1">
      <alignment vertical="top" wrapText="1"/>
    </xf>
    <xf numFmtId="49" fontId="84" fillId="0" borderId="1" xfId="0" applyNumberFormat="1" applyFont="1" applyFill="1" applyBorder="1" applyAlignment="1">
      <alignment vertical="top" wrapText="1"/>
    </xf>
    <xf numFmtId="0" fontId="85" fillId="0" borderId="1" xfId="0" applyFont="1" applyFill="1" applyBorder="1" applyAlignment="1">
      <alignment horizontal="center" vertical="top" wrapText="1"/>
    </xf>
    <xf numFmtId="0" fontId="86" fillId="0" borderId="1" xfId="0" applyFont="1" applyFill="1" applyBorder="1" applyAlignment="1">
      <alignment horizontal="left" vertical="top" wrapText="1"/>
    </xf>
    <xf numFmtId="0" fontId="87" fillId="0" borderId="1" xfId="0" applyFont="1" applyFill="1" applyBorder="1" applyAlignment="1">
      <alignment horizontal="left" vertical="top" wrapText="1"/>
    </xf>
    <xf numFmtId="165" fontId="88" fillId="0" borderId="1" xfId="0" applyNumberFormat="1" applyFont="1" applyFill="1" applyBorder="1" applyAlignment="1">
      <alignment vertical="top" wrapText="1"/>
    </xf>
    <xf numFmtId="164" fontId="88" fillId="0" borderId="1" xfId="0" applyNumberFormat="1" applyFont="1" applyFill="1" applyBorder="1" applyAlignment="1">
      <alignment vertical="top" wrapText="1"/>
    </xf>
    <xf numFmtId="0" fontId="89" fillId="0" borderId="1" xfId="0" applyFont="1" applyFill="1" applyBorder="1" applyAlignment="1">
      <alignment vertical="top" wrapText="1"/>
    </xf>
    <xf numFmtId="165" fontId="90" fillId="0" borderId="1" xfId="0" applyNumberFormat="1" applyFont="1" applyFill="1" applyBorder="1" applyAlignment="1">
      <alignment horizontal="right" vertical="top" wrapText="1"/>
    </xf>
    <xf numFmtId="165" fontId="91" fillId="0" borderId="1" xfId="0" applyNumberFormat="1" applyFont="1" applyFill="1" applyBorder="1" applyAlignment="1">
      <alignment horizontal="right" vertical="top" wrapText="1"/>
    </xf>
    <xf numFmtId="0" fontId="89" fillId="0" borderId="1" xfId="0" applyFont="1" applyFill="1" applyBorder="1" applyAlignment="1">
      <alignment horizontal="left" vertical="top" wrapText="1"/>
    </xf>
    <xf numFmtId="164" fontId="91" fillId="0" borderId="1" xfId="0" applyNumberFormat="1" applyFont="1" applyFill="1" applyBorder="1" applyAlignment="1">
      <alignment vertical="top" wrapText="1"/>
    </xf>
    <xf numFmtId="0" fontId="92" fillId="0" borderId="1" xfId="0" applyFont="1" applyFill="1" applyBorder="1" applyAlignment="1">
      <alignment vertical="top" wrapText="1"/>
    </xf>
    <xf numFmtId="165" fontId="93" fillId="0" borderId="1" xfId="0" applyNumberFormat="1" applyFont="1" applyFill="1" applyBorder="1" applyAlignment="1">
      <alignment horizontal="right" vertical="top" wrapText="1"/>
    </xf>
    <xf numFmtId="49" fontId="94" fillId="0" borderId="1" xfId="0" applyNumberFormat="1" applyFont="1" applyFill="1" applyBorder="1" applyAlignment="1">
      <alignment horizontal="center" vertical="top" wrapText="1"/>
    </xf>
    <xf numFmtId="0" fontId="95" fillId="0" borderId="1" xfId="0" applyFont="1" applyFill="1" applyBorder="1" applyAlignment="1">
      <alignment vertical="top" wrapText="1"/>
    </xf>
    <xf numFmtId="165" fontId="96" fillId="0" borderId="1" xfId="0" applyNumberFormat="1" applyFont="1" applyFill="1" applyBorder="1" applyAlignment="1">
      <alignment horizontal="right" vertical="top" wrapText="1"/>
    </xf>
    <xf numFmtId="0" fontId="97" fillId="0" borderId="2" xfId="0" applyFont="1" applyFill="1" applyBorder="1" applyAlignment="1">
      <alignment vertical="top" wrapText="1"/>
    </xf>
    <xf numFmtId="0" fontId="94" fillId="0" borderId="1" xfId="0" applyFont="1" applyFill="1" applyBorder="1" applyAlignment="1">
      <alignment horizontal="center" vertical="top" wrapText="1"/>
    </xf>
    <xf numFmtId="0" fontId="97" fillId="0" borderId="1" xfId="0" applyFont="1" applyFill="1" applyBorder="1" applyAlignment="1">
      <alignment horizontal="left" vertical="top" wrapText="1"/>
    </xf>
    <xf numFmtId="0" fontId="98" fillId="0" borderId="1" xfId="0" applyFont="1" applyFill="1" applyBorder="1" applyAlignment="1">
      <alignment vertical="top" wrapText="1"/>
    </xf>
    <xf numFmtId="165" fontId="99" fillId="0" borderId="1" xfId="0" applyNumberFormat="1" applyFont="1" applyFill="1" applyBorder="1" applyAlignment="1">
      <alignment horizontal="right" vertical="top" wrapText="1"/>
    </xf>
    <xf numFmtId="165" fontId="99" fillId="0" borderId="1" xfId="0" applyNumberFormat="1" applyFont="1" applyFill="1" applyBorder="1" applyAlignment="1">
      <alignment vertical="top" wrapText="1"/>
    </xf>
    <xf numFmtId="165" fontId="100" fillId="0" borderId="1" xfId="0" applyNumberFormat="1" applyFont="1" applyFill="1" applyBorder="1" applyAlignment="1">
      <alignment horizontal="right" vertical="top" wrapText="1"/>
    </xf>
    <xf numFmtId="0" fontId="97" fillId="0" borderId="1" xfId="0" applyFont="1" applyFill="1" applyBorder="1" applyAlignment="1">
      <alignment vertical="top" wrapText="1"/>
    </xf>
    <xf numFmtId="0" fontId="101" fillId="0" borderId="3" xfId="0" applyFont="1" applyFill="1" applyBorder="1" applyAlignment="1">
      <alignment vertical="top" wrapText="1"/>
    </xf>
    <xf numFmtId="165" fontId="102" fillId="0" borderId="1" xfId="0" applyNumberFormat="1" applyFont="1" applyFill="1" applyBorder="1" applyAlignment="1">
      <alignment horizontal="right" vertical="top" wrapText="1"/>
    </xf>
    <xf numFmtId="0" fontId="103" fillId="0" borderId="1" xfId="0" applyFont="1" applyFill="1" applyBorder="1" applyAlignment="1">
      <alignment vertical="top" wrapText="1"/>
    </xf>
    <xf numFmtId="49" fontId="103" fillId="0" borderId="1" xfId="0" applyNumberFormat="1" applyFont="1" applyFill="1" applyBorder="1" applyAlignment="1">
      <alignment vertical="top" wrapText="1"/>
    </xf>
    <xf numFmtId="165" fontId="93" fillId="0" borderId="1" xfId="0" applyNumberFormat="1" applyFont="1" applyFill="1" applyBorder="1" applyAlignment="1">
      <alignment vertical="top" wrapText="1"/>
    </xf>
    <xf numFmtId="49" fontId="104" fillId="0" borderId="1" xfId="0" applyNumberFormat="1" applyFont="1" applyFill="1" applyBorder="1" applyAlignment="1">
      <alignment vertical="top" wrapText="1"/>
    </xf>
    <xf numFmtId="0" fontId="101" fillId="0" borderId="3" xfId="0" applyFont="1" applyFill="1" applyBorder="1" applyAlignment="1">
      <alignment horizontal="left" vertical="top" wrapText="1"/>
    </xf>
    <xf numFmtId="164" fontId="93" fillId="0" borderId="1" xfId="0" applyNumberFormat="1" applyFont="1" applyFill="1" applyBorder="1" applyAlignment="1">
      <alignment horizontal="right" vertical="top"/>
    </xf>
    <xf numFmtId="0" fontId="101" fillId="0" borderId="1" xfId="0" applyFont="1" applyFill="1" applyBorder="1" applyAlignment="1">
      <alignment vertical="top" wrapText="1"/>
    </xf>
    <xf numFmtId="0" fontId="6" fillId="0" borderId="0" xfId="0" applyFont="1" applyFill="1" applyBorder="1" applyAlignment="1">
      <alignment horizontal="center" vertical="top" wrapText="1"/>
    </xf>
    <xf numFmtId="0" fontId="25" fillId="4" borderId="1" xfId="0" applyFont="1" applyFill="1" applyBorder="1" applyAlignment="1">
      <alignment vertical="top" wrapText="1"/>
    </xf>
    <xf numFmtId="0" fontId="4" fillId="0" borderId="1" xfId="0" applyFont="1" applyFill="1" applyBorder="1" applyAlignment="1">
      <alignment vertical="top"/>
    </xf>
    <xf numFmtId="0" fontId="8" fillId="0" borderId="1" xfId="0" applyFont="1" applyFill="1" applyBorder="1" applyAlignment="1">
      <alignment horizontal="center" vertical="top"/>
    </xf>
    <xf numFmtId="49" fontId="8" fillId="0" borderId="1" xfId="0" applyNumberFormat="1" applyFont="1" applyFill="1" applyBorder="1" applyAlignment="1">
      <alignment horizontal="center" vertical="top"/>
    </xf>
    <xf numFmtId="0" fontId="0" fillId="0" borderId="0" xfId="0" applyFont="1" applyFill="1" applyAlignment="1">
      <alignment vertical="top"/>
    </xf>
    <xf numFmtId="0" fontId="0" fillId="4" borderId="0" xfId="0" applyFont="1" applyFill="1" applyAlignment="1">
      <alignment horizontal="right" vertical="top"/>
    </xf>
    <xf numFmtId="0" fontId="105" fillId="5" borderId="1" xfId="0" applyFont="1" applyFill="1" applyBorder="1" applyAlignment="1">
      <alignment horizontal="center" vertical="top" wrapText="1"/>
    </xf>
    <xf numFmtId="0" fontId="106" fillId="5" borderId="0" xfId="0" applyFont="1" applyFill="1"/>
    <xf numFmtId="0" fontId="107" fillId="5" borderId="0" xfId="0" applyFont="1" applyFill="1" applyAlignment="1">
      <alignment horizontal="right" vertical="top"/>
    </xf>
    <xf numFmtId="0" fontId="107" fillId="5" borderId="0" xfId="0" applyFont="1" applyFill="1" applyAlignment="1">
      <alignment horizontal="right"/>
    </xf>
    <xf numFmtId="0" fontId="108" fillId="5" borderId="0" xfId="0" applyFont="1" applyFill="1" applyBorder="1" applyAlignment="1">
      <alignment horizontal="center" vertical="top" wrapText="1"/>
    </xf>
    <xf numFmtId="0" fontId="108" fillId="5" borderId="0" xfId="0" applyFont="1" applyFill="1" applyBorder="1" applyAlignment="1">
      <alignment horizontal="center" vertical="center" wrapText="1"/>
    </xf>
    <xf numFmtId="0" fontId="107" fillId="5" borderId="0" xfId="0" applyFont="1" applyFill="1" applyBorder="1" applyAlignment="1">
      <alignment horizontal="center" vertical="center" wrapText="1"/>
    </xf>
    <xf numFmtId="49" fontId="107" fillId="5" borderId="1" xfId="0" applyNumberFormat="1" applyFont="1" applyFill="1" applyBorder="1" applyAlignment="1">
      <alignment horizontal="center" vertical="top" wrapText="1"/>
    </xf>
    <xf numFmtId="0" fontId="107" fillId="5" borderId="1" xfId="0" applyFont="1" applyFill="1" applyBorder="1" applyAlignment="1">
      <alignment horizontal="center" vertical="top" wrapText="1"/>
    </xf>
    <xf numFmtId="0" fontId="107" fillId="5" borderId="1" xfId="0" applyFont="1" applyFill="1" applyBorder="1" applyAlignment="1">
      <alignment horizontal="center" vertical="center" wrapText="1"/>
    </xf>
    <xf numFmtId="49" fontId="107" fillId="5" borderId="1" xfId="0" applyNumberFormat="1" applyFont="1" applyFill="1" applyBorder="1" applyAlignment="1">
      <alignment horizontal="center" vertical="center" wrapText="1"/>
    </xf>
    <xf numFmtId="0" fontId="106" fillId="5" borderId="0" xfId="0" applyFont="1" applyFill="1" applyAlignment="1">
      <alignment vertical="center"/>
    </xf>
    <xf numFmtId="0" fontId="109" fillId="5" borderId="1" xfId="0" applyFont="1" applyFill="1" applyBorder="1" applyAlignment="1">
      <alignment vertical="top" wrapText="1"/>
    </xf>
    <xf numFmtId="0" fontId="110" fillId="5" borderId="1" xfId="0" applyFont="1" applyFill="1" applyBorder="1" applyAlignment="1">
      <alignment vertical="top" wrapText="1"/>
    </xf>
    <xf numFmtId="165" fontId="111" fillId="5" borderId="1" xfId="0" applyNumberFormat="1" applyFont="1" applyFill="1" applyBorder="1" applyAlignment="1">
      <alignment horizontal="right" vertical="top" wrapText="1"/>
    </xf>
    <xf numFmtId="164" fontId="111" fillId="5" borderId="1" xfId="0" applyNumberFormat="1" applyFont="1" applyFill="1" applyBorder="1" applyAlignment="1">
      <alignment vertical="top" wrapText="1"/>
    </xf>
    <xf numFmtId="0" fontId="112" fillId="5" borderId="1" xfId="0" applyFont="1" applyFill="1" applyBorder="1" applyAlignment="1">
      <alignment vertical="top" wrapText="1"/>
    </xf>
    <xf numFmtId="49" fontId="113" fillId="5" borderId="1" xfId="0" applyNumberFormat="1" applyFont="1" applyFill="1" applyBorder="1" applyAlignment="1">
      <alignment vertical="top" wrapText="1"/>
    </xf>
    <xf numFmtId="165" fontId="114" fillId="5" borderId="1" xfId="0" applyNumberFormat="1" applyFont="1" applyFill="1" applyBorder="1" applyAlignment="1">
      <alignment horizontal="right" vertical="top" wrapText="1"/>
    </xf>
    <xf numFmtId="164" fontId="114" fillId="5" borderId="1" xfId="0" applyNumberFormat="1" applyFont="1" applyFill="1" applyBorder="1" applyAlignment="1">
      <alignment vertical="top" wrapText="1"/>
    </xf>
    <xf numFmtId="49" fontId="115" fillId="5" borderId="1" xfId="0" applyNumberFormat="1" applyFont="1" applyFill="1" applyBorder="1" applyAlignment="1">
      <alignment vertical="top" wrapText="1"/>
    </xf>
    <xf numFmtId="0" fontId="116" fillId="5" borderId="0" xfId="0" applyFont="1" applyFill="1"/>
    <xf numFmtId="0" fontId="117" fillId="5" borderId="1" xfId="0" applyFont="1" applyFill="1" applyBorder="1" applyAlignment="1">
      <alignment horizontal="left" vertical="top" wrapText="1"/>
    </xf>
    <xf numFmtId="0" fontId="118" fillId="5" borderId="1" xfId="0" applyFont="1" applyFill="1" applyBorder="1" applyAlignment="1">
      <alignment vertical="top" wrapText="1"/>
    </xf>
    <xf numFmtId="0" fontId="119" fillId="5" borderId="1" xfId="0" applyFont="1" applyFill="1" applyBorder="1" applyAlignment="1">
      <alignment vertical="top" wrapText="1"/>
    </xf>
    <xf numFmtId="49" fontId="120" fillId="5" borderId="1" xfId="0" applyNumberFormat="1" applyFont="1" applyFill="1" applyBorder="1" applyAlignment="1">
      <alignment horizontal="center" vertical="top" wrapText="1"/>
    </xf>
    <xf numFmtId="49" fontId="119" fillId="5" borderId="1" xfId="0" applyNumberFormat="1" applyFont="1" applyFill="1" applyBorder="1" applyAlignment="1">
      <alignment vertical="top" wrapText="1"/>
    </xf>
    <xf numFmtId="165" fontId="121" fillId="5" borderId="1" xfId="0" applyNumberFormat="1" applyFont="1" applyFill="1" applyBorder="1" applyAlignment="1">
      <alignment horizontal="right" vertical="top" wrapText="1"/>
    </xf>
    <xf numFmtId="164" fontId="121" fillId="5" borderId="1" xfId="0" applyNumberFormat="1" applyFont="1" applyFill="1" applyBorder="1" applyAlignment="1">
      <alignment vertical="top" wrapText="1"/>
    </xf>
    <xf numFmtId="49" fontId="122" fillId="5" borderId="1" xfId="0" applyNumberFormat="1" applyFont="1" applyFill="1" applyBorder="1" applyAlignment="1">
      <alignment vertical="top" wrapText="1"/>
    </xf>
    <xf numFmtId="0" fontId="108" fillId="5" borderId="1" xfId="0" applyFont="1" applyFill="1" applyBorder="1" applyAlignment="1">
      <alignment vertical="top" wrapText="1"/>
    </xf>
    <xf numFmtId="165" fontId="111" fillId="5" borderId="1" xfId="0" applyNumberFormat="1" applyFont="1" applyFill="1" applyBorder="1" applyAlignment="1">
      <alignment vertical="top" wrapText="1"/>
    </xf>
    <xf numFmtId="49" fontId="105" fillId="5" borderId="1" xfId="0" applyNumberFormat="1" applyFont="1" applyFill="1" applyBorder="1" applyAlignment="1">
      <alignment horizontal="center" vertical="top" wrapText="1"/>
    </xf>
    <xf numFmtId="165" fontId="123" fillId="5" borderId="1" xfId="0" applyNumberFormat="1" applyFont="1" applyFill="1" applyBorder="1" applyAlignment="1">
      <alignment horizontal="right" vertical="top" wrapText="1"/>
    </xf>
    <xf numFmtId="165" fontId="123" fillId="5" borderId="1" xfId="0" applyNumberFormat="1" applyFont="1" applyFill="1" applyBorder="1" applyAlignment="1">
      <alignment vertical="top" wrapText="1"/>
    </xf>
    <xf numFmtId="164" fontId="123" fillId="5" borderId="1" xfId="0" applyNumberFormat="1" applyFont="1" applyFill="1" applyBorder="1" applyAlignment="1">
      <alignment vertical="top" wrapText="1"/>
    </xf>
    <xf numFmtId="165" fontId="116" fillId="5" borderId="0" xfId="0" applyNumberFormat="1" applyFont="1" applyFill="1"/>
    <xf numFmtId="0" fontId="124" fillId="5" borderId="1" xfId="0" applyFont="1" applyFill="1" applyBorder="1" applyAlignment="1">
      <alignment horizontal="left" vertical="top" wrapText="1"/>
    </xf>
    <xf numFmtId="165" fontId="109" fillId="5" borderId="1" xfId="0" applyNumberFormat="1" applyFont="1" applyFill="1" applyBorder="1" applyAlignment="1">
      <alignment vertical="top" wrapText="1"/>
    </xf>
    <xf numFmtId="164" fontId="109" fillId="5" borderId="1" xfId="0" applyNumberFormat="1" applyFont="1" applyFill="1" applyBorder="1" applyAlignment="1">
      <alignment vertical="top" wrapText="1"/>
    </xf>
    <xf numFmtId="0" fontId="125" fillId="5" borderId="1" xfId="0" applyFont="1" applyFill="1" applyBorder="1" applyAlignment="1">
      <alignment vertical="top" wrapText="1"/>
    </xf>
    <xf numFmtId="0" fontId="108" fillId="5" borderId="2" xfId="0" applyFont="1" applyFill="1" applyBorder="1" applyAlignment="1">
      <alignment horizontal="left" vertical="center" wrapText="1"/>
    </xf>
    <xf numFmtId="49" fontId="126" fillId="5" borderId="1" xfId="0" applyNumberFormat="1" applyFont="1" applyFill="1" applyBorder="1" applyAlignment="1">
      <alignment horizontal="center" vertical="top" wrapText="1"/>
    </xf>
    <xf numFmtId="0" fontId="127" fillId="5" borderId="1" xfId="0" applyFont="1" applyFill="1" applyBorder="1" applyAlignment="1">
      <alignment horizontal="left" vertical="top" wrapText="1"/>
    </xf>
    <xf numFmtId="0" fontId="108" fillId="5" borderId="1" xfId="0" applyFont="1" applyFill="1" applyBorder="1" applyAlignment="1">
      <alignment horizontal="left" vertical="top" wrapText="1"/>
    </xf>
    <xf numFmtId="0" fontId="125" fillId="5" borderId="1" xfId="0" applyFont="1" applyFill="1" applyBorder="1" applyAlignment="1">
      <alignment horizontal="left" vertical="top" wrapText="1"/>
    </xf>
    <xf numFmtId="0" fontId="128" fillId="5" borderId="1" xfId="0" applyFont="1" applyFill="1" applyBorder="1" applyAlignment="1">
      <alignment vertical="top" wrapText="1"/>
    </xf>
    <xf numFmtId="0" fontId="125" fillId="5" borderId="2" xfId="0" applyFont="1" applyFill="1" applyBorder="1" applyAlignment="1">
      <alignment vertical="top" wrapText="1"/>
    </xf>
    <xf numFmtId="0" fontId="124" fillId="5" borderId="1" xfId="0" applyFont="1" applyFill="1" applyBorder="1" applyAlignment="1">
      <alignment vertical="top" wrapText="1"/>
    </xf>
    <xf numFmtId="0" fontId="125" fillId="5" borderId="3" xfId="0" applyFont="1" applyFill="1" applyBorder="1" applyAlignment="1">
      <alignment vertical="top" wrapText="1"/>
    </xf>
    <xf numFmtId="0" fontId="107" fillId="5" borderId="1" xfId="0" applyFont="1" applyFill="1" applyBorder="1" applyAlignment="1">
      <alignment horizontal="center" vertical="top"/>
    </xf>
    <xf numFmtId="49" fontId="107" fillId="5" borderId="1" xfId="0" applyNumberFormat="1" applyFont="1" applyFill="1" applyBorder="1" applyAlignment="1">
      <alignment horizontal="center" vertical="top"/>
    </xf>
    <xf numFmtId="0" fontId="125" fillId="5" borderId="3" xfId="0" applyFont="1" applyFill="1" applyBorder="1" applyAlignment="1">
      <alignment horizontal="left" vertical="top" wrapText="1"/>
    </xf>
    <xf numFmtId="49" fontId="107" fillId="5" borderId="0" xfId="0" applyNumberFormat="1" applyFont="1" applyFill="1" applyBorder="1" applyAlignment="1">
      <alignment horizontal="center" vertical="top" wrapText="1"/>
    </xf>
    <xf numFmtId="0" fontId="125" fillId="5" borderId="0" xfId="0" applyFont="1" applyFill="1" applyBorder="1" applyAlignment="1">
      <alignment vertical="center" wrapText="1"/>
    </xf>
    <xf numFmtId="0" fontId="125" fillId="5" borderId="0" xfId="0" applyFont="1" applyFill="1" applyBorder="1" applyAlignment="1">
      <alignment horizontal="right" vertical="justify"/>
    </xf>
    <xf numFmtId="165" fontId="120" fillId="5" borderId="0" xfId="0" applyNumberFormat="1" applyFont="1" applyFill="1" applyBorder="1" applyAlignment="1">
      <alignment vertical="top" wrapText="1"/>
    </xf>
    <xf numFmtId="164" fontId="120" fillId="5" borderId="0" xfId="0" applyNumberFormat="1" applyFont="1" applyFill="1" applyBorder="1" applyAlignment="1">
      <alignment vertical="top" wrapText="1"/>
    </xf>
    <xf numFmtId="0" fontId="106" fillId="5" borderId="0" xfId="0" applyFont="1" applyFill="1" applyAlignment="1">
      <alignment horizontal="right" vertical="top"/>
    </xf>
    <xf numFmtId="49" fontId="129" fillId="5" borderId="0" xfId="0" applyNumberFormat="1" applyFont="1" applyFill="1" applyAlignment="1">
      <alignment horizontal="center" vertical="center" wrapText="1"/>
    </xf>
    <xf numFmtId="49" fontId="129" fillId="5" borderId="0" xfId="0" applyNumberFormat="1" applyFont="1" applyFill="1" applyAlignment="1">
      <alignment horizontal="left" wrapText="1"/>
    </xf>
    <xf numFmtId="0" fontId="106" fillId="5" borderId="0" xfId="0" applyFont="1" applyFill="1" applyAlignment="1">
      <alignment vertical="top"/>
    </xf>
    <xf numFmtId="0" fontId="129" fillId="5" borderId="0" xfId="0" applyFont="1" applyFill="1" applyAlignment="1">
      <alignment horizontal="left"/>
    </xf>
    <xf numFmtId="0" fontId="106" fillId="5" borderId="0" xfId="0" applyFont="1" applyFill="1" applyAlignment="1">
      <alignment horizontal="center" vertical="top"/>
    </xf>
    <xf numFmtId="0" fontId="120" fillId="5" borderId="0" xfId="0" applyFont="1" applyFill="1"/>
    <xf numFmtId="49" fontId="107" fillId="5" borderId="0" xfId="0" applyNumberFormat="1" applyFont="1" applyFill="1" applyAlignment="1">
      <alignment horizontal="left"/>
    </xf>
    <xf numFmtId="0" fontId="120" fillId="5" borderId="0" xfId="0" applyFont="1" applyFill="1" applyAlignment="1">
      <alignment horizontal="left"/>
    </xf>
    <xf numFmtId="0" fontId="107" fillId="5" borderId="0" xfId="0" applyFont="1" applyFill="1"/>
    <xf numFmtId="165" fontId="111" fillId="6" borderId="1" xfId="0" applyNumberFormat="1" applyFont="1" applyFill="1" applyBorder="1" applyAlignment="1">
      <alignment horizontal="right" vertical="top" wrapText="1"/>
    </xf>
    <xf numFmtId="164" fontId="111" fillId="6" borderId="1" xfId="0" applyNumberFormat="1" applyFont="1" applyFill="1" applyBorder="1" applyAlignment="1">
      <alignment vertical="top" wrapText="1"/>
    </xf>
    <xf numFmtId="0" fontId="105" fillId="7" borderId="1" xfId="0" applyFont="1" applyFill="1" applyBorder="1" applyAlignment="1">
      <alignment horizontal="center" vertical="top" wrapText="1"/>
    </xf>
    <xf numFmtId="0" fontId="117" fillId="7" borderId="1" xfId="0" applyFont="1" applyFill="1" applyBorder="1" applyAlignment="1">
      <alignment vertical="top" wrapText="1"/>
    </xf>
    <xf numFmtId="165" fontId="111" fillId="7" borderId="1" xfId="0" applyNumberFormat="1" applyFont="1" applyFill="1" applyBorder="1" applyAlignment="1">
      <alignment horizontal="right" vertical="top" wrapText="1"/>
    </xf>
    <xf numFmtId="164" fontId="111" fillId="7" borderId="1" xfId="0" applyNumberFormat="1" applyFont="1" applyFill="1" applyBorder="1" applyAlignment="1">
      <alignment vertical="top" wrapText="1"/>
    </xf>
    <xf numFmtId="49" fontId="105" fillId="7" borderId="1" xfId="0" applyNumberFormat="1" applyFont="1" applyFill="1" applyBorder="1" applyAlignment="1">
      <alignment horizontal="center" vertical="top" wrapText="1"/>
    </xf>
    <xf numFmtId="0" fontId="127" fillId="7" borderId="1" xfId="0" applyFont="1" applyFill="1" applyBorder="1" applyAlignment="1">
      <alignment vertical="top" wrapText="1"/>
    </xf>
    <xf numFmtId="0" fontId="108" fillId="7" borderId="1" xfId="0" applyFont="1" applyFill="1" applyBorder="1" applyAlignment="1">
      <alignment vertical="top" wrapText="1"/>
    </xf>
    <xf numFmtId="165" fontId="111" fillId="7" borderId="1" xfId="0" applyNumberFormat="1" applyFont="1" applyFill="1" applyBorder="1" applyAlignment="1">
      <alignment vertical="top" wrapText="1"/>
    </xf>
    <xf numFmtId="0" fontId="130" fillId="6" borderId="1" xfId="0" applyFont="1" applyFill="1" applyBorder="1" applyAlignment="1">
      <alignment vertical="top" wrapText="1"/>
    </xf>
    <xf numFmtId="0" fontId="131" fillId="6" borderId="1" xfId="0" applyFont="1" applyFill="1" applyBorder="1" applyAlignment="1">
      <alignment vertical="center" wrapText="1"/>
    </xf>
    <xf numFmtId="165" fontId="132" fillId="6" borderId="1" xfId="0" applyNumberFormat="1" applyFont="1" applyFill="1" applyBorder="1" applyAlignment="1">
      <alignment horizontal="right" vertical="center" wrapText="1"/>
    </xf>
    <xf numFmtId="164" fontId="132" fillId="6" borderId="1" xfId="0" applyNumberFormat="1" applyFont="1" applyFill="1" applyBorder="1" applyAlignment="1">
      <alignment vertical="center" wrapText="1"/>
    </xf>
    <xf numFmtId="0" fontId="133" fillId="5" borderId="0" xfId="0" applyFont="1" applyFill="1"/>
    <xf numFmtId="165" fontId="80" fillId="5" borderId="1" xfId="0" applyNumberFormat="1" applyFont="1" applyFill="1" applyBorder="1" applyAlignment="1">
      <alignment horizontal="right" vertical="top" wrapText="1"/>
    </xf>
    <xf numFmtId="165" fontId="134" fillId="5" borderId="1" xfId="0" applyNumberFormat="1" applyFont="1" applyFill="1" applyBorder="1" applyAlignment="1">
      <alignment vertical="top" wrapText="1"/>
    </xf>
    <xf numFmtId="165" fontId="75" fillId="5" borderId="1" xfId="0" applyNumberFormat="1" applyFont="1" applyFill="1" applyBorder="1" applyAlignment="1">
      <alignment horizontal="right" vertical="top" wrapText="1"/>
    </xf>
    <xf numFmtId="165" fontId="134" fillId="5" borderId="1" xfId="0" applyNumberFormat="1" applyFont="1" applyFill="1" applyBorder="1" applyAlignment="1">
      <alignment horizontal="right" vertical="top" wrapText="1"/>
    </xf>
    <xf numFmtId="165" fontId="80" fillId="5" borderId="1" xfId="0" applyNumberFormat="1" applyFont="1" applyFill="1" applyBorder="1" applyAlignment="1">
      <alignment vertical="top" wrapText="1"/>
    </xf>
    <xf numFmtId="164" fontId="80" fillId="5" borderId="1" xfId="0" applyNumberFormat="1" applyFont="1" applyFill="1" applyBorder="1" applyAlignment="1">
      <alignment horizontal="right" vertical="top"/>
    </xf>
    <xf numFmtId="49" fontId="107" fillId="0" borderId="1" xfId="0" applyNumberFormat="1" applyFont="1" applyFill="1" applyBorder="1" applyAlignment="1">
      <alignment horizontal="center" vertical="top" wrapText="1"/>
    </xf>
    <xf numFmtId="0" fontId="108" fillId="0" borderId="1" xfId="0" applyFont="1" applyFill="1" applyBorder="1" applyAlignment="1">
      <alignment vertical="top" wrapText="1"/>
    </xf>
    <xf numFmtId="0" fontId="119" fillId="0" borderId="1" xfId="0" applyFont="1" applyFill="1" applyBorder="1" applyAlignment="1">
      <alignment vertical="top" wrapText="1"/>
    </xf>
    <xf numFmtId="0" fontId="8" fillId="5" borderId="1" xfId="0" applyFont="1" applyFill="1" applyBorder="1" applyAlignment="1">
      <alignment horizontal="center" vertical="center" wrapText="1"/>
    </xf>
    <xf numFmtId="164" fontId="27" fillId="6" borderId="1" xfId="0" applyNumberFormat="1" applyFont="1" applyFill="1" applyBorder="1" applyAlignment="1">
      <alignment vertical="top" wrapText="1"/>
    </xf>
    <xf numFmtId="164" fontId="19" fillId="5" borderId="1" xfId="0" applyNumberFormat="1" applyFont="1" applyFill="1" applyBorder="1" applyAlignment="1">
      <alignment vertical="top" wrapText="1"/>
    </xf>
    <xf numFmtId="164" fontId="24" fillId="5" borderId="1" xfId="0" applyNumberFormat="1" applyFont="1" applyFill="1" applyBorder="1" applyAlignment="1">
      <alignment vertical="top" wrapText="1"/>
    </xf>
    <xf numFmtId="164" fontId="19" fillId="6" borderId="1" xfId="0" applyNumberFormat="1" applyFont="1" applyFill="1" applyBorder="1" applyAlignment="1">
      <alignment vertical="top" wrapText="1"/>
    </xf>
    <xf numFmtId="164" fontId="19" fillId="7" borderId="1" xfId="0" applyNumberFormat="1" applyFont="1" applyFill="1" applyBorder="1" applyAlignment="1">
      <alignment vertical="top" wrapText="1"/>
    </xf>
    <xf numFmtId="164" fontId="21" fillId="5" borderId="0" xfId="0" applyNumberFormat="1" applyFont="1" applyFill="1" applyBorder="1" applyAlignment="1">
      <alignment vertical="top" wrapText="1"/>
    </xf>
    <xf numFmtId="49" fontId="20" fillId="5" borderId="0" xfId="0" applyNumberFormat="1" applyFont="1" applyFill="1" applyAlignment="1">
      <alignment horizontal="center" vertical="center" wrapText="1"/>
    </xf>
    <xf numFmtId="0" fontId="21" fillId="5" borderId="0" xfId="0" applyFont="1" applyFill="1" applyAlignment="1">
      <alignment horizontal="left"/>
    </xf>
    <xf numFmtId="0" fontId="36" fillId="5" borderId="0" xfId="0" applyFont="1" applyFill="1" applyAlignment="1">
      <alignment horizontal="left"/>
    </xf>
    <xf numFmtId="49" fontId="135" fillId="5" borderId="0" xfId="0" applyNumberFormat="1" applyFont="1" applyFill="1" applyAlignment="1">
      <alignment horizontal="left" wrapText="1"/>
    </xf>
    <xf numFmtId="0" fontId="105" fillId="0" borderId="1" xfId="0" applyFont="1" applyFill="1" applyBorder="1" applyAlignment="1">
      <alignment horizontal="center" vertical="top" wrapText="1"/>
    </xf>
    <xf numFmtId="49" fontId="113" fillId="0" borderId="1" xfId="0" applyNumberFormat="1" applyFont="1" applyFill="1" applyBorder="1" applyAlignment="1">
      <alignment vertical="top" wrapText="1"/>
    </xf>
    <xf numFmtId="49" fontId="36" fillId="5" borderId="0" xfId="0" applyNumberFormat="1" applyFont="1" applyFill="1" applyAlignment="1">
      <alignment horizontal="left" wrapText="1"/>
    </xf>
    <xf numFmtId="49" fontId="125" fillId="0" borderId="1" xfId="0" applyNumberFormat="1" applyFont="1" applyFill="1" applyBorder="1" applyAlignment="1">
      <alignment vertical="top" wrapText="1"/>
    </xf>
    <xf numFmtId="0" fontId="107" fillId="5" borderId="0" xfId="0" applyFont="1" applyFill="1" applyAlignment="1">
      <alignment horizontal="right"/>
    </xf>
    <xf numFmtId="0" fontId="107" fillId="5" borderId="0" xfId="0" applyFont="1" applyFill="1" applyAlignment="1">
      <alignment horizontal="left" vertical="top" wrapText="1"/>
    </xf>
    <xf numFmtId="0" fontId="135" fillId="5" borderId="0" xfId="0" applyFont="1" applyFill="1" applyAlignment="1">
      <alignment horizontal="left"/>
    </xf>
    <xf numFmtId="0" fontId="8" fillId="0" borderId="0" xfId="20" applyFont="1" applyBorder="1"/>
    <xf numFmtId="1" fontId="8" fillId="0" borderId="0" xfId="20" applyNumberFormat="1" applyFont="1" applyBorder="1" applyAlignment="1"/>
    <xf numFmtId="0" fontId="8" fillId="0" borderId="0" xfId="20" applyFont="1"/>
    <xf numFmtId="49" fontId="8" fillId="0" borderId="0" xfId="20" applyNumberFormat="1" applyFont="1" applyBorder="1" applyAlignment="1">
      <alignment horizontal="center"/>
    </xf>
    <xf numFmtId="2" fontId="8" fillId="0" borderId="0" xfId="20" applyNumberFormat="1" applyFont="1" applyBorder="1" applyAlignment="1"/>
    <xf numFmtId="0" fontId="8" fillId="0" borderId="0" xfId="20" applyFont="1" applyBorder="1" applyAlignment="1">
      <alignment horizontal="center"/>
    </xf>
    <xf numFmtId="0" fontId="8" fillId="0" borderId="0" xfId="17" applyFont="1" applyProtection="1">
      <protection hidden="1"/>
    </xf>
    <xf numFmtId="0" fontId="7" fillId="0" borderId="0" xfId="20" applyFont="1" applyBorder="1"/>
    <xf numFmtId="0" fontId="107" fillId="5" borderId="1" xfId="0" applyFont="1" applyFill="1" applyBorder="1"/>
    <xf numFmtId="0" fontId="129" fillId="6" borderId="1" xfId="0" applyFont="1" applyFill="1" applyBorder="1" applyAlignment="1">
      <alignment vertical="top" wrapText="1"/>
    </xf>
    <xf numFmtId="0" fontId="132" fillId="6" borderId="1" xfId="0" applyFont="1" applyFill="1" applyBorder="1" applyAlignment="1">
      <alignment vertical="top" wrapText="1"/>
    </xf>
    <xf numFmtId="0" fontId="107" fillId="6" borderId="1" xfId="0" applyFont="1" applyFill="1" applyBorder="1" applyAlignment="1">
      <alignment vertical="center"/>
    </xf>
    <xf numFmtId="0" fontId="107" fillId="5" borderId="0" xfId="0" applyFont="1" applyFill="1" applyAlignment="1">
      <alignment vertical="center"/>
    </xf>
    <xf numFmtId="0" fontId="123" fillId="5" borderId="1" xfId="0" applyFont="1" applyFill="1" applyBorder="1" applyAlignment="1">
      <alignment vertical="top" wrapText="1"/>
    </xf>
    <xf numFmtId="0" fontId="121" fillId="5" borderId="1" xfId="0" applyFont="1" applyFill="1" applyBorder="1" applyAlignment="1">
      <alignment vertical="top" wrapText="1"/>
    </xf>
    <xf numFmtId="0" fontId="123" fillId="6" borderId="1" xfId="0" applyFont="1" applyFill="1" applyBorder="1"/>
    <xf numFmtId="0" fontId="123" fillId="5" borderId="0" xfId="0" applyFont="1" applyFill="1"/>
    <xf numFmtId="0" fontId="107" fillId="7" borderId="1" xfId="0" applyFont="1" applyFill="1" applyBorder="1"/>
    <xf numFmtId="0" fontId="125" fillId="5" borderId="1" xfId="0" applyFont="1" applyFill="1" applyBorder="1"/>
    <xf numFmtId="0" fontId="125" fillId="5" borderId="0" xfId="0" applyFont="1" applyFill="1"/>
    <xf numFmtId="0" fontId="125" fillId="0" borderId="1" xfId="0" applyFont="1" applyFill="1" applyBorder="1" applyAlignment="1">
      <alignment vertical="top" wrapText="1"/>
    </xf>
    <xf numFmtId="0" fontId="125" fillId="0" borderId="1" xfId="0" applyFont="1" applyFill="1" applyBorder="1"/>
    <xf numFmtId="0" fontId="125" fillId="0" borderId="0" xfId="0" applyFont="1" applyFill="1"/>
    <xf numFmtId="0" fontId="125" fillId="7" borderId="1" xfId="0" applyFont="1" applyFill="1" applyBorder="1"/>
    <xf numFmtId="0" fontId="7" fillId="5" borderId="0" xfId="0" applyFont="1" applyFill="1"/>
    <xf numFmtId="0" fontId="107" fillId="5" borderId="0" xfId="0" applyFont="1" applyFill="1" applyAlignment="1">
      <alignment vertical="top"/>
    </xf>
    <xf numFmtId="0" fontId="107" fillId="5" borderId="0" xfId="0" applyFont="1" applyFill="1" applyAlignment="1">
      <alignment horizontal="center" vertical="top"/>
    </xf>
    <xf numFmtId="0" fontId="8" fillId="5" borderId="0" xfId="0" applyFont="1" applyFill="1"/>
    <xf numFmtId="0" fontId="7" fillId="0" borderId="0" xfId="20" applyFont="1" applyBorder="1" applyAlignment="1">
      <alignment horizontal="center"/>
    </xf>
    <xf numFmtId="0" fontId="8" fillId="0" borderId="0" xfId="20" applyFont="1" applyBorder="1" applyAlignment="1"/>
    <xf numFmtId="0" fontId="8" fillId="0" borderId="0" xfId="20" applyFont="1" applyBorder="1" applyAlignment="1">
      <alignment horizontal="right"/>
    </xf>
    <xf numFmtId="1" fontId="8" fillId="0" borderId="0" xfId="20" applyNumberFormat="1" applyFont="1" applyBorder="1" applyAlignment="1">
      <alignment horizontal="center"/>
    </xf>
    <xf numFmtId="49" fontId="8" fillId="0" borderId="0" xfId="20" applyNumberFormat="1" applyFont="1" applyBorder="1" applyAlignment="1">
      <alignment vertical="center"/>
    </xf>
    <xf numFmtId="49" fontId="8" fillId="0" borderId="0" xfId="20" applyNumberFormat="1" applyFont="1" applyBorder="1" applyAlignment="1">
      <alignment horizontal="left" vertical="center"/>
    </xf>
    <xf numFmtId="0" fontId="36" fillId="0" borderId="0" xfId="20" applyFont="1" applyBorder="1" applyAlignment="1"/>
    <xf numFmtId="0" fontId="38" fillId="0" borderId="0" xfId="19" applyFont="1"/>
    <xf numFmtId="0" fontId="135" fillId="5" borderId="0" xfId="0" applyFont="1" applyFill="1" applyAlignment="1">
      <alignment horizontal="left" vertical="top" wrapText="1"/>
    </xf>
    <xf numFmtId="0" fontId="107" fillId="5" borderId="0" xfId="0" applyFont="1" applyFill="1" applyAlignment="1">
      <alignment horizontal="right"/>
    </xf>
    <xf numFmtId="0" fontId="19" fillId="7" borderId="1" xfId="0" applyFont="1" applyFill="1" applyBorder="1" applyAlignment="1">
      <alignment vertical="top" wrapText="1"/>
    </xf>
    <xf numFmtId="0" fontId="123" fillId="5" borderId="0" xfId="0" applyFont="1" applyFill="1" applyAlignment="1">
      <alignment horizontal="right"/>
    </xf>
    <xf numFmtId="0" fontId="16" fillId="0" borderId="0" xfId="20" applyFont="1" applyBorder="1"/>
    <xf numFmtId="1" fontId="16" fillId="0" borderId="0" xfId="20" applyNumberFormat="1" applyFont="1" applyBorder="1" applyAlignment="1"/>
    <xf numFmtId="49" fontId="16" fillId="0" borderId="0" xfId="20" applyNumberFormat="1" applyFont="1" applyBorder="1" applyAlignment="1">
      <alignment horizontal="center"/>
    </xf>
    <xf numFmtId="0" fontId="16" fillId="0" borderId="0" xfId="20" applyFont="1"/>
    <xf numFmtId="2" fontId="16" fillId="0" borderId="0" xfId="20" applyNumberFormat="1" applyFont="1" applyBorder="1" applyAlignment="1"/>
    <xf numFmtId="0" fontId="16" fillId="0" borderId="0" xfId="17" applyFont="1" applyProtection="1">
      <protection hidden="1"/>
    </xf>
    <xf numFmtId="0" fontId="16" fillId="0" borderId="0" xfId="20" applyFont="1" applyBorder="1" applyAlignment="1">
      <alignment horizontal="center"/>
    </xf>
    <xf numFmtId="0" fontId="123" fillId="5" borderId="1" xfId="0" applyFont="1" applyFill="1" applyBorder="1" applyAlignment="1">
      <alignment horizontal="center" vertical="top" wrapText="1"/>
    </xf>
    <xf numFmtId="0" fontId="16" fillId="5" borderId="1" xfId="0" applyFont="1" applyFill="1" applyBorder="1" applyAlignment="1">
      <alignment horizontal="center" vertical="center" wrapText="1"/>
    </xf>
    <xf numFmtId="0" fontId="123" fillId="5" borderId="1" xfId="0" applyFont="1" applyFill="1" applyBorder="1"/>
    <xf numFmtId="0" fontId="123" fillId="6" borderId="1" xfId="0" applyFont="1" applyFill="1" applyBorder="1" applyAlignment="1">
      <alignment vertical="top" wrapText="1"/>
    </xf>
    <xf numFmtId="0" fontId="123" fillId="6" borderId="1" xfId="0" applyFont="1" applyFill="1" applyBorder="1" applyAlignment="1">
      <alignment vertical="center"/>
    </xf>
    <xf numFmtId="0" fontId="123" fillId="5" borderId="0" xfId="0" applyFont="1" applyFill="1" applyAlignment="1">
      <alignment vertical="center"/>
    </xf>
    <xf numFmtId="49" fontId="114" fillId="5" borderId="1" xfId="0" applyNumberFormat="1" applyFont="1" applyFill="1" applyBorder="1" applyAlignment="1">
      <alignment vertical="top" wrapText="1"/>
    </xf>
    <xf numFmtId="0" fontId="111" fillId="7" borderId="1" xfId="0" applyFont="1" applyFill="1" applyBorder="1" applyAlignment="1">
      <alignment horizontal="center" vertical="top" wrapText="1"/>
    </xf>
    <xf numFmtId="0" fontId="123" fillId="7" borderId="1" xfId="0" applyFont="1" applyFill="1" applyBorder="1"/>
    <xf numFmtId="0" fontId="111" fillId="5" borderId="1" xfId="0" applyFont="1" applyFill="1" applyBorder="1" applyAlignment="1">
      <alignment horizontal="center" vertical="top" wrapText="1"/>
    </xf>
    <xf numFmtId="0" fontId="111" fillId="5" borderId="1" xfId="0" applyFont="1" applyFill="1" applyBorder="1" applyAlignment="1">
      <alignment horizontal="left" vertical="top" wrapText="1"/>
    </xf>
    <xf numFmtId="0" fontId="111" fillId="0" borderId="1" xfId="0" applyFont="1" applyFill="1" applyBorder="1" applyAlignment="1">
      <alignment horizontal="center" vertical="top" wrapText="1"/>
    </xf>
    <xf numFmtId="0" fontId="123" fillId="0" borderId="1" xfId="0" applyFont="1" applyFill="1" applyBorder="1" applyAlignment="1">
      <alignment vertical="top" wrapText="1"/>
    </xf>
    <xf numFmtId="49" fontId="114" fillId="0" borderId="1" xfId="0" applyNumberFormat="1" applyFont="1" applyFill="1" applyBorder="1" applyAlignment="1">
      <alignment vertical="top" wrapText="1"/>
    </xf>
    <xf numFmtId="49" fontId="123" fillId="0" borderId="1" xfId="0" applyNumberFormat="1" applyFont="1" applyFill="1" applyBorder="1" applyAlignment="1">
      <alignment horizontal="center" vertical="top" wrapText="1"/>
    </xf>
    <xf numFmtId="0" fontId="111" fillId="0" borderId="1" xfId="0" applyFont="1" applyFill="1" applyBorder="1" applyAlignment="1">
      <alignment vertical="top" wrapText="1"/>
    </xf>
    <xf numFmtId="0" fontId="123" fillId="0" borderId="1" xfId="0" applyFont="1" applyFill="1" applyBorder="1"/>
    <xf numFmtId="0" fontId="123" fillId="0" borderId="0" xfId="0" applyFont="1" applyFill="1"/>
    <xf numFmtId="49" fontId="123" fillId="0" borderId="1" xfId="0" applyNumberFormat="1" applyFont="1" applyFill="1" applyBorder="1" applyAlignment="1">
      <alignment vertical="top" wrapText="1"/>
    </xf>
    <xf numFmtId="0" fontId="121" fillId="0" borderId="1" xfId="0" applyFont="1" applyFill="1" applyBorder="1" applyAlignment="1">
      <alignment vertical="top" wrapText="1"/>
    </xf>
    <xf numFmtId="49" fontId="111" fillId="7" borderId="1" xfId="0" applyNumberFormat="1" applyFont="1" applyFill="1" applyBorder="1" applyAlignment="1">
      <alignment horizontal="center" vertical="top" wrapText="1"/>
    </xf>
    <xf numFmtId="0" fontId="111" fillId="7" borderId="1" xfId="0" applyFont="1" applyFill="1" applyBorder="1" applyAlignment="1">
      <alignment vertical="top" wrapText="1"/>
    </xf>
    <xf numFmtId="49" fontId="123" fillId="5" borderId="0" xfId="0" applyNumberFormat="1" applyFont="1" applyFill="1" applyBorder="1" applyAlignment="1">
      <alignment horizontal="center" vertical="top" wrapText="1"/>
    </xf>
    <xf numFmtId="0" fontId="123" fillId="5" borderId="0" xfId="0" applyFont="1" applyFill="1" applyBorder="1" applyAlignment="1">
      <alignment vertical="center" wrapText="1"/>
    </xf>
    <xf numFmtId="164" fontId="23" fillId="5" borderId="0" xfId="0" applyNumberFormat="1" applyFont="1" applyFill="1" applyBorder="1" applyAlignment="1">
      <alignment vertical="top" wrapText="1"/>
    </xf>
    <xf numFmtId="0" fontId="16" fillId="0" borderId="0" xfId="20" applyFont="1" applyBorder="1" applyAlignment="1"/>
    <xf numFmtId="0" fontId="16" fillId="0" borderId="0" xfId="20" applyFont="1" applyBorder="1" applyAlignment="1">
      <alignment horizontal="right"/>
    </xf>
    <xf numFmtId="0" fontId="39" fillId="0" borderId="0" xfId="19" applyFont="1"/>
    <xf numFmtId="1" fontId="16" fillId="0" borderId="0" xfId="20" applyNumberFormat="1" applyFont="1" applyBorder="1" applyAlignment="1">
      <alignment horizontal="center"/>
    </xf>
    <xf numFmtId="49" fontId="16" fillId="0" borderId="0" xfId="20" applyNumberFormat="1" applyFont="1" applyBorder="1" applyAlignment="1">
      <alignment vertical="center"/>
    </xf>
    <xf numFmtId="49" fontId="16" fillId="0" borderId="0" xfId="20" applyNumberFormat="1" applyFont="1" applyBorder="1" applyAlignment="1">
      <alignment horizontal="left" vertical="center"/>
    </xf>
    <xf numFmtId="0" fontId="123" fillId="5" borderId="0" xfId="0" applyFont="1" applyFill="1" applyAlignment="1">
      <alignment horizontal="right" vertical="top"/>
    </xf>
    <xf numFmtId="0" fontId="123" fillId="5" borderId="0" xfId="0" applyFont="1" applyFill="1" applyAlignment="1">
      <alignment horizontal="left" vertical="top" wrapText="1"/>
    </xf>
    <xf numFmtId="0" fontId="16" fillId="5" borderId="0" xfId="0" applyFont="1" applyFill="1"/>
    <xf numFmtId="49" fontId="16" fillId="5" borderId="0" xfId="0" applyNumberFormat="1" applyFont="1" applyFill="1" applyAlignment="1">
      <alignment horizontal="center" vertical="center" wrapText="1"/>
    </xf>
    <xf numFmtId="49" fontId="123" fillId="5" borderId="0" xfId="0" applyNumberFormat="1" applyFont="1" applyFill="1" applyAlignment="1">
      <alignment horizontal="left" wrapText="1"/>
    </xf>
    <xf numFmtId="49" fontId="16" fillId="5" borderId="0" xfId="0" applyNumberFormat="1" applyFont="1" applyFill="1" applyAlignment="1">
      <alignment horizontal="left" wrapText="1"/>
    </xf>
    <xf numFmtId="0" fontId="123" fillId="5" borderId="0" xfId="0" applyFont="1" applyFill="1" applyAlignment="1">
      <alignment vertical="top"/>
    </xf>
    <xf numFmtId="0" fontId="123" fillId="5" borderId="0" xfId="0" applyFont="1" applyFill="1" applyAlignment="1">
      <alignment horizontal="left"/>
    </xf>
    <xf numFmtId="0" fontId="16" fillId="5" borderId="0" xfId="0" applyFont="1" applyFill="1" applyAlignment="1">
      <alignment horizontal="left"/>
    </xf>
    <xf numFmtId="0" fontId="123" fillId="5" borderId="0" xfId="0" applyFont="1" applyFill="1" applyAlignment="1">
      <alignment horizontal="center" vertical="top"/>
    </xf>
    <xf numFmtId="0" fontId="121" fillId="5" borderId="0" xfId="0" applyFont="1" applyFill="1"/>
    <xf numFmtId="0" fontId="23" fillId="5" borderId="0" xfId="0" applyFont="1" applyFill="1" applyAlignment="1">
      <alignment horizontal="left"/>
    </xf>
    <xf numFmtId="0" fontId="123" fillId="5" borderId="1" xfId="0" applyFont="1" applyFill="1" applyBorder="1" applyAlignment="1">
      <alignment horizontal="center"/>
    </xf>
    <xf numFmtId="0" fontId="135" fillId="5" borderId="1" xfId="0" applyFont="1" applyFill="1" applyBorder="1" applyAlignment="1">
      <alignment horizontal="center" vertical="center" wrapText="1"/>
    </xf>
    <xf numFmtId="0" fontId="136" fillId="6" borderId="1" xfId="0" applyFont="1" applyFill="1" applyBorder="1" applyAlignment="1">
      <alignment vertical="top" wrapText="1"/>
    </xf>
    <xf numFmtId="164" fontId="9" fillId="6" borderId="1" xfId="0" applyNumberFormat="1" applyFont="1" applyFill="1" applyBorder="1" applyAlignment="1">
      <alignment vertical="top" wrapText="1"/>
    </xf>
    <xf numFmtId="0" fontId="135" fillId="6" borderId="1" xfId="0" applyFont="1" applyFill="1" applyBorder="1"/>
    <xf numFmtId="0" fontId="135" fillId="5" borderId="0" xfId="0" applyFont="1" applyFill="1"/>
    <xf numFmtId="0" fontId="123" fillId="5" borderId="0" xfId="0" applyFont="1" applyFill="1" applyAlignment="1">
      <alignment horizontal="right"/>
    </xf>
    <xf numFmtId="1" fontId="8" fillId="0" borderId="1" xfId="20" applyNumberFormat="1" applyFont="1" applyBorder="1" applyAlignment="1">
      <alignment horizontal="center" vertical="center" wrapText="1"/>
    </xf>
    <xf numFmtId="0" fontId="19" fillId="0" borderId="0" xfId="20" applyFont="1" applyBorder="1" applyAlignment="1">
      <alignment horizontal="center"/>
    </xf>
    <xf numFmtId="49" fontId="16" fillId="0" borderId="0" xfId="20" applyNumberFormat="1" applyFont="1" applyBorder="1" applyAlignment="1">
      <alignment horizontal="center" vertical="center"/>
    </xf>
    <xf numFmtId="0" fontId="16" fillId="5" borderId="1" xfId="0" applyFont="1" applyFill="1" applyBorder="1" applyAlignment="1">
      <alignment horizontal="center" vertical="top" wrapText="1"/>
    </xf>
    <xf numFmtId="166" fontId="16" fillId="0" borderId="1" xfId="13" applyNumberFormat="1" applyFont="1" applyFill="1" applyBorder="1" applyAlignment="1" applyProtection="1">
      <alignment vertical="top" wrapText="1"/>
      <protection hidden="1"/>
    </xf>
    <xf numFmtId="49" fontId="16" fillId="0" borderId="1" xfId="0" applyNumberFormat="1" applyFont="1" applyFill="1" applyBorder="1" applyAlignment="1">
      <alignment vertical="top" wrapText="1"/>
    </xf>
    <xf numFmtId="165" fontId="16" fillId="5" borderId="1" xfId="0" applyNumberFormat="1" applyFont="1" applyFill="1" applyBorder="1" applyAlignment="1">
      <alignment horizontal="right" vertical="top"/>
    </xf>
    <xf numFmtId="165" fontId="16" fillId="5" borderId="0" xfId="0" applyNumberFormat="1" applyFont="1" applyFill="1"/>
    <xf numFmtId="0" fontId="19" fillId="8" borderId="1" xfId="0" applyFont="1" applyFill="1" applyBorder="1" applyAlignment="1">
      <alignment horizontal="center" vertical="top" wrapText="1"/>
    </xf>
    <xf numFmtId="0" fontId="19" fillId="8" borderId="1" xfId="0" applyFont="1" applyFill="1" applyBorder="1" applyAlignment="1">
      <alignment horizontal="left" vertical="top" wrapText="1"/>
    </xf>
    <xf numFmtId="165" fontId="19" fillId="8" borderId="1" xfId="0" applyNumberFormat="1" applyFont="1" applyFill="1" applyBorder="1" applyAlignment="1">
      <alignment vertical="top" wrapText="1"/>
    </xf>
    <xf numFmtId="165" fontId="19" fillId="8" borderId="1" xfId="0" applyNumberFormat="1" applyFont="1" applyFill="1" applyBorder="1" applyAlignment="1">
      <alignment horizontal="right" vertical="top"/>
    </xf>
    <xf numFmtId="0" fontId="16" fillId="0" borderId="1" xfId="0" applyFont="1" applyFill="1" applyBorder="1" applyAlignment="1">
      <alignment vertical="top" wrapText="1"/>
    </xf>
    <xf numFmtId="165" fontId="19" fillId="5" borderId="1" xfId="0" applyNumberFormat="1" applyFont="1" applyFill="1" applyBorder="1" applyAlignment="1">
      <alignment horizontal="right" vertical="top"/>
    </xf>
    <xf numFmtId="49" fontId="16" fillId="5" borderId="1" xfId="0" applyNumberFormat="1" applyFont="1" applyFill="1" applyBorder="1" applyAlignment="1">
      <alignment horizontal="center" vertical="top" wrapText="1"/>
    </xf>
    <xf numFmtId="165" fontId="19" fillId="0" borderId="1" xfId="0" applyNumberFormat="1" applyFont="1" applyFill="1" applyBorder="1" applyAlignment="1">
      <alignment horizontal="right" vertical="top"/>
    </xf>
    <xf numFmtId="0" fontId="16" fillId="0" borderId="0" xfId="0" applyFont="1" applyFill="1"/>
    <xf numFmtId="0" fontId="19" fillId="5" borderId="1" xfId="0" applyFont="1" applyFill="1" applyBorder="1" applyAlignment="1">
      <alignment horizontal="center" vertical="top" wrapText="1"/>
    </xf>
    <xf numFmtId="165" fontId="16" fillId="0" borderId="1" xfId="0" applyNumberFormat="1" applyFont="1" applyFill="1" applyBorder="1" applyAlignment="1">
      <alignment horizontal="right" vertical="top"/>
    </xf>
    <xf numFmtId="49" fontId="16" fillId="0" borderId="1" xfId="0" applyNumberFormat="1" applyFont="1" applyFill="1" applyBorder="1" applyAlignment="1">
      <alignment horizontal="center" vertical="top" wrapText="1"/>
    </xf>
    <xf numFmtId="165" fontId="16" fillId="0" borderId="0" xfId="0" applyNumberFormat="1" applyFont="1" applyFill="1"/>
    <xf numFmtId="0" fontId="19" fillId="5" borderId="1" xfId="0" applyFont="1" applyFill="1" applyBorder="1" applyAlignment="1">
      <alignment horizontal="left" vertical="top" wrapText="1"/>
    </xf>
    <xf numFmtId="165" fontId="19" fillId="5" borderId="1" xfId="10" applyNumberFormat="1" applyFont="1" applyFill="1" applyBorder="1" applyAlignment="1" applyProtection="1">
      <alignment horizontal="right" vertical="top" wrapText="1"/>
      <protection hidden="1"/>
    </xf>
    <xf numFmtId="166" fontId="16" fillId="5" borderId="1" xfId="10" applyNumberFormat="1" applyFont="1" applyFill="1" applyBorder="1" applyAlignment="1" applyProtection="1">
      <alignment vertical="top" wrapText="1"/>
      <protection hidden="1"/>
    </xf>
    <xf numFmtId="165" fontId="16" fillId="5" borderId="1" xfId="10" applyNumberFormat="1" applyFont="1" applyFill="1" applyBorder="1" applyAlignment="1" applyProtection="1">
      <alignment horizontal="right" vertical="top" wrapText="1"/>
      <protection hidden="1"/>
    </xf>
    <xf numFmtId="165" fontId="19" fillId="8" borderId="1" xfId="0" applyNumberFormat="1" applyFont="1" applyFill="1" applyBorder="1" applyAlignment="1">
      <alignment horizontal="right" vertical="top" wrapText="1"/>
    </xf>
    <xf numFmtId="165" fontId="19" fillId="5" borderId="1" xfId="0" applyNumberFormat="1" applyFont="1" applyFill="1" applyBorder="1" applyAlignment="1">
      <alignment horizontal="right" vertical="top" wrapText="1"/>
    </xf>
    <xf numFmtId="0" fontId="16" fillId="0" borderId="1" xfId="0" applyFont="1" applyFill="1" applyBorder="1" applyAlignment="1">
      <alignment horizontal="center" vertical="top" wrapText="1"/>
    </xf>
    <xf numFmtId="0" fontId="16" fillId="0" borderId="1" xfId="3" applyNumberFormat="1" applyFont="1" applyFill="1" applyBorder="1" applyAlignment="1" applyProtection="1">
      <alignment horizontal="left" vertical="top" wrapText="1"/>
      <protection hidden="1"/>
    </xf>
    <xf numFmtId="165" fontId="16" fillId="0" borderId="1" xfId="12" applyNumberFormat="1" applyFont="1" applyFill="1" applyBorder="1" applyAlignment="1" applyProtection="1">
      <alignment horizontal="right" vertical="top"/>
      <protection hidden="1"/>
    </xf>
    <xf numFmtId="166" fontId="16" fillId="0" borderId="1" xfId="12" applyNumberFormat="1" applyFont="1" applyFill="1" applyBorder="1" applyAlignment="1" applyProtection="1">
      <alignment vertical="top" wrapText="1"/>
      <protection hidden="1"/>
    </xf>
    <xf numFmtId="166" fontId="16" fillId="0" borderId="1" xfId="10" applyNumberFormat="1" applyFont="1" applyFill="1" applyBorder="1" applyAlignment="1" applyProtection="1">
      <alignment vertical="top" wrapText="1"/>
      <protection hidden="1"/>
    </xf>
    <xf numFmtId="165" fontId="16" fillId="0" borderId="1" xfId="10" applyNumberFormat="1" applyFont="1" applyFill="1" applyBorder="1" applyAlignment="1" applyProtection="1">
      <alignment horizontal="right" vertical="top" wrapText="1"/>
      <protection hidden="1"/>
    </xf>
    <xf numFmtId="165" fontId="16" fillId="0" borderId="1" xfId="13" applyNumberFormat="1" applyFont="1" applyFill="1" applyBorder="1" applyAlignment="1" applyProtection="1">
      <alignment horizontal="right" vertical="top" wrapText="1"/>
      <protection hidden="1"/>
    </xf>
    <xf numFmtId="165" fontId="19" fillId="6" borderId="1" xfId="0" applyNumberFormat="1" applyFont="1" applyFill="1" applyBorder="1" applyAlignment="1">
      <alignment horizontal="right" vertical="top" wrapText="1"/>
    </xf>
    <xf numFmtId="165" fontId="9" fillId="6" borderId="1" xfId="0" applyNumberFormat="1" applyFont="1" applyFill="1" applyBorder="1" applyAlignment="1">
      <alignment horizontal="right" vertical="top" wrapText="1"/>
    </xf>
    <xf numFmtId="165" fontId="19" fillId="7" borderId="1" xfId="0" applyNumberFormat="1" applyFont="1" applyFill="1" applyBorder="1" applyAlignment="1">
      <alignment horizontal="right" vertical="top" wrapText="1"/>
    </xf>
    <xf numFmtId="0" fontId="111" fillId="8" borderId="1" xfId="0" applyFont="1" applyFill="1" applyBorder="1" applyAlignment="1">
      <alignment horizontal="center" vertical="top" wrapText="1"/>
    </xf>
    <xf numFmtId="0" fontId="111" fillId="8" borderId="1" xfId="0" applyFont="1" applyFill="1" applyBorder="1" applyAlignment="1">
      <alignment horizontal="left" vertical="top" wrapText="1"/>
    </xf>
    <xf numFmtId="0" fontId="135" fillId="6" borderId="1" xfId="0" applyFont="1" applyFill="1" applyBorder="1" applyAlignment="1">
      <alignment vertical="top" wrapText="1"/>
    </xf>
    <xf numFmtId="0" fontId="135" fillId="5" borderId="0" xfId="0" applyFont="1" applyFill="1" applyAlignment="1">
      <alignment vertical="center"/>
    </xf>
    <xf numFmtId="165" fontId="9" fillId="6" borderId="1" xfId="0" applyNumberFormat="1" applyFont="1" applyFill="1" applyBorder="1" applyAlignment="1">
      <alignment horizontal="right" vertical="top"/>
    </xf>
    <xf numFmtId="0" fontId="19" fillId="5" borderId="0" xfId="0" applyFont="1" applyFill="1"/>
    <xf numFmtId="165" fontId="16" fillId="5" borderId="1" xfId="0" applyNumberFormat="1" applyFont="1" applyFill="1" applyBorder="1" applyAlignment="1">
      <alignment horizontal="right" vertical="top" wrapText="1"/>
    </xf>
    <xf numFmtId="0" fontId="111" fillId="5" borderId="0" xfId="0" applyFont="1" applyFill="1" applyAlignment="1">
      <alignment horizontal="right"/>
    </xf>
    <xf numFmtId="1" fontId="19" fillId="0" borderId="0" xfId="20" applyNumberFormat="1" applyFont="1" applyBorder="1" applyAlignment="1"/>
    <xf numFmtId="0" fontId="19" fillId="5" borderId="1" xfId="0" applyFont="1" applyFill="1" applyBorder="1" applyAlignment="1">
      <alignment horizontal="center" vertical="center" wrapText="1"/>
    </xf>
    <xf numFmtId="49" fontId="19" fillId="5" borderId="0" xfId="0" applyNumberFormat="1" applyFont="1" applyFill="1" applyAlignment="1">
      <alignment horizontal="left" wrapText="1"/>
    </xf>
    <xf numFmtId="0" fontId="24" fillId="5" borderId="0" xfId="0" applyFont="1" applyFill="1" applyAlignment="1">
      <alignment horizontal="left"/>
    </xf>
    <xf numFmtId="0" fontId="111" fillId="5" borderId="0" xfId="0" applyFont="1" applyFill="1"/>
    <xf numFmtId="2" fontId="19" fillId="0" borderId="0" xfId="20" applyNumberFormat="1" applyFont="1" applyBorder="1" applyAlignment="1"/>
    <xf numFmtId="0" fontId="111" fillId="5" borderId="1" xfId="0" applyFont="1" applyFill="1" applyBorder="1" applyAlignment="1">
      <alignment horizontal="center"/>
    </xf>
    <xf numFmtId="0" fontId="111" fillId="5" borderId="0" xfId="0" applyFont="1" applyFill="1" applyAlignment="1">
      <alignment vertical="top"/>
    </xf>
    <xf numFmtId="0" fontId="111" fillId="5" borderId="0" xfId="0" applyFont="1" applyFill="1" applyAlignment="1">
      <alignment horizontal="right" vertical="top"/>
    </xf>
    <xf numFmtId="0" fontId="16" fillId="0" borderId="0" xfId="20" applyFont="1" applyBorder="1" applyAlignment="1">
      <alignment vertical="top"/>
    </xf>
    <xf numFmtId="0" fontId="16" fillId="0" borderId="0" xfId="20" applyFont="1" applyAlignment="1">
      <alignment vertical="top"/>
    </xf>
    <xf numFmtId="0" fontId="19" fillId="0" borderId="0" xfId="17" applyFont="1" applyAlignment="1" applyProtection="1">
      <alignment vertical="top"/>
      <protection hidden="1"/>
    </xf>
    <xf numFmtId="0" fontId="19" fillId="0" borderId="0" xfId="20" applyFont="1" applyBorder="1" applyAlignment="1">
      <alignment vertical="top"/>
    </xf>
    <xf numFmtId="1" fontId="8" fillId="0" borderId="1" xfId="20" applyNumberFormat="1" applyFont="1" applyBorder="1" applyAlignment="1">
      <alignment horizontal="center" vertical="top" wrapText="1"/>
    </xf>
    <xf numFmtId="0" fontId="111" fillId="5" borderId="1" xfId="0" applyFont="1" applyFill="1" applyBorder="1" applyAlignment="1">
      <alignment horizontal="center" vertical="top"/>
    </xf>
    <xf numFmtId="0" fontId="123" fillId="5" borderId="1" xfId="0" applyFont="1" applyFill="1" applyBorder="1" applyAlignment="1">
      <alignment horizontal="center" vertical="top"/>
    </xf>
    <xf numFmtId="165" fontId="136" fillId="6" borderId="1" xfId="0" applyNumberFormat="1" applyFont="1" applyFill="1" applyBorder="1" applyAlignment="1">
      <alignment horizontal="right" vertical="top"/>
    </xf>
    <xf numFmtId="165" fontId="135" fillId="6" borderId="1" xfId="0" applyNumberFormat="1" applyFont="1" applyFill="1" applyBorder="1" applyAlignment="1">
      <alignment horizontal="right" vertical="top"/>
    </xf>
    <xf numFmtId="165" fontId="111" fillId="7" borderId="1" xfId="0" applyNumberFormat="1" applyFont="1" applyFill="1" applyBorder="1" applyAlignment="1">
      <alignment horizontal="right" vertical="top"/>
    </xf>
    <xf numFmtId="165" fontId="123" fillId="7" borderId="1" xfId="0" applyNumberFormat="1" applyFont="1" applyFill="1" applyBorder="1" applyAlignment="1">
      <alignment horizontal="right" vertical="top"/>
    </xf>
    <xf numFmtId="165" fontId="16" fillId="8" borderId="1" xfId="0" applyNumberFormat="1" applyFont="1" applyFill="1" applyBorder="1" applyAlignment="1">
      <alignment horizontal="right" vertical="top"/>
    </xf>
    <xf numFmtId="165" fontId="19" fillId="8" borderId="1" xfId="0" applyNumberFormat="1" applyFont="1" applyFill="1" applyBorder="1" applyAlignment="1">
      <alignment vertical="top"/>
    </xf>
    <xf numFmtId="165" fontId="16" fillId="8" borderId="1" xfId="0" applyNumberFormat="1" applyFont="1" applyFill="1" applyBorder="1" applyAlignment="1">
      <alignment vertical="top"/>
    </xf>
    <xf numFmtId="165" fontId="19" fillId="0" borderId="1" xfId="0" applyNumberFormat="1" applyFont="1" applyFill="1" applyBorder="1" applyAlignment="1">
      <alignment vertical="top"/>
    </xf>
    <xf numFmtId="165" fontId="16" fillId="0" borderId="1" xfId="0" applyNumberFormat="1" applyFont="1" applyFill="1" applyBorder="1" applyAlignment="1">
      <alignment vertical="top"/>
    </xf>
    <xf numFmtId="165" fontId="19" fillId="5" borderId="1" xfId="0" applyNumberFormat="1" applyFont="1" applyFill="1" applyBorder="1" applyAlignment="1">
      <alignment vertical="top"/>
    </xf>
    <xf numFmtId="165" fontId="16" fillId="5" borderId="1" xfId="0" applyNumberFormat="1" applyFont="1" applyFill="1" applyBorder="1" applyAlignment="1">
      <alignment vertical="top"/>
    </xf>
    <xf numFmtId="165" fontId="111" fillId="8" borderId="1" xfId="0" applyNumberFormat="1" applyFont="1" applyFill="1" applyBorder="1" applyAlignment="1">
      <alignment horizontal="right" vertical="top"/>
    </xf>
    <xf numFmtId="165" fontId="123" fillId="8" borderId="1" xfId="0" applyNumberFormat="1" applyFont="1" applyFill="1" applyBorder="1" applyAlignment="1">
      <alignment horizontal="right" vertical="top"/>
    </xf>
    <xf numFmtId="49" fontId="16" fillId="3" borderId="0" xfId="0" applyNumberFormat="1" applyFont="1" applyFill="1" applyBorder="1" applyAlignment="1">
      <alignment horizontal="left" vertical="center" wrapText="1"/>
    </xf>
    <xf numFmtId="4" fontId="16" fillId="3" borderId="0" xfId="0" applyNumberFormat="1" applyFont="1" applyFill="1" applyBorder="1" applyAlignment="1">
      <alignment horizontal="right" vertical="top" wrapText="1"/>
    </xf>
    <xf numFmtId="0" fontId="16" fillId="0" borderId="4" xfId="20" applyFont="1" applyBorder="1" applyAlignment="1"/>
    <xf numFmtId="4" fontId="16" fillId="0" borderId="0" xfId="20" applyNumberFormat="1" applyFont="1" applyBorder="1" applyAlignment="1">
      <alignment horizontal="right" vertical="top" wrapText="1"/>
    </xf>
    <xf numFmtId="0" fontId="23" fillId="0" borderId="0" xfId="19" applyFont="1"/>
    <xf numFmtId="4" fontId="23" fillId="0" borderId="0" xfId="19" applyNumberFormat="1" applyFont="1" applyAlignment="1">
      <alignment horizontal="right" vertical="top" wrapText="1"/>
    </xf>
    <xf numFmtId="49" fontId="16" fillId="0" borderId="0" xfId="20" applyNumberFormat="1" applyFont="1" applyBorder="1" applyAlignment="1">
      <alignment horizontal="right" vertical="top"/>
    </xf>
    <xf numFmtId="0" fontId="16" fillId="3" borderId="0" xfId="0" applyFont="1" applyFill="1" applyAlignment="1">
      <alignment horizontal="left" vertical="top" wrapText="1"/>
    </xf>
    <xf numFmtId="4" fontId="16" fillId="5" borderId="0" xfId="0" applyNumberFormat="1" applyFont="1" applyFill="1" applyAlignment="1">
      <alignment horizontal="right" vertical="top" wrapText="1"/>
    </xf>
    <xf numFmtId="0" fontId="16" fillId="3" borderId="0" xfId="0" applyFont="1" applyFill="1" applyAlignment="1">
      <alignment horizontal="right" vertical="top"/>
    </xf>
    <xf numFmtId="0" fontId="123" fillId="5" borderId="4" xfId="0" applyFont="1" applyFill="1" applyBorder="1"/>
    <xf numFmtId="0" fontId="111" fillId="5" borderId="4" xfId="0" applyFont="1" applyFill="1" applyBorder="1"/>
    <xf numFmtId="0" fontId="111" fillId="5" borderId="4" xfId="0" applyFont="1" applyFill="1" applyBorder="1" applyAlignment="1">
      <alignment vertical="top"/>
    </xf>
    <xf numFmtId="0" fontId="16" fillId="5" borderId="0" xfId="0" applyFont="1" applyFill="1" applyAlignment="1">
      <alignment horizontal="right" vertical="center"/>
    </xf>
    <xf numFmtId="0" fontId="16" fillId="3" borderId="0" xfId="0" applyFont="1" applyFill="1" applyAlignment="1">
      <alignment vertical="center"/>
    </xf>
    <xf numFmtId="0" fontId="16" fillId="0" borderId="0" xfId="20" applyFont="1" applyBorder="1" applyAlignment="1">
      <alignment vertical="center"/>
    </xf>
    <xf numFmtId="49" fontId="16" fillId="0" borderId="0" xfId="20" applyNumberFormat="1" applyFont="1" applyBorder="1" applyAlignment="1">
      <alignment horizontal="right" vertical="center"/>
    </xf>
    <xf numFmtId="2" fontId="16" fillId="0" borderId="0" xfId="20" applyNumberFormat="1" applyFont="1" applyBorder="1" applyAlignment="1">
      <alignment vertical="center"/>
    </xf>
    <xf numFmtId="0" fontId="16" fillId="0" borderId="0" xfId="18" applyFont="1" applyAlignment="1" applyProtection="1">
      <alignment horizontal="right" vertical="center"/>
      <protection hidden="1"/>
    </xf>
    <xf numFmtId="0" fontId="19" fillId="0" borderId="0" xfId="20" applyFont="1" applyBorder="1" applyAlignment="1">
      <alignment horizontal="center" vertical="center"/>
    </xf>
    <xf numFmtId="0" fontId="16" fillId="0" borderId="0" xfId="20" applyFont="1" applyBorder="1" applyAlignment="1">
      <alignment horizontal="left" vertical="center" wrapText="1"/>
    </xf>
    <xf numFmtId="0" fontId="16" fillId="0" borderId="0" xfId="20" applyFont="1" applyBorder="1" applyAlignment="1">
      <alignment horizontal="right" vertical="center"/>
    </xf>
    <xf numFmtId="0" fontId="16" fillId="0" borderId="0" xfId="20" applyFont="1" applyBorder="1" applyAlignment="1">
      <alignment horizontal="center" vertical="center"/>
    </xf>
    <xf numFmtId="1" fontId="19" fillId="5" borderId="0" xfId="2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5" borderId="0" xfId="0" applyFont="1" applyFill="1" applyBorder="1" applyAlignment="1">
      <alignment horizontal="center" vertical="center"/>
    </xf>
    <xf numFmtId="165" fontId="40" fillId="9" borderId="1" xfId="0" applyNumberFormat="1" applyFont="1" applyFill="1" applyBorder="1" applyAlignment="1">
      <alignment vertical="center" wrapText="1"/>
    </xf>
    <xf numFmtId="165" fontId="9" fillId="3" borderId="0" xfId="0" applyNumberFormat="1" applyFont="1" applyFill="1" applyAlignment="1">
      <alignment vertical="center"/>
    </xf>
    <xf numFmtId="0" fontId="9" fillId="3" borderId="0" xfId="0" applyFont="1" applyFill="1" applyAlignment="1">
      <alignment vertical="center"/>
    </xf>
    <xf numFmtId="0" fontId="36" fillId="0" borderId="5" xfId="0" applyFont="1" applyFill="1" applyBorder="1" applyAlignment="1">
      <alignment vertical="center" wrapText="1"/>
    </xf>
    <xf numFmtId="0" fontId="9" fillId="0" borderId="1" xfId="0" applyFont="1" applyFill="1" applyBorder="1" applyAlignment="1">
      <alignment horizontal="left" vertical="center" wrapText="1"/>
    </xf>
    <xf numFmtId="165" fontId="40" fillId="0" borderId="1" xfId="0" applyNumberFormat="1" applyFont="1" applyFill="1" applyBorder="1" applyAlignment="1">
      <alignment vertical="center" wrapText="1"/>
    </xf>
    <xf numFmtId="0" fontId="36" fillId="0" borderId="0" xfId="0" applyFont="1" applyFill="1" applyAlignment="1">
      <alignment vertical="center"/>
    </xf>
    <xf numFmtId="0" fontId="19" fillId="3" borderId="0" xfId="0" applyFont="1" applyFill="1" applyAlignment="1">
      <alignment vertical="center"/>
    </xf>
    <xf numFmtId="49" fontId="9" fillId="6"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165" fontId="40" fillId="6" borderId="1" xfId="0" applyNumberFormat="1"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65" fontId="40" fillId="10" borderId="1" xfId="0" applyNumberFormat="1" applyFont="1" applyFill="1" applyBorder="1" applyAlignment="1">
      <alignment vertical="center" wrapText="1"/>
    </xf>
    <xf numFmtId="49" fontId="36" fillId="5" borderId="1" xfId="0" applyNumberFormat="1" applyFont="1" applyFill="1" applyBorder="1" applyAlignment="1">
      <alignment horizontal="center" vertical="center" wrapText="1"/>
    </xf>
    <xf numFmtId="0" fontId="36" fillId="5" borderId="1" xfId="0" applyFont="1" applyFill="1" applyBorder="1" applyAlignment="1">
      <alignment vertical="center" wrapText="1"/>
    </xf>
    <xf numFmtId="165" fontId="40" fillId="5" borderId="1" xfId="0" applyNumberFormat="1" applyFont="1" applyFill="1" applyBorder="1" applyAlignment="1">
      <alignment vertical="center" wrapText="1"/>
    </xf>
    <xf numFmtId="165" fontId="42" fillId="5" borderId="1" xfId="0" applyNumberFormat="1" applyFont="1" applyFill="1" applyBorder="1" applyAlignment="1">
      <alignment horizontal="right" vertical="center"/>
    </xf>
    <xf numFmtId="165" fontId="42" fillId="5" borderId="1" xfId="0" applyNumberFormat="1" applyFont="1" applyFill="1" applyBorder="1" applyAlignment="1">
      <alignment vertical="center"/>
    </xf>
    <xf numFmtId="0" fontId="16" fillId="5" borderId="0" xfId="0" applyFont="1" applyFill="1" applyAlignment="1">
      <alignment vertical="center"/>
    </xf>
    <xf numFmtId="49" fontId="43" fillId="5" borderId="1" xfId="0" applyNumberFormat="1" applyFont="1" applyFill="1" applyBorder="1" applyAlignment="1">
      <alignment horizontal="center" vertical="center" wrapText="1"/>
    </xf>
    <xf numFmtId="0" fontId="43" fillId="5" borderId="1" xfId="0" applyFont="1" applyFill="1" applyBorder="1" applyAlignment="1">
      <alignment vertical="center" wrapText="1"/>
    </xf>
    <xf numFmtId="165" fontId="44" fillId="5" borderId="1" xfId="0" applyNumberFormat="1" applyFont="1" applyFill="1" applyBorder="1" applyAlignment="1">
      <alignment vertical="center" wrapText="1"/>
    </xf>
    <xf numFmtId="165" fontId="44" fillId="5" borderId="1" xfId="0" applyNumberFormat="1" applyFont="1" applyFill="1" applyBorder="1" applyAlignment="1">
      <alignment vertical="center"/>
    </xf>
    <xf numFmtId="0" fontId="23" fillId="5" borderId="0" xfId="0" applyFont="1" applyFill="1" applyAlignment="1">
      <alignment vertical="center"/>
    </xf>
    <xf numFmtId="0" fontId="43" fillId="5" borderId="1" xfId="16" applyNumberFormat="1" applyFont="1" applyFill="1" applyBorder="1" applyAlignment="1" applyProtection="1">
      <alignment horizontal="left" vertical="center" wrapText="1"/>
      <protection hidden="1"/>
    </xf>
    <xf numFmtId="0" fontId="43" fillId="5" borderId="1" xfId="2" applyNumberFormat="1" applyFont="1" applyFill="1" applyBorder="1" applyAlignment="1" applyProtection="1">
      <alignment horizontal="left" vertical="center" wrapText="1"/>
      <protection hidden="1"/>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0" fontId="36" fillId="5" borderId="1" xfId="0" applyFont="1" applyFill="1" applyBorder="1" applyAlignment="1">
      <alignment horizontal="center" vertical="center" wrapText="1"/>
    </xf>
    <xf numFmtId="166" fontId="36" fillId="5" borderId="1" xfId="10" applyNumberFormat="1" applyFont="1" applyFill="1" applyBorder="1" applyAlignment="1" applyProtection="1">
      <alignment vertical="center" wrapText="1"/>
      <protection hidden="1"/>
    </xf>
    <xf numFmtId="165" fontId="42" fillId="5" borderId="1" xfId="10" applyNumberFormat="1" applyFont="1" applyFill="1" applyBorder="1" applyAlignment="1" applyProtection="1">
      <alignment vertical="center"/>
      <protection hidden="1"/>
    </xf>
    <xf numFmtId="165" fontId="40" fillId="5" borderId="1" xfId="10" applyNumberFormat="1" applyFont="1" applyFill="1" applyBorder="1" applyAlignment="1" applyProtection="1">
      <alignment horizontal="right" vertical="center" wrapText="1"/>
      <protection hidden="1"/>
    </xf>
    <xf numFmtId="0" fontId="43" fillId="5" borderId="1" xfId="0" applyFont="1" applyFill="1" applyBorder="1" applyAlignment="1">
      <alignment horizontal="center" vertical="center" wrapText="1"/>
    </xf>
    <xf numFmtId="166" fontId="43" fillId="5" borderId="1" xfId="10" applyNumberFormat="1" applyFont="1" applyFill="1" applyBorder="1" applyAlignment="1" applyProtection="1">
      <alignment vertical="center" wrapText="1"/>
      <protection hidden="1"/>
    </xf>
    <xf numFmtId="165" fontId="41" fillId="5" borderId="1" xfId="0" applyNumberFormat="1" applyFont="1" applyFill="1" applyBorder="1" applyAlignment="1">
      <alignment vertical="center" wrapText="1"/>
    </xf>
    <xf numFmtId="165" fontId="44" fillId="5" borderId="1" xfId="10" applyNumberFormat="1" applyFont="1" applyFill="1" applyBorder="1" applyAlignment="1" applyProtection="1">
      <alignment vertical="center"/>
      <protection hidden="1"/>
    </xf>
    <xf numFmtId="0" fontId="21" fillId="5" borderId="0" xfId="0" applyFont="1" applyFill="1" applyAlignment="1">
      <alignment vertical="center"/>
    </xf>
    <xf numFmtId="166" fontId="36" fillId="5" borderId="1" xfId="12" applyNumberFormat="1" applyFont="1" applyFill="1" applyBorder="1" applyAlignment="1" applyProtection="1">
      <alignment vertical="center" wrapText="1"/>
      <protection hidden="1"/>
    </xf>
    <xf numFmtId="165" fontId="40" fillId="5" borderId="1" xfId="12" applyNumberFormat="1" applyFont="1" applyFill="1" applyBorder="1" applyAlignment="1" applyProtection="1">
      <alignment horizontal="right" vertical="center"/>
      <protection hidden="1"/>
    </xf>
    <xf numFmtId="166" fontId="43" fillId="5" borderId="1" xfId="12" applyNumberFormat="1" applyFont="1" applyFill="1" applyBorder="1" applyAlignment="1" applyProtection="1">
      <alignment vertical="center" wrapText="1"/>
      <protection hidden="1"/>
    </xf>
    <xf numFmtId="165" fontId="44" fillId="5" borderId="1" xfId="12" applyNumberFormat="1" applyFont="1" applyFill="1" applyBorder="1" applyAlignment="1" applyProtection="1">
      <alignment vertical="center"/>
      <protection hidden="1"/>
    </xf>
    <xf numFmtId="165" fontId="42" fillId="5" borderId="1" xfId="12" applyNumberFormat="1" applyFont="1" applyFill="1" applyBorder="1" applyAlignment="1" applyProtection="1">
      <alignment vertical="center"/>
      <protection hidden="1"/>
    </xf>
    <xf numFmtId="0" fontId="36" fillId="5" borderId="1" xfId="3" applyNumberFormat="1" applyFont="1" applyFill="1" applyBorder="1" applyAlignment="1" applyProtection="1">
      <alignment horizontal="left" vertical="center" wrapText="1"/>
      <protection hidden="1"/>
    </xf>
    <xf numFmtId="166" fontId="36" fillId="5" borderId="1" xfId="13" applyNumberFormat="1" applyFont="1" applyFill="1" applyBorder="1" applyAlignment="1" applyProtection="1">
      <alignment vertical="top" wrapText="1"/>
      <protection hidden="1"/>
    </xf>
    <xf numFmtId="165" fontId="42" fillId="5" borderId="1" xfId="13" applyNumberFormat="1" applyFont="1" applyFill="1" applyBorder="1" applyAlignment="1" applyProtection="1">
      <alignment vertical="center"/>
      <protection hidden="1"/>
    </xf>
    <xf numFmtId="166" fontId="36" fillId="5" borderId="1" xfId="13" applyNumberFormat="1" applyFont="1" applyFill="1" applyBorder="1" applyAlignment="1" applyProtection="1">
      <alignment vertical="center" wrapText="1"/>
      <protection hidden="1"/>
    </xf>
    <xf numFmtId="49" fontId="36" fillId="5" borderId="1" xfId="0" applyNumberFormat="1" applyFont="1" applyFill="1" applyBorder="1" applyAlignment="1">
      <alignment vertical="top" wrapText="1"/>
    </xf>
    <xf numFmtId="0" fontId="23" fillId="0" borderId="0" xfId="19" applyFont="1" applyAlignment="1">
      <alignment vertical="center"/>
    </xf>
    <xf numFmtId="0" fontId="16" fillId="3" borderId="0" xfId="0" applyFont="1" applyFill="1" applyAlignment="1">
      <alignment horizontal="left" vertical="center" wrapText="1"/>
    </xf>
    <xf numFmtId="165" fontId="45" fillId="9" borderId="1" xfId="0" applyNumberFormat="1" applyFont="1" applyFill="1" applyBorder="1" applyAlignment="1">
      <alignment vertical="center" wrapText="1"/>
    </xf>
    <xf numFmtId="165" fontId="45" fillId="0" borderId="1" xfId="0" applyNumberFormat="1" applyFont="1" applyFill="1" applyBorder="1" applyAlignment="1">
      <alignment vertical="center" wrapText="1"/>
    </xf>
    <xf numFmtId="165" fontId="46" fillId="9" borderId="1" xfId="0" applyNumberFormat="1" applyFont="1" applyFill="1" applyBorder="1" applyAlignment="1">
      <alignment vertical="center" wrapText="1"/>
    </xf>
    <xf numFmtId="165" fontId="45" fillId="6" borderId="1" xfId="0" applyNumberFormat="1" applyFont="1" applyFill="1" applyBorder="1" applyAlignment="1">
      <alignment vertical="center" wrapText="1"/>
    </xf>
    <xf numFmtId="165" fontId="45" fillId="6" borderId="1" xfId="10" applyNumberFormat="1" applyFont="1" applyFill="1" applyBorder="1" applyAlignment="1" applyProtection="1">
      <alignment horizontal="right" vertical="center" wrapText="1"/>
      <protection hidden="1"/>
    </xf>
    <xf numFmtId="165" fontId="45" fillId="10" borderId="1" xfId="0" applyNumberFormat="1" applyFont="1" applyFill="1" applyBorder="1" applyAlignment="1">
      <alignment vertical="center" wrapText="1"/>
    </xf>
    <xf numFmtId="165" fontId="45" fillId="5" borderId="1" xfId="0" applyNumberFormat="1" applyFont="1" applyFill="1" applyBorder="1" applyAlignment="1">
      <alignment vertical="center" wrapText="1"/>
    </xf>
    <xf numFmtId="165" fontId="47" fillId="5" borderId="1" xfId="0" applyNumberFormat="1" applyFont="1" applyFill="1" applyBorder="1" applyAlignment="1">
      <alignment horizontal="right" vertical="center"/>
    </xf>
    <xf numFmtId="165" fontId="47" fillId="5" borderId="1" xfId="0" applyNumberFormat="1" applyFont="1" applyFill="1" applyBorder="1" applyAlignment="1">
      <alignment vertical="center"/>
    </xf>
    <xf numFmtId="165" fontId="48" fillId="5" borderId="1" xfId="0" applyNumberFormat="1" applyFont="1" applyFill="1" applyBorder="1" applyAlignment="1">
      <alignment vertical="center"/>
    </xf>
    <xf numFmtId="165" fontId="48" fillId="5" borderId="1" xfId="0" applyNumberFormat="1" applyFont="1" applyFill="1" applyBorder="1" applyAlignment="1">
      <alignment vertical="center" wrapText="1"/>
    </xf>
    <xf numFmtId="165" fontId="45" fillId="5" borderId="1" xfId="10" applyNumberFormat="1" applyFont="1" applyFill="1" applyBorder="1" applyAlignment="1" applyProtection="1">
      <alignment horizontal="right" vertical="center" wrapText="1"/>
      <protection hidden="1"/>
    </xf>
    <xf numFmtId="165" fontId="47" fillId="5" borderId="1" xfId="10" applyNumberFormat="1" applyFont="1" applyFill="1" applyBorder="1" applyAlignment="1" applyProtection="1">
      <alignment vertical="center"/>
      <protection hidden="1"/>
    </xf>
    <xf numFmtId="165" fontId="45" fillId="5" borderId="1" xfId="12" applyNumberFormat="1" applyFont="1" applyFill="1" applyBorder="1" applyAlignment="1" applyProtection="1">
      <alignment horizontal="right" vertical="center"/>
      <protection hidden="1"/>
    </xf>
    <xf numFmtId="165" fontId="46" fillId="5" borderId="1" xfId="0" applyNumberFormat="1" applyFont="1" applyFill="1" applyBorder="1" applyAlignment="1">
      <alignment vertical="center" wrapText="1"/>
    </xf>
    <xf numFmtId="165" fontId="48" fillId="5" borderId="1" xfId="12" applyNumberFormat="1" applyFont="1" applyFill="1" applyBorder="1" applyAlignment="1" applyProtection="1">
      <alignment vertical="center"/>
      <protection hidden="1"/>
    </xf>
    <xf numFmtId="165" fontId="48" fillId="5" borderId="1" xfId="10" applyNumberFormat="1" applyFont="1" applyFill="1" applyBorder="1" applyAlignment="1" applyProtection="1">
      <alignment vertical="center"/>
      <protection hidden="1"/>
    </xf>
    <xf numFmtId="165" fontId="47" fillId="5" borderId="1" xfId="12" applyNumberFormat="1" applyFont="1" applyFill="1" applyBorder="1" applyAlignment="1" applyProtection="1">
      <alignment vertical="center"/>
      <protection hidden="1"/>
    </xf>
    <xf numFmtId="165" fontId="47" fillId="5" borderId="1" xfId="13" applyNumberFormat="1" applyFont="1" applyFill="1" applyBorder="1" applyAlignment="1" applyProtection="1">
      <alignment vertical="center"/>
      <protection hidden="1"/>
    </xf>
    <xf numFmtId="0" fontId="45" fillId="9" borderId="1" xfId="0" applyFont="1" applyFill="1" applyBorder="1" applyAlignment="1">
      <alignment vertical="center" wrapText="1"/>
    </xf>
    <xf numFmtId="0" fontId="123" fillId="5" borderId="0" xfId="0" applyFont="1" applyFill="1" applyAlignment="1">
      <alignment horizontal="right"/>
    </xf>
    <xf numFmtId="0" fontId="16" fillId="5" borderId="5" xfId="0" applyFont="1" applyFill="1" applyBorder="1" applyAlignment="1">
      <alignment horizontal="center" vertical="center" wrapText="1"/>
    </xf>
    <xf numFmtId="165" fontId="9" fillId="6" borderId="5" xfId="0" applyNumberFormat="1" applyFont="1" applyFill="1" applyBorder="1" applyAlignment="1">
      <alignment horizontal="right" vertical="top" wrapText="1"/>
    </xf>
    <xf numFmtId="165" fontId="19" fillId="7" borderId="5" xfId="0" applyNumberFormat="1" applyFont="1" applyFill="1" applyBorder="1" applyAlignment="1">
      <alignment horizontal="right" vertical="top" wrapText="1"/>
    </xf>
    <xf numFmtId="165" fontId="19" fillId="8" borderId="5" xfId="0" applyNumberFormat="1" applyFont="1" applyFill="1" applyBorder="1" applyAlignment="1">
      <alignment horizontal="right" vertical="top" wrapText="1"/>
    </xf>
    <xf numFmtId="165" fontId="16" fillId="0" borderId="5" xfId="0" applyNumberFormat="1" applyFont="1" applyFill="1" applyBorder="1" applyAlignment="1">
      <alignment horizontal="right" vertical="top" wrapText="1"/>
    </xf>
    <xf numFmtId="165" fontId="19" fillId="5" borderId="5" xfId="10" applyNumberFormat="1" applyFont="1" applyFill="1" applyBorder="1" applyAlignment="1" applyProtection="1">
      <alignment horizontal="right" vertical="top" wrapText="1"/>
      <protection hidden="1"/>
    </xf>
    <xf numFmtId="165" fontId="19" fillId="5" borderId="5" xfId="0" applyNumberFormat="1" applyFont="1" applyFill="1" applyBorder="1" applyAlignment="1">
      <alignment horizontal="right" vertical="top" wrapText="1"/>
    </xf>
    <xf numFmtId="165" fontId="19" fillId="8" borderId="5" xfId="0" applyNumberFormat="1" applyFont="1" applyFill="1" applyBorder="1" applyAlignment="1">
      <alignment vertical="top" wrapText="1"/>
    </xf>
    <xf numFmtId="165" fontId="19" fillId="6" borderId="5" xfId="0" applyNumberFormat="1" applyFont="1" applyFill="1" applyBorder="1" applyAlignment="1">
      <alignment horizontal="right" vertical="top" wrapText="1"/>
    </xf>
    <xf numFmtId="0" fontId="123" fillId="5" borderId="1" xfId="0" applyFont="1" applyFill="1" applyBorder="1" applyAlignment="1">
      <alignment horizontal="center" vertical="center" wrapText="1"/>
    </xf>
    <xf numFmtId="165" fontId="135" fillId="5" borderId="0" xfId="0" applyNumberFormat="1" applyFont="1" applyFill="1" applyAlignment="1">
      <alignment vertical="center"/>
    </xf>
    <xf numFmtId="164" fontId="135" fillId="5" borderId="0" xfId="0" applyNumberFormat="1" applyFont="1" applyFill="1" applyAlignment="1">
      <alignment vertical="center"/>
    </xf>
    <xf numFmtId="0" fontId="9" fillId="0" borderId="0" xfId="20" applyFont="1" applyBorder="1" applyAlignment="1">
      <alignment horizontal="center"/>
    </xf>
    <xf numFmtId="1" fontId="19" fillId="0" borderId="6" xfId="20" applyNumberFormat="1" applyFont="1" applyBorder="1" applyAlignment="1">
      <alignment horizontal="center" vertical="center" wrapText="1"/>
    </xf>
    <xf numFmtId="0" fontId="108" fillId="5" borderId="7" xfId="0" applyFont="1" applyFill="1" applyBorder="1" applyAlignment="1">
      <alignment horizontal="center" vertical="center" wrapText="1"/>
    </xf>
    <xf numFmtId="0" fontId="123" fillId="5" borderId="0" xfId="0" applyFont="1" applyFill="1" applyAlignment="1">
      <alignment horizontal="right"/>
    </xf>
    <xf numFmtId="0" fontId="125" fillId="5" borderId="0" xfId="0" applyFont="1" applyFill="1" applyAlignment="1">
      <alignment horizontal="center" vertical="center" wrapText="1"/>
    </xf>
    <xf numFmtId="0" fontId="7" fillId="0" borderId="0" xfId="20" applyFont="1" applyBorder="1" applyAlignment="1">
      <alignment horizontal="center" vertical="center" wrapText="1"/>
    </xf>
    <xf numFmtId="0" fontId="125"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165" fontId="7" fillId="5"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xf numFmtId="0" fontId="125" fillId="7" borderId="1" xfId="0" applyFont="1" applyFill="1" applyBorder="1" applyAlignment="1">
      <alignment horizontal="center" vertical="center" wrapText="1"/>
    </xf>
    <xf numFmtId="165" fontId="123" fillId="5" borderId="0" xfId="0" applyNumberFormat="1" applyFont="1" applyFill="1"/>
    <xf numFmtId="0" fontId="125" fillId="5" borderId="0" xfId="0" applyFont="1" applyFill="1" applyBorder="1" applyAlignment="1">
      <alignment horizontal="center" vertical="center" wrapText="1"/>
    </xf>
    <xf numFmtId="0" fontId="123" fillId="5" borderId="0" xfId="0" applyFont="1" applyFill="1" applyBorder="1" applyAlignment="1">
      <alignment horizontal="center" vertical="center" wrapText="1"/>
    </xf>
    <xf numFmtId="165" fontId="125" fillId="5" borderId="0" xfId="0" applyNumberFormat="1" applyFont="1" applyFill="1" applyBorder="1" applyAlignment="1">
      <alignment horizontal="center" vertical="center" wrapText="1"/>
    </xf>
    <xf numFmtId="165" fontId="19" fillId="5" borderId="1" xfId="0" applyNumberFormat="1" applyFont="1" applyFill="1" applyBorder="1" applyAlignment="1">
      <alignment horizontal="right" wrapText="1"/>
    </xf>
    <xf numFmtId="165" fontId="108" fillId="5" borderId="0" xfId="0" applyNumberFormat="1" applyFont="1" applyFill="1" applyBorder="1" applyAlignment="1">
      <alignment horizontal="center" vertical="center" wrapText="1"/>
    </xf>
    <xf numFmtId="165" fontId="16" fillId="0" borderId="8" xfId="0" applyNumberFormat="1" applyFont="1" applyFill="1" applyBorder="1" applyAlignment="1">
      <alignment horizontal="right" vertical="top" wrapText="1"/>
    </xf>
    <xf numFmtId="165" fontId="19" fillId="5" borderId="7" xfId="0" applyNumberFormat="1" applyFont="1" applyFill="1" applyBorder="1" applyAlignment="1">
      <alignment horizontal="right" wrapText="1"/>
    </xf>
    <xf numFmtId="49" fontId="16" fillId="5" borderId="3" xfId="0" applyNumberFormat="1" applyFont="1" applyFill="1" applyBorder="1" applyAlignment="1">
      <alignment horizontal="left" wrapText="1"/>
    </xf>
    <xf numFmtId="0" fontId="125" fillId="5" borderId="3" xfId="0" applyFont="1" applyFill="1" applyBorder="1" applyAlignment="1">
      <alignment horizontal="center" vertical="center" wrapText="1"/>
    </xf>
    <xf numFmtId="167" fontId="125" fillId="5" borderId="1" xfId="21" applyNumberFormat="1" applyFont="1" applyFill="1" applyBorder="1" applyAlignment="1">
      <alignment horizontal="center" vertical="center" wrapText="1"/>
    </xf>
    <xf numFmtId="167" fontId="125" fillId="5" borderId="0" xfId="21" applyNumberFormat="1" applyFont="1" applyFill="1" applyBorder="1" applyAlignment="1">
      <alignment horizontal="center" vertical="center" wrapText="1"/>
    </xf>
    <xf numFmtId="0" fontId="16" fillId="0" borderId="0" xfId="3" applyNumberFormat="1" applyFont="1" applyFill="1" applyBorder="1" applyAlignment="1" applyProtection="1">
      <alignment horizontal="left" vertical="top" wrapText="1"/>
      <protection hidden="1"/>
    </xf>
    <xf numFmtId="165" fontId="16" fillId="5" borderId="0" xfId="0" applyNumberFormat="1" applyFont="1" applyFill="1" applyBorder="1" applyAlignment="1">
      <alignment horizontal="right" vertical="top"/>
    </xf>
    <xf numFmtId="0" fontId="16" fillId="5" borderId="0" xfId="0" applyFont="1" applyFill="1" applyAlignment="1">
      <alignment horizontal="right" vertical="center"/>
    </xf>
    <xf numFmtId="165" fontId="16" fillId="3" borderId="0" xfId="0" applyNumberFormat="1" applyFont="1" applyFill="1" applyAlignment="1">
      <alignment vertical="center"/>
    </xf>
    <xf numFmtId="49" fontId="16" fillId="3" borderId="0" xfId="0" applyNumberFormat="1" applyFont="1" applyFill="1" applyBorder="1" applyAlignment="1">
      <alignment horizontal="center" wrapText="1"/>
    </xf>
    <xf numFmtId="0" fontId="16" fillId="3" borderId="0" xfId="0" applyFont="1" applyFill="1" applyAlignment="1">
      <alignment vertical="center" wrapText="1"/>
    </xf>
    <xf numFmtId="0" fontId="8" fillId="3" borderId="0" xfId="0" applyFont="1" applyFill="1" applyAlignment="1">
      <alignment horizontal="center" vertical="center" wrapText="1"/>
    </xf>
    <xf numFmtId="0" fontId="16" fillId="3" borderId="0" xfId="0" applyFont="1" applyFill="1" applyAlignment="1">
      <alignment vertical="top"/>
    </xf>
    <xf numFmtId="4" fontId="23" fillId="3" borderId="0" xfId="0" applyNumberFormat="1" applyFont="1" applyFill="1" applyAlignment="1">
      <alignment horizontal="right" vertical="top" wrapText="1"/>
    </xf>
    <xf numFmtId="0" fontId="23" fillId="3" borderId="0" xfId="0" applyFont="1" applyFill="1"/>
    <xf numFmtId="0" fontId="16" fillId="3" borderId="0" xfId="0" applyFont="1" applyFill="1" applyAlignment="1">
      <alignment horizontal="center" vertical="top"/>
    </xf>
    <xf numFmtId="165" fontId="16" fillId="3" borderId="0" xfId="0" applyNumberFormat="1" applyFont="1" applyFill="1" applyAlignment="1">
      <alignment horizontal="right" wrapText="1"/>
    </xf>
    <xf numFmtId="0" fontId="16" fillId="0" borderId="0" xfId="20" applyFont="1" applyBorder="1" applyAlignment="1">
      <alignment vertical="center" wrapText="1"/>
    </xf>
    <xf numFmtId="0" fontId="8" fillId="0" borderId="0" xfId="20" applyFont="1" applyBorder="1" applyAlignment="1">
      <alignment horizontal="center" vertical="center" wrapText="1"/>
    </xf>
    <xf numFmtId="0" fontId="8" fillId="3" borderId="0" xfId="0" applyFont="1" applyFill="1" applyBorder="1" applyAlignment="1">
      <alignment horizontal="left" vertical="center" wrapText="1"/>
    </xf>
    <xf numFmtId="165" fontId="16" fillId="0" borderId="1" xfId="0" applyNumberFormat="1" applyFont="1" applyFill="1" applyBorder="1"/>
    <xf numFmtId="4" fontId="16" fillId="0" borderId="1" xfId="0" applyNumberFormat="1" applyFont="1" applyFill="1" applyBorder="1" applyAlignment="1">
      <alignment horizontal="right" vertical="top" wrapText="1"/>
    </xf>
    <xf numFmtId="0" fontId="8" fillId="4" borderId="1" xfId="0" applyFont="1" applyFill="1" applyBorder="1" applyAlignment="1">
      <alignment horizontal="center" vertical="center" wrapText="1"/>
    </xf>
    <xf numFmtId="165" fontId="16" fillId="0" borderId="1" xfId="13" applyNumberFormat="1" applyFont="1" applyFill="1" applyBorder="1" applyAlignment="1" applyProtection="1">
      <alignment vertical="top"/>
      <protection hidden="1"/>
    </xf>
    <xf numFmtId="4" fontId="16" fillId="0" borderId="1" xfId="13" applyNumberFormat="1" applyFont="1" applyFill="1" applyBorder="1" applyAlignment="1" applyProtection="1">
      <alignment horizontal="right" vertical="top" wrapText="1"/>
      <protection hidden="1"/>
    </xf>
    <xf numFmtId="165" fontId="19" fillId="3" borderId="1" xfId="0" applyNumberFormat="1" applyFont="1" applyFill="1" applyBorder="1" applyAlignment="1">
      <alignment vertical="top" wrapText="1"/>
    </xf>
    <xf numFmtId="4" fontId="19" fillId="3" borderId="1" xfId="0" applyNumberFormat="1" applyFont="1" applyFill="1" applyBorder="1" applyAlignment="1">
      <alignment horizontal="right" vertical="top" wrapText="1"/>
    </xf>
    <xf numFmtId="0" fontId="16" fillId="0" borderId="0" xfId="0" applyFont="1" applyFill="1" applyAlignment="1">
      <alignment vertical="center" wrapText="1"/>
    </xf>
    <xf numFmtId="4" fontId="23" fillId="0" borderId="1" xfId="0" applyNumberFormat="1" applyFont="1" applyFill="1" applyBorder="1" applyAlignment="1">
      <alignment horizontal="right" vertical="top" wrapText="1"/>
    </xf>
    <xf numFmtId="0" fontId="23" fillId="0" borderId="1" xfId="0" applyFont="1" applyFill="1" applyBorder="1" applyAlignment="1">
      <alignment vertical="top" wrapText="1"/>
    </xf>
    <xf numFmtId="165" fontId="24" fillId="0" borderId="1" xfId="0" applyNumberFormat="1" applyFont="1" applyFill="1" applyBorder="1" applyAlignment="1">
      <alignment vertical="top" wrapText="1"/>
    </xf>
    <xf numFmtId="0" fontId="19" fillId="0" borderId="1" xfId="0" applyFont="1" applyFill="1" applyBorder="1" applyAlignment="1">
      <alignment horizontal="center" vertical="top" wrapText="1"/>
    </xf>
    <xf numFmtId="4" fontId="19" fillId="0" borderId="1" xfId="0" applyNumberFormat="1" applyFont="1" applyFill="1" applyBorder="1" applyAlignment="1">
      <alignment horizontal="right" vertical="top" wrapText="1"/>
    </xf>
    <xf numFmtId="0" fontId="19" fillId="0" borderId="1" xfId="0" applyFont="1" applyFill="1" applyBorder="1" applyAlignment="1">
      <alignment vertical="top" wrapText="1"/>
    </xf>
    <xf numFmtId="4" fontId="24" fillId="0" borderId="1" xfId="0" applyNumberFormat="1" applyFont="1" applyFill="1" applyBorder="1" applyAlignment="1">
      <alignment horizontal="right" vertical="top" wrapText="1"/>
    </xf>
    <xf numFmtId="49" fontId="24" fillId="0" borderId="1" xfId="0" applyNumberFormat="1" applyFont="1" applyFill="1" applyBorder="1" applyAlignment="1">
      <alignment vertical="top" wrapText="1"/>
    </xf>
    <xf numFmtId="0" fontId="8" fillId="6" borderId="1" xfId="0" applyFont="1" applyFill="1" applyBorder="1" applyAlignment="1">
      <alignment horizontal="center" vertical="center" wrapText="1"/>
    </xf>
    <xf numFmtId="165" fontId="19" fillId="6" borderId="1" xfId="0" applyNumberFormat="1" applyFont="1" applyFill="1" applyBorder="1" applyAlignment="1">
      <alignment vertical="top" wrapText="1"/>
    </xf>
    <xf numFmtId="4" fontId="19" fillId="8" borderId="1" xfId="0" applyNumberFormat="1" applyFont="1" applyFill="1" applyBorder="1" applyAlignment="1">
      <alignment horizontal="right" vertical="top" wrapText="1"/>
    </xf>
    <xf numFmtId="0" fontId="19" fillId="8" borderId="1" xfId="0" applyFont="1" applyFill="1" applyBorder="1" applyAlignment="1">
      <alignment vertical="top" wrapText="1"/>
    </xf>
    <xf numFmtId="49" fontId="19" fillId="8" borderId="1" xfId="0" applyNumberFormat="1" applyFont="1" applyFill="1" applyBorder="1" applyAlignment="1">
      <alignment horizontal="center" vertical="top" wrapText="1"/>
    </xf>
    <xf numFmtId="165" fontId="24" fillId="3" borderId="1" xfId="0" applyNumberFormat="1" applyFont="1" applyFill="1" applyBorder="1" applyAlignment="1">
      <alignment vertical="top" wrapText="1"/>
    </xf>
    <xf numFmtId="165" fontId="24" fillId="5" borderId="1" xfId="0" applyNumberFormat="1" applyFont="1" applyFill="1" applyBorder="1" applyAlignment="1">
      <alignment horizontal="right" vertical="top"/>
    </xf>
    <xf numFmtId="4" fontId="24" fillId="3" borderId="1" xfId="0" applyNumberFormat="1" applyFont="1" applyFill="1" applyBorder="1" applyAlignment="1">
      <alignment horizontal="right" vertical="top" wrapText="1"/>
    </xf>
    <xf numFmtId="49" fontId="24" fillId="3" borderId="1" xfId="0" applyNumberFormat="1" applyFont="1" applyFill="1" applyBorder="1" applyAlignment="1">
      <alignment vertical="top" wrapText="1"/>
    </xf>
    <xf numFmtId="0" fontId="16" fillId="3" borderId="1" xfId="0" applyFont="1" applyFill="1" applyBorder="1" applyAlignment="1">
      <alignment vertical="top" wrapText="1"/>
    </xf>
    <xf numFmtId="0" fontId="23" fillId="3" borderId="1" xfId="0" applyFont="1" applyFill="1" applyBorder="1" applyAlignment="1">
      <alignment vertical="top" wrapText="1"/>
    </xf>
    <xf numFmtId="4" fontId="16" fillId="3" borderId="1" xfId="0" applyNumberFormat="1" applyFont="1" applyFill="1" applyBorder="1" applyAlignment="1">
      <alignment horizontal="right" vertical="top" wrapText="1"/>
    </xf>
    <xf numFmtId="0" fontId="36" fillId="3" borderId="0" xfId="0" applyFont="1" applyFill="1"/>
    <xf numFmtId="165" fontId="36" fillId="5" borderId="0" xfId="0" applyNumberFormat="1" applyFont="1" applyFill="1"/>
    <xf numFmtId="0" fontId="36" fillId="3" borderId="0" xfId="0" applyFont="1" applyFill="1" applyAlignment="1">
      <alignment vertical="center" wrapText="1"/>
    </xf>
    <xf numFmtId="0" fontId="36" fillId="9" borderId="1" xfId="0" applyFont="1" applyFill="1" applyBorder="1" applyAlignment="1">
      <alignment horizontal="center" vertical="center" wrapText="1"/>
    </xf>
    <xf numFmtId="165" fontId="9" fillId="9" borderId="1" xfId="0" applyNumberFormat="1" applyFont="1" applyFill="1" applyBorder="1" applyAlignment="1">
      <alignment vertical="top" wrapText="1"/>
    </xf>
    <xf numFmtId="165" fontId="9" fillId="9" borderId="1" xfId="0" applyNumberFormat="1" applyFont="1" applyFill="1" applyBorder="1" applyAlignment="1">
      <alignment horizontal="right" vertical="top"/>
    </xf>
    <xf numFmtId="4" fontId="9" fillId="9" borderId="2" xfId="0" applyNumberFormat="1" applyFont="1" applyFill="1" applyBorder="1" applyAlignment="1">
      <alignment horizontal="right" vertical="top" wrapText="1"/>
    </xf>
    <xf numFmtId="0" fontId="8" fillId="11" borderId="1" xfId="0" applyFont="1" applyFill="1" applyBorder="1" applyAlignment="1">
      <alignment horizontal="center" vertical="center" wrapText="1"/>
    </xf>
    <xf numFmtId="165" fontId="16" fillId="5" borderId="1" xfId="12" applyNumberFormat="1" applyFont="1" applyFill="1" applyBorder="1" applyAlignment="1" applyProtection="1">
      <alignment vertical="top"/>
      <protection hidden="1"/>
    </xf>
    <xf numFmtId="165" fontId="16" fillId="0" borderId="1" xfId="12" applyNumberFormat="1" applyFont="1" applyFill="1" applyBorder="1" applyAlignment="1" applyProtection="1">
      <alignment vertical="top"/>
      <protection hidden="1"/>
    </xf>
    <xf numFmtId="4" fontId="16" fillId="0" borderId="1" xfId="12" applyNumberFormat="1" applyFont="1" applyFill="1" applyBorder="1" applyAlignment="1" applyProtection="1">
      <alignment horizontal="right" vertical="top" wrapText="1"/>
      <protection hidden="1"/>
    </xf>
    <xf numFmtId="0" fontId="16" fillId="5" borderId="0" xfId="0" applyFont="1" applyFill="1" applyAlignment="1">
      <alignment vertical="center" wrapText="1"/>
    </xf>
    <xf numFmtId="165" fontId="16" fillId="5" borderId="1" xfId="0" applyNumberFormat="1" applyFont="1" applyFill="1" applyBorder="1"/>
    <xf numFmtId="165" fontId="19" fillId="5" borderId="1" xfId="0" applyNumberFormat="1" applyFont="1" applyFill="1" applyBorder="1" applyAlignment="1">
      <alignment vertical="top" wrapText="1"/>
    </xf>
    <xf numFmtId="0" fontId="36" fillId="6" borderId="1" xfId="0" applyFont="1" applyFill="1" applyBorder="1" applyAlignment="1">
      <alignment horizontal="center" vertical="center" wrapText="1"/>
    </xf>
    <xf numFmtId="165" fontId="9" fillId="6" borderId="1" xfId="0" applyNumberFormat="1" applyFont="1" applyFill="1" applyBorder="1" applyAlignment="1">
      <alignment vertical="top" wrapText="1"/>
    </xf>
    <xf numFmtId="165" fontId="9" fillId="12" borderId="1" xfId="0" applyNumberFormat="1" applyFont="1" applyFill="1" applyBorder="1" applyAlignment="1">
      <alignment horizontal="right" vertical="top"/>
    </xf>
    <xf numFmtId="165" fontId="9" fillId="12" borderId="1" xfId="0" applyNumberFormat="1" applyFont="1" applyFill="1" applyBorder="1" applyAlignment="1">
      <alignment vertical="top" wrapText="1"/>
    </xf>
    <xf numFmtId="4" fontId="9" fillId="12" borderId="1" xfId="0" applyNumberFormat="1" applyFont="1" applyFill="1" applyBorder="1" applyAlignment="1">
      <alignment horizontal="right" vertical="top" wrapText="1"/>
    </xf>
    <xf numFmtId="0" fontId="9" fillId="12" borderId="1" xfId="0" applyFont="1" applyFill="1" applyBorder="1" applyAlignment="1">
      <alignment vertical="top" wrapText="1"/>
    </xf>
    <xf numFmtId="49" fontId="9" fillId="12" borderId="1" xfId="0" applyNumberFormat="1" applyFont="1" applyFill="1" applyBorder="1" applyAlignment="1">
      <alignment horizontal="center" vertical="top" wrapText="1"/>
    </xf>
    <xf numFmtId="4" fontId="16" fillId="0" borderId="1" xfId="3" applyNumberFormat="1" applyFont="1" applyFill="1" applyBorder="1" applyAlignment="1" applyProtection="1">
      <alignment horizontal="right" vertical="top" wrapText="1"/>
      <protection hidden="1"/>
    </xf>
    <xf numFmtId="165" fontId="16" fillId="5" borderId="0" xfId="0" applyNumberFormat="1" applyFont="1" applyFill="1" applyAlignment="1">
      <alignment vertical="center" wrapText="1"/>
    </xf>
    <xf numFmtId="165" fontId="16" fillId="5" borderId="1" xfId="10" applyNumberFormat="1" applyFont="1" applyFill="1" applyBorder="1" applyAlignment="1" applyProtection="1">
      <alignment vertical="top"/>
      <protection hidden="1"/>
    </xf>
    <xf numFmtId="165" fontId="16" fillId="0" borderId="1" xfId="10" applyNumberFormat="1" applyFont="1" applyFill="1" applyBorder="1" applyAlignment="1" applyProtection="1">
      <alignment vertical="top"/>
      <protection hidden="1"/>
    </xf>
    <xf numFmtId="4" fontId="16" fillId="0" borderId="1" xfId="10" applyNumberFormat="1" applyFont="1" applyFill="1" applyBorder="1" applyAlignment="1" applyProtection="1">
      <alignment horizontal="right" vertical="top" wrapText="1"/>
      <protection hidden="1"/>
    </xf>
    <xf numFmtId="165" fontId="19" fillId="0" borderId="1" xfId="12" applyNumberFormat="1" applyFont="1" applyFill="1" applyBorder="1" applyAlignment="1" applyProtection="1">
      <alignment horizontal="right" vertical="top"/>
      <protection hidden="1"/>
    </xf>
    <xf numFmtId="4" fontId="19" fillId="0" borderId="1" xfId="3" applyNumberFormat="1" applyFont="1" applyFill="1" applyBorder="1" applyAlignment="1" applyProtection="1">
      <alignment horizontal="right" vertical="top" wrapText="1"/>
      <protection hidden="1"/>
    </xf>
    <xf numFmtId="0" fontId="19" fillId="0" borderId="5" xfId="3" applyNumberFormat="1" applyFont="1" applyFill="1" applyBorder="1" applyAlignment="1" applyProtection="1">
      <alignment vertical="top" wrapText="1"/>
      <protection hidden="1"/>
    </xf>
    <xf numFmtId="0" fontId="16" fillId="0" borderId="5" xfId="3" applyNumberFormat="1" applyFont="1" applyFill="1" applyBorder="1" applyAlignment="1" applyProtection="1">
      <alignment vertical="top" wrapText="1"/>
      <protection hidden="1"/>
    </xf>
    <xf numFmtId="165" fontId="9" fillId="13" borderId="1" xfId="0" applyNumberFormat="1" applyFont="1" applyFill="1" applyBorder="1" applyAlignment="1">
      <alignment horizontal="right" vertical="top"/>
    </xf>
    <xf numFmtId="165" fontId="9" fillId="13" borderId="1" xfId="0" applyNumberFormat="1" applyFont="1" applyFill="1" applyBorder="1" applyAlignment="1">
      <alignment vertical="top" wrapText="1"/>
    </xf>
    <xf numFmtId="4" fontId="9" fillId="13" borderId="1" xfId="0" applyNumberFormat="1" applyFont="1" applyFill="1" applyBorder="1" applyAlignment="1">
      <alignment horizontal="right" vertical="top" wrapText="1"/>
    </xf>
    <xf numFmtId="0" fontId="9" fillId="13" borderId="1" xfId="0" applyFont="1" applyFill="1" applyBorder="1" applyAlignment="1">
      <alignment vertical="top" wrapText="1"/>
    </xf>
    <xf numFmtId="49" fontId="9" fillId="13" borderId="1" xfId="0" applyNumberFormat="1" applyFont="1" applyFill="1" applyBorder="1" applyAlignment="1">
      <alignment horizontal="center" vertical="top" wrapText="1"/>
    </xf>
    <xf numFmtId="4" fontId="16" fillId="5" borderId="1" xfId="10" applyNumberFormat="1" applyFont="1" applyFill="1" applyBorder="1" applyAlignment="1" applyProtection="1">
      <alignment horizontal="right" vertical="top" wrapText="1"/>
      <protection hidden="1"/>
    </xf>
    <xf numFmtId="4" fontId="19" fillId="5" borderId="1" xfId="0" applyNumberFormat="1" applyFont="1" applyFill="1" applyBorder="1" applyAlignment="1">
      <alignment horizontal="right" vertical="top" wrapText="1"/>
    </xf>
    <xf numFmtId="0" fontId="8" fillId="3" borderId="1" xfId="0" applyNumberFormat="1" applyFont="1" applyFill="1" applyBorder="1" applyAlignment="1">
      <alignment horizontal="center" vertical="center" wrapText="1"/>
    </xf>
    <xf numFmtId="165" fontId="19" fillId="0" borderId="1" xfId="10" applyNumberFormat="1" applyFont="1" applyFill="1" applyBorder="1" applyAlignment="1" applyProtection="1">
      <alignment horizontal="right" vertical="top" wrapText="1"/>
      <protection hidden="1"/>
    </xf>
    <xf numFmtId="0" fontId="19" fillId="0" borderId="5" xfId="0" applyFont="1" applyFill="1" applyBorder="1" applyAlignment="1">
      <alignment vertical="top" wrapText="1"/>
    </xf>
    <xf numFmtId="0" fontId="16" fillId="0" borderId="5" xfId="0" applyFont="1" applyFill="1" applyBorder="1" applyAlignment="1">
      <alignment vertical="top" wrapText="1"/>
    </xf>
    <xf numFmtId="0" fontId="9" fillId="13" borderId="1" xfId="0" applyFont="1" applyFill="1" applyBorder="1" applyAlignment="1">
      <alignment horizontal="center" vertical="top" wrapText="1"/>
    </xf>
    <xf numFmtId="165" fontId="19" fillId="5" borderId="0" xfId="0" applyNumberFormat="1" applyFont="1" applyFill="1"/>
    <xf numFmtId="0" fontId="19" fillId="3" borderId="0" xfId="0" applyFont="1" applyFill="1" applyAlignment="1">
      <alignment vertical="center" wrapText="1"/>
    </xf>
    <xf numFmtId="0" fontId="14" fillId="3" borderId="1" xfId="0" applyFont="1" applyFill="1" applyBorder="1" applyAlignment="1">
      <alignment horizontal="center" vertical="center" wrapText="1"/>
    </xf>
    <xf numFmtId="0" fontId="19" fillId="3" borderId="1" xfId="0" applyFont="1" applyFill="1" applyBorder="1" applyAlignment="1">
      <alignment vertical="top" wrapText="1"/>
    </xf>
    <xf numFmtId="165" fontId="23" fillId="5" borderId="0" xfId="0" applyNumberFormat="1" applyFont="1" applyFill="1"/>
    <xf numFmtId="0" fontId="23" fillId="3" borderId="0" xfId="0" applyFont="1" applyFill="1" applyAlignment="1">
      <alignment vertical="center" wrapText="1"/>
    </xf>
    <xf numFmtId="0" fontId="21" fillId="3" borderId="1" xfId="0" applyFont="1" applyFill="1" applyBorder="1" applyAlignment="1">
      <alignment horizontal="center" vertical="center" wrapText="1"/>
    </xf>
    <xf numFmtId="165" fontId="23" fillId="3" borderId="1" xfId="0" applyNumberFormat="1" applyFont="1" applyFill="1" applyBorder="1" applyAlignment="1">
      <alignment vertical="top" wrapText="1"/>
    </xf>
    <xf numFmtId="165" fontId="23" fillId="5" borderId="1" xfId="0" applyNumberFormat="1" applyFont="1" applyFill="1" applyBorder="1" applyAlignment="1">
      <alignment horizontal="right" vertical="top"/>
    </xf>
    <xf numFmtId="4" fontId="23" fillId="3" borderId="1" xfId="0" applyNumberFormat="1" applyFont="1" applyFill="1" applyBorder="1" applyAlignment="1">
      <alignment horizontal="right" vertical="top" wrapText="1"/>
    </xf>
    <xf numFmtId="49" fontId="23" fillId="3" borderId="1" xfId="0" applyNumberFormat="1" applyFont="1" applyFill="1" applyBorder="1" applyAlignment="1">
      <alignment horizontal="right" vertical="top" wrapText="1"/>
    </xf>
    <xf numFmtId="0" fontId="24" fillId="3" borderId="1" xfId="0" applyFont="1" applyFill="1" applyBorder="1" applyAlignment="1">
      <alignment vertical="top" wrapText="1"/>
    </xf>
    <xf numFmtId="0" fontId="47" fillId="3" borderId="0" xfId="0" applyFont="1" applyFill="1" applyAlignment="1">
      <alignment vertical="center"/>
    </xf>
    <xf numFmtId="165" fontId="47" fillId="3" borderId="0" xfId="0" applyNumberFormat="1" applyFont="1" applyFill="1" applyAlignment="1">
      <alignment vertical="center"/>
    </xf>
    <xf numFmtId="165" fontId="47" fillId="5" borderId="0" xfId="0" applyNumberFormat="1" applyFont="1" applyFill="1"/>
    <xf numFmtId="0" fontId="47" fillId="3" borderId="0" xfId="0" applyFont="1" applyFill="1" applyAlignment="1">
      <alignment vertical="center" wrapText="1"/>
    </xf>
    <xf numFmtId="0" fontId="47" fillId="9" borderId="1" xfId="0" applyFont="1" applyFill="1" applyBorder="1" applyAlignment="1">
      <alignment horizontal="center" vertical="center" wrapText="1"/>
    </xf>
    <xf numFmtId="165" fontId="45" fillId="9" borderId="1" xfId="0" applyNumberFormat="1" applyFont="1" applyFill="1" applyBorder="1" applyAlignment="1">
      <alignment vertical="top" wrapText="1"/>
    </xf>
    <xf numFmtId="165" fontId="45" fillId="9" borderId="1" xfId="0" applyNumberFormat="1" applyFont="1" applyFill="1" applyBorder="1" applyAlignment="1">
      <alignment horizontal="right" vertical="top"/>
    </xf>
    <xf numFmtId="4" fontId="45" fillId="9" borderId="1" xfId="0" applyNumberFormat="1" applyFont="1" applyFill="1" applyBorder="1" applyAlignment="1">
      <alignment horizontal="right" vertical="top" wrapText="1"/>
    </xf>
    <xf numFmtId="0" fontId="45" fillId="9" borderId="1" xfId="0" applyFont="1" applyFill="1" applyBorder="1" applyAlignment="1">
      <alignment vertical="top" wrapText="1"/>
    </xf>
    <xf numFmtId="0" fontId="47" fillId="9" borderId="1" xfId="0" applyFont="1" applyFill="1" applyBorder="1" applyAlignment="1">
      <alignment vertical="top" wrapText="1"/>
    </xf>
    <xf numFmtId="0" fontId="7" fillId="3"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0" borderId="0" xfId="20" applyFont="1" applyBorder="1" applyAlignment="1">
      <alignment horizontal="right" vertical="top"/>
    </xf>
    <xf numFmtId="0" fontId="16" fillId="3" borderId="0" xfId="0" applyFont="1" applyFill="1" applyAlignment="1">
      <alignment horizontal="right"/>
    </xf>
    <xf numFmtId="0" fontId="16" fillId="5" borderId="0" xfId="0" applyFont="1" applyFill="1" applyAlignment="1">
      <alignment horizontal="right" vertical="center"/>
    </xf>
    <xf numFmtId="165" fontId="47" fillId="5" borderId="1" xfId="0" applyNumberFormat="1" applyFont="1" applyFill="1" applyBorder="1" applyAlignment="1">
      <alignment vertical="center" wrapText="1"/>
    </xf>
    <xf numFmtId="165" fontId="47" fillId="5" borderId="1" xfId="10" applyNumberFormat="1" applyFont="1" applyFill="1" applyBorder="1" applyAlignment="1" applyProtection="1">
      <alignment horizontal="right" vertical="center" wrapText="1"/>
      <protection hidden="1"/>
    </xf>
    <xf numFmtId="0" fontId="19" fillId="5" borderId="0" xfId="0" applyFont="1" applyFill="1" applyAlignment="1">
      <alignment vertical="center"/>
    </xf>
    <xf numFmtId="165" fontId="47" fillId="5" borderId="1" xfId="12" applyNumberFormat="1" applyFont="1" applyFill="1" applyBorder="1" applyAlignment="1" applyProtection="1">
      <alignment horizontal="right" vertical="center"/>
      <protection hidden="1"/>
    </xf>
    <xf numFmtId="166" fontId="52" fillId="0" borderId="1" xfId="13" applyNumberFormat="1" applyFont="1" applyFill="1" applyBorder="1" applyAlignment="1" applyProtection="1">
      <alignment vertical="center" wrapText="1"/>
      <protection hidden="1"/>
    </xf>
    <xf numFmtId="166" fontId="53" fillId="0" borderId="1" xfId="13" applyNumberFormat="1" applyFont="1" applyFill="1" applyBorder="1" applyAlignment="1" applyProtection="1">
      <alignment vertical="center" wrapText="1"/>
      <protection hidden="1"/>
    </xf>
    <xf numFmtId="0" fontId="51" fillId="7" borderId="1" xfId="0" applyFont="1" applyFill="1" applyBorder="1" applyAlignment="1">
      <alignment vertical="center" wrapText="1"/>
    </xf>
    <xf numFmtId="0" fontId="51" fillId="8" borderId="1" xfId="0" applyFont="1" applyFill="1" applyBorder="1" applyAlignment="1">
      <alignment horizontal="left" vertical="center" wrapText="1"/>
    </xf>
    <xf numFmtId="166" fontId="52" fillId="0" borderId="1" xfId="6" applyNumberFormat="1" applyFont="1" applyFill="1" applyBorder="1" applyAlignment="1" applyProtection="1">
      <alignment vertical="center" wrapText="1"/>
      <protection hidden="1"/>
    </xf>
    <xf numFmtId="0" fontId="51" fillId="5" borderId="1" xfId="0" applyFont="1" applyFill="1" applyBorder="1" applyAlignment="1">
      <alignment horizontal="left" vertical="center" wrapText="1"/>
    </xf>
    <xf numFmtId="0" fontId="52" fillId="5" borderId="1" xfId="0" applyFont="1" applyFill="1" applyBorder="1" applyAlignment="1">
      <alignment horizontal="center" vertical="center" wrapText="1"/>
    </xf>
    <xf numFmtId="1" fontId="36" fillId="0" borderId="1" xfId="20" applyNumberFormat="1" applyFont="1" applyBorder="1" applyAlignment="1">
      <alignment horizontal="center" vertical="center" textRotation="90" wrapText="1"/>
    </xf>
    <xf numFmtId="0" fontId="51" fillId="6" borderId="1" xfId="0" applyFont="1" applyFill="1" applyBorder="1" applyAlignment="1">
      <alignment vertical="center" wrapText="1"/>
    </xf>
    <xf numFmtId="2" fontId="36" fillId="5" borderId="0" xfId="21" applyNumberFormat="1" applyFont="1" applyFill="1" applyAlignment="1">
      <alignment vertical="center"/>
    </xf>
    <xf numFmtId="0" fontId="36" fillId="5" borderId="0" xfId="0" applyFont="1" applyFill="1" applyAlignment="1">
      <alignment vertical="center"/>
    </xf>
    <xf numFmtId="49" fontId="52" fillId="5" borderId="0" xfId="0" applyNumberFormat="1" applyFont="1" applyFill="1" applyAlignment="1">
      <alignment horizontal="left" vertical="center" wrapText="1"/>
    </xf>
    <xf numFmtId="0" fontId="19" fillId="5" borderId="0" xfId="0" applyFont="1" applyFill="1" applyAlignment="1">
      <alignment horizontal="right" vertical="center"/>
    </xf>
    <xf numFmtId="1" fontId="19" fillId="0" borderId="0" xfId="20" applyNumberFormat="1" applyFont="1" applyBorder="1" applyAlignment="1">
      <alignment vertical="center"/>
    </xf>
    <xf numFmtId="1" fontId="16" fillId="0" borderId="0" xfId="20" applyNumberFormat="1" applyFont="1" applyBorder="1" applyAlignment="1">
      <alignment vertical="center"/>
    </xf>
    <xf numFmtId="0" fontId="16" fillId="0" borderId="0" xfId="20" applyFont="1" applyAlignment="1">
      <alignment vertical="center"/>
    </xf>
    <xf numFmtId="0" fontId="19" fillId="0" borderId="0" xfId="17" applyFont="1" applyAlignment="1" applyProtection="1">
      <alignment vertical="center"/>
      <protection hidden="1"/>
    </xf>
    <xf numFmtId="165" fontId="19" fillId="0" borderId="0" xfId="20" applyNumberFormat="1" applyFont="1" applyBorder="1" applyAlignment="1">
      <alignment horizontal="center" vertical="center"/>
    </xf>
    <xf numFmtId="0" fontId="8" fillId="5" borderId="0" xfId="0" applyFont="1" applyFill="1" applyAlignment="1">
      <alignment vertical="center"/>
    </xf>
    <xf numFmtId="0" fontId="8" fillId="5" borderId="1" xfId="0" applyFont="1" applyFill="1" applyBorder="1" applyAlignment="1">
      <alignment horizontal="center" vertical="center"/>
    </xf>
    <xf numFmtId="165" fontId="45" fillId="6" borderId="1" xfId="0" applyNumberFormat="1" applyFont="1" applyFill="1" applyBorder="1" applyAlignment="1">
      <alignment horizontal="right" vertical="center" wrapText="1"/>
    </xf>
    <xf numFmtId="165" fontId="45" fillId="6" borderId="1" xfId="0" applyNumberFormat="1" applyFont="1" applyFill="1" applyBorder="1" applyAlignment="1">
      <alignment horizontal="right" vertical="center"/>
    </xf>
    <xf numFmtId="165" fontId="47" fillId="6" borderId="1" xfId="0" applyNumberFormat="1" applyFont="1" applyFill="1" applyBorder="1" applyAlignment="1">
      <alignment horizontal="right" vertical="center"/>
    </xf>
    <xf numFmtId="165" fontId="36" fillId="5" borderId="0" xfId="0" applyNumberFormat="1" applyFont="1" applyFill="1" applyAlignment="1">
      <alignment vertical="center"/>
    </xf>
    <xf numFmtId="165" fontId="45" fillId="7" borderId="1" xfId="0" applyNumberFormat="1" applyFont="1" applyFill="1" applyBorder="1" applyAlignment="1">
      <alignment horizontal="right" vertical="center" wrapText="1"/>
    </xf>
    <xf numFmtId="165" fontId="45" fillId="7" borderId="1" xfId="0" applyNumberFormat="1" applyFont="1" applyFill="1" applyBorder="1" applyAlignment="1">
      <alignment horizontal="right" vertical="center"/>
    </xf>
    <xf numFmtId="165" fontId="47" fillId="7" borderId="1" xfId="0" applyNumberFormat="1" applyFont="1" applyFill="1" applyBorder="1" applyAlignment="1">
      <alignment horizontal="right" vertical="center"/>
    </xf>
    <xf numFmtId="165" fontId="45" fillId="8" borderId="1" xfId="0" applyNumberFormat="1" applyFont="1" applyFill="1" applyBorder="1" applyAlignment="1">
      <alignment horizontal="right" vertical="center" wrapText="1"/>
    </xf>
    <xf numFmtId="165" fontId="45" fillId="8" borderId="1" xfId="0" applyNumberFormat="1" applyFont="1" applyFill="1" applyBorder="1" applyAlignment="1">
      <alignment horizontal="right" vertical="center"/>
    </xf>
    <xf numFmtId="165" fontId="47" fillId="8" borderId="1" xfId="0" applyNumberFormat="1" applyFont="1" applyFill="1" applyBorder="1" applyAlignment="1">
      <alignment horizontal="right" vertical="center"/>
    </xf>
    <xf numFmtId="165" fontId="45" fillId="0" borderId="1" xfId="0" applyNumberFormat="1" applyFont="1" applyFill="1" applyBorder="1" applyAlignment="1">
      <alignment horizontal="right" vertical="center" wrapText="1"/>
    </xf>
    <xf numFmtId="165" fontId="45" fillId="0" borderId="1" xfId="0" applyNumberFormat="1" applyFont="1" applyFill="1" applyBorder="1" applyAlignment="1">
      <alignment vertical="center"/>
    </xf>
    <xf numFmtId="165" fontId="47" fillId="0" borderId="1" xfId="0" applyNumberFormat="1" applyFont="1" applyFill="1" applyBorder="1" applyAlignment="1">
      <alignment vertical="center"/>
    </xf>
    <xf numFmtId="165" fontId="36" fillId="0" borderId="0" xfId="0" applyNumberFormat="1" applyFont="1" applyFill="1" applyAlignment="1">
      <alignment vertical="center"/>
    </xf>
    <xf numFmtId="0" fontId="16" fillId="0" borderId="0" xfId="0" applyFont="1" applyFill="1" applyAlignment="1">
      <alignment vertical="center"/>
    </xf>
    <xf numFmtId="165" fontId="45" fillId="8" borderId="1" xfId="0" applyNumberFormat="1" applyFont="1" applyFill="1" applyBorder="1" applyAlignment="1">
      <alignment vertical="center"/>
    </xf>
    <xf numFmtId="165" fontId="47" fillId="8" borderId="1" xfId="0" applyNumberFormat="1" applyFont="1" applyFill="1" applyBorder="1" applyAlignment="1">
      <alignment vertical="center"/>
    </xf>
    <xf numFmtId="165" fontId="47" fillId="0" borderId="1" xfId="13" applyNumberFormat="1" applyFont="1" applyFill="1" applyBorder="1" applyAlignment="1" applyProtection="1">
      <alignment horizontal="right" vertical="center" wrapText="1"/>
      <protection hidden="1"/>
    </xf>
    <xf numFmtId="165" fontId="21" fillId="5" borderId="0" xfId="0" applyNumberFormat="1" applyFont="1" applyFill="1" applyAlignment="1">
      <alignment vertical="center"/>
    </xf>
    <xf numFmtId="165" fontId="45" fillId="5" borderId="1" xfId="0" applyNumberFormat="1" applyFont="1" applyFill="1" applyBorder="1" applyAlignment="1">
      <alignment horizontal="right" vertical="center"/>
    </xf>
    <xf numFmtId="164" fontId="16" fillId="5" borderId="0" xfId="0" applyNumberFormat="1" applyFont="1" applyFill="1" applyAlignment="1">
      <alignment vertical="center"/>
    </xf>
    <xf numFmtId="4" fontId="45" fillId="6" borderId="1" xfId="0" applyNumberFormat="1" applyFont="1" applyFill="1" applyBorder="1" applyAlignment="1">
      <alignment horizontal="right" vertical="center" wrapText="1"/>
    </xf>
    <xf numFmtId="49" fontId="52" fillId="5" borderId="1" xfId="0" applyNumberFormat="1" applyFont="1" applyFill="1" applyBorder="1" applyAlignment="1">
      <alignment horizontal="center" vertical="center" wrapText="1"/>
    </xf>
    <xf numFmtId="0" fontId="52" fillId="5" borderId="1" xfId="0" applyFont="1" applyFill="1" applyBorder="1" applyAlignment="1">
      <alignment vertical="center" wrapText="1"/>
    </xf>
    <xf numFmtId="165" fontId="45" fillId="5" borderId="1" xfId="0" applyNumberFormat="1" applyFont="1" applyFill="1" applyBorder="1" applyAlignment="1">
      <alignment vertical="center"/>
    </xf>
    <xf numFmtId="166" fontId="52" fillId="5" borderId="1" xfId="6" applyNumberFormat="1" applyFont="1" applyFill="1" applyBorder="1" applyAlignment="1" applyProtection="1">
      <alignment vertical="center" wrapText="1"/>
      <protection hidden="1"/>
    </xf>
    <xf numFmtId="0" fontId="52" fillId="5" borderId="1" xfId="3" applyNumberFormat="1" applyFont="1" applyFill="1" applyBorder="1" applyAlignment="1" applyProtection="1">
      <alignment horizontal="left" vertical="center" wrapText="1"/>
      <protection hidden="1"/>
    </xf>
    <xf numFmtId="166" fontId="52" fillId="5" borderId="1" xfId="12" applyNumberFormat="1" applyFont="1" applyFill="1" applyBorder="1" applyAlignment="1" applyProtection="1">
      <alignment vertical="center" wrapText="1"/>
      <protection hidden="1"/>
    </xf>
    <xf numFmtId="166" fontId="52" fillId="5" borderId="1" xfId="8" applyNumberFormat="1" applyFont="1" applyFill="1" applyBorder="1" applyAlignment="1" applyProtection="1">
      <alignment vertical="center" wrapText="1"/>
      <protection hidden="1"/>
    </xf>
    <xf numFmtId="49" fontId="53" fillId="5" borderId="1" xfId="0" applyNumberFormat="1" applyFont="1" applyFill="1" applyBorder="1" applyAlignment="1">
      <alignment horizontal="center" vertical="center" wrapText="1"/>
    </xf>
    <xf numFmtId="165" fontId="46" fillId="5" borderId="1" xfId="0" applyNumberFormat="1" applyFont="1" applyFill="1" applyBorder="1" applyAlignment="1">
      <alignment horizontal="right" vertical="center" wrapText="1"/>
    </xf>
    <xf numFmtId="165" fontId="46" fillId="5" borderId="1" xfId="0" applyNumberFormat="1" applyFont="1" applyFill="1" applyBorder="1" applyAlignment="1">
      <alignment vertical="center"/>
    </xf>
    <xf numFmtId="166" fontId="52" fillId="5" borderId="1" xfId="7" applyNumberFormat="1" applyFont="1" applyFill="1" applyBorder="1" applyAlignment="1" applyProtection="1">
      <alignment vertical="center" wrapText="1"/>
      <protection hidden="1"/>
    </xf>
    <xf numFmtId="49" fontId="52" fillId="5" borderId="1" xfId="0" applyNumberFormat="1" applyFont="1" applyFill="1" applyBorder="1" applyAlignment="1">
      <alignment vertical="center" wrapText="1"/>
    </xf>
    <xf numFmtId="165" fontId="16" fillId="5" borderId="0" xfId="0" applyNumberFormat="1" applyFont="1" applyFill="1" applyAlignment="1">
      <alignment vertical="center"/>
    </xf>
    <xf numFmtId="0" fontId="52" fillId="5" borderId="1" xfId="1" applyNumberFormat="1" applyFont="1" applyFill="1" applyBorder="1" applyAlignment="1" applyProtection="1">
      <alignment horizontal="left" vertical="center" wrapText="1"/>
      <protection hidden="1"/>
    </xf>
    <xf numFmtId="166" fontId="52" fillId="5" borderId="1" xfId="13" applyNumberFormat="1" applyFont="1" applyFill="1" applyBorder="1" applyAlignment="1" applyProtection="1">
      <alignment vertical="center" wrapText="1"/>
      <protection hidden="1"/>
    </xf>
    <xf numFmtId="0" fontId="53" fillId="5" borderId="1" xfId="1" applyNumberFormat="1" applyFont="1" applyFill="1" applyBorder="1" applyAlignment="1" applyProtection="1">
      <alignment horizontal="left" vertical="center" wrapText="1"/>
      <protection hidden="1"/>
    </xf>
    <xf numFmtId="170" fontId="46" fillId="5" borderId="1" xfId="9" applyNumberFormat="1" applyFont="1" applyFill="1" applyBorder="1" applyAlignment="1" applyProtection="1">
      <alignment horizontal="right" vertical="center"/>
      <protection hidden="1"/>
    </xf>
    <xf numFmtId="165" fontId="48" fillId="5" borderId="1" xfId="13" applyNumberFormat="1" applyFont="1" applyFill="1" applyBorder="1" applyAlignment="1" applyProtection="1">
      <alignment horizontal="right" vertical="center" wrapText="1"/>
      <protection hidden="1"/>
    </xf>
    <xf numFmtId="4" fontId="48" fillId="5" borderId="1" xfId="13" applyNumberFormat="1" applyFont="1" applyFill="1" applyBorder="1" applyAlignment="1" applyProtection="1">
      <alignment horizontal="right" vertical="center" wrapText="1"/>
      <protection hidden="1"/>
    </xf>
    <xf numFmtId="165" fontId="51" fillId="8" borderId="1" xfId="0" applyNumberFormat="1" applyFont="1" applyFill="1" applyBorder="1" applyAlignment="1">
      <alignment horizontal="right" vertical="center" wrapText="1"/>
    </xf>
    <xf numFmtId="165" fontId="51" fillId="7" borderId="1" xfId="0" applyNumberFormat="1" applyFont="1" applyFill="1" applyBorder="1" applyAlignment="1">
      <alignment horizontal="right" vertical="center" wrapText="1"/>
    </xf>
    <xf numFmtId="165" fontId="51" fillId="7" borderId="1" xfId="0" applyNumberFormat="1" applyFont="1" applyFill="1" applyBorder="1" applyAlignment="1">
      <alignment horizontal="right" vertical="center"/>
    </xf>
    <xf numFmtId="165" fontId="52" fillId="7" borderId="1" xfId="0" applyNumberFormat="1" applyFont="1" applyFill="1" applyBorder="1" applyAlignment="1">
      <alignment horizontal="right" vertical="center"/>
    </xf>
    <xf numFmtId="165" fontId="51" fillId="8" borderId="1" xfId="0" applyNumberFormat="1" applyFont="1" applyFill="1" applyBorder="1" applyAlignment="1">
      <alignment horizontal="right" vertical="center"/>
    </xf>
    <xf numFmtId="165" fontId="52" fillId="8" borderId="1" xfId="0" applyNumberFormat="1" applyFont="1" applyFill="1" applyBorder="1" applyAlignment="1">
      <alignment horizontal="right" vertical="center"/>
    </xf>
    <xf numFmtId="0" fontId="52" fillId="5" borderId="2" xfId="3" applyNumberFormat="1" applyFont="1" applyFill="1" applyBorder="1" applyAlignment="1" applyProtection="1">
      <alignment horizontal="left" vertical="center" wrapText="1"/>
      <protection hidden="1"/>
    </xf>
    <xf numFmtId="49" fontId="52" fillId="5" borderId="2" xfId="0" applyNumberFormat="1" applyFont="1" applyFill="1" applyBorder="1" applyAlignment="1">
      <alignment vertical="center" wrapText="1"/>
    </xf>
    <xf numFmtId="165" fontId="51" fillId="5" borderId="1" xfId="0" applyNumberFormat="1" applyFont="1" applyFill="1" applyBorder="1" applyAlignment="1">
      <alignment horizontal="right" vertical="center" wrapText="1"/>
    </xf>
    <xf numFmtId="4" fontId="51" fillId="5" borderId="1" xfId="0" applyNumberFormat="1" applyFont="1" applyFill="1" applyBorder="1" applyAlignment="1">
      <alignment horizontal="right" vertical="center" wrapText="1"/>
    </xf>
    <xf numFmtId="165" fontId="51" fillId="5" borderId="1" xfId="0" applyNumberFormat="1" applyFont="1" applyFill="1" applyBorder="1" applyAlignment="1">
      <alignment horizontal="right" vertical="center"/>
    </xf>
    <xf numFmtId="165" fontId="51" fillId="5" borderId="1" xfId="10" applyNumberFormat="1" applyFont="1" applyFill="1" applyBorder="1" applyAlignment="1" applyProtection="1">
      <alignment horizontal="right" vertical="center" wrapText="1"/>
      <protection hidden="1"/>
    </xf>
    <xf numFmtId="165" fontId="52" fillId="5" borderId="1" xfId="0" applyNumberFormat="1" applyFont="1" applyFill="1" applyBorder="1" applyAlignment="1">
      <alignment horizontal="right" vertical="center"/>
    </xf>
    <xf numFmtId="165" fontId="52" fillId="5" borderId="1" xfId="12" applyNumberFormat="1" applyFont="1" applyFill="1" applyBorder="1" applyAlignment="1" applyProtection="1">
      <alignment horizontal="right" vertical="center"/>
      <protection hidden="1"/>
    </xf>
    <xf numFmtId="165" fontId="51" fillId="5" borderId="1" xfId="0" applyNumberFormat="1" applyFont="1" applyFill="1" applyBorder="1" applyAlignment="1">
      <alignment vertical="center"/>
    </xf>
    <xf numFmtId="165" fontId="52" fillId="5" borderId="1" xfId="0" applyNumberFormat="1" applyFont="1" applyFill="1" applyBorder="1" applyAlignment="1">
      <alignment vertical="center"/>
    </xf>
    <xf numFmtId="165" fontId="52" fillId="5" borderId="1" xfId="0" applyNumberFormat="1" applyFont="1" applyFill="1" applyBorder="1" applyAlignment="1">
      <alignment horizontal="right" vertical="center" wrapText="1"/>
    </xf>
    <xf numFmtId="4" fontId="52" fillId="5" borderId="1" xfId="0" applyNumberFormat="1" applyFont="1" applyFill="1" applyBorder="1" applyAlignment="1">
      <alignment horizontal="right" vertical="center" wrapText="1"/>
    </xf>
    <xf numFmtId="0" fontId="51" fillId="5" borderId="1" xfId="0" applyFont="1" applyFill="1" applyBorder="1" applyAlignment="1">
      <alignment vertical="center" wrapText="1"/>
    </xf>
    <xf numFmtId="0" fontId="53" fillId="5" borderId="1" xfId="0" applyFont="1" applyFill="1" applyBorder="1" applyAlignment="1">
      <alignment vertical="center" wrapText="1"/>
    </xf>
    <xf numFmtId="0" fontId="21" fillId="0" borderId="0" xfId="0" applyFont="1" applyFill="1" applyAlignment="1">
      <alignment vertical="center"/>
    </xf>
    <xf numFmtId="166" fontId="51" fillId="5" borderId="4" xfId="6" applyNumberFormat="1" applyFont="1" applyFill="1" applyBorder="1" applyAlignment="1" applyProtection="1">
      <alignment vertical="center" wrapText="1"/>
      <protection hidden="1"/>
    </xf>
    <xf numFmtId="0" fontId="52" fillId="5" borderId="1" xfId="9" applyNumberFormat="1" applyFont="1" applyFill="1" applyBorder="1" applyAlignment="1" applyProtection="1">
      <alignment horizontal="left" vertical="center" wrapText="1"/>
      <protection hidden="1"/>
    </xf>
    <xf numFmtId="0" fontId="52" fillId="5" borderId="1" xfId="0" applyFont="1" applyFill="1" applyBorder="1" applyAlignment="1">
      <alignment horizontal="left" vertical="center" wrapText="1"/>
    </xf>
    <xf numFmtId="0" fontId="51" fillId="0" borderId="4" xfId="0" applyNumberFormat="1" applyFont="1" applyFill="1" applyBorder="1" applyAlignment="1">
      <alignment horizontal="left" vertical="center" wrapText="1"/>
    </xf>
    <xf numFmtId="0" fontId="52" fillId="0" borderId="4" xfId="0" applyNumberFormat="1" applyFont="1" applyFill="1" applyBorder="1" applyAlignment="1">
      <alignment horizontal="left" vertical="center" wrapText="1"/>
    </xf>
    <xf numFmtId="0" fontId="51" fillId="5" borderId="6" xfId="3" applyNumberFormat="1" applyFont="1" applyFill="1" applyBorder="1" applyAlignment="1" applyProtection="1">
      <alignment horizontal="left" vertical="center" wrapText="1"/>
      <protection hidden="1"/>
    </xf>
    <xf numFmtId="49" fontId="52" fillId="5" borderId="5" xfId="0" applyNumberFormat="1" applyFont="1" applyFill="1" applyBorder="1" applyAlignment="1">
      <alignment horizontal="center" vertical="center" wrapText="1"/>
    </xf>
    <xf numFmtId="0" fontId="52" fillId="5" borderId="0" xfId="0" applyFont="1" applyFill="1" applyAlignment="1">
      <alignment vertical="center"/>
    </xf>
    <xf numFmtId="0" fontId="16" fillId="5" borderId="1" xfId="0" applyFont="1" applyFill="1" applyBorder="1" applyAlignment="1">
      <alignment vertical="center"/>
    </xf>
    <xf numFmtId="165" fontId="19" fillId="5" borderId="0" xfId="0" applyNumberFormat="1" applyFont="1" applyFill="1" applyAlignment="1">
      <alignment vertical="center"/>
    </xf>
    <xf numFmtId="49" fontId="52" fillId="5" borderId="1" xfId="0" applyNumberFormat="1" applyFont="1" applyFill="1" applyBorder="1" applyAlignment="1">
      <alignment horizontal="justify" vertical="center" wrapText="1"/>
    </xf>
    <xf numFmtId="0" fontId="52" fillId="5" borderId="9" xfId="0" applyNumberFormat="1" applyFont="1" applyFill="1" applyBorder="1" applyAlignment="1">
      <alignment horizontal="left" vertical="center" wrapText="1"/>
    </xf>
    <xf numFmtId="0" fontId="52" fillId="5" borderId="1" xfId="0" applyNumberFormat="1" applyFont="1" applyFill="1" applyBorder="1" applyAlignment="1">
      <alignment horizontal="justify" vertical="center" wrapText="1"/>
    </xf>
    <xf numFmtId="0" fontId="52" fillId="5" borderId="0" xfId="0" applyFont="1" applyFill="1" applyBorder="1" applyAlignment="1">
      <alignment vertical="center" wrapText="1"/>
    </xf>
    <xf numFmtId="165" fontId="45" fillId="5" borderId="0" xfId="0" applyNumberFormat="1" applyFont="1" applyFill="1" applyBorder="1" applyAlignment="1">
      <alignment vertical="center"/>
    </xf>
    <xf numFmtId="165" fontId="47" fillId="5" borderId="0" xfId="0" applyNumberFormat="1" applyFont="1" applyFill="1" applyBorder="1" applyAlignment="1">
      <alignment vertical="center" wrapText="1"/>
    </xf>
    <xf numFmtId="0" fontId="16" fillId="0" borderId="0" xfId="20" applyFont="1" applyFill="1" applyBorder="1" applyAlignment="1">
      <alignment horizontal="center" vertical="center"/>
    </xf>
    <xf numFmtId="165" fontId="45" fillId="0" borderId="1" xfId="0" applyNumberFormat="1" applyFont="1" applyFill="1" applyBorder="1" applyAlignment="1">
      <alignment horizontal="right" vertical="center"/>
    </xf>
    <xf numFmtId="165" fontId="47" fillId="0" borderId="1" xfId="0" applyNumberFormat="1" applyFont="1" applyFill="1" applyBorder="1" applyAlignment="1">
      <alignment horizontal="right" vertical="center" wrapText="1"/>
    </xf>
    <xf numFmtId="4" fontId="16" fillId="0" borderId="1" xfId="0" applyNumberFormat="1" applyFont="1" applyFill="1" applyBorder="1" applyAlignment="1">
      <alignment horizontal="right" vertical="center" wrapText="1"/>
    </xf>
    <xf numFmtId="0" fontId="16" fillId="0" borderId="1" xfId="0" applyFont="1" applyFill="1" applyBorder="1" applyAlignment="1">
      <alignment vertical="center"/>
    </xf>
    <xf numFmtId="0" fontId="16" fillId="0" borderId="1" xfId="0" applyFont="1" applyFill="1" applyBorder="1" applyAlignment="1">
      <alignment horizontal="right" vertical="center"/>
    </xf>
    <xf numFmtId="0" fontId="19" fillId="0" borderId="1" xfId="0" applyFont="1" applyFill="1" applyBorder="1" applyAlignment="1">
      <alignment vertical="center"/>
    </xf>
    <xf numFmtId="165" fontId="52" fillId="0" borderId="1" xfId="0" applyNumberFormat="1" applyFont="1" applyFill="1" applyBorder="1" applyAlignment="1">
      <alignment vertical="center"/>
    </xf>
    <xf numFmtId="165" fontId="48" fillId="0" borderId="1" xfId="13" applyNumberFormat="1" applyFont="1" applyFill="1" applyBorder="1" applyAlignment="1" applyProtection="1">
      <alignment horizontal="right" vertical="center" wrapText="1"/>
      <protection hidden="1"/>
    </xf>
    <xf numFmtId="0" fontId="16" fillId="5" borderId="0" xfId="0" applyFont="1" applyFill="1" applyAlignment="1">
      <alignment horizontal="right" vertical="center"/>
    </xf>
    <xf numFmtId="165" fontId="51" fillId="4" borderId="1" xfId="0" applyNumberFormat="1" applyFont="1" applyFill="1" applyBorder="1" applyAlignment="1">
      <alignment horizontal="right" vertical="center" wrapText="1"/>
    </xf>
    <xf numFmtId="49" fontId="52" fillId="5" borderId="7" xfId="0" applyNumberFormat="1" applyFont="1" applyFill="1" applyBorder="1" applyAlignment="1">
      <alignment horizontal="center" vertical="center" wrapText="1"/>
    </xf>
    <xf numFmtId="49" fontId="52" fillId="5" borderId="7" xfId="0" applyNumberFormat="1" applyFont="1" applyFill="1" applyBorder="1" applyAlignment="1">
      <alignment horizontal="justify" vertical="center" wrapText="1"/>
    </xf>
    <xf numFmtId="165" fontId="52" fillId="5" borderId="1" xfId="13" applyNumberFormat="1" applyFont="1" applyFill="1" applyBorder="1" applyAlignment="1" applyProtection="1">
      <alignment horizontal="right" vertical="center" wrapText="1"/>
      <protection hidden="1"/>
    </xf>
    <xf numFmtId="165" fontId="45" fillId="5" borderId="1" xfId="0" applyNumberFormat="1" applyFont="1" applyFill="1" applyBorder="1" applyAlignment="1">
      <alignment horizontal="right" vertical="center" wrapText="1"/>
    </xf>
    <xf numFmtId="164" fontId="45" fillId="0" borderId="0" xfId="20" applyNumberFormat="1" applyFont="1" applyBorder="1" applyAlignment="1">
      <alignment vertical="center"/>
    </xf>
    <xf numFmtId="2" fontId="45" fillId="0" borderId="0" xfId="20" applyNumberFormat="1" applyFont="1" applyBorder="1" applyAlignment="1">
      <alignment vertical="center"/>
    </xf>
    <xf numFmtId="165" fontId="19" fillId="5" borderId="0" xfId="0" applyNumberFormat="1" applyFont="1" applyFill="1" applyAlignment="1">
      <alignment horizontal="right" vertical="center"/>
    </xf>
    <xf numFmtId="165" fontId="52" fillId="5" borderId="1" xfId="0" applyNumberFormat="1" applyFont="1" applyFill="1" applyBorder="1" applyAlignment="1">
      <alignment vertical="center" wrapText="1"/>
    </xf>
    <xf numFmtId="165" fontId="51" fillId="5" borderId="1" xfId="0" applyNumberFormat="1" applyFont="1" applyFill="1" applyBorder="1" applyAlignment="1">
      <alignment vertical="center" wrapText="1"/>
    </xf>
    <xf numFmtId="165" fontId="45" fillId="8" borderId="1" xfId="0" applyNumberFormat="1" applyFont="1" applyFill="1" applyBorder="1" applyAlignment="1">
      <alignment vertical="center" wrapText="1"/>
    </xf>
    <xf numFmtId="165" fontId="51" fillId="0" borderId="1" xfId="0" applyNumberFormat="1" applyFont="1" applyFill="1" applyBorder="1" applyAlignment="1">
      <alignment horizontal="right" vertical="center" wrapText="1"/>
    </xf>
    <xf numFmtId="165" fontId="52" fillId="0" borderId="1" xfId="0" applyNumberFormat="1" applyFont="1" applyFill="1" applyBorder="1" applyAlignment="1">
      <alignment vertical="center" wrapText="1"/>
    </xf>
    <xf numFmtId="165" fontId="51" fillId="0" borderId="1" xfId="0" applyNumberFormat="1" applyFont="1" applyFill="1" applyBorder="1" applyAlignment="1">
      <alignment vertical="center"/>
    </xf>
    <xf numFmtId="171" fontId="16" fillId="5" borderId="0" xfId="0" applyNumberFormat="1" applyFont="1" applyFill="1" applyAlignment="1">
      <alignment vertical="center"/>
    </xf>
    <xf numFmtId="165" fontId="52" fillId="0" borderId="1" xfId="12" applyNumberFormat="1" applyFont="1" applyFill="1" applyBorder="1" applyAlignment="1" applyProtection="1">
      <alignment horizontal="right" vertical="center"/>
      <protection hidden="1"/>
    </xf>
    <xf numFmtId="0" fontId="52" fillId="5" borderId="4" xfId="0" applyNumberFormat="1" applyFont="1" applyFill="1" applyBorder="1" applyAlignment="1">
      <alignment horizontal="left" vertical="center" wrapText="1"/>
    </xf>
    <xf numFmtId="170" fontId="52" fillId="5" borderId="1" xfId="9" applyNumberFormat="1" applyFont="1" applyFill="1" applyBorder="1" applyAlignment="1" applyProtection="1">
      <alignment horizontal="right" vertical="center"/>
      <protection hidden="1"/>
    </xf>
    <xf numFmtId="0" fontId="52" fillId="5" borderId="2" xfId="1" applyNumberFormat="1" applyFont="1" applyFill="1" applyBorder="1" applyAlignment="1" applyProtection="1">
      <alignment horizontal="left" vertical="center" wrapText="1"/>
      <protection hidden="1"/>
    </xf>
    <xf numFmtId="0" fontId="48" fillId="5" borderId="1" xfId="0" applyFont="1" applyFill="1" applyBorder="1" applyAlignment="1">
      <alignment horizontal="justify" vertical="center" wrapText="1"/>
    </xf>
    <xf numFmtId="165" fontId="54" fillId="5" borderId="1" xfId="0" applyNumberFormat="1" applyFont="1" applyFill="1" applyBorder="1" applyAlignment="1">
      <alignment horizontal="right" vertical="center" wrapText="1"/>
    </xf>
    <xf numFmtId="165" fontId="53" fillId="5" borderId="1" xfId="12" applyNumberFormat="1" applyFont="1" applyFill="1" applyBorder="1" applyAlignment="1" applyProtection="1">
      <alignment horizontal="right" vertical="center"/>
      <protection hidden="1"/>
    </xf>
    <xf numFmtId="165" fontId="54" fillId="5" borderId="1" xfId="0" applyNumberFormat="1" applyFont="1" applyFill="1" applyBorder="1" applyAlignment="1">
      <alignment vertical="center"/>
    </xf>
    <xf numFmtId="165" fontId="53" fillId="5" borderId="1" xfId="0" applyNumberFormat="1" applyFont="1" applyFill="1" applyBorder="1" applyAlignment="1">
      <alignment vertical="center"/>
    </xf>
    <xf numFmtId="0" fontId="52" fillId="5" borderId="1" xfId="0" applyFont="1" applyFill="1" applyBorder="1" applyAlignment="1">
      <alignment horizontal="justify" vertical="center" wrapText="1"/>
    </xf>
    <xf numFmtId="4" fontId="52" fillId="5" borderId="1" xfId="0" applyNumberFormat="1" applyFont="1" applyFill="1" applyBorder="1" applyAlignment="1">
      <alignment vertical="center" wrapText="1"/>
    </xf>
    <xf numFmtId="165" fontId="52" fillId="4" borderId="1" xfId="12" applyNumberFormat="1" applyFont="1" applyFill="1" applyBorder="1" applyAlignment="1" applyProtection="1">
      <alignment horizontal="right" vertical="center"/>
      <protection hidden="1"/>
    </xf>
    <xf numFmtId="165" fontId="16" fillId="5" borderId="4" xfId="0" applyNumberFormat="1" applyFont="1" applyFill="1" applyBorder="1" applyAlignment="1">
      <alignment vertical="center"/>
    </xf>
    <xf numFmtId="0" fontId="16" fillId="5" borderId="4" xfId="0" applyFont="1" applyFill="1" applyBorder="1" applyAlignment="1">
      <alignment vertical="center"/>
    </xf>
    <xf numFmtId="165" fontId="51" fillId="5" borderId="7" xfId="0" applyNumberFormat="1" applyFont="1" applyFill="1" applyBorder="1" applyAlignment="1">
      <alignment horizontal="right" vertical="center" wrapText="1"/>
    </xf>
    <xf numFmtId="165" fontId="52" fillId="5" borderId="7" xfId="0" applyNumberFormat="1" applyFont="1" applyFill="1" applyBorder="1" applyAlignment="1">
      <alignment vertical="center" wrapText="1"/>
    </xf>
    <xf numFmtId="4" fontId="52" fillId="5" borderId="7" xfId="0" applyNumberFormat="1" applyFont="1" applyFill="1" applyBorder="1" applyAlignment="1">
      <alignment vertical="center" wrapText="1"/>
    </xf>
    <xf numFmtId="165" fontId="51" fillId="5" borderId="7" xfId="0" applyNumberFormat="1" applyFont="1" applyFill="1" applyBorder="1" applyAlignment="1">
      <alignment vertical="center"/>
    </xf>
    <xf numFmtId="165" fontId="52" fillId="5" borderId="7" xfId="0" applyNumberFormat="1" applyFont="1" applyFill="1" applyBorder="1" applyAlignment="1">
      <alignment vertical="center"/>
    </xf>
    <xf numFmtId="170" fontId="45" fillId="5" borderId="1" xfId="9" applyNumberFormat="1" applyFont="1" applyFill="1" applyBorder="1" applyAlignment="1" applyProtection="1">
      <alignment horizontal="right" vertical="center"/>
      <protection hidden="1"/>
    </xf>
    <xf numFmtId="165" fontId="47" fillId="5" borderId="1" xfId="13" applyNumberFormat="1" applyFont="1" applyFill="1" applyBorder="1" applyAlignment="1" applyProtection="1">
      <alignment horizontal="right" vertical="center" wrapText="1"/>
      <protection hidden="1"/>
    </xf>
    <xf numFmtId="4" fontId="47" fillId="5" borderId="1" xfId="13" applyNumberFormat="1" applyFont="1" applyFill="1" applyBorder="1" applyAlignment="1" applyProtection="1">
      <alignment horizontal="right" vertical="center" wrapText="1"/>
      <protection hidden="1"/>
    </xf>
    <xf numFmtId="165" fontId="46" fillId="0" borderId="1" xfId="0" applyNumberFormat="1" applyFont="1" applyFill="1" applyBorder="1" applyAlignment="1">
      <alignment horizontal="right" vertical="center" wrapText="1"/>
    </xf>
    <xf numFmtId="165" fontId="46" fillId="0" borderId="1" xfId="0" applyNumberFormat="1" applyFont="1" applyFill="1" applyBorder="1" applyAlignment="1">
      <alignment vertical="center"/>
    </xf>
    <xf numFmtId="165" fontId="48" fillId="0" borderId="1" xfId="0" applyNumberFormat="1" applyFont="1" applyFill="1" applyBorder="1" applyAlignment="1">
      <alignment vertical="center"/>
    </xf>
    <xf numFmtId="49" fontId="45" fillId="5" borderId="0" xfId="0" applyNumberFormat="1" applyFont="1" applyFill="1" applyAlignment="1">
      <alignment horizontal="left" vertical="center" wrapText="1"/>
    </xf>
    <xf numFmtId="49" fontId="47" fillId="5" borderId="0" xfId="0" applyNumberFormat="1" applyFont="1" applyFill="1" applyAlignment="1">
      <alignment horizontal="left" vertical="center" wrapText="1"/>
    </xf>
    <xf numFmtId="0" fontId="45" fillId="5" borderId="0" xfId="0" applyFont="1" applyFill="1" applyAlignment="1">
      <alignment vertical="center"/>
    </xf>
    <xf numFmtId="0" fontId="47" fillId="5" borderId="0" xfId="0" applyFont="1" applyFill="1" applyAlignment="1">
      <alignment vertical="center"/>
    </xf>
    <xf numFmtId="165" fontId="47" fillId="0" borderId="1" xfId="0" applyNumberFormat="1" applyFont="1" applyFill="1" applyBorder="1" applyAlignment="1">
      <alignment vertical="center" wrapText="1"/>
    </xf>
    <xf numFmtId="165" fontId="51" fillId="5" borderId="0" xfId="0" applyNumberFormat="1" applyFont="1" applyFill="1" applyBorder="1" applyAlignment="1">
      <alignment vertical="center"/>
    </xf>
    <xf numFmtId="165" fontId="52" fillId="5" borderId="0" xfId="0" applyNumberFormat="1" applyFont="1" applyFill="1" applyBorder="1" applyAlignment="1">
      <alignment vertical="center"/>
    </xf>
    <xf numFmtId="0" fontId="16" fillId="5" borderId="0" xfId="0" applyFont="1" applyFill="1" applyAlignment="1">
      <alignment horizontal="right" vertical="center"/>
    </xf>
    <xf numFmtId="0" fontId="55" fillId="0" borderId="0" xfId="20" applyFont="1" applyBorder="1" applyAlignment="1">
      <alignment vertical="center"/>
    </xf>
    <xf numFmtId="0" fontId="16" fillId="5" borderId="0" xfId="20" applyFont="1" applyFill="1" applyBorder="1" applyAlignment="1">
      <alignment vertical="center"/>
    </xf>
    <xf numFmtId="0" fontId="16" fillId="5" borderId="0" xfId="20" applyFont="1" applyFill="1" applyBorder="1" applyAlignment="1">
      <alignment horizontal="center" vertical="center"/>
    </xf>
    <xf numFmtId="0" fontId="51" fillId="5" borderId="1" xfId="0" applyFont="1" applyFill="1" applyBorder="1" applyAlignment="1">
      <alignment horizontal="center" vertical="center" wrapText="1"/>
    </xf>
    <xf numFmtId="49" fontId="51" fillId="5" borderId="1" xfId="0" applyNumberFormat="1" applyFont="1" applyFill="1" applyBorder="1" applyAlignment="1">
      <alignment horizontal="center" vertical="center" wrapText="1"/>
    </xf>
    <xf numFmtId="49" fontId="53" fillId="5" borderId="6" xfId="0" applyNumberFormat="1" applyFont="1" applyFill="1" applyBorder="1" applyAlignment="1">
      <alignment vertical="center" wrapText="1"/>
    </xf>
    <xf numFmtId="0" fontId="0" fillId="5" borderId="7" xfId="0" applyFont="1" applyFill="1" applyBorder="1" applyAlignment="1"/>
    <xf numFmtId="16" fontId="52" fillId="5" borderId="1" xfId="0" applyNumberFormat="1" applyFont="1" applyFill="1" applyBorder="1" applyAlignment="1">
      <alignment horizontal="center" vertical="center" wrapText="1"/>
    </xf>
    <xf numFmtId="49" fontId="48" fillId="5" borderId="5" xfId="0" applyNumberFormat="1" applyFont="1" applyFill="1" applyBorder="1" applyAlignment="1">
      <alignment horizontal="center" vertical="center" wrapText="1"/>
    </xf>
    <xf numFmtId="0" fontId="48" fillId="5" borderId="1" xfId="0" applyFont="1" applyFill="1" applyBorder="1" applyAlignment="1">
      <alignment horizontal="center" vertical="center" wrapText="1"/>
    </xf>
    <xf numFmtId="0" fontId="52" fillId="5" borderId="0" xfId="0" applyFont="1" applyFill="1" applyAlignment="1">
      <alignment horizontal="right" vertical="center"/>
    </xf>
    <xf numFmtId="0" fontId="53" fillId="5" borderId="1" xfId="19" applyFont="1" applyFill="1" applyBorder="1" applyAlignment="1"/>
    <xf numFmtId="0" fontId="53" fillId="5" borderId="1" xfId="0" applyFont="1" applyFill="1" applyBorder="1" applyAlignment="1">
      <alignment vertical="top" wrapText="1"/>
    </xf>
    <xf numFmtId="165" fontId="49" fillId="0" borderId="1" xfId="0" applyNumberFormat="1" applyFont="1" applyFill="1" applyBorder="1" applyAlignment="1">
      <alignment horizontal="right" vertical="center" wrapText="1"/>
    </xf>
    <xf numFmtId="165" fontId="49" fillId="0" borderId="1" xfId="0" applyNumberFormat="1" applyFont="1" applyFill="1" applyBorder="1" applyAlignment="1">
      <alignment vertical="center"/>
    </xf>
    <xf numFmtId="165" fontId="56" fillId="0" borderId="1" xfId="0" applyNumberFormat="1" applyFont="1" applyFill="1" applyBorder="1" applyAlignment="1">
      <alignment vertical="center"/>
    </xf>
    <xf numFmtId="165" fontId="49" fillId="5" borderId="1" xfId="0" applyNumberFormat="1" applyFont="1" applyFill="1" applyBorder="1" applyAlignment="1">
      <alignment horizontal="right" vertical="center" wrapText="1"/>
    </xf>
    <xf numFmtId="165" fontId="49" fillId="5" borderId="1" xfId="10" applyNumberFormat="1" applyFont="1" applyFill="1" applyBorder="1" applyAlignment="1" applyProtection="1">
      <alignment horizontal="right" vertical="center" wrapText="1"/>
      <protection hidden="1"/>
    </xf>
    <xf numFmtId="165" fontId="49" fillId="5" borderId="1" xfId="0" applyNumberFormat="1" applyFont="1" applyFill="1" applyBorder="1" applyAlignment="1">
      <alignment vertical="center"/>
    </xf>
    <xf numFmtId="165" fontId="56" fillId="5" borderId="1" xfId="0" applyNumberFormat="1" applyFont="1" applyFill="1" applyBorder="1" applyAlignment="1">
      <alignment vertical="center"/>
    </xf>
    <xf numFmtId="165" fontId="56" fillId="5" borderId="1" xfId="12" applyNumberFormat="1" applyFont="1" applyFill="1" applyBorder="1" applyAlignment="1" applyProtection="1">
      <alignment horizontal="right" vertical="center"/>
      <protection hidden="1"/>
    </xf>
    <xf numFmtId="165" fontId="56" fillId="5" borderId="1" xfId="0" applyNumberFormat="1" applyFont="1" applyFill="1" applyBorder="1" applyAlignment="1">
      <alignment vertical="center" wrapText="1"/>
    </xf>
    <xf numFmtId="165" fontId="49" fillId="5" borderId="1" xfId="0" applyNumberFormat="1" applyFont="1" applyFill="1" applyBorder="1" applyAlignment="1">
      <alignment vertical="center" wrapText="1"/>
    </xf>
    <xf numFmtId="4" fontId="49" fillId="5" borderId="1" xfId="0" applyNumberFormat="1" applyFont="1" applyFill="1" applyBorder="1" applyAlignment="1">
      <alignment horizontal="right" vertical="center" wrapText="1"/>
    </xf>
    <xf numFmtId="165" fontId="49" fillId="5" borderId="1" xfId="0" applyNumberFormat="1" applyFont="1" applyFill="1" applyBorder="1" applyAlignment="1">
      <alignment horizontal="right" vertical="center"/>
    </xf>
    <xf numFmtId="165" fontId="56" fillId="5" borderId="1" xfId="0" applyNumberFormat="1" applyFont="1" applyFill="1" applyBorder="1" applyAlignment="1">
      <alignment horizontal="right" vertical="center"/>
    </xf>
    <xf numFmtId="165" fontId="56" fillId="5" borderId="1" xfId="13" applyNumberFormat="1" applyFont="1" applyFill="1" applyBorder="1" applyAlignment="1" applyProtection="1">
      <alignment horizontal="right" vertical="center" wrapText="1"/>
      <protection hidden="1"/>
    </xf>
    <xf numFmtId="4" fontId="56" fillId="5" borderId="1" xfId="0" applyNumberFormat="1" applyFont="1" applyFill="1" applyBorder="1" applyAlignment="1">
      <alignment vertical="center" wrapText="1"/>
    </xf>
    <xf numFmtId="170" fontId="49" fillId="5" borderId="1" xfId="9" applyNumberFormat="1" applyFont="1" applyFill="1" applyBorder="1" applyAlignment="1" applyProtection="1">
      <alignment horizontal="right" vertical="center"/>
      <protection hidden="1"/>
    </xf>
    <xf numFmtId="165" fontId="56" fillId="0" borderId="1" xfId="13" applyNumberFormat="1" applyFont="1" applyFill="1" applyBorder="1" applyAlignment="1" applyProtection="1">
      <alignment horizontal="right" vertical="center" wrapText="1"/>
      <protection hidden="1"/>
    </xf>
    <xf numFmtId="4" fontId="56" fillId="5" borderId="1" xfId="13" applyNumberFormat="1" applyFont="1" applyFill="1" applyBorder="1" applyAlignment="1" applyProtection="1">
      <alignment horizontal="right" vertical="center" wrapText="1"/>
      <protection hidden="1"/>
    </xf>
    <xf numFmtId="49" fontId="49" fillId="5" borderId="0" xfId="0" applyNumberFormat="1" applyFont="1" applyFill="1" applyAlignment="1">
      <alignment horizontal="left" vertical="center" wrapText="1"/>
    </xf>
    <xf numFmtId="49" fontId="56" fillId="5" borderId="0" xfId="0" applyNumberFormat="1" applyFont="1" applyFill="1" applyAlignment="1">
      <alignment horizontal="left" vertical="center" wrapText="1"/>
    </xf>
    <xf numFmtId="0" fontId="49" fillId="5" borderId="0" xfId="0" applyFont="1" applyFill="1" applyAlignment="1">
      <alignment vertical="center"/>
    </xf>
    <xf numFmtId="0" fontId="56" fillId="5" borderId="0" xfId="0" applyFont="1" applyFill="1" applyAlignment="1">
      <alignment vertical="center"/>
    </xf>
    <xf numFmtId="165" fontId="49" fillId="0" borderId="1" xfId="0" applyNumberFormat="1" applyFont="1" applyFill="1" applyBorder="1" applyAlignment="1">
      <alignment horizontal="right" vertical="center"/>
    </xf>
    <xf numFmtId="165" fontId="56" fillId="0" borderId="1" xfId="0" applyNumberFormat="1" applyFont="1" applyFill="1" applyBorder="1" applyAlignment="1">
      <alignment horizontal="right" vertical="center" wrapText="1"/>
    </xf>
    <xf numFmtId="0" fontId="56" fillId="5" borderId="1" xfId="0" applyFont="1" applyFill="1" applyBorder="1" applyAlignment="1">
      <alignment horizontal="center" vertical="center" wrapText="1"/>
    </xf>
    <xf numFmtId="0" fontId="56" fillId="5" borderId="1" xfId="0" applyFont="1" applyFill="1" applyBorder="1" applyAlignment="1">
      <alignment vertical="center" wrapText="1"/>
    </xf>
    <xf numFmtId="49" fontId="56" fillId="5" borderId="1" xfId="0" applyNumberFormat="1" applyFont="1" applyFill="1" applyBorder="1" applyAlignment="1">
      <alignment horizontal="center" vertical="center" wrapText="1"/>
    </xf>
    <xf numFmtId="0" fontId="49" fillId="5" borderId="1" xfId="0" applyFont="1" applyFill="1" applyBorder="1" applyAlignment="1">
      <alignment horizontal="left" vertical="center" wrapText="1"/>
    </xf>
    <xf numFmtId="0" fontId="49" fillId="0" borderId="4" xfId="0" applyNumberFormat="1" applyFont="1" applyFill="1" applyBorder="1" applyAlignment="1">
      <alignment horizontal="left" vertical="center" wrapText="1"/>
    </xf>
    <xf numFmtId="49" fontId="56" fillId="5" borderId="1" xfId="0" applyNumberFormat="1" applyFont="1" applyFill="1" applyBorder="1" applyAlignment="1">
      <alignment vertical="center" wrapText="1"/>
    </xf>
    <xf numFmtId="166" fontId="56" fillId="5" borderId="1" xfId="7" applyNumberFormat="1" applyFont="1" applyFill="1" applyBorder="1" applyAlignment="1" applyProtection="1">
      <alignment vertical="center" wrapText="1"/>
      <protection hidden="1"/>
    </xf>
    <xf numFmtId="0" fontId="56" fillId="5" borderId="1" xfId="0" applyFont="1" applyFill="1" applyBorder="1" applyAlignment="1">
      <alignment horizontal="left" vertical="center" wrapText="1"/>
    </xf>
    <xf numFmtId="166" fontId="56" fillId="0" borderId="1" xfId="13" applyNumberFormat="1" applyFont="1" applyFill="1" applyBorder="1" applyAlignment="1" applyProtection="1">
      <alignment vertical="center" wrapText="1"/>
      <protection hidden="1"/>
    </xf>
    <xf numFmtId="0" fontId="56" fillId="5" borderId="0" xfId="0" applyFont="1" applyFill="1" applyAlignment="1">
      <alignment horizontal="right" vertical="center"/>
    </xf>
    <xf numFmtId="1" fontId="52" fillId="0" borderId="1" xfId="20" applyNumberFormat="1" applyFont="1" applyBorder="1" applyAlignment="1">
      <alignment horizontal="center" vertical="center" textRotation="90" wrapText="1"/>
    </xf>
    <xf numFmtId="0" fontId="47" fillId="0" borderId="4" xfId="20" applyFont="1" applyBorder="1" applyAlignment="1">
      <alignment vertical="center"/>
    </xf>
    <xf numFmtId="0" fontId="58" fillId="14" borderId="1" xfId="0" applyFont="1" applyFill="1" applyBorder="1" applyAlignment="1">
      <alignment vertical="center" wrapText="1"/>
    </xf>
    <xf numFmtId="165" fontId="58" fillId="14" borderId="1" xfId="0" applyNumberFormat="1" applyFont="1" applyFill="1" applyBorder="1" applyAlignment="1">
      <alignment horizontal="right" vertical="center" wrapText="1"/>
    </xf>
    <xf numFmtId="165" fontId="58" fillId="14" borderId="1" xfId="0" applyNumberFormat="1" applyFont="1" applyFill="1" applyBorder="1" applyAlignment="1">
      <alignment vertical="center" wrapText="1"/>
    </xf>
    <xf numFmtId="165" fontId="58" fillId="14" borderId="1" xfId="0" applyNumberFormat="1" applyFont="1" applyFill="1" applyBorder="1" applyAlignment="1">
      <alignment vertical="center"/>
    </xf>
    <xf numFmtId="165" fontId="60" fillId="14" borderId="1" xfId="0" applyNumberFormat="1" applyFont="1" applyFill="1" applyBorder="1" applyAlignment="1">
      <alignment vertical="center"/>
    </xf>
    <xf numFmtId="165" fontId="60" fillId="5" borderId="0" xfId="0" applyNumberFormat="1" applyFont="1" applyFill="1" applyAlignment="1">
      <alignment vertical="center"/>
    </xf>
    <xf numFmtId="0" fontId="60" fillId="0" borderId="0" xfId="0" applyFont="1" applyFill="1" applyAlignment="1">
      <alignment vertical="center"/>
    </xf>
    <xf numFmtId="0" fontId="60" fillId="5" borderId="0" xfId="0" applyFont="1" applyFill="1" applyAlignment="1">
      <alignment vertical="center"/>
    </xf>
    <xf numFmtId="0" fontId="60" fillId="5" borderId="1" xfId="0" applyFont="1" applyFill="1" applyBorder="1" applyAlignment="1">
      <alignment vertical="center" wrapText="1"/>
    </xf>
    <xf numFmtId="0" fontId="58" fillId="6" borderId="1" xfId="0" applyFont="1" applyFill="1" applyBorder="1" applyAlignment="1">
      <alignment vertical="center" wrapText="1"/>
    </xf>
    <xf numFmtId="165" fontId="58" fillId="6" borderId="1" xfId="0" applyNumberFormat="1" applyFont="1" applyFill="1" applyBorder="1" applyAlignment="1">
      <alignment horizontal="right" vertical="center" wrapText="1"/>
    </xf>
    <xf numFmtId="165" fontId="58" fillId="6" borderId="1" xfId="0" applyNumberFormat="1" applyFont="1" applyFill="1" applyBorder="1" applyAlignment="1">
      <alignment horizontal="right" vertical="center"/>
    </xf>
    <xf numFmtId="2" fontId="60" fillId="5" borderId="0" xfId="21" applyNumberFormat="1" applyFont="1" applyFill="1" applyAlignment="1">
      <alignment vertical="center"/>
    </xf>
    <xf numFmtId="165" fontId="60" fillId="6" borderId="1" xfId="0" applyNumberFormat="1" applyFont="1" applyFill="1" applyBorder="1" applyAlignment="1">
      <alignment horizontal="right" vertical="center"/>
    </xf>
    <xf numFmtId="0" fontId="58" fillId="15" borderId="1" xfId="0" applyFont="1" applyFill="1" applyBorder="1" applyAlignment="1">
      <alignment vertical="center" wrapText="1"/>
    </xf>
    <xf numFmtId="165" fontId="58" fillId="15" borderId="1" xfId="0" applyNumberFormat="1" applyFont="1" applyFill="1" applyBorder="1" applyAlignment="1">
      <alignment horizontal="right" vertical="center" wrapText="1"/>
    </xf>
    <xf numFmtId="165" fontId="58" fillId="15" borderId="1" xfId="0" applyNumberFormat="1" applyFont="1" applyFill="1" applyBorder="1" applyAlignment="1">
      <alignment horizontal="right" vertical="center"/>
    </xf>
    <xf numFmtId="165" fontId="60" fillId="15" borderId="1" xfId="0" applyNumberFormat="1" applyFont="1" applyFill="1" applyBorder="1" applyAlignment="1">
      <alignment horizontal="right" vertical="center"/>
    </xf>
    <xf numFmtId="0" fontId="58" fillId="7" borderId="1" xfId="0" applyFont="1" applyFill="1" applyBorder="1" applyAlignment="1">
      <alignment vertical="center" wrapText="1"/>
    </xf>
    <xf numFmtId="165" fontId="58" fillId="7" borderId="1" xfId="0" applyNumberFormat="1" applyFont="1" applyFill="1" applyBorder="1" applyAlignment="1">
      <alignment horizontal="right" vertical="center" wrapText="1"/>
    </xf>
    <xf numFmtId="165" fontId="58" fillId="7" borderId="1" xfId="0" applyNumberFormat="1" applyFont="1" applyFill="1" applyBorder="1" applyAlignment="1">
      <alignment horizontal="right" vertical="center"/>
    </xf>
    <xf numFmtId="165" fontId="60" fillId="7" borderId="1" xfId="0" applyNumberFormat="1" applyFont="1" applyFill="1" applyBorder="1" applyAlignment="1">
      <alignment horizontal="right" vertical="center"/>
    </xf>
    <xf numFmtId="165" fontId="58" fillId="16" borderId="1" xfId="0" applyNumberFormat="1" applyFont="1" applyFill="1" applyBorder="1" applyAlignment="1">
      <alignment horizontal="right" vertical="center" wrapText="1"/>
    </xf>
    <xf numFmtId="165" fontId="58" fillId="16" borderId="1" xfId="0" applyNumberFormat="1" applyFont="1" applyFill="1" applyBorder="1" applyAlignment="1">
      <alignment horizontal="right" vertical="center"/>
    </xf>
    <xf numFmtId="165" fontId="60" fillId="16" borderId="1" xfId="0" applyNumberFormat="1" applyFont="1" applyFill="1" applyBorder="1" applyAlignment="1">
      <alignment horizontal="right" vertical="center"/>
    </xf>
    <xf numFmtId="0" fontId="58" fillId="8" borderId="1" xfId="0" applyFont="1" applyFill="1" applyBorder="1" applyAlignment="1">
      <alignment horizontal="left" vertical="center" wrapText="1"/>
    </xf>
    <xf numFmtId="165" fontId="58" fillId="8" borderId="1" xfId="0" applyNumberFormat="1" applyFont="1" applyFill="1" applyBorder="1" applyAlignment="1">
      <alignment horizontal="right" vertical="center" wrapText="1"/>
    </xf>
    <xf numFmtId="165" fontId="58" fillId="8" borderId="1" xfId="0" applyNumberFormat="1" applyFont="1" applyFill="1" applyBorder="1" applyAlignment="1">
      <alignment vertical="center" wrapText="1"/>
    </xf>
    <xf numFmtId="165" fontId="58" fillId="8" borderId="1" xfId="0" applyNumberFormat="1" applyFont="1" applyFill="1" applyBorder="1" applyAlignment="1">
      <alignment vertical="center"/>
    </xf>
    <xf numFmtId="165" fontId="60" fillId="8" borderId="1" xfId="0" applyNumberFormat="1" applyFont="1" applyFill="1" applyBorder="1" applyAlignment="1">
      <alignment vertical="center"/>
    </xf>
    <xf numFmtId="0" fontId="56" fillId="5" borderId="1" xfId="0" applyFont="1" applyFill="1" applyBorder="1" applyAlignment="1">
      <alignment vertical="top" wrapText="1"/>
    </xf>
    <xf numFmtId="0" fontId="61" fillId="5" borderId="0" xfId="0" applyFont="1" applyFill="1" applyBorder="1" applyAlignment="1">
      <alignment vertical="center" wrapText="1"/>
    </xf>
    <xf numFmtId="0" fontId="61" fillId="5" borderId="0" xfId="0" applyFont="1" applyFill="1" applyAlignment="1">
      <alignment vertical="center"/>
    </xf>
    <xf numFmtId="165" fontId="62" fillId="5" borderId="4" xfId="0" applyNumberFormat="1" applyFont="1" applyFill="1" applyBorder="1" applyAlignment="1">
      <alignment vertical="center"/>
    </xf>
    <xf numFmtId="0" fontId="61" fillId="5" borderId="4" xfId="0" applyFont="1" applyFill="1" applyBorder="1" applyAlignment="1">
      <alignment vertical="center"/>
    </xf>
    <xf numFmtId="165" fontId="61" fillId="5" borderId="4" xfId="0" applyNumberFormat="1" applyFont="1" applyFill="1" applyBorder="1" applyAlignment="1">
      <alignment vertical="center" wrapText="1"/>
    </xf>
    <xf numFmtId="165" fontId="61" fillId="5" borderId="0" xfId="0" applyNumberFormat="1" applyFont="1" applyFill="1" applyBorder="1" applyAlignment="1">
      <alignment vertical="center"/>
    </xf>
    <xf numFmtId="0" fontId="60" fillId="5" borderId="1" xfId="0" applyFont="1" applyFill="1" applyBorder="1" applyAlignment="1">
      <alignment horizontal="center" vertical="center" wrapText="1"/>
    </xf>
    <xf numFmtId="49" fontId="60" fillId="5" borderId="1" xfId="0" applyNumberFormat="1" applyFont="1" applyFill="1" applyBorder="1" applyAlignment="1">
      <alignment horizontal="center" vertical="center" wrapText="1"/>
    </xf>
    <xf numFmtId="0" fontId="58" fillId="14" borderId="1" xfId="0" applyFont="1" applyFill="1" applyBorder="1" applyAlignment="1">
      <alignment vertical="top" wrapText="1"/>
    </xf>
    <xf numFmtId="0" fontId="58" fillId="17" borderId="1" xfId="0" applyFont="1" applyFill="1" applyBorder="1" applyAlignment="1">
      <alignment vertical="center" wrapText="1"/>
    </xf>
    <xf numFmtId="170" fontId="65" fillId="17" borderId="1" xfId="9" applyNumberFormat="1" applyFont="1" applyFill="1" applyBorder="1" applyAlignment="1" applyProtection="1">
      <alignment horizontal="right" vertical="center"/>
      <protection hidden="1"/>
    </xf>
    <xf numFmtId="165" fontId="64" fillId="17" borderId="1" xfId="13" applyNumberFormat="1" applyFont="1" applyFill="1" applyBorder="1" applyAlignment="1" applyProtection="1">
      <alignment horizontal="right" vertical="center" wrapText="1"/>
      <protection hidden="1"/>
    </xf>
    <xf numFmtId="165" fontId="65" fillId="17" borderId="1" xfId="0" applyNumberFormat="1" applyFont="1" applyFill="1" applyBorder="1" applyAlignment="1">
      <alignment horizontal="right" vertical="center" wrapText="1"/>
    </xf>
    <xf numFmtId="165" fontId="65" fillId="17" borderId="1" xfId="0" applyNumberFormat="1" applyFont="1" applyFill="1" applyBorder="1" applyAlignment="1">
      <alignment vertical="center"/>
    </xf>
    <xf numFmtId="165" fontId="64" fillId="17" borderId="1" xfId="0" applyNumberFormat="1" applyFont="1" applyFill="1" applyBorder="1" applyAlignment="1">
      <alignment vertical="center"/>
    </xf>
    <xf numFmtId="0" fontId="16" fillId="5" borderId="0" xfId="0" applyFont="1" applyFill="1" applyAlignment="1">
      <alignment horizontal="right" vertical="center"/>
    </xf>
    <xf numFmtId="0" fontId="56" fillId="5" borderId="5" xfId="0" applyFont="1" applyFill="1" applyBorder="1" applyAlignment="1">
      <alignment vertical="center" wrapText="1"/>
    </xf>
    <xf numFmtId="166" fontId="56" fillId="5" borderId="1" xfId="12" applyNumberFormat="1" applyFont="1" applyFill="1" applyBorder="1" applyAlignment="1" applyProtection="1">
      <alignment vertical="center" wrapText="1"/>
      <protection hidden="1"/>
    </xf>
    <xf numFmtId="0" fontId="56" fillId="5" borderId="1" xfId="0" applyNumberFormat="1" applyFont="1" applyFill="1" applyBorder="1" applyAlignment="1">
      <alignment horizontal="justify" vertical="center" wrapText="1"/>
    </xf>
    <xf numFmtId="0" fontId="58" fillId="5" borderId="1" xfId="0" applyFont="1" applyFill="1" applyBorder="1" applyAlignment="1">
      <alignment horizontal="center" vertical="center" wrapText="1"/>
    </xf>
    <xf numFmtId="165" fontId="58" fillId="5" borderId="0" xfId="0" applyNumberFormat="1" applyFont="1" applyFill="1" applyAlignment="1">
      <alignment vertical="center"/>
    </xf>
    <xf numFmtId="0" fontId="58" fillId="5" borderId="0" xfId="0" applyFont="1" applyFill="1" applyAlignment="1">
      <alignment vertical="center"/>
    </xf>
    <xf numFmtId="170" fontId="58" fillId="14" borderId="1" xfId="9" applyNumberFormat="1" applyFont="1" applyFill="1" applyBorder="1" applyAlignment="1" applyProtection="1">
      <alignment horizontal="right" vertical="center"/>
      <protection hidden="1"/>
    </xf>
    <xf numFmtId="165" fontId="58" fillId="14" borderId="1" xfId="13" applyNumberFormat="1" applyFont="1" applyFill="1" applyBorder="1" applyAlignment="1" applyProtection="1">
      <alignment horizontal="right" vertical="center" wrapText="1"/>
      <protection hidden="1"/>
    </xf>
    <xf numFmtId="0" fontId="58" fillId="16" borderId="1" xfId="0" applyFont="1" applyFill="1" applyBorder="1" applyAlignment="1">
      <alignment horizontal="left" vertical="center" wrapText="1"/>
    </xf>
    <xf numFmtId="0" fontId="56" fillId="5" borderId="2" xfId="3" applyNumberFormat="1" applyFont="1" applyFill="1" applyBorder="1" applyAlignment="1" applyProtection="1">
      <alignment horizontal="left" vertical="center" wrapText="1"/>
      <protection hidden="1"/>
    </xf>
    <xf numFmtId="165" fontId="56" fillId="5" borderId="1" xfId="0" applyNumberFormat="1" applyFont="1" applyFill="1" applyBorder="1" applyAlignment="1">
      <alignment horizontal="right" vertical="center" wrapText="1"/>
    </xf>
    <xf numFmtId="166" fontId="49" fillId="5" borderId="4" xfId="6" applyNumberFormat="1" applyFont="1" applyFill="1" applyBorder="1" applyAlignment="1" applyProtection="1">
      <alignment vertical="center" wrapText="1"/>
      <protection hidden="1"/>
    </xf>
    <xf numFmtId="0" fontId="56" fillId="5" borderId="9" xfId="0" applyNumberFormat="1" applyFont="1" applyFill="1" applyBorder="1" applyAlignment="1">
      <alignment horizontal="left" vertical="center" wrapText="1"/>
    </xf>
    <xf numFmtId="0" fontId="56" fillId="0" borderId="4" xfId="0" applyNumberFormat="1" applyFont="1" applyFill="1" applyBorder="1" applyAlignment="1">
      <alignment horizontal="left" vertical="center" wrapText="1"/>
    </xf>
    <xf numFmtId="0" fontId="56" fillId="5" borderId="4" xfId="0" applyNumberFormat="1" applyFont="1" applyFill="1" applyBorder="1" applyAlignment="1">
      <alignment horizontal="left" vertical="center" wrapText="1"/>
    </xf>
    <xf numFmtId="0" fontId="56" fillId="5" borderId="1" xfId="3" applyNumberFormat="1" applyFont="1" applyFill="1" applyBorder="1" applyAlignment="1" applyProtection="1">
      <alignment horizontal="left" vertical="center" wrapText="1"/>
      <protection hidden="1"/>
    </xf>
    <xf numFmtId="4" fontId="56" fillId="5" borderId="1" xfId="0" applyNumberFormat="1" applyFont="1" applyFill="1" applyBorder="1" applyAlignment="1">
      <alignment horizontal="right" vertical="center" wrapText="1"/>
    </xf>
    <xf numFmtId="166" fontId="56" fillId="0" borderId="1" xfId="6" applyNumberFormat="1" applyFont="1" applyFill="1" applyBorder="1" applyAlignment="1" applyProtection="1">
      <alignment vertical="center" wrapText="1"/>
      <protection hidden="1"/>
    </xf>
    <xf numFmtId="165" fontId="56" fillId="0" borderId="1" xfId="0" applyNumberFormat="1" applyFont="1" applyFill="1" applyBorder="1" applyAlignment="1">
      <alignment vertical="center" wrapText="1"/>
    </xf>
    <xf numFmtId="166" fontId="56" fillId="5" borderId="1" xfId="8" applyNumberFormat="1" applyFont="1" applyFill="1" applyBorder="1" applyAlignment="1" applyProtection="1">
      <alignment vertical="center" wrapText="1"/>
      <protection hidden="1"/>
    </xf>
    <xf numFmtId="49" fontId="56" fillId="5" borderId="5" xfId="0" applyNumberFormat="1" applyFont="1" applyFill="1" applyBorder="1" applyAlignment="1">
      <alignment horizontal="center" vertical="center" wrapText="1"/>
    </xf>
    <xf numFmtId="0" fontId="56" fillId="5" borderId="1" xfId="0" applyFont="1" applyFill="1" applyBorder="1" applyAlignment="1">
      <alignment horizontal="justify" vertical="center" wrapText="1"/>
    </xf>
    <xf numFmtId="49" fontId="56" fillId="5" borderId="1" xfId="0" applyNumberFormat="1" applyFont="1" applyFill="1" applyBorder="1" applyAlignment="1">
      <alignment horizontal="justify" vertical="center" wrapText="1"/>
    </xf>
    <xf numFmtId="49" fontId="56" fillId="5" borderId="7" xfId="0" applyNumberFormat="1" applyFont="1" applyFill="1" applyBorder="1" applyAlignment="1">
      <alignment horizontal="center" vertical="center" wrapText="1"/>
    </xf>
    <xf numFmtId="49" fontId="56" fillId="5" borderId="7" xfId="0" applyNumberFormat="1" applyFont="1" applyFill="1" applyBorder="1" applyAlignment="1">
      <alignment horizontal="justify" vertical="center" wrapText="1"/>
    </xf>
    <xf numFmtId="165" fontId="49" fillId="5" borderId="7" xfId="0" applyNumberFormat="1" applyFont="1" applyFill="1" applyBorder="1" applyAlignment="1">
      <alignment horizontal="right" vertical="center" wrapText="1"/>
    </xf>
    <xf numFmtId="165" fontId="56" fillId="5" borderId="7" xfId="0" applyNumberFormat="1" applyFont="1" applyFill="1" applyBorder="1" applyAlignment="1">
      <alignment vertical="center" wrapText="1"/>
    </xf>
    <xf numFmtId="4" fontId="56" fillId="5" borderId="7" xfId="0" applyNumberFormat="1" applyFont="1" applyFill="1" applyBorder="1" applyAlignment="1">
      <alignment vertical="center" wrapText="1"/>
    </xf>
    <xf numFmtId="165" fontId="49" fillId="5" borderId="7" xfId="0" applyNumberFormat="1" applyFont="1" applyFill="1" applyBorder="1" applyAlignment="1">
      <alignment vertical="center"/>
    </xf>
    <xf numFmtId="165" fontId="56" fillId="5" borderId="7" xfId="0" applyNumberFormat="1" applyFont="1" applyFill="1" applyBorder="1" applyAlignment="1">
      <alignment vertical="center"/>
    </xf>
    <xf numFmtId="49" fontId="56" fillId="5" borderId="2" xfId="0" applyNumberFormat="1" applyFont="1" applyFill="1" applyBorder="1" applyAlignment="1">
      <alignment vertical="center" wrapText="1"/>
    </xf>
    <xf numFmtId="0" fontId="56" fillId="5" borderId="2" xfId="1" applyNumberFormat="1" applyFont="1" applyFill="1" applyBorder="1" applyAlignment="1" applyProtection="1">
      <alignment horizontal="left" vertical="center" wrapText="1"/>
      <protection hidden="1"/>
    </xf>
    <xf numFmtId="49" fontId="56" fillId="5" borderId="6" xfId="0" applyNumberFormat="1" applyFont="1" applyFill="1" applyBorder="1" applyAlignment="1">
      <alignment horizontal="center" vertical="center" wrapText="1"/>
    </xf>
    <xf numFmtId="0" fontId="56" fillId="5" borderId="1" xfId="9" applyNumberFormat="1" applyFont="1" applyFill="1" applyBorder="1" applyAlignment="1" applyProtection="1">
      <alignment horizontal="left" vertical="center" wrapText="1"/>
      <protection hidden="1"/>
    </xf>
    <xf numFmtId="170" fontId="56" fillId="5" borderId="1" xfId="9" applyNumberFormat="1" applyFont="1" applyFill="1" applyBorder="1" applyAlignment="1" applyProtection="1">
      <alignment horizontal="right" vertical="center"/>
      <protection hidden="1"/>
    </xf>
    <xf numFmtId="0" fontId="56" fillId="5" borderId="2" xfId="0" applyNumberFormat="1" applyFont="1" applyFill="1" applyBorder="1" applyAlignment="1">
      <alignment vertical="center" wrapText="1"/>
    </xf>
    <xf numFmtId="0" fontId="56" fillId="5" borderId="1" xfId="0" applyNumberFormat="1" applyFont="1" applyFill="1" applyBorder="1" applyAlignment="1">
      <alignment vertical="center" wrapText="1"/>
    </xf>
    <xf numFmtId="49" fontId="49" fillId="5" borderId="1" xfId="0" applyNumberFormat="1" applyFont="1" applyFill="1" applyBorder="1" applyAlignment="1">
      <alignment horizontal="center" vertical="center" wrapText="1"/>
    </xf>
    <xf numFmtId="165" fontId="9" fillId="5" borderId="0" xfId="0" applyNumberFormat="1" applyFont="1" applyFill="1" applyAlignment="1">
      <alignment vertical="center"/>
    </xf>
    <xf numFmtId="0" fontId="19" fillId="0" borderId="0" xfId="0" applyFont="1" applyFill="1" applyAlignment="1">
      <alignment vertical="center"/>
    </xf>
    <xf numFmtId="165" fontId="60" fillId="0" borderId="0" xfId="0" applyNumberFormat="1" applyFont="1" applyFill="1" applyAlignment="1">
      <alignment vertical="center"/>
    </xf>
    <xf numFmtId="165" fontId="49" fillId="14" borderId="1" xfId="0" applyNumberFormat="1" applyFont="1" applyFill="1" applyBorder="1" applyAlignment="1">
      <alignment horizontal="right" vertical="center" wrapText="1"/>
    </xf>
    <xf numFmtId="165" fontId="56" fillId="14" borderId="1" xfId="12" applyNumberFormat="1" applyFont="1" applyFill="1" applyBorder="1" applyAlignment="1" applyProtection="1">
      <alignment horizontal="right" vertical="center"/>
      <protection hidden="1"/>
    </xf>
    <xf numFmtId="165" fontId="56" fillId="14" borderId="1" xfId="0" applyNumberFormat="1" applyFont="1" applyFill="1" applyBorder="1" applyAlignment="1">
      <alignment vertical="center" wrapText="1"/>
    </xf>
    <xf numFmtId="165" fontId="56" fillId="4" borderId="1" xfId="0" applyNumberFormat="1" applyFont="1" applyFill="1" applyBorder="1" applyAlignment="1">
      <alignment vertical="center" wrapText="1"/>
    </xf>
    <xf numFmtId="165" fontId="56" fillId="4" borderId="1" xfId="12" applyNumberFormat="1" applyFont="1" applyFill="1" applyBorder="1" applyAlignment="1" applyProtection="1">
      <alignment horizontal="right" vertical="center"/>
      <protection hidden="1"/>
    </xf>
    <xf numFmtId="165" fontId="56" fillId="4" borderId="7" xfId="0" applyNumberFormat="1" applyFont="1" applyFill="1" applyBorder="1" applyAlignment="1">
      <alignment vertical="center" wrapText="1"/>
    </xf>
    <xf numFmtId="165" fontId="137" fillId="5" borderId="1" xfId="0" applyNumberFormat="1" applyFont="1" applyFill="1" applyBorder="1" applyAlignment="1">
      <alignment horizontal="right" vertical="center" wrapText="1"/>
    </xf>
    <xf numFmtId="0" fontId="16" fillId="5" borderId="0" xfId="0" applyFont="1" applyFill="1" applyAlignment="1">
      <alignment horizontal="right" vertical="center"/>
    </xf>
    <xf numFmtId="0" fontId="56" fillId="5" borderId="5" xfId="0" applyFont="1" applyFill="1" applyBorder="1" applyAlignment="1">
      <alignment vertical="center" wrapText="1"/>
    </xf>
    <xf numFmtId="49" fontId="56" fillId="5" borderId="6" xfId="0" applyNumberFormat="1" applyFont="1" applyFill="1" applyBorder="1" applyAlignment="1">
      <alignment horizontal="center" vertical="center" wrapText="1"/>
    </xf>
    <xf numFmtId="49" fontId="56" fillId="5" borderId="7" xfId="0" applyNumberFormat="1" applyFont="1" applyFill="1" applyBorder="1" applyAlignment="1">
      <alignment horizontal="center" vertical="center" wrapText="1"/>
    </xf>
    <xf numFmtId="165" fontId="59" fillId="0" borderId="1" xfId="0" applyNumberFormat="1" applyFont="1" applyFill="1" applyBorder="1" applyAlignment="1">
      <alignment horizontal="right" vertical="center" wrapText="1"/>
    </xf>
    <xf numFmtId="165" fontId="55" fillId="5" borderId="1" xfId="13" applyNumberFormat="1" applyFont="1" applyFill="1" applyBorder="1" applyAlignment="1" applyProtection="1">
      <alignment horizontal="right" vertical="center" wrapText="1"/>
      <protection hidden="1"/>
    </xf>
    <xf numFmtId="165" fontId="55" fillId="0" borderId="1" xfId="13" applyNumberFormat="1" applyFont="1" applyFill="1" applyBorder="1" applyAlignment="1" applyProtection="1">
      <alignment horizontal="right" vertical="center" wrapText="1"/>
      <protection hidden="1"/>
    </xf>
    <xf numFmtId="165" fontId="59" fillId="5" borderId="1" xfId="0" applyNumberFormat="1" applyFont="1" applyFill="1" applyBorder="1" applyAlignment="1">
      <alignment horizontal="right" vertical="center" wrapText="1"/>
    </xf>
    <xf numFmtId="165" fontId="59" fillId="5" borderId="1" xfId="0" applyNumberFormat="1" applyFont="1" applyFill="1" applyBorder="1" applyAlignment="1">
      <alignment vertical="center"/>
    </xf>
    <xf numFmtId="165" fontId="55" fillId="5" borderId="1" xfId="0" applyNumberFormat="1" applyFont="1" applyFill="1" applyBorder="1" applyAlignment="1">
      <alignment vertical="center"/>
    </xf>
    <xf numFmtId="0" fontId="55" fillId="5" borderId="1" xfId="0" applyFont="1" applyFill="1" applyBorder="1" applyAlignment="1">
      <alignment horizontal="left" vertical="center" wrapText="1"/>
    </xf>
    <xf numFmtId="0" fontId="16" fillId="5" borderId="0" xfId="0" applyFont="1" applyFill="1" applyAlignment="1">
      <alignment horizontal="right" vertical="center"/>
    </xf>
    <xf numFmtId="0" fontId="0" fillId="0" borderId="0" xfId="0" applyNumberFormat="1" applyFont="1" applyBorder="1" applyAlignment="1">
      <alignment vertical="center"/>
    </xf>
    <xf numFmtId="1" fontId="52" fillId="0" borderId="7" xfId="20" applyNumberFormat="1" applyFont="1" applyBorder="1" applyAlignment="1">
      <alignment horizontal="center" vertical="center" textRotation="90" wrapText="1"/>
    </xf>
    <xf numFmtId="168" fontId="56" fillId="5" borderId="1" xfId="21" applyNumberFormat="1" applyFont="1" applyFill="1" applyBorder="1" applyAlignment="1">
      <alignment vertical="center" wrapText="1"/>
    </xf>
    <xf numFmtId="172" fontId="56" fillId="5" borderId="1" xfId="21" applyNumberFormat="1" applyFont="1" applyFill="1" applyBorder="1" applyAlignment="1">
      <alignment vertical="center" wrapText="1"/>
    </xf>
    <xf numFmtId="165" fontId="49" fillId="18" borderId="1" xfId="0" applyNumberFormat="1" applyFont="1" applyFill="1" applyBorder="1" applyAlignment="1">
      <alignment horizontal="right" vertical="center" wrapText="1"/>
    </xf>
    <xf numFmtId="165" fontId="49" fillId="19" borderId="1" xfId="0" applyNumberFormat="1" applyFont="1" applyFill="1" applyBorder="1" applyAlignment="1">
      <alignment horizontal="right" vertical="center" wrapText="1"/>
    </xf>
    <xf numFmtId="165" fontId="75" fillId="5" borderId="0" xfId="0" applyNumberFormat="1" applyFont="1" applyFill="1" applyAlignment="1">
      <alignment horizontal="right" vertical="center"/>
    </xf>
    <xf numFmtId="0" fontId="80" fillId="5" borderId="0" xfId="0" applyFont="1" applyFill="1" applyAlignment="1">
      <alignment horizontal="right" vertical="center"/>
    </xf>
    <xf numFmtId="1" fontId="80" fillId="0" borderId="0" xfId="20" applyNumberFormat="1" applyFont="1" applyBorder="1" applyAlignment="1">
      <alignment vertical="center"/>
    </xf>
    <xf numFmtId="0" fontId="80" fillId="0" borderId="0" xfId="20" applyFont="1" applyBorder="1" applyAlignment="1">
      <alignment horizontal="center" vertical="center"/>
    </xf>
    <xf numFmtId="1" fontId="138" fillId="0" borderId="1" xfId="20" applyNumberFormat="1" applyFont="1" applyBorder="1" applyAlignment="1">
      <alignment horizontal="center" vertical="center" textRotation="90" wrapText="1"/>
    </xf>
    <xf numFmtId="165" fontId="139" fillId="5" borderId="1" xfId="0" applyNumberFormat="1" applyFont="1" applyFill="1" applyBorder="1" applyAlignment="1">
      <alignment vertical="center" wrapText="1"/>
    </xf>
    <xf numFmtId="172" fontId="139" fillId="5" borderId="1" xfId="21" applyNumberFormat="1" applyFont="1" applyFill="1" applyBorder="1" applyAlignment="1">
      <alignment vertical="center" wrapText="1"/>
    </xf>
    <xf numFmtId="0" fontId="80" fillId="5" borderId="0" xfId="0" applyFont="1" applyFill="1" applyAlignment="1">
      <alignment vertical="center"/>
    </xf>
    <xf numFmtId="165" fontId="56" fillId="20" borderId="1" xfId="0" applyNumberFormat="1" applyFont="1" applyFill="1" applyBorder="1" applyAlignment="1">
      <alignment horizontal="center" vertical="center" wrapText="1"/>
    </xf>
    <xf numFmtId="165" fontId="49" fillId="20" borderId="1" xfId="0" applyNumberFormat="1" applyFont="1" applyFill="1" applyBorder="1" applyAlignment="1">
      <alignment horizontal="center" vertical="center" wrapText="1"/>
    </xf>
    <xf numFmtId="4" fontId="19" fillId="5" borderId="0" xfId="0" applyNumberFormat="1" applyFont="1" applyFill="1" applyAlignment="1">
      <alignment horizontal="right" vertical="center"/>
    </xf>
    <xf numFmtId="4" fontId="16" fillId="5" borderId="0" xfId="0" applyNumberFormat="1" applyFont="1" applyFill="1" applyAlignment="1">
      <alignment horizontal="right" vertical="center"/>
    </xf>
    <xf numFmtId="4" fontId="16" fillId="0" borderId="0" xfId="20" applyNumberFormat="1" applyFont="1" applyBorder="1" applyAlignment="1">
      <alignment vertical="center"/>
    </xf>
    <xf numFmtId="4" fontId="16" fillId="0" borderId="0" xfId="20" applyNumberFormat="1" applyFont="1" applyBorder="1" applyAlignment="1">
      <alignment horizontal="center" vertical="center"/>
    </xf>
    <xf numFmtId="4" fontId="52" fillId="0" borderId="1" xfId="20" applyNumberFormat="1" applyFont="1" applyBorder="1" applyAlignment="1">
      <alignment horizontal="center" vertical="center" textRotation="90" wrapText="1"/>
    </xf>
    <xf numFmtId="4" fontId="16" fillId="5" borderId="0" xfId="0" applyNumberFormat="1" applyFont="1" applyFill="1" applyAlignment="1">
      <alignment vertical="center"/>
    </xf>
    <xf numFmtId="4" fontId="56" fillId="5" borderId="0" xfId="0" applyNumberFormat="1" applyFont="1" applyFill="1" applyAlignment="1">
      <alignment vertical="center"/>
    </xf>
    <xf numFmtId="2" fontId="49" fillId="5" borderId="0" xfId="0" applyNumberFormat="1" applyFont="1" applyFill="1" applyAlignment="1">
      <alignment vertical="center"/>
    </xf>
    <xf numFmtId="2" fontId="60" fillId="5" borderId="0" xfId="0" applyNumberFormat="1" applyFont="1" applyFill="1" applyAlignment="1">
      <alignment vertical="center"/>
    </xf>
    <xf numFmtId="173" fontId="56" fillId="5" borderId="0" xfId="0" applyNumberFormat="1" applyFont="1" applyFill="1" applyAlignment="1">
      <alignment vertical="center"/>
    </xf>
    <xf numFmtId="173" fontId="16" fillId="5" borderId="0" xfId="0" applyNumberFormat="1" applyFont="1" applyFill="1" applyAlignment="1">
      <alignment vertical="center"/>
    </xf>
    <xf numFmtId="4" fontId="49" fillId="18" borderId="1" xfId="0" applyNumberFormat="1" applyFont="1" applyFill="1" applyBorder="1" applyAlignment="1">
      <alignment horizontal="right" vertical="center" wrapText="1"/>
    </xf>
    <xf numFmtId="165" fontId="56" fillId="5" borderId="1" xfId="21" applyNumberFormat="1" applyFont="1" applyFill="1" applyBorder="1" applyAlignment="1">
      <alignment vertical="center" wrapText="1"/>
    </xf>
    <xf numFmtId="4" fontId="139" fillId="5" borderId="1" xfId="0" applyNumberFormat="1" applyFont="1" applyFill="1" applyBorder="1" applyAlignment="1">
      <alignment vertical="center" wrapText="1"/>
    </xf>
    <xf numFmtId="4" fontId="137" fillId="5" borderId="1" xfId="0" applyNumberFormat="1" applyFont="1" applyFill="1" applyBorder="1" applyAlignment="1">
      <alignment horizontal="right" vertical="center" wrapText="1"/>
    </xf>
    <xf numFmtId="0" fontId="59" fillId="0" borderId="0" xfId="20" applyFont="1" applyBorder="1" applyAlignment="1">
      <alignment vertical="center"/>
    </xf>
    <xf numFmtId="0" fontId="58" fillId="19" borderId="1" xfId="0" applyFont="1" applyFill="1" applyBorder="1" applyAlignment="1">
      <alignment vertical="center" wrapText="1"/>
    </xf>
    <xf numFmtId="165" fontId="58" fillId="19" borderId="1" xfId="0" applyNumberFormat="1" applyFont="1" applyFill="1" applyBorder="1" applyAlignment="1">
      <alignment horizontal="right" vertical="center" wrapText="1"/>
    </xf>
    <xf numFmtId="165" fontId="58" fillId="19" borderId="1" xfId="0" applyNumberFormat="1" applyFont="1" applyFill="1" applyBorder="1" applyAlignment="1">
      <alignment horizontal="right" vertical="center"/>
    </xf>
    <xf numFmtId="165" fontId="60" fillId="19" borderId="1" xfId="0" applyNumberFormat="1" applyFont="1" applyFill="1" applyBorder="1" applyAlignment="1">
      <alignment horizontal="right" vertical="center"/>
    </xf>
    <xf numFmtId="0" fontId="58" fillId="10" borderId="1" xfId="0" applyFont="1" applyFill="1" applyBorder="1" applyAlignment="1">
      <alignment vertical="center" wrapText="1"/>
    </xf>
    <xf numFmtId="165" fontId="58" fillId="10" borderId="1" xfId="0" applyNumberFormat="1" applyFont="1" applyFill="1" applyBorder="1" applyAlignment="1">
      <alignment horizontal="right" vertical="center" wrapText="1"/>
    </xf>
    <xf numFmtId="165" fontId="58" fillId="10" borderId="1" xfId="0" applyNumberFormat="1" applyFont="1" applyFill="1" applyBorder="1" applyAlignment="1">
      <alignment vertical="center" wrapText="1"/>
    </xf>
    <xf numFmtId="165" fontId="58" fillId="10" borderId="1" xfId="0" applyNumberFormat="1" applyFont="1" applyFill="1" applyBorder="1" applyAlignment="1">
      <alignment vertical="center"/>
    </xf>
    <xf numFmtId="0" fontId="58" fillId="10" borderId="1" xfId="0" applyFont="1" applyFill="1" applyBorder="1" applyAlignment="1">
      <alignment vertical="top" wrapText="1"/>
    </xf>
    <xf numFmtId="170" fontId="58" fillId="10" borderId="1" xfId="9" applyNumberFormat="1" applyFont="1" applyFill="1" applyBorder="1" applyAlignment="1" applyProtection="1">
      <alignment horizontal="right" vertical="center"/>
      <protection hidden="1"/>
    </xf>
    <xf numFmtId="165" fontId="58" fillId="10" borderId="1" xfId="13" applyNumberFormat="1" applyFont="1" applyFill="1" applyBorder="1" applyAlignment="1" applyProtection="1">
      <alignment horizontal="right" vertical="center" wrapText="1"/>
      <protection hidden="1"/>
    </xf>
    <xf numFmtId="0" fontId="59" fillId="0" borderId="0" xfId="20" applyFont="1" applyBorder="1" applyAlignment="1">
      <alignment horizontal="center" vertical="center"/>
    </xf>
    <xf numFmtId="0" fontId="52" fillId="0" borderId="0" xfId="20" applyFont="1" applyBorder="1" applyAlignment="1">
      <alignment horizontal="center" vertical="center"/>
    </xf>
    <xf numFmtId="0" fontId="51" fillId="0" borderId="0" xfId="20" applyFont="1" applyBorder="1" applyAlignment="1">
      <alignment horizontal="center" vertical="center"/>
    </xf>
    <xf numFmtId="0" fontId="52" fillId="0" borderId="0" xfId="20" applyFont="1" applyFill="1" applyBorder="1" applyAlignment="1">
      <alignment horizontal="center" vertical="center"/>
    </xf>
    <xf numFmtId="165" fontId="51" fillId="0" borderId="0" xfId="20" applyNumberFormat="1" applyFont="1" applyBorder="1" applyAlignment="1">
      <alignment horizontal="center" vertical="center"/>
    </xf>
    <xf numFmtId="0" fontId="52" fillId="0" borderId="4" xfId="20" applyFont="1" applyBorder="1" applyAlignment="1">
      <alignment vertical="center"/>
    </xf>
    <xf numFmtId="0" fontId="52" fillId="0" borderId="0" xfId="20" applyFont="1" applyBorder="1" applyAlignment="1">
      <alignment vertical="center"/>
    </xf>
    <xf numFmtId="165" fontId="59" fillId="0" borderId="0" xfId="20" applyNumberFormat="1" applyFont="1" applyBorder="1" applyAlignment="1">
      <alignment horizontal="center" vertical="center"/>
    </xf>
    <xf numFmtId="165" fontId="56" fillId="0" borderId="0" xfId="0" applyNumberFormat="1" applyFont="1" applyFill="1" applyAlignment="1">
      <alignment vertical="center"/>
    </xf>
    <xf numFmtId="166" fontId="56" fillId="5" borderId="1" xfId="6" applyNumberFormat="1" applyFont="1" applyFill="1" applyBorder="1" applyAlignment="1" applyProtection="1">
      <alignment vertical="center" wrapText="1"/>
      <protection hidden="1"/>
    </xf>
    <xf numFmtId="165" fontId="56" fillId="5" borderId="0" xfId="0" applyNumberFormat="1" applyFont="1" applyFill="1" applyAlignment="1">
      <alignment vertical="center"/>
    </xf>
    <xf numFmtId="4" fontId="56" fillId="5" borderId="1" xfId="12" applyNumberFormat="1" applyFont="1" applyFill="1" applyBorder="1" applyAlignment="1" applyProtection="1">
      <alignment horizontal="right" vertical="center"/>
      <protection hidden="1"/>
    </xf>
    <xf numFmtId="4" fontId="56" fillId="5" borderId="1" xfId="0" applyNumberFormat="1" applyFont="1" applyFill="1" applyBorder="1" applyAlignment="1">
      <alignment vertical="center"/>
    </xf>
    <xf numFmtId="0" fontId="52" fillId="0" borderId="1" xfId="0" applyFont="1" applyFill="1" applyBorder="1" applyAlignment="1">
      <alignment vertical="center"/>
    </xf>
    <xf numFmtId="0" fontId="52" fillId="5" borderId="1" xfId="0" applyFont="1" applyFill="1" applyBorder="1" applyAlignment="1">
      <alignment vertical="center"/>
    </xf>
    <xf numFmtId="0" fontId="59" fillId="5" borderId="0" xfId="20" applyFont="1" applyFill="1" applyBorder="1" applyAlignment="1">
      <alignment horizontal="center" vertical="center"/>
    </xf>
    <xf numFmtId="0" fontId="52" fillId="5" borderId="0" xfId="20" applyFont="1" applyFill="1" applyBorder="1" applyAlignment="1">
      <alignment horizontal="center" vertical="center"/>
    </xf>
    <xf numFmtId="166" fontId="49" fillId="5" borderId="1" xfId="6" applyNumberFormat="1" applyFont="1" applyFill="1" applyBorder="1" applyAlignment="1" applyProtection="1">
      <alignment vertical="center" wrapText="1"/>
      <protection hidden="1"/>
    </xf>
    <xf numFmtId="0" fontId="56" fillId="5" borderId="1" xfId="0" applyNumberFormat="1" applyFont="1" applyFill="1" applyBorder="1" applyAlignment="1">
      <alignment horizontal="left" vertical="center" wrapText="1"/>
    </xf>
    <xf numFmtId="0" fontId="49"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wrapText="1"/>
    </xf>
    <xf numFmtId="0" fontId="56" fillId="5" borderId="1" xfId="1" applyNumberFormat="1" applyFont="1" applyFill="1" applyBorder="1" applyAlignment="1" applyProtection="1">
      <alignment horizontal="left" vertical="center" wrapText="1"/>
      <protection hidden="1"/>
    </xf>
    <xf numFmtId="49" fontId="56" fillId="5" borderId="1" xfId="0" applyNumberFormat="1" applyFont="1" applyFill="1" applyBorder="1" applyAlignment="1">
      <alignment horizontal="left" vertical="center" wrapText="1"/>
    </xf>
    <xf numFmtId="49" fontId="49" fillId="5" borderId="1" xfId="0" applyNumberFormat="1" applyFont="1" applyFill="1" applyBorder="1" applyAlignment="1">
      <alignment horizontal="left" vertical="center" wrapText="1"/>
    </xf>
    <xf numFmtId="0" fontId="49" fillId="5" borderId="1" xfId="0" applyFont="1" applyFill="1" applyBorder="1" applyAlignment="1">
      <alignment vertical="center"/>
    </xf>
    <xf numFmtId="0" fontId="56" fillId="5" borderId="1" xfId="0" applyFont="1" applyFill="1" applyBorder="1" applyAlignment="1">
      <alignment vertical="center"/>
    </xf>
    <xf numFmtId="165" fontId="56" fillId="5" borderId="1" xfId="0" applyNumberFormat="1" applyFont="1" applyFill="1" applyBorder="1" applyAlignment="1">
      <alignment horizontal="right" vertical="center" wrapText="1"/>
    </xf>
    <xf numFmtId="0" fontId="56" fillId="5" borderId="1" xfId="3" applyNumberFormat="1" applyFont="1" applyFill="1" applyBorder="1" applyAlignment="1" applyProtection="1">
      <alignment horizontal="left" vertical="center" wrapText="1"/>
      <protection hidden="1"/>
    </xf>
    <xf numFmtId="165" fontId="56" fillId="5" borderId="1" xfId="12" applyNumberFormat="1" applyFont="1" applyFill="1" applyBorder="1" applyAlignment="1" applyProtection="1">
      <alignment horizontal="right" vertical="center"/>
      <protection hidden="1"/>
    </xf>
    <xf numFmtId="0" fontId="56" fillId="5" borderId="6" xfId="3" applyNumberFormat="1" applyFont="1" applyFill="1" applyBorder="1" applyAlignment="1" applyProtection="1">
      <alignment horizontal="left" vertical="center" wrapText="1"/>
      <protection hidden="1"/>
    </xf>
    <xf numFmtId="165" fontId="56" fillId="5" borderId="6" xfId="0" applyNumberFormat="1" applyFont="1" applyFill="1" applyBorder="1" applyAlignment="1">
      <alignment horizontal="right" vertical="center" wrapText="1"/>
    </xf>
    <xf numFmtId="165" fontId="56" fillId="5" borderId="6" xfId="12" applyNumberFormat="1" applyFont="1" applyFill="1" applyBorder="1" applyAlignment="1" applyProtection="1">
      <alignment horizontal="right" vertical="center"/>
      <protection hidden="1"/>
    </xf>
    <xf numFmtId="0" fontId="58" fillId="21" borderId="1" xfId="0" applyFont="1" applyFill="1" applyBorder="1" applyAlignment="1">
      <alignment vertical="center" wrapText="1"/>
    </xf>
    <xf numFmtId="165" fontId="58" fillId="21" borderId="1" xfId="0" applyNumberFormat="1" applyFont="1" applyFill="1" applyBorder="1" applyAlignment="1">
      <alignment horizontal="right" vertical="center" wrapText="1"/>
    </xf>
    <xf numFmtId="165" fontId="58" fillId="21" borderId="1" xfId="0" applyNumberFormat="1" applyFont="1" applyFill="1" applyBorder="1" applyAlignment="1">
      <alignment vertical="center" wrapText="1"/>
    </xf>
    <xf numFmtId="165" fontId="58" fillId="21" borderId="1" xfId="0" applyNumberFormat="1" applyFont="1" applyFill="1" applyBorder="1" applyAlignment="1">
      <alignment vertical="center"/>
    </xf>
    <xf numFmtId="165" fontId="60" fillId="21" borderId="1" xfId="0" applyNumberFormat="1" applyFont="1" applyFill="1" applyBorder="1" applyAlignment="1">
      <alignment vertical="center"/>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0" fontId="52" fillId="0" borderId="0" xfId="0" applyFont="1" applyFill="1" applyAlignment="1">
      <alignment vertical="center" wrapText="1"/>
    </xf>
    <xf numFmtId="0" fontId="59" fillId="0" borderId="0" xfId="0" applyFont="1" applyFill="1" applyAlignment="1">
      <alignment horizontal="left" vertical="center" wrapText="1"/>
    </xf>
    <xf numFmtId="0" fontId="59" fillId="0" borderId="0" xfId="0" applyNumberFormat="1" applyFont="1" applyFill="1" applyAlignment="1">
      <alignment horizontal="left" vertical="center" wrapText="1"/>
    </xf>
    <xf numFmtId="0" fontId="16" fillId="5" borderId="0" xfId="0" applyFont="1" applyFill="1" applyAlignment="1">
      <alignment horizontal="center" vertical="center"/>
    </xf>
    <xf numFmtId="0" fontId="56" fillId="5" borderId="1" xfId="0" applyFont="1" applyFill="1" applyBorder="1" applyAlignment="1">
      <alignment horizontal="center" vertical="center"/>
    </xf>
    <xf numFmtId="0" fontId="52" fillId="5" borderId="0" xfId="0" applyFont="1" applyFill="1" applyBorder="1" applyAlignment="1">
      <alignment horizontal="center" vertical="center" wrapText="1"/>
    </xf>
    <xf numFmtId="0" fontId="61" fillId="5" borderId="0" xfId="0" applyFont="1" applyFill="1" applyBorder="1" applyAlignment="1">
      <alignment horizontal="center" vertical="center" wrapText="1"/>
    </xf>
    <xf numFmtId="0" fontId="52" fillId="5" borderId="0" xfId="0" applyFont="1" applyFill="1" applyAlignment="1">
      <alignment horizontal="center" vertical="center"/>
    </xf>
    <xf numFmtId="49" fontId="56" fillId="5" borderId="7" xfId="0" applyNumberFormat="1" applyFont="1" applyFill="1" applyBorder="1" applyAlignment="1">
      <alignment vertical="center" wrapText="1"/>
    </xf>
    <xf numFmtId="0" fontId="59" fillId="0" borderId="0" xfId="20" applyFont="1" applyFill="1" applyBorder="1" applyAlignment="1">
      <alignment horizontal="left" vertical="center" wrapText="1"/>
    </xf>
    <xf numFmtId="0" fontId="59" fillId="0" borderId="0" xfId="20" applyNumberFormat="1" applyFont="1" applyFill="1" applyBorder="1" applyAlignment="1">
      <alignment horizontal="left" vertical="center" wrapText="1"/>
    </xf>
    <xf numFmtId="0" fontId="52" fillId="0" borderId="0" xfId="20" applyFont="1" applyFill="1" applyBorder="1" applyAlignment="1">
      <alignment vertical="center" wrapText="1"/>
    </xf>
    <xf numFmtId="0" fontId="16" fillId="0" borderId="0" xfId="20" applyFont="1" applyFill="1" applyBorder="1" applyAlignment="1">
      <alignment vertical="center"/>
    </xf>
    <xf numFmtId="0" fontId="52" fillId="0" borderId="0" xfId="20" applyFont="1" applyFill="1" applyBorder="1" applyAlignment="1">
      <alignment vertical="center"/>
    </xf>
    <xf numFmtId="0" fontId="52" fillId="0" borderId="0" xfId="0" applyFont="1" applyFill="1" applyAlignment="1">
      <alignment vertical="center"/>
    </xf>
    <xf numFmtId="0" fontId="8" fillId="0" borderId="0" xfId="0" applyFont="1" applyFill="1" applyAlignment="1">
      <alignment vertical="center"/>
    </xf>
    <xf numFmtId="165" fontId="59" fillId="0" borderId="0" xfId="0" applyNumberFormat="1" applyFont="1" applyFill="1" applyAlignment="1">
      <alignment horizontal="left" vertical="center" wrapText="1"/>
    </xf>
    <xf numFmtId="0" fontId="51" fillId="0" borderId="0" xfId="0" applyFont="1" applyFill="1" applyAlignment="1">
      <alignment vertical="center" wrapText="1"/>
    </xf>
    <xf numFmtId="0" fontId="58" fillId="0" borderId="0" xfId="0" applyFont="1" applyFill="1" applyAlignment="1">
      <alignment vertical="center"/>
    </xf>
    <xf numFmtId="0" fontId="61" fillId="0" borderId="0" xfId="0" applyFont="1" applyFill="1" applyAlignment="1">
      <alignment vertical="center"/>
    </xf>
    <xf numFmtId="0" fontId="56" fillId="0" borderId="0" xfId="0" applyFont="1" applyFill="1" applyAlignment="1">
      <alignment vertical="center"/>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xf>
    <xf numFmtId="0" fontId="59" fillId="0" borderId="4" xfId="0" applyFont="1" applyFill="1" applyBorder="1" applyAlignment="1">
      <alignment horizontal="left" vertical="center" wrapText="1"/>
    </xf>
    <xf numFmtId="0" fontId="59" fillId="0" borderId="4" xfId="0" applyNumberFormat="1" applyFont="1" applyFill="1" applyBorder="1" applyAlignment="1">
      <alignment horizontal="left" vertical="center" wrapText="1"/>
    </xf>
    <xf numFmtId="0" fontId="52" fillId="0" borderId="4" xfId="0" applyFont="1" applyFill="1" applyBorder="1" applyAlignment="1">
      <alignment vertical="center" wrapText="1"/>
    </xf>
    <xf numFmtId="0" fontId="16" fillId="0" borderId="4" xfId="0" applyFont="1" applyFill="1" applyBorder="1" applyAlignment="1">
      <alignment vertical="center"/>
    </xf>
    <xf numFmtId="0" fontId="56" fillId="5" borderId="1" xfId="0" applyFont="1" applyFill="1" applyBorder="1" applyAlignment="1">
      <alignment horizontal="left" vertical="top" wrapText="1"/>
    </xf>
    <xf numFmtId="0" fontId="56" fillId="5" borderId="1" xfId="0" applyFont="1" applyFill="1" applyBorder="1" applyAlignment="1">
      <alignment horizontal="justify" vertical="top" wrapText="1"/>
    </xf>
    <xf numFmtId="0" fontId="56" fillId="5" borderId="7" xfId="0" applyFont="1" applyFill="1" applyBorder="1" applyAlignment="1">
      <alignment horizontal="left" vertical="top" wrapText="1"/>
    </xf>
    <xf numFmtId="165" fontId="56" fillId="5" borderId="1" xfId="12" applyNumberFormat="1" applyFont="1" applyFill="1" applyBorder="1" applyAlignment="1" applyProtection="1">
      <alignment vertical="center"/>
      <protection hidden="1"/>
    </xf>
    <xf numFmtId="0" fontId="53" fillId="0" borderId="0" xfId="0" applyFont="1" applyFill="1" applyAlignment="1">
      <alignment vertical="center" wrapText="1"/>
    </xf>
    <xf numFmtId="3" fontId="59" fillId="0" borderId="0" xfId="0" applyNumberFormat="1" applyFont="1" applyFill="1" applyAlignment="1">
      <alignment horizontal="left" vertical="center" wrapText="1"/>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49" fontId="56" fillId="5" borderId="6" xfId="0" applyNumberFormat="1" applyFont="1" applyFill="1" applyBorder="1" applyAlignment="1">
      <alignment vertical="center" wrapText="1"/>
    </xf>
    <xf numFmtId="0" fontId="6" fillId="0" borderId="0" xfId="0" applyFont="1" applyFill="1" applyAlignment="1">
      <alignment horizontal="left"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49" fontId="56" fillId="5" borderId="6" xfId="0" applyNumberFormat="1" applyFont="1" applyFill="1" applyBorder="1" applyAlignment="1">
      <alignment horizontal="center" vertical="center" wrapText="1"/>
    </xf>
    <xf numFmtId="0" fontId="59" fillId="0" borderId="0" xfId="0" applyFont="1" applyFill="1" applyAlignment="1">
      <alignment horizontal="center"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0" fontId="59" fillId="22" borderId="1" xfId="0" applyFont="1" applyFill="1" applyBorder="1" applyAlignment="1">
      <alignment horizontal="center" vertical="center" wrapText="1"/>
    </xf>
    <xf numFmtId="0" fontId="59" fillId="22" borderId="1" xfId="0" applyNumberFormat="1" applyFont="1" applyFill="1" applyBorder="1" applyAlignment="1">
      <alignment horizontal="center" vertical="center" wrapText="1"/>
    </xf>
    <xf numFmtId="0" fontId="59" fillId="0" borderId="0" xfId="0" applyNumberFormat="1" applyFont="1" applyFill="1" applyAlignment="1">
      <alignment horizontal="center" vertical="center" wrapText="1"/>
    </xf>
    <xf numFmtId="0" fontId="59" fillId="0" borderId="0" xfId="20" applyFont="1" applyFill="1" applyBorder="1" applyAlignment="1">
      <alignment horizontal="center" vertical="center" wrapText="1"/>
    </xf>
    <xf numFmtId="0" fontId="59" fillId="0" borderId="0" xfId="20" applyNumberFormat="1" applyFont="1" applyFill="1" applyBorder="1" applyAlignment="1">
      <alignment horizontal="center" vertical="center" wrapText="1"/>
    </xf>
    <xf numFmtId="3" fontId="59" fillId="22"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49" fontId="56" fillId="5" borderId="6" xfId="0" applyNumberFormat="1" applyFont="1" applyFill="1" applyBorder="1" applyAlignment="1">
      <alignment horizontal="center" vertical="center" wrapText="1"/>
    </xf>
    <xf numFmtId="49" fontId="56" fillId="5" borderId="7"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49" fontId="56" fillId="23" borderId="1" xfId="0" applyNumberFormat="1" applyFont="1" applyFill="1" applyBorder="1" applyAlignment="1">
      <alignment horizontal="justify" vertical="center" wrapText="1"/>
    </xf>
    <xf numFmtId="0" fontId="56" fillId="5" borderId="1" xfId="0" applyFont="1" applyFill="1" applyBorder="1" applyAlignment="1">
      <alignment horizontal="left" vertical="center" wrapText="1"/>
    </xf>
    <xf numFmtId="49" fontId="56" fillId="5" borderId="1" xfId="0" applyNumberFormat="1" applyFont="1" applyFill="1" applyBorder="1" applyAlignment="1">
      <alignment horizontal="center" vertical="center" wrapText="1"/>
    </xf>
    <xf numFmtId="0" fontId="58" fillId="6" borderId="1" xfId="0" applyFont="1" applyFill="1" applyBorder="1" applyAlignment="1">
      <alignment horizontal="center" vertical="center" wrapText="1"/>
    </xf>
    <xf numFmtId="0" fontId="58" fillId="15" borderId="1" xfId="0" applyFont="1" applyFill="1" applyBorder="1" applyAlignment="1">
      <alignment horizontal="center" vertical="center" wrapText="1"/>
    </xf>
    <xf numFmtId="0" fontId="58" fillId="7" borderId="1" xfId="0" applyFont="1" applyFill="1" applyBorder="1" applyAlignment="1">
      <alignment horizontal="center" vertical="center" wrapText="1"/>
    </xf>
    <xf numFmtId="0" fontId="58" fillId="16" borderId="1" xfId="0" applyFont="1" applyFill="1" applyBorder="1" applyAlignment="1">
      <alignment horizontal="center" vertical="center" wrapText="1"/>
    </xf>
    <xf numFmtId="166" fontId="56" fillId="0" borderId="1" xfId="6" applyNumberFormat="1" applyFont="1" applyFill="1" applyBorder="1" applyAlignment="1" applyProtection="1">
      <alignment horizontal="center" vertical="center" wrapText="1"/>
      <protection hidden="1"/>
    </xf>
    <xf numFmtId="166" fontId="56" fillId="5" borderId="1" xfId="6" applyNumberFormat="1" applyFont="1" applyFill="1" applyBorder="1" applyAlignment="1" applyProtection="1">
      <alignment horizontal="center" vertical="center" wrapText="1"/>
      <protection hidden="1"/>
    </xf>
    <xf numFmtId="0" fontId="49" fillId="5" borderId="1" xfId="0" applyFont="1" applyFill="1" applyBorder="1" applyAlignment="1">
      <alignment horizontal="center" vertical="center" wrapText="1"/>
    </xf>
    <xf numFmtId="0" fontId="56" fillId="5" borderId="1" xfId="3" applyNumberFormat="1" applyFont="1" applyFill="1" applyBorder="1" applyAlignment="1" applyProtection="1">
      <alignment horizontal="center" vertical="center" wrapText="1"/>
      <protection hidden="1"/>
    </xf>
    <xf numFmtId="166" fontId="49" fillId="5" borderId="1" xfId="6" applyNumberFormat="1" applyFont="1" applyFill="1" applyBorder="1" applyAlignment="1" applyProtection="1">
      <alignment horizontal="center" vertical="center" wrapText="1"/>
      <protection hidden="1"/>
    </xf>
    <xf numFmtId="0" fontId="56" fillId="5" borderId="1" xfId="0" applyNumberFormat="1" applyFont="1" applyFill="1" applyBorder="1" applyAlignment="1">
      <alignment horizontal="center" vertical="center" wrapText="1"/>
    </xf>
    <xf numFmtId="0" fontId="58" fillId="21" borderId="1" xfId="0"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wrapText="1"/>
    </xf>
    <xf numFmtId="0" fontId="56" fillId="5" borderId="6" xfId="3" applyNumberFormat="1" applyFont="1" applyFill="1" applyBorder="1" applyAlignment="1" applyProtection="1">
      <alignment horizontal="center" vertical="center" wrapText="1"/>
      <protection hidden="1"/>
    </xf>
    <xf numFmtId="0" fontId="58" fillId="19" borderId="1" xfId="0" applyFont="1" applyFill="1" applyBorder="1" applyAlignment="1">
      <alignment horizontal="center" vertical="center" wrapText="1"/>
    </xf>
    <xf numFmtId="0" fontId="58" fillId="8" borderId="1" xfId="0" applyFont="1" applyFill="1" applyBorder="1" applyAlignment="1">
      <alignment horizontal="center" vertical="center" wrapText="1"/>
    </xf>
    <xf numFmtId="166" fontId="56" fillId="5" borderId="1" xfId="8" applyNumberFormat="1" applyFont="1" applyFill="1" applyBorder="1" applyAlignment="1" applyProtection="1">
      <alignment horizontal="center" vertical="center" wrapText="1"/>
      <protection hidden="1"/>
    </xf>
    <xf numFmtId="49" fontId="56" fillId="23" borderId="1" xfId="0" applyNumberFormat="1" applyFont="1" applyFill="1" applyBorder="1" applyAlignment="1">
      <alignment horizontal="center" vertical="center" wrapText="1"/>
    </xf>
    <xf numFmtId="166" fontId="56" fillId="5" borderId="1" xfId="7" applyNumberFormat="1" applyFont="1" applyFill="1" applyBorder="1" applyAlignment="1" applyProtection="1">
      <alignment horizontal="center" vertical="center" wrapText="1"/>
      <protection hidden="1"/>
    </xf>
    <xf numFmtId="0" fontId="56" fillId="5" borderId="1" xfId="0" applyFont="1" applyFill="1" applyBorder="1" applyAlignment="1">
      <alignment horizontal="center" vertical="top" wrapText="1"/>
    </xf>
    <xf numFmtId="0" fontId="56" fillId="5" borderId="7" xfId="0" applyFont="1" applyFill="1" applyBorder="1" applyAlignment="1">
      <alignment horizontal="center" vertical="top" wrapText="1"/>
    </xf>
    <xf numFmtId="0" fontId="56" fillId="5" borderId="1" xfId="9" applyNumberFormat="1" applyFont="1" applyFill="1" applyBorder="1" applyAlignment="1" applyProtection="1">
      <alignment horizontal="center" vertical="center" wrapText="1"/>
      <protection hidden="1"/>
    </xf>
    <xf numFmtId="0" fontId="58" fillId="10" borderId="1" xfId="0" applyFont="1" applyFill="1" applyBorder="1" applyAlignment="1">
      <alignment horizontal="center" vertical="center" wrapText="1"/>
    </xf>
    <xf numFmtId="166" fontId="56" fillId="5" borderId="1" xfId="12" applyNumberFormat="1" applyFont="1" applyFill="1" applyBorder="1" applyAlignment="1" applyProtection="1">
      <alignment horizontal="center" vertical="center" wrapText="1"/>
      <protection hidden="1"/>
    </xf>
    <xf numFmtId="0" fontId="56" fillId="5" borderId="1" xfId="1" applyNumberFormat="1" applyFont="1" applyFill="1" applyBorder="1" applyAlignment="1" applyProtection="1">
      <alignment horizontal="center" vertical="center" wrapText="1"/>
      <protection hidden="1"/>
    </xf>
    <xf numFmtId="0" fontId="58" fillId="10" borderId="1" xfId="0" applyFont="1" applyFill="1" applyBorder="1" applyAlignment="1">
      <alignment horizontal="center" vertical="top" wrapText="1"/>
    </xf>
    <xf numFmtId="0" fontId="58" fillId="17" borderId="1" xfId="0" applyFont="1" applyFill="1" applyBorder="1" applyAlignment="1">
      <alignment horizontal="center" vertical="center" wrapText="1"/>
    </xf>
    <xf numFmtId="166" fontId="56" fillId="0" borderId="1" xfId="13" applyNumberFormat="1" applyFont="1" applyFill="1" applyBorder="1" applyAlignment="1" applyProtection="1">
      <alignment horizontal="center" vertical="center" wrapText="1"/>
      <protection hidden="1"/>
    </xf>
    <xf numFmtId="0" fontId="57" fillId="5" borderId="1" xfId="0" applyFont="1" applyFill="1" applyBorder="1" applyAlignment="1">
      <alignment horizontal="center"/>
    </xf>
    <xf numFmtId="0" fontId="61" fillId="5" borderId="0" xfId="0" applyFont="1" applyFill="1" applyAlignment="1">
      <alignment horizontal="center" vertical="center"/>
    </xf>
    <xf numFmtId="165" fontId="56" fillId="5" borderId="1" xfId="3" applyNumberFormat="1" applyFont="1" applyFill="1" applyBorder="1" applyAlignment="1" applyProtection="1">
      <alignment horizontal="center" vertical="center" wrapText="1"/>
      <protection hidden="1"/>
    </xf>
    <xf numFmtId="165" fontId="56" fillId="24" borderId="1" xfId="12" applyNumberFormat="1" applyFont="1" applyFill="1" applyBorder="1" applyAlignment="1" applyProtection="1">
      <alignment horizontal="right" vertical="center"/>
      <protection hidden="1"/>
    </xf>
    <xf numFmtId="2" fontId="45" fillId="0" borderId="0" xfId="20" applyNumberFormat="1" applyFont="1" applyBorder="1" applyAlignment="1">
      <alignment horizontal="right" vertical="center"/>
    </xf>
    <xf numFmtId="165" fontId="59" fillId="0" borderId="0" xfId="20" applyNumberFormat="1" applyFont="1" applyBorder="1" applyAlignment="1">
      <alignment horizontal="right" vertical="center"/>
    </xf>
    <xf numFmtId="165" fontId="51" fillId="0" borderId="0" xfId="20" applyNumberFormat="1" applyFont="1" applyBorder="1" applyAlignment="1">
      <alignment horizontal="right" vertical="center"/>
    </xf>
    <xf numFmtId="0" fontId="8" fillId="5" borderId="1" xfId="0" applyFont="1" applyFill="1" applyBorder="1" applyAlignment="1">
      <alignment horizontal="right" vertical="center"/>
    </xf>
    <xf numFmtId="0" fontId="49" fillId="5" borderId="1" xfId="0" applyFont="1" applyFill="1" applyBorder="1" applyAlignment="1">
      <alignment horizontal="right" vertical="center"/>
    </xf>
    <xf numFmtId="165" fontId="47" fillId="5" borderId="0" xfId="0" applyNumberFormat="1" applyFont="1" applyFill="1" applyBorder="1" applyAlignment="1">
      <alignment horizontal="right" vertical="center" wrapText="1"/>
    </xf>
    <xf numFmtId="165" fontId="62" fillId="5" borderId="4" xfId="0" applyNumberFormat="1" applyFont="1" applyFill="1" applyBorder="1" applyAlignment="1">
      <alignment horizontal="right" vertical="center"/>
    </xf>
    <xf numFmtId="0" fontId="19" fillId="0" borderId="0" xfId="0" applyFont="1" applyFill="1" applyAlignment="1">
      <alignment horizontal="left" vertical="center" wrapText="1"/>
    </xf>
    <xf numFmtId="0" fontId="19" fillId="0" borderId="0" xfId="0" applyNumberFormat="1" applyFont="1" applyFill="1" applyAlignment="1">
      <alignment horizontal="left" vertical="center" wrapText="1"/>
    </xf>
    <xf numFmtId="0" fontId="52" fillId="0" borderId="0" xfId="0" applyFont="1" applyFill="1" applyAlignment="1">
      <alignment horizontal="center" vertical="center" wrapText="1"/>
    </xf>
    <xf numFmtId="4" fontId="56" fillId="5" borderId="1" xfId="0" applyNumberFormat="1" applyFont="1" applyFill="1" applyBorder="1" applyAlignment="1">
      <alignment horizontal="right" vertical="center"/>
    </xf>
    <xf numFmtId="0" fontId="56" fillId="5" borderId="1" xfId="0" applyFont="1" applyFill="1" applyBorder="1" applyAlignment="1">
      <alignment horizontal="right" vertical="center"/>
    </xf>
    <xf numFmtId="165" fontId="56" fillId="0" borderId="1" xfId="0" applyNumberFormat="1" applyFont="1" applyFill="1" applyBorder="1" applyAlignment="1">
      <alignment horizontal="right" vertical="center"/>
    </xf>
    <xf numFmtId="0" fontId="52" fillId="0" borderId="4" xfId="20" applyFont="1" applyBorder="1" applyAlignment="1">
      <alignment horizontal="center" vertical="center"/>
    </xf>
    <xf numFmtId="0" fontId="52" fillId="0" borderId="6"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6" fillId="0" borderId="0" xfId="0" applyFont="1" applyFill="1" applyAlignment="1">
      <alignment vertical="center" wrapText="1"/>
    </xf>
    <xf numFmtId="0" fontId="56" fillId="0" borderId="0" xfId="20" applyFont="1" applyFill="1" applyBorder="1" applyAlignment="1">
      <alignment vertical="center" wrapText="1"/>
    </xf>
    <xf numFmtId="0" fontId="49" fillId="0" borderId="0" xfId="0" applyFont="1" applyFill="1" applyAlignment="1">
      <alignment vertical="center" wrapText="1"/>
    </xf>
    <xf numFmtId="0" fontId="56" fillId="0" borderId="4" xfId="0" applyFont="1" applyFill="1" applyBorder="1" applyAlignment="1">
      <alignment vertical="center" wrapText="1"/>
    </xf>
    <xf numFmtId="0" fontId="66" fillId="0" borderId="0" xfId="0" applyFont="1" applyFill="1" applyAlignment="1">
      <alignment vertical="center" wrapText="1"/>
    </xf>
    <xf numFmtId="0" fontId="52" fillId="0" borderId="0" xfId="20" applyFont="1" applyFill="1" applyBorder="1" applyAlignment="1">
      <alignment horizontal="center" vertical="center" wrapText="1"/>
    </xf>
    <xf numFmtId="0" fontId="59" fillId="5" borderId="0" xfId="0" applyFont="1" applyFill="1" applyAlignment="1">
      <alignment horizontal="left" vertical="center" wrapText="1"/>
    </xf>
    <xf numFmtId="0" fontId="59" fillId="5" borderId="0" xfId="0" applyNumberFormat="1" applyFont="1" applyFill="1" applyAlignment="1">
      <alignment horizontal="left" vertical="center" wrapText="1"/>
    </xf>
    <xf numFmtId="0" fontId="52" fillId="25" borderId="1" xfId="0" applyFont="1" applyFill="1" applyBorder="1" applyAlignment="1">
      <alignment horizontal="center" vertical="center" wrapText="1"/>
    </xf>
    <xf numFmtId="0" fontId="55" fillId="0" borderId="0" xfId="0" applyFont="1"/>
    <xf numFmtId="0" fontId="52" fillId="8" borderId="1" xfId="0" applyFont="1" applyFill="1" applyBorder="1" applyAlignment="1">
      <alignment horizontal="center" vertical="center" wrapText="1"/>
    </xf>
    <xf numFmtId="0" fontId="52" fillId="19" borderId="1" xfId="0" applyFont="1" applyFill="1" applyBorder="1" applyAlignment="1">
      <alignment horizontal="center" vertical="center" wrapText="1"/>
    </xf>
    <xf numFmtId="0" fontId="52" fillId="16" borderId="1" xfId="0" applyFont="1" applyFill="1" applyBorder="1" applyAlignment="1">
      <alignment horizontal="center" vertical="center" wrapText="1"/>
    </xf>
    <xf numFmtId="165" fontId="56" fillId="6" borderId="0" xfId="0" applyNumberFormat="1" applyFont="1" applyFill="1" applyAlignment="1">
      <alignment vertical="center"/>
    </xf>
    <xf numFmtId="0" fontId="59" fillId="6" borderId="0" xfId="0" applyFont="1" applyFill="1" applyAlignment="1">
      <alignment horizontal="left" vertical="center" wrapText="1"/>
    </xf>
    <xf numFmtId="0" fontId="59" fillId="6" borderId="0" xfId="0" applyNumberFormat="1" applyFont="1" applyFill="1" applyAlignment="1">
      <alignment horizontal="left" vertical="center" wrapText="1"/>
    </xf>
    <xf numFmtId="0" fontId="52" fillId="6"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58" fillId="5" borderId="1" xfId="0" applyFont="1" applyFill="1" applyBorder="1" applyAlignment="1">
      <alignment vertical="center" wrapText="1"/>
    </xf>
    <xf numFmtId="0" fontId="58" fillId="5" borderId="1" xfId="0" applyFont="1" applyFill="1" applyBorder="1" applyAlignment="1">
      <alignment horizontal="left" vertical="center" wrapText="1"/>
    </xf>
    <xf numFmtId="0" fontId="49" fillId="5" borderId="1" xfId="0" applyNumberFormat="1" applyFont="1" applyFill="1" applyBorder="1" applyAlignment="1">
      <alignment horizontal="left" vertical="center" wrapText="1"/>
    </xf>
    <xf numFmtId="0" fontId="58" fillId="5" borderId="1" xfId="0" applyFont="1" applyFill="1" applyBorder="1" applyAlignment="1">
      <alignment vertical="top" wrapText="1"/>
    </xf>
    <xf numFmtId="166" fontId="56" fillId="5" borderId="1" xfId="13" applyNumberFormat="1" applyFont="1" applyFill="1" applyBorder="1" applyAlignment="1" applyProtection="1">
      <alignment vertical="center" wrapText="1"/>
      <protection hidden="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0" fontId="52" fillId="5" borderId="1" xfId="0" applyFont="1" applyFill="1" applyBorder="1" applyAlignment="1">
      <alignment horizontal="center" vertical="center" wrapText="1"/>
    </xf>
    <xf numFmtId="165" fontId="56" fillId="0" borderId="1" xfId="12" applyNumberFormat="1" applyFont="1" applyFill="1" applyBorder="1" applyAlignment="1" applyProtection="1">
      <alignment horizontal="right" vertical="center"/>
      <protection hidden="1"/>
    </xf>
    <xf numFmtId="165" fontId="49" fillId="0" borderId="1" xfId="10" applyNumberFormat="1" applyFont="1" applyFill="1" applyBorder="1" applyAlignment="1" applyProtection="1">
      <alignment horizontal="right" vertical="center" wrapText="1"/>
      <protection hidden="1"/>
    </xf>
    <xf numFmtId="165" fontId="49" fillId="0" borderId="1" xfId="0" applyNumberFormat="1" applyFont="1" applyFill="1" applyBorder="1" applyAlignment="1">
      <alignment vertical="center" wrapText="1"/>
    </xf>
    <xf numFmtId="4" fontId="49" fillId="0" borderId="1" xfId="0" applyNumberFormat="1" applyFont="1" applyFill="1" applyBorder="1" applyAlignment="1">
      <alignment horizontal="right" vertical="center" wrapText="1"/>
    </xf>
    <xf numFmtId="165" fontId="56" fillId="0" borderId="6" xfId="0" applyNumberFormat="1" applyFont="1" applyFill="1" applyBorder="1" applyAlignment="1">
      <alignment horizontal="right" vertical="center" wrapText="1"/>
    </xf>
    <xf numFmtId="165" fontId="56" fillId="0" borderId="6" xfId="12" applyNumberFormat="1" applyFont="1" applyFill="1" applyBorder="1" applyAlignment="1" applyProtection="1">
      <alignment horizontal="right" vertical="center"/>
      <protection hidden="1"/>
    </xf>
    <xf numFmtId="4" fontId="56" fillId="0" borderId="1" xfId="0" applyNumberFormat="1" applyFont="1" applyFill="1" applyBorder="1" applyAlignment="1">
      <alignment horizontal="right" vertical="center" wrapText="1"/>
    </xf>
    <xf numFmtId="170" fontId="56" fillId="0" borderId="1" xfId="9" applyNumberFormat="1" applyFont="1" applyFill="1" applyBorder="1" applyAlignment="1" applyProtection="1">
      <alignment horizontal="right" vertical="center"/>
      <protection hidden="1"/>
    </xf>
    <xf numFmtId="4" fontId="56" fillId="0" borderId="1" xfId="12" applyNumberFormat="1" applyFont="1" applyFill="1" applyBorder="1" applyAlignment="1" applyProtection="1">
      <alignment horizontal="right" vertical="center"/>
      <protection hidden="1"/>
    </xf>
    <xf numFmtId="4" fontId="56" fillId="0" borderId="1" xfId="0" applyNumberFormat="1" applyFont="1" applyFill="1" applyBorder="1" applyAlignment="1">
      <alignment vertical="center" wrapText="1"/>
    </xf>
    <xf numFmtId="165" fontId="58" fillId="7" borderId="1" xfId="0" applyNumberFormat="1" applyFont="1" applyFill="1" applyBorder="1" applyAlignment="1">
      <alignment horizontal="left" vertical="center" wrapText="1"/>
    </xf>
    <xf numFmtId="165" fontId="58" fillId="16" borderId="1" xfId="0" applyNumberFormat="1" applyFont="1" applyFill="1" applyBorder="1" applyAlignment="1">
      <alignment horizontal="left" vertical="center" wrapText="1"/>
    </xf>
    <xf numFmtId="165" fontId="58" fillId="10" borderId="1" xfId="0" applyNumberFormat="1" applyFont="1" applyFill="1" applyBorder="1" applyAlignment="1">
      <alignment horizontal="left"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56" fillId="5" borderId="6" xfId="12" applyNumberFormat="1" applyFont="1" applyFill="1" applyBorder="1" applyAlignment="1" applyProtection="1">
      <alignment horizontal="right" vertical="center"/>
      <protection hidden="1"/>
    </xf>
    <xf numFmtId="0" fontId="19" fillId="0" borderId="0" xfId="18" applyFont="1" applyAlignment="1" applyProtection="1">
      <alignment vertical="center"/>
      <protection hidden="1"/>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165" fontId="58" fillId="19" borderId="1" xfId="0" applyNumberFormat="1" applyFont="1" applyFill="1" applyBorder="1" applyAlignment="1">
      <alignment horizontal="left" vertical="center" wrapText="1"/>
    </xf>
    <xf numFmtId="165" fontId="58" fillId="8" borderId="1" xfId="0" applyNumberFormat="1" applyFont="1" applyFill="1" applyBorder="1" applyAlignment="1">
      <alignment horizontal="left" vertical="center" wrapText="1"/>
    </xf>
    <xf numFmtId="165" fontId="58" fillId="21" borderId="1" xfId="0" applyNumberFormat="1" applyFont="1" applyFill="1" applyBorder="1" applyAlignment="1">
      <alignment horizontal="left" vertical="center" wrapText="1"/>
    </xf>
    <xf numFmtId="0" fontId="56" fillId="5" borderId="7" xfId="9" applyNumberFormat="1" applyFont="1" applyFill="1" applyBorder="1" applyAlignment="1" applyProtection="1">
      <alignment horizontal="left" vertical="center" wrapText="1"/>
      <protection hidden="1"/>
    </xf>
    <xf numFmtId="0" fontId="56" fillId="5" borderId="1" xfId="0" applyFont="1" applyFill="1" applyBorder="1" applyAlignment="1">
      <alignment horizontal="left" vertical="center" wrapText="1"/>
    </xf>
    <xf numFmtId="0" fontId="60" fillId="7" borderId="1" xfId="0" applyFont="1" applyFill="1" applyBorder="1" applyAlignment="1">
      <alignment horizontal="center" vertical="center" wrapText="1"/>
    </xf>
    <xf numFmtId="0" fontId="52" fillId="0" borderId="2" xfId="0" applyFont="1" applyFill="1" applyBorder="1" applyAlignment="1">
      <alignment horizontal="center" vertical="center" wrapText="1"/>
    </xf>
    <xf numFmtId="165" fontId="52" fillId="0" borderId="10" xfId="0" applyNumberFormat="1"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61" fillId="5" borderId="4" xfId="0" applyNumberFormat="1" applyFont="1" applyFill="1" applyBorder="1" applyAlignment="1">
      <alignment vertical="center"/>
    </xf>
    <xf numFmtId="165" fontId="56" fillId="5" borderId="1" xfId="0" applyNumberFormat="1" applyFont="1" applyFill="1" applyBorder="1" applyAlignment="1">
      <alignment horizontal="right"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49" fontId="60" fillId="7" borderId="1" xfId="0" applyNumberFormat="1" applyFont="1" applyFill="1" applyBorder="1" applyAlignment="1">
      <alignment horizontal="center" vertical="center" wrapText="1"/>
    </xf>
    <xf numFmtId="0" fontId="60" fillId="8" borderId="1" xfId="0" applyFont="1" applyFill="1" applyBorder="1" applyAlignment="1">
      <alignment horizontal="center" vertical="center" wrapText="1"/>
    </xf>
    <xf numFmtId="0" fontId="140" fillId="0" borderId="0" xfId="0" applyFont="1"/>
    <xf numFmtId="165" fontId="141" fillId="6" borderId="1" xfId="0" applyNumberFormat="1" applyFont="1" applyFill="1" applyBorder="1" applyAlignment="1">
      <alignment horizontal="right" vertical="center" wrapText="1"/>
    </xf>
    <xf numFmtId="165" fontId="56" fillId="10" borderId="1" xfId="0" applyNumberFormat="1" applyFont="1" applyFill="1" applyBorder="1" applyAlignment="1">
      <alignment vertical="center" wrapText="1"/>
    </xf>
    <xf numFmtId="4" fontId="52" fillId="0" borderId="0" xfId="20" applyNumberFormat="1" applyFont="1" applyBorder="1" applyAlignment="1">
      <alignment vertical="center"/>
    </xf>
    <xf numFmtId="4" fontId="52" fillId="5" borderId="0" xfId="0" applyNumberFormat="1" applyFont="1" applyFill="1" applyAlignment="1">
      <alignment vertical="center"/>
    </xf>
    <xf numFmtId="4" fontId="60" fillId="5" borderId="0" xfId="0" applyNumberFormat="1" applyFont="1" applyFill="1" applyAlignment="1">
      <alignment vertical="center"/>
    </xf>
    <xf numFmtId="4" fontId="61" fillId="5" borderId="0" xfId="0" applyNumberFormat="1" applyFont="1" applyFill="1" applyAlignment="1">
      <alignment vertical="center"/>
    </xf>
    <xf numFmtId="0" fontId="60" fillId="6" borderId="1" xfId="0" applyFont="1" applyFill="1" applyBorder="1" applyAlignment="1">
      <alignment horizontal="center" vertical="center" wrapText="1"/>
    </xf>
    <xf numFmtId="0" fontId="60" fillId="17" borderId="1" xfId="0" applyFont="1" applyFill="1" applyBorder="1" applyAlignment="1">
      <alignment horizontal="center"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0" fontId="16" fillId="5" borderId="0" xfId="0" applyFont="1" applyFill="1" applyAlignment="1">
      <alignment horizontal="righ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0" fontId="67" fillId="0" borderId="0" xfId="0" applyFont="1"/>
    <xf numFmtId="165" fontId="49"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0" fontId="58" fillId="18" borderId="1" xfId="0" applyFont="1" applyFill="1" applyBorder="1" applyAlignment="1">
      <alignment horizontal="center" vertical="center" wrapText="1"/>
    </xf>
    <xf numFmtId="0" fontId="58" fillId="18" borderId="1" xfId="0" applyFont="1" applyFill="1" applyBorder="1" applyAlignment="1">
      <alignment horizontal="left" vertical="center" wrapText="1"/>
    </xf>
    <xf numFmtId="165" fontId="49" fillId="18" borderId="1" xfId="13" applyNumberFormat="1" applyFont="1" applyFill="1" applyBorder="1" applyAlignment="1" applyProtection="1">
      <alignment horizontal="right" vertical="center" wrapText="1"/>
      <protection hidden="1"/>
    </xf>
    <xf numFmtId="165" fontId="49" fillId="18" borderId="1" xfId="0" applyNumberFormat="1" applyFont="1" applyFill="1" applyBorder="1" applyAlignment="1">
      <alignment vertical="center"/>
    </xf>
    <xf numFmtId="165" fontId="52" fillId="0" borderId="4" xfId="20" applyNumberFormat="1" applyFont="1" applyBorder="1" applyAlignment="1">
      <alignment vertical="center"/>
    </xf>
    <xf numFmtId="0" fontId="61" fillId="5" borderId="0" xfId="0" applyNumberFormat="1" applyFont="1" applyFill="1" applyBorder="1" applyAlignment="1">
      <alignment vertical="center"/>
    </xf>
    <xf numFmtId="165" fontId="62" fillId="5" borderId="0" xfId="0" applyNumberFormat="1" applyFont="1" applyFill="1" applyBorder="1" applyAlignment="1">
      <alignment vertical="center"/>
    </xf>
    <xf numFmtId="0" fontId="61" fillId="5" borderId="0" xfId="0" applyFont="1" applyFill="1" applyBorder="1" applyAlignment="1">
      <alignment vertical="center"/>
    </xf>
    <xf numFmtId="165" fontId="61" fillId="5" borderId="0" xfId="0" applyNumberFormat="1" applyFont="1" applyFill="1" applyBorder="1" applyAlignment="1">
      <alignment vertical="center" wrapText="1"/>
    </xf>
    <xf numFmtId="165" fontId="62" fillId="5" borderId="0" xfId="0" applyNumberFormat="1" applyFont="1" applyFill="1" applyBorder="1" applyAlignment="1">
      <alignment horizontal="right" vertical="center"/>
    </xf>
    <xf numFmtId="165" fontId="19" fillId="5" borderId="0" xfId="0" applyNumberFormat="1" applyFont="1" applyFill="1" applyBorder="1" applyAlignment="1">
      <alignment vertical="center"/>
    </xf>
    <xf numFmtId="0" fontId="16" fillId="5" borderId="0" xfId="0" applyFont="1" applyFill="1" applyBorder="1" applyAlignment="1">
      <alignment vertical="center"/>
    </xf>
    <xf numFmtId="165" fontId="16" fillId="5" borderId="0" xfId="0" applyNumberFormat="1" applyFont="1" applyFill="1" applyBorder="1" applyAlignment="1">
      <alignment vertical="center"/>
    </xf>
    <xf numFmtId="0" fontId="19" fillId="5" borderId="0" xfId="0" applyFont="1" applyFill="1" applyBorder="1" applyAlignment="1">
      <alignment horizontal="right" vertical="center"/>
    </xf>
    <xf numFmtId="169" fontId="60" fillId="5" borderId="0" xfId="0" applyNumberFormat="1" applyFont="1" applyFill="1" applyAlignment="1">
      <alignmen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49" fillId="5" borderId="1" xfId="0" applyNumberFormat="1" applyFont="1" applyFill="1" applyBorder="1" applyAlignment="1">
      <alignment horizontal="right" vertical="center"/>
    </xf>
    <xf numFmtId="2" fontId="60" fillId="4" borderId="0" xfId="0" applyNumberFormat="1" applyFont="1" applyFill="1" applyAlignment="1">
      <alignment vertical="center"/>
    </xf>
    <xf numFmtId="165" fontId="139" fillId="0" borderId="1" xfId="12" applyNumberFormat="1" applyFont="1" applyFill="1" applyBorder="1" applyAlignment="1" applyProtection="1">
      <alignment horizontal="right" vertical="center"/>
      <protection hidden="1"/>
    </xf>
    <xf numFmtId="165" fontId="139" fillId="5" borderId="1" xfId="12" applyNumberFormat="1" applyFont="1" applyFill="1" applyBorder="1" applyAlignment="1" applyProtection="1">
      <alignment horizontal="right" vertical="center"/>
      <protection hidden="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0" fontId="56" fillId="5" borderId="5" xfId="0" applyFont="1" applyFill="1" applyBorder="1" applyAlignment="1">
      <alignment vertical="center" wrapText="1"/>
    </xf>
    <xf numFmtId="0" fontId="61" fillId="5" borderId="0" xfId="0" applyNumberFormat="1" applyFont="1" applyFill="1" applyBorder="1" applyAlignment="1">
      <alignment vertical="center"/>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49" fillId="5" borderId="6" xfId="0" applyNumberFormat="1" applyFont="1" applyFill="1" applyBorder="1" applyAlignment="1">
      <alignment horizontal="right" vertical="center" wrapText="1"/>
    </xf>
    <xf numFmtId="165" fontId="49" fillId="5" borderId="6" xfId="0" applyNumberFormat="1" applyFont="1" applyFill="1" applyBorder="1" applyAlignment="1">
      <alignment horizontal="right" vertical="center"/>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0" fontId="56" fillId="5" borderId="1" xfId="0" applyFont="1" applyFill="1" applyBorder="1" applyAlignment="1">
      <alignment horizontal="left" vertical="center" wrapText="1"/>
    </xf>
    <xf numFmtId="165" fontId="139" fillId="0" borderId="1" xfId="0" applyNumberFormat="1" applyFont="1" applyFill="1" applyBorder="1" applyAlignment="1">
      <alignment horizontal="right" vertical="center" wrapText="1"/>
    </xf>
    <xf numFmtId="0" fontId="14" fillId="5" borderId="1" xfId="0" applyFont="1" applyFill="1" applyBorder="1" applyAlignment="1">
      <alignment horizontal="center" vertical="center" wrapText="1"/>
    </xf>
    <xf numFmtId="165" fontId="49" fillId="0" borderId="6" xfId="0" applyNumberFormat="1" applyFont="1" applyFill="1" applyBorder="1" applyAlignment="1">
      <alignment horizontal="right" vertical="center" wrapText="1"/>
    </xf>
    <xf numFmtId="165" fontId="45" fillId="5" borderId="0" xfId="0" applyNumberFormat="1" applyFont="1" applyFill="1" applyBorder="1" applyAlignment="1">
      <alignment vertical="center" wrapText="1"/>
    </xf>
    <xf numFmtId="0" fontId="14" fillId="5" borderId="1" xfId="0" applyFont="1" applyFill="1" applyBorder="1" applyAlignment="1">
      <alignment horizontal="center" vertical="center"/>
    </xf>
    <xf numFmtId="0" fontId="62" fillId="5" borderId="4" xfId="0" applyFont="1" applyFill="1" applyBorder="1" applyAlignment="1">
      <alignment vertical="center"/>
    </xf>
    <xf numFmtId="0" fontId="62" fillId="5" borderId="0" xfId="0" applyFont="1" applyFill="1" applyBorder="1" applyAlignment="1">
      <alignment vertical="center"/>
    </xf>
    <xf numFmtId="0" fontId="68" fillId="0" borderId="0" xfId="0" applyNumberFormat="1" applyFont="1" applyBorder="1" applyAlignment="1">
      <alignment vertical="center"/>
    </xf>
    <xf numFmtId="165" fontId="45" fillId="5" borderId="0" xfId="0" applyNumberFormat="1" applyFont="1" applyFill="1" applyBorder="1" applyAlignment="1">
      <alignment horizontal="right" vertical="center" wrapText="1"/>
    </xf>
    <xf numFmtId="0" fontId="51" fillId="0" borderId="0" xfId="20" applyFont="1" applyBorder="1" applyAlignment="1">
      <alignment vertical="center"/>
    </xf>
    <xf numFmtId="0" fontId="62" fillId="5" borderId="0" xfId="0" applyNumberFormat="1" applyFont="1" applyFill="1" applyBorder="1" applyAlignment="1">
      <alignment vertical="center"/>
    </xf>
    <xf numFmtId="165" fontId="56" fillId="5" borderId="1" xfId="0" applyNumberFormat="1" applyFont="1" applyFill="1" applyBorder="1" applyAlignment="1">
      <alignment horizontal="right" vertical="center"/>
    </xf>
    <xf numFmtId="0" fontId="16" fillId="5" borderId="0" xfId="0" applyFont="1" applyFill="1" applyAlignment="1">
      <alignment horizontal="right" vertical="center"/>
    </xf>
    <xf numFmtId="49" fontId="47" fillId="0" borderId="0" xfId="20" applyNumberFormat="1" applyFont="1" applyBorder="1" applyAlignment="1">
      <alignment horizontal="center" vertical="center"/>
    </xf>
    <xf numFmtId="49" fontId="56" fillId="5" borderId="6"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51" fillId="5" borderId="0" xfId="0" applyNumberFormat="1" applyFont="1" applyFill="1" applyAlignment="1">
      <alignment vertical="center"/>
    </xf>
    <xf numFmtId="0" fontId="51" fillId="5" borderId="0" xfId="0" applyFont="1" applyFill="1" applyAlignment="1">
      <alignment vertical="center"/>
    </xf>
    <xf numFmtId="165" fontId="16" fillId="0" borderId="0" xfId="20" applyNumberFormat="1" applyFont="1" applyBorder="1" applyAlignment="1">
      <alignment vertical="center"/>
    </xf>
    <xf numFmtId="165" fontId="52" fillId="0" borderId="0" xfId="20" applyNumberFormat="1" applyFont="1" applyBorder="1" applyAlignment="1">
      <alignment vertical="center"/>
    </xf>
    <xf numFmtId="165" fontId="52" fillId="5" borderId="0" xfId="0" applyNumberFormat="1" applyFont="1" applyFill="1" applyAlignment="1">
      <alignment vertical="center"/>
    </xf>
    <xf numFmtId="165" fontId="61" fillId="5" borderId="0" xfId="0" applyNumberFormat="1" applyFont="1" applyFill="1" applyAlignment="1">
      <alignment vertical="center"/>
    </xf>
    <xf numFmtId="49" fontId="56" fillId="4" borderId="1" xfId="0" applyNumberFormat="1" applyFont="1" applyFill="1" applyBorder="1" applyAlignment="1">
      <alignment horizontal="center" vertical="center"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6" fillId="5" borderId="5" xfId="0" applyFont="1" applyFill="1" applyBorder="1" applyAlignment="1">
      <alignment vertical="center" wrapText="1"/>
    </xf>
    <xf numFmtId="0" fontId="61"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165" fontId="49" fillId="5" borderId="6" xfId="0" applyNumberFormat="1" applyFont="1" applyFill="1" applyBorder="1" applyAlignment="1">
      <alignment horizontal="right" vertical="center"/>
    </xf>
    <xf numFmtId="165" fontId="56" fillId="5" borderId="6" xfId="0" applyNumberFormat="1" applyFont="1" applyFill="1" applyBorder="1" applyAlignment="1">
      <alignment horizontal="right" vertical="center"/>
    </xf>
    <xf numFmtId="0" fontId="56" fillId="5" borderId="1" xfId="0" applyFont="1" applyFill="1" applyBorder="1" applyAlignment="1">
      <alignment horizontal="left" vertical="center" wrapText="1"/>
    </xf>
    <xf numFmtId="165" fontId="49" fillId="5" borderId="6" xfId="0" applyNumberFormat="1" applyFont="1" applyFill="1" applyBorder="1" applyAlignment="1">
      <alignment horizontal="right" vertical="center" wrapText="1"/>
    </xf>
    <xf numFmtId="0" fontId="56" fillId="5" borderId="1" xfId="0" applyFont="1" applyFill="1" applyBorder="1" applyAlignment="1">
      <alignment vertical="center" wrapText="1"/>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49" fontId="56" fillId="4" borderId="1" xfId="0" applyNumberFormat="1" applyFont="1" applyFill="1" applyBorder="1" applyAlignment="1">
      <alignment horizontal="center" vertical="center"/>
    </xf>
    <xf numFmtId="165" fontId="56" fillId="4" borderId="1" xfId="0" applyNumberFormat="1" applyFont="1" applyFill="1" applyBorder="1" applyAlignment="1">
      <alignment horizontal="right" vertical="center" wrapText="1"/>
    </xf>
    <xf numFmtId="165" fontId="56" fillId="4" borderId="1" xfId="0" applyNumberFormat="1" applyFont="1" applyFill="1" applyBorder="1" applyAlignment="1">
      <alignment vertical="center"/>
    </xf>
    <xf numFmtId="165" fontId="58" fillId="7" borderId="1" xfId="0" applyNumberFormat="1" applyFont="1" applyFill="1" applyBorder="1" applyAlignment="1">
      <alignment horizontal="center" vertical="center" wrapText="1"/>
    </xf>
    <xf numFmtId="165" fontId="58" fillId="16" borderId="1" xfId="0" applyNumberFormat="1" applyFont="1" applyFill="1" applyBorder="1" applyAlignment="1">
      <alignment horizontal="center" vertical="center" wrapText="1"/>
    </xf>
    <xf numFmtId="165" fontId="58" fillId="21" borderId="1" xfId="0" applyNumberFormat="1" applyFont="1" applyFill="1" applyBorder="1" applyAlignment="1">
      <alignment horizontal="center" vertical="center" wrapText="1"/>
    </xf>
    <xf numFmtId="165" fontId="58" fillId="19" borderId="1" xfId="0" applyNumberFormat="1" applyFont="1" applyFill="1" applyBorder="1" applyAlignment="1">
      <alignment horizontal="center" vertical="center" wrapText="1"/>
    </xf>
    <xf numFmtId="165" fontId="58" fillId="8" borderId="1" xfId="0" applyNumberFormat="1" applyFont="1" applyFill="1" applyBorder="1" applyAlignment="1">
      <alignment horizontal="center" vertical="center" wrapText="1"/>
    </xf>
    <xf numFmtId="165" fontId="58" fillId="10" borderId="1" xfId="0" applyNumberFormat="1" applyFont="1" applyFill="1" applyBorder="1" applyAlignment="1">
      <alignment horizontal="center" vertical="center" wrapText="1"/>
    </xf>
    <xf numFmtId="0" fontId="56" fillId="5" borderId="5" xfId="0" applyFont="1" applyFill="1" applyBorder="1" applyAlignment="1">
      <alignment horizontal="center" vertical="center" wrapText="1"/>
    </xf>
    <xf numFmtId="2" fontId="16" fillId="5" borderId="0" xfId="0" applyNumberFormat="1" applyFont="1" applyFill="1" applyAlignment="1">
      <alignment vertical="center"/>
    </xf>
    <xf numFmtId="174" fontId="16" fillId="5" borderId="0" xfId="0" applyNumberFormat="1" applyFont="1" applyFill="1" applyAlignment="1">
      <alignment vertical="center"/>
    </xf>
    <xf numFmtId="174" fontId="16" fillId="0" borderId="0" xfId="20" applyNumberFormat="1" applyFont="1" applyBorder="1" applyAlignment="1">
      <alignment vertical="center"/>
    </xf>
    <xf numFmtId="174" fontId="52" fillId="0" borderId="0" xfId="20" applyNumberFormat="1" applyFont="1" applyBorder="1" applyAlignment="1">
      <alignment vertical="center"/>
    </xf>
    <xf numFmtId="174" fontId="52" fillId="5" borderId="0" xfId="0" applyNumberFormat="1" applyFont="1" applyFill="1" applyAlignment="1">
      <alignment vertical="center"/>
    </xf>
    <xf numFmtId="174" fontId="60" fillId="5" borderId="0" xfId="0" applyNumberFormat="1" applyFont="1" applyFill="1" applyAlignment="1">
      <alignment vertical="center"/>
    </xf>
    <xf numFmtId="174" fontId="60" fillId="4" borderId="0" xfId="0" applyNumberFormat="1" applyFont="1" applyFill="1" applyAlignment="1">
      <alignment vertical="center"/>
    </xf>
    <xf numFmtId="174" fontId="61" fillId="5" borderId="0" xfId="0" applyNumberFormat="1" applyFont="1" applyFill="1" applyAlignment="1">
      <alignment vertical="center"/>
    </xf>
    <xf numFmtId="174" fontId="59" fillId="0" borderId="0" xfId="0" applyNumberFormat="1" applyFont="1" applyFill="1" applyAlignment="1">
      <alignment horizontal="left" vertical="center" wrapText="1"/>
    </xf>
    <xf numFmtId="165" fontId="52" fillId="0" borderId="5" xfId="0" applyNumberFormat="1" applyFont="1" applyFill="1" applyBorder="1" applyAlignment="1">
      <alignment vertical="center"/>
    </xf>
    <xf numFmtId="0" fontId="52" fillId="5" borderId="5" xfId="0" applyFont="1" applyFill="1" applyBorder="1" applyAlignment="1">
      <alignment vertical="center"/>
    </xf>
    <xf numFmtId="165" fontId="52" fillId="5" borderId="5" xfId="0" applyNumberFormat="1" applyFont="1" applyFill="1" applyBorder="1" applyAlignment="1">
      <alignment vertical="center"/>
    </xf>
    <xf numFmtId="0" fontId="52" fillId="0" borderId="0" xfId="0" applyFont="1" applyFill="1" applyBorder="1" applyAlignment="1">
      <alignment vertical="center"/>
    </xf>
    <xf numFmtId="0" fontId="52" fillId="5" borderId="0" xfId="0" applyFont="1" applyFill="1" applyBorder="1" applyAlignment="1">
      <alignment vertical="center"/>
    </xf>
    <xf numFmtId="0" fontId="16" fillId="5" borderId="0" xfId="0" applyFont="1" applyFill="1" applyAlignment="1">
      <alignment horizontal="right" vertical="center"/>
    </xf>
    <xf numFmtId="0" fontId="56" fillId="5" borderId="5" xfId="0" applyFont="1" applyFill="1" applyBorder="1" applyAlignment="1">
      <alignment vertical="center" wrapText="1"/>
    </xf>
    <xf numFmtId="49" fontId="56" fillId="5" borderId="1" xfId="0" applyNumberFormat="1" applyFont="1" applyFill="1" applyBorder="1" applyAlignment="1">
      <alignment horizontal="center"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49" fillId="5" borderId="1" xfId="0" applyNumberFormat="1" applyFont="1" applyFill="1" applyBorder="1" applyAlignment="1">
      <alignment horizontal="right" vertical="center"/>
    </xf>
    <xf numFmtId="0" fontId="52" fillId="0" borderId="0" xfId="0" applyFont="1" applyFill="1" applyBorder="1" applyAlignment="1">
      <alignment horizontal="center" vertical="center" wrapText="1"/>
    </xf>
    <xf numFmtId="165" fontId="52" fillId="0" borderId="0" xfId="0" applyNumberFormat="1" applyFont="1" applyFill="1" applyBorder="1" applyAlignment="1">
      <alignment horizontal="center" vertical="center" wrapText="1"/>
    </xf>
    <xf numFmtId="0" fontId="56" fillId="5" borderId="6" xfId="0" applyFont="1" applyFill="1" applyBorder="1" applyAlignment="1">
      <alignment horizontal="left" vertical="center" wrapText="1"/>
    </xf>
    <xf numFmtId="0" fontId="56" fillId="5" borderId="7" xfId="0" applyFont="1" applyFill="1" applyBorder="1" applyAlignment="1">
      <alignment horizontal="center" vertical="center"/>
    </xf>
    <xf numFmtId="49" fontId="56" fillId="5" borderId="7" xfId="0" applyNumberFormat="1" applyFont="1" applyFill="1" applyBorder="1" applyAlignment="1">
      <alignment horizontal="left" vertical="center" wrapText="1"/>
    </xf>
    <xf numFmtId="49" fontId="49" fillId="5" borderId="7" xfId="0" applyNumberFormat="1" applyFont="1" applyFill="1" applyBorder="1" applyAlignment="1">
      <alignment horizontal="left" vertical="center" wrapText="1"/>
    </xf>
    <xf numFmtId="0" fontId="49" fillId="5" borderId="7" xfId="0" applyFont="1" applyFill="1" applyBorder="1" applyAlignment="1">
      <alignment horizontal="right" vertical="center"/>
    </xf>
    <xf numFmtId="0" fontId="56" fillId="5" borderId="7" xfId="0" applyFont="1" applyFill="1" applyBorder="1" applyAlignment="1">
      <alignment horizontal="right" vertical="center"/>
    </xf>
    <xf numFmtId="0" fontId="49" fillId="5" borderId="7" xfId="0" applyFont="1" applyFill="1" applyBorder="1" applyAlignment="1">
      <alignment vertical="center"/>
    </xf>
    <xf numFmtId="0" fontId="56" fillId="5" borderId="7" xfId="0" applyFont="1" applyFill="1" applyBorder="1" applyAlignment="1">
      <alignment vertical="center"/>
    </xf>
    <xf numFmtId="49" fontId="56" fillId="5" borderId="3" xfId="0" applyNumberFormat="1" applyFont="1" applyFill="1" applyBorder="1" applyAlignment="1">
      <alignment horizontal="center" vertical="center" wrapText="1"/>
    </xf>
    <xf numFmtId="0" fontId="56" fillId="5" borderId="3" xfId="0" applyFont="1" applyFill="1" applyBorder="1" applyAlignment="1">
      <alignment horizontal="left" vertical="center" wrapText="1"/>
    </xf>
    <xf numFmtId="165" fontId="49" fillId="5" borderId="3" xfId="0" applyNumberFormat="1" applyFont="1" applyFill="1" applyBorder="1" applyAlignment="1">
      <alignment horizontal="right" vertical="center" wrapText="1"/>
    </xf>
    <xf numFmtId="165" fontId="56" fillId="5" borderId="3" xfId="12" applyNumberFormat="1" applyFont="1" applyFill="1" applyBorder="1" applyAlignment="1" applyProtection="1">
      <alignment horizontal="right" vertical="center"/>
      <protection hidden="1"/>
    </xf>
    <xf numFmtId="165" fontId="56" fillId="5" borderId="3" xfId="0" applyNumberFormat="1" applyFont="1" applyFill="1" applyBorder="1" applyAlignment="1">
      <alignment horizontal="right" vertical="center" wrapText="1"/>
    </xf>
    <xf numFmtId="165" fontId="49" fillId="5" borderId="3" xfId="0" applyNumberFormat="1" applyFont="1" applyFill="1" applyBorder="1" applyAlignment="1">
      <alignment vertical="center"/>
    </xf>
    <xf numFmtId="165" fontId="56" fillId="5" borderId="3" xfId="0" applyNumberFormat="1" applyFont="1" applyFill="1" applyBorder="1" applyAlignment="1">
      <alignment vertical="center"/>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165" fontId="49" fillId="5" borderId="6" xfId="0" applyNumberFormat="1" applyFont="1" applyFill="1" applyBorder="1" applyAlignment="1">
      <alignment horizontal="right" vertical="center" wrapText="1"/>
    </xf>
    <xf numFmtId="165" fontId="49" fillId="5" borderId="7" xfId="0" applyNumberFormat="1" applyFont="1" applyFill="1" applyBorder="1" applyAlignment="1">
      <alignment horizontal="right" vertical="center" wrapText="1"/>
    </xf>
    <xf numFmtId="49" fontId="56" fillId="5" borderId="1"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wrapText="1"/>
    </xf>
    <xf numFmtId="165" fontId="56" fillId="5" borderId="7"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49" fillId="5" borderId="0" xfId="0" applyNumberFormat="1" applyFont="1" applyFill="1" applyAlignment="1">
      <alignment vertical="center"/>
    </xf>
    <xf numFmtId="0" fontId="51" fillId="0" borderId="0" xfId="0" applyNumberFormat="1" applyFont="1" applyFill="1" applyAlignment="1">
      <alignment horizontal="left" vertical="center" wrapText="1"/>
    </xf>
    <xf numFmtId="0" fontId="52" fillId="5" borderId="0" xfId="0" applyFont="1" applyFill="1" applyAlignment="1">
      <alignment vertical="center" wrapText="1"/>
    </xf>
    <xf numFmtId="0" fontId="52" fillId="0" borderId="0" xfId="20" applyFont="1" applyBorder="1" applyAlignment="1">
      <alignment vertical="center" wrapText="1"/>
    </xf>
    <xf numFmtId="0" fontId="8" fillId="26" borderId="1" xfId="0" applyFont="1" applyFill="1" applyBorder="1" applyAlignment="1">
      <alignment horizontal="center" vertical="center"/>
    </xf>
    <xf numFmtId="165" fontId="49" fillId="26" borderId="1" xfId="0" applyNumberFormat="1" applyFont="1" applyFill="1" applyBorder="1" applyAlignment="1">
      <alignment horizontal="right" vertical="center" wrapText="1"/>
    </xf>
    <xf numFmtId="165" fontId="49" fillId="26" borderId="6" xfId="0" applyNumberFormat="1" applyFont="1" applyFill="1" applyBorder="1" applyAlignment="1">
      <alignment horizontal="right" vertical="center" wrapText="1"/>
    </xf>
    <xf numFmtId="165" fontId="49" fillId="26" borderId="1" xfId="0" applyNumberFormat="1" applyFont="1" applyFill="1" applyBorder="1" applyAlignment="1">
      <alignment vertical="center" wrapText="1"/>
    </xf>
    <xf numFmtId="165" fontId="49" fillId="26" borderId="7" xfId="0" applyNumberFormat="1" applyFont="1" applyFill="1" applyBorder="1" applyAlignment="1">
      <alignment horizontal="right" vertical="center" wrapText="1"/>
    </xf>
    <xf numFmtId="0" fontId="8" fillId="26" borderId="1" xfId="0" applyFont="1" applyFill="1" applyBorder="1" applyAlignment="1">
      <alignment horizontal="center" vertical="center" wrapText="1"/>
    </xf>
    <xf numFmtId="1" fontId="52" fillId="26" borderId="1" xfId="20" applyNumberFormat="1" applyFont="1" applyFill="1" applyBorder="1" applyAlignment="1">
      <alignment horizontal="center" vertical="center" textRotation="90" wrapText="1"/>
    </xf>
    <xf numFmtId="0" fontId="16" fillId="5" borderId="0" xfId="0" applyFont="1" applyFill="1" applyAlignment="1">
      <alignment horizontal="right" vertical="center"/>
    </xf>
    <xf numFmtId="0" fontId="52" fillId="5" borderId="0" xfId="0" applyNumberFormat="1" applyFont="1" applyFill="1" applyBorder="1" applyAlignment="1">
      <alignment vertical="center"/>
    </xf>
    <xf numFmtId="0" fontId="52" fillId="5" borderId="1" xfId="0" applyFont="1" applyFill="1" applyBorder="1" applyAlignment="1">
      <alignment horizontal="center" vertical="center" wrapText="1"/>
    </xf>
    <xf numFmtId="49" fontId="56" fillId="5" borderId="6" xfId="0" applyNumberFormat="1" applyFont="1" applyFill="1" applyBorder="1" applyAlignment="1">
      <alignment horizontal="center" vertical="center" wrapText="1"/>
    </xf>
    <xf numFmtId="0" fontId="56" fillId="5" borderId="5" xfId="0" applyFont="1" applyFill="1" applyBorder="1" applyAlignment="1">
      <alignment vertical="center" wrapText="1"/>
    </xf>
    <xf numFmtId="165" fontId="56" fillId="5" borderId="6" xfId="0" applyNumberFormat="1" applyFont="1" applyFill="1" applyBorder="1" applyAlignment="1">
      <alignment horizontal="right" vertical="center"/>
    </xf>
    <xf numFmtId="49" fontId="56" fillId="5" borderId="1" xfId="0" applyNumberFormat="1" applyFont="1" applyFill="1" applyBorder="1" applyAlignment="1">
      <alignment horizontal="center" vertical="center" wrapText="1"/>
    </xf>
    <xf numFmtId="165" fontId="49" fillId="5" borderId="6" xfId="0" applyNumberFormat="1" applyFont="1" applyFill="1" applyBorder="1" applyAlignment="1">
      <alignment vertical="center"/>
    </xf>
    <xf numFmtId="165" fontId="56" fillId="5" borderId="6" xfId="0" applyNumberFormat="1" applyFont="1" applyFill="1" applyBorder="1" applyAlignment="1">
      <alignment horizontal="right" vertical="center" wrapText="1"/>
    </xf>
    <xf numFmtId="0" fontId="56" fillId="5" borderId="1" xfId="0" applyFont="1" applyFill="1" applyBorder="1" applyAlignment="1">
      <alignment horizontal="left" vertical="center" wrapText="1"/>
    </xf>
    <xf numFmtId="0" fontId="56" fillId="5" borderId="1" xfId="0" applyFont="1" applyFill="1" applyBorder="1" applyAlignment="1">
      <alignment vertical="center" wrapText="1"/>
    </xf>
    <xf numFmtId="165" fontId="49" fillId="5" borderId="6" xfId="0" applyNumberFormat="1" applyFont="1" applyFill="1" applyBorder="1" applyAlignment="1">
      <alignment horizontal="right" vertical="center" wrapText="1"/>
    </xf>
    <xf numFmtId="165" fontId="49" fillId="5" borderId="6" xfId="0" applyNumberFormat="1" applyFont="1" applyFill="1" applyBorder="1" applyAlignment="1">
      <alignment horizontal="right" vertical="center"/>
    </xf>
    <xf numFmtId="165" fontId="56" fillId="5" borderId="6" xfId="0" applyNumberFormat="1" applyFont="1" applyFill="1" applyBorder="1" applyAlignment="1">
      <alignment vertical="center"/>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165" fontId="56" fillId="5" borderId="6" xfId="12" applyNumberFormat="1" applyFont="1" applyFill="1" applyBorder="1" applyAlignment="1" applyProtection="1">
      <alignment horizontal="right" vertical="center"/>
      <protection hidden="1"/>
    </xf>
    <xf numFmtId="0" fontId="16" fillId="0" borderId="0" xfId="0" applyFont="1" applyAlignment="1">
      <alignment horizontal="center" vertical="center" wrapText="1"/>
    </xf>
    <xf numFmtId="0" fontId="36" fillId="0" borderId="0" xfId="0" applyFont="1" applyAlignment="1">
      <alignment horizontal="center" vertical="center" wrapText="1"/>
    </xf>
    <xf numFmtId="165" fontId="16" fillId="0" borderId="0" xfId="0" applyNumberFormat="1" applyFont="1" applyAlignment="1">
      <alignment horizontal="center" vertical="center"/>
    </xf>
    <xf numFmtId="0" fontId="36" fillId="0" borderId="1" xfId="0" applyFont="1" applyBorder="1" applyAlignment="1">
      <alignment horizontal="center" vertical="center" wrapText="1"/>
    </xf>
    <xf numFmtId="165" fontId="16" fillId="0" borderId="1" xfId="0" applyNumberFormat="1" applyFont="1" applyBorder="1" applyAlignment="1">
      <alignment horizontal="center" vertical="center"/>
    </xf>
    <xf numFmtId="0" fontId="45" fillId="0" borderId="0" xfId="0" applyFont="1" applyAlignment="1">
      <alignment horizontal="center" vertical="center" wrapText="1"/>
    </xf>
    <xf numFmtId="0" fontId="36" fillId="0" borderId="0" xfId="0" applyFont="1" applyBorder="1" applyAlignment="1">
      <alignment horizontal="center" vertical="center" wrapText="1"/>
    </xf>
    <xf numFmtId="165" fontId="16" fillId="0" borderId="0" xfId="0" applyNumberFormat="1" applyFont="1" applyBorder="1" applyAlignment="1">
      <alignment horizontal="center" vertical="center"/>
    </xf>
    <xf numFmtId="0" fontId="56" fillId="0" borderId="0" xfId="0" applyFont="1" applyFill="1" applyAlignment="1">
      <alignment horizontal="center" vertical="center" wrapText="1"/>
    </xf>
    <xf numFmtId="0" fontId="56" fillId="5" borderId="0" xfId="0" applyNumberFormat="1" applyFont="1" applyFill="1" applyAlignment="1">
      <alignment vertical="center" wrapText="1"/>
    </xf>
    <xf numFmtId="1" fontId="9" fillId="0" borderId="0" xfId="0" applyNumberFormat="1" applyFont="1" applyFill="1" applyAlignment="1">
      <alignment horizontal="left" vertical="center" wrapText="1"/>
    </xf>
    <xf numFmtId="0" fontId="47" fillId="5" borderId="2" xfId="0" applyFont="1" applyFill="1" applyBorder="1" applyAlignment="1">
      <alignment horizontal="left" vertical="top" wrapText="1"/>
    </xf>
    <xf numFmtId="0" fontId="47" fillId="5" borderId="11" xfId="0" applyFont="1" applyFill="1" applyBorder="1" applyAlignment="1">
      <alignment vertical="top" wrapText="1"/>
    </xf>
    <xf numFmtId="1" fontId="52" fillId="5" borderId="0" xfId="0" applyNumberFormat="1" applyFont="1" applyFill="1" applyAlignment="1">
      <alignment horizontal="left" vertical="center" wrapText="1"/>
    </xf>
    <xf numFmtId="1" fontId="56" fillId="5" borderId="0" xfId="0" applyNumberFormat="1" applyFont="1" applyFill="1" applyAlignment="1">
      <alignment horizontal="left" vertical="center" wrapText="1"/>
    </xf>
    <xf numFmtId="0" fontId="47" fillId="5" borderId="2" xfId="0" applyFont="1" applyFill="1" applyBorder="1" applyAlignment="1">
      <alignment vertical="top" wrapText="1"/>
    </xf>
    <xf numFmtId="165" fontId="56" fillId="0" borderId="5" xfId="0" applyNumberFormat="1" applyFont="1" applyFill="1" applyBorder="1" applyAlignment="1">
      <alignment vertical="center"/>
    </xf>
    <xf numFmtId="1" fontId="56" fillId="5" borderId="0" xfId="0" applyNumberFormat="1" applyFont="1" applyFill="1" applyBorder="1" applyAlignment="1">
      <alignment horizontal="left" vertical="center" wrapText="1"/>
    </xf>
    <xf numFmtId="0" fontId="56" fillId="5" borderId="0" xfId="0" applyFont="1" applyFill="1" applyBorder="1" applyAlignment="1">
      <alignment horizontal="center" vertical="center" wrapText="1"/>
    </xf>
    <xf numFmtId="165" fontId="49" fillId="5" borderId="4" xfId="0" applyNumberFormat="1" applyFont="1" applyFill="1" applyBorder="1" applyAlignment="1">
      <alignment vertical="center"/>
    </xf>
    <xf numFmtId="0" fontId="56" fillId="5" borderId="4" xfId="0" applyFont="1" applyFill="1" applyBorder="1" applyAlignment="1">
      <alignment vertical="center"/>
    </xf>
    <xf numFmtId="165" fontId="56" fillId="5" borderId="4" xfId="0" applyNumberFormat="1" applyFont="1" applyFill="1" applyBorder="1" applyAlignment="1">
      <alignment vertical="center"/>
    </xf>
    <xf numFmtId="0" fontId="49" fillId="5" borderId="4" xfId="0" applyFont="1" applyFill="1" applyBorder="1" applyAlignment="1">
      <alignment vertical="center"/>
    </xf>
    <xf numFmtId="165" fontId="56" fillId="5" borderId="4" xfId="0" applyNumberFormat="1" applyFont="1" applyFill="1" applyBorder="1" applyAlignment="1">
      <alignment vertical="center" wrapText="1"/>
    </xf>
    <xf numFmtId="165" fontId="49" fillId="5" borderId="4" xfId="0" applyNumberFormat="1" applyFont="1" applyFill="1" applyBorder="1" applyAlignment="1">
      <alignment horizontal="right" vertical="center"/>
    </xf>
    <xf numFmtId="0" fontId="56" fillId="5" borderId="0" xfId="0" applyNumberFormat="1" applyFont="1" applyFill="1" applyBorder="1" applyAlignment="1">
      <alignment vertical="center"/>
    </xf>
    <xf numFmtId="165" fontId="56" fillId="5" borderId="0" xfId="0" applyNumberFormat="1" applyFont="1" applyFill="1" applyBorder="1" applyAlignment="1">
      <alignment vertical="center"/>
    </xf>
    <xf numFmtId="165" fontId="9" fillId="5" borderId="0" xfId="0" applyNumberFormat="1" applyFont="1" applyFill="1" applyAlignment="1">
      <alignment horizontal="right" vertical="center"/>
    </xf>
    <xf numFmtId="0" fontId="36" fillId="0" borderId="0" xfId="0" applyFont="1" applyFill="1" applyAlignment="1">
      <alignment horizontal="center" vertical="center" wrapText="1"/>
    </xf>
    <xf numFmtId="1" fontId="36" fillId="5" borderId="0" xfId="0" applyNumberFormat="1" applyFont="1" applyFill="1" applyAlignment="1">
      <alignment horizontal="left" vertical="center" wrapText="1"/>
    </xf>
    <xf numFmtId="0" fontId="36" fillId="5" borderId="0" xfId="0" applyNumberFormat="1" applyFont="1" applyFill="1" applyAlignment="1">
      <alignment vertical="center" wrapText="1"/>
    </xf>
    <xf numFmtId="0" fontId="36" fillId="5" borderId="0" xfId="0" applyFont="1" applyFill="1" applyAlignment="1">
      <alignment horizontal="center" vertical="center"/>
    </xf>
    <xf numFmtId="0" fontId="36" fillId="5" borderId="0" xfId="0" applyFont="1" applyFill="1" applyAlignment="1">
      <alignment horizontal="right" vertical="center"/>
    </xf>
    <xf numFmtId="0" fontId="9" fillId="5" borderId="0" xfId="0" applyFont="1" applyFill="1" applyAlignment="1">
      <alignment horizontal="right" vertical="center"/>
    </xf>
    <xf numFmtId="0" fontId="9" fillId="5" borderId="0" xfId="0" applyFont="1" applyFill="1" applyAlignment="1">
      <alignment vertical="center"/>
    </xf>
    <xf numFmtId="0" fontId="36" fillId="5" borderId="0" xfId="20" applyFont="1" applyFill="1" applyBorder="1" applyAlignment="1">
      <alignment horizontal="center" vertical="center"/>
    </xf>
    <xf numFmtId="0" fontId="36" fillId="5" borderId="0" xfId="20" applyFont="1" applyFill="1" applyBorder="1" applyAlignment="1">
      <alignment vertical="center"/>
    </xf>
    <xf numFmtId="1" fontId="9" fillId="0" borderId="0" xfId="20" applyNumberFormat="1" applyFont="1" applyBorder="1" applyAlignment="1">
      <alignment vertical="center"/>
    </xf>
    <xf numFmtId="1" fontId="36" fillId="0" borderId="0" xfId="20" applyNumberFormat="1" applyFont="1" applyBorder="1" applyAlignment="1">
      <alignment vertical="center"/>
    </xf>
    <xf numFmtId="0" fontId="36" fillId="0" borderId="0" xfId="20" applyFont="1" applyBorder="1" applyAlignment="1">
      <alignment vertical="center"/>
    </xf>
    <xf numFmtId="0" fontId="36" fillId="0" borderId="0" xfId="20" applyFont="1" applyAlignment="1">
      <alignment vertical="center"/>
    </xf>
    <xf numFmtId="0" fontId="36" fillId="0" borderId="0" xfId="20" applyFont="1" applyFill="1" applyBorder="1" applyAlignment="1">
      <alignment horizontal="center" vertical="center" wrapText="1"/>
    </xf>
    <xf numFmtId="1" fontId="36" fillId="5" borderId="0" xfId="20" applyNumberFormat="1" applyFont="1" applyFill="1" applyBorder="1" applyAlignment="1">
      <alignment horizontal="left" vertical="center" wrapText="1"/>
    </xf>
    <xf numFmtId="1" fontId="36" fillId="0" borderId="0" xfId="20" applyNumberFormat="1" applyFont="1" applyBorder="1" applyAlignment="1">
      <alignment horizontal="left" vertical="center" wrapText="1"/>
    </xf>
    <xf numFmtId="0" fontId="36" fillId="0" borderId="0" xfId="20" applyNumberFormat="1" applyFont="1" applyBorder="1" applyAlignment="1">
      <alignment vertical="center" wrapText="1"/>
    </xf>
    <xf numFmtId="164" fontId="9" fillId="0" borderId="0" xfId="20" applyNumberFormat="1" applyFont="1" applyBorder="1" applyAlignment="1">
      <alignment vertical="center"/>
    </xf>
    <xf numFmtId="2" fontId="36" fillId="0" borderId="0" xfId="20" applyNumberFormat="1" applyFont="1" applyBorder="1" applyAlignment="1">
      <alignment vertical="center"/>
    </xf>
    <xf numFmtId="2" fontId="9" fillId="0" borderId="0" xfId="20" applyNumberFormat="1" applyFont="1" applyBorder="1" applyAlignment="1">
      <alignment horizontal="right" vertical="center"/>
    </xf>
    <xf numFmtId="0" fontId="9" fillId="0" borderId="0" xfId="18" applyFont="1" applyAlignment="1" applyProtection="1">
      <alignment vertical="center"/>
      <protection hidden="1"/>
    </xf>
    <xf numFmtId="0" fontId="9" fillId="0" borderId="0" xfId="20" applyFont="1" applyBorder="1" applyAlignment="1">
      <alignment vertical="center"/>
    </xf>
    <xf numFmtId="1" fontId="9" fillId="5" borderId="0" xfId="20" applyNumberFormat="1" applyFont="1" applyFill="1" applyBorder="1" applyAlignment="1">
      <alignment horizontal="left" vertical="center" wrapText="1"/>
    </xf>
    <xf numFmtId="165" fontId="9" fillId="0" borderId="0" xfId="20" applyNumberFormat="1" applyFont="1" applyBorder="1" applyAlignment="1">
      <alignment horizontal="center" vertical="center"/>
    </xf>
    <xf numFmtId="0" fontId="36" fillId="0" borderId="0" xfId="20" applyFont="1" applyBorder="1" applyAlignment="1">
      <alignment horizontal="center" vertical="center"/>
    </xf>
    <xf numFmtId="0" fontId="36" fillId="0" borderId="0" xfId="20" applyFont="1" applyFill="1" applyBorder="1" applyAlignment="1">
      <alignment horizontal="center" vertical="center"/>
    </xf>
    <xf numFmtId="165" fontId="9" fillId="0" borderId="0" xfId="20" applyNumberFormat="1" applyFont="1" applyBorder="1" applyAlignment="1">
      <alignment horizontal="right" vertical="center"/>
    </xf>
    <xf numFmtId="165" fontId="36" fillId="0" borderId="4" xfId="20" applyNumberFormat="1" applyFont="1" applyBorder="1" applyAlignment="1">
      <alignment vertical="center"/>
    </xf>
    <xf numFmtId="0" fontId="36" fillId="0" borderId="6" xfId="0" applyFont="1" applyFill="1" applyBorder="1" applyAlignment="1">
      <alignment horizontal="center" vertical="center" wrapText="1"/>
    </xf>
    <xf numFmtId="0" fontId="36" fillId="0" borderId="1" xfId="0" applyFont="1" applyFill="1" applyBorder="1" applyAlignment="1">
      <alignment horizontal="center" vertical="center" wrapText="1"/>
    </xf>
    <xf numFmtId="165" fontId="9" fillId="6" borderId="1" xfId="0" applyNumberFormat="1" applyFont="1" applyFill="1" applyBorder="1" applyAlignment="1">
      <alignment horizontal="right" vertical="center" wrapText="1"/>
    </xf>
    <xf numFmtId="165" fontId="36" fillId="6" borderId="0" xfId="0" applyNumberFormat="1" applyFont="1" applyFill="1" applyAlignment="1">
      <alignment vertical="center"/>
    </xf>
    <xf numFmtId="165" fontId="9" fillId="7" borderId="1" xfId="0" applyNumberFormat="1" applyFont="1" applyFill="1" applyBorder="1" applyAlignment="1">
      <alignment horizontal="right" vertical="center" wrapText="1"/>
    </xf>
    <xf numFmtId="0" fontId="36" fillId="7" borderId="1" xfId="0" applyFont="1" applyFill="1" applyBorder="1" applyAlignment="1">
      <alignment horizontal="center" vertical="center" wrapText="1"/>
    </xf>
    <xf numFmtId="165" fontId="9" fillId="16" borderId="1" xfId="0" applyNumberFormat="1" applyFont="1" applyFill="1" applyBorder="1" applyAlignment="1">
      <alignment horizontal="right" vertical="center" wrapText="1"/>
    </xf>
    <xf numFmtId="0" fontId="36" fillId="16" borderId="1" xfId="0" applyFont="1" applyFill="1" applyBorder="1" applyAlignment="1">
      <alignment horizontal="center" vertical="center" wrapText="1"/>
    </xf>
    <xf numFmtId="165" fontId="9" fillId="0" borderId="1" xfId="0" applyNumberFormat="1" applyFont="1" applyFill="1" applyBorder="1" applyAlignment="1">
      <alignment horizontal="right" vertical="center" wrapText="1"/>
    </xf>
    <xf numFmtId="165" fontId="9" fillId="0" borderId="1" xfId="10" applyNumberFormat="1" applyFont="1" applyFill="1" applyBorder="1" applyAlignment="1" applyProtection="1">
      <alignment horizontal="right" vertical="center" wrapText="1"/>
      <protection hidden="1"/>
    </xf>
    <xf numFmtId="165" fontId="9" fillId="5" borderId="1" xfId="0" applyNumberFormat="1" applyFont="1" applyFill="1" applyBorder="1" applyAlignment="1">
      <alignment horizontal="right" vertical="center" wrapText="1"/>
    </xf>
    <xf numFmtId="165" fontId="9" fillId="5" borderId="1" xfId="10" applyNumberFormat="1" applyFont="1" applyFill="1" applyBorder="1" applyAlignment="1" applyProtection="1">
      <alignment horizontal="right" vertical="center" wrapText="1"/>
      <protection hidden="1"/>
    </xf>
    <xf numFmtId="165" fontId="9" fillId="5" borderId="1" xfId="0" applyNumberFormat="1" applyFont="1" applyFill="1" applyBorder="1" applyAlignment="1">
      <alignment vertical="center"/>
    </xf>
    <xf numFmtId="1" fontId="36" fillId="0" borderId="0" xfId="0" applyNumberFormat="1" applyFont="1" applyFill="1" applyAlignment="1">
      <alignment horizontal="left" vertical="center" wrapText="1"/>
    </xf>
    <xf numFmtId="0" fontId="36" fillId="0" borderId="0" xfId="0" applyNumberFormat="1" applyFont="1" applyFill="1" applyAlignment="1">
      <alignment vertical="center" wrapText="1"/>
    </xf>
    <xf numFmtId="0" fontId="36" fillId="0" borderId="0" xfId="0" applyFont="1" applyFill="1" applyAlignment="1">
      <alignment vertical="center" wrapText="1"/>
    </xf>
    <xf numFmtId="165" fontId="36" fillId="0" borderId="1" xfId="12" applyNumberFormat="1" applyFont="1" applyFill="1" applyBorder="1" applyAlignment="1" applyProtection="1">
      <alignment horizontal="right" vertical="center"/>
      <protection hidden="1"/>
    </xf>
    <xf numFmtId="165" fontId="36" fillId="5" borderId="1" xfId="0" applyNumberFormat="1" applyFont="1" applyFill="1" applyBorder="1" applyAlignment="1">
      <alignment horizontal="right" vertical="center" wrapText="1"/>
    </xf>
    <xf numFmtId="165" fontId="9" fillId="0" borderId="1" xfId="0" applyNumberFormat="1" applyFont="1" applyFill="1" applyBorder="1" applyAlignment="1">
      <alignment vertical="center" wrapText="1"/>
    </xf>
    <xf numFmtId="165" fontId="9" fillId="5" borderId="1" xfId="0" applyNumberFormat="1" applyFont="1" applyFill="1" applyBorder="1" applyAlignment="1">
      <alignment vertical="center" wrapText="1"/>
    </xf>
    <xf numFmtId="0" fontId="9" fillId="0" borderId="1" xfId="0" applyFont="1" applyFill="1" applyBorder="1" applyAlignment="1">
      <alignment horizontal="center" vertical="center" wrapText="1"/>
    </xf>
    <xf numFmtId="0" fontId="9" fillId="5" borderId="0" xfId="0" applyNumberFormat="1" applyFont="1" applyFill="1" applyAlignment="1">
      <alignment vertical="center" wrapText="1"/>
    </xf>
    <xf numFmtId="165" fontId="36" fillId="0" borderId="1" xfId="0" applyNumberFormat="1" applyFont="1" applyFill="1" applyBorder="1" applyAlignment="1">
      <alignment vertical="center" wrapText="1"/>
    </xf>
    <xf numFmtId="165" fontId="36" fillId="5" borderId="1" xfId="0" applyNumberFormat="1" applyFont="1" applyFill="1" applyBorder="1" applyAlignment="1">
      <alignment vertical="center" wrapText="1"/>
    </xf>
    <xf numFmtId="165" fontId="36" fillId="5" borderId="1" xfId="12" applyNumberFormat="1" applyFont="1" applyFill="1" applyBorder="1" applyAlignment="1" applyProtection="1">
      <alignment horizontal="right" vertical="center"/>
      <protection hidden="1"/>
    </xf>
    <xf numFmtId="165" fontId="36" fillId="27" borderId="1" xfId="12" applyNumberFormat="1" applyFont="1" applyFill="1" applyBorder="1" applyAlignment="1" applyProtection="1">
      <alignment horizontal="right" vertical="center"/>
      <protection hidden="1"/>
    </xf>
    <xf numFmtId="0" fontId="36" fillId="5" borderId="0" xfId="0" applyFont="1" applyFill="1" applyAlignment="1">
      <alignment horizontal="left" vertical="center"/>
    </xf>
    <xf numFmtId="165" fontId="36" fillId="0" borderId="1" xfId="0" applyNumberFormat="1" applyFont="1" applyFill="1" applyBorder="1" applyAlignment="1">
      <alignment horizontal="right" vertical="center" wrapText="1"/>
    </xf>
    <xf numFmtId="165" fontId="9" fillId="0" borderId="1" xfId="0" applyNumberFormat="1" applyFont="1" applyFill="1" applyBorder="1" applyAlignment="1">
      <alignment horizontal="right" vertical="center"/>
    </xf>
    <xf numFmtId="165" fontId="9" fillId="19" borderId="1" xfId="0" applyNumberFormat="1" applyFont="1" applyFill="1" applyBorder="1" applyAlignment="1">
      <alignment horizontal="right" vertical="center" wrapText="1"/>
    </xf>
    <xf numFmtId="0" fontId="36" fillId="19" borderId="1" xfId="0" applyFont="1" applyFill="1" applyBorder="1" applyAlignment="1">
      <alignment horizontal="center" vertical="center" wrapText="1"/>
    </xf>
    <xf numFmtId="165" fontId="9" fillId="10" borderId="1" xfId="0" applyNumberFormat="1" applyFont="1" applyFill="1" applyBorder="1" applyAlignment="1">
      <alignment horizontal="right" vertical="center" wrapText="1"/>
    </xf>
    <xf numFmtId="4" fontId="36" fillId="0" borderId="1" xfId="12" applyNumberFormat="1" applyFont="1" applyFill="1" applyBorder="1" applyAlignment="1" applyProtection="1">
      <alignment horizontal="right" vertical="center"/>
      <protection hidden="1"/>
    </xf>
    <xf numFmtId="0" fontId="43" fillId="5" borderId="0" xfId="0" applyNumberFormat="1" applyFont="1" applyFill="1" applyAlignment="1">
      <alignment vertical="center" wrapText="1"/>
    </xf>
    <xf numFmtId="0" fontId="43" fillId="5" borderId="0" xfId="0" applyFont="1" applyFill="1" applyAlignment="1">
      <alignment vertical="center"/>
    </xf>
    <xf numFmtId="165" fontId="36" fillId="0" borderId="10"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165" fontId="36" fillId="0" borderId="1" xfId="13" applyNumberFormat="1" applyFont="1" applyFill="1" applyBorder="1" applyAlignment="1" applyProtection="1">
      <alignment horizontal="right" vertical="center" wrapText="1"/>
      <protection hidden="1"/>
    </xf>
    <xf numFmtId="165" fontId="9" fillId="10" borderId="1" xfId="13" applyNumberFormat="1" applyFont="1" applyFill="1" applyBorder="1" applyAlignment="1" applyProtection="1">
      <alignment horizontal="right" vertical="center" wrapText="1"/>
      <protection hidden="1"/>
    </xf>
    <xf numFmtId="165" fontId="36" fillId="5" borderId="1" xfId="13" applyNumberFormat="1" applyFont="1" applyFill="1" applyBorder="1" applyAlignment="1" applyProtection="1">
      <alignment horizontal="right" vertical="center" wrapText="1"/>
      <protection hidden="1"/>
    </xf>
    <xf numFmtId="165" fontId="69" fillId="17" borderId="1" xfId="0" applyNumberFormat="1" applyFont="1" applyFill="1" applyBorder="1" applyAlignment="1">
      <alignment horizontal="right" vertical="center" wrapText="1"/>
    </xf>
    <xf numFmtId="165" fontId="43" fillId="17" borderId="1" xfId="13" applyNumberFormat="1" applyFont="1" applyFill="1" applyBorder="1" applyAlignment="1" applyProtection="1">
      <alignment horizontal="right" vertical="center" wrapText="1"/>
      <protection hidden="1"/>
    </xf>
    <xf numFmtId="165" fontId="9" fillId="18" borderId="1" xfId="0" applyNumberFormat="1" applyFont="1" applyFill="1" applyBorder="1" applyAlignment="1">
      <alignment horizontal="right" vertical="center" wrapText="1"/>
    </xf>
    <xf numFmtId="165" fontId="9" fillId="18" borderId="1" xfId="13" applyNumberFormat="1" applyFont="1" applyFill="1" applyBorder="1" applyAlignment="1" applyProtection="1">
      <alignment horizontal="right" vertical="center" wrapText="1"/>
      <protection hidden="1"/>
    </xf>
    <xf numFmtId="165" fontId="9" fillId="5" borderId="3" xfId="0" applyNumberFormat="1" applyFont="1" applyFill="1" applyBorder="1" applyAlignment="1">
      <alignment horizontal="right" vertical="center" wrapText="1"/>
    </xf>
    <xf numFmtId="165" fontId="36" fillId="5" borderId="3" xfId="12" applyNumberFormat="1" applyFont="1" applyFill="1" applyBorder="1" applyAlignment="1" applyProtection="1">
      <alignment horizontal="right" vertical="center"/>
      <protection hidden="1"/>
    </xf>
    <xf numFmtId="49" fontId="36" fillId="5" borderId="7" xfId="0" applyNumberFormat="1" applyFont="1" applyFill="1" applyBorder="1" applyAlignment="1">
      <alignment horizontal="left" vertical="center" wrapText="1"/>
    </xf>
    <xf numFmtId="49" fontId="9" fillId="5" borderId="7" xfId="0" applyNumberFormat="1" applyFont="1" applyFill="1" applyBorder="1" applyAlignment="1">
      <alignment horizontal="left" vertical="center" wrapText="1"/>
    </xf>
    <xf numFmtId="165" fontId="9" fillId="5" borderId="1" xfId="0" applyNumberFormat="1" applyFont="1" applyFill="1" applyBorder="1" applyAlignment="1">
      <alignment horizontal="right" vertical="center"/>
    </xf>
    <xf numFmtId="165" fontId="36" fillId="0" borderId="5" xfId="0" applyNumberFormat="1" applyFont="1" applyFill="1" applyBorder="1" applyAlignment="1">
      <alignment vertical="center"/>
    </xf>
    <xf numFmtId="1" fontId="36" fillId="5" borderId="0" xfId="0" applyNumberFormat="1" applyFont="1" applyFill="1" applyBorder="1" applyAlignment="1">
      <alignment horizontal="left" vertical="center" wrapText="1"/>
    </xf>
    <xf numFmtId="0" fontId="36" fillId="5" borderId="0" xfId="0" applyFont="1" applyFill="1" applyBorder="1" applyAlignment="1">
      <alignment horizontal="center" vertical="center" wrapText="1"/>
    </xf>
    <xf numFmtId="0" fontId="36" fillId="5" borderId="0" xfId="0" applyFont="1" applyFill="1" applyBorder="1" applyAlignment="1">
      <alignment vertical="center" wrapText="1"/>
    </xf>
    <xf numFmtId="165" fontId="9" fillId="5" borderId="0" xfId="0" applyNumberFormat="1" applyFont="1" applyFill="1" applyBorder="1" applyAlignment="1">
      <alignment vertical="center" wrapText="1"/>
    </xf>
    <xf numFmtId="0" fontId="36" fillId="5" borderId="0" xfId="0" applyNumberFormat="1" applyFont="1" applyFill="1" applyBorder="1" applyAlignment="1">
      <alignment vertical="center"/>
    </xf>
    <xf numFmtId="165" fontId="36" fillId="5" borderId="0" xfId="0" applyNumberFormat="1" applyFont="1" applyFill="1" applyBorder="1" applyAlignment="1">
      <alignment vertical="center"/>
    </xf>
    <xf numFmtId="165" fontId="9" fillId="5" borderId="0" xfId="0" applyNumberFormat="1" applyFont="1" applyFill="1" applyBorder="1" applyAlignment="1">
      <alignment vertical="center"/>
    </xf>
    <xf numFmtId="165" fontId="36" fillId="5" borderId="12" xfId="0" applyNumberFormat="1" applyFont="1" applyFill="1" applyBorder="1" applyAlignment="1">
      <alignment vertical="center"/>
    </xf>
    <xf numFmtId="165" fontId="36" fillId="5" borderId="0" xfId="0" applyNumberFormat="1" applyFont="1" applyFill="1" applyBorder="1" applyAlignment="1">
      <alignment vertical="center" wrapText="1"/>
    </xf>
    <xf numFmtId="165" fontId="9" fillId="5" borderId="0" xfId="0" applyNumberFormat="1" applyFont="1" applyFill="1" applyBorder="1" applyAlignment="1">
      <alignment horizontal="right" vertical="center"/>
    </xf>
    <xf numFmtId="0" fontId="36" fillId="5" borderId="0" xfId="0" applyFont="1" applyFill="1" applyBorder="1" applyAlignment="1">
      <alignment vertical="center"/>
    </xf>
    <xf numFmtId="0" fontId="70" fillId="0" borderId="0" xfId="0" applyNumberFormat="1" applyFont="1" applyBorder="1" applyAlignment="1">
      <alignment vertical="center"/>
    </xf>
    <xf numFmtId="164" fontId="36" fillId="5" borderId="0" xfId="0" applyNumberFormat="1" applyFont="1" applyFill="1" applyAlignment="1">
      <alignment vertical="center"/>
    </xf>
    <xf numFmtId="0" fontId="36" fillId="5" borderId="5" xfId="0" applyFont="1" applyFill="1" applyBorder="1" applyAlignment="1">
      <alignment vertical="center"/>
    </xf>
    <xf numFmtId="165" fontId="36" fillId="5" borderId="5" xfId="0" applyNumberFormat="1" applyFont="1" applyFill="1" applyBorder="1" applyAlignment="1">
      <alignment vertical="center"/>
    </xf>
    <xf numFmtId="0" fontId="9" fillId="0" borderId="0" xfId="0" applyNumberFormat="1" applyFont="1" applyFill="1" applyAlignment="1">
      <alignment horizontal="left" vertical="center" wrapText="1"/>
    </xf>
    <xf numFmtId="1" fontId="9" fillId="5" borderId="0" xfId="0" applyNumberFormat="1" applyFont="1" applyFill="1" applyAlignment="1">
      <alignment horizontal="left" vertical="center" wrapText="1"/>
    </xf>
    <xf numFmtId="165" fontId="36" fillId="0" borderId="0" xfId="0" applyNumberFormat="1" applyFont="1" applyFill="1" applyBorder="1" applyAlignment="1">
      <alignment horizontal="center" vertical="center" wrapText="1"/>
    </xf>
    <xf numFmtId="165" fontId="67" fillId="0" borderId="0" xfId="0" applyNumberFormat="1" applyFont="1"/>
    <xf numFmtId="165" fontId="36" fillId="0" borderId="0" xfId="20" applyNumberFormat="1" applyFont="1" applyBorder="1" applyAlignment="1">
      <alignment horizontal="center" vertical="center"/>
    </xf>
    <xf numFmtId="1" fontId="47" fillId="0" borderId="1" xfId="20" applyNumberFormat="1" applyFont="1" applyBorder="1" applyAlignment="1">
      <alignment horizontal="center" vertical="center" textRotation="90" wrapText="1"/>
    </xf>
    <xf numFmtId="0" fontId="47" fillId="5" borderId="1" xfId="0" applyFont="1" applyFill="1" applyBorder="1" applyAlignment="1">
      <alignment horizontal="center" vertical="center" wrapText="1"/>
    </xf>
    <xf numFmtId="0" fontId="47" fillId="5" borderId="1" xfId="0" applyFont="1" applyFill="1" applyBorder="1" applyAlignment="1">
      <alignment horizontal="center" vertical="center"/>
    </xf>
    <xf numFmtId="165" fontId="45" fillId="7" borderId="1" xfId="0" applyNumberFormat="1" applyFont="1" applyFill="1" applyBorder="1" applyAlignment="1">
      <alignment horizontal="center" vertical="center" wrapText="1"/>
    </xf>
    <xf numFmtId="165" fontId="45" fillId="7" borderId="1" xfId="0" applyNumberFormat="1" applyFont="1" applyFill="1" applyBorder="1" applyAlignment="1">
      <alignment horizontal="left" vertical="center" wrapText="1"/>
    </xf>
    <xf numFmtId="165" fontId="45" fillId="16" borderId="1" xfId="0" applyNumberFormat="1" applyFont="1" applyFill="1" applyBorder="1" applyAlignment="1">
      <alignment horizontal="center" vertical="center" wrapText="1"/>
    </xf>
    <xf numFmtId="165" fontId="45" fillId="16" borderId="1" xfId="0" applyNumberFormat="1" applyFont="1" applyFill="1" applyBorder="1" applyAlignment="1">
      <alignment horizontal="left" vertical="center" wrapText="1"/>
    </xf>
    <xf numFmtId="165" fontId="45" fillId="16" borderId="1" xfId="0" applyNumberFormat="1" applyFont="1" applyFill="1" applyBorder="1" applyAlignment="1">
      <alignment horizontal="right" vertical="center" wrapText="1"/>
    </xf>
    <xf numFmtId="165" fontId="45" fillId="16" borderId="1" xfId="0" applyNumberFormat="1" applyFont="1" applyFill="1" applyBorder="1" applyAlignment="1">
      <alignment horizontal="right" vertical="center"/>
    </xf>
    <xf numFmtId="165" fontId="47" fillId="16" borderId="1" xfId="0" applyNumberFormat="1" applyFont="1" applyFill="1" applyBorder="1" applyAlignment="1">
      <alignment horizontal="right" vertical="center"/>
    </xf>
    <xf numFmtId="49" fontId="47" fillId="5" borderId="1" xfId="0" applyNumberFormat="1" applyFont="1" applyFill="1" applyBorder="1" applyAlignment="1">
      <alignment horizontal="center" vertical="center" wrapText="1"/>
    </xf>
    <xf numFmtId="0" fontId="45" fillId="5" borderId="1" xfId="0" applyFont="1" applyFill="1" applyBorder="1" applyAlignment="1">
      <alignment horizontal="left" vertical="center" wrapText="1"/>
    </xf>
    <xf numFmtId="165" fontId="45" fillId="0" borderId="1" xfId="10" applyNumberFormat="1" applyFont="1" applyFill="1" applyBorder="1" applyAlignment="1" applyProtection="1">
      <alignment horizontal="right" vertical="center" wrapText="1"/>
      <protection hidden="1"/>
    </xf>
    <xf numFmtId="0" fontId="47" fillId="5" borderId="1" xfId="3" applyNumberFormat="1" applyFont="1" applyFill="1" applyBorder="1" applyAlignment="1" applyProtection="1">
      <alignment horizontal="left" vertical="center" wrapText="1"/>
      <protection hidden="1"/>
    </xf>
    <xf numFmtId="165" fontId="47" fillId="0" borderId="1" xfId="12" applyNumberFormat="1" applyFont="1" applyFill="1" applyBorder="1" applyAlignment="1" applyProtection="1">
      <alignment horizontal="right" vertical="center"/>
      <protection hidden="1"/>
    </xf>
    <xf numFmtId="165" fontId="47" fillId="5" borderId="1" xfId="0" applyNumberFormat="1" applyFont="1" applyFill="1" applyBorder="1" applyAlignment="1">
      <alignment horizontal="right" vertical="center" wrapText="1"/>
    </xf>
    <xf numFmtId="166" fontId="45" fillId="5" borderId="1" xfId="6" applyNumberFormat="1" applyFont="1" applyFill="1" applyBorder="1" applyAlignment="1" applyProtection="1">
      <alignment vertical="center" wrapText="1"/>
      <protection hidden="1"/>
    </xf>
    <xf numFmtId="49" fontId="47" fillId="5" borderId="2" xfId="0" applyNumberFormat="1" applyFont="1" applyFill="1" applyBorder="1" applyAlignment="1">
      <alignment horizontal="left" vertical="top" wrapText="1"/>
    </xf>
    <xf numFmtId="175" fontId="47" fillId="5" borderId="2" xfId="0" applyNumberFormat="1" applyFont="1" applyFill="1" applyBorder="1" applyAlignment="1">
      <alignment vertical="top" wrapText="1"/>
    </xf>
    <xf numFmtId="49" fontId="45" fillId="5" borderId="1" xfId="0" applyNumberFormat="1" applyFont="1" applyFill="1" applyBorder="1" applyAlignment="1">
      <alignment horizontal="center" vertical="center" wrapText="1"/>
    </xf>
    <xf numFmtId="2" fontId="47" fillId="5" borderId="2" xfId="0" applyNumberFormat="1" applyFont="1" applyFill="1" applyBorder="1" applyAlignment="1">
      <alignment horizontal="left" vertical="top" wrapText="1"/>
    </xf>
    <xf numFmtId="49" fontId="47" fillId="5" borderId="1" xfId="0" applyNumberFormat="1" applyFont="1" applyFill="1" applyBorder="1" applyAlignment="1">
      <alignment horizontal="left" vertical="top" wrapText="1"/>
    </xf>
    <xf numFmtId="0" fontId="47" fillId="5" borderId="2" xfId="3" applyNumberFormat="1" applyFont="1" applyFill="1" applyBorder="1" applyAlignment="1" applyProtection="1">
      <alignment horizontal="left" vertical="top" wrapText="1"/>
      <protection hidden="1"/>
    </xf>
    <xf numFmtId="165" fontId="45" fillId="16" borderId="1" xfId="10" applyNumberFormat="1" applyFont="1" applyFill="1" applyBorder="1" applyAlignment="1" applyProtection="1">
      <alignment horizontal="right" vertical="center" wrapText="1"/>
      <protection hidden="1"/>
    </xf>
    <xf numFmtId="165" fontId="45" fillId="26" borderId="1" xfId="0" applyNumberFormat="1" applyFont="1" applyFill="1" applyBorder="1" applyAlignment="1">
      <alignment horizontal="center" vertical="center" wrapText="1"/>
    </xf>
    <xf numFmtId="165" fontId="45" fillId="26" borderId="1" xfId="0" applyNumberFormat="1" applyFont="1" applyFill="1" applyBorder="1" applyAlignment="1">
      <alignment horizontal="left" vertical="center" wrapText="1"/>
    </xf>
    <xf numFmtId="165" fontId="45" fillId="26" borderId="1" xfId="0" applyNumberFormat="1" applyFont="1" applyFill="1" applyBorder="1" applyAlignment="1">
      <alignment horizontal="right" vertical="center" wrapText="1"/>
    </xf>
    <xf numFmtId="165" fontId="45" fillId="26" borderId="1" xfId="0" applyNumberFormat="1" applyFont="1" applyFill="1" applyBorder="1" applyAlignment="1">
      <alignment horizontal="right" vertical="center"/>
    </xf>
    <xf numFmtId="165" fontId="47" fillId="26" borderId="1" xfId="0" applyNumberFormat="1" applyFont="1" applyFill="1" applyBorder="1" applyAlignment="1">
      <alignment horizontal="right" vertical="center"/>
    </xf>
    <xf numFmtId="166" fontId="47" fillId="5" borderId="1" xfId="6" applyNumberFormat="1" applyFont="1" applyFill="1" applyBorder="1" applyAlignment="1" applyProtection="1">
      <alignment vertical="center" wrapText="1"/>
      <protection hidden="1"/>
    </xf>
    <xf numFmtId="165" fontId="47" fillId="0" borderId="1" xfId="0" applyNumberFormat="1" applyFont="1" applyFill="1" applyBorder="1" applyAlignment="1">
      <alignment horizontal="right" vertical="center"/>
    </xf>
    <xf numFmtId="165" fontId="45" fillId="19" borderId="1" xfId="0" applyNumberFormat="1" applyFont="1" applyFill="1" applyBorder="1" applyAlignment="1">
      <alignment horizontal="center" vertical="center" wrapText="1"/>
    </xf>
    <xf numFmtId="165" fontId="45" fillId="19" borderId="1" xfId="0" applyNumberFormat="1" applyFont="1" applyFill="1" applyBorder="1" applyAlignment="1">
      <alignment horizontal="left" vertical="center" wrapText="1"/>
    </xf>
    <xf numFmtId="165" fontId="45" fillId="19" borderId="1" xfId="0" applyNumberFormat="1" applyFont="1" applyFill="1" applyBorder="1" applyAlignment="1">
      <alignment horizontal="right" vertical="center" wrapText="1"/>
    </xf>
    <xf numFmtId="165" fontId="45" fillId="19" borderId="1" xfId="0" applyNumberFormat="1" applyFont="1" applyFill="1" applyBorder="1" applyAlignment="1">
      <alignment horizontal="right" vertical="center"/>
    </xf>
    <xf numFmtId="165" fontId="47" fillId="19" borderId="1" xfId="0" applyNumberFormat="1" applyFont="1" applyFill="1" applyBorder="1" applyAlignment="1">
      <alignment horizontal="right" vertical="center"/>
    </xf>
    <xf numFmtId="49" fontId="47" fillId="5" borderId="6" xfId="0" applyNumberFormat="1" applyFont="1" applyFill="1" applyBorder="1" applyAlignment="1">
      <alignment horizontal="center" vertical="center" wrapText="1"/>
    </xf>
    <xf numFmtId="0" fontId="47" fillId="5" borderId="11" xfId="0" applyFont="1" applyFill="1" applyBorder="1" applyAlignment="1">
      <alignment horizontal="left" vertical="top" wrapText="1"/>
    </xf>
    <xf numFmtId="49" fontId="47" fillId="5" borderId="1" xfId="0" applyNumberFormat="1" applyFont="1" applyFill="1" applyBorder="1" applyAlignment="1">
      <alignment vertical="center" wrapText="1"/>
    </xf>
    <xf numFmtId="0" fontId="47" fillId="5" borderId="1" xfId="0" applyNumberFormat="1" applyFont="1" applyFill="1" applyBorder="1" applyAlignment="1">
      <alignment vertical="center" wrapText="1"/>
    </xf>
    <xf numFmtId="2" fontId="47" fillId="5" borderId="6" xfId="0" applyNumberFormat="1" applyFont="1" applyFill="1" applyBorder="1" applyAlignment="1">
      <alignment horizontal="left" vertical="top" wrapText="1"/>
    </xf>
    <xf numFmtId="174" fontId="47" fillId="5" borderId="2" xfId="0" applyNumberFormat="1" applyFont="1" applyFill="1" applyBorder="1" applyAlignment="1">
      <alignment horizontal="left" vertical="top" wrapText="1"/>
    </xf>
    <xf numFmtId="0" fontId="47" fillId="5" borderId="1" xfId="0" applyFont="1" applyFill="1" applyBorder="1" applyAlignment="1">
      <alignment vertical="center" wrapText="1"/>
    </xf>
    <xf numFmtId="0" fontId="47" fillId="5" borderId="1" xfId="0" applyNumberFormat="1" applyFont="1" applyFill="1" applyBorder="1" applyAlignment="1">
      <alignment horizontal="left" vertical="center" wrapText="1"/>
    </xf>
    <xf numFmtId="0" fontId="47" fillId="0" borderId="2" xfId="0" applyFont="1" applyFill="1" applyBorder="1" applyAlignment="1">
      <alignment horizontal="left" vertical="top" wrapText="1"/>
    </xf>
    <xf numFmtId="165" fontId="45" fillId="5" borderId="6" xfId="0" applyNumberFormat="1" applyFont="1" applyFill="1" applyBorder="1" applyAlignment="1">
      <alignment vertical="center" wrapText="1"/>
    </xf>
    <xf numFmtId="165" fontId="47" fillId="5" borderId="6" xfId="0" applyNumberFormat="1" applyFont="1" applyFill="1" applyBorder="1" applyAlignment="1">
      <alignment vertical="center" wrapText="1"/>
    </xf>
    <xf numFmtId="165" fontId="45" fillId="5" borderId="6" xfId="0" applyNumberFormat="1" applyFont="1" applyFill="1" applyBorder="1" applyAlignment="1">
      <alignment vertical="center"/>
    </xf>
    <xf numFmtId="165" fontId="47" fillId="5" borderId="6" xfId="0" applyNumberFormat="1" applyFont="1" applyFill="1" applyBorder="1" applyAlignment="1">
      <alignment vertical="center"/>
    </xf>
    <xf numFmtId="165" fontId="45" fillId="8" borderId="1" xfId="0" applyNumberFormat="1" applyFont="1" applyFill="1" applyBorder="1" applyAlignment="1">
      <alignment horizontal="left" vertical="center" wrapText="1"/>
    </xf>
    <xf numFmtId="174" fontId="47" fillId="5" borderId="13" xfId="0" applyNumberFormat="1" applyFont="1" applyFill="1" applyBorder="1" applyAlignment="1">
      <alignment horizontal="left" vertical="top" wrapText="1"/>
    </xf>
    <xf numFmtId="174" fontId="47" fillId="5" borderId="13" xfId="0" applyNumberFormat="1" applyFont="1" applyFill="1" applyBorder="1" applyAlignment="1">
      <alignment vertical="top" wrapText="1"/>
    </xf>
    <xf numFmtId="0" fontId="47" fillId="5" borderId="13" xfId="0" applyFont="1" applyFill="1" applyBorder="1" applyAlignment="1">
      <alignment horizontal="left" vertical="top" wrapText="1"/>
    </xf>
    <xf numFmtId="165" fontId="45" fillId="5" borderId="1" xfId="0" applyNumberFormat="1" applyFont="1" applyFill="1" applyBorder="1" applyAlignment="1">
      <alignment horizontal="center" vertical="center"/>
    </xf>
    <xf numFmtId="165" fontId="47" fillId="5" borderId="1" xfId="0" applyNumberFormat="1" applyFont="1" applyFill="1" applyBorder="1" applyAlignment="1">
      <alignment horizontal="center" vertical="center"/>
    </xf>
    <xf numFmtId="166" fontId="47" fillId="5" borderId="1" xfId="12" applyNumberFormat="1" applyFont="1" applyFill="1" applyBorder="1" applyAlignment="1" applyProtection="1">
      <alignment vertical="center" wrapText="1"/>
      <protection hidden="1"/>
    </xf>
    <xf numFmtId="4" fontId="47" fillId="5" borderId="1" xfId="12" applyNumberFormat="1" applyFont="1" applyFill="1" applyBorder="1" applyAlignment="1" applyProtection="1">
      <alignment horizontal="right" vertical="center"/>
      <protection hidden="1"/>
    </xf>
    <xf numFmtId="165" fontId="45" fillId="26" borderId="1" xfId="0" applyNumberFormat="1" applyFont="1" applyFill="1" applyBorder="1" applyAlignment="1">
      <alignment vertical="center"/>
    </xf>
    <xf numFmtId="0" fontId="47" fillId="5" borderId="1" xfId="0" applyFont="1" applyFill="1" applyBorder="1" applyAlignment="1">
      <alignment horizontal="justify" vertical="center" wrapText="1"/>
    </xf>
    <xf numFmtId="0" fontId="47" fillId="5" borderId="1" xfId="0" applyNumberFormat="1" applyFont="1" applyFill="1" applyBorder="1" applyAlignment="1">
      <alignment horizontal="left" vertical="top" wrapText="1"/>
    </xf>
    <xf numFmtId="49" fontId="45" fillId="7" borderId="1" xfId="0" applyNumberFormat="1" applyFont="1" applyFill="1" applyBorder="1" applyAlignment="1">
      <alignment horizontal="center" vertical="center" wrapText="1"/>
    </xf>
    <xf numFmtId="0" fontId="45" fillId="7" borderId="1" xfId="0" applyFont="1" applyFill="1" applyBorder="1" applyAlignment="1">
      <alignment vertical="center" wrapText="1"/>
    </xf>
    <xf numFmtId="166" fontId="47" fillId="5" borderId="1" xfId="13" applyNumberFormat="1" applyFont="1" applyFill="1" applyBorder="1" applyAlignment="1" applyProtection="1">
      <alignment vertical="center" wrapText="1"/>
      <protection hidden="1"/>
    </xf>
    <xf numFmtId="0" fontId="45" fillId="26" borderId="1" xfId="0" applyFont="1" applyFill="1" applyBorder="1" applyAlignment="1">
      <alignment horizontal="center" vertical="center" wrapText="1"/>
    </xf>
    <xf numFmtId="0" fontId="45" fillId="26" borderId="1" xfId="0" applyFont="1" applyFill="1" applyBorder="1" applyAlignment="1">
      <alignment vertical="top" wrapText="1"/>
    </xf>
    <xf numFmtId="165" fontId="45" fillId="26" borderId="1" xfId="13" applyNumberFormat="1" applyFont="1" applyFill="1" applyBorder="1" applyAlignment="1" applyProtection="1">
      <alignment horizontal="right" vertical="center" wrapText="1"/>
      <protection hidden="1"/>
    </xf>
    <xf numFmtId="0" fontId="47" fillId="0" borderId="2" xfId="0" applyFont="1" applyFill="1" applyBorder="1" applyAlignment="1">
      <alignment vertical="top" wrapText="1"/>
    </xf>
    <xf numFmtId="0" fontId="45" fillId="26" borderId="1" xfId="0" applyFont="1" applyFill="1" applyBorder="1" applyAlignment="1">
      <alignment vertical="center" wrapText="1"/>
    </xf>
    <xf numFmtId="165" fontId="46" fillId="26" borderId="1" xfId="0" applyNumberFormat="1" applyFont="1" applyFill="1" applyBorder="1" applyAlignment="1">
      <alignment vertical="center"/>
    </xf>
    <xf numFmtId="165" fontId="48" fillId="26" borderId="1" xfId="0" applyNumberFormat="1" applyFont="1" applyFill="1" applyBorder="1" applyAlignment="1">
      <alignment vertical="center"/>
    </xf>
    <xf numFmtId="0" fontId="47" fillId="5" borderId="1" xfId="0" applyFont="1" applyFill="1" applyBorder="1" applyAlignment="1">
      <alignment vertical="top" wrapText="1"/>
    </xf>
    <xf numFmtId="165" fontId="45" fillId="8" borderId="1" xfId="0" applyNumberFormat="1" applyFont="1" applyFill="1" applyBorder="1" applyAlignment="1">
      <alignment horizontal="center" vertical="center" wrapText="1"/>
    </xf>
    <xf numFmtId="49" fontId="47" fillId="5" borderId="12" xfId="0" applyNumberFormat="1" applyFont="1" applyFill="1" applyBorder="1" applyAlignment="1">
      <alignment horizontal="center" vertical="center" wrapText="1"/>
    </xf>
    <xf numFmtId="0" fontId="47" fillId="5" borderId="12" xfId="0" applyFont="1" applyFill="1" applyBorder="1" applyAlignment="1">
      <alignment horizontal="left" vertical="center" wrapText="1"/>
    </xf>
    <xf numFmtId="165" fontId="45" fillId="5" borderId="12" xfId="0" applyNumberFormat="1" applyFont="1" applyFill="1" applyBorder="1" applyAlignment="1">
      <alignment horizontal="right" vertical="center" wrapText="1"/>
    </xf>
    <xf numFmtId="165" fontId="47" fillId="5" borderId="12" xfId="12" applyNumberFormat="1" applyFont="1" applyFill="1" applyBorder="1" applyAlignment="1" applyProtection="1">
      <alignment horizontal="right" vertical="center"/>
      <protection hidden="1"/>
    </xf>
    <xf numFmtId="165" fontId="47" fillId="5" borderId="12" xfId="0" applyNumberFormat="1" applyFont="1" applyFill="1" applyBorder="1" applyAlignment="1">
      <alignment horizontal="right" vertical="center" wrapText="1"/>
    </xf>
    <xf numFmtId="165" fontId="45" fillId="5" borderId="12" xfId="0" applyNumberFormat="1" applyFont="1" applyFill="1" applyBorder="1" applyAlignment="1">
      <alignment vertical="center"/>
    </xf>
    <xf numFmtId="165" fontId="47" fillId="5" borderId="12" xfId="0" applyNumberFormat="1" applyFont="1" applyFill="1" applyBorder="1" applyAlignment="1">
      <alignment vertical="center"/>
    </xf>
    <xf numFmtId="49" fontId="45" fillId="5" borderId="0" xfId="0" applyNumberFormat="1" applyFont="1" applyFill="1" applyBorder="1" applyAlignment="1">
      <alignment horizontal="left" vertical="center" wrapText="1"/>
    </xf>
    <xf numFmtId="49" fontId="47" fillId="5" borderId="0" xfId="0" applyNumberFormat="1" applyFont="1" applyFill="1" applyBorder="1" applyAlignment="1">
      <alignment horizontal="left" vertical="center" wrapText="1"/>
    </xf>
    <xf numFmtId="0" fontId="45" fillId="5" borderId="0" xfId="0" applyFont="1" applyFill="1" applyBorder="1" applyAlignment="1">
      <alignment horizontal="right" vertical="center"/>
    </xf>
    <xf numFmtId="0" fontId="47" fillId="5" borderId="0" xfId="0" applyFont="1" applyFill="1" applyBorder="1" applyAlignment="1">
      <alignment horizontal="right" vertical="center"/>
    </xf>
    <xf numFmtId="0" fontId="45" fillId="5" borderId="0" xfId="0" applyFont="1" applyFill="1" applyBorder="1" applyAlignment="1">
      <alignment vertical="center"/>
    </xf>
    <xf numFmtId="0" fontId="47" fillId="5" borderId="0" xfId="0" applyFont="1" applyFill="1" applyBorder="1" applyAlignment="1">
      <alignment vertical="center"/>
    </xf>
    <xf numFmtId="0" fontId="47" fillId="5" borderId="5" xfId="0" applyFont="1" applyFill="1" applyBorder="1" applyAlignment="1">
      <alignment horizontal="left" vertical="center" wrapText="1"/>
    </xf>
    <xf numFmtId="165" fontId="51" fillId="6" borderId="1" xfId="0" applyNumberFormat="1" applyFont="1" applyFill="1" applyBorder="1" applyAlignment="1">
      <alignment horizontal="right" vertical="center" wrapText="1"/>
    </xf>
    <xf numFmtId="165" fontId="51" fillId="6" borderId="1" xfId="0" applyNumberFormat="1" applyFont="1" applyFill="1" applyBorder="1" applyAlignment="1">
      <alignment horizontal="right" vertical="center"/>
    </xf>
    <xf numFmtId="165" fontId="52" fillId="6" borderId="0" xfId="0" applyNumberFormat="1" applyFont="1" applyFill="1" applyAlignment="1">
      <alignment vertical="center"/>
    </xf>
    <xf numFmtId="0" fontId="52" fillId="5" borderId="0" xfId="0" applyNumberFormat="1" applyFont="1" applyFill="1" applyAlignment="1">
      <alignment vertical="center" wrapText="1"/>
    </xf>
    <xf numFmtId="0" fontId="47" fillId="5" borderId="1" xfId="0" applyFont="1" applyFill="1" applyBorder="1" applyAlignment="1">
      <alignment horizontal="left" vertical="center" wrapText="1"/>
    </xf>
    <xf numFmtId="165" fontId="45" fillId="9" borderId="1" xfId="0" applyNumberFormat="1" applyFont="1" applyFill="1" applyBorder="1" applyAlignment="1">
      <alignment horizontal="center" vertical="center" wrapText="1"/>
    </xf>
    <xf numFmtId="165" fontId="45" fillId="9" borderId="1" xfId="0" applyNumberFormat="1" applyFont="1" applyFill="1" applyBorder="1" applyAlignment="1">
      <alignment horizontal="left" vertical="center" wrapText="1"/>
    </xf>
    <xf numFmtId="165" fontId="45" fillId="9" borderId="1" xfId="0" applyNumberFormat="1" applyFont="1" applyFill="1" applyBorder="1" applyAlignment="1">
      <alignment horizontal="right" vertical="center" wrapText="1"/>
    </xf>
    <xf numFmtId="165" fontId="45" fillId="9" borderId="1" xfId="0" applyNumberFormat="1" applyFont="1" applyFill="1" applyBorder="1" applyAlignment="1">
      <alignment horizontal="right" vertical="center"/>
    </xf>
    <xf numFmtId="165" fontId="47" fillId="9" borderId="1" xfId="0" applyNumberFormat="1" applyFont="1" applyFill="1" applyBorder="1" applyAlignment="1">
      <alignment horizontal="right" vertical="center"/>
    </xf>
    <xf numFmtId="49" fontId="45" fillId="9" borderId="1" xfId="0" applyNumberFormat="1" applyFont="1" applyFill="1" applyBorder="1" applyAlignment="1">
      <alignment horizontal="center" vertical="center" wrapText="1"/>
    </xf>
    <xf numFmtId="165" fontId="52" fillId="6" borderId="1" xfId="0" applyNumberFormat="1" applyFont="1" applyFill="1" applyBorder="1" applyAlignment="1">
      <alignment horizontal="right" vertical="center"/>
    </xf>
    <xf numFmtId="165" fontId="52" fillId="0" borderId="0" xfId="0" applyNumberFormat="1" applyFont="1" applyFill="1" applyAlignment="1">
      <alignment vertical="center"/>
    </xf>
    <xf numFmtId="165" fontId="45" fillId="26" borderId="1" xfId="10" applyNumberFormat="1" applyFont="1" applyFill="1" applyBorder="1" applyAlignment="1" applyProtection="1">
      <alignment horizontal="right" vertical="center" wrapText="1"/>
      <protection hidden="1"/>
    </xf>
    <xf numFmtId="165" fontId="9" fillId="0" borderId="10"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165" fontId="9" fillId="0" borderId="0" xfId="0" applyNumberFormat="1" applyFont="1" applyFill="1" applyAlignment="1">
      <alignment vertical="center"/>
    </xf>
    <xf numFmtId="165" fontId="9" fillId="0" borderId="5" xfId="0" applyNumberFormat="1" applyFont="1" applyFill="1" applyBorder="1" applyAlignment="1">
      <alignment vertical="center"/>
    </xf>
    <xf numFmtId="1" fontId="9" fillId="5" borderId="0" xfId="0" applyNumberFormat="1" applyFont="1" applyFill="1" applyBorder="1" applyAlignment="1">
      <alignment horizontal="left" vertical="center" wrapText="1"/>
    </xf>
    <xf numFmtId="0" fontId="56" fillId="5" borderId="4" xfId="0" applyNumberFormat="1" applyFont="1" applyFill="1" applyBorder="1" applyAlignment="1">
      <alignment vertical="center"/>
    </xf>
    <xf numFmtId="0" fontId="47" fillId="5" borderId="1" xfId="0" applyFont="1" applyFill="1" applyBorder="1" applyAlignment="1">
      <alignment horizontal="left" vertical="top" wrapText="1"/>
    </xf>
    <xf numFmtId="175" fontId="47" fillId="5" borderId="1" xfId="0" applyNumberFormat="1" applyFont="1" applyFill="1" applyBorder="1" applyAlignment="1">
      <alignment vertical="top" wrapText="1"/>
    </xf>
    <xf numFmtId="2" fontId="47" fillId="5" borderId="1" xfId="0" applyNumberFormat="1" applyFont="1" applyFill="1" applyBorder="1" applyAlignment="1">
      <alignment horizontal="left" vertical="top" wrapText="1"/>
    </xf>
    <xf numFmtId="0" fontId="47" fillId="5" borderId="1" xfId="3" applyNumberFormat="1" applyFont="1" applyFill="1" applyBorder="1" applyAlignment="1" applyProtection="1">
      <alignment horizontal="left" vertical="top" wrapText="1"/>
      <protection hidden="1"/>
    </xf>
    <xf numFmtId="174" fontId="47" fillId="5" borderId="1" xfId="0" applyNumberFormat="1" applyFont="1" applyFill="1" applyBorder="1" applyAlignment="1">
      <alignment horizontal="left" vertical="top" wrapText="1"/>
    </xf>
    <xf numFmtId="0" fontId="47" fillId="0" borderId="1" xfId="0" applyFont="1" applyFill="1" applyBorder="1" applyAlignment="1">
      <alignment horizontal="left" vertical="top" wrapText="1"/>
    </xf>
    <xf numFmtId="174" fontId="47" fillId="5" borderId="1" xfId="0" applyNumberFormat="1" applyFont="1" applyFill="1" applyBorder="1" applyAlignment="1">
      <alignment vertical="top" wrapText="1"/>
    </xf>
    <xf numFmtId="0" fontId="47" fillId="0" borderId="1" xfId="0" applyFont="1" applyFill="1" applyBorder="1" applyAlignment="1">
      <alignment vertical="top" wrapText="1"/>
    </xf>
    <xf numFmtId="0" fontId="47" fillId="5" borderId="1" xfId="0" applyFont="1" applyFill="1" applyBorder="1" applyAlignment="1">
      <alignment horizontal="center" vertical="center" wrapText="1"/>
    </xf>
    <xf numFmtId="0" fontId="36" fillId="5" borderId="0" xfId="0" applyFont="1" applyFill="1" applyAlignment="1">
      <alignment horizontal="right" vertical="center"/>
    </xf>
    <xf numFmtId="0" fontId="45" fillId="5" borderId="1" xfId="0" applyFont="1" applyFill="1" applyBorder="1" applyAlignment="1">
      <alignment horizontal="left" vertical="center" wrapText="1"/>
    </xf>
    <xf numFmtId="0" fontId="36" fillId="5" borderId="0" xfId="0" applyNumberFormat="1" applyFont="1" applyFill="1" applyBorder="1" applyAlignment="1">
      <alignment vertical="center"/>
    </xf>
    <xf numFmtId="49" fontId="47" fillId="5" borderId="0" xfId="0" applyNumberFormat="1" applyFont="1" applyFill="1" applyBorder="1" applyAlignment="1">
      <alignment horizontal="left" vertical="center" wrapText="1"/>
    </xf>
    <xf numFmtId="0" fontId="45" fillId="5" borderId="1" xfId="0" applyFont="1" applyFill="1" applyBorder="1" applyAlignment="1">
      <alignment horizontal="left" vertical="center" wrapText="1"/>
    </xf>
    <xf numFmtId="0" fontId="45" fillId="5" borderId="1" xfId="0" applyFont="1" applyFill="1" applyBorder="1" applyAlignment="1">
      <alignment horizontal="left" vertical="center" wrapText="1"/>
    </xf>
    <xf numFmtId="1" fontId="142" fillId="5" borderId="0" xfId="0" applyNumberFormat="1" applyFont="1" applyFill="1" applyAlignment="1">
      <alignment horizontal="center" vertical="center" wrapText="1"/>
    </xf>
    <xf numFmtId="164" fontId="52" fillId="5" borderId="0" xfId="0" applyNumberFormat="1" applyFont="1" applyFill="1" applyAlignment="1">
      <alignment horizontal="left" vertical="center" wrapText="1"/>
    </xf>
    <xf numFmtId="0" fontId="36" fillId="0" borderId="0" xfId="0" applyFont="1" applyFill="1" applyAlignment="1">
      <alignment horizontal="center" vertical="center"/>
    </xf>
    <xf numFmtId="0" fontId="47" fillId="0" borderId="1" xfId="0" applyFont="1" applyFill="1" applyBorder="1" applyAlignment="1">
      <alignment horizontal="center" vertical="center" wrapText="1"/>
    </xf>
    <xf numFmtId="165" fontId="45"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5"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49" fontId="47" fillId="0" borderId="12" xfId="0"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1" xfId="0" applyFont="1" applyFill="1" applyBorder="1" applyAlignment="1">
      <alignment vertical="center" wrapText="1"/>
    </xf>
    <xf numFmtId="0" fontId="36" fillId="0" borderId="0"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47" fillId="5" borderId="1" xfId="0" applyFont="1" applyFill="1" applyBorder="1" applyAlignment="1">
      <alignment horizontal="center" vertical="top" wrapText="1"/>
    </xf>
    <xf numFmtId="0" fontId="143" fillId="5" borderId="1" xfId="0" applyFont="1" applyFill="1" applyBorder="1" applyAlignment="1">
      <alignment horizontal="left" vertical="center" wrapText="1"/>
    </xf>
    <xf numFmtId="0" fontId="144" fillId="5" borderId="1" xfId="3" applyNumberFormat="1" applyFont="1" applyFill="1" applyBorder="1" applyAlignment="1" applyProtection="1">
      <alignment horizontal="left" vertical="center" wrapText="1"/>
      <protection hidden="1"/>
    </xf>
    <xf numFmtId="0" fontId="144" fillId="5" borderId="1" xfId="0" applyFont="1" applyFill="1" applyBorder="1" applyAlignment="1">
      <alignment horizontal="left" vertical="top" wrapText="1"/>
    </xf>
    <xf numFmtId="166" fontId="143" fillId="5" borderId="1" xfId="6" applyNumberFormat="1" applyFont="1" applyFill="1" applyBorder="1" applyAlignment="1" applyProtection="1">
      <alignment vertical="center" wrapText="1"/>
      <protection hidden="1"/>
    </xf>
    <xf numFmtId="0" fontId="144" fillId="5" borderId="1" xfId="0" applyFont="1" applyFill="1" applyBorder="1" applyAlignment="1">
      <alignment vertical="top" wrapText="1"/>
    </xf>
    <xf numFmtId="49" fontId="144" fillId="5" borderId="1" xfId="0" applyNumberFormat="1" applyFont="1" applyFill="1" applyBorder="1" applyAlignment="1">
      <alignment horizontal="left" vertical="top" wrapText="1"/>
    </xf>
    <xf numFmtId="4" fontId="47" fillId="0" borderId="1" xfId="12" applyNumberFormat="1" applyFont="1" applyFill="1" applyBorder="1" applyAlignment="1" applyProtection="1">
      <alignment horizontal="right" vertical="center"/>
      <protection hidden="1"/>
    </xf>
    <xf numFmtId="165" fontId="45" fillId="0" borderId="1" xfId="0" applyNumberFormat="1" applyFont="1" applyFill="1" applyBorder="1" applyAlignment="1">
      <alignment horizontal="left" vertical="center" wrapText="1"/>
    </xf>
    <xf numFmtId="49" fontId="45" fillId="5" borderId="1" xfId="0" applyNumberFormat="1" applyFont="1" applyFill="1" applyBorder="1" applyAlignment="1">
      <alignment horizontal="left" vertical="top" wrapText="1"/>
    </xf>
    <xf numFmtId="165" fontId="47" fillId="0" borderId="1" xfId="0" applyNumberFormat="1" applyFont="1" applyFill="1" applyBorder="1" applyAlignment="1">
      <alignment horizontal="left" vertical="center" wrapText="1"/>
    </xf>
    <xf numFmtId="165" fontId="47" fillId="0" borderId="1" xfId="10" applyNumberFormat="1" applyFont="1" applyFill="1" applyBorder="1" applyAlignment="1" applyProtection="1">
      <alignment horizontal="right" vertical="center" wrapText="1"/>
      <protection hidden="1"/>
    </xf>
    <xf numFmtId="0" fontId="36" fillId="16" borderId="10" xfId="0" applyFont="1" applyFill="1" applyBorder="1" applyAlignment="1">
      <alignment horizontal="center" vertical="center" wrapText="1"/>
    </xf>
    <xf numFmtId="0" fontId="36" fillId="16" borderId="0" xfId="0" applyFont="1" applyFill="1" applyBorder="1" applyAlignment="1">
      <alignment horizontal="center" vertical="center" wrapText="1"/>
    </xf>
    <xf numFmtId="0" fontId="36" fillId="26" borderId="0" xfId="0" applyFont="1" applyFill="1" applyAlignment="1">
      <alignment vertical="center"/>
    </xf>
    <xf numFmtId="166" fontId="144" fillId="5" borderId="1" xfId="6" applyNumberFormat="1" applyFont="1" applyFill="1" applyBorder="1" applyAlignment="1" applyProtection="1">
      <alignment vertical="center" wrapText="1"/>
      <protection hidden="1"/>
    </xf>
    <xf numFmtId="0" fontId="36" fillId="0" borderId="10" xfId="0" applyFont="1" applyFill="1" applyBorder="1" applyAlignment="1">
      <alignment horizontal="center" vertical="center" wrapText="1"/>
    </xf>
    <xf numFmtId="1" fontId="142" fillId="5" borderId="0" xfId="0" applyNumberFormat="1" applyFont="1" applyFill="1" applyAlignment="1">
      <alignment horizontal="left" vertical="center" wrapText="1"/>
    </xf>
    <xf numFmtId="165" fontId="52" fillId="5" borderId="0" xfId="0" applyNumberFormat="1" applyFont="1" applyFill="1" applyAlignment="1">
      <alignment vertical="center" wrapText="1"/>
    </xf>
    <xf numFmtId="165" fontId="36" fillId="5" borderId="0" xfId="0" applyNumberFormat="1" applyFont="1" applyFill="1" applyAlignment="1">
      <alignment vertical="center" wrapText="1"/>
    </xf>
    <xf numFmtId="165" fontId="45" fillId="0" borderId="1" xfId="0" applyNumberFormat="1" applyFont="1" applyFill="1" applyBorder="1" applyAlignment="1">
      <alignment horizontal="center" vertical="center"/>
    </xf>
    <xf numFmtId="165" fontId="47" fillId="0" borderId="1" xfId="0" applyNumberFormat="1" applyFont="1" applyFill="1" applyBorder="1" applyAlignment="1">
      <alignment horizontal="center" vertical="center"/>
    </xf>
    <xf numFmtId="165" fontId="47" fillId="0" borderId="1" xfId="12" applyNumberFormat="1" applyFont="1" applyFill="1" applyBorder="1" applyAlignment="1" applyProtection="1">
      <alignment vertical="center"/>
      <protection hidden="1"/>
    </xf>
    <xf numFmtId="165" fontId="143" fillId="0" borderId="1" xfId="13" applyNumberFormat="1" applyFont="1" applyFill="1" applyBorder="1" applyAlignment="1" applyProtection="1">
      <alignment horizontal="right" vertical="center" wrapText="1"/>
      <protection hidden="1"/>
    </xf>
    <xf numFmtId="165" fontId="144" fillId="5" borderId="1" xfId="13" applyNumberFormat="1" applyFont="1" applyFill="1" applyBorder="1" applyAlignment="1" applyProtection="1">
      <alignment horizontal="right" vertical="center" wrapText="1"/>
      <protection hidden="1"/>
    </xf>
    <xf numFmtId="165" fontId="144" fillId="0" borderId="1" xfId="13" applyNumberFormat="1" applyFont="1" applyFill="1" applyBorder="1" applyAlignment="1" applyProtection="1">
      <alignment horizontal="right" vertical="center" wrapText="1"/>
      <protection hidden="1"/>
    </xf>
    <xf numFmtId="165" fontId="144" fillId="0" borderId="1" xfId="12" applyNumberFormat="1" applyFont="1" applyFill="1" applyBorder="1" applyAlignment="1" applyProtection="1">
      <alignment horizontal="right" vertical="center"/>
      <protection hidden="1"/>
    </xf>
    <xf numFmtId="1" fontId="142" fillId="5" borderId="0" xfId="0" applyNumberFormat="1" applyFont="1" applyFill="1" applyAlignment="1">
      <alignment vertical="center" wrapText="1"/>
    </xf>
    <xf numFmtId="165" fontId="145" fillId="0" borderId="1" xfId="0" applyNumberFormat="1" applyFont="1" applyFill="1" applyBorder="1" applyAlignment="1">
      <alignment horizontal="right" vertical="center" wrapText="1"/>
    </xf>
    <xf numFmtId="165" fontId="143" fillId="26" borderId="1" xfId="0" applyNumberFormat="1" applyFont="1" applyFill="1" applyBorder="1" applyAlignment="1">
      <alignment horizontal="right" vertical="center" wrapText="1"/>
    </xf>
    <xf numFmtId="165" fontId="143" fillId="0" borderId="1" xfId="0" applyNumberFormat="1" applyFont="1" applyFill="1" applyBorder="1" applyAlignment="1">
      <alignment horizontal="right" vertical="center" wrapText="1"/>
    </xf>
    <xf numFmtId="165" fontId="143" fillId="28" borderId="1" xfId="0" applyNumberFormat="1" applyFont="1" applyFill="1" applyBorder="1" applyAlignment="1">
      <alignment horizontal="right" vertical="center" wrapText="1"/>
    </xf>
    <xf numFmtId="165" fontId="143" fillId="16" borderId="1" xfId="0" applyNumberFormat="1" applyFont="1" applyFill="1" applyBorder="1" applyAlignment="1">
      <alignment horizontal="right" vertical="center" wrapText="1"/>
    </xf>
    <xf numFmtId="165" fontId="143" fillId="9" borderId="1" xfId="0" applyNumberFormat="1" applyFont="1" applyFill="1" applyBorder="1" applyAlignment="1">
      <alignment horizontal="right" vertical="center" wrapText="1"/>
    </xf>
    <xf numFmtId="165" fontId="143" fillId="8" borderId="1" xfId="0" applyNumberFormat="1" applyFont="1" applyFill="1" applyBorder="1" applyAlignment="1">
      <alignment horizontal="right" vertical="center" wrapText="1"/>
    </xf>
    <xf numFmtId="1" fontId="47" fillId="0" borderId="1" xfId="0" applyNumberFormat="1" applyFont="1" applyFill="1" applyBorder="1" applyAlignment="1">
      <alignment horizontal="center" vertical="center" wrapText="1"/>
    </xf>
    <xf numFmtId="165" fontId="45" fillId="29" borderId="1" xfId="0" applyNumberFormat="1" applyFont="1" applyFill="1" applyBorder="1" applyAlignment="1">
      <alignment horizontal="right" vertical="center" wrapText="1"/>
    </xf>
    <xf numFmtId="165" fontId="143" fillId="29" borderId="1" xfId="0" applyNumberFormat="1" applyFont="1" applyFill="1" applyBorder="1" applyAlignment="1">
      <alignment horizontal="right" vertical="center" wrapText="1"/>
    </xf>
    <xf numFmtId="1" fontId="36" fillId="5" borderId="0" xfId="0" applyNumberFormat="1" applyFont="1" applyFill="1" applyAlignment="1">
      <alignment horizontal="center" vertical="center"/>
    </xf>
    <xf numFmtId="1" fontId="36" fillId="5" borderId="0" xfId="20" applyNumberFormat="1" applyFont="1" applyFill="1" applyBorder="1" applyAlignment="1">
      <alignment horizontal="center" vertical="center"/>
    </xf>
    <xf numFmtId="1" fontId="47" fillId="5" borderId="1" xfId="0" applyNumberFormat="1" applyFont="1" applyFill="1" applyBorder="1" applyAlignment="1">
      <alignment horizontal="center" vertical="center" wrapText="1"/>
    </xf>
    <xf numFmtId="1" fontId="51" fillId="6" borderId="1" xfId="0" applyNumberFormat="1" applyFont="1" applyFill="1" applyBorder="1" applyAlignment="1">
      <alignment horizontal="center" vertical="center" wrapText="1"/>
    </xf>
    <xf numFmtId="1" fontId="45" fillId="9" borderId="1" xfId="0" applyNumberFormat="1" applyFont="1" applyFill="1" applyBorder="1" applyAlignment="1">
      <alignment horizontal="center" vertical="center" wrapText="1"/>
    </xf>
    <xf numFmtId="1" fontId="45" fillId="16" borderId="1" xfId="0" applyNumberFormat="1" applyFont="1" applyFill="1" applyBorder="1" applyAlignment="1">
      <alignment horizontal="center" vertical="center" wrapText="1"/>
    </xf>
    <xf numFmtId="1" fontId="45" fillId="5" borderId="1" xfId="0" applyNumberFormat="1" applyFont="1" applyFill="1" applyBorder="1" applyAlignment="1">
      <alignment horizontal="center" vertical="center" wrapText="1"/>
    </xf>
    <xf numFmtId="1" fontId="47" fillId="5" borderId="1" xfId="0" applyNumberFormat="1" applyFont="1" applyFill="1" applyBorder="1" applyAlignment="1">
      <alignment horizontal="center" vertical="top" wrapText="1"/>
    </xf>
    <xf numFmtId="1" fontId="47" fillId="5" borderId="1" xfId="3" applyNumberFormat="1" applyFont="1" applyFill="1" applyBorder="1" applyAlignment="1" applyProtection="1">
      <alignment horizontal="center" vertical="center" wrapText="1"/>
      <protection hidden="1"/>
    </xf>
    <xf numFmtId="1" fontId="45" fillId="26" borderId="1" xfId="0" applyNumberFormat="1" applyFont="1" applyFill="1" applyBorder="1" applyAlignment="1">
      <alignment horizontal="center" vertical="center" wrapText="1"/>
    </xf>
    <xf numFmtId="1" fontId="47" fillId="5" borderId="1" xfId="6" applyNumberFormat="1" applyFont="1" applyFill="1" applyBorder="1" applyAlignment="1" applyProtection="1">
      <alignment horizontal="center" vertical="center" wrapText="1"/>
      <protection hidden="1"/>
    </xf>
    <xf numFmtId="1" fontId="45" fillId="0" borderId="1" xfId="0" applyNumberFormat="1" applyFont="1" applyFill="1" applyBorder="1" applyAlignment="1">
      <alignment horizontal="center" vertical="center" wrapText="1"/>
    </xf>
    <xf numFmtId="1" fontId="45" fillId="8" borderId="1" xfId="0" applyNumberFormat="1" applyFont="1" applyFill="1" applyBorder="1" applyAlignment="1">
      <alignment horizontal="center" vertical="center" wrapText="1"/>
    </xf>
    <xf numFmtId="1" fontId="47" fillId="0" borderId="1" xfId="0" applyNumberFormat="1" applyFont="1" applyFill="1" applyBorder="1" applyAlignment="1">
      <alignment horizontal="center" vertical="top" wrapText="1"/>
    </xf>
    <xf numFmtId="1" fontId="47" fillId="0" borderId="1" xfId="12" applyNumberFormat="1" applyFont="1" applyFill="1" applyBorder="1" applyAlignment="1" applyProtection="1">
      <alignment horizontal="center" vertical="center" wrapText="1"/>
      <protection hidden="1"/>
    </xf>
    <xf numFmtId="1" fontId="47" fillId="0" borderId="1" xfId="3" applyNumberFormat="1" applyFont="1" applyFill="1" applyBorder="1" applyAlignment="1" applyProtection="1">
      <alignment horizontal="center" vertical="center" wrapText="1"/>
      <protection hidden="1"/>
    </xf>
    <xf numFmtId="1" fontId="47" fillId="5" borderId="1" xfId="13" applyNumberFormat="1" applyFont="1" applyFill="1" applyBorder="1" applyAlignment="1" applyProtection="1">
      <alignment horizontal="center" vertical="center" wrapText="1"/>
      <protection hidden="1"/>
    </xf>
    <xf numFmtId="1" fontId="45" fillId="26" borderId="1" xfId="0" applyNumberFormat="1" applyFont="1" applyFill="1" applyBorder="1" applyAlignment="1">
      <alignment horizontal="center" vertical="top" wrapText="1"/>
    </xf>
    <xf numFmtId="1" fontId="47" fillId="26" borderId="1" xfId="0" applyNumberFormat="1" applyFont="1" applyFill="1" applyBorder="1" applyAlignment="1">
      <alignment horizontal="center" vertical="center" wrapText="1"/>
    </xf>
    <xf numFmtId="1" fontId="47" fillId="26" borderId="1" xfId="0" applyNumberFormat="1" applyFont="1" applyFill="1" applyBorder="1" applyAlignment="1">
      <alignment horizontal="center" vertical="top" wrapText="1"/>
    </xf>
    <xf numFmtId="1" fontId="47" fillId="5" borderId="12" xfId="0" applyNumberFormat="1" applyFont="1" applyFill="1" applyBorder="1" applyAlignment="1">
      <alignment horizontal="center" vertical="center" wrapText="1"/>
    </xf>
    <xf numFmtId="1" fontId="52" fillId="5" borderId="0" xfId="0" applyNumberFormat="1" applyFont="1" applyFill="1" applyBorder="1" applyAlignment="1">
      <alignment horizontal="center" vertical="center" wrapText="1"/>
    </xf>
    <xf numFmtId="1" fontId="36" fillId="5" borderId="0" xfId="0" applyNumberFormat="1" applyFont="1" applyFill="1" applyBorder="1" applyAlignment="1">
      <alignment horizontal="center" vertical="center" wrapText="1"/>
    </xf>
    <xf numFmtId="1" fontId="56" fillId="5" borderId="0" xfId="0" applyNumberFormat="1" applyFont="1" applyFill="1" applyAlignment="1">
      <alignment horizontal="center" vertical="center"/>
    </xf>
    <xf numFmtId="0" fontId="144" fillId="5" borderId="1" xfId="0" applyFont="1" applyFill="1" applyBorder="1" applyAlignment="1">
      <alignment horizontal="left" vertical="center" wrapText="1"/>
    </xf>
    <xf numFmtId="0" fontId="36" fillId="5" borderId="0" xfId="0" applyFont="1" applyFill="1" applyAlignment="1">
      <alignment horizontal="right" vertical="center"/>
    </xf>
    <xf numFmtId="165" fontId="9" fillId="8" borderId="1" xfId="0" applyNumberFormat="1" applyFont="1" applyFill="1" applyBorder="1" applyAlignment="1">
      <alignment horizontal="right" vertical="center" wrapText="1"/>
    </xf>
    <xf numFmtId="165" fontId="9" fillId="9" borderId="1" xfId="0" applyNumberFormat="1" applyFont="1" applyFill="1" applyBorder="1" applyAlignment="1">
      <alignment horizontal="right" vertical="center" wrapText="1"/>
    </xf>
    <xf numFmtId="165" fontId="9" fillId="0" borderId="1" xfId="13" applyNumberFormat="1" applyFont="1" applyFill="1" applyBorder="1" applyAlignment="1" applyProtection="1">
      <alignment horizontal="right" vertical="center" wrapText="1"/>
      <protection hidden="1"/>
    </xf>
    <xf numFmtId="0" fontId="36" fillId="0" borderId="4" xfId="20" applyFont="1" applyBorder="1" applyAlignment="1">
      <alignment vertical="center"/>
    </xf>
    <xf numFmtId="165" fontId="36" fillId="5" borderId="1" xfId="10" applyNumberFormat="1" applyFont="1" applyFill="1" applyBorder="1" applyAlignment="1" applyProtection="1">
      <alignment horizontal="right" vertical="center" wrapText="1"/>
      <protection hidden="1"/>
    </xf>
    <xf numFmtId="165" fontId="36" fillId="0" borderId="1" xfId="10" applyNumberFormat="1" applyFont="1" applyFill="1" applyBorder="1" applyAlignment="1" applyProtection="1">
      <alignment horizontal="right" vertical="center" wrapText="1"/>
      <protection hidden="1"/>
    </xf>
    <xf numFmtId="1" fontId="36" fillId="0"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0" fontId="36" fillId="5" borderId="1" xfId="0" applyFont="1" applyFill="1" applyBorder="1" applyAlignment="1">
      <alignment horizontal="center" vertical="center"/>
    </xf>
    <xf numFmtId="1" fontId="9" fillId="6" borderId="1" xfId="0" applyNumberFormat="1" applyFont="1" applyFill="1" applyBorder="1" applyAlignment="1">
      <alignment horizontal="center" vertical="center" wrapText="1"/>
    </xf>
    <xf numFmtId="165" fontId="9" fillId="6" borderId="1" xfId="0" applyNumberFormat="1" applyFont="1" applyFill="1" applyBorder="1" applyAlignment="1">
      <alignment horizontal="right" vertical="center"/>
    </xf>
    <xf numFmtId="165" fontId="36" fillId="6" borderId="1" xfId="0" applyNumberFormat="1" applyFont="1" applyFill="1" applyBorder="1" applyAlignment="1">
      <alignment horizontal="right" vertical="center"/>
    </xf>
    <xf numFmtId="165" fontId="9" fillId="9" borderId="1" xfId="0" applyNumberFormat="1" applyFont="1" applyFill="1" applyBorder="1" applyAlignment="1">
      <alignment horizontal="left" vertical="center" wrapText="1"/>
    </xf>
    <xf numFmtId="1" fontId="9" fillId="9" borderId="1" xfId="0" applyNumberFormat="1" applyFont="1" applyFill="1" applyBorder="1" applyAlignment="1">
      <alignment horizontal="center" vertical="center" wrapText="1"/>
    </xf>
    <xf numFmtId="165" fontId="9" fillId="9" borderId="1" xfId="0" applyNumberFormat="1" applyFont="1" applyFill="1" applyBorder="1" applyAlignment="1">
      <alignment horizontal="right" vertical="center"/>
    </xf>
    <xf numFmtId="165" fontId="36" fillId="9" borderId="1" xfId="0" applyNumberFormat="1" applyFont="1" applyFill="1" applyBorder="1" applyAlignment="1">
      <alignment horizontal="right" vertical="center"/>
    </xf>
    <xf numFmtId="165" fontId="9" fillId="16" borderId="1" xfId="0" applyNumberFormat="1" applyFont="1" applyFill="1" applyBorder="1" applyAlignment="1">
      <alignment horizontal="left" vertical="center" wrapText="1"/>
    </xf>
    <xf numFmtId="1" fontId="9" fillId="16"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36" fillId="5" borderId="1" xfId="0" applyFont="1" applyFill="1" applyBorder="1" applyAlignment="1">
      <alignment vertical="top" wrapText="1"/>
    </xf>
    <xf numFmtId="1" fontId="36" fillId="5" borderId="1" xfId="0" applyNumberFormat="1" applyFont="1" applyFill="1" applyBorder="1" applyAlignment="1">
      <alignment horizontal="center" vertical="top" wrapText="1"/>
    </xf>
    <xf numFmtId="165" fontId="36" fillId="5" borderId="1" xfId="0" applyNumberFormat="1" applyFont="1" applyFill="1" applyBorder="1" applyAlignment="1">
      <alignment vertical="center"/>
    </xf>
    <xf numFmtId="1" fontId="36" fillId="5" borderId="1" xfId="3" applyNumberFormat="1" applyFont="1" applyFill="1" applyBorder="1" applyAlignment="1" applyProtection="1">
      <alignment horizontal="center" vertical="center" wrapText="1"/>
      <protection hidden="1"/>
    </xf>
    <xf numFmtId="0" fontId="36" fillId="5" borderId="1" xfId="0" applyFont="1" applyFill="1" applyBorder="1" applyAlignment="1">
      <alignment horizontal="left" vertical="top" wrapText="1"/>
    </xf>
    <xf numFmtId="166" fontId="9" fillId="5" borderId="1" xfId="6" applyNumberFormat="1" applyFont="1" applyFill="1" applyBorder="1" applyAlignment="1" applyProtection="1">
      <alignment vertical="center" wrapText="1"/>
      <protection hidden="1"/>
    </xf>
    <xf numFmtId="166" fontId="36" fillId="5" borderId="1" xfId="6" applyNumberFormat="1" applyFont="1" applyFill="1" applyBorder="1" applyAlignment="1" applyProtection="1">
      <alignment vertical="center" wrapText="1"/>
      <protection hidden="1"/>
    </xf>
    <xf numFmtId="49" fontId="36" fillId="5" borderId="1" xfId="0" applyNumberFormat="1" applyFont="1" applyFill="1" applyBorder="1" applyAlignment="1">
      <alignment horizontal="left" vertical="top" wrapText="1"/>
    </xf>
    <xf numFmtId="175" fontId="36" fillId="5" borderId="1" xfId="0" applyNumberFormat="1" applyFont="1" applyFill="1" applyBorder="1" applyAlignment="1">
      <alignment vertical="top" wrapText="1"/>
    </xf>
    <xf numFmtId="0" fontId="36" fillId="5" borderId="1" xfId="0" applyNumberFormat="1" applyFont="1" applyFill="1" applyBorder="1" applyAlignment="1">
      <alignment horizontal="left" vertical="center" wrapText="1"/>
    </xf>
    <xf numFmtId="0" fontId="36" fillId="5" borderId="1" xfId="0" applyFont="1" applyFill="1" applyBorder="1" applyAlignment="1">
      <alignment horizontal="left" vertical="center" wrapText="1"/>
    </xf>
    <xf numFmtId="2" fontId="36" fillId="5" borderId="1" xfId="0" applyNumberFormat="1" applyFont="1" applyFill="1" applyBorder="1" applyAlignment="1">
      <alignment horizontal="left" vertical="top" wrapText="1"/>
    </xf>
    <xf numFmtId="49" fontId="9" fillId="5" borderId="1" xfId="0" applyNumberFormat="1" applyFont="1" applyFill="1" applyBorder="1" applyAlignment="1">
      <alignment horizontal="left" vertical="top" wrapText="1"/>
    </xf>
    <xf numFmtId="49" fontId="36" fillId="0" borderId="1" xfId="0" applyNumberFormat="1" applyFont="1" applyFill="1" applyBorder="1" applyAlignment="1">
      <alignment horizontal="left" vertical="top" wrapText="1"/>
    </xf>
    <xf numFmtId="165" fontId="9" fillId="0" borderId="1" xfId="0" applyNumberFormat="1" applyFont="1" applyFill="1" applyBorder="1" applyAlignment="1">
      <alignment vertical="center"/>
    </xf>
    <xf numFmtId="165" fontId="36" fillId="0" borderId="1" xfId="0" applyNumberFormat="1" applyFont="1" applyFill="1" applyBorder="1" applyAlignment="1">
      <alignment vertical="center"/>
    </xf>
    <xf numFmtId="0" fontId="36" fillId="5" borderId="1" xfId="3" applyNumberFormat="1" applyFont="1" applyFill="1" applyBorder="1" applyAlignment="1" applyProtection="1">
      <alignment horizontal="left" vertical="top" wrapText="1"/>
      <protection hidden="1"/>
    </xf>
    <xf numFmtId="1" fontId="36" fillId="26" borderId="1" xfId="0" applyNumberFormat="1" applyFont="1" applyFill="1" applyBorder="1" applyAlignment="1">
      <alignment horizontal="center" vertical="center" wrapText="1"/>
    </xf>
    <xf numFmtId="165" fontId="9" fillId="26" borderId="1" xfId="0" applyNumberFormat="1" applyFont="1" applyFill="1" applyBorder="1" applyAlignment="1">
      <alignment horizontal="left" vertical="center" wrapText="1"/>
    </xf>
    <xf numFmtId="1" fontId="9" fillId="26" borderId="1" xfId="0" applyNumberFormat="1" applyFont="1" applyFill="1" applyBorder="1" applyAlignment="1">
      <alignment horizontal="center" vertical="center" wrapText="1"/>
    </xf>
    <xf numFmtId="165" fontId="9" fillId="26" borderId="1" xfId="0" applyNumberFormat="1" applyFont="1" applyFill="1" applyBorder="1" applyAlignment="1">
      <alignment horizontal="right" vertical="center" wrapText="1"/>
    </xf>
    <xf numFmtId="165" fontId="9" fillId="26" borderId="1" xfId="0" applyNumberFormat="1" applyFont="1" applyFill="1" applyBorder="1" applyAlignment="1">
      <alignment vertical="center"/>
    </xf>
    <xf numFmtId="165" fontId="36" fillId="26" borderId="1" xfId="0" applyNumberFormat="1" applyFont="1" applyFill="1" applyBorder="1" applyAlignment="1">
      <alignment vertical="center"/>
    </xf>
    <xf numFmtId="165" fontId="9" fillId="26" borderId="1" xfId="10" applyNumberFormat="1" applyFont="1" applyFill="1" applyBorder="1" applyAlignment="1" applyProtection="1">
      <alignment horizontal="right" vertical="center" wrapText="1"/>
      <protection hidden="1"/>
    </xf>
    <xf numFmtId="165" fontId="9" fillId="16" borderId="1" xfId="10" applyNumberFormat="1" applyFont="1" applyFill="1" applyBorder="1" applyAlignment="1" applyProtection="1">
      <alignment horizontal="right" vertical="center" wrapText="1"/>
      <protection hidden="1"/>
    </xf>
    <xf numFmtId="1" fontId="36" fillId="5" borderId="1" xfId="6" applyNumberFormat="1" applyFont="1" applyFill="1" applyBorder="1" applyAlignment="1" applyProtection="1">
      <alignment horizontal="center" vertical="center" wrapText="1"/>
      <protection hidden="1"/>
    </xf>
    <xf numFmtId="165" fontId="36"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center" vertical="center" wrapText="1"/>
    </xf>
    <xf numFmtId="165" fontId="36" fillId="0" borderId="1" xfId="0" applyNumberFormat="1" applyFont="1" applyFill="1" applyBorder="1" applyAlignment="1">
      <alignment horizontal="right" vertical="center"/>
    </xf>
    <xf numFmtId="165" fontId="9" fillId="16" borderId="1" xfId="0" applyNumberFormat="1" applyFont="1" applyFill="1" applyBorder="1" applyAlignment="1">
      <alignment horizontal="right" vertical="center"/>
    </xf>
    <xf numFmtId="165" fontId="36" fillId="16" borderId="1" xfId="0" applyNumberFormat="1" applyFont="1" applyFill="1" applyBorder="1" applyAlignment="1">
      <alignment horizontal="right" vertical="center"/>
    </xf>
    <xf numFmtId="165" fontId="9" fillId="26" borderId="1" xfId="0" applyNumberFormat="1" applyFont="1" applyFill="1" applyBorder="1" applyAlignment="1">
      <alignment horizontal="right" vertical="center"/>
    </xf>
    <xf numFmtId="165" fontId="36" fillId="26" borderId="1" xfId="0" applyNumberFormat="1" applyFont="1" applyFill="1" applyBorder="1" applyAlignment="1">
      <alignment horizontal="right" vertical="center"/>
    </xf>
    <xf numFmtId="174" fontId="36" fillId="5" borderId="1" xfId="0" applyNumberFormat="1" applyFont="1" applyFill="1" applyBorder="1" applyAlignment="1">
      <alignment horizontal="left" vertical="top" wrapText="1"/>
    </xf>
    <xf numFmtId="1" fontId="36" fillId="0" borderId="1" xfId="0" applyNumberFormat="1" applyFont="1" applyFill="1" applyBorder="1" applyAlignment="1">
      <alignment horizontal="center" vertical="top" wrapText="1"/>
    </xf>
    <xf numFmtId="49" fontId="36" fillId="5" borderId="1" xfId="0" applyNumberFormat="1" applyFont="1" applyFill="1" applyBorder="1" applyAlignment="1">
      <alignment vertical="center" wrapText="1"/>
    </xf>
    <xf numFmtId="0" fontId="36" fillId="5" borderId="1" xfId="0" applyNumberFormat="1" applyFont="1" applyFill="1" applyBorder="1" applyAlignment="1">
      <alignment vertical="center" wrapText="1"/>
    </xf>
    <xf numFmtId="0" fontId="36" fillId="0" borderId="1" xfId="0" applyFont="1" applyFill="1" applyBorder="1" applyAlignment="1">
      <alignment horizontal="left" vertical="top" wrapText="1"/>
    </xf>
    <xf numFmtId="165" fontId="9" fillId="8" borderId="1" xfId="0" applyNumberFormat="1" applyFont="1" applyFill="1" applyBorder="1" applyAlignment="1">
      <alignment horizontal="left" vertical="center" wrapText="1"/>
    </xf>
    <xf numFmtId="1" fontId="9" fillId="8" borderId="1" xfId="0" applyNumberFormat="1" applyFont="1" applyFill="1" applyBorder="1" applyAlignment="1">
      <alignment horizontal="center" vertical="center" wrapText="1"/>
    </xf>
    <xf numFmtId="165" fontId="36" fillId="5" borderId="1" xfId="0" applyNumberFormat="1" applyFont="1" applyFill="1" applyBorder="1" applyAlignment="1">
      <alignment horizontal="left" vertical="center" wrapText="1"/>
    </xf>
    <xf numFmtId="174" fontId="36" fillId="5" borderId="1" xfId="0" applyNumberFormat="1" applyFont="1" applyFill="1" applyBorder="1" applyAlignment="1">
      <alignment vertical="top" wrapText="1"/>
    </xf>
    <xf numFmtId="165" fontId="9" fillId="0" borderId="1" xfId="0" applyNumberFormat="1" applyFont="1" applyFill="1" applyBorder="1" applyAlignment="1">
      <alignment horizontal="center" vertical="center"/>
    </xf>
    <xf numFmtId="165" fontId="36" fillId="0" borderId="1" xfId="0" applyNumberFormat="1" applyFont="1" applyFill="1" applyBorder="1" applyAlignment="1">
      <alignment horizontal="center" vertical="center"/>
    </xf>
    <xf numFmtId="1" fontId="36" fillId="0" borderId="1" xfId="12" applyNumberFormat="1" applyFont="1" applyFill="1" applyBorder="1" applyAlignment="1" applyProtection="1">
      <alignment horizontal="center" vertical="center" wrapText="1"/>
      <protection hidden="1"/>
    </xf>
    <xf numFmtId="1" fontId="36" fillId="0" borderId="1" xfId="3" applyNumberFormat="1" applyFont="1" applyFill="1" applyBorder="1" applyAlignment="1" applyProtection="1">
      <alignment horizontal="center" vertical="center" wrapText="1"/>
      <protection hidden="1"/>
    </xf>
    <xf numFmtId="0" fontId="36" fillId="5" borderId="1" xfId="0" applyFont="1" applyFill="1" applyBorder="1" applyAlignment="1">
      <alignment horizontal="justify" vertical="center" wrapText="1"/>
    </xf>
    <xf numFmtId="0" fontId="36" fillId="5" borderId="1" xfId="0" applyNumberFormat="1" applyFont="1" applyFill="1" applyBorder="1" applyAlignment="1">
      <alignment horizontal="left" vertical="top" wrapText="1"/>
    </xf>
    <xf numFmtId="0" fontId="9" fillId="9" borderId="1" xfId="0" applyFont="1" applyFill="1" applyBorder="1" applyAlignment="1">
      <alignment vertical="center" wrapText="1"/>
    </xf>
    <xf numFmtId="1" fontId="36" fillId="5" borderId="1" xfId="13" applyNumberFormat="1" applyFont="1" applyFill="1" applyBorder="1" applyAlignment="1" applyProtection="1">
      <alignment horizontal="center" vertical="center" wrapText="1"/>
      <protection hidden="1"/>
    </xf>
    <xf numFmtId="0" fontId="9" fillId="26" borderId="1" xfId="0" applyFont="1" applyFill="1" applyBorder="1" applyAlignment="1">
      <alignment vertical="top" wrapText="1"/>
    </xf>
    <xf numFmtId="1" fontId="9" fillId="26" borderId="1" xfId="0" applyNumberFormat="1" applyFont="1" applyFill="1" applyBorder="1" applyAlignment="1">
      <alignment horizontal="center" vertical="top" wrapText="1"/>
    </xf>
    <xf numFmtId="165" fontId="9" fillId="26" borderId="1" xfId="13" applyNumberFormat="1" applyFont="1" applyFill="1" applyBorder="1" applyAlignment="1" applyProtection="1">
      <alignment horizontal="right" vertical="center" wrapText="1"/>
      <protection hidden="1"/>
    </xf>
    <xf numFmtId="0" fontId="36" fillId="0" borderId="1" xfId="0" applyFont="1" applyFill="1" applyBorder="1" applyAlignment="1">
      <alignment vertical="top" wrapText="1"/>
    </xf>
    <xf numFmtId="0" fontId="9" fillId="26" borderId="1" xfId="0" applyFont="1" applyFill="1" applyBorder="1" applyAlignment="1">
      <alignment vertical="center" wrapText="1"/>
    </xf>
    <xf numFmtId="0" fontId="36" fillId="0" borderId="1" xfId="0" applyFont="1" applyFill="1" applyBorder="1" applyAlignment="1">
      <alignment vertical="center" wrapText="1"/>
    </xf>
    <xf numFmtId="165" fontId="9" fillId="0" borderId="1" xfId="0" applyNumberFormat="1" applyFont="1" applyFill="1" applyBorder="1" applyAlignment="1">
      <alignment horizontal="left" vertical="center" wrapText="1"/>
    </xf>
    <xf numFmtId="1" fontId="36" fillId="16" borderId="1" xfId="0" applyNumberFormat="1" applyFont="1" applyFill="1" applyBorder="1" applyAlignment="1">
      <alignment horizontal="center" vertical="top" wrapText="1"/>
    </xf>
    <xf numFmtId="165" fontId="9" fillId="16" borderId="1" xfId="0" applyNumberFormat="1" applyFont="1" applyFill="1" applyBorder="1" applyAlignment="1">
      <alignment vertical="center"/>
    </xf>
    <xf numFmtId="165" fontId="36" fillId="16" borderId="1" xfId="0" applyNumberFormat="1" applyFont="1" applyFill="1" applyBorder="1" applyAlignment="1">
      <alignment vertical="center"/>
    </xf>
    <xf numFmtId="1" fontId="9" fillId="5" borderId="1" xfId="0" applyNumberFormat="1" applyFont="1" applyFill="1" applyBorder="1" applyAlignment="1">
      <alignment horizontal="center" vertical="center" wrapText="1"/>
    </xf>
    <xf numFmtId="165" fontId="36" fillId="0" borderId="1" xfId="0" applyNumberFormat="1" applyFont="1" applyFill="1" applyBorder="1" applyAlignment="1">
      <alignment horizontal="center" vertical="center" wrapText="1"/>
    </xf>
    <xf numFmtId="165" fontId="9" fillId="0" borderId="1" xfId="12" applyNumberFormat="1" applyFont="1" applyFill="1" applyBorder="1" applyAlignment="1" applyProtection="1">
      <alignment horizontal="right" vertical="center"/>
      <protection hidden="1"/>
    </xf>
    <xf numFmtId="1" fontId="36" fillId="5" borderId="0" xfId="0" applyNumberFormat="1" applyFont="1" applyFill="1" applyAlignment="1">
      <alignment horizontal="center" vertical="center" wrapText="1"/>
    </xf>
    <xf numFmtId="1" fontId="36" fillId="5" borderId="0" xfId="2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146" fillId="5" borderId="1" xfId="0" applyNumberFormat="1" applyFont="1" applyFill="1" applyBorder="1" applyAlignment="1">
      <alignment horizontal="center" vertical="center" wrapText="1"/>
    </xf>
    <xf numFmtId="0" fontId="36" fillId="5" borderId="1" xfId="0" applyNumberFormat="1" applyFont="1" applyFill="1" applyBorder="1" applyAlignment="1">
      <alignment horizontal="center" vertical="center" wrapText="1"/>
    </xf>
    <xf numFmtId="1" fontId="36" fillId="0" borderId="1" xfId="0" applyNumberFormat="1" applyFont="1" applyFill="1" applyBorder="1" applyAlignment="1">
      <alignment horizontal="left" vertical="center" wrapText="1"/>
    </xf>
    <xf numFmtId="1" fontId="36" fillId="0" borderId="1" xfId="0" applyNumberFormat="1" applyFont="1" applyFill="1" applyBorder="1" applyAlignment="1">
      <alignment vertical="center" wrapText="1"/>
    </xf>
    <xf numFmtId="1" fontId="36" fillId="5" borderId="1" xfId="0" applyNumberFormat="1" applyFont="1" applyFill="1" applyBorder="1" applyAlignment="1">
      <alignment horizontal="center" vertical="center" wrapText="1"/>
    </xf>
    <xf numFmtId="165" fontId="45" fillId="5" borderId="4" xfId="0" applyNumberFormat="1" applyFont="1" applyFill="1" applyBorder="1" applyAlignment="1">
      <alignment vertical="center"/>
    </xf>
    <xf numFmtId="165" fontId="47" fillId="5" borderId="4" xfId="0" applyNumberFormat="1" applyFont="1" applyFill="1" applyBorder="1" applyAlignment="1">
      <alignment vertical="center"/>
    </xf>
    <xf numFmtId="0" fontId="45" fillId="5" borderId="4" xfId="0" applyFont="1" applyFill="1" applyBorder="1" applyAlignment="1">
      <alignment vertical="center"/>
    </xf>
    <xf numFmtId="165" fontId="47" fillId="5" borderId="4" xfId="0" applyNumberFormat="1" applyFont="1" applyFill="1" applyBorder="1" applyAlignment="1">
      <alignment vertical="center" wrapText="1"/>
    </xf>
    <xf numFmtId="165" fontId="45" fillId="5" borderId="4" xfId="0" applyNumberFormat="1" applyFont="1" applyFill="1" applyBorder="1" applyAlignment="1">
      <alignment horizontal="right" vertical="center"/>
    </xf>
    <xf numFmtId="0" fontId="47" fillId="5" borderId="4" xfId="0" applyFont="1" applyFill="1" applyBorder="1" applyAlignment="1">
      <alignment vertical="center"/>
    </xf>
    <xf numFmtId="0" fontId="47" fillId="5" borderId="4" xfId="0" applyNumberFormat="1" applyFont="1" applyFill="1" applyBorder="1" applyAlignment="1">
      <alignment vertical="center"/>
    </xf>
    <xf numFmtId="0" fontId="47" fillId="5" borderId="0" xfId="0" applyNumberFormat="1" applyFont="1" applyFill="1" applyBorder="1" applyAlignment="1">
      <alignment vertical="center"/>
    </xf>
    <xf numFmtId="165" fontId="47" fillId="5" borderId="0" xfId="0" applyNumberFormat="1" applyFont="1" applyFill="1" applyBorder="1" applyAlignment="1">
      <alignmen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0" fontId="36" fillId="5" borderId="0" xfId="0" applyFont="1" applyFill="1" applyBorder="1" applyAlignment="1">
      <alignment vertical="top" wrapText="1"/>
    </xf>
    <xf numFmtId="1" fontId="36" fillId="5" borderId="0" xfId="0" applyNumberFormat="1" applyFont="1" applyFill="1" applyBorder="1" applyAlignment="1">
      <alignment horizontal="center" vertical="top" wrapText="1"/>
    </xf>
    <xf numFmtId="165" fontId="9" fillId="5" borderId="0" xfId="0" applyNumberFormat="1" applyFont="1" applyFill="1" applyBorder="1" applyAlignment="1">
      <alignment horizontal="right" vertical="center" wrapText="1"/>
    </xf>
    <xf numFmtId="165" fontId="36" fillId="5" borderId="0" xfId="12" applyNumberFormat="1" applyFont="1" applyFill="1" applyBorder="1" applyAlignment="1" applyProtection="1">
      <alignment horizontal="right" vertical="center"/>
      <protection hidden="1"/>
    </xf>
    <xf numFmtId="165" fontId="9" fillId="6" borderId="1" xfId="0" applyNumberFormat="1" applyFont="1" applyFill="1" applyBorder="1" applyAlignment="1">
      <alignment vertical="center"/>
    </xf>
    <xf numFmtId="165" fontId="36" fillId="6" borderId="1" xfId="0" applyNumberFormat="1" applyFont="1" applyFill="1" applyBorder="1" applyAlignment="1">
      <alignment vertical="center"/>
    </xf>
    <xf numFmtId="165" fontId="9" fillId="9" borderId="1" xfId="0" applyNumberFormat="1" applyFont="1" applyFill="1" applyBorder="1" applyAlignment="1">
      <alignment vertical="center"/>
    </xf>
    <xf numFmtId="165" fontId="36" fillId="9" borderId="1" xfId="0" applyNumberFormat="1" applyFont="1" applyFill="1" applyBorder="1" applyAlignment="1">
      <alignment vertical="center"/>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NumberFormat="1" applyFont="1" applyFill="1" applyBorder="1" applyAlignment="1">
      <alignment horizontal="left" vertical="top" wrapText="1"/>
    </xf>
    <xf numFmtId="165" fontId="142" fillId="0" borderId="1" xfId="0" applyNumberFormat="1" applyFont="1" applyFill="1" applyBorder="1" applyAlignment="1">
      <alignment horizontal="right" vertical="center" wrapText="1"/>
    </xf>
    <xf numFmtId="165" fontId="146" fillId="0" borderId="1" xfId="12" applyNumberFormat="1" applyFont="1" applyFill="1" applyBorder="1" applyAlignment="1" applyProtection="1">
      <alignment horizontal="right" vertical="center"/>
      <protection hidden="1"/>
    </xf>
    <xf numFmtId="165" fontId="146" fillId="0" borderId="1" xfId="0" applyNumberFormat="1" applyFont="1" applyFill="1" applyBorder="1" applyAlignment="1">
      <alignment vertical="center" wrapText="1"/>
    </xf>
    <xf numFmtId="4" fontId="146" fillId="0" borderId="1" xfId="12" applyNumberFormat="1" applyFont="1" applyFill="1" applyBorder="1" applyAlignment="1" applyProtection="1">
      <alignment horizontal="right" vertical="center"/>
      <protection hidden="1"/>
    </xf>
    <xf numFmtId="165" fontId="142" fillId="4" borderId="1" xfId="0" applyNumberFormat="1" applyFont="1" applyFill="1" applyBorder="1" applyAlignment="1">
      <alignment horizontal="right" vertical="center" wrapText="1"/>
    </xf>
    <xf numFmtId="165" fontId="146" fillId="4" borderId="1" xfId="12" applyNumberFormat="1" applyFont="1" applyFill="1" applyBorder="1" applyAlignment="1" applyProtection="1">
      <alignment horizontal="right" vertical="center"/>
      <protection hidden="1"/>
    </xf>
    <xf numFmtId="165" fontId="146" fillId="4" borderId="1" xfId="0" applyNumberFormat="1" applyFont="1" applyFill="1" applyBorder="1" applyAlignment="1">
      <alignment vertical="center" wrapText="1"/>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65" fontId="9" fillId="20" borderId="1" xfId="0" applyNumberFormat="1" applyFont="1" applyFill="1" applyBorder="1" applyAlignment="1">
      <alignment horizontal="right" vertical="center" wrapText="1"/>
    </xf>
    <xf numFmtId="165" fontId="9" fillId="20" borderId="1" xfId="0" applyNumberFormat="1" applyFont="1" applyFill="1" applyBorder="1" applyAlignment="1">
      <alignment vertical="center"/>
    </xf>
    <xf numFmtId="165" fontId="9" fillId="8" borderId="1" xfId="0" applyNumberFormat="1" applyFont="1" applyFill="1" applyBorder="1" applyAlignment="1">
      <alignment vertical="center"/>
    </xf>
    <xf numFmtId="165" fontId="36" fillId="8" borderId="1" xfId="0" applyNumberFormat="1" applyFont="1" applyFill="1" applyBorder="1" applyAlignment="1">
      <alignment vertical="center"/>
    </xf>
    <xf numFmtId="1" fontId="9" fillId="20" borderId="1" xfId="0" applyNumberFormat="1" applyFont="1" applyFill="1" applyBorder="1" applyAlignment="1">
      <alignment horizontal="center" vertical="center" wrapText="1"/>
    </xf>
    <xf numFmtId="49" fontId="9" fillId="20" borderId="1" xfId="0" applyNumberFormat="1" applyFont="1" applyFill="1" applyBorder="1" applyAlignment="1">
      <alignment horizontal="left" vertical="top" wrapText="1"/>
    </xf>
    <xf numFmtId="165" fontId="9" fillId="20" borderId="1" xfId="0" applyNumberFormat="1" applyFont="1" applyFill="1" applyBorder="1" applyAlignment="1">
      <alignment horizontal="right" vertical="center"/>
    </xf>
    <xf numFmtId="165" fontId="36" fillId="20" borderId="1" xfId="0" applyNumberFormat="1" applyFont="1" applyFill="1" applyBorder="1" applyAlignment="1">
      <alignment horizontal="right" vertical="center"/>
    </xf>
    <xf numFmtId="0" fontId="9" fillId="8" borderId="1" xfId="0" applyFont="1" applyFill="1" applyBorder="1" applyAlignment="1">
      <alignment vertical="top" wrapText="1"/>
    </xf>
    <xf numFmtId="165" fontId="9" fillId="8" borderId="1" xfId="13" applyNumberFormat="1" applyFont="1" applyFill="1" applyBorder="1" applyAlignment="1" applyProtection="1">
      <alignment horizontal="right" vertical="center" wrapText="1"/>
      <protection hidden="1"/>
    </xf>
    <xf numFmtId="165" fontId="9" fillId="9" borderId="1" xfId="13" applyNumberFormat="1" applyFont="1" applyFill="1" applyBorder="1" applyAlignment="1" applyProtection="1">
      <alignment horizontal="right" vertical="center" wrapText="1"/>
      <protection hidden="1"/>
    </xf>
    <xf numFmtId="165" fontId="135" fillId="0" borderId="1" xfId="0" applyNumberFormat="1" applyFont="1" applyFill="1" applyBorder="1" applyAlignment="1">
      <alignment vertical="center" wrapText="1"/>
    </xf>
    <xf numFmtId="1" fontId="36"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65" fontId="36" fillId="16" borderId="1" xfId="0" applyNumberFormat="1" applyFont="1" applyFill="1" applyBorder="1" applyAlignment="1">
      <alignment horizontal="righ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5" borderId="1" xfId="0" applyNumberFormat="1" applyFont="1" applyFill="1" applyBorder="1" applyAlignment="1">
      <alignment horizontal="left" vertical="center" wrapText="1"/>
    </xf>
    <xf numFmtId="165" fontId="9" fillId="7" borderId="1" xfId="0" applyNumberFormat="1" applyFont="1" applyFill="1" applyBorder="1" applyAlignment="1">
      <alignment horizontal="left" vertical="center" wrapText="1"/>
    </xf>
    <xf numFmtId="165" fontId="9" fillId="7" borderId="1" xfId="0" applyNumberFormat="1" applyFont="1" applyFill="1" applyBorder="1" applyAlignment="1">
      <alignment horizontal="right" vertical="center"/>
    </xf>
    <xf numFmtId="165" fontId="36" fillId="7" borderId="1" xfId="0" applyNumberFormat="1" applyFont="1" applyFill="1" applyBorder="1" applyAlignment="1">
      <alignment horizontal="right" vertical="center"/>
    </xf>
    <xf numFmtId="1" fontId="36"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 fontId="36"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74" fontId="36" fillId="5" borderId="1" xfId="0" applyNumberFormat="1" applyFont="1" applyFill="1" applyBorder="1" applyAlignment="1">
      <alignment horizontal="left" vertical="center" wrapText="1"/>
    </xf>
    <xf numFmtId="165" fontId="9" fillId="4" borderId="1" xfId="0" applyNumberFormat="1" applyFont="1" applyFill="1" applyBorder="1" applyAlignment="1">
      <alignment horizontal="right" vertical="center" wrapText="1"/>
    </xf>
    <xf numFmtId="1" fontId="36" fillId="5" borderId="1"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65" fontId="9" fillId="5" borderId="1" xfId="13" applyNumberFormat="1" applyFont="1" applyFill="1" applyBorder="1" applyAlignment="1" applyProtection="1">
      <alignment horizontal="right" vertical="center" wrapText="1"/>
      <protection hidden="1"/>
    </xf>
    <xf numFmtId="165" fontId="9" fillId="28" borderId="1" xfId="0" applyNumberFormat="1" applyFont="1" applyFill="1" applyBorder="1" applyAlignment="1">
      <alignment vertical="center"/>
    </xf>
    <xf numFmtId="165" fontId="36" fillId="28" borderId="1" xfId="0" applyNumberFormat="1" applyFont="1" applyFill="1" applyBorder="1" applyAlignment="1">
      <alignment vertical="center"/>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0" fontId="9" fillId="19" borderId="1" xfId="0" applyFont="1" applyFill="1" applyBorder="1" applyAlignment="1">
      <alignment vertical="center" wrapText="1"/>
    </xf>
    <xf numFmtId="165" fontId="36" fillId="19" borderId="1" xfId="0" applyNumberFormat="1" applyFont="1" applyFill="1" applyBorder="1" applyAlignment="1">
      <alignment horizontal="right" vertical="center" wrapText="1"/>
    </xf>
    <xf numFmtId="165" fontId="9" fillId="19" borderId="1" xfId="0" applyNumberFormat="1" applyFont="1" applyFill="1" applyBorder="1" applyAlignment="1">
      <alignment horizontal="right" vertical="center"/>
    </xf>
    <xf numFmtId="165" fontId="9" fillId="26" borderId="5" xfId="0" applyNumberFormat="1" applyFont="1" applyFill="1" applyBorder="1" applyAlignment="1">
      <alignment vertical="center" wrapText="1"/>
    </xf>
    <xf numFmtId="0" fontId="36" fillId="19" borderId="1" xfId="0" applyFont="1" applyFill="1" applyBorder="1" applyAlignment="1">
      <alignment vertical="center" wrapText="1"/>
    </xf>
    <xf numFmtId="1" fontId="9" fillId="7" borderId="1" xfId="0" applyNumberFormat="1" applyFont="1" applyFill="1" applyBorder="1" applyAlignment="1">
      <alignment horizontal="center" vertical="center" wrapText="1"/>
    </xf>
    <xf numFmtId="165" fontId="36" fillId="26" borderId="1" xfId="0" applyNumberFormat="1" applyFont="1" applyFill="1" applyBorder="1" applyAlignment="1">
      <alignment horizontal="right" vertical="center" wrapText="1"/>
    </xf>
    <xf numFmtId="1" fontId="9" fillId="5" borderId="0" xfId="20" applyNumberFormat="1" applyFont="1" applyFill="1" applyBorder="1" applyAlignment="1">
      <alignment horizontal="center" vertical="center" wrapText="1"/>
    </xf>
    <xf numFmtId="1" fontId="9" fillId="19" borderId="1" xfId="0" applyNumberFormat="1" applyFont="1" applyFill="1" applyBorder="1" applyAlignment="1">
      <alignment vertical="center" wrapText="1"/>
    </xf>
    <xf numFmtId="1" fontId="9" fillId="5" borderId="0" xfId="0" applyNumberFormat="1" applyFont="1" applyFill="1" applyAlignment="1">
      <alignment horizontal="center" vertical="center" wrapText="1"/>
    </xf>
    <xf numFmtId="1" fontId="9" fillId="5" borderId="1" xfId="0" applyNumberFormat="1" applyFont="1" applyFill="1" applyBorder="1" applyAlignment="1">
      <alignment horizontal="center" vertical="center" wrapText="1"/>
    </xf>
    <xf numFmtId="1" fontId="9" fillId="19" borderId="1" xfId="0" applyNumberFormat="1" applyFont="1" applyFill="1" applyBorder="1" applyAlignment="1">
      <alignment horizontal="center" vertical="center" wrapText="1"/>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 fontId="36" fillId="21" borderId="1" xfId="0" applyNumberFormat="1" applyFont="1" applyFill="1" applyBorder="1" applyAlignment="1">
      <alignment horizontal="center" vertical="center" wrapText="1"/>
    </xf>
    <xf numFmtId="4" fontId="36" fillId="5" borderId="1" xfId="12" applyNumberFormat="1" applyFont="1" applyFill="1" applyBorder="1" applyAlignment="1" applyProtection="1">
      <alignment horizontal="right" vertical="center"/>
      <protection hidden="1"/>
    </xf>
    <xf numFmtId="165" fontId="9" fillId="21" borderId="1" xfId="0" applyNumberFormat="1" applyFont="1" applyFill="1" applyBorder="1" applyAlignment="1">
      <alignment horizontal="left" vertical="center" wrapText="1"/>
    </xf>
    <xf numFmtId="1" fontId="9" fillId="21" borderId="1" xfId="0" applyNumberFormat="1" applyFont="1" applyFill="1" applyBorder="1" applyAlignment="1">
      <alignment horizontal="center" vertical="center" wrapText="1"/>
    </xf>
    <xf numFmtId="165" fontId="9" fillId="21" borderId="1" xfId="0" applyNumberFormat="1" applyFont="1" applyFill="1" applyBorder="1" applyAlignment="1">
      <alignment horizontal="right" vertical="center" wrapText="1"/>
    </xf>
    <xf numFmtId="165" fontId="36" fillId="21" borderId="1" xfId="0" applyNumberFormat="1" applyFont="1" applyFill="1" applyBorder="1" applyAlignment="1">
      <alignment horizontal="right" vertical="center" wrapText="1"/>
    </xf>
    <xf numFmtId="1" fontId="36" fillId="5" borderId="1" xfId="12" applyNumberFormat="1" applyFont="1" applyFill="1" applyBorder="1" applyAlignment="1" applyProtection="1">
      <alignment horizontal="center" vertical="center" wrapText="1"/>
      <protection hidden="1"/>
    </xf>
    <xf numFmtId="0" fontId="36" fillId="0"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top" wrapText="1"/>
    </xf>
    <xf numFmtId="165" fontId="36" fillId="5" borderId="1" xfId="0" applyNumberFormat="1" applyFont="1" applyFill="1" applyBorder="1" applyAlignment="1">
      <alignment horizontal="center" vertical="center" wrapText="1"/>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165" fontId="9" fillId="26" borderId="1" xfId="10" applyNumberFormat="1" applyFont="1" applyFill="1" applyBorder="1" applyAlignment="1" applyProtection="1">
      <alignment horizontal="right" vertical="center" wrapText="1"/>
      <protection hidden="1"/>
    </xf>
    <xf numFmtId="0" fontId="147" fillId="0" borderId="0" xfId="0" applyFont="1"/>
    <xf numFmtId="0" fontId="36" fillId="5" borderId="0" xfId="0" applyFont="1" applyFill="1" applyAlignment="1">
      <alignment vertical="center" wrapText="1"/>
    </xf>
    <xf numFmtId="0" fontId="146" fillId="19" borderId="1" xfId="0" applyFont="1" applyFill="1" applyBorder="1" applyAlignment="1">
      <alignment horizontal="center" vertical="center" wrapText="1"/>
    </xf>
    <xf numFmtId="165" fontId="142" fillId="9" borderId="1" xfId="0" applyNumberFormat="1" applyFont="1" applyFill="1" applyBorder="1" applyAlignment="1">
      <alignment horizontal="right" vertical="center" wrapText="1"/>
    </xf>
    <xf numFmtId="165" fontId="138" fillId="5" borderId="0" xfId="0" applyNumberFormat="1" applyFont="1" applyFill="1" applyAlignment="1">
      <alignment vertical="center"/>
    </xf>
    <xf numFmtId="165" fontId="146" fillId="4" borderId="0" xfId="0" applyNumberFormat="1" applyFont="1" applyFill="1" applyAlignment="1">
      <alignment vertical="center"/>
    </xf>
    <xf numFmtId="1" fontId="36" fillId="16" borderId="1" xfId="0" applyNumberFormat="1" applyFont="1" applyFill="1" applyBorder="1" applyAlignment="1">
      <alignment horizontal="center" vertical="center" wrapText="1"/>
    </xf>
    <xf numFmtId="174" fontId="36" fillId="0" borderId="1" xfId="0" applyNumberFormat="1" applyFont="1" applyFill="1" applyBorder="1" applyAlignment="1">
      <alignment horizontal="left" vertical="top" wrapText="1"/>
    </xf>
    <xf numFmtId="166" fontId="36" fillId="0" borderId="1" xfId="6" applyNumberFormat="1" applyFont="1" applyFill="1" applyBorder="1" applyAlignment="1" applyProtection="1">
      <alignment vertical="center" wrapText="1"/>
      <protection hidden="1"/>
    </xf>
    <xf numFmtId="0" fontId="36" fillId="0" borderId="1" xfId="0" applyNumberFormat="1" applyFont="1" applyFill="1" applyBorder="1" applyAlignment="1">
      <alignment vertical="center" wrapText="1"/>
    </xf>
    <xf numFmtId="49" fontId="36" fillId="0" borderId="1" xfId="0" applyNumberFormat="1" applyFont="1" applyFill="1" applyBorder="1" applyAlignment="1">
      <alignment vertical="center" wrapText="1"/>
    </xf>
    <xf numFmtId="166" fontId="36" fillId="0" borderId="1" xfId="12" applyNumberFormat="1" applyFont="1" applyFill="1" applyBorder="1" applyAlignment="1" applyProtection="1">
      <alignment vertical="center" wrapText="1"/>
      <protection hidden="1"/>
    </xf>
    <xf numFmtId="0" fontId="36" fillId="0" borderId="1" xfId="3" applyNumberFormat="1" applyFont="1" applyFill="1" applyBorder="1" applyAlignment="1" applyProtection="1">
      <alignment horizontal="left" vertical="center" wrapText="1"/>
      <protection hidden="1"/>
    </xf>
    <xf numFmtId="1" fontId="36"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 fontId="36"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65" fontId="142" fillId="26" borderId="1" xfId="10" applyNumberFormat="1" applyFont="1" applyFill="1" applyBorder="1" applyAlignment="1" applyProtection="1">
      <alignment horizontal="right" vertical="center" wrapText="1"/>
      <protection hidden="1"/>
    </xf>
    <xf numFmtId="165" fontId="146" fillId="5" borderId="0" xfId="0" applyNumberFormat="1" applyFont="1" applyFill="1" applyAlignment="1">
      <alignment vertical="center"/>
    </xf>
    <xf numFmtId="0" fontId="146" fillId="0" borderId="0" xfId="0" applyFont="1" applyFill="1" applyAlignment="1">
      <alignment vertical="center"/>
    </xf>
    <xf numFmtId="165" fontId="142" fillId="5" borderId="1" xfId="0" applyNumberFormat="1" applyFont="1" applyFill="1" applyBorder="1" applyAlignment="1">
      <alignment horizontal="right" vertical="center" wrapText="1"/>
    </xf>
    <xf numFmtId="0" fontId="146" fillId="0" borderId="1" xfId="0" applyFont="1" applyFill="1" applyBorder="1" applyAlignment="1">
      <alignment horizontal="center" vertical="center" wrapText="1"/>
    </xf>
    <xf numFmtId="0" fontId="146" fillId="5" borderId="0" xfId="0" applyFont="1" applyFill="1" applyAlignment="1">
      <alignment vertical="center"/>
    </xf>
    <xf numFmtId="165" fontId="146" fillId="5" borderId="1" xfId="12" applyNumberFormat="1" applyFont="1" applyFill="1" applyBorder="1" applyAlignment="1" applyProtection="1">
      <alignment horizontal="right" vertical="center"/>
      <protection hidden="1"/>
    </xf>
    <xf numFmtId="1" fontId="146" fillId="0" borderId="1" xfId="0" applyNumberFormat="1" applyFont="1" applyFill="1" applyBorder="1" applyAlignment="1">
      <alignment horizontal="center" vertical="center" wrapText="1"/>
    </xf>
    <xf numFmtId="165" fontId="142" fillId="0" borderId="1" xfId="0" applyNumberFormat="1" applyFont="1" applyFill="1" applyBorder="1" applyAlignment="1">
      <alignment vertical="center"/>
    </xf>
    <xf numFmtId="165" fontId="146" fillId="0" borderId="1" xfId="0" applyNumberFormat="1" applyFont="1" applyFill="1" applyBorder="1" applyAlignment="1">
      <alignment vertical="center"/>
    </xf>
    <xf numFmtId="1" fontId="146" fillId="5" borderId="1" xfId="3" applyNumberFormat="1" applyFont="1" applyFill="1" applyBorder="1" applyAlignment="1" applyProtection="1">
      <alignment horizontal="center" vertical="center" wrapText="1"/>
      <protection hidden="1"/>
    </xf>
    <xf numFmtId="165" fontId="142" fillId="5" borderId="1" xfId="0" applyNumberFormat="1" applyFont="1" applyFill="1" applyBorder="1" applyAlignment="1">
      <alignment vertical="center"/>
    </xf>
    <xf numFmtId="165" fontId="146" fillId="5" borderId="1" xfId="0" applyNumberFormat="1" applyFont="1" applyFill="1" applyBorder="1" applyAlignment="1">
      <alignment vertical="center"/>
    </xf>
    <xf numFmtId="0" fontId="36" fillId="4" borderId="0" xfId="0" applyFont="1" applyFill="1" applyAlignment="1">
      <alignment vertical="center"/>
    </xf>
    <xf numFmtId="4" fontId="36" fillId="4" borderId="1" xfId="12" applyNumberFormat="1" applyFont="1" applyFill="1" applyBorder="1" applyAlignment="1" applyProtection="1">
      <alignment horizontal="right" vertical="center"/>
      <protection hidden="1"/>
    </xf>
    <xf numFmtId="1" fontId="146" fillId="5" borderId="1" xfId="0" applyNumberFormat="1" applyFont="1" applyFill="1" applyBorder="1" applyAlignment="1">
      <alignment horizontal="center" vertical="top" wrapText="1"/>
    </xf>
    <xf numFmtId="165" fontId="142" fillId="26" borderId="1" xfId="0" applyNumberFormat="1" applyFont="1" applyFill="1" applyBorder="1" applyAlignment="1">
      <alignment horizontal="left" vertical="center" wrapText="1"/>
    </xf>
    <xf numFmtId="1" fontId="142" fillId="26" borderId="1" xfId="0" applyNumberFormat="1" applyFont="1" applyFill="1" applyBorder="1" applyAlignment="1">
      <alignment horizontal="center" vertical="center" wrapText="1"/>
    </xf>
    <xf numFmtId="165" fontId="142" fillId="26" borderId="1" xfId="0" applyNumberFormat="1" applyFont="1" applyFill="1" applyBorder="1" applyAlignment="1">
      <alignment horizontal="right" vertical="center" wrapText="1"/>
    </xf>
    <xf numFmtId="165" fontId="142" fillId="26" borderId="1" xfId="0" applyNumberFormat="1" applyFont="1" applyFill="1" applyBorder="1" applyAlignment="1">
      <alignment vertical="center"/>
    </xf>
    <xf numFmtId="165" fontId="146" fillId="26" borderId="1" xfId="0" applyNumberFormat="1" applyFont="1" applyFill="1" applyBorder="1" applyAlignment="1">
      <alignment vertical="center"/>
    </xf>
    <xf numFmtId="174" fontId="146" fillId="5" borderId="1" xfId="0" applyNumberFormat="1" applyFont="1" applyFill="1" applyBorder="1" applyAlignment="1">
      <alignment horizontal="left" vertical="top" wrapText="1"/>
    </xf>
    <xf numFmtId="1" fontId="146" fillId="0" borderId="1" xfId="0" applyNumberFormat="1" applyFont="1" applyFill="1" applyBorder="1" applyAlignment="1">
      <alignment horizontal="center" vertical="top" wrapText="1"/>
    </xf>
    <xf numFmtId="174" fontId="146" fillId="5" borderId="1" xfId="0" applyNumberFormat="1" applyFont="1" applyFill="1" applyBorder="1" applyAlignment="1">
      <alignment horizontal="left" vertical="center" wrapText="1"/>
    </xf>
    <xf numFmtId="0" fontId="146" fillId="5" borderId="1" xfId="3" applyNumberFormat="1" applyFont="1" applyFill="1" applyBorder="1" applyAlignment="1" applyProtection="1">
      <alignment horizontal="left" vertical="center" wrapText="1"/>
      <protection hidden="1"/>
    </xf>
    <xf numFmtId="0" fontId="146" fillId="0" borderId="0" xfId="0" applyFont="1" applyFill="1" applyAlignment="1">
      <alignment vertical="center" wrapText="1"/>
    </xf>
    <xf numFmtId="166" fontId="146" fillId="5" borderId="1" xfId="6" applyNumberFormat="1" applyFont="1" applyFill="1" applyBorder="1" applyAlignment="1" applyProtection="1">
      <alignment vertical="center" wrapText="1"/>
      <protection hidden="1"/>
    </xf>
    <xf numFmtId="165" fontId="146" fillId="5" borderId="1" xfId="0" applyNumberFormat="1" applyFont="1" applyFill="1" applyBorder="1" applyAlignment="1">
      <alignment vertical="center" wrapText="1"/>
    </xf>
    <xf numFmtId="0" fontId="142" fillId="0" borderId="1" xfId="0" applyFont="1" applyFill="1" applyBorder="1" applyAlignment="1">
      <alignment horizontal="center" vertical="center" wrapText="1"/>
    </xf>
    <xf numFmtId="0" fontId="142" fillId="5" borderId="0" xfId="0" applyFont="1" applyFill="1" applyAlignment="1">
      <alignment vertical="center"/>
    </xf>
    <xf numFmtId="0" fontId="146" fillId="5" borderId="1" xfId="0" applyNumberFormat="1" applyFont="1" applyFill="1" applyBorder="1" applyAlignment="1">
      <alignment horizontal="left" vertical="center" wrapText="1"/>
    </xf>
    <xf numFmtId="0" fontId="146" fillId="5" borderId="1" xfId="0" applyNumberFormat="1" applyFont="1" applyFill="1" applyBorder="1" applyAlignment="1">
      <alignment vertical="center" wrapText="1"/>
    </xf>
    <xf numFmtId="49" fontId="146" fillId="5" borderId="1" xfId="0" applyNumberFormat="1" applyFont="1" applyFill="1" applyBorder="1" applyAlignment="1">
      <alignment vertical="center" wrapText="1"/>
    </xf>
    <xf numFmtId="0" fontId="36" fillId="0" borderId="1" xfId="0" applyFont="1" applyFill="1" applyBorder="1" applyAlignment="1">
      <alignment horizontal="center" vertical="center" wrapText="1"/>
    </xf>
    <xf numFmtId="0" fontId="36" fillId="5" borderId="0" xfId="0" applyFont="1" applyFill="1" applyAlignment="1">
      <alignment horizontal="right" vertical="center"/>
    </xf>
    <xf numFmtId="0" fontId="9" fillId="5" borderId="1" xfId="0" applyFont="1" applyFill="1" applyBorder="1" applyAlignment="1">
      <alignment horizontal="lef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65" fontId="9" fillId="26"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165" fontId="36" fillId="4" borderId="1" xfId="0" applyNumberFormat="1" applyFont="1" applyFill="1" applyBorder="1" applyAlignment="1">
      <alignment vertical="center" wrapText="1"/>
    </xf>
    <xf numFmtId="164" fontId="36" fillId="5" borderId="1" xfId="0" applyNumberFormat="1" applyFont="1" applyFill="1" applyBorder="1" applyAlignment="1">
      <alignment horizontal="center" vertical="center" wrapText="1"/>
    </xf>
    <xf numFmtId="164" fontId="36" fillId="5" borderId="1" xfId="0" applyNumberFormat="1" applyFont="1" applyFill="1" applyBorder="1" applyAlignment="1">
      <alignment horizontal="right" vertical="center" wrapText="1"/>
    </xf>
    <xf numFmtId="164" fontId="36" fillId="5" borderId="1" xfId="3" applyNumberFormat="1" applyFont="1" applyFill="1" applyBorder="1" applyAlignment="1" applyProtection="1">
      <alignment horizontal="center" vertical="center" wrapText="1"/>
      <protection hidden="1"/>
    </xf>
    <xf numFmtId="164" fontId="9" fillId="5" borderId="1" xfId="0" applyNumberFormat="1" applyFont="1" applyFill="1" applyBorder="1" applyAlignment="1">
      <alignment horizontal="right" vertical="center" wrapText="1"/>
    </xf>
    <xf numFmtId="164" fontId="36" fillId="5" borderId="1" xfId="12" applyNumberFormat="1" applyFont="1" applyFill="1" applyBorder="1" applyAlignment="1" applyProtection="1">
      <alignment horizontal="right" vertical="center"/>
      <protection hidden="1"/>
    </xf>
    <xf numFmtId="164" fontId="9" fillId="0" borderId="1" xfId="0" applyNumberFormat="1" applyFont="1" applyFill="1" applyBorder="1" applyAlignment="1">
      <alignment horizontal="right" vertical="center" wrapText="1"/>
    </xf>
    <xf numFmtId="164" fontId="36" fillId="0" borderId="1" xfId="12" applyNumberFormat="1" applyFont="1" applyFill="1" applyBorder="1" applyAlignment="1" applyProtection="1">
      <alignment horizontal="right" vertical="center"/>
      <protection hidden="1"/>
    </xf>
    <xf numFmtId="164" fontId="9" fillId="0" borderId="1" xfId="0" applyNumberFormat="1" applyFont="1" applyFill="1" applyBorder="1" applyAlignment="1">
      <alignment vertical="center"/>
    </xf>
    <xf numFmtId="164" fontId="36" fillId="0" borderId="1" xfId="0" applyNumberFormat="1" applyFont="1" applyFill="1" applyBorder="1" applyAlignment="1">
      <alignment vertical="center"/>
    </xf>
    <xf numFmtId="164" fontId="36" fillId="0" borderId="1" xfId="0" applyNumberFormat="1" applyFont="1" applyFill="1" applyBorder="1" applyAlignment="1">
      <alignment horizontal="center" vertical="center" wrapText="1"/>
    </xf>
    <xf numFmtId="164" fontId="36" fillId="0" borderId="1" xfId="0" applyNumberFormat="1" applyFont="1" applyFill="1" applyBorder="1" applyAlignment="1">
      <alignment vertical="center" wrapText="1"/>
    </xf>
    <xf numFmtId="164" fontId="52" fillId="5" borderId="0" xfId="0" applyNumberFormat="1" applyFont="1" applyFill="1" applyAlignment="1">
      <alignment vertical="center"/>
    </xf>
    <xf numFmtId="165" fontId="36" fillId="4" borderId="1" xfId="12" applyNumberFormat="1" applyFont="1" applyFill="1" applyBorder="1" applyAlignment="1" applyProtection="1">
      <alignment horizontal="right" vertical="center"/>
      <protection hidden="1"/>
    </xf>
    <xf numFmtId="174" fontId="36" fillId="4" borderId="1" xfId="0" applyNumberFormat="1" applyFont="1" applyFill="1" applyBorder="1" applyAlignment="1">
      <alignment horizontal="left" vertical="top" wrapText="1"/>
    </xf>
    <xf numFmtId="165" fontId="9" fillId="4" borderId="1" xfId="0" applyNumberFormat="1" applyFont="1" applyFill="1" applyBorder="1" applyAlignment="1">
      <alignment vertical="center"/>
    </xf>
    <xf numFmtId="165" fontId="36" fillId="4" borderId="1" xfId="0" applyNumberFormat="1" applyFont="1" applyFill="1" applyBorder="1" applyAlignment="1">
      <alignment vertical="center"/>
    </xf>
    <xf numFmtId="1" fontId="36" fillId="22" borderId="1" xfId="0" applyNumberFormat="1" applyFont="1" applyFill="1" applyBorder="1" applyAlignment="1">
      <alignment horizontal="center" vertical="center" wrapText="1"/>
    </xf>
    <xf numFmtId="165" fontId="9" fillId="22" borderId="1" xfId="0" applyNumberFormat="1" applyFont="1" applyFill="1" applyBorder="1" applyAlignment="1">
      <alignment horizontal="left" vertical="center" wrapText="1"/>
    </xf>
    <xf numFmtId="1" fontId="9" fillId="22" borderId="1" xfId="0" applyNumberFormat="1" applyFont="1" applyFill="1" applyBorder="1" applyAlignment="1">
      <alignment horizontal="center" vertical="center" wrapText="1"/>
    </xf>
    <xf numFmtId="165" fontId="9" fillId="22" borderId="1" xfId="0" applyNumberFormat="1" applyFont="1" applyFill="1" applyBorder="1" applyAlignment="1">
      <alignment horizontal="right" vertical="center" wrapText="1"/>
    </xf>
    <xf numFmtId="165" fontId="9" fillId="22" borderId="1" xfId="0" applyNumberFormat="1" applyFont="1" applyFill="1" applyBorder="1" applyAlignment="1">
      <alignment horizontal="right" vertical="center"/>
    </xf>
    <xf numFmtId="165" fontId="36" fillId="22" borderId="1" xfId="0" applyNumberFormat="1" applyFont="1" applyFill="1" applyBorder="1" applyAlignment="1">
      <alignment horizontal="right" vertical="center"/>
    </xf>
    <xf numFmtId="0" fontId="9" fillId="22" borderId="5" xfId="0" applyFont="1" applyFill="1" applyBorder="1" applyAlignment="1">
      <alignment vertical="center" wrapText="1"/>
    </xf>
    <xf numFmtId="1" fontId="45" fillId="6" borderId="1" xfId="0" applyNumberFormat="1" applyFont="1" applyFill="1" applyBorder="1" applyAlignment="1">
      <alignment horizontal="center" vertical="center" wrapText="1"/>
    </xf>
    <xf numFmtId="0" fontId="36" fillId="5" borderId="0" xfId="20" applyFont="1" applyFill="1" applyAlignment="1">
      <alignment vertical="center"/>
    </xf>
    <xf numFmtId="0" fontId="9" fillId="5" borderId="0" xfId="18" applyFont="1" applyFill="1" applyAlignment="1" applyProtection="1">
      <alignment vertical="center"/>
      <protection hidden="1"/>
    </xf>
    <xf numFmtId="0" fontId="9" fillId="5" borderId="0" xfId="20" applyFont="1" applyFill="1" applyBorder="1" applyAlignment="1">
      <alignment vertical="center"/>
    </xf>
    <xf numFmtId="1" fontId="36" fillId="5" borderId="1" xfId="20" applyNumberFormat="1" applyFont="1" applyFill="1" applyBorder="1" applyAlignment="1">
      <alignment horizontal="center" vertical="center" textRotation="90" wrapText="1"/>
    </xf>
    <xf numFmtId="165" fontId="36" fillId="5" borderId="1" xfId="0" applyNumberFormat="1" applyFont="1" applyFill="1" applyBorder="1" applyAlignment="1">
      <alignment horizontal="right" vertical="center"/>
    </xf>
    <xf numFmtId="165" fontId="9" fillId="5" borderId="1" xfId="0" applyNumberFormat="1" applyFont="1" applyFill="1" applyBorder="1" applyAlignment="1">
      <alignment horizontal="center" vertical="center"/>
    </xf>
    <xf numFmtId="165" fontId="36" fillId="5" borderId="1" xfId="0" applyNumberFormat="1" applyFont="1" applyFill="1" applyBorder="1" applyAlignment="1">
      <alignment horizontal="center" vertical="center"/>
    </xf>
    <xf numFmtId="164" fontId="9" fillId="5" borderId="1" xfId="0" applyNumberFormat="1" applyFont="1" applyFill="1" applyBorder="1" applyAlignment="1">
      <alignment vertical="center"/>
    </xf>
    <xf numFmtId="164" fontId="36" fillId="5" borderId="1" xfId="0" applyNumberFormat="1" applyFont="1" applyFill="1" applyBorder="1" applyAlignment="1">
      <alignment vertical="center"/>
    </xf>
    <xf numFmtId="165" fontId="9" fillId="25" borderId="1" xfId="0" applyNumberFormat="1" applyFont="1" applyFill="1" applyBorder="1" applyAlignment="1">
      <alignment horizontal="right" vertical="center" wrapText="1"/>
    </xf>
    <xf numFmtId="165" fontId="36" fillId="25" borderId="1" xfId="0" applyNumberFormat="1" applyFont="1" applyFill="1" applyBorder="1" applyAlignment="1">
      <alignment horizontal="right" vertical="center" wrapText="1"/>
    </xf>
    <xf numFmtId="0" fontId="36" fillId="5" borderId="0" xfId="0" applyFont="1" applyFill="1" applyAlignment="1">
      <alignment horizontal="right" vertical="center"/>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165" fontId="9" fillId="26"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166" fontId="36" fillId="27" borderId="1" xfId="12" applyNumberFormat="1" applyFont="1" applyFill="1" applyBorder="1" applyAlignment="1" applyProtection="1">
      <alignment vertical="center" wrapText="1"/>
      <protection hidden="1"/>
    </xf>
    <xf numFmtId="1" fontId="36" fillId="27" borderId="1" xfId="12" applyNumberFormat="1" applyFont="1" applyFill="1" applyBorder="1" applyAlignment="1" applyProtection="1">
      <alignment horizontal="center" vertical="center" wrapText="1"/>
      <protection hidden="1"/>
    </xf>
    <xf numFmtId="165" fontId="9" fillId="27" borderId="1" xfId="0" applyNumberFormat="1" applyFont="1" applyFill="1" applyBorder="1" applyAlignment="1">
      <alignment horizontal="right" vertical="center" wrapText="1"/>
    </xf>
    <xf numFmtId="0" fontId="9" fillId="22" borderId="5" xfId="0" applyFont="1" applyFill="1" applyBorder="1" applyAlignment="1">
      <alignment horizontal="center" vertical="center" wrapText="1"/>
    </xf>
    <xf numFmtId="49" fontId="47" fillId="0" borderId="0" xfId="20" applyNumberFormat="1" applyFont="1" applyBorder="1" applyAlignment="1">
      <alignment horizontal="center" vertical="center"/>
    </xf>
    <xf numFmtId="0" fontId="36" fillId="5" borderId="0" xfId="0" applyFont="1" applyFill="1" applyAlignment="1">
      <alignment horizontal="right" vertical="center"/>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165" fontId="9" fillId="26"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49" fontId="47" fillId="0" borderId="0" xfId="20" applyNumberFormat="1" applyFont="1" applyBorder="1" applyAlignment="1">
      <alignment horizontal="center" vertical="center"/>
    </xf>
    <xf numFmtId="0" fontId="36" fillId="5" borderId="0" xfId="0" applyFont="1" applyFill="1" applyAlignment="1">
      <alignment horizontal="right" vertical="center"/>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0" fontId="9" fillId="5" borderId="1" xfId="0" applyFont="1" applyFill="1" applyBorder="1" applyAlignment="1">
      <alignment vertical="center" wrapText="1"/>
    </xf>
    <xf numFmtId="165" fontId="52" fillId="4" borderId="0" xfId="0" applyNumberFormat="1" applyFont="1" applyFill="1" applyAlignment="1">
      <alignment vertical="center"/>
    </xf>
    <xf numFmtId="1" fontId="36" fillId="0" borderId="1" xfId="20" applyNumberFormat="1" applyFont="1" applyBorder="1" applyAlignment="1">
      <alignment horizontal="center" vertical="center" wrapText="1"/>
    </xf>
    <xf numFmtId="165" fontId="36" fillId="0" borderId="0" xfId="20" applyNumberFormat="1" applyFont="1" applyBorder="1" applyAlignment="1">
      <alignment vertical="center"/>
    </xf>
    <xf numFmtId="0" fontId="9" fillId="22" borderId="1" xfId="0" applyFont="1" applyFill="1" applyBorder="1" applyAlignment="1">
      <alignment vertical="center" wrapText="1"/>
    </xf>
    <xf numFmtId="165" fontId="36" fillId="16" borderId="1" xfId="10" applyNumberFormat="1" applyFont="1" applyFill="1" applyBorder="1" applyAlignment="1" applyProtection="1">
      <alignment horizontal="right" vertical="center" wrapText="1"/>
      <protection hidden="1"/>
    </xf>
    <xf numFmtId="165" fontId="36" fillId="22" borderId="1" xfId="0" applyNumberFormat="1" applyFont="1" applyFill="1" applyBorder="1" applyAlignment="1">
      <alignment horizontal="right" vertical="center" wrapText="1"/>
    </xf>
    <xf numFmtId="9" fontId="36" fillId="5" borderId="1" xfId="21" applyFont="1" applyFill="1" applyBorder="1" applyAlignment="1">
      <alignment horizontal="center" vertical="center"/>
    </xf>
    <xf numFmtId="165" fontId="9" fillId="5" borderId="1" xfId="12" applyNumberFormat="1" applyFont="1" applyFill="1" applyBorder="1" applyAlignment="1" applyProtection="1">
      <alignment horizontal="right" vertical="center"/>
      <protection hidden="1"/>
    </xf>
    <xf numFmtId="9" fontId="9" fillId="5" borderId="1" xfId="21" applyFont="1" applyFill="1" applyBorder="1" applyAlignment="1">
      <alignment horizontal="center" vertical="center"/>
    </xf>
    <xf numFmtId="0" fontId="36" fillId="5" borderId="0" xfId="0" applyFont="1" applyFill="1" applyAlignment="1">
      <alignment horizontal="right" vertical="center"/>
    </xf>
    <xf numFmtId="0" fontId="36" fillId="0" borderId="1" xfId="0"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165" fontId="9" fillId="26"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0" fontId="36" fillId="5" borderId="0" xfId="0" applyFont="1" applyFill="1" applyAlignment="1">
      <alignment horizontal="right" vertical="center"/>
    </xf>
    <xf numFmtId="0" fontId="9" fillId="5" borderId="1" xfId="0" applyFont="1" applyFill="1" applyBorder="1" applyAlignment="1">
      <alignment vertical="center" wrapText="1"/>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 fontId="36" fillId="5" borderId="6"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wrapText="1"/>
    </xf>
    <xf numFmtId="1" fontId="36" fillId="0" borderId="6" xfId="0" applyNumberFormat="1" applyFont="1" applyFill="1" applyBorder="1" applyAlignment="1">
      <alignment horizontal="center" vertical="center" wrapText="1"/>
    </xf>
    <xf numFmtId="1" fontId="36" fillId="5" borderId="1" xfId="0" applyNumberFormat="1" applyFont="1" applyFill="1" applyBorder="1" applyAlignment="1">
      <alignment horizontal="center" vertical="center"/>
    </xf>
    <xf numFmtId="4" fontId="9" fillId="5" borderId="1" xfId="0" applyNumberFormat="1" applyFont="1" applyFill="1" applyBorder="1" applyAlignment="1">
      <alignment horizontal="right" vertical="center" wrapText="1"/>
    </xf>
    <xf numFmtId="4" fontId="36" fillId="5" borderId="1" xfId="0" applyNumberFormat="1" applyFont="1" applyFill="1" applyBorder="1" applyAlignment="1">
      <alignment vertical="center" wrapText="1"/>
    </xf>
    <xf numFmtId="4" fontId="36"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right" vertical="center" wrapText="1"/>
    </xf>
    <xf numFmtId="4" fontId="36" fillId="0" borderId="1" xfId="0" applyNumberFormat="1" applyFont="1" applyFill="1" applyBorder="1" applyAlignment="1">
      <alignment vertical="center" wrapText="1"/>
    </xf>
    <xf numFmtId="4" fontId="9" fillId="0" borderId="6" xfId="0" applyNumberFormat="1" applyFont="1" applyFill="1" applyBorder="1" applyAlignment="1">
      <alignment horizontal="right" vertical="center" wrapText="1"/>
    </xf>
    <xf numFmtId="4" fontId="36" fillId="0" borderId="6" xfId="0" applyNumberFormat="1" applyFont="1" applyFill="1" applyBorder="1" applyAlignment="1">
      <alignment vertical="center" wrapText="1"/>
    </xf>
    <xf numFmtId="4" fontId="36" fillId="0" borderId="6" xfId="0" applyNumberFormat="1" applyFont="1" applyFill="1" applyBorder="1" applyAlignment="1">
      <alignment horizontal="center" vertical="center" wrapText="1"/>
    </xf>
    <xf numFmtId="4" fontId="36" fillId="16" borderId="1" xfId="0"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4" fontId="9" fillId="0" borderId="1" xfId="0" applyNumberFormat="1" applyFont="1" applyFill="1" applyBorder="1" applyAlignment="1">
      <alignment vertical="center" wrapText="1"/>
    </xf>
    <xf numFmtId="4" fontId="52" fillId="5" borderId="0" xfId="0" applyNumberFormat="1" applyFont="1" applyFill="1" applyAlignment="1">
      <alignment vertical="center" wrapText="1"/>
    </xf>
    <xf numFmtId="4" fontId="36" fillId="5" borderId="1" xfId="12" applyNumberFormat="1" applyFont="1" applyFill="1" applyBorder="1" applyAlignment="1" applyProtection="1">
      <alignment horizontal="right" vertical="center" wrapText="1"/>
      <protection hidden="1"/>
    </xf>
    <xf numFmtId="4" fontId="9" fillId="0" borderId="6" xfId="0" applyNumberFormat="1" applyFont="1" applyFill="1" applyBorder="1" applyAlignment="1">
      <alignment vertical="center" wrapText="1"/>
    </xf>
    <xf numFmtId="4" fontId="36" fillId="0" borderId="1" xfId="12" applyNumberFormat="1" applyFont="1" applyFill="1" applyBorder="1" applyAlignment="1" applyProtection="1">
      <alignment horizontal="right" vertical="center" wrapText="1"/>
      <protection hidden="1"/>
    </xf>
    <xf numFmtId="0" fontId="36" fillId="5" borderId="6" xfId="0" applyNumberFormat="1" applyFont="1" applyFill="1" applyBorder="1" applyAlignment="1">
      <alignment vertical="center" wrapText="1"/>
    </xf>
    <xf numFmtId="0" fontId="135" fillId="0" borderId="1" xfId="0" applyFont="1" applyFill="1" applyBorder="1" applyAlignment="1">
      <alignment vertical="center" wrapText="1"/>
    </xf>
    <xf numFmtId="166" fontId="135" fillId="0" borderId="1" xfId="0" applyNumberFormat="1" applyFont="1" applyFill="1" applyBorder="1" applyAlignment="1">
      <alignment vertical="center" wrapText="1"/>
    </xf>
    <xf numFmtId="0" fontId="36" fillId="5" borderId="1" xfId="0" applyNumberFormat="1" applyFont="1" applyFill="1" applyBorder="1" applyAlignment="1">
      <alignment vertical="top" wrapText="1"/>
    </xf>
    <xf numFmtId="0" fontId="49" fillId="0" borderId="0" xfId="20" applyFont="1" applyFill="1" applyBorder="1" applyAlignment="1">
      <alignment vertical="center"/>
    </xf>
    <xf numFmtId="1" fontId="36" fillId="0" borderId="0" xfId="20" applyNumberFormat="1" applyFont="1" applyFill="1" applyBorder="1" applyAlignment="1">
      <alignment horizontal="center" vertical="center" wrapText="1"/>
    </xf>
    <xf numFmtId="0" fontId="36" fillId="0" borderId="0" xfId="20" applyFont="1" applyFill="1" applyBorder="1" applyAlignment="1">
      <alignment vertical="center"/>
    </xf>
    <xf numFmtId="165" fontId="9" fillId="0" borderId="0" xfId="0" applyNumberFormat="1" applyFont="1" applyFill="1" applyAlignment="1">
      <alignment horizontal="right" vertical="center"/>
    </xf>
    <xf numFmtId="49" fontId="47" fillId="0" borderId="0" xfId="20" applyNumberFormat="1" applyFont="1" applyFill="1" applyBorder="1" applyAlignment="1">
      <alignment horizontal="center" vertical="center"/>
    </xf>
    <xf numFmtId="1" fontId="36" fillId="0" borderId="0" xfId="0" applyNumberFormat="1" applyFont="1" applyFill="1" applyAlignment="1">
      <alignment horizontal="center" vertical="center" wrapText="1"/>
    </xf>
    <xf numFmtId="0" fontId="9" fillId="0" borderId="0" xfId="0" applyFont="1" applyFill="1" applyAlignment="1">
      <alignment horizontal="right" vertical="center"/>
    </xf>
    <xf numFmtId="2" fontId="9" fillId="0" borderId="0" xfId="20" applyNumberFormat="1" applyFont="1" applyFill="1" applyBorder="1" applyAlignment="1">
      <alignment horizontal="right" vertical="center"/>
    </xf>
    <xf numFmtId="2" fontId="36" fillId="0" borderId="0" xfId="20" applyNumberFormat="1" applyFont="1" applyFill="1" applyBorder="1" applyAlignment="1">
      <alignment vertical="center"/>
    </xf>
    <xf numFmtId="0" fontId="153" fillId="0" borderId="0" xfId="0" applyFont="1" applyFill="1" applyAlignment="1">
      <alignment horizontal="center"/>
    </xf>
    <xf numFmtId="1" fontId="9" fillId="0" borderId="1" xfId="20" applyNumberFormat="1" applyFont="1" applyFill="1" applyBorder="1" applyAlignment="1">
      <alignment horizontal="center" vertical="center" wrapText="1"/>
    </xf>
    <xf numFmtId="1" fontId="36" fillId="0" borderId="1" xfId="20" applyNumberFormat="1" applyFont="1" applyFill="1" applyBorder="1" applyAlignment="1">
      <alignment horizontal="center" vertical="center" wrapText="1"/>
    </xf>
    <xf numFmtId="0" fontId="36" fillId="0" borderId="1" xfId="0" applyFont="1" applyFill="1" applyBorder="1" applyAlignment="1">
      <alignment horizontal="center" vertical="center"/>
    </xf>
    <xf numFmtId="0" fontId="36" fillId="0" borderId="1" xfId="0" applyNumberFormat="1" applyFont="1" applyFill="1" applyBorder="1" applyAlignment="1">
      <alignment horizontal="left" vertical="center" wrapText="1"/>
    </xf>
    <xf numFmtId="2" fontId="36" fillId="0" borderId="1" xfId="0" applyNumberFormat="1" applyFont="1" applyFill="1" applyBorder="1" applyAlignment="1">
      <alignment horizontal="left" vertical="top" wrapText="1"/>
    </xf>
    <xf numFmtId="174" fontId="36" fillId="0" borderId="1" xfId="0" applyNumberFormat="1" applyFont="1" applyFill="1" applyBorder="1" applyAlignment="1">
      <alignment horizontal="left" vertical="center" wrapText="1"/>
    </xf>
    <xf numFmtId="174" fontId="36" fillId="0" borderId="1" xfId="0" applyNumberFormat="1" applyFont="1" applyFill="1" applyBorder="1" applyAlignment="1">
      <alignment vertical="top" wrapText="1"/>
    </xf>
    <xf numFmtId="0" fontId="36" fillId="0" borderId="1" xfId="0" applyFont="1" applyFill="1" applyBorder="1" applyAlignment="1">
      <alignment horizontal="justify" vertical="center" wrapText="1"/>
    </xf>
    <xf numFmtId="0" fontId="36" fillId="0" borderId="1" xfId="0" applyNumberFormat="1" applyFont="1" applyFill="1" applyBorder="1" applyAlignment="1">
      <alignment horizontal="left" vertical="top" wrapText="1"/>
    </xf>
    <xf numFmtId="166" fontId="36" fillId="0" borderId="1" xfId="13" applyNumberFormat="1" applyFont="1" applyFill="1" applyBorder="1" applyAlignment="1" applyProtection="1">
      <alignment vertical="center" wrapText="1"/>
      <protection hidden="1"/>
    </xf>
    <xf numFmtId="1" fontId="36" fillId="0" borderId="0" xfId="0" applyNumberFormat="1" applyFont="1" applyFill="1" applyBorder="1" applyAlignment="1">
      <alignment horizontal="center" vertical="center" wrapText="1"/>
    </xf>
    <xf numFmtId="165" fontId="9" fillId="0" borderId="0" xfId="0" applyNumberFormat="1" applyFont="1" applyFill="1" applyBorder="1" applyAlignment="1">
      <alignment horizontal="right" vertical="center" wrapText="1"/>
    </xf>
    <xf numFmtId="165" fontId="52" fillId="0" borderId="1" xfId="0" applyNumberFormat="1" applyFont="1" applyFill="1" applyBorder="1" applyAlignment="1">
      <alignment horizontal="center" vertical="center"/>
    </xf>
    <xf numFmtId="165" fontId="51" fillId="0" borderId="1" xfId="0" applyNumberFormat="1" applyFont="1" applyFill="1" applyBorder="1" applyAlignment="1">
      <alignment horizontal="center" vertical="center"/>
    </xf>
    <xf numFmtId="4" fontId="52" fillId="0" borderId="0" xfId="0" applyNumberFormat="1" applyFont="1" applyFill="1" applyAlignment="1">
      <alignment vertical="center"/>
    </xf>
    <xf numFmtId="0" fontId="36" fillId="0" borderId="1" xfId="0" applyFont="1" applyFill="1" applyBorder="1" applyAlignment="1">
      <alignment horizontal="center" vertical="center" wrapText="1"/>
    </xf>
    <xf numFmtId="165" fontId="9" fillId="0" borderId="1" xfId="10" applyNumberFormat="1" applyFont="1" applyFill="1" applyBorder="1" applyAlignment="1" applyProtection="1">
      <alignment horizontal="right" vertical="center" wrapText="1"/>
      <protection hidden="1"/>
    </xf>
    <xf numFmtId="0" fontId="36" fillId="0" borderId="0" xfId="0" applyFont="1" applyFill="1" applyAlignment="1">
      <alignment horizontal="right" vertical="center"/>
    </xf>
    <xf numFmtId="0" fontId="36" fillId="0" borderId="0" xfId="0" applyFont="1" applyFill="1" applyBorder="1" applyAlignment="1">
      <alignment vertical="center" wrapText="1"/>
    </xf>
    <xf numFmtId="165" fontId="36" fillId="0" borderId="0" xfId="13" applyNumberFormat="1" applyFont="1" applyFill="1" applyBorder="1" applyAlignment="1" applyProtection="1">
      <alignment horizontal="right" vertical="center" wrapText="1"/>
      <protection hidden="1"/>
    </xf>
    <xf numFmtId="165" fontId="52" fillId="0" borderId="0" xfId="0" applyNumberFormat="1" applyFont="1" applyFill="1" applyBorder="1" applyAlignment="1">
      <alignment vertical="center"/>
    </xf>
    <xf numFmtId="0" fontId="9" fillId="0" borderId="1" xfId="0" applyFont="1" applyFill="1" applyBorder="1" applyAlignment="1">
      <alignment vertical="center" wrapText="1"/>
    </xf>
    <xf numFmtId="0" fontId="69" fillId="0" borderId="1" xfId="0" applyFont="1" applyFill="1" applyBorder="1" applyAlignment="1">
      <alignment vertical="center" wrapText="1"/>
    </xf>
    <xf numFmtId="165" fontId="135" fillId="0" borderId="1" xfId="0" applyNumberFormat="1" applyFont="1" applyFill="1" applyBorder="1" applyAlignment="1">
      <alignment horizontal="left" vertical="center" wrapText="1"/>
    </xf>
    <xf numFmtId="1" fontId="36" fillId="0" borderId="1" xfId="0" applyNumberFormat="1" applyFont="1" applyFill="1" applyBorder="1" applyAlignment="1">
      <alignment horizontal="center" vertical="center" wrapText="1"/>
    </xf>
    <xf numFmtId="0" fontId="138" fillId="0" borderId="0" xfId="0" applyFont="1" applyFill="1" applyAlignment="1">
      <alignment vertical="center"/>
    </xf>
    <xf numFmtId="0" fontId="20" fillId="0" borderId="0" xfId="0" applyFont="1" applyFill="1" applyAlignment="1">
      <alignment horizontal="left"/>
    </xf>
    <xf numFmtId="49" fontId="20" fillId="0" borderId="0" xfId="0" applyNumberFormat="1" applyFont="1" applyFill="1" applyAlignment="1">
      <alignment horizontal="center" wrapText="1"/>
    </xf>
    <xf numFmtId="0" fontId="8" fillId="0" borderId="0" xfId="0" applyFont="1" applyFill="1" applyAlignment="1">
      <alignment horizontal="left" vertical="top" wrapText="1"/>
    </xf>
    <xf numFmtId="49" fontId="8"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49" fontId="20" fillId="0" borderId="0" xfId="0" applyNumberFormat="1" applyFont="1" applyFill="1" applyAlignment="1">
      <alignment horizontal="left" vertical="center" wrapText="1"/>
    </xf>
    <xf numFmtId="0" fontId="8" fillId="0" borderId="0" xfId="0" applyFont="1" applyFill="1" applyAlignment="1">
      <alignment horizontal="right"/>
    </xf>
    <xf numFmtId="0" fontId="9" fillId="0" borderId="0" xfId="0" applyFont="1" applyFill="1" applyBorder="1" applyAlignment="1">
      <alignment horizontal="center" vertical="top"/>
    </xf>
    <xf numFmtId="0" fontId="19" fillId="0" borderId="0" xfId="0" applyFont="1" applyFill="1" applyBorder="1" applyAlignment="1">
      <alignment horizontal="center" vertical="top"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8" fillId="4" borderId="0" xfId="0" applyFont="1" applyFill="1" applyAlignment="1">
      <alignment horizontal="left" vertical="top" wrapText="1"/>
    </xf>
    <xf numFmtId="49" fontId="129" fillId="5" borderId="0" xfId="0" applyNumberFormat="1" applyFont="1" applyFill="1" applyAlignment="1">
      <alignment horizontal="center" wrapText="1"/>
    </xf>
    <xf numFmtId="49" fontId="129" fillId="5" borderId="0" xfId="0" applyNumberFormat="1" applyFont="1" applyFill="1" applyAlignment="1">
      <alignment horizontal="left" vertical="center" wrapText="1"/>
    </xf>
    <xf numFmtId="0" fontId="129" fillId="5" borderId="0" xfId="0" applyFont="1" applyFill="1" applyAlignment="1">
      <alignment horizontal="left"/>
    </xf>
    <xf numFmtId="0" fontId="148" fillId="5" borderId="1" xfId="0" applyFont="1" applyFill="1" applyBorder="1" applyAlignment="1">
      <alignment horizontal="center" vertical="top" wrapText="1"/>
    </xf>
    <xf numFmtId="0" fontId="108" fillId="5" borderId="1" xfId="0" applyFont="1" applyFill="1" applyBorder="1" applyAlignment="1">
      <alignment horizontal="center" vertical="center" wrapText="1"/>
    </xf>
    <xf numFmtId="49" fontId="107" fillId="5" borderId="1" xfId="0" applyNumberFormat="1" applyFont="1" applyFill="1" applyBorder="1" applyAlignment="1">
      <alignment horizontal="center" vertical="top" wrapText="1"/>
    </xf>
    <xf numFmtId="49" fontId="107" fillId="5" borderId="1" xfId="0" applyNumberFormat="1" applyFont="1" applyFill="1" applyBorder="1" applyAlignment="1">
      <alignment horizontal="center" vertical="center" wrapText="1"/>
    </xf>
    <xf numFmtId="0" fontId="106" fillId="5" borderId="1" xfId="0" applyFont="1" applyFill="1" applyBorder="1" applyAlignment="1">
      <alignment horizontal="center" vertical="center" wrapText="1"/>
    </xf>
    <xf numFmtId="0" fontId="149" fillId="6" borderId="5" xfId="0" applyFont="1" applyFill="1" applyBorder="1" applyAlignment="1">
      <alignment horizontal="left" vertical="top" wrapText="1"/>
    </xf>
    <xf numFmtId="0" fontId="149" fillId="6" borderId="2" xfId="0" applyFont="1" applyFill="1" applyBorder="1" applyAlignment="1">
      <alignment horizontal="left" vertical="top" wrapText="1"/>
    </xf>
    <xf numFmtId="0" fontId="107" fillId="5" borderId="0" xfId="0" applyFont="1" applyFill="1" applyAlignment="1">
      <alignment horizontal="left" vertical="top" wrapText="1"/>
    </xf>
    <xf numFmtId="0" fontId="107" fillId="5" borderId="0" xfId="0" applyFont="1" applyFill="1" applyAlignment="1">
      <alignment horizontal="right"/>
    </xf>
    <xf numFmtId="0" fontId="136" fillId="5" borderId="0" xfId="0" applyFont="1" applyFill="1" applyBorder="1" applyAlignment="1">
      <alignment horizontal="center" vertical="top"/>
    </xf>
    <xf numFmtId="0" fontId="111" fillId="5" borderId="0" xfId="0" applyFont="1" applyFill="1" applyBorder="1" applyAlignment="1">
      <alignment horizontal="center" vertical="top" wrapText="1"/>
    </xf>
    <xf numFmtId="0" fontId="6" fillId="0" borderId="0" xfId="20" applyFont="1" applyBorder="1" applyAlignment="1">
      <alignment horizontal="center"/>
    </xf>
    <xf numFmtId="49" fontId="7" fillId="0" borderId="0" xfId="20" applyNumberFormat="1" applyFont="1" applyBorder="1" applyAlignment="1">
      <alignment horizontal="center"/>
    </xf>
    <xf numFmtId="0" fontId="7" fillId="0" borderId="0" xfId="20" applyFont="1" applyBorder="1" applyAlignment="1">
      <alignment horizontal="left" wrapText="1"/>
    </xf>
    <xf numFmtId="49" fontId="8" fillId="0" borderId="0" xfId="20" applyNumberFormat="1" applyFont="1" applyBorder="1" applyAlignment="1">
      <alignment horizontal="center" vertical="center"/>
    </xf>
    <xf numFmtId="0" fontId="108" fillId="5" borderId="6" xfId="0" applyFont="1" applyFill="1" applyBorder="1" applyAlignment="1">
      <alignment horizontal="center" vertical="center" wrapText="1"/>
    </xf>
    <xf numFmtId="0" fontId="108" fillId="5" borderId="7" xfId="0" applyFont="1" applyFill="1" applyBorder="1" applyAlignment="1">
      <alignment horizontal="center" vertical="center" wrapText="1"/>
    </xf>
    <xf numFmtId="1" fontId="6" fillId="0" borderId="1" xfId="20" applyNumberFormat="1" applyFont="1" applyBorder="1" applyAlignment="1">
      <alignment horizontal="center" vertical="center" wrapText="1"/>
    </xf>
    <xf numFmtId="0" fontId="111" fillId="6" borderId="5" xfId="0" applyFont="1" applyFill="1" applyBorder="1" applyAlignment="1">
      <alignment horizontal="left" vertical="top" wrapText="1"/>
    </xf>
    <xf numFmtId="0" fontId="111" fillId="6" borderId="2" xfId="0" applyFont="1" applyFill="1" applyBorder="1" applyAlignment="1">
      <alignment horizontal="left" vertical="top" wrapText="1"/>
    </xf>
    <xf numFmtId="0" fontId="19" fillId="0" borderId="0" xfId="20" applyFont="1" applyBorder="1" applyAlignment="1">
      <alignment horizontal="center"/>
    </xf>
    <xf numFmtId="0" fontId="136" fillId="6" borderId="5" xfId="0" applyFont="1" applyFill="1" applyBorder="1" applyAlignment="1">
      <alignment horizontal="left" vertical="top" wrapText="1"/>
    </xf>
    <xf numFmtId="0" fontId="136" fillId="6" borderId="2" xfId="0" applyFont="1" applyFill="1" applyBorder="1" applyAlignment="1">
      <alignment horizontal="left" vertical="top" wrapText="1"/>
    </xf>
    <xf numFmtId="49" fontId="16" fillId="0" borderId="0" xfId="20" applyNumberFormat="1" applyFont="1" applyBorder="1" applyAlignment="1">
      <alignment horizontal="center" vertical="center"/>
    </xf>
    <xf numFmtId="0" fontId="111" fillId="5" borderId="6" xfId="0" applyFont="1" applyFill="1" applyBorder="1" applyAlignment="1">
      <alignment horizontal="center" vertical="center" wrapText="1"/>
    </xf>
    <xf numFmtId="0" fontId="111" fillId="5" borderId="7" xfId="0" applyFont="1" applyFill="1" applyBorder="1" applyAlignment="1">
      <alignment horizontal="center" vertical="center" wrapText="1"/>
    </xf>
    <xf numFmtId="0" fontId="136" fillId="5" borderId="1" xfId="0" applyFont="1" applyFill="1" applyBorder="1" applyAlignment="1">
      <alignment horizontal="center" vertical="center" wrapText="1"/>
    </xf>
    <xf numFmtId="1" fontId="19" fillId="0" borderId="1" xfId="20" applyNumberFormat="1" applyFont="1" applyBorder="1" applyAlignment="1">
      <alignment horizontal="center" vertical="center" wrapText="1"/>
    </xf>
    <xf numFmtId="0" fontId="123" fillId="5" borderId="0" xfId="0" applyFont="1" applyFill="1" applyAlignment="1">
      <alignment horizontal="right"/>
    </xf>
    <xf numFmtId="49" fontId="16" fillId="0" borderId="0" xfId="20" applyNumberFormat="1" applyFont="1" applyBorder="1" applyAlignment="1">
      <alignment horizontal="center"/>
    </xf>
    <xf numFmtId="0" fontId="16" fillId="0" borderId="0" xfId="20" applyFont="1" applyBorder="1" applyAlignment="1">
      <alignment horizontal="left" wrapText="1"/>
    </xf>
    <xf numFmtId="0" fontId="9" fillId="0" borderId="0" xfId="20" applyFont="1" applyBorder="1" applyAlignment="1">
      <alignment horizontal="center"/>
    </xf>
    <xf numFmtId="1" fontId="19" fillId="0" borderId="6" xfId="20" applyNumberFormat="1" applyFont="1" applyBorder="1" applyAlignment="1">
      <alignment horizontal="center" vertical="center" wrapText="1"/>
    </xf>
    <xf numFmtId="1" fontId="19" fillId="0" borderId="7" xfId="20" applyNumberFormat="1" applyFont="1" applyBorder="1" applyAlignment="1">
      <alignment horizontal="center" vertical="center" wrapText="1"/>
    </xf>
    <xf numFmtId="1" fontId="8" fillId="0" borderId="5" xfId="20" applyNumberFormat="1" applyFont="1" applyBorder="1" applyAlignment="1">
      <alignment horizontal="center" vertical="center" wrapText="1"/>
    </xf>
    <xf numFmtId="1" fontId="8" fillId="0" borderId="2" xfId="20" applyNumberFormat="1" applyFont="1" applyBorder="1" applyAlignment="1">
      <alignment horizontal="center" vertical="center" wrapText="1"/>
    </xf>
    <xf numFmtId="0" fontId="111" fillId="5" borderId="1" xfId="0" applyFont="1" applyFill="1" applyBorder="1" applyAlignment="1">
      <alignment horizontal="center" vertical="center" wrapText="1"/>
    </xf>
    <xf numFmtId="0" fontId="16" fillId="5" borderId="0" xfId="0" applyFont="1" applyFill="1" applyAlignment="1">
      <alignment horizontal="right"/>
    </xf>
    <xf numFmtId="0" fontId="8" fillId="0" borderId="6"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7" xfId="0" applyFont="1" applyFill="1" applyBorder="1" applyAlignment="1">
      <alignment horizontal="center" vertical="center" wrapText="1"/>
    </xf>
    <xf numFmtId="1" fontId="19" fillId="22" borderId="1" xfId="20" applyNumberFormat="1" applyFont="1" applyFill="1" applyBorder="1" applyAlignment="1">
      <alignment horizontal="center" vertical="center" wrapText="1"/>
    </xf>
    <xf numFmtId="0" fontId="9" fillId="9" borderId="5" xfId="0" applyFont="1" applyFill="1" applyBorder="1" applyAlignment="1">
      <alignment horizontal="left" vertical="top" wrapText="1"/>
    </xf>
    <xf numFmtId="0" fontId="9" fillId="9" borderId="2" xfId="0" applyFont="1" applyFill="1" applyBorder="1" applyAlignment="1">
      <alignment horizontal="left" vertical="top" wrapText="1"/>
    </xf>
    <xf numFmtId="4" fontId="19" fillId="3" borderId="6" xfId="0" applyNumberFormat="1" applyFont="1" applyFill="1" applyBorder="1" applyAlignment="1">
      <alignment horizontal="center" vertical="center" wrapText="1"/>
    </xf>
    <xf numFmtId="4" fontId="19" fillId="3" borderId="7" xfId="0" applyNumberFormat="1" applyFont="1" applyFill="1" applyBorder="1" applyAlignment="1">
      <alignment horizontal="center" vertical="center" wrapText="1"/>
    </xf>
    <xf numFmtId="1" fontId="14" fillId="22" borderId="6" xfId="20" applyNumberFormat="1" applyFont="1" applyFill="1" applyBorder="1" applyAlignment="1">
      <alignment horizontal="center" vertical="center" wrapText="1"/>
    </xf>
    <xf numFmtId="1" fontId="14" fillId="22" borderId="7" xfId="20" applyNumberFormat="1"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5" borderId="1" xfId="0" applyFont="1" applyFill="1" applyBorder="1" applyAlignment="1">
      <alignment horizontal="center" vertical="center" wrapText="1"/>
    </xf>
    <xf numFmtId="1" fontId="19" fillId="5" borderId="1" xfId="20" applyNumberFormat="1" applyFont="1" applyFill="1" applyBorder="1" applyAlignment="1">
      <alignment horizontal="center" vertical="center" wrapText="1"/>
    </xf>
    <xf numFmtId="1" fontId="19" fillId="5" borderId="6" xfId="20" applyNumberFormat="1" applyFont="1" applyFill="1" applyBorder="1" applyAlignment="1">
      <alignment horizontal="center" vertical="center" wrapText="1"/>
    </xf>
    <xf numFmtId="1" fontId="19" fillId="5" borderId="7" xfId="20" applyNumberFormat="1" applyFont="1" applyFill="1" applyBorder="1" applyAlignment="1">
      <alignment horizontal="center" vertical="center" wrapText="1"/>
    </xf>
    <xf numFmtId="49" fontId="16" fillId="3" borderId="0" xfId="0" applyNumberFormat="1" applyFont="1" applyFill="1" applyBorder="1" applyAlignment="1">
      <alignment horizontal="center" wrapText="1"/>
    </xf>
    <xf numFmtId="165" fontId="8" fillId="3" borderId="12" xfId="0" applyNumberFormat="1" applyFont="1" applyFill="1" applyBorder="1" applyAlignment="1">
      <alignment horizontal="left" vertical="center" wrapText="1"/>
    </xf>
    <xf numFmtId="0" fontId="8" fillId="3" borderId="12" xfId="0" applyFont="1" applyFill="1" applyBorder="1" applyAlignment="1">
      <alignment horizontal="left" vertical="center" wrapText="1"/>
    </xf>
    <xf numFmtId="1" fontId="8" fillId="0" borderId="1" xfId="20" applyNumberFormat="1" applyFont="1" applyBorder="1" applyAlignment="1">
      <alignment horizontal="center" vertical="top" wrapText="1"/>
    </xf>
    <xf numFmtId="1" fontId="19" fillId="0" borderId="1" xfId="20" applyNumberFormat="1" applyFont="1" applyBorder="1" applyAlignment="1">
      <alignment horizontal="center" vertical="top" wrapText="1"/>
    </xf>
    <xf numFmtId="1" fontId="8" fillId="0" borderId="1" xfId="20" applyNumberFormat="1" applyFont="1" applyBorder="1" applyAlignment="1">
      <alignment horizontal="center" vertical="center" wrapText="1"/>
    </xf>
    <xf numFmtId="0" fontId="16" fillId="0" borderId="5" xfId="0" applyFont="1" applyFill="1" applyBorder="1" applyAlignment="1">
      <alignment horizontal="left" vertical="top" wrapText="1"/>
    </xf>
    <xf numFmtId="0" fontId="16" fillId="0" borderId="2" xfId="0" applyFont="1" applyFill="1" applyBorder="1" applyAlignment="1">
      <alignment horizontal="left" vertical="top" wrapText="1"/>
    </xf>
    <xf numFmtId="0" fontId="136" fillId="6" borderId="1" xfId="0" applyFont="1" applyFill="1" applyBorder="1" applyAlignment="1">
      <alignment horizontal="left" vertical="top" wrapText="1"/>
    </xf>
    <xf numFmtId="0" fontId="16" fillId="0" borderId="5" xfId="3" applyNumberFormat="1" applyFont="1" applyFill="1" applyBorder="1" applyAlignment="1" applyProtection="1">
      <alignment horizontal="left" vertical="top" wrapText="1"/>
      <protection hidden="1"/>
    </xf>
    <xf numFmtId="0" fontId="16" fillId="0" borderId="2" xfId="3" applyNumberFormat="1" applyFont="1" applyFill="1" applyBorder="1" applyAlignment="1" applyProtection="1">
      <alignment horizontal="left" vertical="top" wrapText="1"/>
      <protection hidden="1"/>
    </xf>
    <xf numFmtId="0" fontId="9" fillId="9" borderId="5" xfId="0" applyFont="1" applyFill="1" applyBorder="1" applyAlignment="1">
      <alignment horizontal="left" vertical="center" wrapText="1"/>
    </xf>
    <xf numFmtId="0" fontId="9" fillId="9" borderId="2" xfId="0" applyFont="1" applyFill="1" applyBorder="1" applyAlignment="1">
      <alignment horizontal="left" vertical="center" wrapText="1"/>
    </xf>
    <xf numFmtId="0" fontId="16" fillId="5" borderId="0" xfId="0" applyFont="1" applyFill="1" applyAlignment="1">
      <alignment horizontal="right" vertical="center"/>
    </xf>
    <xf numFmtId="0" fontId="19" fillId="0" borderId="0" xfId="20" applyFont="1" applyBorder="1" applyAlignment="1">
      <alignment horizontal="center" vertical="center"/>
    </xf>
    <xf numFmtId="0" fontId="49" fillId="0" borderId="0" xfId="20" applyFont="1" applyBorder="1" applyAlignment="1">
      <alignment horizontal="center" vertical="center"/>
    </xf>
    <xf numFmtId="0" fontId="7" fillId="0" borderId="6"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1" fontId="19" fillId="0" borderId="5" xfId="20" applyNumberFormat="1" applyFont="1" applyBorder="1" applyAlignment="1">
      <alignment horizontal="center" vertical="center" wrapText="1"/>
    </xf>
    <xf numFmtId="1" fontId="19" fillId="0" borderId="2" xfId="20" applyNumberFormat="1" applyFont="1" applyBorder="1" applyAlignment="1">
      <alignment horizontal="center" vertical="center" wrapText="1"/>
    </xf>
    <xf numFmtId="0" fontId="125" fillId="5" borderId="6" xfId="0" applyFont="1" applyFill="1" applyBorder="1" applyAlignment="1">
      <alignment horizontal="center" vertical="center" wrapText="1"/>
    </xf>
    <xf numFmtId="0" fontId="125" fillId="5" borderId="7" xfId="0" applyFont="1" applyFill="1" applyBorder="1" applyAlignment="1">
      <alignment horizontal="center" vertical="center" wrapText="1"/>
    </xf>
    <xf numFmtId="49" fontId="111" fillId="5" borderId="1" xfId="0" applyNumberFormat="1" applyFont="1" applyFill="1" applyBorder="1" applyAlignment="1">
      <alignment horizontal="left" wrapText="1"/>
    </xf>
    <xf numFmtId="0" fontId="52" fillId="5" borderId="0" xfId="0" applyNumberFormat="1" applyFont="1" applyFill="1" applyBorder="1" applyAlignment="1">
      <alignment vertical="center"/>
    </xf>
    <xf numFmtId="0" fontId="0" fillId="0" borderId="0" xfId="0" applyNumberFormat="1" applyFont="1" applyBorder="1" applyAlignment="1">
      <alignment vertical="center"/>
    </xf>
    <xf numFmtId="1" fontId="9" fillId="0" borderId="1" xfId="20" applyNumberFormat="1" applyFont="1" applyBorder="1" applyAlignment="1">
      <alignment horizontal="center" vertical="center" textRotation="90" wrapText="1"/>
    </xf>
    <xf numFmtId="1" fontId="36" fillId="0" borderId="5" xfId="20" applyNumberFormat="1" applyFont="1" applyBorder="1" applyAlignment="1">
      <alignment horizontal="center" vertical="center" wrapText="1"/>
    </xf>
    <xf numFmtId="1" fontId="36" fillId="0" borderId="2" xfId="20" applyNumberFormat="1" applyFont="1" applyBorder="1" applyAlignment="1">
      <alignment horizontal="center" vertical="center" wrapText="1"/>
    </xf>
    <xf numFmtId="0" fontId="51" fillId="6" borderId="1" xfId="0" applyFont="1" applyFill="1" applyBorder="1" applyAlignment="1">
      <alignment horizontal="left" vertical="center" wrapText="1"/>
    </xf>
    <xf numFmtId="0" fontId="52" fillId="0" borderId="5" xfId="0" applyFont="1" applyFill="1" applyBorder="1" applyAlignment="1">
      <alignment horizontal="left" vertical="center" wrapText="1"/>
    </xf>
    <xf numFmtId="0" fontId="52" fillId="0" borderId="2" xfId="0" applyFont="1" applyFill="1" applyBorder="1" applyAlignment="1">
      <alignment horizontal="left" vertical="center" wrapText="1"/>
    </xf>
    <xf numFmtId="0" fontId="9" fillId="5" borderId="1" xfId="0" applyFont="1" applyFill="1" applyBorder="1" applyAlignment="1">
      <alignment horizontal="center" vertical="center" wrapText="1"/>
    </xf>
    <xf numFmtId="0" fontId="52" fillId="5" borderId="5" xfId="0" applyFont="1" applyFill="1" applyBorder="1" applyAlignment="1">
      <alignment vertical="center" wrapText="1"/>
    </xf>
    <xf numFmtId="0" fontId="52" fillId="5" borderId="2" xfId="0" applyFont="1" applyFill="1" applyBorder="1" applyAlignment="1">
      <alignment vertical="center" wrapText="1"/>
    </xf>
    <xf numFmtId="0" fontId="0" fillId="0" borderId="2" xfId="0" applyFont="1" applyBorder="1"/>
    <xf numFmtId="49" fontId="47" fillId="0" borderId="0" xfId="20" applyNumberFormat="1" applyFont="1" applyBorder="1" applyAlignment="1">
      <alignment horizontal="center" vertical="center"/>
    </xf>
    <xf numFmtId="0" fontId="47" fillId="0" borderId="4" xfId="20" applyFont="1" applyBorder="1" applyAlignment="1">
      <alignment horizontal="center" vertical="center"/>
    </xf>
    <xf numFmtId="0" fontId="0" fillId="0" borderId="2" xfId="0" applyFont="1" applyBorder="1" applyAlignment="1">
      <alignment wrapText="1"/>
    </xf>
    <xf numFmtId="1" fontId="9" fillId="0" borderId="6" xfId="20" applyNumberFormat="1" applyFont="1" applyBorder="1" applyAlignment="1">
      <alignment horizontal="center" vertical="center" textRotation="90" wrapText="1"/>
    </xf>
    <xf numFmtId="1" fontId="9" fillId="0" borderId="7" xfId="20" applyNumberFormat="1" applyFont="1" applyBorder="1" applyAlignment="1">
      <alignment horizontal="center" vertical="center" textRotation="90" wrapText="1"/>
    </xf>
    <xf numFmtId="0" fontId="59" fillId="0" borderId="0" xfId="20" applyFont="1" applyBorder="1" applyAlignment="1">
      <alignment horizontal="center" vertical="center"/>
    </xf>
    <xf numFmtId="1" fontId="52" fillId="0" borderId="5" xfId="20" applyNumberFormat="1" applyFont="1" applyBorder="1" applyAlignment="1">
      <alignment horizontal="center" vertical="center" wrapText="1"/>
    </xf>
    <xf numFmtId="1" fontId="52" fillId="0" borderId="2" xfId="20" applyNumberFormat="1" applyFont="1" applyBorder="1" applyAlignment="1">
      <alignment horizontal="center" vertical="center" wrapText="1"/>
    </xf>
    <xf numFmtId="0" fontId="56" fillId="5" borderId="6" xfId="0" applyFont="1" applyFill="1" applyBorder="1" applyAlignment="1">
      <alignment horizontal="center" vertical="center" wrapText="1"/>
    </xf>
    <xf numFmtId="0" fontId="56" fillId="5" borderId="7" xfId="0" applyFont="1" applyFill="1" applyBorder="1" applyAlignment="1">
      <alignment horizontal="center" vertical="center" wrapText="1"/>
    </xf>
    <xf numFmtId="0" fontId="52" fillId="5" borderId="1" xfId="0" applyFont="1" applyFill="1" applyBorder="1" applyAlignment="1">
      <alignment horizontal="center" vertical="center" wrapText="1"/>
    </xf>
    <xf numFmtId="0" fontId="51" fillId="5" borderId="1" xfId="0" applyFont="1" applyFill="1" applyBorder="1" applyAlignment="1">
      <alignment horizontal="center" vertical="center" wrapText="1"/>
    </xf>
    <xf numFmtId="1" fontId="51" fillId="0" borderId="1" xfId="20" applyNumberFormat="1" applyFont="1" applyBorder="1" applyAlignment="1">
      <alignment horizontal="center" vertical="center" textRotation="90" wrapText="1"/>
    </xf>
    <xf numFmtId="0" fontId="56" fillId="5" borderId="5" xfId="0" applyFont="1" applyFill="1" applyBorder="1" applyAlignment="1">
      <alignment vertical="center" wrapText="1"/>
    </xf>
    <xf numFmtId="0" fontId="56" fillId="5" borderId="2" xfId="0" applyFont="1" applyFill="1" applyBorder="1" applyAlignment="1">
      <alignment vertical="center" wrapText="1"/>
    </xf>
    <xf numFmtId="0" fontId="61" fillId="5" borderId="0" xfId="0" applyNumberFormat="1" applyFont="1" applyFill="1" applyBorder="1" applyAlignment="1">
      <alignment vertical="center"/>
    </xf>
    <xf numFmtId="0" fontId="63" fillId="0" borderId="0" xfId="0" applyNumberFormat="1" applyFont="1" applyBorder="1" applyAlignment="1">
      <alignment vertical="center"/>
    </xf>
    <xf numFmtId="0" fontId="58" fillId="6" borderId="1" xfId="0" applyFont="1" applyFill="1" applyBorder="1" applyAlignment="1">
      <alignment horizontal="left" vertical="center" wrapText="1"/>
    </xf>
    <xf numFmtId="0" fontId="56" fillId="5" borderId="5" xfId="0" applyFont="1" applyFill="1" applyBorder="1" applyAlignment="1">
      <alignment horizontal="left" vertical="center" wrapText="1"/>
    </xf>
    <xf numFmtId="0" fontId="57" fillId="5" borderId="2" xfId="0" applyFont="1" applyFill="1" applyBorder="1"/>
    <xf numFmtId="49" fontId="56" fillId="5" borderId="6" xfId="0" applyNumberFormat="1" applyFont="1" applyFill="1" applyBorder="1" applyAlignment="1">
      <alignment horizontal="center" vertical="center" wrapText="1"/>
    </xf>
    <xf numFmtId="49" fontId="56" fillId="5" borderId="7" xfId="0" applyNumberFormat="1" applyFont="1" applyFill="1" applyBorder="1" applyAlignment="1">
      <alignment horizontal="center" vertical="center" wrapText="1"/>
    </xf>
    <xf numFmtId="0" fontId="56" fillId="5" borderId="2" xfId="0" applyFont="1" applyFill="1" applyBorder="1" applyAlignment="1">
      <alignment horizontal="left" vertical="center" wrapText="1"/>
    </xf>
    <xf numFmtId="1" fontId="51" fillId="0" borderId="6" xfId="20" applyNumberFormat="1" applyFont="1" applyBorder="1" applyAlignment="1">
      <alignment horizontal="center" vertical="center" textRotation="90" wrapText="1"/>
    </xf>
    <xf numFmtId="1" fontId="51" fillId="0" borderId="7" xfId="20" applyNumberFormat="1" applyFont="1" applyBorder="1" applyAlignment="1">
      <alignment horizontal="center" vertical="center" textRotation="90" wrapText="1"/>
    </xf>
    <xf numFmtId="0" fontId="59" fillId="0" borderId="0" xfId="0" applyFont="1" applyFill="1" applyAlignment="1">
      <alignment horizontal="left" vertical="center" wrapText="1"/>
    </xf>
    <xf numFmtId="0" fontId="59" fillId="0" borderId="0" xfId="0" applyFont="1" applyFill="1" applyAlignment="1">
      <alignment horizontal="center" vertical="center" wrapText="1"/>
    </xf>
    <xf numFmtId="0" fontId="52" fillId="0" borderId="0" xfId="0" applyFont="1" applyFill="1" applyAlignment="1">
      <alignment horizontal="left" vertical="center" wrapText="1"/>
    </xf>
    <xf numFmtId="165" fontId="56" fillId="5" borderId="6" xfId="0" applyNumberFormat="1" applyFont="1" applyFill="1" applyBorder="1" applyAlignment="1">
      <alignment horizontal="center" vertical="center" wrapText="1"/>
    </xf>
    <xf numFmtId="165" fontId="56" fillId="5" borderId="14" xfId="0" applyNumberFormat="1" applyFont="1" applyFill="1" applyBorder="1" applyAlignment="1">
      <alignment horizontal="center" vertical="center" wrapText="1"/>
    </xf>
    <xf numFmtId="165" fontId="56" fillId="5" borderId="7" xfId="0" applyNumberFormat="1" applyFont="1" applyFill="1" applyBorder="1" applyAlignment="1">
      <alignment horizontal="center" vertical="center" wrapText="1"/>
    </xf>
    <xf numFmtId="165" fontId="56" fillId="5" borderId="6" xfId="0" applyNumberFormat="1" applyFont="1" applyFill="1" applyBorder="1" applyAlignment="1">
      <alignment horizontal="right" vertical="center"/>
    </xf>
    <xf numFmtId="165" fontId="56" fillId="5" borderId="14" xfId="0" applyNumberFormat="1" applyFont="1" applyFill="1" applyBorder="1" applyAlignment="1">
      <alignment horizontal="right" vertical="center"/>
    </xf>
    <xf numFmtId="165" fontId="56" fillId="5" borderId="7" xfId="0" applyNumberFormat="1" applyFont="1" applyFill="1" applyBorder="1" applyAlignment="1">
      <alignment horizontal="right" vertical="center"/>
    </xf>
    <xf numFmtId="165" fontId="56" fillId="5" borderId="6" xfId="0" applyNumberFormat="1" applyFont="1" applyFill="1" applyBorder="1" applyAlignment="1">
      <alignment horizontal="center" vertical="center"/>
    </xf>
    <xf numFmtId="165" fontId="56" fillId="5" borderId="7" xfId="0" applyNumberFormat="1" applyFont="1" applyFill="1" applyBorder="1" applyAlignment="1">
      <alignment horizontal="center" vertical="center"/>
    </xf>
    <xf numFmtId="165" fontId="56" fillId="5" borderId="6" xfId="12" applyNumberFormat="1" applyFont="1" applyFill="1" applyBorder="1" applyAlignment="1" applyProtection="1">
      <alignment horizontal="center" vertical="center"/>
      <protection hidden="1"/>
    </xf>
    <xf numFmtId="165" fontId="56" fillId="5" borderId="14" xfId="12" applyNumberFormat="1" applyFont="1" applyFill="1" applyBorder="1" applyAlignment="1" applyProtection="1">
      <alignment horizontal="center" vertical="center"/>
      <protection hidden="1"/>
    </xf>
    <xf numFmtId="165" fontId="56" fillId="5" borderId="7" xfId="12" applyNumberFormat="1" applyFont="1" applyFill="1" applyBorder="1" applyAlignment="1" applyProtection="1">
      <alignment horizontal="center" vertical="center"/>
      <protection hidden="1"/>
    </xf>
    <xf numFmtId="0" fontId="52" fillId="0" borderId="4" xfId="20" applyFont="1" applyBorder="1" applyAlignment="1">
      <alignment horizontal="center" vertical="center"/>
    </xf>
    <xf numFmtId="1" fontId="52" fillId="0" borderId="1" xfId="20" applyNumberFormat="1" applyFont="1" applyBorder="1" applyAlignment="1">
      <alignment horizontal="center" vertical="center" wrapText="1"/>
    </xf>
    <xf numFmtId="165" fontId="49" fillId="5" borderId="6" xfId="0" applyNumberFormat="1" applyFont="1" applyFill="1" applyBorder="1" applyAlignment="1">
      <alignment horizontal="center" vertical="center"/>
    </xf>
    <xf numFmtId="165" fontId="49" fillId="5" borderId="14" xfId="0" applyNumberFormat="1" applyFont="1" applyFill="1" applyBorder="1" applyAlignment="1">
      <alignment horizontal="center" vertical="center"/>
    </xf>
    <xf numFmtId="165" fontId="49" fillId="5" borderId="7" xfId="0" applyNumberFormat="1" applyFont="1" applyFill="1" applyBorder="1" applyAlignment="1">
      <alignment horizontal="center" vertical="center"/>
    </xf>
    <xf numFmtId="165" fontId="56" fillId="5" borderId="14" xfId="0" applyNumberFormat="1" applyFont="1" applyFill="1" applyBorder="1" applyAlignment="1">
      <alignment horizontal="center" vertical="center"/>
    </xf>
    <xf numFmtId="165" fontId="56" fillId="5" borderId="6" xfId="0" applyNumberFormat="1" applyFont="1" applyFill="1" applyBorder="1" applyAlignment="1">
      <alignment vertical="center"/>
    </xf>
    <xf numFmtId="165" fontId="56" fillId="5" borderId="7" xfId="0" applyNumberFormat="1" applyFont="1" applyFill="1" applyBorder="1" applyAlignment="1">
      <alignment vertical="center"/>
    </xf>
    <xf numFmtId="165" fontId="56" fillId="5" borderId="6" xfId="0" applyNumberFormat="1" applyFont="1" applyFill="1" applyBorder="1" applyAlignment="1">
      <alignment vertical="center" wrapText="1"/>
    </xf>
    <xf numFmtId="165" fontId="56" fillId="5" borderId="7" xfId="0" applyNumberFormat="1" applyFont="1" applyFill="1" applyBorder="1" applyAlignment="1">
      <alignment vertical="center" wrapText="1"/>
    </xf>
    <xf numFmtId="165" fontId="49" fillId="5" borderId="6" xfId="0" applyNumberFormat="1" applyFont="1" applyFill="1" applyBorder="1" applyAlignment="1">
      <alignment vertical="center"/>
    </xf>
    <xf numFmtId="165" fontId="49" fillId="5" borderId="7" xfId="0" applyNumberFormat="1" applyFont="1" applyFill="1" applyBorder="1" applyAlignment="1">
      <alignment vertical="center"/>
    </xf>
    <xf numFmtId="165" fontId="49" fillId="5" borderId="6" xfId="0" applyNumberFormat="1" applyFont="1" applyFill="1" applyBorder="1" applyAlignment="1">
      <alignment vertical="center" wrapText="1"/>
    </xf>
    <xf numFmtId="165" fontId="49" fillId="5" borderId="7" xfId="0" applyNumberFormat="1" applyFont="1" applyFill="1" applyBorder="1" applyAlignment="1">
      <alignment vertical="center" wrapText="1"/>
    </xf>
    <xf numFmtId="0" fontId="51" fillId="5" borderId="6" xfId="0" applyFont="1" applyFill="1" applyBorder="1" applyAlignment="1">
      <alignment horizontal="center" vertical="center" wrapText="1"/>
    </xf>
    <xf numFmtId="0" fontId="51" fillId="5" borderId="7" xfId="0" applyFont="1" applyFill="1" applyBorder="1" applyAlignment="1">
      <alignment horizontal="center" vertical="center" wrapText="1"/>
    </xf>
    <xf numFmtId="0" fontId="56" fillId="5" borderId="1" xfId="0" applyFont="1" applyFill="1" applyBorder="1" applyAlignment="1">
      <alignment horizontal="left" vertical="center" wrapText="1"/>
    </xf>
    <xf numFmtId="165" fontId="56" fillId="5" borderId="6" xfId="0" applyNumberFormat="1" applyFont="1" applyFill="1" applyBorder="1" applyAlignment="1">
      <alignment horizontal="right" vertical="center" wrapText="1"/>
    </xf>
    <xf numFmtId="165" fontId="56" fillId="5" borderId="7" xfId="0" applyNumberFormat="1" applyFont="1" applyFill="1" applyBorder="1" applyAlignment="1">
      <alignment horizontal="right" vertical="center" wrapText="1"/>
    </xf>
    <xf numFmtId="49" fontId="56" fillId="5" borderId="1" xfId="0" applyNumberFormat="1" applyFont="1" applyFill="1" applyBorder="1" applyAlignment="1">
      <alignment horizontal="center" vertical="center" wrapText="1"/>
    </xf>
    <xf numFmtId="0" fontId="57" fillId="5" borderId="1" xfId="0" applyFont="1" applyFill="1" applyBorder="1"/>
    <xf numFmtId="0" fontId="56" fillId="5" borderId="1" xfId="0" applyFont="1" applyFill="1" applyBorder="1" applyAlignment="1">
      <alignment vertical="center" wrapText="1"/>
    </xf>
    <xf numFmtId="0" fontId="59" fillId="0" borderId="0" xfId="0" applyNumberFormat="1" applyFont="1" applyFill="1" applyAlignment="1">
      <alignment horizontal="left" vertical="center" wrapText="1"/>
    </xf>
    <xf numFmtId="165" fontId="49" fillId="5" borderId="6" xfId="0" applyNumberFormat="1" applyFont="1" applyFill="1" applyBorder="1" applyAlignment="1">
      <alignment horizontal="right" vertical="center"/>
    </xf>
    <xf numFmtId="165" fontId="49" fillId="5" borderId="14" xfId="0" applyNumberFormat="1" applyFont="1" applyFill="1" applyBorder="1" applyAlignment="1">
      <alignment horizontal="right" vertical="center"/>
    </xf>
    <xf numFmtId="165" fontId="49" fillId="5" borderId="7" xfId="0" applyNumberFormat="1" applyFont="1" applyFill="1" applyBorder="1" applyAlignment="1">
      <alignment horizontal="right" vertical="center"/>
    </xf>
    <xf numFmtId="0" fontId="51" fillId="0" borderId="0" xfId="0" applyFont="1" applyFill="1" applyAlignment="1">
      <alignment horizontal="center" vertical="center" wrapText="1"/>
    </xf>
    <xf numFmtId="165" fontId="49" fillId="5" borderId="6" xfId="0" applyNumberFormat="1" applyFont="1" applyFill="1" applyBorder="1" applyAlignment="1">
      <alignment horizontal="right" vertical="center" wrapText="1"/>
    </xf>
    <xf numFmtId="165" fontId="49" fillId="5" borderId="7" xfId="0" applyNumberFormat="1" applyFont="1" applyFill="1" applyBorder="1" applyAlignment="1">
      <alignment horizontal="right" vertical="center" wrapText="1"/>
    </xf>
    <xf numFmtId="0" fontId="52" fillId="0" borderId="0" xfId="0" applyFont="1" applyFill="1" applyAlignment="1">
      <alignment horizontal="center" vertical="center" wrapText="1"/>
    </xf>
    <xf numFmtId="165" fontId="49" fillId="5" borderId="6" xfId="0" applyNumberFormat="1" applyFont="1" applyFill="1" applyBorder="1" applyAlignment="1">
      <alignment horizontal="center" vertical="center" wrapText="1"/>
    </xf>
    <xf numFmtId="165" fontId="49" fillId="5" borderId="14" xfId="0" applyNumberFormat="1" applyFont="1" applyFill="1" applyBorder="1" applyAlignment="1">
      <alignment horizontal="center" vertical="center" wrapText="1"/>
    </xf>
    <xf numFmtId="165" fontId="49" fillId="5" borderId="7" xfId="0" applyNumberFormat="1" applyFont="1" applyFill="1" applyBorder="1" applyAlignment="1">
      <alignment horizontal="center" vertical="center" wrapText="1"/>
    </xf>
    <xf numFmtId="165" fontId="59" fillId="0" borderId="0" xfId="0" applyNumberFormat="1" applyFont="1" applyFill="1" applyAlignment="1">
      <alignment horizontal="left" vertical="center" wrapText="1"/>
    </xf>
    <xf numFmtId="165" fontId="49" fillId="5" borderId="14" xfId="0" applyNumberFormat="1" applyFont="1" applyFill="1" applyBorder="1" applyAlignment="1">
      <alignment horizontal="right" vertical="center" wrapText="1"/>
    </xf>
    <xf numFmtId="165" fontId="56" fillId="5" borderId="14" xfId="0" applyNumberFormat="1" applyFont="1" applyFill="1" applyBorder="1" applyAlignment="1">
      <alignment horizontal="right" vertical="center" wrapText="1"/>
    </xf>
    <xf numFmtId="0" fontId="52" fillId="5" borderId="12" xfId="0" applyNumberFormat="1" applyFont="1" applyFill="1" applyBorder="1" applyAlignment="1">
      <alignment vertical="center"/>
    </xf>
    <xf numFmtId="0" fontId="52" fillId="0" borderId="6" xfId="0" applyFont="1" applyFill="1" applyBorder="1" applyAlignment="1">
      <alignment horizontal="center" vertical="center" wrapText="1"/>
    </xf>
    <xf numFmtId="0" fontId="52" fillId="0" borderId="7" xfId="0" applyFont="1" applyFill="1" applyBorder="1" applyAlignment="1">
      <alignment horizontal="center" vertical="center" wrapText="1"/>
    </xf>
    <xf numFmtId="165" fontId="56" fillId="5" borderId="1" xfId="0" applyNumberFormat="1" applyFont="1" applyFill="1" applyBorder="1" applyAlignment="1">
      <alignment horizontal="right" vertical="center"/>
    </xf>
    <xf numFmtId="165" fontId="49" fillId="5" borderId="1" xfId="0" applyNumberFormat="1" applyFont="1" applyFill="1" applyBorder="1" applyAlignment="1">
      <alignment horizontal="right" vertical="center" wrapText="1"/>
    </xf>
    <xf numFmtId="165" fontId="56" fillId="5" borderId="1" xfId="0" applyNumberFormat="1" applyFont="1" applyFill="1" applyBorder="1" applyAlignment="1">
      <alignment horizontal="right" vertical="center" wrapText="1"/>
    </xf>
    <xf numFmtId="0" fontId="49" fillId="0" borderId="0" xfId="0" applyFont="1" applyFill="1" applyAlignment="1">
      <alignment horizontal="center" vertical="center" wrapText="1"/>
    </xf>
    <xf numFmtId="165" fontId="56" fillId="5" borderId="1" xfId="12" applyNumberFormat="1" applyFont="1" applyFill="1" applyBorder="1" applyAlignment="1" applyProtection="1">
      <alignment horizontal="right" vertical="center"/>
      <protection hidden="1"/>
    </xf>
    <xf numFmtId="165" fontId="49" fillId="5" borderId="1" xfId="0" applyNumberFormat="1" applyFont="1" applyFill="1" applyBorder="1" applyAlignment="1">
      <alignment horizontal="right" vertical="center"/>
    </xf>
    <xf numFmtId="0" fontId="56" fillId="0" borderId="0" xfId="0" applyFont="1" applyFill="1" applyAlignment="1">
      <alignment horizontal="center" vertical="center" wrapText="1"/>
    </xf>
    <xf numFmtId="165" fontId="49" fillId="5" borderId="1" xfId="0" applyNumberFormat="1" applyFont="1" applyFill="1" applyBorder="1" applyAlignment="1">
      <alignment horizontal="center" vertical="center"/>
    </xf>
    <xf numFmtId="165" fontId="56" fillId="5" borderId="1" xfId="0" applyNumberFormat="1" applyFont="1" applyFill="1" applyBorder="1" applyAlignment="1">
      <alignment horizontal="center" vertical="center"/>
    </xf>
    <xf numFmtId="0" fontId="56" fillId="0" borderId="0" xfId="0" applyFont="1" applyFill="1" applyAlignment="1">
      <alignment horizontal="left" vertical="center" wrapText="1"/>
    </xf>
    <xf numFmtId="0" fontId="52" fillId="0" borderId="1" xfId="0" applyFont="1" applyFill="1" applyBorder="1" applyAlignment="1">
      <alignment horizontal="center" vertical="center" wrapText="1"/>
    </xf>
    <xf numFmtId="0" fontId="62" fillId="0" borderId="0" xfId="20" applyFont="1" applyBorder="1" applyAlignment="1">
      <alignment horizontal="center" vertical="center"/>
    </xf>
    <xf numFmtId="0" fontId="150" fillId="5" borderId="6" xfId="0" applyFont="1" applyFill="1" applyBorder="1" applyAlignment="1">
      <alignment horizontal="center" vertical="top" wrapText="1"/>
    </xf>
    <xf numFmtId="0" fontId="150" fillId="5" borderId="14" xfId="0" applyFont="1" applyFill="1" applyBorder="1" applyAlignment="1">
      <alignment horizontal="center" vertical="top" wrapText="1"/>
    </xf>
    <xf numFmtId="0" fontId="150" fillId="5" borderId="7" xfId="0" applyFont="1" applyFill="1" applyBorder="1" applyAlignment="1">
      <alignment horizontal="center" vertical="top" wrapText="1"/>
    </xf>
    <xf numFmtId="165" fontId="56" fillId="5" borderId="6" xfId="12" applyNumberFormat="1" applyFont="1" applyFill="1" applyBorder="1" applyAlignment="1" applyProtection="1">
      <alignment horizontal="right" vertical="center"/>
      <protection hidden="1"/>
    </xf>
    <xf numFmtId="165" fontId="56" fillId="5" borderId="14" xfId="12" applyNumberFormat="1" applyFont="1" applyFill="1" applyBorder="1" applyAlignment="1" applyProtection="1">
      <alignment horizontal="right" vertical="center"/>
      <protection hidden="1"/>
    </xf>
    <xf numFmtId="165" fontId="56" fillId="5" borderId="7" xfId="12" applyNumberFormat="1" applyFont="1" applyFill="1" applyBorder="1" applyAlignment="1" applyProtection="1">
      <alignment horizontal="right" vertical="center"/>
      <protection hidden="1"/>
    </xf>
    <xf numFmtId="0" fontId="56" fillId="5" borderId="6" xfId="0" applyFont="1" applyFill="1" applyBorder="1" applyAlignment="1">
      <alignment horizontal="center" vertical="top" wrapText="1"/>
    </xf>
    <xf numFmtId="0" fontId="56" fillId="5" borderId="14" xfId="0" applyFont="1" applyFill="1" applyBorder="1" applyAlignment="1">
      <alignment horizontal="center" vertical="top" wrapText="1"/>
    </xf>
    <xf numFmtId="0" fontId="56" fillId="5" borderId="7" xfId="0" applyFont="1" applyFill="1" applyBorder="1" applyAlignment="1">
      <alignment horizontal="center" vertical="top" wrapText="1"/>
    </xf>
    <xf numFmtId="49" fontId="56" fillId="5" borderId="14" xfId="0" applyNumberFormat="1" applyFont="1" applyFill="1" applyBorder="1" applyAlignment="1">
      <alignment horizontal="center" vertical="center" wrapText="1"/>
    </xf>
    <xf numFmtId="165" fontId="56" fillId="5" borderId="1" xfId="0" applyNumberFormat="1" applyFont="1" applyFill="1" applyBorder="1" applyAlignment="1">
      <alignment horizontal="center" vertical="center" wrapText="1"/>
    </xf>
    <xf numFmtId="165" fontId="49" fillId="5" borderId="1" xfId="0" applyNumberFormat="1" applyFont="1" applyFill="1" applyBorder="1" applyAlignment="1">
      <alignment horizontal="center" vertical="center" wrapText="1"/>
    </xf>
    <xf numFmtId="1" fontId="51" fillId="0" borderId="14" xfId="20" applyNumberFormat="1" applyFont="1" applyBorder="1" applyAlignment="1">
      <alignment horizontal="center" vertical="center" textRotation="90" wrapText="1"/>
    </xf>
    <xf numFmtId="1" fontId="52" fillId="0" borderId="6" xfId="20" applyNumberFormat="1" applyFont="1" applyBorder="1" applyAlignment="1">
      <alignment horizontal="center" vertical="center" textRotation="90" wrapText="1"/>
    </xf>
    <xf numFmtId="1" fontId="52" fillId="0" borderId="14" xfId="20" applyNumberFormat="1" applyFont="1" applyBorder="1" applyAlignment="1">
      <alignment horizontal="center" vertical="center" textRotation="90" wrapText="1"/>
    </xf>
    <xf numFmtId="1" fontId="52" fillId="0" borderId="7" xfId="20" applyNumberFormat="1" applyFont="1" applyBorder="1" applyAlignment="1">
      <alignment horizontal="center" vertical="center" textRotation="90" wrapText="1"/>
    </xf>
    <xf numFmtId="0" fontId="51" fillId="5" borderId="13" xfId="0" applyFont="1" applyFill="1" applyBorder="1" applyAlignment="1">
      <alignment horizontal="center" vertical="center" wrapText="1"/>
    </xf>
    <xf numFmtId="0" fontId="51" fillId="5" borderId="15"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52" fillId="5" borderId="8" xfId="0" applyFont="1" applyFill="1" applyBorder="1" applyAlignment="1">
      <alignment horizontal="center" vertical="center" wrapText="1"/>
    </xf>
    <xf numFmtId="0" fontId="52" fillId="5" borderId="10" xfId="0" applyFont="1" applyFill="1" applyBorder="1" applyAlignment="1">
      <alignment horizontal="center" vertical="center" wrapText="1"/>
    </xf>
    <xf numFmtId="0" fontId="52" fillId="5" borderId="16" xfId="0" applyFont="1" applyFill="1" applyBorder="1" applyAlignment="1">
      <alignment horizontal="center" vertical="center" wrapText="1"/>
    </xf>
    <xf numFmtId="1" fontId="52" fillId="26" borderId="1" xfId="20" applyNumberFormat="1" applyFont="1" applyFill="1" applyBorder="1" applyAlignment="1">
      <alignment horizontal="center" vertical="center" wrapText="1"/>
    </xf>
    <xf numFmtId="0" fontId="52" fillId="26" borderId="1" xfId="0" applyFont="1" applyFill="1" applyBorder="1" applyAlignment="1">
      <alignment horizontal="center" vertical="center" wrapText="1"/>
    </xf>
    <xf numFmtId="0" fontId="51" fillId="26" borderId="1" xfId="0" applyFont="1" applyFill="1" applyBorder="1" applyAlignment="1">
      <alignment horizontal="center" vertical="center" wrapText="1"/>
    </xf>
    <xf numFmtId="1" fontId="51" fillId="26" borderId="1" xfId="20" applyNumberFormat="1" applyFont="1" applyFill="1" applyBorder="1" applyAlignment="1">
      <alignment horizontal="center" vertical="center" textRotation="90" wrapText="1"/>
    </xf>
    <xf numFmtId="0" fontId="52" fillId="0" borderId="8" xfId="0" applyFont="1" applyFill="1" applyBorder="1" applyAlignment="1">
      <alignment horizontal="center" vertical="center" wrapText="1"/>
    </xf>
    <xf numFmtId="0" fontId="52" fillId="0" borderId="10" xfId="0" applyFont="1" applyFill="1" applyBorder="1" applyAlignment="1">
      <alignment horizontal="center" vertical="center" wrapText="1"/>
    </xf>
    <xf numFmtId="0" fontId="52" fillId="26" borderId="6" xfId="0" applyFont="1" applyFill="1" applyBorder="1" applyAlignment="1">
      <alignment horizontal="center" vertical="center" wrapText="1"/>
    </xf>
    <xf numFmtId="0" fontId="52" fillId="26" borderId="7" xfId="0" applyFont="1" applyFill="1" applyBorder="1" applyAlignment="1">
      <alignment horizontal="center" vertical="center" wrapText="1"/>
    </xf>
    <xf numFmtId="0" fontId="49" fillId="22" borderId="5" xfId="0" applyFont="1" applyFill="1" applyBorder="1" applyAlignment="1">
      <alignment horizontal="center" vertical="center" wrapText="1"/>
    </xf>
    <xf numFmtId="0" fontId="49" fillId="22" borderId="3" xfId="0" applyFont="1" applyFill="1" applyBorder="1" applyAlignment="1">
      <alignment horizontal="center" vertical="center" wrapText="1"/>
    </xf>
    <xf numFmtId="0" fontId="49" fillId="22" borderId="2" xfId="0" applyFont="1" applyFill="1" applyBorder="1" applyAlignment="1">
      <alignment horizontal="center" vertical="center" wrapText="1"/>
    </xf>
    <xf numFmtId="0" fontId="59" fillId="22" borderId="5" xfId="0" applyFont="1" applyFill="1" applyBorder="1" applyAlignment="1">
      <alignment horizontal="center" vertical="center" wrapText="1"/>
    </xf>
    <xf numFmtId="0" fontId="59" fillId="22" borderId="3" xfId="0" applyFont="1" applyFill="1" applyBorder="1" applyAlignment="1">
      <alignment horizontal="center" vertical="center" wrapText="1"/>
    </xf>
    <xf numFmtId="0" fontId="59" fillId="22" borderId="2" xfId="0" applyFont="1" applyFill="1" applyBorder="1" applyAlignment="1">
      <alignment horizontal="center" vertical="center" wrapText="1"/>
    </xf>
    <xf numFmtId="0" fontId="59" fillId="22" borderId="8" xfId="0" applyFont="1" applyFill="1" applyBorder="1" applyAlignment="1">
      <alignment horizontal="center" vertical="center" wrapText="1"/>
    </xf>
    <xf numFmtId="0" fontId="59" fillId="22" borderId="12" xfId="0" applyFont="1" applyFill="1" applyBorder="1" applyAlignment="1">
      <alignment horizontal="center" vertical="center" wrapText="1"/>
    </xf>
    <xf numFmtId="0" fontId="59" fillId="22" borderId="13" xfId="0" applyFont="1" applyFill="1" applyBorder="1" applyAlignment="1">
      <alignment horizontal="center" vertical="center" wrapText="1"/>
    </xf>
    <xf numFmtId="0" fontId="59" fillId="22" borderId="10" xfId="0" applyFont="1" applyFill="1" applyBorder="1" applyAlignment="1">
      <alignment horizontal="center" vertical="center" wrapText="1"/>
    </xf>
    <xf numFmtId="0" fontId="59" fillId="22" borderId="0" xfId="0" applyFont="1" applyFill="1" applyBorder="1" applyAlignment="1">
      <alignment horizontal="center" vertical="center" wrapText="1"/>
    </xf>
    <xf numFmtId="0" fontId="59" fillId="22" borderId="15" xfId="0" applyFont="1" applyFill="1" applyBorder="1" applyAlignment="1">
      <alignment horizontal="center" vertical="center" wrapText="1"/>
    </xf>
    <xf numFmtId="0" fontId="59" fillId="22" borderId="16" xfId="0" applyFont="1" applyFill="1" applyBorder="1" applyAlignment="1">
      <alignment horizontal="center" vertical="center" wrapText="1"/>
    </xf>
    <xf numFmtId="0" fontId="59" fillId="22" borderId="4" xfId="0" applyFont="1" applyFill="1" applyBorder="1" applyAlignment="1">
      <alignment horizontal="center" vertical="center" wrapText="1"/>
    </xf>
    <xf numFmtId="0" fontId="59" fillId="22" borderId="11" xfId="0" applyFont="1" applyFill="1" applyBorder="1" applyAlignment="1">
      <alignment horizontal="center" vertical="center" wrapText="1"/>
    </xf>
    <xf numFmtId="0" fontId="59" fillId="22" borderId="1" xfId="0" applyFont="1" applyFill="1" applyBorder="1" applyAlignment="1">
      <alignment horizontal="center" vertical="center" wrapText="1"/>
    </xf>
    <xf numFmtId="0" fontId="59" fillId="22" borderId="1" xfId="0" applyNumberFormat="1" applyFont="1" applyFill="1" applyBorder="1" applyAlignment="1">
      <alignment horizontal="center" vertical="center" wrapText="1"/>
    </xf>
    <xf numFmtId="165" fontId="59" fillId="22" borderId="1" xfId="0" applyNumberFormat="1" applyFont="1" applyFill="1" applyBorder="1" applyAlignment="1">
      <alignment horizontal="center" vertical="center" wrapText="1"/>
    </xf>
    <xf numFmtId="1" fontId="62" fillId="18" borderId="1" xfId="20" applyNumberFormat="1" applyFont="1" applyFill="1" applyBorder="1" applyAlignment="1">
      <alignment horizontal="center" vertical="center" textRotation="90" wrapText="1"/>
    </xf>
    <xf numFmtId="1" fontId="62" fillId="19" borderId="1" xfId="20" applyNumberFormat="1" applyFont="1" applyFill="1" applyBorder="1" applyAlignment="1">
      <alignment horizontal="center" vertical="center" textRotation="90" wrapText="1"/>
    </xf>
    <xf numFmtId="1" fontId="62" fillId="18" borderId="8" xfId="20" applyNumberFormat="1" applyFont="1" applyFill="1" applyBorder="1" applyAlignment="1">
      <alignment horizontal="center" vertical="center" textRotation="90" wrapText="1"/>
    </xf>
    <xf numFmtId="1" fontId="62" fillId="18" borderId="7" xfId="20" applyNumberFormat="1" applyFont="1" applyFill="1" applyBorder="1" applyAlignment="1">
      <alignment horizontal="center" vertical="center" textRotation="90" wrapText="1"/>
    </xf>
    <xf numFmtId="1" fontId="138" fillId="0" borderId="8" xfId="20" applyNumberFormat="1" applyFont="1" applyBorder="1" applyAlignment="1">
      <alignment horizontal="center" vertical="center" wrapText="1"/>
    </xf>
    <xf numFmtId="1" fontId="138" fillId="0" borderId="12" xfId="20" applyNumberFormat="1" applyFont="1" applyBorder="1" applyAlignment="1">
      <alignment horizontal="center" vertical="center" wrapText="1"/>
    </xf>
    <xf numFmtId="1" fontId="138" fillId="0" borderId="13" xfId="20" applyNumberFormat="1" applyFont="1" applyBorder="1" applyAlignment="1">
      <alignment horizontal="center" vertical="center" wrapText="1"/>
    </xf>
    <xf numFmtId="1" fontId="52" fillId="0" borderId="8" xfId="20" applyNumberFormat="1" applyFont="1" applyBorder="1" applyAlignment="1">
      <alignment horizontal="center" vertical="center" wrapText="1"/>
    </xf>
    <xf numFmtId="1" fontId="52" fillId="0" borderId="12" xfId="20" applyNumberFormat="1" applyFont="1" applyBorder="1" applyAlignment="1">
      <alignment horizontal="center" vertical="center" wrapText="1"/>
    </xf>
    <xf numFmtId="1" fontId="52" fillId="0" borderId="13" xfId="20" applyNumberFormat="1" applyFont="1" applyBorder="1" applyAlignment="1">
      <alignment horizontal="center" vertical="center" wrapText="1"/>
    </xf>
    <xf numFmtId="49" fontId="52" fillId="5" borderId="0" xfId="0" applyNumberFormat="1" applyFont="1" applyFill="1" applyBorder="1" applyAlignment="1">
      <alignment horizontal="left" vertical="center" wrapText="1"/>
    </xf>
    <xf numFmtId="0" fontId="36" fillId="0" borderId="4" xfId="20" applyFont="1" applyBorder="1" applyAlignment="1">
      <alignment horizontal="center" vertical="center"/>
    </xf>
    <xf numFmtId="0" fontId="45" fillId="5" borderId="1" xfId="0" applyFont="1" applyFill="1" applyBorder="1" applyAlignment="1">
      <alignment horizontal="left" vertical="center" wrapText="1"/>
    </xf>
    <xf numFmtId="0" fontId="36" fillId="5" borderId="0" xfId="0" applyNumberFormat="1" applyFont="1" applyFill="1" applyBorder="1" applyAlignment="1">
      <alignment vertical="center"/>
    </xf>
    <xf numFmtId="0" fontId="45" fillId="5" borderId="1" xfId="0" applyFont="1" applyFill="1" applyBorder="1" applyAlignment="1">
      <alignment vertical="center" wrapText="1"/>
    </xf>
    <xf numFmtId="0" fontId="36" fillId="5" borderId="0" xfId="0" applyFont="1" applyFill="1" applyAlignment="1">
      <alignment horizontal="right" vertical="center"/>
    </xf>
    <xf numFmtId="49" fontId="36" fillId="0" borderId="0" xfId="20" applyNumberFormat="1" applyFont="1" applyBorder="1" applyAlignment="1">
      <alignment horizontal="center" vertical="center"/>
    </xf>
    <xf numFmtId="0" fontId="47" fillId="0" borderId="1" xfId="0" applyFont="1" applyFill="1" applyBorder="1" applyAlignment="1">
      <alignment horizontal="center" vertical="center" wrapText="1"/>
    </xf>
    <xf numFmtId="1" fontId="47" fillId="0" borderId="1" xfId="20" applyNumberFormat="1" applyFont="1" applyBorder="1" applyAlignment="1">
      <alignment horizontal="center" vertical="center" wrapText="1"/>
    </xf>
    <xf numFmtId="1" fontId="45" fillId="0" borderId="1" xfId="20" applyNumberFormat="1" applyFont="1" applyBorder="1" applyAlignment="1">
      <alignment horizontal="center" vertical="center" textRotation="90" wrapText="1"/>
    </xf>
    <xf numFmtId="1" fontId="36" fillId="0" borderId="1" xfId="20" applyNumberFormat="1" applyFont="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45" fillId="5" borderId="1" xfId="0" applyFont="1" applyFill="1" applyBorder="1" applyAlignment="1">
      <alignment horizontal="center" vertical="center" wrapText="1"/>
    </xf>
    <xf numFmtId="1" fontId="142" fillId="5" borderId="0" xfId="0" applyNumberFormat="1" applyFont="1" applyFill="1" applyAlignment="1">
      <alignment horizontal="center" vertical="center" wrapText="1"/>
    </xf>
    <xf numFmtId="1" fontId="151" fillId="5" borderId="0" xfId="0" applyNumberFormat="1" applyFont="1" applyFill="1" applyAlignment="1">
      <alignment horizontal="center" vertical="center" wrapText="1"/>
    </xf>
    <xf numFmtId="1" fontId="45" fillId="5" borderId="6" xfId="0" applyNumberFormat="1" applyFont="1" applyFill="1" applyBorder="1" applyAlignment="1">
      <alignment horizontal="center" vertical="center" wrapText="1"/>
    </xf>
    <xf numFmtId="1" fontId="45" fillId="5" borderId="7"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9" fillId="0" borderId="0" xfId="0" applyFont="1" applyAlignment="1">
      <alignment horizontal="center" vertical="center" wrapText="1"/>
    </xf>
    <xf numFmtId="0" fontId="45" fillId="0" borderId="0" xfId="0" applyFont="1" applyAlignment="1">
      <alignment horizontal="center" vertical="center" wrapText="1"/>
    </xf>
    <xf numFmtId="0" fontId="47" fillId="5" borderId="1" xfId="0" applyFont="1" applyFill="1" applyBorder="1" applyAlignment="1">
      <alignment horizontal="center" vertical="center" wrapText="1"/>
    </xf>
    <xf numFmtId="0" fontId="47" fillId="5" borderId="5"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5" xfId="0" applyFont="1" applyFill="1" applyBorder="1" applyAlignment="1">
      <alignment vertical="center" wrapText="1"/>
    </xf>
    <xf numFmtId="0" fontId="47" fillId="5" borderId="2" xfId="0" applyFont="1" applyFill="1" applyBorder="1" applyAlignment="1">
      <alignment vertical="center" wrapText="1"/>
    </xf>
    <xf numFmtId="0" fontId="45" fillId="6" borderId="1" xfId="0" applyFont="1" applyFill="1" applyBorder="1" applyAlignment="1">
      <alignment horizontal="left" vertical="center" wrapText="1"/>
    </xf>
    <xf numFmtId="49" fontId="47" fillId="5" borderId="0" xfId="0" applyNumberFormat="1" applyFont="1" applyFill="1" applyBorder="1" applyAlignment="1">
      <alignment horizontal="left" vertical="center" wrapText="1"/>
    </xf>
    <xf numFmtId="1" fontId="45" fillId="0" borderId="6" xfId="20" applyNumberFormat="1" applyFont="1" applyBorder="1" applyAlignment="1">
      <alignment horizontal="center" vertical="center" textRotation="90" wrapText="1"/>
    </xf>
    <xf numFmtId="1" fontId="45" fillId="0" borderId="7" xfId="20" applyNumberFormat="1" applyFont="1" applyBorder="1" applyAlignment="1">
      <alignment horizontal="center" vertical="center" textRotation="90" wrapText="1"/>
    </xf>
    <xf numFmtId="0" fontId="58" fillId="0" borderId="0" xfId="20" applyFont="1" applyBorder="1" applyAlignment="1">
      <alignment horizontal="center" vertical="center"/>
    </xf>
    <xf numFmtId="1" fontId="36" fillId="5"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0" fontId="9" fillId="6" borderId="1" xfId="0" applyFont="1" applyFill="1" applyBorder="1" applyAlignment="1">
      <alignment horizontal="left" vertical="center" wrapText="1"/>
    </xf>
    <xf numFmtId="0" fontId="9" fillId="5" borderId="1" xfId="0" applyFont="1" applyFill="1" applyBorder="1" applyAlignment="1">
      <alignment horizontal="left" vertical="center" wrapText="1"/>
    </xf>
    <xf numFmtId="0" fontId="9" fillId="5" borderId="1" xfId="0" applyFont="1" applyFill="1" applyBorder="1" applyAlignment="1">
      <alignment vertical="center" wrapText="1"/>
    </xf>
    <xf numFmtId="0" fontId="9" fillId="6" borderId="5" xfId="0" applyFont="1" applyFill="1" applyBorder="1" applyAlignment="1">
      <alignment horizontal="left" vertical="center" wrapText="1"/>
    </xf>
    <xf numFmtId="0" fontId="9" fillId="6" borderId="2" xfId="0" applyFont="1" applyFill="1" applyBorder="1" applyAlignment="1">
      <alignment horizontal="left" vertical="center" wrapText="1"/>
    </xf>
    <xf numFmtId="165" fontId="9" fillId="26" borderId="1" xfId="10" applyNumberFormat="1" applyFont="1" applyFill="1" applyBorder="1" applyAlignment="1" applyProtection="1">
      <alignment horizontal="right" vertical="center" wrapText="1"/>
      <protection hidden="1"/>
    </xf>
    <xf numFmtId="165" fontId="9" fillId="0" borderId="1" xfId="10" applyNumberFormat="1" applyFont="1" applyFill="1" applyBorder="1" applyAlignment="1" applyProtection="1">
      <alignment horizontal="right" vertical="center" wrapText="1"/>
      <protection hidden="1"/>
    </xf>
    <xf numFmtId="165" fontId="36" fillId="5" borderId="0" xfId="0" applyNumberFormat="1" applyFont="1" applyFill="1" applyAlignment="1">
      <alignment horizontal="center" vertical="center"/>
    </xf>
    <xf numFmtId="0" fontId="9" fillId="0" borderId="6" xfId="20" applyNumberFormat="1" applyFont="1" applyBorder="1" applyAlignment="1">
      <alignment horizontal="center" vertical="center" textRotation="90" wrapText="1"/>
    </xf>
    <xf numFmtId="0" fontId="0" fillId="0" borderId="7" xfId="0" applyBorder="1" applyAlignment="1">
      <alignment vertical="center"/>
    </xf>
    <xf numFmtId="0" fontId="0" fillId="0" borderId="7" xfId="0" applyFont="1" applyBorder="1" applyAlignment="1">
      <alignment vertical="center"/>
    </xf>
    <xf numFmtId="1" fontId="9" fillId="0" borderId="1" xfId="20" applyNumberFormat="1" applyFont="1" applyFill="1" applyBorder="1" applyAlignment="1">
      <alignment horizontal="center" vertical="center" wrapText="1"/>
    </xf>
    <xf numFmtId="1" fontId="36"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6" fillId="0" borderId="0" xfId="0" applyFont="1" applyFill="1" applyAlignment="1">
      <alignment horizontal="right" vertical="center"/>
    </xf>
    <xf numFmtId="49" fontId="36" fillId="0" borderId="0" xfId="20" applyNumberFormat="1" applyFont="1" applyFill="1" applyBorder="1" applyAlignment="1">
      <alignment horizontal="center" vertical="center"/>
    </xf>
    <xf numFmtId="0" fontId="9" fillId="0" borderId="10" xfId="0" applyFont="1" applyFill="1" applyBorder="1" applyAlignment="1">
      <alignment horizontal="center" vertical="top" wrapText="1"/>
    </xf>
    <xf numFmtId="0" fontId="9" fillId="0" borderId="0" xfId="0" applyFont="1" applyFill="1" applyBorder="1" applyAlignment="1">
      <alignment horizontal="center" vertical="top" wrapText="1"/>
    </xf>
    <xf numFmtId="1" fontId="43" fillId="0" borderId="12" xfId="0" applyNumberFormat="1" applyFont="1" applyFill="1" applyBorder="1" applyAlignment="1">
      <alignment horizontal="left" vertical="center" wrapText="1"/>
    </xf>
    <xf numFmtId="1" fontId="69" fillId="0" borderId="12" xfId="0" applyNumberFormat="1" applyFont="1" applyFill="1" applyBorder="1" applyAlignment="1">
      <alignment horizontal="left" vertical="center" wrapText="1"/>
    </xf>
    <xf numFmtId="0" fontId="69" fillId="0" borderId="0" xfId="0" applyFont="1" applyFill="1" applyBorder="1" applyAlignment="1">
      <alignment horizontal="center" vertical="center" wrapText="1"/>
    </xf>
    <xf numFmtId="0" fontId="45" fillId="6" borderId="5" xfId="0" applyFont="1" applyFill="1" applyBorder="1" applyAlignment="1">
      <alignment horizontal="left" vertical="center" wrapText="1"/>
    </xf>
    <xf numFmtId="0" fontId="45" fillId="6" borderId="2" xfId="0" applyFont="1" applyFill="1" applyBorder="1" applyAlignment="1">
      <alignment horizontal="left" vertical="center" wrapText="1"/>
    </xf>
    <xf numFmtId="1" fontId="9" fillId="5" borderId="1" xfId="20" applyNumberFormat="1" applyFont="1" applyFill="1" applyBorder="1" applyAlignment="1">
      <alignment horizontal="center" vertical="center" textRotation="90" wrapText="1"/>
    </xf>
    <xf numFmtId="1" fontId="36" fillId="5" borderId="1" xfId="20" applyNumberFormat="1" applyFont="1" applyFill="1" applyBorder="1" applyAlignment="1">
      <alignment horizontal="center" vertical="center" wrapText="1"/>
    </xf>
    <xf numFmtId="0" fontId="36" fillId="5" borderId="4" xfId="20" applyFont="1" applyFill="1" applyBorder="1" applyAlignment="1">
      <alignment horizontal="center" vertical="center"/>
    </xf>
    <xf numFmtId="0" fontId="49" fillId="0" borderId="0" xfId="20" applyFont="1" applyBorder="1" applyAlignment="1">
      <alignment horizontal="center" vertical="center" wrapText="1"/>
    </xf>
    <xf numFmtId="0" fontId="58" fillId="0" borderId="0" xfId="20" applyFont="1" applyBorder="1" applyAlignment="1">
      <alignment horizontal="center" vertical="center" wrapText="1"/>
    </xf>
    <xf numFmtId="1" fontId="9" fillId="0" borderId="1" xfId="20" applyNumberFormat="1" applyFont="1" applyBorder="1" applyAlignment="1">
      <alignment horizontal="center" vertical="center" wrapText="1"/>
    </xf>
    <xf numFmtId="0" fontId="9" fillId="0" borderId="1" xfId="20" applyNumberFormat="1" applyFont="1" applyBorder="1" applyAlignment="1">
      <alignment horizontal="center" vertical="center" wrapText="1"/>
    </xf>
    <xf numFmtId="0" fontId="70" fillId="0" borderId="1" xfId="0" applyFont="1" applyBorder="1" applyAlignment="1">
      <alignment vertical="center"/>
    </xf>
    <xf numFmtId="0" fontId="9" fillId="0" borderId="6" xfId="20" applyNumberFormat="1" applyFont="1" applyBorder="1" applyAlignment="1">
      <alignment horizontal="center" vertical="center" wrapText="1"/>
    </xf>
    <xf numFmtId="0" fontId="152" fillId="0" borderId="0" xfId="20" applyFont="1" applyBorder="1" applyAlignment="1">
      <alignment horizontal="center" vertical="center"/>
    </xf>
    <xf numFmtId="0" fontId="9" fillId="5" borderId="6" xfId="0" applyFont="1" applyFill="1" applyBorder="1" applyAlignment="1">
      <alignment horizontal="center" vertical="center" wrapText="1"/>
    </xf>
    <xf numFmtId="0" fontId="9" fillId="5" borderId="7" xfId="0" applyFont="1" applyFill="1" applyBorder="1" applyAlignment="1">
      <alignment horizontal="center" vertical="center" wrapText="1"/>
    </xf>
    <xf numFmtId="1" fontId="9" fillId="5" borderId="6" xfId="0" applyNumberFormat="1" applyFont="1" applyFill="1" applyBorder="1" applyAlignment="1">
      <alignment horizontal="center" vertical="center" wrapText="1"/>
    </xf>
    <xf numFmtId="1" fontId="9" fillId="5" borderId="7" xfId="0" applyNumberFormat="1" applyFont="1" applyFill="1" applyBorder="1" applyAlignment="1">
      <alignment horizontal="center" vertical="center" wrapText="1"/>
    </xf>
    <xf numFmtId="1" fontId="36" fillId="5" borderId="6" xfId="0" applyNumberFormat="1" applyFont="1" applyFill="1" applyBorder="1" applyAlignment="1">
      <alignment horizontal="center" vertical="center" wrapText="1"/>
    </xf>
    <xf numFmtId="1" fontId="36" fillId="5" borderId="7" xfId="0" applyNumberFormat="1" applyFont="1" applyFill="1" applyBorder="1" applyAlignment="1">
      <alignment horizontal="center" vertical="center" wrapText="1"/>
    </xf>
  </cellXfs>
  <cellStyles count="22">
    <cellStyle name="Обычный" xfId="0" builtinId="0"/>
    <cellStyle name="Обычный 2" xfId="1"/>
    <cellStyle name="Обычный 2 10" xfId="2"/>
    <cellStyle name="Обычный 2 11" xfId="3"/>
    <cellStyle name="Обычный 2 12" xfId="4"/>
    <cellStyle name="Обычный 2 13" xfId="5"/>
    <cellStyle name="Обычный 2 14" xfId="6"/>
    <cellStyle name="Обычный 2 15" xfId="7"/>
    <cellStyle name="Обычный 2 16" xfId="8"/>
    <cellStyle name="Обычный 2 2" xfId="9"/>
    <cellStyle name="Обычный 2 3" xfId="10"/>
    <cellStyle name="Обычный 2 4" xfId="11"/>
    <cellStyle name="Обычный 2 5" xfId="12"/>
    <cellStyle name="Обычный 2 6" xfId="13"/>
    <cellStyle name="Обычный 2 7" xfId="14"/>
    <cellStyle name="Обычный 2 8" xfId="15"/>
    <cellStyle name="Обычный 2 9" xfId="16"/>
    <cellStyle name="Обычный_Tmp2" xfId="17"/>
    <cellStyle name="Обычный_Tmp2 2" xfId="18"/>
    <cellStyle name="Обычный_ДОЛГ" xfId="19"/>
    <cellStyle name="Обычный_Форма 17" xfId="20"/>
    <cellStyle name="Процентный" xfId="2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0.12360050424662709"/>
          <c:y val="1.3572586939729604E-2"/>
          <c:w val="0.87639949575338361"/>
          <c:h val="0.53401841136470063"/>
        </c:manualLayout>
      </c:layout>
      <c:bar3DChart>
        <c:barDir val="col"/>
        <c:grouping val="clustered"/>
        <c:ser>
          <c:idx val="0"/>
          <c:order val="0"/>
          <c:tx>
            <c:strRef>
              <c:f>Диаграмма!$D$7</c:f>
              <c:strCache>
                <c:ptCount val="1"/>
                <c:pt idx="0">
                  <c:v>План</c:v>
                </c:pt>
              </c:strCache>
            </c:strRef>
          </c:tx>
          <c:cat>
            <c:strRef>
              <c:f>Диаграмма!$C$8:$C$12</c:f>
              <c:strCache>
                <c:ptCount val="5"/>
                <c:pt idx="0">
                  <c:v>Объекты в рамках национальных проектов</c:v>
                </c:pt>
                <c:pt idx="1">
                  <c:v>Объекты в рамках ФЦП "Развитие Республики Карелия на период до 2020 года"</c:v>
                </c:pt>
                <c:pt idx="2">
                  <c:v>Разработка проектной документации</c:v>
                </c:pt>
                <c:pt idx="3">
                  <c:v>Объекты  дорожного хозяйства </c:v>
                </c:pt>
                <c:pt idx="4">
                  <c:v>Прочие объекты</c:v>
                </c:pt>
              </c:strCache>
            </c:strRef>
          </c:cat>
          <c:val>
            <c:numRef>
              <c:f>Диаграмма!$D$8:$D$12</c:f>
            </c:numRef>
          </c:val>
          <c:extLst xmlns:c16r2="http://schemas.microsoft.com/office/drawing/2015/06/chart">
            <c:ext xmlns:c16="http://schemas.microsoft.com/office/drawing/2014/chart" uri="{C3380CC4-5D6E-409C-BE32-E72D297353CC}">
              <c16:uniqueId val="{00000000-0788-4E76-AF63-DEC8BBCCA206}"/>
            </c:ext>
          </c:extLst>
        </c:ser>
        <c:ser>
          <c:idx val="1"/>
          <c:order val="1"/>
          <c:tx>
            <c:strRef>
              <c:f>Диаграмма!$E$7</c:f>
              <c:strCache>
                <c:ptCount val="1"/>
                <c:pt idx="0">
                  <c:v>План</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ru-RU"/>
              </a:p>
            </c:txPr>
            <c:showVal val="1"/>
            <c:extLst xmlns:c16r2="http://schemas.microsoft.com/office/drawing/2015/06/chart">
              <c:ext xmlns:c15="http://schemas.microsoft.com/office/drawing/2012/chart" uri="{CE6537A1-D6FC-4f65-9D91-7224C49458BB}">
                <c15:showLeaderLines val="0"/>
              </c:ext>
            </c:extLst>
          </c:dLbls>
          <c:cat>
            <c:strRef>
              <c:f>Диаграмма!$C$8:$C$12</c:f>
              <c:strCache>
                <c:ptCount val="5"/>
                <c:pt idx="0">
                  <c:v>Объекты в рамках национальных проектов</c:v>
                </c:pt>
                <c:pt idx="1">
                  <c:v>Объекты в рамках ФЦП "Развитие Республики Карелия на период до 2020 года"</c:v>
                </c:pt>
                <c:pt idx="2">
                  <c:v>Разработка проектной документации</c:v>
                </c:pt>
                <c:pt idx="3">
                  <c:v>Объекты  дорожного хозяйства </c:v>
                </c:pt>
                <c:pt idx="4">
                  <c:v>Прочие объекты</c:v>
                </c:pt>
              </c:strCache>
            </c:strRef>
          </c:cat>
          <c:val>
            <c:numRef>
              <c:f>Диаграмма!$E$8:$E$12</c:f>
              <c:numCache>
                <c:formatCode>#,##0.0</c:formatCode>
                <c:ptCount val="5"/>
                <c:pt idx="0">
                  <c:v>3094.6</c:v>
                </c:pt>
                <c:pt idx="1">
                  <c:v>3627.8</c:v>
                </c:pt>
                <c:pt idx="2">
                  <c:v>777.1</c:v>
                </c:pt>
                <c:pt idx="3">
                  <c:v>723.5</c:v>
                </c:pt>
                <c:pt idx="4">
                  <c:v>0</c:v>
                </c:pt>
              </c:numCache>
            </c:numRef>
          </c:val>
          <c:extLst xmlns:c16r2="http://schemas.microsoft.com/office/drawing/2015/06/chart">
            <c:ext xmlns:c16="http://schemas.microsoft.com/office/drawing/2014/chart" uri="{C3380CC4-5D6E-409C-BE32-E72D297353CC}">
              <c16:uniqueId val="{00000001-0788-4E76-AF63-DEC8BBCCA206}"/>
            </c:ext>
          </c:extLst>
        </c:ser>
        <c:ser>
          <c:idx val="2"/>
          <c:order val="2"/>
          <c:tx>
            <c:strRef>
              <c:f>Диаграмма!$F$7</c:f>
              <c:strCache>
                <c:ptCount val="1"/>
                <c:pt idx="0">
                  <c:v>Исполнено</c:v>
                </c:pt>
              </c:strCache>
            </c:strRef>
          </c:tx>
          <c:cat>
            <c:strRef>
              <c:f>Диаграмма!$C$8:$C$12</c:f>
              <c:strCache>
                <c:ptCount val="5"/>
                <c:pt idx="0">
                  <c:v>Объекты в рамках национальных проектов</c:v>
                </c:pt>
                <c:pt idx="1">
                  <c:v>Объекты в рамках ФЦП "Развитие Республики Карелия на период до 2020 года"</c:v>
                </c:pt>
                <c:pt idx="2">
                  <c:v>Разработка проектной документации</c:v>
                </c:pt>
                <c:pt idx="3">
                  <c:v>Объекты  дорожного хозяйства </c:v>
                </c:pt>
                <c:pt idx="4">
                  <c:v>Прочие объекты</c:v>
                </c:pt>
              </c:strCache>
            </c:strRef>
          </c:cat>
          <c:val>
            <c:numRef>
              <c:f>Диаграмма!$F$8:$F$12</c:f>
            </c:numRef>
          </c:val>
          <c:extLst xmlns:c16r2="http://schemas.microsoft.com/office/drawing/2015/06/chart">
            <c:ext xmlns:c16="http://schemas.microsoft.com/office/drawing/2014/chart" uri="{C3380CC4-5D6E-409C-BE32-E72D297353CC}">
              <c16:uniqueId val="{00000002-0788-4E76-AF63-DEC8BBCCA206}"/>
            </c:ext>
          </c:extLst>
        </c:ser>
        <c:ser>
          <c:idx val="3"/>
          <c:order val="3"/>
          <c:tx>
            <c:strRef>
              <c:f>Диаграмма!$G$7</c:f>
              <c:strCache>
                <c:ptCount val="1"/>
                <c:pt idx="0">
                  <c:v>Исполнено</c:v>
                </c:pt>
              </c:strCache>
            </c:strRef>
          </c:tx>
          <c:cat>
            <c:strRef>
              <c:f>Диаграмма!$C$8:$C$12</c:f>
              <c:strCache>
                <c:ptCount val="5"/>
                <c:pt idx="0">
                  <c:v>Объекты в рамках национальных проектов</c:v>
                </c:pt>
                <c:pt idx="1">
                  <c:v>Объекты в рамках ФЦП "Развитие Республики Карелия на период до 2020 года"</c:v>
                </c:pt>
                <c:pt idx="2">
                  <c:v>Разработка проектной документации</c:v>
                </c:pt>
                <c:pt idx="3">
                  <c:v>Объекты  дорожного хозяйства </c:v>
                </c:pt>
                <c:pt idx="4">
                  <c:v>Прочие объекты</c:v>
                </c:pt>
              </c:strCache>
            </c:strRef>
          </c:cat>
          <c:val>
            <c:numRef>
              <c:f>Диаграмма!$G$8:$G$12</c:f>
              <c:numCache>
                <c:formatCode>#,##0.0</c:formatCode>
                <c:ptCount val="5"/>
                <c:pt idx="0">
                  <c:v>11.6</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0788-4E76-AF63-DEC8BBCCA206}"/>
            </c:ext>
          </c:extLst>
        </c:ser>
        <c:shape val="cylinder"/>
        <c:axId val="117350400"/>
        <c:axId val="117351936"/>
        <c:axId val="0"/>
      </c:bar3DChart>
      <c:catAx>
        <c:axId val="117350400"/>
        <c:scaling>
          <c:orientation val="minMax"/>
        </c:scaling>
        <c:axPos val="b"/>
        <c:numFmt formatCode="General" sourceLinked="1"/>
        <c:tickLblPos val="low"/>
        <c:txPr>
          <a:bodyPr rot="-2880000" vert="horz"/>
          <a:lstStyle/>
          <a:p>
            <a:pPr>
              <a:defRPr sz="1000" b="0" i="0" u="none" strike="noStrike" baseline="0">
                <a:solidFill>
                  <a:srgbClr val="000000"/>
                </a:solidFill>
                <a:latin typeface="Calibri"/>
                <a:ea typeface="Calibri"/>
                <a:cs typeface="Calibri"/>
              </a:defRPr>
            </a:pPr>
            <a:endParaRPr lang="ru-RU"/>
          </a:p>
        </c:txPr>
        <c:crossAx val="117351936"/>
        <c:crosses val="autoZero"/>
        <c:auto val="1"/>
        <c:lblAlgn val="ctr"/>
        <c:lblOffset val="100"/>
      </c:catAx>
      <c:valAx>
        <c:axId val="117351936"/>
        <c:scaling>
          <c:orientation val="minMax"/>
        </c:scaling>
        <c:axPos val="l"/>
        <c:majorGridlines/>
        <c:numFmt formatCode="#,##0.0" sourceLinked="1"/>
        <c:tickLblPos val="nextTo"/>
        <c:txPr>
          <a:bodyPr rot="0" vert="horz"/>
          <a:lstStyle/>
          <a:p>
            <a:pPr>
              <a:defRPr sz="1000" b="0" i="0" u="none" strike="noStrike" baseline="0">
                <a:solidFill>
                  <a:srgbClr val="000000"/>
                </a:solidFill>
                <a:latin typeface="Calibri"/>
                <a:ea typeface="Calibri"/>
                <a:cs typeface="Calibri"/>
              </a:defRPr>
            </a:pPr>
            <a:endParaRPr lang="ru-RU"/>
          </a:p>
        </c:txPr>
        <c:crossAx val="117350400"/>
        <c:crosses val="autoZero"/>
        <c:crossBetween val="between"/>
      </c:valAx>
      <c:spPr>
        <a:noFill/>
        <a:ln w="25400">
          <a:noFill/>
        </a:ln>
      </c:spPr>
    </c:plotArea>
    <c:legend>
      <c:legendPos val="r"/>
      <c:layout>
        <c:manualLayout>
          <c:xMode val="edge"/>
          <c:yMode val="edge"/>
          <c:wMode val="edge"/>
          <c:hMode val="edge"/>
          <c:x val="0.64374742306411636"/>
          <c:y val="8.5198134898716693E-2"/>
          <c:w val="0.96066862788884455"/>
          <c:h val="0.15975525897761991"/>
        </c:manualLayout>
      </c:layout>
      <c:txPr>
        <a:bodyPr/>
        <a:lstStyle/>
        <a:p>
          <a:pPr>
            <a:defRPr sz="460" b="0" i="0" u="none" strike="noStrike" baseline="0">
              <a:solidFill>
                <a:srgbClr val="000000"/>
              </a:solidFill>
              <a:latin typeface="Calibri"/>
              <a:ea typeface="Calibri"/>
              <a:cs typeface="Calibri"/>
            </a:defRPr>
          </a:pPr>
          <a:endParaRPr lang="ru-RU"/>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688" l="0.70000000000000062" r="0.70000000000000062" t="0.7500000000000068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533400</xdr:colOff>
      <xdr:row>4</xdr:row>
      <xdr:rowOff>304800</xdr:rowOff>
    </xdr:from>
    <xdr:to>
      <xdr:col>21</xdr:col>
      <xdr:colOff>333375</xdr:colOff>
      <xdr:row>22</xdr:row>
      <xdr:rowOff>0</xdr:rowOff>
    </xdr:to>
    <xdr:graphicFrame macro="">
      <xdr:nvGraphicFramePr>
        <xdr:cNvPr id="3552" name="Диаграмма 7">
          <a:extLst>
            <a:ext uri="{FF2B5EF4-FFF2-40B4-BE49-F238E27FC236}">
              <a16:creationId xmlns="" xmlns:a16="http://schemas.microsoft.com/office/drawing/2014/main" id="{00000000-0008-0000-2300-0000E0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3;&#1103;%20&#1086;&#1073;&#1084;&#1077;&#1085;&#1072;%20&#1076;&#1086;&#1082;&#1091;&#1084;&#1077;&#1085;&#1090;&#1072;&#1084;&#1080;/planerka/2020/2020.03.05/&#1089;&#1087;&#1088;&#1072;&#1074;&#1082;&#1072;%20&#1040;&#1048;&#1055;%20&#1085;&#1072;%2005.03.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январь-декабрь"/>
      <sheetName val="январь-декабрь 2011 "/>
      <sheetName val="2012 год"/>
      <sheetName val="2012 г. согл.расп"/>
      <sheetName val="Прил 3"/>
      <sheetName val="Прил 4"/>
      <sheetName val="Прил 3 изм 2015 (3)"/>
      <sheetName val="Прил 4 изм 2015 (2)"/>
      <sheetName val="Прил 3 изм 2015 (4)"/>
      <sheetName val="старая форма"/>
      <sheetName val="16,16А"/>
      <sheetName val="16А-кратко (3)"/>
      <sheetName val="16А-кратко 1"/>
      <sheetName val="лимиты"/>
      <sheetName val="16А-кратко с ЛБО"/>
      <sheetName val="Лист2"/>
      <sheetName val="Лист1"/>
      <sheetName val="2019"/>
      <sheetName val="Справка"/>
      <sheetName val="Справка (2)"/>
      <sheetName val="Справка (к планерке)"/>
      <sheetName val="вода"/>
      <sheetName val="Справка (к планерке) (2)"/>
      <sheetName val="Справка (к планерке) (3)"/>
      <sheetName val="Справка (к планерке) (4)"/>
      <sheetName val="Справка (к планерке) (5)"/>
      <sheetName val="НП"/>
      <sheetName val="доу школы"/>
      <sheetName val="газ, котельные"/>
      <sheetName val="для Кристы КБК"/>
      <sheetName val="2019 (4)"/>
      <sheetName val="2019 (3)"/>
      <sheetName val="только школы"/>
      <sheetName val="справка АИП"/>
      <sheetName val="справка АИП (2)"/>
      <sheetName val="Диаграмма"/>
      <sheetName val="справка АИП для поправок"/>
      <sheetName val="справка АИП (3)"/>
      <sheetName val="справка АИП (4)"/>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4">
          <cell r="F84">
            <v>5553.2</v>
          </cell>
          <cell r="I84">
            <v>5553.2</v>
          </cell>
        </row>
        <row r="87">
          <cell r="F87">
            <v>8870</v>
          </cell>
          <cell r="I87">
            <v>8870</v>
          </cell>
        </row>
        <row r="90">
          <cell r="F90">
            <v>2745.5</v>
          </cell>
          <cell r="I90">
            <v>2745.5</v>
          </cell>
        </row>
        <row r="96">
          <cell r="F96">
            <v>35698.6</v>
          </cell>
          <cell r="I96">
            <v>35698.6</v>
          </cell>
        </row>
        <row r="99">
          <cell r="F99">
            <v>2446</v>
          </cell>
          <cell r="I99">
            <v>2446</v>
          </cell>
        </row>
        <row r="152">
          <cell r="F152">
            <v>3988.8</v>
          </cell>
          <cell r="H152">
            <v>0</v>
          </cell>
          <cell r="I152">
            <v>3988.8</v>
          </cell>
        </row>
        <row r="167">
          <cell r="F167">
            <v>31736.799999999999</v>
          </cell>
          <cell r="H167">
            <v>0</v>
          </cell>
          <cell r="I167">
            <v>31736.799999999999</v>
          </cell>
        </row>
        <row r="172">
          <cell r="F172">
            <v>35340.699999999997</v>
          </cell>
          <cell r="H172">
            <v>0</v>
          </cell>
          <cell r="I172">
            <v>35340.699999999997</v>
          </cell>
        </row>
        <row r="181">
          <cell r="F181">
            <v>9985.9</v>
          </cell>
          <cell r="H181">
            <v>0</v>
          </cell>
          <cell r="I181">
            <v>9985.9</v>
          </cell>
        </row>
        <row r="184">
          <cell r="F184">
            <v>6252.2</v>
          </cell>
          <cell r="H184">
            <v>0</v>
          </cell>
          <cell r="I184">
            <v>6252.2</v>
          </cell>
        </row>
        <row r="187">
          <cell r="F187">
            <v>304.89999999999998</v>
          </cell>
          <cell r="H187">
            <v>0</v>
          </cell>
          <cell r="I187">
            <v>304.89999999999998</v>
          </cell>
        </row>
      </sheetData>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F1965"/>
  <sheetViews>
    <sheetView topLeftCell="A66" zoomScaleSheetLayoutView="100" workbookViewId="0">
      <selection activeCell="A74" sqref="A74:IV75"/>
    </sheetView>
  </sheetViews>
  <sheetFormatPr defaultColWidth="9.140625" defaultRowHeight="12.75"/>
  <cols>
    <col min="1" max="1" width="4.85546875" style="79" customWidth="1"/>
    <col min="2" max="2" width="80" style="79" customWidth="1"/>
    <col min="3" max="3" width="13.140625" style="79" customWidth="1"/>
    <col min="4" max="4" width="1.7109375" style="79" hidden="1" customWidth="1"/>
    <col min="5" max="5" width="13.5703125" style="79" customWidth="1"/>
    <col min="6" max="6" width="10.42578125" style="79" customWidth="1"/>
    <col min="7" max="16384" width="9.140625" style="79"/>
  </cols>
  <sheetData>
    <row r="1" spans="1:6" hidden="1">
      <c r="A1" s="2278" t="s">
        <v>78</v>
      </c>
      <c r="B1" s="2278"/>
      <c r="C1" s="2278"/>
      <c r="D1" s="2278"/>
      <c r="E1" s="2278"/>
      <c r="F1" s="2278"/>
    </row>
    <row r="2" spans="1:6" ht="15.75" customHeight="1">
      <c r="A2" s="17"/>
      <c r="B2" s="17"/>
      <c r="C2" s="17"/>
      <c r="D2" s="17"/>
      <c r="E2" s="17"/>
      <c r="F2" s="17"/>
    </row>
    <row r="3" spans="1:6" ht="15" customHeight="1">
      <c r="A3" s="17"/>
      <c r="B3" s="17"/>
      <c r="C3" s="2278" t="s">
        <v>136</v>
      </c>
      <c r="D3" s="2278"/>
      <c r="E3" s="2278"/>
      <c r="F3" s="2278"/>
    </row>
    <row r="4" spans="1:6" ht="19.5" customHeight="1">
      <c r="A4" s="2279" t="s">
        <v>5</v>
      </c>
      <c r="B4" s="2279"/>
      <c r="C4" s="2279"/>
      <c r="D4" s="2279"/>
      <c r="E4" s="2279"/>
      <c r="F4" s="2279"/>
    </row>
    <row r="5" spans="1:6" ht="15.75" customHeight="1">
      <c r="A5" s="2280" t="s">
        <v>28</v>
      </c>
      <c r="B5" s="2280"/>
      <c r="C5" s="2280"/>
      <c r="D5" s="2280"/>
      <c r="E5" s="2280"/>
      <c r="F5" s="2280"/>
    </row>
    <row r="6" spans="1:6" ht="15.75">
      <c r="A6" s="2280" t="s">
        <v>137</v>
      </c>
      <c r="B6" s="2280"/>
      <c r="C6" s="2280"/>
      <c r="D6" s="2280"/>
      <c r="E6" s="2280"/>
      <c r="F6" s="2280"/>
    </row>
    <row r="7" spans="1:6" ht="14.25" customHeight="1">
      <c r="A7" s="7"/>
      <c r="B7" s="7"/>
      <c r="C7" s="7"/>
      <c r="D7" s="7"/>
      <c r="E7" s="7"/>
      <c r="F7" s="8" t="s">
        <v>7</v>
      </c>
    </row>
    <row r="8" spans="1:6" ht="24.75" customHeight="1">
      <c r="A8" s="2281" t="s">
        <v>18</v>
      </c>
      <c r="B8" s="2282" t="s">
        <v>0</v>
      </c>
      <c r="C8" s="2283" t="s">
        <v>138</v>
      </c>
      <c r="D8" s="6" t="s">
        <v>1</v>
      </c>
      <c r="E8" s="2275" t="s">
        <v>8</v>
      </c>
      <c r="F8" s="2275" t="s">
        <v>11</v>
      </c>
    </row>
    <row r="9" spans="1:6" ht="78.75" customHeight="1">
      <c r="A9" s="2281"/>
      <c r="B9" s="2282"/>
      <c r="C9" s="2283"/>
      <c r="D9" s="6" t="s">
        <v>9</v>
      </c>
      <c r="E9" s="2275"/>
      <c r="F9" s="2276"/>
    </row>
    <row r="10" spans="1:6">
      <c r="A10" s="30">
        <v>1</v>
      </c>
      <c r="B10" s="30">
        <v>2</v>
      </c>
      <c r="C10" s="9" t="s">
        <v>19</v>
      </c>
      <c r="D10" s="9"/>
      <c r="E10" s="9" t="s">
        <v>20</v>
      </c>
      <c r="F10" s="30">
        <v>5</v>
      </c>
    </row>
    <row r="11" spans="1:6" s="80" customFormat="1" ht="19.5" customHeight="1">
      <c r="A11" s="64"/>
      <c r="B11" s="65" t="s">
        <v>10</v>
      </c>
      <c r="C11" s="66">
        <f>C15+C76+C99+C108</f>
        <v>1363484</v>
      </c>
      <c r="D11" s="66">
        <f>D15+D76+D99+D108</f>
        <v>0</v>
      </c>
      <c r="E11" s="66">
        <f>E15+E76+E99+E108</f>
        <v>1048891.5</v>
      </c>
      <c r="F11" s="67">
        <f>E11/C11*100</f>
        <v>76.900000000000006</v>
      </c>
    </row>
    <row r="12" spans="1:6" ht="15.75">
      <c r="A12" s="22"/>
      <c r="B12" s="11" t="s">
        <v>1</v>
      </c>
      <c r="C12" s="23"/>
      <c r="D12" s="23"/>
      <c r="E12" s="23"/>
      <c r="F12" s="24"/>
    </row>
    <row r="13" spans="1:6" ht="18" customHeight="1">
      <c r="A13" s="54"/>
      <c r="B13" s="58" t="s">
        <v>33</v>
      </c>
      <c r="C13" s="53">
        <f>C18+C79+C54+C66+C101</f>
        <v>590789.80000000005</v>
      </c>
      <c r="D13" s="53">
        <f>D18+D79+D54+D66+D101</f>
        <v>0</v>
      </c>
      <c r="E13" s="53">
        <f>E18+E79+E54+E66+E101</f>
        <v>303912.09999999998</v>
      </c>
      <c r="F13" s="52">
        <f>E13/C13*100</f>
        <v>51.4</v>
      </c>
    </row>
    <row r="14" spans="1:6" ht="16.5" customHeight="1">
      <c r="A14" s="22"/>
      <c r="B14" s="59" t="s">
        <v>34</v>
      </c>
      <c r="C14" s="53">
        <f>C11-C13</f>
        <v>772694.2</v>
      </c>
      <c r="D14" s="53" t="e">
        <f>#REF!+#REF!+#REF!+#REF!+#REF!+#REF!+#REF!+#REF!+#REF!+#REF!+#REF!++#REF!+#REF!+#REF!+#REF!+#REF!+#REF!</f>
        <v>#REF!</v>
      </c>
      <c r="E14" s="53">
        <f>E11-E13</f>
        <v>744979.4</v>
      </c>
      <c r="F14" s="52">
        <f>E14/C14*100</f>
        <v>96.4</v>
      </c>
    </row>
    <row r="15" spans="1:6" ht="45.75" customHeight="1">
      <c r="A15" s="44" t="s">
        <v>6</v>
      </c>
      <c r="B15" s="31" t="s">
        <v>15</v>
      </c>
      <c r="C15" s="32">
        <f>C16+C38</f>
        <v>606597.6</v>
      </c>
      <c r="D15" s="32">
        <f>D16+D38</f>
        <v>0</v>
      </c>
      <c r="E15" s="32">
        <f>E16+E38</f>
        <v>506542.6</v>
      </c>
      <c r="F15" s="33">
        <f>E15/C15*100</f>
        <v>83.5</v>
      </c>
    </row>
    <row r="16" spans="1:6" s="1" customFormat="1" ht="15.75" customHeight="1">
      <c r="A16" s="4" t="s">
        <v>30</v>
      </c>
      <c r="B16" s="18" t="s">
        <v>41</v>
      </c>
      <c r="C16" s="23">
        <f>C20</f>
        <v>293764.90000000002</v>
      </c>
      <c r="D16" s="23">
        <f>D20</f>
        <v>0</v>
      </c>
      <c r="E16" s="23">
        <f>E20</f>
        <v>193786.9</v>
      </c>
      <c r="F16" s="24">
        <f>E16/C16*100</f>
        <v>66</v>
      </c>
    </row>
    <row r="17" spans="1:6" s="1" customFormat="1" ht="15.75">
      <c r="A17" s="4"/>
      <c r="B17" s="11" t="s">
        <v>1</v>
      </c>
      <c r="C17" s="23"/>
      <c r="D17" s="23"/>
      <c r="E17" s="23"/>
      <c r="F17" s="24"/>
    </row>
    <row r="18" spans="1:6" s="1" customFormat="1" ht="15.75">
      <c r="A18" s="4"/>
      <c r="B18" s="58" t="s">
        <v>33</v>
      </c>
      <c r="C18" s="53">
        <f>C24+C32+C36</f>
        <v>241453</v>
      </c>
      <c r="D18" s="53">
        <f>D24+D28</f>
        <v>0</v>
      </c>
      <c r="E18" s="53">
        <f>E24+E32+E36</f>
        <v>141475.29999999999</v>
      </c>
      <c r="F18" s="52">
        <f>E18/C18*100</f>
        <v>58.6</v>
      </c>
    </row>
    <row r="19" spans="1:6" s="1" customFormat="1" ht="15.75">
      <c r="A19" s="4"/>
      <c r="B19" s="59" t="s">
        <v>34</v>
      </c>
      <c r="C19" s="53">
        <f>C16-C18</f>
        <v>52311.9</v>
      </c>
      <c r="D19" s="53"/>
      <c r="E19" s="53">
        <f>E16-E18</f>
        <v>52311.6</v>
      </c>
      <c r="F19" s="52">
        <f>E19/C19*100</f>
        <v>100</v>
      </c>
    </row>
    <row r="20" spans="1:6" s="1" customFormat="1" ht="32.25" customHeight="1">
      <c r="A20" s="38"/>
      <c r="B20" s="12" t="s">
        <v>61</v>
      </c>
      <c r="C20" s="23">
        <f>C21+C30+C34</f>
        <v>293764.90000000002</v>
      </c>
      <c r="D20" s="23">
        <f>D21+D30+D34</f>
        <v>0</v>
      </c>
      <c r="E20" s="23">
        <f>E21+E30+E34</f>
        <v>193786.9</v>
      </c>
      <c r="F20" s="24">
        <f>E20/C20*100</f>
        <v>66</v>
      </c>
    </row>
    <row r="21" spans="1:6" s="1" customFormat="1" ht="15.75">
      <c r="A21" s="4"/>
      <c r="B21" s="18" t="s">
        <v>22</v>
      </c>
      <c r="C21" s="23">
        <f>C22</f>
        <v>113850</v>
      </c>
      <c r="D21" s="23">
        <f>D22</f>
        <v>0</v>
      </c>
      <c r="E21" s="23">
        <f>E22</f>
        <v>113850</v>
      </c>
      <c r="F21" s="24">
        <f>E21/C21*100</f>
        <v>100</v>
      </c>
    </row>
    <row r="22" spans="1:6" s="1" customFormat="1" ht="32.25" customHeight="1">
      <c r="A22" s="20" t="s">
        <v>50</v>
      </c>
      <c r="B22" s="19" t="s">
        <v>32</v>
      </c>
      <c r="C22" s="41">
        <f>SUM(C24:C25)</f>
        <v>113850</v>
      </c>
      <c r="D22" s="41">
        <f>SUM(D24:D25)</f>
        <v>0</v>
      </c>
      <c r="E22" s="41">
        <f>SUM(E24:E25)</f>
        <v>113850</v>
      </c>
      <c r="F22" s="29">
        <f>E22/C22*100</f>
        <v>100</v>
      </c>
    </row>
    <row r="23" spans="1:6" s="1" customFormat="1" ht="15.75">
      <c r="A23" s="4"/>
      <c r="B23" s="57" t="s">
        <v>1</v>
      </c>
      <c r="C23" s="28"/>
      <c r="D23" s="28"/>
      <c r="E23" s="28"/>
      <c r="F23" s="29"/>
    </row>
    <row r="24" spans="1:6" s="1" customFormat="1" ht="15.75">
      <c r="A24" s="51"/>
      <c r="B24" s="48" t="s">
        <v>33</v>
      </c>
      <c r="C24" s="49">
        <v>87920</v>
      </c>
      <c r="D24" s="49"/>
      <c r="E24" s="49">
        <v>87920</v>
      </c>
      <c r="F24" s="43">
        <f>E24/C24*100</f>
        <v>100</v>
      </c>
    </row>
    <row r="25" spans="1:6" s="1" customFormat="1" ht="15.75">
      <c r="A25" s="51"/>
      <c r="B25" s="50" t="s">
        <v>34</v>
      </c>
      <c r="C25" s="49">
        <v>25930</v>
      </c>
      <c r="D25" s="42"/>
      <c r="E25" s="42">
        <v>25930</v>
      </c>
      <c r="F25" s="43">
        <f>E25/C25*100</f>
        <v>100</v>
      </c>
    </row>
    <row r="26" spans="1:6" s="1" customFormat="1" ht="28.5" hidden="1">
      <c r="A26" s="6" t="s">
        <v>35</v>
      </c>
      <c r="B26" s="2" t="s">
        <v>21</v>
      </c>
      <c r="C26" s="23">
        <f>C28+C29</f>
        <v>0</v>
      </c>
      <c r="D26" s="23"/>
      <c r="E26" s="23">
        <f>E28+E29</f>
        <v>0</v>
      </c>
      <c r="F26" s="24" t="e">
        <f>E26/C26*100</f>
        <v>#DIV/0!</v>
      </c>
    </row>
    <row r="27" spans="1:6" s="1" customFormat="1" ht="15.75" hidden="1">
      <c r="A27" s="6"/>
      <c r="B27" s="57" t="s">
        <v>1</v>
      </c>
      <c r="C27" s="23"/>
      <c r="D27" s="23"/>
      <c r="E27" s="23"/>
      <c r="F27" s="24"/>
    </row>
    <row r="28" spans="1:6" s="1" customFormat="1" ht="30" hidden="1" customHeight="1">
      <c r="A28" s="36"/>
      <c r="B28" s="48" t="s">
        <v>36</v>
      </c>
      <c r="C28" s="49">
        <v>0</v>
      </c>
      <c r="D28" s="49"/>
      <c r="E28" s="49">
        <v>0</v>
      </c>
      <c r="F28" s="43"/>
    </row>
    <row r="29" spans="1:6" s="1" customFormat="1" ht="15.75" hidden="1">
      <c r="A29" s="36"/>
      <c r="B29" s="50" t="s">
        <v>34</v>
      </c>
      <c r="C29" s="49">
        <v>0</v>
      </c>
      <c r="D29" s="49"/>
      <c r="E29" s="49">
        <v>0</v>
      </c>
      <c r="F29" s="43"/>
    </row>
    <row r="30" spans="1:6" s="1" customFormat="1" ht="28.5">
      <c r="A30" s="6" t="s">
        <v>4</v>
      </c>
      <c r="B30" s="71" t="s">
        <v>21</v>
      </c>
      <c r="C30" s="41">
        <f>SUM(C32:C33)</f>
        <v>151010</v>
      </c>
      <c r="D30" s="41">
        <f>SUM(D32:D33)</f>
        <v>0</v>
      </c>
      <c r="E30" s="41">
        <f>SUM(E32:E33)</f>
        <v>59941</v>
      </c>
      <c r="F30" s="24">
        <f>E30/C30*100</f>
        <v>39.700000000000003</v>
      </c>
    </row>
    <row r="31" spans="1:6" s="1" customFormat="1" ht="15.75">
      <c r="A31" s="5"/>
      <c r="B31" s="57" t="s">
        <v>1</v>
      </c>
      <c r="C31" s="41"/>
      <c r="D31" s="41"/>
      <c r="E31" s="41"/>
      <c r="F31" s="24"/>
    </row>
    <row r="32" spans="1:6" s="1" customFormat="1" ht="30">
      <c r="A32" s="6"/>
      <c r="B32" s="48" t="s">
        <v>36</v>
      </c>
      <c r="C32" s="28">
        <v>130098</v>
      </c>
      <c r="D32" s="42"/>
      <c r="E32" s="27">
        <v>39029.300000000003</v>
      </c>
      <c r="F32" s="29">
        <f>E32/C32*100</f>
        <v>30</v>
      </c>
    </row>
    <row r="33" spans="1:6" s="1" customFormat="1" ht="15.75">
      <c r="A33" s="6"/>
      <c r="B33" s="50" t="s">
        <v>34</v>
      </c>
      <c r="C33" s="28">
        <v>20912</v>
      </c>
      <c r="D33" s="42"/>
      <c r="E33" s="27">
        <v>20911.7</v>
      </c>
      <c r="F33" s="29">
        <f>E33/C33*100</f>
        <v>100</v>
      </c>
    </row>
    <row r="34" spans="1:6" s="1" customFormat="1" ht="30.75" customHeight="1">
      <c r="A34" s="6" t="s">
        <v>35</v>
      </c>
      <c r="B34" s="71" t="s">
        <v>87</v>
      </c>
      <c r="C34" s="41">
        <f>SUM(C36:C37)</f>
        <v>28904.9</v>
      </c>
      <c r="D34" s="41">
        <f>SUM(D36:D37)</f>
        <v>0</v>
      </c>
      <c r="E34" s="41">
        <f>SUM(E36:E37)</f>
        <v>19995.900000000001</v>
      </c>
      <c r="F34" s="24">
        <f>E34/C34*100</f>
        <v>69.2</v>
      </c>
    </row>
    <row r="35" spans="1:6" s="1" customFormat="1" ht="15.75">
      <c r="A35" s="5"/>
      <c r="B35" s="57" t="s">
        <v>1</v>
      </c>
      <c r="C35" s="28"/>
      <c r="D35" s="42"/>
      <c r="E35" s="27"/>
      <c r="F35" s="29"/>
    </row>
    <row r="36" spans="1:6" s="1" customFormat="1" ht="30">
      <c r="A36" s="6"/>
      <c r="B36" s="48" t="s">
        <v>36</v>
      </c>
      <c r="C36" s="28">
        <v>23435</v>
      </c>
      <c r="D36" s="42"/>
      <c r="E36" s="27">
        <v>14526</v>
      </c>
      <c r="F36" s="29">
        <f t="shared" ref="F36:F46" si="0">E36/C36*100</f>
        <v>62</v>
      </c>
    </row>
    <row r="37" spans="1:6" s="1" customFormat="1" ht="15.75">
      <c r="A37" s="6"/>
      <c r="B37" s="50" t="s">
        <v>34</v>
      </c>
      <c r="C37" s="28">
        <v>5469.9</v>
      </c>
      <c r="D37" s="42"/>
      <c r="E37" s="27">
        <v>5469.9</v>
      </c>
      <c r="F37" s="29">
        <f t="shared" si="0"/>
        <v>100</v>
      </c>
    </row>
    <row r="38" spans="1:6" s="1" customFormat="1" ht="32.25" customHeight="1">
      <c r="A38" s="4" t="s">
        <v>31</v>
      </c>
      <c r="B38" s="18" t="s">
        <v>39</v>
      </c>
      <c r="C38" s="23">
        <f>C39</f>
        <v>312832.7</v>
      </c>
      <c r="D38" s="23">
        <f>D39</f>
        <v>0</v>
      </c>
      <c r="E38" s="23">
        <f>E39</f>
        <v>312755.7</v>
      </c>
      <c r="F38" s="24">
        <f t="shared" si="0"/>
        <v>100</v>
      </c>
    </row>
    <row r="39" spans="1:6" s="1" customFormat="1" ht="32.25" customHeight="1">
      <c r="A39" s="38"/>
      <c r="B39" s="12" t="s">
        <v>61</v>
      </c>
      <c r="C39" s="23">
        <f>SUM(C40,C47,C51,C53,C74,C65)</f>
        <v>312832.7</v>
      </c>
      <c r="D39" s="23">
        <f>SUM(D40,D47,D51,D53,D74,D65)</f>
        <v>0</v>
      </c>
      <c r="E39" s="23">
        <f>SUM(E40,E47,E51,E53,E74,E65)</f>
        <v>312755.7</v>
      </c>
      <c r="F39" s="24">
        <f t="shared" si="0"/>
        <v>100</v>
      </c>
    </row>
    <row r="40" spans="1:6" s="1" customFormat="1" ht="15.75">
      <c r="A40" s="4"/>
      <c r="B40" s="18" t="s">
        <v>22</v>
      </c>
      <c r="C40" s="23">
        <f>SUM(C41:C46)</f>
        <v>75240</v>
      </c>
      <c r="D40" s="23">
        <f>SUM(D41:D46)</f>
        <v>0</v>
      </c>
      <c r="E40" s="23">
        <f>SUM(E41:E46)</f>
        <v>75240</v>
      </c>
      <c r="F40" s="24">
        <f t="shared" si="0"/>
        <v>100</v>
      </c>
    </row>
    <row r="41" spans="1:6" s="1" customFormat="1" ht="18" customHeight="1">
      <c r="A41" s="20">
        <v>1</v>
      </c>
      <c r="B41" s="19" t="s">
        <v>44</v>
      </c>
      <c r="C41" s="28">
        <v>14250</v>
      </c>
      <c r="D41" s="27"/>
      <c r="E41" s="27">
        <v>14250</v>
      </c>
      <c r="F41" s="29">
        <f t="shared" si="0"/>
        <v>100</v>
      </c>
    </row>
    <row r="42" spans="1:6" s="1" customFormat="1" ht="15.75">
      <c r="A42" s="20" t="s">
        <v>91</v>
      </c>
      <c r="B42" s="19" t="s">
        <v>63</v>
      </c>
      <c r="C42" s="81">
        <v>44385</v>
      </c>
      <c r="D42" s="82"/>
      <c r="E42" s="82">
        <v>44385</v>
      </c>
      <c r="F42" s="29">
        <f t="shared" si="0"/>
        <v>100</v>
      </c>
    </row>
    <row r="43" spans="1:6" s="1" customFormat="1" ht="31.5" customHeight="1">
      <c r="A43" s="20">
        <v>3</v>
      </c>
      <c r="B43" s="60" t="s">
        <v>45</v>
      </c>
      <c r="C43" s="28">
        <v>3600</v>
      </c>
      <c r="D43" s="41"/>
      <c r="E43" s="27">
        <v>3600</v>
      </c>
      <c r="F43" s="29">
        <f t="shared" si="0"/>
        <v>100</v>
      </c>
    </row>
    <row r="44" spans="1:6" s="1" customFormat="1" ht="31.5" customHeight="1">
      <c r="A44" s="20" t="s">
        <v>92</v>
      </c>
      <c r="B44" s="19" t="s">
        <v>51</v>
      </c>
      <c r="C44" s="28">
        <v>9396</v>
      </c>
      <c r="D44" s="41"/>
      <c r="E44" s="27">
        <v>9396</v>
      </c>
      <c r="F44" s="29">
        <f t="shared" si="0"/>
        <v>100</v>
      </c>
    </row>
    <row r="45" spans="1:6" s="1" customFormat="1" ht="45">
      <c r="A45" s="20">
        <v>5</v>
      </c>
      <c r="B45" s="19" t="s">
        <v>64</v>
      </c>
      <c r="C45" s="28">
        <v>609</v>
      </c>
      <c r="D45" s="41"/>
      <c r="E45" s="27">
        <v>609</v>
      </c>
      <c r="F45" s="29">
        <f t="shared" si="0"/>
        <v>100</v>
      </c>
    </row>
    <row r="46" spans="1:6" s="1" customFormat="1" ht="30">
      <c r="A46" s="20" t="s">
        <v>93</v>
      </c>
      <c r="B46" s="19" t="s">
        <v>65</v>
      </c>
      <c r="C46" s="28">
        <v>3000</v>
      </c>
      <c r="D46" s="41"/>
      <c r="E46" s="27">
        <v>3000</v>
      </c>
      <c r="F46" s="29">
        <f t="shared" si="0"/>
        <v>100</v>
      </c>
    </row>
    <row r="47" spans="1:6" s="1" customFormat="1" ht="15.75" customHeight="1">
      <c r="A47" s="20"/>
      <c r="B47" s="61" t="s">
        <v>46</v>
      </c>
      <c r="C47" s="23">
        <f>SUM(C48:C50)</f>
        <v>19130</v>
      </c>
      <c r="D47" s="23">
        <f>SUM(D48:D50)</f>
        <v>0</v>
      </c>
      <c r="E47" s="23">
        <f>SUM(E48:E50)</f>
        <v>19130</v>
      </c>
      <c r="F47" s="24">
        <f t="shared" ref="F47:F64" si="1">E47/C47*100</f>
        <v>100</v>
      </c>
    </row>
    <row r="48" spans="1:6" s="1" customFormat="1" ht="18.75" customHeight="1">
      <c r="A48" s="20" t="s">
        <v>94</v>
      </c>
      <c r="B48" s="60" t="s">
        <v>47</v>
      </c>
      <c r="C48" s="28">
        <v>10900</v>
      </c>
      <c r="D48" s="27"/>
      <c r="E48" s="27">
        <v>10900</v>
      </c>
      <c r="F48" s="29">
        <f t="shared" si="1"/>
        <v>100</v>
      </c>
    </row>
    <row r="49" spans="1:6" s="1" customFormat="1" ht="18.75" customHeight="1">
      <c r="A49" s="20" t="s">
        <v>95</v>
      </c>
      <c r="B49" s="60" t="s">
        <v>48</v>
      </c>
      <c r="C49" s="28">
        <v>1150</v>
      </c>
      <c r="D49" s="27"/>
      <c r="E49" s="27">
        <v>1150</v>
      </c>
      <c r="F49" s="29">
        <f t="shared" si="1"/>
        <v>100</v>
      </c>
    </row>
    <row r="50" spans="1:6" s="1" customFormat="1" ht="30">
      <c r="A50" s="20" t="s">
        <v>96</v>
      </c>
      <c r="B50" s="60" t="s">
        <v>66</v>
      </c>
      <c r="C50" s="28">
        <v>7080</v>
      </c>
      <c r="D50" s="27"/>
      <c r="E50" s="27">
        <v>7080</v>
      </c>
      <c r="F50" s="29">
        <f t="shared" si="1"/>
        <v>100</v>
      </c>
    </row>
    <row r="51" spans="1:6" s="1" customFormat="1" ht="15.75">
      <c r="A51" s="5"/>
      <c r="B51" s="39" t="s">
        <v>26</v>
      </c>
      <c r="C51" s="23">
        <f>C52</f>
        <v>35000</v>
      </c>
      <c r="D51" s="23">
        <f>D52</f>
        <v>0</v>
      </c>
      <c r="E51" s="23">
        <f>E52</f>
        <v>35000</v>
      </c>
      <c r="F51" s="24">
        <f t="shared" si="1"/>
        <v>100</v>
      </c>
    </row>
    <row r="52" spans="1:6" s="1" customFormat="1" ht="15.75">
      <c r="A52" s="6" t="s">
        <v>97</v>
      </c>
      <c r="B52" s="16" t="s">
        <v>27</v>
      </c>
      <c r="C52" s="28">
        <f>40000-5000</f>
        <v>35000</v>
      </c>
      <c r="D52" s="27"/>
      <c r="E52" s="27">
        <v>35000</v>
      </c>
      <c r="F52" s="29">
        <f t="shared" si="1"/>
        <v>100</v>
      </c>
    </row>
    <row r="53" spans="1:6" s="1" customFormat="1" ht="17.25" customHeight="1">
      <c r="A53" s="3"/>
      <c r="B53" s="13" t="s">
        <v>12</v>
      </c>
      <c r="C53" s="23">
        <f>C54+C58</f>
        <v>115582.7</v>
      </c>
      <c r="D53" s="23">
        <f>D54+D58</f>
        <v>0</v>
      </c>
      <c r="E53" s="23">
        <f>E54+E58</f>
        <v>115505.7</v>
      </c>
      <c r="F53" s="24">
        <f t="shared" si="1"/>
        <v>99.9</v>
      </c>
    </row>
    <row r="54" spans="1:6" s="1" customFormat="1" ht="17.25" customHeight="1">
      <c r="A54" s="3"/>
      <c r="B54" s="13" t="s">
        <v>88</v>
      </c>
      <c r="C54" s="23">
        <f>SUM(C55:C57)</f>
        <v>35400</v>
      </c>
      <c r="D54" s="23">
        <f>SUM(D55:D57)</f>
        <v>0</v>
      </c>
      <c r="E54" s="23">
        <f>SUM(E55:E57)</f>
        <v>35400</v>
      </c>
      <c r="F54" s="24">
        <f t="shared" ref="F54:F61" si="2">E54/C54*100</f>
        <v>100</v>
      </c>
    </row>
    <row r="55" spans="1:6" s="1" customFormat="1" ht="15.75">
      <c r="A55" s="6" t="s">
        <v>98</v>
      </c>
      <c r="B55" s="14" t="s">
        <v>115</v>
      </c>
      <c r="C55" s="28">
        <v>16200</v>
      </c>
      <c r="D55" s="23"/>
      <c r="E55" s="28">
        <v>16200</v>
      </c>
      <c r="F55" s="29">
        <f t="shared" si="2"/>
        <v>100</v>
      </c>
    </row>
    <row r="56" spans="1:6" s="1" customFormat="1" ht="15.75">
      <c r="A56" s="6" t="s">
        <v>99</v>
      </c>
      <c r="B56" s="14" t="s">
        <v>116</v>
      </c>
      <c r="C56" s="28">
        <v>9600</v>
      </c>
      <c r="D56" s="23"/>
      <c r="E56" s="28">
        <v>9600</v>
      </c>
      <c r="F56" s="29">
        <f t="shared" si="2"/>
        <v>100</v>
      </c>
    </row>
    <row r="57" spans="1:6" s="1" customFormat="1" ht="15.75">
      <c r="A57" s="6" t="s">
        <v>100</v>
      </c>
      <c r="B57" s="14" t="s">
        <v>139</v>
      </c>
      <c r="C57" s="28">
        <v>9600</v>
      </c>
      <c r="D57" s="28"/>
      <c r="E57" s="28">
        <v>9600</v>
      </c>
      <c r="F57" s="29">
        <f t="shared" si="2"/>
        <v>100</v>
      </c>
    </row>
    <row r="58" spans="1:6" s="1" customFormat="1" ht="17.25" customHeight="1">
      <c r="A58" s="3"/>
      <c r="B58" s="13" t="s">
        <v>89</v>
      </c>
      <c r="C58" s="23">
        <f>SUM(C59:C64)</f>
        <v>80182.7</v>
      </c>
      <c r="D58" s="23">
        <f>SUM(D59:D64)</f>
        <v>0</v>
      </c>
      <c r="E58" s="23">
        <f>SUM(E59:E64)</f>
        <v>80105.7</v>
      </c>
      <c r="F58" s="24">
        <f t="shared" si="2"/>
        <v>99.9</v>
      </c>
    </row>
    <row r="59" spans="1:6" s="1" customFormat="1" ht="30">
      <c r="A59" s="6" t="s">
        <v>101</v>
      </c>
      <c r="B59" s="14" t="s">
        <v>49</v>
      </c>
      <c r="C59" s="28">
        <v>22282.7</v>
      </c>
      <c r="D59" s="23"/>
      <c r="E59" s="28">
        <v>22282.7</v>
      </c>
      <c r="F59" s="29">
        <f t="shared" si="2"/>
        <v>100</v>
      </c>
    </row>
    <row r="60" spans="1:6" s="1" customFormat="1" ht="30">
      <c r="A60" s="6" t="s">
        <v>102</v>
      </c>
      <c r="B60" s="14" t="s">
        <v>67</v>
      </c>
      <c r="C60" s="28">
        <v>15400</v>
      </c>
      <c r="D60" s="23"/>
      <c r="E60" s="28">
        <v>15323</v>
      </c>
      <c r="F60" s="29">
        <f t="shared" si="2"/>
        <v>99.5</v>
      </c>
    </row>
    <row r="61" spans="1:6" s="1" customFormat="1" ht="32.25" customHeight="1">
      <c r="A61" s="6" t="s">
        <v>103</v>
      </c>
      <c r="B61" s="14" t="s">
        <v>83</v>
      </c>
      <c r="C61" s="28">
        <v>18930</v>
      </c>
      <c r="D61" s="28"/>
      <c r="E61" s="28">
        <v>18930</v>
      </c>
      <c r="F61" s="29">
        <f t="shared" si="2"/>
        <v>100</v>
      </c>
    </row>
    <row r="62" spans="1:6" s="1" customFormat="1" ht="15.75">
      <c r="A62" s="6" t="s">
        <v>104</v>
      </c>
      <c r="B62" s="14" t="s">
        <v>115</v>
      </c>
      <c r="C62" s="28">
        <v>10790</v>
      </c>
      <c r="D62" s="23"/>
      <c r="E62" s="28">
        <v>10790</v>
      </c>
      <c r="F62" s="29">
        <f t="shared" si="1"/>
        <v>100</v>
      </c>
    </row>
    <row r="63" spans="1:6" s="1" customFormat="1" ht="15.75">
      <c r="A63" s="6" t="s">
        <v>105</v>
      </c>
      <c r="B63" s="14" t="s">
        <v>116</v>
      </c>
      <c r="C63" s="28">
        <v>6390</v>
      </c>
      <c r="D63" s="23"/>
      <c r="E63" s="28">
        <v>6390</v>
      </c>
      <c r="F63" s="29">
        <f t="shared" si="1"/>
        <v>100</v>
      </c>
    </row>
    <row r="64" spans="1:6" s="1" customFormat="1" ht="15.75">
      <c r="A64" s="6" t="s">
        <v>106</v>
      </c>
      <c r="B64" s="14" t="s">
        <v>139</v>
      </c>
      <c r="C64" s="28">
        <v>6390</v>
      </c>
      <c r="D64" s="28"/>
      <c r="E64" s="28">
        <v>6390</v>
      </c>
      <c r="F64" s="29">
        <f t="shared" si="1"/>
        <v>100</v>
      </c>
    </row>
    <row r="65" spans="1:6" s="1" customFormat="1" ht="17.25" customHeight="1">
      <c r="A65" s="3"/>
      <c r="B65" s="13" t="s">
        <v>90</v>
      </c>
      <c r="C65" s="23">
        <f>C66+C70</f>
        <v>65900</v>
      </c>
      <c r="D65" s="23">
        <f>D66+D70</f>
        <v>0</v>
      </c>
      <c r="E65" s="23">
        <f>E66+E70</f>
        <v>65900</v>
      </c>
      <c r="F65" s="24">
        <f t="shared" ref="F65:F73" si="3">E65/C65*100</f>
        <v>100</v>
      </c>
    </row>
    <row r="66" spans="1:6" s="1" customFormat="1" ht="17.25" customHeight="1">
      <c r="A66" s="3"/>
      <c r="B66" s="13" t="s">
        <v>88</v>
      </c>
      <c r="C66" s="23">
        <f>SUM(C67:C69)</f>
        <v>39600</v>
      </c>
      <c r="D66" s="23">
        <f>SUM(D67:D69)</f>
        <v>0</v>
      </c>
      <c r="E66" s="23">
        <f>SUM(E67:E69)</f>
        <v>39600</v>
      </c>
      <c r="F66" s="24">
        <f t="shared" si="3"/>
        <v>100</v>
      </c>
    </row>
    <row r="67" spans="1:6" s="1" customFormat="1" ht="15.75">
      <c r="A67" s="6" t="s">
        <v>107</v>
      </c>
      <c r="B67" s="14" t="s">
        <v>114</v>
      </c>
      <c r="C67" s="28">
        <v>20100</v>
      </c>
      <c r="D67" s="23"/>
      <c r="E67" s="28">
        <v>20100</v>
      </c>
      <c r="F67" s="29">
        <f t="shared" si="3"/>
        <v>100</v>
      </c>
    </row>
    <row r="68" spans="1:6" s="1" customFormat="1" ht="15.75">
      <c r="A68" s="6" t="s">
        <v>108</v>
      </c>
      <c r="B68" s="14" t="s">
        <v>113</v>
      </c>
      <c r="C68" s="28">
        <v>9750</v>
      </c>
      <c r="D68" s="23"/>
      <c r="E68" s="28">
        <v>9750</v>
      </c>
      <c r="F68" s="29">
        <f t="shared" si="3"/>
        <v>100</v>
      </c>
    </row>
    <row r="69" spans="1:6" s="1" customFormat="1" ht="15.75">
      <c r="A69" s="6" t="s">
        <v>109</v>
      </c>
      <c r="B69" s="14" t="s">
        <v>112</v>
      </c>
      <c r="C69" s="28">
        <v>9750</v>
      </c>
      <c r="D69" s="28"/>
      <c r="E69" s="28">
        <v>9750</v>
      </c>
      <c r="F69" s="29">
        <f t="shared" si="3"/>
        <v>100</v>
      </c>
    </row>
    <row r="70" spans="1:6" s="1" customFormat="1" ht="17.25" customHeight="1">
      <c r="A70" s="3"/>
      <c r="B70" s="13" t="s">
        <v>89</v>
      </c>
      <c r="C70" s="23">
        <f>SUM(C71:C73)</f>
        <v>26300</v>
      </c>
      <c r="D70" s="23">
        <f>SUM(D71:D73)</f>
        <v>0</v>
      </c>
      <c r="E70" s="23">
        <f>SUM(E71:E73)</f>
        <v>26300</v>
      </c>
      <c r="F70" s="24">
        <f t="shared" si="3"/>
        <v>100</v>
      </c>
    </row>
    <row r="71" spans="1:6" s="1" customFormat="1" ht="15.75">
      <c r="A71" s="6" t="s">
        <v>133</v>
      </c>
      <c r="B71" s="14" t="s">
        <v>114</v>
      </c>
      <c r="C71" s="28">
        <v>13340</v>
      </c>
      <c r="D71" s="23"/>
      <c r="E71" s="28">
        <v>13340</v>
      </c>
      <c r="F71" s="29">
        <f t="shared" si="3"/>
        <v>100</v>
      </c>
    </row>
    <row r="72" spans="1:6" s="1" customFormat="1" ht="15.75">
      <c r="A72" s="6" t="s">
        <v>110</v>
      </c>
      <c r="B72" s="14" t="s">
        <v>113</v>
      </c>
      <c r="C72" s="28">
        <v>6480</v>
      </c>
      <c r="D72" s="23"/>
      <c r="E72" s="28">
        <v>6480</v>
      </c>
      <c r="F72" s="29">
        <f t="shared" si="3"/>
        <v>100</v>
      </c>
    </row>
    <row r="73" spans="1:6" s="1" customFormat="1" ht="15.75">
      <c r="A73" s="6" t="s">
        <v>111</v>
      </c>
      <c r="B73" s="14" t="s">
        <v>112</v>
      </c>
      <c r="C73" s="28">
        <v>6480</v>
      </c>
      <c r="D73" s="28"/>
      <c r="E73" s="28">
        <v>6480</v>
      </c>
      <c r="F73" s="29">
        <f t="shared" si="3"/>
        <v>100</v>
      </c>
    </row>
    <row r="74" spans="1:6" s="1" customFormat="1" ht="15.75">
      <c r="A74" s="5"/>
      <c r="B74" s="39" t="s">
        <v>68</v>
      </c>
      <c r="C74" s="23">
        <f>C75</f>
        <v>1980</v>
      </c>
      <c r="D74" s="23">
        <f>D75</f>
        <v>0</v>
      </c>
      <c r="E74" s="23">
        <f>E75</f>
        <v>1980</v>
      </c>
      <c r="F74" s="24">
        <f>E74/C74*100</f>
        <v>100</v>
      </c>
    </row>
    <row r="75" spans="1:6" s="1" customFormat="1" ht="30">
      <c r="A75" s="6" t="s">
        <v>117</v>
      </c>
      <c r="B75" s="16" t="s">
        <v>69</v>
      </c>
      <c r="C75" s="28">
        <v>1980</v>
      </c>
      <c r="D75" s="28"/>
      <c r="E75" s="28">
        <v>1980</v>
      </c>
      <c r="F75" s="29">
        <f>E75/C75*100</f>
        <v>100</v>
      </c>
    </row>
    <row r="76" spans="1:6" s="1" customFormat="1" ht="48" customHeight="1">
      <c r="A76" s="34" t="s">
        <v>2</v>
      </c>
      <c r="B76" s="35" t="s">
        <v>24</v>
      </c>
      <c r="C76" s="32">
        <f>SUM(C77,C89)</f>
        <v>204801.6</v>
      </c>
      <c r="D76" s="32">
        <f>SUM(D77,D89)</f>
        <v>0</v>
      </c>
      <c r="E76" s="32">
        <f>SUM(E77,E89)</f>
        <v>186580.8</v>
      </c>
      <c r="F76" s="33">
        <f>E76/C76*100</f>
        <v>91.1</v>
      </c>
    </row>
    <row r="77" spans="1:6" s="1" customFormat="1" ht="17.25" customHeight="1">
      <c r="A77" s="4" t="s">
        <v>37</v>
      </c>
      <c r="B77" s="18" t="s">
        <v>40</v>
      </c>
      <c r="C77" s="23">
        <f>SUM(C81,C85)</f>
        <v>127649.8</v>
      </c>
      <c r="D77" s="23">
        <f>SUM(D81,D85)</f>
        <v>0</v>
      </c>
      <c r="E77" s="23">
        <f>SUM(E81,E85)</f>
        <v>127633.3</v>
      </c>
      <c r="F77" s="24">
        <f>E77/C77*100</f>
        <v>100</v>
      </c>
    </row>
    <row r="78" spans="1:6" s="1" customFormat="1" ht="15.75">
      <c r="A78" s="10"/>
      <c r="B78" s="11" t="s">
        <v>1</v>
      </c>
      <c r="C78" s="23"/>
      <c r="D78" s="23"/>
      <c r="E78" s="23"/>
      <c r="F78" s="24"/>
    </row>
    <row r="79" spans="1:6" s="1" customFormat="1" ht="15.75">
      <c r="A79" s="55"/>
      <c r="B79" s="58" t="s">
        <v>33</v>
      </c>
      <c r="C79" s="53">
        <f>SUM(C83,C87)</f>
        <v>87436.800000000003</v>
      </c>
      <c r="D79" s="53">
        <f>SUM(D83,D87)</f>
        <v>0</v>
      </c>
      <c r="E79" s="53">
        <f>SUM(E83,E87)</f>
        <v>87436.800000000003</v>
      </c>
      <c r="F79" s="52">
        <f>E79/C79*100</f>
        <v>100</v>
      </c>
    </row>
    <row r="80" spans="1:6" s="1" customFormat="1" ht="15.75">
      <c r="A80" s="55"/>
      <c r="B80" s="59" t="s">
        <v>34</v>
      </c>
      <c r="C80" s="53">
        <f>C77-C79</f>
        <v>40213</v>
      </c>
      <c r="D80" s="53">
        <f>D77-D79</f>
        <v>0</v>
      </c>
      <c r="E80" s="53">
        <f>E77-E79</f>
        <v>40196.5</v>
      </c>
      <c r="F80" s="52">
        <f>E80/C80*100</f>
        <v>100</v>
      </c>
    </row>
    <row r="81" spans="1:6" s="1" customFormat="1" ht="30">
      <c r="A81" s="6" t="s">
        <v>118</v>
      </c>
      <c r="B81" s="15" t="s">
        <v>58</v>
      </c>
      <c r="C81" s="28">
        <f>SUM(C83:C84)</f>
        <v>80713</v>
      </c>
      <c r="D81" s="28">
        <f>SUM(D83:D84)</f>
        <v>0</v>
      </c>
      <c r="E81" s="28">
        <f>SUM(E83:E84)</f>
        <v>80707.100000000006</v>
      </c>
      <c r="F81" s="29">
        <f>E81/C81*100</f>
        <v>100</v>
      </c>
    </row>
    <row r="82" spans="1:6" s="1" customFormat="1" ht="15.75">
      <c r="A82" s="4"/>
      <c r="B82" s="57" t="s">
        <v>1</v>
      </c>
      <c r="C82" s="28"/>
      <c r="D82" s="28"/>
      <c r="E82" s="28"/>
      <c r="F82" s="29"/>
    </row>
    <row r="83" spans="1:6" s="1" customFormat="1" ht="15.75">
      <c r="A83" s="51"/>
      <c r="B83" s="48" t="s">
        <v>33</v>
      </c>
      <c r="C83" s="49">
        <v>50000</v>
      </c>
      <c r="D83" s="49"/>
      <c r="E83" s="49">
        <v>50000</v>
      </c>
      <c r="F83" s="43">
        <f>E83/C83*100</f>
        <v>100</v>
      </c>
    </row>
    <row r="84" spans="1:6" ht="15.75">
      <c r="A84" s="51"/>
      <c r="B84" s="50" t="s">
        <v>34</v>
      </c>
      <c r="C84" s="49">
        <v>30713</v>
      </c>
      <c r="D84" s="42"/>
      <c r="E84" s="42">
        <v>30707.1</v>
      </c>
      <c r="F84" s="43">
        <f>E84/C84*100</f>
        <v>100</v>
      </c>
    </row>
    <row r="85" spans="1:6" ht="30.75" customHeight="1">
      <c r="A85" s="6" t="s">
        <v>119</v>
      </c>
      <c r="B85" s="56" t="s">
        <v>56</v>
      </c>
      <c r="C85" s="28">
        <f>SUM(C87:C88)</f>
        <v>46936.800000000003</v>
      </c>
      <c r="D85" s="28">
        <f>SUM(D87:D88)</f>
        <v>0</v>
      </c>
      <c r="E85" s="28">
        <f>SUM(E87:E88)</f>
        <v>46926.2</v>
      </c>
      <c r="F85" s="29">
        <f>E85/C85*100</f>
        <v>100</v>
      </c>
    </row>
    <row r="86" spans="1:6" ht="15.75">
      <c r="A86" s="6"/>
      <c r="B86" s="57" t="s">
        <v>1</v>
      </c>
      <c r="C86" s="28"/>
      <c r="D86" s="28"/>
      <c r="E86" s="28"/>
      <c r="F86" s="29"/>
    </row>
    <row r="87" spans="1:6" ht="15.75">
      <c r="A87" s="51"/>
      <c r="B87" s="48" t="s">
        <v>33</v>
      </c>
      <c r="C87" s="49">
        <v>37436.800000000003</v>
      </c>
      <c r="D87" s="49"/>
      <c r="E87" s="49">
        <v>37436.800000000003</v>
      </c>
      <c r="F87" s="43">
        <f>E87/C87*100</f>
        <v>100</v>
      </c>
    </row>
    <row r="88" spans="1:6" ht="15.75">
      <c r="A88" s="51"/>
      <c r="B88" s="50" t="s">
        <v>34</v>
      </c>
      <c r="C88" s="49">
        <v>9500</v>
      </c>
      <c r="D88" s="42"/>
      <c r="E88" s="42">
        <v>9489.4</v>
      </c>
      <c r="F88" s="43">
        <f>E88/C88*100</f>
        <v>99.9</v>
      </c>
    </row>
    <row r="89" spans="1:6" ht="15" customHeight="1">
      <c r="A89" s="4" t="s">
        <v>38</v>
      </c>
      <c r="B89" s="18" t="s">
        <v>39</v>
      </c>
      <c r="C89" s="23">
        <f>SUM(C90:C98)</f>
        <v>77151.8</v>
      </c>
      <c r="D89" s="23">
        <f>SUM(D90:D98)</f>
        <v>0</v>
      </c>
      <c r="E89" s="23">
        <f>SUM(E90:E98)</f>
        <v>58947.5</v>
      </c>
      <c r="F89" s="24">
        <f>E89/C89*100</f>
        <v>76.400000000000006</v>
      </c>
    </row>
    <row r="90" spans="1:6" ht="33" customHeight="1">
      <c r="A90" s="20" t="s">
        <v>120</v>
      </c>
      <c r="B90" s="16" t="s">
        <v>13</v>
      </c>
      <c r="C90" s="28">
        <v>30000</v>
      </c>
      <c r="D90" s="23"/>
      <c r="E90" s="28">
        <v>15226.5</v>
      </c>
      <c r="F90" s="29">
        <f t="shared" ref="F90:F114" si="4">E90/C90*100</f>
        <v>50.8</v>
      </c>
    </row>
    <row r="91" spans="1:6" s="1" customFormat="1" ht="32.25" customHeight="1">
      <c r="A91" s="20" t="s">
        <v>121</v>
      </c>
      <c r="B91" s="14" t="s">
        <v>16</v>
      </c>
      <c r="C91" s="28">
        <f>30000+6412</f>
        <v>36412</v>
      </c>
      <c r="D91" s="27"/>
      <c r="E91" s="27">
        <v>35474</v>
      </c>
      <c r="F91" s="29">
        <f t="shared" si="4"/>
        <v>97.4</v>
      </c>
    </row>
    <row r="92" spans="1:6" s="1" customFormat="1" ht="30.75" customHeight="1">
      <c r="A92" s="3" t="s">
        <v>122</v>
      </c>
      <c r="B92" s="10" t="s">
        <v>17</v>
      </c>
      <c r="C92" s="28">
        <v>1332</v>
      </c>
      <c r="D92" s="27"/>
      <c r="E92" s="27">
        <v>1322.6</v>
      </c>
      <c r="F92" s="29">
        <f t="shared" si="4"/>
        <v>99.3</v>
      </c>
    </row>
    <row r="93" spans="1:6" s="1" customFormat="1" ht="45.75" customHeight="1">
      <c r="A93" s="6" t="s">
        <v>123</v>
      </c>
      <c r="B93" s="62" t="s">
        <v>77</v>
      </c>
      <c r="C93" s="28">
        <v>921</v>
      </c>
      <c r="D93" s="27"/>
      <c r="E93" s="27">
        <v>920.9</v>
      </c>
      <c r="F93" s="29">
        <f t="shared" si="4"/>
        <v>100</v>
      </c>
    </row>
    <row r="94" spans="1:6" s="1" customFormat="1" ht="32.25" customHeight="1">
      <c r="A94" s="6" t="s">
        <v>124</v>
      </c>
      <c r="B94" s="62" t="s">
        <v>57</v>
      </c>
      <c r="C94" s="28">
        <v>707.3</v>
      </c>
      <c r="D94" s="27"/>
      <c r="E94" s="27">
        <v>147.69999999999999</v>
      </c>
      <c r="F94" s="29">
        <f t="shared" si="4"/>
        <v>20.9</v>
      </c>
    </row>
    <row r="95" spans="1:6" s="1" customFormat="1" ht="32.25" customHeight="1">
      <c r="A95" s="6" t="s">
        <v>125</v>
      </c>
      <c r="B95" s="62" t="s">
        <v>82</v>
      </c>
      <c r="C95" s="28">
        <v>2303</v>
      </c>
      <c r="D95" s="27"/>
      <c r="E95" s="27">
        <v>481.3</v>
      </c>
      <c r="F95" s="29">
        <f>E95/C95*100</f>
        <v>20.9</v>
      </c>
    </row>
    <row r="96" spans="1:6" s="1" customFormat="1" ht="18.75" customHeight="1">
      <c r="A96" s="6" t="s">
        <v>126</v>
      </c>
      <c r="B96" s="16" t="s">
        <v>84</v>
      </c>
      <c r="C96" s="28">
        <v>100</v>
      </c>
      <c r="D96" s="28"/>
      <c r="E96" s="28">
        <v>0</v>
      </c>
      <c r="F96" s="29">
        <f>E96/C96*100</f>
        <v>0</v>
      </c>
    </row>
    <row r="97" spans="1:6" s="1" customFormat="1" ht="18" customHeight="1">
      <c r="A97" s="6" t="s">
        <v>127</v>
      </c>
      <c r="B97" s="14" t="s">
        <v>52</v>
      </c>
      <c r="C97" s="28">
        <v>3652</v>
      </c>
      <c r="D97" s="27"/>
      <c r="E97" s="27">
        <v>3650.1</v>
      </c>
      <c r="F97" s="29">
        <f t="shared" si="4"/>
        <v>99.9</v>
      </c>
    </row>
    <row r="98" spans="1:6" s="1" customFormat="1" ht="15.75">
      <c r="A98" s="6" t="s">
        <v>128</v>
      </c>
      <c r="B98" s="14" t="s">
        <v>53</v>
      </c>
      <c r="C98" s="27">
        <v>1724.5</v>
      </c>
      <c r="D98" s="27"/>
      <c r="E98" s="27">
        <v>1724.4</v>
      </c>
      <c r="F98" s="29">
        <f t="shared" si="4"/>
        <v>100</v>
      </c>
    </row>
    <row r="99" spans="1:6" s="1" customFormat="1" ht="46.5" customHeight="1">
      <c r="A99" s="34" t="s">
        <v>3</v>
      </c>
      <c r="B99" s="46" t="s">
        <v>25</v>
      </c>
      <c r="C99" s="37">
        <f>C100</f>
        <v>501172.3</v>
      </c>
      <c r="D99" s="37">
        <f>D100</f>
        <v>0</v>
      </c>
      <c r="E99" s="37">
        <f>E100</f>
        <v>304855.59999999998</v>
      </c>
      <c r="F99" s="33">
        <f t="shared" si="4"/>
        <v>60.8</v>
      </c>
    </row>
    <row r="100" spans="1:6" s="1" customFormat="1" ht="28.5">
      <c r="A100" s="4" t="s">
        <v>42</v>
      </c>
      <c r="B100" s="18" t="s">
        <v>39</v>
      </c>
      <c r="C100" s="23">
        <f>SUM(C101+C103)</f>
        <v>501172.3</v>
      </c>
      <c r="D100" s="23">
        <f>SUM(D101+D103)</f>
        <v>0</v>
      </c>
      <c r="E100" s="23">
        <f>SUM(E101+E103)</f>
        <v>304855.59999999998</v>
      </c>
      <c r="F100" s="24">
        <f>E100/C100*100</f>
        <v>60.8</v>
      </c>
    </row>
    <row r="101" spans="1:6" s="1" customFormat="1" ht="15.75">
      <c r="A101" s="4"/>
      <c r="B101" s="13" t="s">
        <v>88</v>
      </c>
      <c r="C101" s="23">
        <f>C102</f>
        <v>186900</v>
      </c>
      <c r="D101" s="23">
        <f>D102</f>
        <v>0</v>
      </c>
      <c r="E101" s="23">
        <f>E102</f>
        <v>0</v>
      </c>
      <c r="F101" s="24">
        <f>E101/C101*100</f>
        <v>0</v>
      </c>
    </row>
    <row r="102" spans="1:6" s="1" customFormat="1" ht="15.75" customHeight="1">
      <c r="A102" s="45">
        <v>32</v>
      </c>
      <c r="B102" s="70" t="s">
        <v>54</v>
      </c>
      <c r="C102" s="27">
        <v>186900</v>
      </c>
      <c r="D102" s="27"/>
      <c r="E102" s="27">
        <v>0</v>
      </c>
      <c r="F102" s="29">
        <f>E102/C102*100</f>
        <v>0</v>
      </c>
    </row>
    <row r="103" spans="1:6" s="1" customFormat="1" ht="15.75">
      <c r="A103" s="4"/>
      <c r="B103" s="13" t="s">
        <v>89</v>
      </c>
      <c r="C103" s="23">
        <f>SUM(C104:C107)</f>
        <v>314272.3</v>
      </c>
      <c r="D103" s="23">
        <f>SUM(D104:D107)</f>
        <v>0</v>
      </c>
      <c r="E103" s="23">
        <f>SUM(E104:E107)</f>
        <v>304855.59999999998</v>
      </c>
      <c r="F103" s="24">
        <f>E103/C103*100</f>
        <v>97</v>
      </c>
    </row>
    <row r="104" spans="1:6" s="1" customFormat="1" ht="31.5" customHeight="1">
      <c r="A104" s="6" t="s">
        <v>129</v>
      </c>
      <c r="B104" s="15" t="s">
        <v>14</v>
      </c>
      <c r="C104" s="27">
        <v>296903.40000000002</v>
      </c>
      <c r="D104" s="27"/>
      <c r="E104" s="27">
        <v>296896.3</v>
      </c>
      <c r="F104" s="29">
        <f t="shared" si="4"/>
        <v>100</v>
      </c>
    </row>
    <row r="105" spans="1:6" s="1" customFormat="1" ht="15.75" customHeight="1">
      <c r="A105" s="45">
        <v>34</v>
      </c>
      <c r="B105" s="14" t="s">
        <v>29</v>
      </c>
      <c r="C105" s="27">
        <v>7736.9</v>
      </c>
      <c r="D105" s="27"/>
      <c r="E105" s="27">
        <v>7736.9</v>
      </c>
      <c r="F105" s="29">
        <f t="shared" si="4"/>
        <v>100</v>
      </c>
    </row>
    <row r="106" spans="1:6" s="1" customFormat="1" ht="15.75" customHeight="1">
      <c r="A106" s="92" t="s">
        <v>132</v>
      </c>
      <c r="B106" s="70" t="s">
        <v>54</v>
      </c>
      <c r="C106" s="27">
        <v>9300</v>
      </c>
      <c r="D106" s="27"/>
      <c r="E106" s="27">
        <v>0</v>
      </c>
      <c r="F106" s="29">
        <f t="shared" si="4"/>
        <v>0</v>
      </c>
    </row>
    <row r="107" spans="1:6" s="1" customFormat="1" ht="30">
      <c r="A107" s="6" t="s">
        <v>130</v>
      </c>
      <c r="B107" s="63" t="s">
        <v>70</v>
      </c>
      <c r="C107" s="83">
        <v>332</v>
      </c>
      <c r="D107" s="42"/>
      <c r="E107" s="27">
        <v>222.4</v>
      </c>
      <c r="F107" s="29">
        <f t="shared" si="4"/>
        <v>67</v>
      </c>
    </row>
    <row r="108" spans="1:6" s="1" customFormat="1" ht="42.75">
      <c r="A108" s="84" t="s">
        <v>23</v>
      </c>
      <c r="B108" s="73" t="s">
        <v>43</v>
      </c>
      <c r="C108" s="74">
        <f>C109</f>
        <v>50912.5</v>
      </c>
      <c r="D108" s="74">
        <f>D109</f>
        <v>0</v>
      </c>
      <c r="E108" s="74">
        <f>E109</f>
        <v>50912.5</v>
      </c>
      <c r="F108" s="75">
        <f t="shared" si="4"/>
        <v>100</v>
      </c>
    </row>
    <row r="109" spans="1:6" s="1" customFormat="1" ht="28.5">
      <c r="A109" s="44" t="s">
        <v>76</v>
      </c>
      <c r="B109" s="76" t="s">
        <v>39</v>
      </c>
      <c r="C109" s="77">
        <f>SUM(C110:C114)</f>
        <v>50912.5</v>
      </c>
      <c r="D109" s="77">
        <f>D114+D110</f>
        <v>0</v>
      </c>
      <c r="E109" s="77">
        <f>SUM(E110:E114)</f>
        <v>50912.5</v>
      </c>
      <c r="F109" s="75">
        <f>E109/C109*100</f>
        <v>100</v>
      </c>
    </row>
    <row r="110" spans="1:6" s="1" customFormat="1" ht="29.25" customHeight="1">
      <c r="A110" s="20">
        <v>36</v>
      </c>
      <c r="B110" s="15" t="s">
        <v>71</v>
      </c>
      <c r="C110" s="28">
        <v>5000</v>
      </c>
      <c r="D110" s="23"/>
      <c r="E110" s="28">
        <v>5000</v>
      </c>
      <c r="F110" s="29">
        <f t="shared" si="4"/>
        <v>100</v>
      </c>
    </row>
    <row r="111" spans="1:6" s="1" customFormat="1" ht="46.5" customHeight="1">
      <c r="A111" s="20">
        <v>37</v>
      </c>
      <c r="B111" s="15" t="s">
        <v>72</v>
      </c>
      <c r="C111" s="28">
        <v>35500</v>
      </c>
      <c r="D111" s="23"/>
      <c r="E111" s="28">
        <v>35500</v>
      </c>
      <c r="F111" s="29">
        <f t="shared" si="4"/>
        <v>100</v>
      </c>
    </row>
    <row r="112" spans="1:6" s="1" customFormat="1" ht="30">
      <c r="A112" s="20">
        <v>38</v>
      </c>
      <c r="B112" s="15" t="s">
        <v>73</v>
      </c>
      <c r="C112" s="28">
        <v>990</v>
      </c>
      <c r="D112" s="23"/>
      <c r="E112" s="28">
        <v>990</v>
      </c>
      <c r="F112" s="29">
        <f t="shared" si="4"/>
        <v>100</v>
      </c>
    </row>
    <row r="113" spans="1:6" s="1" customFormat="1" ht="45">
      <c r="A113" s="20">
        <v>39</v>
      </c>
      <c r="B113" s="15" t="s">
        <v>74</v>
      </c>
      <c r="C113" s="28">
        <v>3482.5</v>
      </c>
      <c r="D113" s="23"/>
      <c r="E113" s="28">
        <v>3482.5</v>
      </c>
      <c r="F113" s="29">
        <f t="shared" si="4"/>
        <v>100</v>
      </c>
    </row>
    <row r="114" spans="1:6" s="1" customFormat="1" ht="33.75" customHeight="1">
      <c r="A114" s="6" t="s">
        <v>131</v>
      </c>
      <c r="B114" s="60" t="s">
        <v>75</v>
      </c>
      <c r="C114" s="27">
        <v>5940</v>
      </c>
      <c r="D114" s="27"/>
      <c r="E114" s="27">
        <v>5940</v>
      </c>
      <c r="F114" s="29">
        <f t="shared" si="4"/>
        <v>100</v>
      </c>
    </row>
    <row r="115" spans="1:6" s="1" customFormat="1" ht="6" customHeight="1">
      <c r="A115" s="85"/>
      <c r="B115" s="86"/>
      <c r="C115" s="87"/>
      <c r="D115" s="88"/>
      <c r="E115" s="88"/>
      <c r="F115" s="89"/>
    </row>
    <row r="116" spans="1:6" s="1" customFormat="1" ht="15.75" customHeight="1">
      <c r="A116" s="90" t="s">
        <v>62</v>
      </c>
      <c r="B116" s="2274" t="s">
        <v>55</v>
      </c>
      <c r="C116" s="2274"/>
      <c r="D116" s="2274"/>
      <c r="E116" s="2274"/>
    </row>
    <row r="117" spans="1:6" ht="15" customHeight="1">
      <c r="A117" s="68"/>
      <c r="B117" s="2274"/>
      <c r="C117" s="2274"/>
      <c r="D117" s="2274"/>
      <c r="E117" s="2274"/>
      <c r="F117" s="26"/>
    </row>
    <row r="118" spans="1:6" ht="24" customHeight="1">
      <c r="A118" s="90"/>
      <c r="B118" s="2277" t="s">
        <v>80</v>
      </c>
      <c r="C118" s="2277"/>
      <c r="D118" s="2277"/>
      <c r="E118" s="2277"/>
      <c r="F118" s="2277"/>
    </row>
    <row r="119" spans="1:6" ht="44.25" customHeight="1">
      <c r="A119" s="90"/>
      <c r="B119" s="72" t="s">
        <v>85</v>
      </c>
      <c r="C119" s="72"/>
      <c r="D119" s="72"/>
      <c r="E119" s="2273" t="s">
        <v>86</v>
      </c>
      <c r="F119" s="2273"/>
    </row>
    <row r="120" spans="1:6" ht="17.25" hidden="1" customHeight="1">
      <c r="B120" s="2272" t="s">
        <v>59</v>
      </c>
      <c r="C120" s="2272"/>
      <c r="D120" s="2272"/>
      <c r="E120" s="2272"/>
      <c r="F120" s="2272"/>
    </row>
    <row r="121" spans="1:6" ht="16.5" hidden="1">
      <c r="B121" s="47" t="s">
        <v>79</v>
      </c>
      <c r="C121" s="47"/>
      <c r="D121" s="47"/>
      <c r="E121" s="47" t="s">
        <v>81</v>
      </c>
      <c r="F121" s="47"/>
    </row>
    <row r="122" spans="1:6" ht="15.75" customHeight="1">
      <c r="A122" s="91"/>
      <c r="B122" s="25"/>
      <c r="C122" s="78"/>
      <c r="D122" s="78"/>
      <c r="E122" s="78"/>
      <c r="F122" s="21"/>
    </row>
    <row r="123" spans="1:6" ht="30.75" customHeight="1">
      <c r="B123" s="25" t="s">
        <v>134</v>
      </c>
      <c r="E123" s="78"/>
      <c r="F123" s="40"/>
    </row>
    <row r="124" spans="1:6" ht="14.25" customHeight="1">
      <c r="B124" s="25" t="s">
        <v>135</v>
      </c>
      <c r="E124" s="78"/>
      <c r="F124" s="40"/>
    </row>
    <row r="125" spans="1:6" ht="14.25" customHeight="1">
      <c r="B125" s="25"/>
      <c r="E125" s="78"/>
      <c r="F125" s="40"/>
    </row>
    <row r="126" spans="1:6">
      <c r="E126" s="78"/>
    </row>
    <row r="127" spans="1:6" hidden="1">
      <c r="B127" s="69" t="s">
        <v>60</v>
      </c>
      <c r="E127" s="78"/>
    </row>
    <row r="128" spans="1:6">
      <c r="B128" s="69"/>
      <c r="E128" s="78"/>
    </row>
    <row r="129" spans="5:5">
      <c r="E129" s="78"/>
    </row>
    <row r="130" spans="5:5">
      <c r="E130" s="78"/>
    </row>
    <row r="131" spans="5:5">
      <c r="E131" s="78"/>
    </row>
    <row r="132" spans="5:5">
      <c r="E132" s="78"/>
    </row>
    <row r="133" spans="5:5">
      <c r="E133" s="78"/>
    </row>
    <row r="134" spans="5:5">
      <c r="E134" s="78"/>
    </row>
    <row r="135" spans="5:5">
      <c r="E135" s="78"/>
    </row>
    <row r="136" spans="5:5">
      <c r="E136" s="78"/>
    </row>
    <row r="137" spans="5:5">
      <c r="E137" s="78"/>
    </row>
    <row r="138" spans="5:5">
      <c r="E138" s="78"/>
    </row>
    <row r="139" spans="5:5">
      <c r="E139" s="78"/>
    </row>
    <row r="140" spans="5:5">
      <c r="E140" s="78"/>
    </row>
    <row r="141" spans="5:5">
      <c r="E141" s="78"/>
    </row>
    <row r="142" spans="5:5">
      <c r="E142" s="78"/>
    </row>
    <row r="143" spans="5:5">
      <c r="E143" s="78"/>
    </row>
    <row r="144" spans="5:5">
      <c r="E144" s="78"/>
    </row>
    <row r="145" spans="5:5">
      <c r="E145" s="78"/>
    </row>
    <row r="146" spans="5:5">
      <c r="E146" s="78"/>
    </row>
    <row r="147" spans="5:5">
      <c r="E147" s="78"/>
    </row>
    <row r="148" spans="5:5">
      <c r="E148" s="78"/>
    </row>
    <row r="149" spans="5:5">
      <c r="E149" s="78"/>
    </row>
    <row r="150" spans="5:5">
      <c r="E150" s="78"/>
    </row>
    <row r="151" spans="5:5">
      <c r="E151" s="78"/>
    </row>
    <row r="152" spans="5:5">
      <c r="E152" s="78"/>
    </row>
    <row r="153" spans="5:5">
      <c r="E153" s="78"/>
    </row>
    <row r="154" spans="5:5">
      <c r="E154" s="78"/>
    </row>
    <row r="155" spans="5:5">
      <c r="E155" s="78"/>
    </row>
    <row r="156" spans="5:5">
      <c r="E156" s="78"/>
    </row>
    <row r="157" spans="5:5">
      <c r="E157" s="78"/>
    </row>
    <row r="158" spans="5:5">
      <c r="E158" s="78"/>
    </row>
    <row r="159" spans="5:5">
      <c r="E159" s="78"/>
    </row>
    <row r="160" spans="5:5">
      <c r="E160" s="78"/>
    </row>
    <row r="161" spans="5:5">
      <c r="E161" s="78"/>
    </row>
    <row r="162" spans="5:5">
      <c r="E162" s="78"/>
    </row>
    <row r="163" spans="5:5">
      <c r="E163" s="78"/>
    </row>
    <row r="164" spans="5:5">
      <c r="E164" s="78"/>
    </row>
    <row r="165" spans="5:5">
      <c r="E165" s="78"/>
    </row>
    <row r="166" spans="5:5">
      <c r="E166" s="78"/>
    </row>
    <row r="167" spans="5:5">
      <c r="E167" s="78"/>
    </row>
    <row r="168" spans="5:5">
      <c r="E168" s="78"/>
    </row>
    <row r="169" spans="5:5">
      <c r="E169" s="78"/>
    </row>
    <row r="170" spans="5:5">
      <c r="E170" s="78"/>
    </row>
    <row r="171" spans="5:5">
      <c r="E171" s="78"/>
    </row>
    <row r="172" spans="5:5">
      <c r="E172" s="78"/>
    </row>
    <row r="173" spans="5:5">
      <c r="E173" s="78"/>
    </row>
    <row r="174" spans="5:5">
      <c r="E174" s="78"/>
    </row>
    <row r="175" spans="5:5">
      <c r="E175" s="78"/>
    </row>
    <row r="176" spans="5:5">
      <c r="E176" s="78"/>
    </row>
    <row r="177" spans="5:5">
      <c r="E177" s="78"/>
    </row>
    <row r="178" spans="5:5">
      <c r="E178" s="78"/>
    </row>
    <row r="179" spans="5:5">
      <c r="E179" s="78"/>
    </row>
    <row r="180" spans="5:5">
      <c r="E180" s="78"/>
    </row>
    <row r="181" spans="5:5">
      <c r="E181" s="78"/>
    </row>
    <row r="182" spans="5:5">
      <c r="E182" s="78"/>
    </row>
    <row r="183" spans="5:5">
      <c r="E183" s="78"/>
    </row>
    <row r="184" spans="5:5">
      <c r="E184" s="78"/>
    </row>
    <row r="185" spans="5:5">
      <c r="E185" s="78"/>
    </row>
    <row r="186" spans="5:5">
      <c r="E186" s="78"/>
    </row>
    <row r="187" spans="5:5">
      <c r="E187" s="78"/>
    </row>
    <row r="188" spans="5:5">
      <c r="E188" s="78"/>
    </row>
    <row r="189" spans="5:5">
      <c r="E189" s="78"/>
    </row>
    <row r="190" spans="5:5">
      <c r="E190" s="78"/>
    </row>
    <row r="191" spans="5:5">
      <c r="E191" s="78"/>
    </row>
    <row r="192" spans="5:5">
      <c r="E192" s="78"/>
    </row>
    <row r="193" spans="5:5">
      <c r="E193" s="78"/>
    </row>
    <row r="194" spans="5:5">
      <c r="E194" s="78"/>
    </row>
    <row r="195" spans="5:5">
      <c r="E195" s="78"/>
    </row>
    <row r="196" spans="5:5">
      <c r="E196" s="78"/>
    </row>
    <row r="197" spans="5:5">
      <c r="E197" s="78"/>
    </row>
    <row r="198" spans="5:5">
      <c r="E198" s="78"/>
    </row>
    <row r="199" spans="5:5">
      <c r="E199" s="78"/>
    </row>
    <row r="200" spans="5:5">
      <c r="E200" s="78"/>
    </row>
    <row r="201" spans="5:5">
      <c r="E201" s="78"/>
    </row>
    <row r="202" spans="5:5">
      <c r="E202" s="78"/>
    </row>
    <row r="203" spans="5:5">
      <c r="E203" s="78"/>
    </row>
    <row r="204" spans="5:5">
      <c r="E204" s="78"/>
    </row>
    <row r="205" spans="5:5">
      <c r="E205" s="78"/>
    </row>
    <row r="206" spans="5:5">
      <c r="E206" s="78"/>
    </row>
    <row r="207" spans="5:5">
      <c r="E207" s="78"/>
    </row>
    <row r="208" spans="5:5">
      <c r="E208" s="78"/>
    </row>
    <row r="209" spans="5:5">
      <c r="E209" s="78"/>
    </row>
    <row r="210" spans="5:5">
      <c r="E210" s="78"/>
    </row>
    <row r="211" spans="5:5">
      <c r="E211" s="78"/>
    </row>
    <row r="212" spans="5:5">
      <c r="E212" s="78"/>
    </row>
    <row r="213" spans="5:5">
      <c r="E213" s="78"/>
    </row>
    <row r="214" spans="5:5">
      <c r="E214" s="78"/>
    </row>
    <row r="215" spans="5:5">
      <c r="E215" s="78"/>
    </row>
    <row r="216" spans="5:5">
      <c r="E216" s="78"/>
    </row>
    <row r="217" spans="5:5">
      <c r="E217" s="78"/>
    </row>
    <row r="218" spans="5:5">
      <c r="E218" s="78"/>
    </row>
    <row r="219" spans="5:5">
      <c r="E219" s="78"/>
    </row>
    <row r="220" spans="5:5">
      <c r="E220" s="78"/>
    </row>
    <row r="221" spans="5:5">
      <c r="E221" s="78"/>
    </row>
    <row r="222" spans="5:5">
      <c r="E222" s="78"/>
    </row>
    <row r="223" spans="5:5">
      <c r="E223" s="78"/>
    </row>
    <row r="224" spans="5:5">
      <c r="E224" s="78"/>
    </row>
    <row r="225" spans="5:5">
      <c r="E225" s="78"/>
    </row>
    <row r="226" spans="5:5">
      <c r="E226" s="78"/>
    </row>
    <row r="227" spans="5:5">
      <c r="E227" s="78"/>
    </row>
    <row r="228" spans="5:5">
      <c r="E228" s="78"/>
    </row>
    <row r="229" spans="5:5">
      <c r="E229" s="78"/>
    </row>
    <row r="230" spans="5:5">
      <c r="E230" s="78"/>
    </row>
    <row r="231" spans="5:5">
      <c r="E231" s="78"/>
    </row>
    <row r="232" spans="5:5">
      <c r="E232" s="78"/>
    </row>
    <row r="233" spans="5:5">
      <c r="E233" s="78"/>
    </row>
    <row r="234" spans="5:5">
      <c r="E234" s="78"/>
    </row>
    <row r="235" spans="5:5">
      <c r="E235" s="78"/>
    </row>
    <row r="236" spans="5:5">
      <c r="E236" s="78"/>
    </row>
    <row r="237" spans="5:5">
      <c r="E237" s="78"/>
    </row>
    <row r="238" spans="5:5">
      <c r="E238" s="78"/>
    </row>
    <row r="239" spans="5:5">
      <c r="E239" s="78"/>
    </row>
    <row r="240" spans="5:5">
      <c r="E240" s="78"/>
    </row>
    <row r="241" spans="5:5">
      <c r="E241" s="78"/>
    </row>
    <row r="242" spans="5:5">
      <c r="E242" s="78"/>
    </row>
    <row r="243" spans="5:5">
      <c r="E243" s="78"/>
    </row>
    <row r="244" spans="5:5">
      <c r="E244" s="78"/>
    </row>
    <row r="245" spans="5:5">
      <c r="E245" s="78"/>
    </row>
    <row r="246" spans="5:5">
      <c r="E246" s="78"/>
    </row>
    <row r="247" spans="5:5">
      <c r="E247" s="78"/>
    </row>
    <row r="248" spans="5:5">
      <c r="E248" s="78"/>
    </row>
    <row r="249" spans="5:5">
      <c r="E249" s="78"/>
    </row>
    <row r="250" spans="5:5">
      <c r="E250" s="78"/>
    </row>
    <row r="251" spans="5:5">
      <c r="E251" s="78"/>
    </row>
    <row r="252" spans="5:5">
      <c r="E252" s="78"/>
    </row>
    <row r="253" spans="5:5">
      <c r="E253" s="78"/>
    </row>
    <row r="254" spans="5:5">
      <c r="E254" s="78"/>
    </row>
    <row r="255" spans="5:5">
      <c r="E255" s="78"/>
    </row>
    <row r="256" spans="5:5">
      <c r="E256" s="78"/>
    </row>
    <row r="257" spans="5:5">
      <c r="E257" s="78"/>
    </row>
    <row r="258" spans="5:5">
      <c r="E258" s="78"/>
    </row>
    <row r="259" spans="5:5">
      <c r="E259" s="78"/>
    </row>
    <row r="260" spans="5:5">
      <c r="E260" s="78"/>
    </row>
    <row r="261" spans="5:5">
      <c r="E261" s="78"/>
    </row>
    <row r="262" spans="5:5">
      <c r="E262" s="78"/>
    </row>
    <row r="263" spans="5:5">
      <c r="E263" s="78"/>
    </row>
    <row r="264" spans="5:5">
      <c r="E264" s="78"/>
    </row>
    <row r="265" spans="5:5">
      <c r="E265" s="78"/>
    </row>
    <row r="266" spans="5:5">
      <c r="E266" s="78"/>
    </row>
    <row r="267" spans="5:5">
      <c r="E267" s="78"/>
    </row>
    <row r="268" spans="5:5">
      <c r="E268" s="78"/>
    </row>
    <row r="269" spans="5:5">
      <c r="E269" s="78"/>
    </row>
    <row r="270" spans="5:5">
      <c r="E270" s="78"/>
    </row>
    <row r="271" spans="5:5">
      <c r="E271" s="78"/>
    </row>
    <row r="272" spans="5:5">
      <c r="E272" s="78"/>
    </row>
    <row r="273" spans="5:5">
      <c r="E273" s="78"/>
    </row>
    <row r="274" spans="5:5">
      <c r="E274" s="78"/>
    </row>
    <row r="275" spans="5:5">
      <c r="E275" s="78"/>
    </row>
    <row r="276" spans="5:5">
      <c r="E276" s="78"/>
    </row>
    <row r="277" spans="5:5">
      <c r="E277" s="78"/>
    </row>
    <row r="278" spans="5:5">
      <c r="E278" s="78"/>
    </row>
    <row r="279" spans="5:5">
      <c r="E279" s="78"/>
    </row>
    <row r="280" spans="5:5">
      <c r="E280" s="78"/>
    </row>
    <row r="281" spans="5:5">
      <c r="E281" s="78"/>
    </row>
    <row r="282" spans="5:5">
      <c r="E282" s="78"/>
    </row>
    <row r="283" spans="5:5">
      <c r="E283" s="78"/>
    </row>
    <row r="284" spans="5:5">
      <c r="E284" s="78"/>
    </row>
    <row r="285" spans="5:5">
      <c r="E285" s="78"/>
    </row>
    <row r="286" spans="5:5">
      <c r="E286" s="78"/>
    </row>
    <row r="287" spans="5:5">
      <c r="E287" s="78"/>
    </row>
    <row r="288" spans="5:5">
      <c r="E288" s="78"/>
    </row>
    <row r="289" spans="5:5">
      <c r="E289" s="78"/>
    </row>
    <row r="290" spans="5:5">
      <c r="E290" s="78"/>
    </row>
    <row r="291" spans="5:5">
      <c r="E291" s="78"/>
    </row>
    <row r="292" spans="5:5">
      <c r="E292" s="78"/>
    </row>
    <row r="293" spans="5:5">
      <c r="E293" s="78"/>
    </row>
    <row r="294" spans="5:5">
      <c r="E294" s="78"/>
    </row>
    <row r="295" spans="5:5">
      <c r="E295" s="78"/>
    </row>
    <row r="296" spans="5:5">
      <c r="E296" s="78"/>
    </row>
    <row r="297" spans="5:5">
      <c r="E297" s="78"/>
    </row>
    <row r="298" spans="5:5">
      <c r="E298" s="78"/>
    </row>
    <row r="299" spans="5:5">
      <c r="E299" s="78"/>
    </row>
    <row r="300" spans="5:5">
      <c r="E300" s="78"/>
    </row>
    <row r="301" spans="5:5">
      <c r="E301" s="78"/>
    </row>
    <row r="302" spans="5:5">
      <c r="E302" s="78"/>
    </row>
    <row r="303" spans="5:5">
      <c r="E303" s="78"/>
    </row>
    <row r="304" spans="5:5">
      <c r="E304" s="78"/>
    </row>
    <row r="305" spans="5:5">
      <c r="E305" s="78"/>
    </row>
    <row r="306" spans="5:5">
      <c r="E306" s="78"/>
    </row>
    <row r="307" spans="5:5">
      <c r="E307" s="78"/>
    </row>
    <row r="308" spans="5:5">
      <c r="E308" s="78"/>
    </row>
    <row r="309" spans="5:5">
      <c r="E309" s="78"/>
    </row>
    <row r="310" spans="5:5">
      <c r="E310" s="78"/>
    </row>
    <row r="311" spans="5:5">
      <c r="E311" s="78"/>
    </row>
    <row r="312" spans="5:5">
      <c r="E312" s="78"/>
    </row>
    <row r="313" spans="5:5">
      <c r="E313" s="78"/>
    </row>
    <row r="314" spans="5:5">
      <c r="E314" s="78"/>
    </row>
    <row r="315" spans="5:5">
      <c r="E315" s="78"/>
    </row>
    <row r="316" spans="5:5">
      <c r="E316" s="78"/>
    </row>
    <row r="317" spans="5:5">
      <c r="E317" s="78"/>
    </row>
    <row r="318" spans="5:5">
      <c r="E318" s="78"/>
    </row>
    <row r="319" spans="5:5">
      <c r="E319" s="78"/>
    </row>
    <row r="320" spans="5:5">
      <c r="E320" s="78"/>
    </row>
    <row r="321" spans="5:5">
      <c r="E321" s="78"/>
    </row>
    <row r="322" spans="5:5">
      <c r="E322" s="78"/>
    </row>
    <row r="323" spans="5:5">
      <c r="E323" s="78"/>
    </row>
    <row r="324" spans="5:5">
      <c r="E324" s="78"/>
    </row>
    <row r="325" spans="5:5">
      <c r="E325" s="78"/>
    </row>
    <row r="326" spans="5:5">
      <c r="E326" s="78"/>
    </row>
    <row r="327" spans="5:5">
      <c r="E327" s="78"/>
    </row>
    <row r="328" spans="5:5">
      <c r="E328" s="78"/>
    </row>
    <row r="329" spans="5:5">
      <c r="E329" s="78"/>
    </row>
    <row r="330" spans="5:5">
      <c r="E330" s="78"/>
    </row>
    <row r="331" spans="5:5">
      <c r="E331" s="78"/>
    </row>
    <row r="332" spans="5:5">
      <c r="E332" s="78"/>
    </row>
    <row r="333" spans="5:5">
      <c r="E333" s="78"/>
    </row>
    <row r="334" spans="5:5">
      <c r="E334" s="78"/>
    </row>
    <row r="335" spans="5:5">
      <c r="E335" s="78"/>
    </row>
    <row r="336" spans="5:5">
      <c r="E336" s="78"/>
    </row>
    <row r="337" spans="5:5">
      <c r="E337" s="78"/>
    </row>
    <row r="338" spans="5:5">
      <c r="E338" s="78"/>
    </row>
    <row r="339" spans="5:5">
      <c r="E339" s="78"/>
    </row>
    <row r="340" spans="5:5">
      <c r="E340" s="78"/>
    </row>
    <row r="341" spans="5:5">
      <c r="E341" s="78"/>
    </row>
    <row r="342" spans="5:5">
      <c r="E342" s="78"/>
    </row>
    <row r="343" spans="5:5">
      <c r="E343" s="78"/>
    </row>
    <row r="344" spans="5:5">
      <c r="E344" s="78"/>
    </row>
    <row r="345" spans="5:5">
      <c r="E345" s="78"/>
    </row>
    <row r="346" spans="5:5">
      <c r="E346" s="78"/>
    </row>
    <row r="347" spans="5:5">
      <c r="E347" s="78"/>
    </row>
    <row r="348" spans="5:5">
      <c r="E348" s="78"/>
    </row>
    <row r="349" spans="5:5">
      <c r="E349" s="78"/>
    </row>
    <row r="350" spans="5:5">
      <c r="E350" s="78"/>
    </row>
    <row r="351" spans="5:5">
      <c r="E351" s="78"/>
    </row>
    <row r="352" spans="5:5">
      <c r="E352" s="78"/>
    </row>
    <row r="353" spans="5:5">
      <c r="E353" s="78"/>
    </row>
    <row r="354" spans="5:5">
      <c r="E354" s="78"/>
    </row>
    <row r="355" spans="5:5">
      <c r="E355" s="78"/>
    </row>
    <row r="356" spans="5:5">
      <c r="E356" s="78"/>
    </row>
    <row r="357" spans="5:5">
      <c r="E357" s="78"/>
    </row>
    <row r="358" spans="5:5">
      <c r="E358" s="78"/>
    </row>
    <row r="359" spans="5:5">
      <c r="E359" s="78"/>
    </row>
    <row r="360" spans="5:5">
      <c r="E360" s="78"/>
    </row>
    <row r="361" spans="5:5">
      <c r="E361" s="78"/>
    </row>
    <row r="362" spans="5:5">
      <c r="E362" s="78"/>
    </row>
    <row r="363" spans="5:5">
      <c r="E363" s="78"/>
    </row>
    <row r="364" spans="5:5">
      <c r="E364" s="78"/>
    </row>
    <row r="365" spans="5:5">
      <c r="E365" s="78"/>
    </row>
    <row r="366" spans="5:5">
      <c r="E366" s="78"/>
    </row>
    <row r="367" spans="5:5">
      <c r="E367" s="78"/>
    </row>
    <row r="368" spans="5:5">
      <c r="E368" s="78"/>
    </row>
    <row r="369" spans="5:5">
      <c r="E369" s="78"/>
    </row>
    <row r="370" spans="5:5">
      <c r="E370" s="78"/>
    </row>
    <row r="371" spans="5:5">
      <c r="E371" s="78"/>
    </row>
    <row r="372" spans="5:5">
      <c r="E372" s="78"/>
    </row>
    <row r="373" spans="5:5">
      <c r="E373" s="78"/>
    </row>
    <row r="374" spans="5:5">
      <c r="E374" s="78"/>
    </row>
    <row r="375" spans="5:5">
      <c r="E375" s="78"/>
    </row>
    <row r="376" spans="5:5">
      <c r="E376" s="78"/>
    </row>
    <row r="377" spans="5:5">
      <c r="E377" s="78"/>
    </row>
    <row r="378" spans="5:5">
      <c r="E378" s="78"/>
    </row>
    <row r="379" spans="5:5">
      <c r="E379" s="78"/>
    </row>
    <row r="380" spans="5:5">
      <c r="E380" s="78"/>
    </row>
    <row r="381" spans="5:5">
      <c r="E381" s="78"/>
    </row>
    <row r="382" spans="5:5">
      <c r="E382" s="78"/>
    </row>
    <row r="383" spans="5:5">
      <c r="E383" s="78"/>
    </row>
    <row r="384" spans="5:5">
      <c r="E384" s="78"/>
    </row>
    <row r="385" spans="5:5">
      <c r="E385" s="78"/>
    </row>
    <row r="386" spans="5:5">
      <c r="E386" s="78"/>
    </row>
    <row r="387" spans="5:5">
      <c r="E387" s="78"/>
    </row>
    <row r="388" spans="5:5">
      <c r="E388" s="78"/>
    </row>
    <row r="389" spans="5:5">
      <c r="E389" s="78"/>
    </row>
    <row r="390" spans="5:5">
      <c r="E390" s="78"/>
    </row>
    <row r="391" spans="5:5">
      <c r="E391" s="78"/>
    </row>
    <row r="392" spans="5:5">
      <c r="E392" s="78"/>
    </row>
    <row r="393" spans="5:5">
      <c r="E393" s="78"/>
    </row>
    <row r="394" spans="5:5">
      <c r="E394" s="78"/>
    </row>
    <row r="395" spans="5:5">
      <c r="E395" s="78"/>
    </row>
    <row r="396" spans="5:5">
      <c r="E396" s="78"/>
    </row>
    <row r="397" spans="5:5">
      <c r="E397" s="78"/>
    </row>
    <row r="398" spans="5:5">
      <c r="E398" s="78"/>
    </row>
    <row r="399" spans="5:5">
      <c r="E399" s="78"/>
    </row>
    <row r="400" spans="5:5">
      <c r="E400" s="78"/>
    </row>
    <row r="401" spans="5:5">
      <c r="E401" s="78"/>
    </row>
    <row r="402" spans="5:5">
      <c r="E402" s="78"/>
    </row>
    <row r="403" spans="5:5">
      <c r="E403" s="78"/>
    </row>
    <row r="404" spans="5:5">
      <c r="E404" s="78"/>
    </row>
    <row r="405" spans="5:5">
      <c r="E405" s="78"/>
    </row>
    <row r="406" spans="5:5">
      <c r="E406" s="78"/>
    </row>
    <row r="407" spans="5:5">
      <c r="E407" s="78"/>
    </row>
    <row r="408" spans="5:5">
      <c r="E408" s="78"/>
    </row>
    <row r="409" spans="5:5">
      <c r="E409" s="78"/>
    </row>
    <row r="410" spans="5:5">
      <c r="E410" s="78"/>
    </row>
    <row r="411" spans="5:5">
      <c r="E411" s="78"/>
    </row>
    <row r="412" spans="5:5">
      <c r="E412" s="78"/>
    </row>
    <row r="413" spans="5:5">
      <c r="E413" s="78"/>
    </row>
    <row r="414" spans="5:5">
      <c r="E414" s="78"/>
    </row>
    <row r="415" spans="5:5">
      <c r="E415" s="78"/>
    </row>
    <row r="416" spans="5:5">
      <c r="E416" s="78"/>
    </row>
    <row r="417" spans="5:5">
      <c r="E417" s="78"/>
    </row>
    <row r="418" spans="5:5">
      <c r="E418" s="78"/>
    </row>
    <row r="419" spans="5:5">
      <c r="E419" s="78"/>
    </row>
    <row r="420" spans="5:5">
      <c r="E420" s="78"/>
    </row>
    <row r="421" spans="5:5">
      <c r="E421" s="78"/>
    </row>
    <row r="422" spans="5:5">
      <c r="E422" s="78"/>
    </row>
    <row r="423" spans="5:5">
      <c r="E423" s="78"/>
    </row>
    <row r="424" spans="5:5">
      <c r="E424" s="78"/>
    </row>
    <row r="425" spans="5:5">
      <c r="E425" s="78"/>
    </row>
    <row r="426" spans="5:5">
      <c r="E426" s="78"/>
    </row>
    <row r="427" spans="5:5">
      <c r="E427" s="78"/>
    </row>
    <row r="428" spans="5:5">
      <c r="E428" s="78"/>
    </row>
    <row r="429" spans="5:5">
      <c r="E429" s="78"/>
    </row>
    <row r="430" spans="5:5">
      <c r="E430" s="78"/>
    </row>
    <row r="431" spans="5:5">
      <c r="E431" s="78"/>
    </row>
    <row r="432" spans="5:5">
      <c r="E432" s="78"/>
    </row>
    <row r="433" spans="5:5">
      <c r="E433" s="78"/>
    </row>
    <row r="434" spans="5:5">
      <c r="E434" s="78"/>
    </row>
    <row r="435" spans="5:5">
      <c r="E435" s="78"/>
    </row>
    <row r="436" spans="5:5">
      <c r="E436" s="78"/>
    </row>
    <row r="437" spans="5:5">
      <c r="E437" s="78"/>
    </row>
    <row r="438" spans="5:5">
      <c r="E438" s="78"/>
    </row>
    <row r="439" spans="5:5">
      <c r="E439" s="78"/>
    </row>
    <row r="440" spans="5:5">
      <c r="E440" s="78"/>
    </row>
    <row r="441" spans="5:5">
      <c r="E441" s="78"/>
    </row>
    <row r="442" spans="5:5">
      <c r="E442" s="78"/>
    </row>
    <row r="443" spans="5:5">
      <c r="E443" s="78"/>
    </row>
    <row r="444" spans="5:5">
      <c r="E444" s="78"/>
    </row>
    <row r="445" spans="5:5">
      <c r="E445" s="78"/>
    </row>
    <row r="446" spans="5:5">
      <c r="E446" s="78"/>
    </row>
    <row r="447" spans="5:5">
      <c r="E447" s="78"/>
    </row>
    <row r="448" spans="5:5">
      <c r="E448" s="78"/>
    </row>
    <row r="449" spans="5:5">
      <c r="E449" s="78"/>
    </row>
    <row r="450" spans="5:5">
      <c r="E450" s="78"/>
    </row>
    <row r="451" spans="5:5">
      <c r="E451" s="78"/>
    </row>
    <row r="452" spans="5:5">
      <c r="E452" s="78"/>
    </row>
    <row r="453" spans="5:5">
      <c r="E453" s="78"/>
    </row>
    <row r="454" spans="5:5">
      <c r="E454" s="78"/>
    </row>
    <row r="455" spans="5:5">
      <c r="E455" s="78"/>
    </row>
    <row r="456" spans="5:5">
      <c r="E456" s="78"/>
    </row>
    <row r="457" spans="5:5">
      <c r="E457" s="78"/>
    </row>
    <row r="458" spans="5:5">
      <c r="E458" s="78"/>
    </row>
    <row r="459" spans="5:5">
      <c r="E459" s="78"/>
    </row>
    <row r="460" spans="5:5">
      <c r="E460" s="78"/>
    </row>
    <row r="461" spans="5:5">
      <c r="E461" s="78"/>
    </row>
    <row r="462" spans="5:5">
      <c r="E462" s="78"/>
    </row>
    <row r="463" spans="5:5">
      <c r="E463" s="78"/>
    </row>
    <row r="464" spans="5:5">
      <c r="E464" s="78"/>
    </row>
    <row r="465" spans="5:5">
      <c r="E465" s="78"/>
    </row>
    <row r="466" spans="5:5">
      <c r="E466" s="78"/>
    </row>
    <row r="467" spans="5:5">
      <c r="E467" s="78"/>
    </row>
    <row r="468" spans="5:5">
      <c r="E468" s="78"/>
    </row>
    <row r="469" spans="5:5">
      <c r="E469" s="78"/>
    </row>
    <row r="470" spans="5:5">
      <c r="E470" s="78"/>
    </row>
    <row r="471" spans="5:5">
      <c r="E471" s="78"/>
    </row>
    <row r="472" spans="5:5">
      <c r="E472" s="78"/>
    </row>
    <row r="473" spans="5:5">
      <c r="E473" s="78"/>
    </row>
    <row r="474" spans="5:5">
      <c r="E474" s="78"/>
    </row>
    <row r="475" spans="5:5">
      <c r="E475" s="78"/>
    </row>
    <row r="476" spans="5:5">
      <c r="E476" s="78"/>
    </row>
    <row r="477" spans="5:5">
      <c r="E477" s="78"/>
    </row>
    <row r="478" spans="5:5">
      <c r="E478" s="78"/>
    </row>
    <row r="479" spans="5:5">
      <c r="E479" s="78"/>
    </row>
    <row r="480" spans="5:5">
      <c r="E480" s="78"/>
    </row>
    <row r="481" spans="5:5">
      <c r="E481" s="78"/>
    </row>
    <row r="482" spans="5:5">
      <c r="E482" s="78"/>
    </row>
    <row r="483" spans="5:5">
      <c r="E483" s="78"/>
    </row>
    <row r="484" spans="5:5">
      <c r="E484" s="78"/>
    </row>
    <row r="485" spans="5:5">
      <c r="E485" s="78"/>
    </row>
    <row r="486" spans="5:5">
      <c r="E486" s="78"/>
    </row>
    <row r="487" spans="5:5">
      <c r="E487" s="78"/>
    </row>
    <row r="488" spans="5:5">
      <c r="E488" s="78"/>
    </row>
    <row r="489" spans="5:5">
      <c r="E489" s="78"/>
    </row>
    <row r="490" spans="5:5">
      <c r="E490" s="78"/>
    </row>
    <row r="491" spans="5:5">
      <c r="E491" s="78"/>
    </row>
    <row r="492" spans="5:5">
      <c r="E492" s="78"/>
    </row>
    <row r="493" spans="5:5">
      <c r="E493" s="78"/>
    </row>
    <row r="494" spans="5:5">
      <c r="E494" s="78"/>
    </row>
    <row r="495" spans="5:5">
      <c r="E495" s="78"/>
    </row>
    <row r="496" spans="5:5">
      <c r="E496" s="78"/>
    </row>
    <row r="497" spans="5:5">
      <c r="E497" s="78"/>
    </row>
    <row r="498" spans="5:5">
      <c r="E498" s="78"/>
    </row>
    <row r="499" spans="5:5">
      <c r="E499" s="78"/>
    </row>
    <row r="500" spans="5:5">
      <c r="E500" s="78"/>
    </row>
    <row r="501" spans="5:5">
      <c r="E501" s="78"/>
    </row>
    <row r="502" spans="5:5">
      <c r="E502" s="78"/>
    </row>
    <row r="503" spans="5:5">
      <c r="E503" s="78"/>
    </row>
    <row r="504" spans="5:5">
      <c r="E504" s="78"/>
    </row>
    <row r="505" spans="5:5">
      <c r="E505" s="78"/>
    </row>
    <row r="506" spans="5:5">
      <c r="E506" s="78"/>
    </row>
    <row r="507" spans="5:5">
      <c r="E507" s="78"/>
    </row>
    <row r="508" spans="5:5">
      <c r="E508" s="78"/>
    </row>
    <row r="509" spans="5:5">
      <c r="E509" s="78"/>
    </row>
    <row r="510" spans="5:5">
      <c r="E510" s="78"/>
    </row>
    <row r="511" spans="5:5">
      <c r="E511" s="78"/>
    </row>
    <row r="512" spans="5:5">
      <c r="E512" s="78"/>
    </row>
    <row r="513" spans="5:5">
      <c r="E513" s="78"/>
    </row>
    <row r="514" spans="5:5">
      <c r="E514" s="78"/>
    </row>
    <row r="515" spans="5:5">
      <c r="E515" s="78"/>
    </row>
    <row r="516" spans="5:5">
      <c r="E516" s="78"/>
    </row>
    <row r="517" spans="5:5">
      <c r="E517" s="78"/>
    </row>
    <row r="518" spans="5:5">
      <c r="E518" s="78"/>
    </row>
    <row r="519" spans="5:5">
      <c r="E519" s="78"/>
    </row>
    <row r="520" spans="5:5">
      <c r="E520" s="78"/>
    </row>
    <row r="521" spans="5:5">
      <c r="E521" s="78"/>
    </row>
    <row r="522" spans="5:5">
      <c r="E522" s="78"/>
    </row>
    <row r="523" spans="5:5">
      <c r="E523" s="78"/>
    </row>
    <row r="524" spans="5:5">
      <c r="E524" s="78"/>
    </row>
    <row r="525" spans="5:5">
      <c r="E525" s="78"/>
    </row>
    <row r="526" spans="5:5">
      <c r="E526" s="78"/>
    </row>
    <row r="527" spans="5:5">
      <c r="E527" s="78"/>
    </row>
    <row r="528" spans="5:5">
      <c r="E528" s="78"/>
    </row>
    <row r="529" spans="5:5">
      <c r="E529" s="78"/>
    </row>
    <row r="530" spans="5:5">
      <c r="E530" s="78"/>
    </row>
    <row r="531" spans="5:5">
      <c r="E531" s="78"/>
    </row>
    <row r="532" spans="5:5">
      <c r="E532" s="78"/>
    </row>
    <row r="533" spans="5:5">
      <c r="E533" s="78"/>
    </row>
    <row r="534" spans="5:5">
      <c r="E534" s="78"/>
    </row>
    <row r="535" spans="5:5">
      <c r="E535" s="78"/>
    </row>
    <row r="536" spans="5:5">
      <c r="E536" s="78"/>
    </row>
    <row r="537" spans="5:5">
      <c r="E537" s="78"/>
    </row>
    <row r="538" spans="5:5">
      <c r="E538" s="78"/>
    </row>
    <row r="539" spans="5:5">
      <c r="E539" s="78"/>
    </row>
    <row r="540" spans="5:5">
      <c r="E540" s="78"/>
    </row>
    <row r="541" spans="5:5">
      <c r="E541" s="78"/>
    </row>
    <row r="542" spans="5:5">
      <c r="E542" s="78"/>
    </row>
    <row r="543" spans="5:5">
      <c r="E543" s="78"/>
    </row>
    <row r="544" spans="5:5">
      <c r="E544" s="78"/>
    </row>
    <row r="545" spans="5:5">
      <c r="E545" s="78"/>
    </row>
    <row r="546" spans="5:5">
      <c r="E546" s="78"/>
    </row>
    <row r="547" spans="5:5">
      <c r="E547" s="78"/>
    </row>
    <row r="548" spans="5:5">
      <c r="E548" s="78"/>
    </row>
    <row r="549" spans="5:5">
      <c r="E549" s="78"/>
    </row>
    <row r="550" spans="5:5">
      <c r="E550" s="78"/>
    </row>
    <row r="551" spans="5:5">
      <c r="E551" s="78"/>
    </row>
    <row r="552" spans="5:5">
      <c r="E552" s="78"/>
    </row>
    <row r="553" spans="5:5">
      <c r="E553" s="78"/>
    </row>
    <row r="554" spans="5:5">
      <c r="E554" s="78"/>
    </row>
    <row r="555" spans="5:5">
      <c r="E555" s="78"/>
    </row>
    <row r="556" spans="5:5">
      <c r="E556" s="78"/>
    </row>
    <row r="557" spans="5:5">
      <c r="E557" s="78"/>
    </row>
    <row r="558" spans="5:5">
      <c r="E558" s="78"/>
    </row>
    <row r="559" spans="5:5">
      <c r="E559" s="78"/>
    </row>
    <row r="560" spans="5:5">
      <c r="E560" s="78"/>
    </row>
    <row r="561" spans="5:5">
      <c r="E561" s="78"/>
    </row>
    <row r="562" spans="5:5">
      <c r="E562" s="78"/>
    </row>
    <row r="563" spans="5:5">
      <c r="E563" s="78"/>
    </row>
    <row r="564" spans="5:5">
      <c r="E564" s="78"/>
    </row>
    <row r="565" spans="5:5">
      <c r="E565" s="78"/>
    </row>
    <row r="566" spans="5:5">
      <c r="E566" s="78"/>
    </row>
    <row r="567" spans="5:5">
      <c r="E567" s="78"/>
    </row>
    <row r="568" spans="5:5">
      <c r="E568" s="78"/>
    </row>
    <row r="569" spans="5:5">
      <c r="E569" s="78"/>
    </row>
    <row r="570" spans="5:5">
      <c r="E570" s="78"/>
    </row>
    <row r="571" spans="5:5">
      <c r="E571" s="78"/>
    </row>
    <row r="572" spans="5:5">
      <c r="E572" s="78"/>
    </row>
    <row r="573" spans="5:5">
      <c r="E573" s="78"/>
    </row>
    <row r="574" spans="5:5">
      <c r="E574" s="78"/>
    </row>
    <row r="575" spans="5:5">
      <c r="E575" s="78"/>
    </row>
    <row r="576" spans="5:5">
      <c r="E576" s="78"/>
    </row>
    <row r="577" spans="5:5">
      <c r="E577" s="78"/>
    </row>
    <row r="578" spans="5:5">
      <c r="E578" s="78"/>
    </row>
    <row r="579" spans="5:5">
      <c r="E579" s="78"/>
    </row>
    <row r="580" spans="5:5">
      <c r="E580" s="78"/>
    </row>
    <row r="581" spans="5:5">
      <c r="E581" s="78"/>
    </row>
    <row r="582" spans="5:5">
      <c r="E582" s="78"/>
    </row>
    <row r="583" spans="5:5">
      <c r="E583" s="78"/>
    </row>
    <row r="584" spans="5:5">
      <c r="E584" s="78"/>
    </row>
    <row r="585" spans="5:5">
      <c r="E585" s="78"/>
    </row>
    <row r="586" spans="5:5">
      <c r="E586" s="78"/>
    </row>
    <row r="587" spans="5:5">
      <c r="E587" s="78"/>
    </row>
    <row r="588" spans="5:5">
      <c r="E588" s="78"/>
    </row>
    <row r="589" spans="5:5">
      <c r="E589" s="78"/>
    </row>
    <row r="590" spans="5:5">
      <c r="E590" s="78"/>
    </row>
    <row r="591" spans="5:5">
      <c r="E591" s="78"/>
    </row>
    <row r="592" spans="5:5">
      <c r="E592" s="78"/>
    </row>
    <row r="593" spans="5:5">
      <c r="E593" s="78"/>
    </row>
    <row r="594" spans="5:5">
      <c r="E594" s="78"/>
    </row>
    <row r="595" spans="5:5">
      <c r="E595" s="78"/>
    </row>
    <row r="596" spans="5:5">
      <c r="E596" s="78"/>
    </row>
    <row r="597" spans="5:5">
      <c r="E597" s="78"/>
    </row>
    <row r="598" spans="5:5">
      <c r="E598" s="78"/>
    </row>
    <row r="599" spans="5:5">
      <c r="E599" s="78"/>
    </row>
    <row r="600" spans="5:5">
      <c r="E600" s="78"/>
    </row>
    <row r="601" spans="5:5">
      <c r="E601" s="78"/>
    </row>
    <row r="602" spans="5:5">
      <c r="E602" s="78"/>
    </row>
    <row r="603" spans="5:5">
      <c r="E603" s="78"/>
    </row>
    <row r="604" spans="5:5">
      <c r="E604" s="78"/>
    </row>
    <row r="605" spans="5:5">
      <c r="E605" s="78"/>
    </row>
    <row r="606" spans="5:5">
      <c r="E606" s="78"/>
    </row>
    <row r="607" spans="5:5">
      <c r="E607" s="78"/>
    </row>
    <row r="608" spans="5:5">
      <c r="E608" s="78"/>
    </row>
    <row r="609" spans="5:5">
      <c r="E609" s="78"/>
    </row>
    <row r="610" spans="5:5">
      <c r="E610" s="78"/>
    </row>
    <row r="611" spans="5:5">
      <c r="E611" s="78"/>
    </row>
    <row r="612" spans="5:5">
      <c r="E612" s="78"/>
    </row>
    <row r="613" spans="5:5">
      <c r="E613" s="78"/>
    </row>
    <row r="614" spans="5:5">
      <c r="E614" s="78"/>
    </row>
    <row r="615" spans="5:5">
      <c r="E615" s="78"/>
    </row>
    <row r="616" spans="5:5">
      <c r="E616" s="78"/>
    </row>
    <row r="617" spans="5:5">
      <c r="E617" s="78"/>
    </row>
    <row r="618" spans="5:5">
      <c r="E618" s="78"/>
    </row>
    <row r="619" spans="5:5">
      <c r="E619" s="78"/>
    </row>
    <row r="620" spans="5:5">
      <c r="E620" s="78"/>
    </row>
    <row r="621" spans="5:5">
      <c r="E621" s="78"/>
    </row>
    <row r="622" spans="5:5">
      <c r="E622" s="78"/>
    </row>
    <row r="623" spans="5:5">
      <c r="E623" s="78"/>
    </row>
    <row r="624" spans="5:5">
      <c r="E624" s="78"/>
    </row>
    <row r="625" spans="5:5">
      <c r="E625" s="78"/>
    </row>
    <row r="626" spans="5:5">
      <c r="E626" s="78"/>
    </row>
    <row r="627" spans="5:5">
      <c r="E627" s="78"/>
    </row>
    <row r="628" spans="5:5">
      <c r="E628" s="78"/>
    </row>
    <row r="629" spans="5:5">
      <c r="E629" s="78"/>
    </row>
    <row r="630" spans="5:5">
      <c r="E630" s="78"/>
    </row>
    <row r="631" spans="5:5">
      <c r="E631" s="78"/>
    </row>
    <row r="632" spans="5:5">
      <c r="E632" s="78"/>
    </row>
    <row r="633" spans="5:5">
      <c r="E633" s="78"/>
    </row>
    <row r="634" spans="5:5">
      <c r="E634" s="78"/>
    </row>
    <row r="635" spans="5:5">
      <c r="E635" s="78"/>
    </row>
    <row r="636" spans="5:5">
      <c r="E636" s="78"/>
    </row>
    <row r="637" spans="5:5">
      <c r="E637" s="78"/>
    </row>
    <row r="638" spans="5:5">
      <c r="E638" s="78"/>
    </row>
    <row r="639" spans="5:5">
      <c r="E639" s="78"/>
    </row>
    <row r="640" spans="5:5">
      <c r="E640" s="78"/>
    </row>
    <row r="641" spans="5:5">
      <c r="E641" s="78"/>
    </row>
    <row r="642" spans="5:5">
      <c r="E642" s="78"/>
    </row>
    <row r="643" spans="5:5">
      <c r="E643" s="78"/>
    </row>
    <row r="644" spans="5:5">
      <c r="E644" s="78"/>
    </row>
    <row r="645" spans="5:5">
      <c r="E645" s="78"/>
    </row>
    <row r="646" spans="5:5">
      <c r="E646" s="78"/>
    </row>
    <row r="647" spans="5:5">
      <c r="E647" s="78"/>
    </row>
    <row r="648" spans="5:5">
      <c r="E648" s="78"/>
    </row>
    <row r="649" spans="5:5">
      <c r="E649" s="78"/>
    </row>
    <row r="650" spans="5:5">
      <c r="E650" s="78"/>
    </row>
    <row r="651" spans="5:5">
      <c r="E651" s="78"/>
    </row>
    <row r="652" spans="5:5">
      <c r="E652" s="78"/>
    </row>
    <row r="653" spans="5:5">
      <c r="E653" s="78"/>
    </row>
    <row r="654" spans="5:5">
      <c r="E654" s="78"/>
    </row>
    <row r="655" spans="5:5">
      <c r="E655" s="78"/>
    </row>
    <row r="656" spans="5:5">
      <c r="E656" s="78"/>
    </row>
    <row r="657" spans="5:5">
      <c r="E657" s="78"/>
    </row>
    <row r="658" spans="5:5">
      <c r="E658" s="78"/>
    </row>
    <row r="659" spans="5:5">
      <c r="E659" s="78"/>
    </row>
    <row r="660" spans="5:5">
      <c r="E660" s="78"/>
    </row>
    <row r="661" spans="5:5">
      <c r="E661" s="78"/>
    </row>
    <row r="662" spans="5:5">
      <c r="E662" s="78"/>
    </row>
    <row r="663" spans="5:5">
      <c r="E663" s="78"/>
    </row>
    <row r="664" spans="5:5">
      <c r="E664" s="78"/>
    </row>
    <row r="665" spans="5:5">
      <c r="E665" s="78"/>
    </row>
    <row r="666" spans="5:5">
      <c r="E666" s="78"/>
    </row>
    <row r="667" spans="5:5">
      <c r="E667" s="78"/>
    </row>
    <row r="668" spans="5:5">
      <c r="E668" s="78"/>
    </row>
    <row r="669" spans="5:5">
      <c r="E669" s="78"/>
    </row>
    <row r="670" spans="5:5">
      <c r="E670" s="78"/>
    </row>
    <row r="671" spans="5:5">
      <c r="E671" s="78"/>
    </row>
    <row r="672" spans="5:5">
      <c r="E672" s="78"/>
    </row>
    <row r="673" spans="5:5">
      <c r="E673" s="78"/>
    </row>
    <row r="674" spans="5:5">
      <c r="E674" s="78"/>
    </row>
    <row r="675" spans="5:5">
      <c r="E675" s="78"/>
    </row>
    <row r="676" spans="5:5">
      <c r="E676" s="78"/>
    </row>
    <row r="677" spans="5:5">
      <c r="E677" s="78"/>
    </row>
    <row r="678" spans="5:5">
      <c r="E678" s="78"/>
    </row>
    <row r="679" spans="5:5">
      <c r="E679" s="78"/>
    </row>
    <row r="680" spans="5:5">
      <c r="E680" s="78"/>
    </row>
    <row r="681" spans="5:5">
      <c r="E681" s="78"/>
    </row>
    <row r="682" spans="5:5">
      <c r="E682" s="78"/>
    </row>
    <row r="683" spans="5:5">
      <c r="E683" s="78"/>
    </row>
    <row r="684" spans="5:5">
      <c r="E684" s="78"/>
    </row>
    <row r="685" spans="5:5">
      <c r="E685" s="78"/>
    </row>
    <row r="686" spans="5:5">
      <c r="E686" s="78"/>
    </row>
    <row r="687" spans="5:5">
      <c r="E687" s="78"/>
    </row>
    <row r="688" spans="5:5">
      <c r="E688" s="78"/>
    </row>
    <row r="689" spans="5:5">
      <c r="E689" s="78"/>
    </row>
    <row r="690" spans="5:5">
      <c r="E690" s="78"/>
    </row>
    <row r="691" spans="5:5">
      <c r="E691" s="78"/>
    </row>
    <row r="692" spans="5:5">
      <c r="E692" s="78"/>
    </row>
    <row r="693" spans="5:5">
      <c r="E693" s="78"/>
    </row>
    <row r="694" spans="5:5">
      <c r="E694" s="78"/>
    </row>
    <row r="695" spans="5:5">
      <c r="E695" s="78"/>
    </row>
    <row r="696" spans="5:5">
      <c r="E696" s="78"/>
    </row>
    <row r="697" spans="5:5">
      <c r="E697" s="78"/>
    </row>
    <row r="698" spans="5:5">
      <c r="E698" s="78"/>
    </row>
    <row r="699" spans="5:5">
      <c r="E699" s="78"/>
    </row>
    <row r="700" spans="5:5">
      <c r="E700" s="78"/>
    </row>
    <row r="701" spans="5:5">
      <c r="E701" s="78"/>
    </row>
    <row r="702" spans="5:5">
      <c r="E702" s="78"/>
    </row>
    <row r="703" spans="5:5">
      <c r="E703" s="78"/>
    </row>
    <row r="704" spans="5:5">
      <c r="E704" s="78"/>
    </row>
    <row r="705" spans="5:5">
      <c r="E705" s="78"/>
    </row>
    <row r="706" spans="5:5">
      <c r="E706" s="78"/>
    </row>
    <row r="707" spans="5:5">
      <c r="E707" s="78"/>
    </row>
    <row r="708" spans="5:5">
      <c r="E708" s="78"/>
    </row>
    <row r="709" spans="5:5">
      <c r="E709" s="78"/>
    </row>
    <row r="710" spans="5:5">
      <c r="E710" s="78"/>
    </row>
    <row r="711" spans="5:5">
      <c r="E711" s="78"/>
    </row>
    <row r="712" spans="5:5">
      <c r="E712" s="78"/>
    </row>
    <row r="713" spans="5:5">
      <c r="E713" s="78"/>
    </row>
    <row r="714" spans="5:5">
      <c r="E714" s="78"/>
    </row>
    <row r="715" spans="5:5">
      <c r="E715" s="78"/>
    </row>
    <row r="716" spans="5:5">
      <c r="E716" s="78"/>
    </row>
    <row r="717" spans="5:5">
      <c r="E717" s="78"/>
    </row>
    <row r="718" spans="5:5">
      <c r="E718" s="78"/>
    </row>
    <row r="719" spans="5:5">
      <c r="E719" s="78"/>
    </row>
    <row r="720" spans="5:5">
      <c r="E720" s="78"/>
    </row>
    <row r="721" spans="5:5">
      <c r="E721" s="78"/>
    </row>
    <row r="722" spans="5:5">
      <c r="E722" s="78"/>
    </row>
    <row r="723" spans="5:5">
      <c r="E723" s="78"/>
    </row>
    <row r="724" spans="5:5">
      <c r="E724" s="78"/>
    </row>
    <row r="725" spans="5:5">
      <c r="E725" s="78"/>
    </row>
    <row r="726" spans="5:5">
      <c r="E726" s="78"/>
    </row>
    <row r="727" spans="5:5">
      <c r="E727" s="78"/>
    </row>
    <row r="728" spans="5:5">
      <c r="E728" s="78"/>
    </row>
    <row r="729" spans="5:5">
      <c r="E729" s="78"/>
    </row>
    <row r="730" spans="5:5">
      <c r="E730" s="78"/>
    </row>
    <row r="731" spans="5:5">
      <c r="E731" s="78"/>
    </row>
    <row r="732" spans="5:5">
      <c r="E732" s="78"/>
    </row>
    <row r="733" spans="5:5">
      <c r="E733" s="78"/>
    </row>
    <row r="734" spans="5:5">
      <c r="E734" s="78"/>
    </row>
    <row r="735" spans="5:5">
      <c r="E735" s="78"/>
    </row>
    <row r="736" spans="5:5">
      <c r="E736" s="78"/>
    </row>
    <row r="737" spans="5:5">
      <c r="E737" s="78"/>
    </row>
    <row r="738" spans="5:5">
      <c r="E738" s="78"/>
    </row>
    <row r="739" spans="5:5">
      <c r="E739" s="78"/>
    </row>
    <row r="740" spans="5:5">
      <c r="E740" s="78"/>
    </row>
    <row r="741" spans="5:5">
      <c r="E741" s="78"/>
    </row>
    <row r="742" spans="5:5">
      <c r="E742" s="78"/>
    </row>
    <row r="743" spans="5:5">
      <c r="E743" s="78"/>
    </row>
    <row r="744" spans="5:5">
      <c r="E744" s="78"/>
    </row>
    <row r="745" spans="5:5">
      <c r="E745" s="78"/>
    </row>
    <row r="746" spans="5:5">
      <c r="E746" s="78"/>
    </row>
    <row r="747" spans="5:5">
      <c r="E747" s="78"/>
    </row>
    <row r="748" spans="5:5">
      <c r="E748" s="78"/>
    </row>
    <row r="749" spans="5:5">
      <c r="E749" s="78"/>
    </row>
    <row r="750" spans="5:5">
      <c r="E750" s="78"/>
    </row>
    <row r="751" spans="5:5">
      <c r="E751" s="78"/>
    </row>
    <row r="752" spans="5:5">
      <c r="E752" s="78"/>
    </row>
    <row r="753" spans="5:5">
      <c r="E753" s="78"/>
    </row>
    <row r="754" spans="5:5">
      <c r="E754" s="78"/>
    </row>
    <row r="755" spans="5:5">
      <c r="E755" s="78"/>
    </row>
    <row r="756" spans="5:5">
      <c r="E756" s="78"/>
    </row>
    <row r="757" spans="5:5">
      <c r="E757" s="78"/>
    </row>
    <row r="758" spans="5:5">
      <c r="E758" s="78"/>
    </row>
    <row r="759" spans="5:5">
      <c r="E759" s="78"/>
    </row>
    <row r="760" spans="5:5">
      <c r="E760" s="78"/>
    </row>
    <row r="761" spans="5:5">
      <c r="E761" s="78"/>
    </row>
    <row r="762" spans="5:5">
      <c r="E762" s="78"/>
    </row>
    <row r="763" spans="5:5">
      <c r="E763" s="78"/>
    </row>
    <row r="764" spans="5:5">
      <c r="E764" s="78"/>
    </row>
    <row r="765" spans="5:5">
      <c r="E765" s="78"/>
    </row>
    <row r="766" spans="5:5">
      <c r="E766" s="78"/>
    </row>
    <row r="767" spans="5:5">
      <c r="E767" s="78"/>
    </row>
    <row r="768" spans="5:5">
      <c r="E768" s="78"/>
    </row>
    <row r="769" spans="5:5">
      <c r="E769" s="78"/>
    </row>
    <row r="770" spans="5:5">
      <c r="E770" s="78"/>
    </row>
    <row r="771" spans="5:5">
      <c r="E771" s="78"/>
    </row>
    <row r="772" spans="5:5">
      <c r="E772" s="78"/>
    </row>
    <row r="773" spans="5:5">
      <c r="E773" s="78"/>
    </row>
    <row r="774" spans="5:5">
      <c r="E774" s="78"/>
    </row>
    <row r="775" spans="5:5">
      <c r="E775" s="78"/>
    </row>
    <row r="776" spans="5:5">
      <c r="E776" s="78"/>
    </row>
    <row r="777" spans="5:5">
      <c r="E777" s="78"/>
    </row>
    <row r="778" spans="5:5">
      <c r="E778" s="78"/>
    </row>
    <row r="779" spans="5:5">
      <c r="E779" s="78"/>
    </row>
    <row r="780" spans="5:5">
      <c r="E780" s="78"/>
    </row>
    <row r="781" spans="5:5">
      <c r="E781" s="78"/>
    </row>
    <row r="782" spans="5:5">
      <c r="E782" s="78"/>
    </row>
    <row r="783" spans="5:5">
      <c r="E783" s="78"/>
    </row>
    <row r="784" spans="5:5">
      <c r="E784" s="78"/>
    </row>
    <row r="785" spans="5:5">
      <c r="E785" s="78"/>
    </row>
    <row r="786" spans="5:5">
      <c r="E786" s="78"/>
    </row>
    <row r="787" spans="5:5">
      <c r="E787" s="78"/>
    </row>
    <row r="788" spans="5:5">
      <c r="E788" s="78"/>
    </row>
    <row r="789" spans="5:5">
      <c r="E789" s="78"/>
    </row>
    <row r="790" spans="5:5">
      <c r="E790" s="78"/>
    </row>
    <row r="791" spans="5:5">
      <c r="E791" s="78"/>
    </row>
    <row r="792" spans="5:5">
      <c r="E792" s="78"/>
    </row>
    <row r="793" spans="5:5">
      <c r="E793" s="78"/>
    </row>
    <row r="794" spans="5:5">
      <c r="E794" s="78"/>
    </row>
    <row r="795" spans="5:5">
      <c r="E795" s="78"/>
    </row>
    <row r="796" spans="5:5">
      <c r="E796" s="78"/>
    </row>
    <row r="797" spans="5:5">
      <c r="E797" s="78"/>
    </row>
    <row r="798" spans="5:5">
      <c r="E798" s="78"/>
    </row>
    <row r="799" spans="5:5">
      <c r="E799" s="78"/>
    </row>
    <row r="800" spans="5:5">
      <c r="E800" s="78"/>
    </row>
    <row r="801" spans="5:5">
      <c r="E801" s="78"/>
    </row>
    <row r="802" spans="5:5">
      <c r="E802" s="78"/>
    </row>
    <row r="803" spans="5:5">
      <c r="E803" s="78"/>
    </row>
    <row r="804" spans="5:5">
      <c r="E804" s="78"/>
    </row>
    <row r="805" spans="5:5">
      <c r="E805" s="78"/>
    </row>
    <row r="806" spans="5:5">
      <c r="E806" s="78"/>
    </row>
    <row r="807" spans="5:5">
      <c r="E807" s="78"/>
    </row>
    <row r="808" spans="5:5">
      <c r="E808" s="78"/>
    </row>
    <row r="809" spans="5:5">
      <c r="E809" s="78"/>
    </row>
    <row r="810" spans="5:5">
      <c r="E810" s="78"/>
    </row>
    <row r="811" spans="5:5">
      <c r="E811" s="78"/>
    </row>
    <row r="812" spans="5:5">
      <c r="E812" s="78"/>
    </row>
    <row r="813" spans="5:5">
      <c r="E813" s="78"/>
    </row>
    <row r="814" spans="5:5">
      <c r="E814" s="78"/>
    </row>
    <row r="815" spans="5:5">
      <c r="E815" s="78"/>
    </row>
    <row r="816" spans="5:5">
      <c r="E816" s="78"/>
    </row>
    <row r="817" spans="5:5">
      <c r="E817" s="78"/>
    </row>
    <row r="818" spans="5:5">
      <c r="E818" s="78"/>
    </row>
    <row r="819" spans="5:5">
      <c r="E819" s="78"/>
    </row>
    <row r="820" spans="5:5">
      <c r="E820" s="78"/>
    </row>
    <row r="821" spans="5:5">
      <c r="E821" s="78"/>
    </row>
    <row r="822" spans="5:5">
      <c r="E822" s="78"/>
    </row>
    <row r="823" spans="5:5">
      <c r="E823" s="78"/>
    </row>
    <row r="824" spans="5:5">
      <c r="E824" s="78"/>
    </row>
    <row r="825" spans="5:5">
      <c r="E825" s="78"/>
    </row>
    <row r="826" spans="5:5">
      <c r="E826" s="78"/>
    </row>
    <row r="827" spans="5:5">
      <c r="E827" s="78"/>
    </row>
    <row r="828" spans="5:5">
      <c r="E828" s="78"/>
    </row>
    <row r="829" spans="5:5">
      <c r="E829" s="78"/>
    </row>
    <row r="830" spans="5:5">
      <c r="E830" s="78"/>
    </row>
    <row r="831" spans="5:5">
      <c r="E831" s="78"/>
    </row>
    <row r="832" spans="5:5">
      <c r="E832" s="78"/>
    </row>
    <row r="833" spans="5:5">
      <c r="E833" s="78"/>
    </row>
    <row r="834" spans="5:5">
      <c r="E834" s="78"/>
    </row>
    <row r="835" spans="5:5">
      <c r="E835" s="78"/>
    </row>
    <row r="836" spans="5:5">
      <c r="E836" s="78"/>
    </row>
    <row r="837" spans="5:5">
      <c r="E837" s="78"/>
    </row>
    <row r="838" spans="5:5">
      <c r="E838" s="78"/>
    </row>
    <row r="839" spans="5:5">
      <c r="E839" s="78"/>
    </row>
    <row r="840" spans="5:5">
      <c r="E840" s="78"/>
    </row>
    <row r="841" spans="5:5">
      <c r="E841" s="78"/>
    </row>
    <row r="842" spans="5:5">
      <c r="E842" s="78"/>
    </row>
    <row r="843" spans="5:5">
      <c r="E843" s="78"/>
    </row>
    <row r="844" spans="5:5">
      <c r="E844" s="78"/>
    </row>
    <row r="845" spans="5:5">
      <c r="E845" s="78"/>
    </row>
    <row r="846" spans="5:5">
      <c r="E846" s="78"/>
    </row>
    <row r="847" spans="5:5">
      <c r="E847" s="78"/>
    </row>
    <row r="848" spans="5:5">
      <c r="E848" s="78"/>
    </row>
    <row r="849" spans="5:5">
      <c r="E849" s="78"/>
    </row>
    <row r="850" spans="5:5">
      <c r="E850" s="78"/>
    </row>
    <row r="851" spans="5:5">
      <c r="E851" s="78"/>
    </row>
    <row r="852" spans="5:5">
      <c r="E852" s="78"/>
    </row>
    <row r="853" spans="5:5">
      <c r="E853" s="78"/>
    </row>
    <row r="854" spans="5:5">
      <c r="E854" s="78"/>
    </row>
    <row r="855" spans="5:5">
      <c r="E855" s="78"/>
    </row>
    <row r="856" spans="5:5">
      <c r="E856" s="78"/>
    </row>
    <row r="857" spans="5:5">
      <c r="E857" s="78"/>
    </row>
    <row r="858" spans="5:5">
      <c r="E858" s="78"/>
    </row>
    <row r="859" spans="5:5">
      <c r="E859" s="78"/>
    </row>
    <row r="860" spans="5:5">
      <c r="E860" s="78"/>
    </row>
    <row r="861" spans="5:5">
      <c r="E861" s="78"/>
    </row>
    <row r="862" spans="5:5">
      <c r="E862" s="78"/>
    </row>
    <row r="863" spans="5:5">
      <c r="E863" s="78"/>
    </row>
    <row r="864" spans="5:5">
      <c r="E864" s="78"/>
    </row>
    <row r="865" spans="5:5">
      <c r="E865" s="78"/>
    </row>
    <row r="866" spans="5:5">
      <c r="E866" s="78"/>
    </row>
    <row r="867" spans="5:5">
      <c r="E867" s="78"/>
    </row>
    <row r="868" spans="5:5">
      <c r="E868" s="78"/>
    </row>
    <row r="869" spans="5:5">
      <c r="E869" s="78"/>
    </row>
    <row r="870" spans="5:5">
      <c r="E870" s="78"/>
    </row>
    <row r="871" spans="5:5">
      <c r="E871" s="78"/>
    </row>
    <row r="872" spans="5:5">
      <c r="E872" s="78"/>
    </row>
    <row r="873" spans="5:5">
      <c r="E873" s="78"/>
    </row>
    <row r="874" spans="5:5">
      <c r="E874" s="78"/>
    </row>
    <row r="875" spans="5:5">
      <c r="E875" s="78"/>
    </row>
    <row r="876" spans="5:5">
      <c r="E876" s="78"/>
    </row>
    <row r="877" spans="5:5">
      <c r="E877" s="78"/>
    </row>
    <row r="878" spans="5:5">
      <c r="E878" s="78"/>
    </row>
    <row r="879" spans="5:5">
      <c r="E879" s="78"/>
    </row>
    <row r="880" spans="5:5">
      <c r="E880" s="78"/>
    </row>
    <row r="881" spans="5:5">
      <c r="E881" s="78"/>
    </row>
    <row r="882" spans="5:5">
      <c r="E882" s="78"/>
    </row>
    <row r="883" spans="5:5">
      <c r="E883" s="78"/>
    </row>
    <row r="884" spans="5:5">
      <c r="E884" s="78"/>
    </row>
    <row r="885" spans="5:5">
      <c r="E885" s="78"/>
    </row>
    <row r="886" spans="5:5">
      <c r="E886" s="78"/>
    </row>
    <row r="887" spans="5:5">
      <c r="E887" s="78"/>
    </row>
    <row r="888" spans="5:5">
      <c r="E888" s="78"/>
    </row>
    <row r="889" spans="5:5">
      <c r="E889" s="78"/>
    </row>
    <row r="890" spans="5:5">
      <c r="E890" s="78"/>
    </row>
    <row r="891" spans="5:5">
      <c r="E891" s="78"/>
    </row>
    <row r="892" spans="5:5">
      <c r="E892" s="78"/>
    </row>
    <row r="893" spans="5:5">
      <c r="E893" s="78"/>
    </row>
    <row r="894" spans="5:5">
      <c r="E894" s="78"/>
    </row>
    <row r="895" spans="5:5">
      <c r="E895" s="78"/>
    </row>
    <row r="896" spans="5:5">
      <c r="E896" s="78"/>
    </row>
    <row r="897" spans="5:5">
      <c r="E897" s="78"/>
    </row>
    <row r="898" spans="5:5">
      <c r="E898" s="78"/>
    </row>
    <row r="899" spans="5:5">
      <c r="E899" s="78"/>
    </row>
    <row r="900" spans="5:5">
      <c r="E900" s="78"/>
    </row>
    <row r="901" spans="5:5">
      <c r="E901" s="78"/>
    </row>
    <row r="902" spans="5:5">
      <c r="E902" s="78"/>
    </row>
    <row r="903" spans="5:5">
      <c r="E903" s="78"/>
    </row>
    <row r="904" spans="5:5">
      <c r="E904" s="78"/>
    </row>
    <row r="905" spans="5:5">
      <c r="E905" s="78"/>
    </row>
    <row r="906" spans="5:5">
      <c r="E906" s="78"/>
    </row>
    <row r="907" spans="5:5">
      <c r="E907" s="78"/>
    </row>
    <row r="908" spans="5:5">
      <c r="E908" s="78"/>
    </row>
    <row r="909" spans="5:5">
      <c r="E909" s="78"/>
    </row>
    <row r="910" spans="5:5">
      <c r="E910" s="78"/>
    </row>
    <row r="911" spans="5:5">
      <c r="E911" s="78"/>
    </row>
    <row r="912" spans="5:5">
      <c r="E912" s="78"/>
    </row>
    <row r="913" spans="5:5">
      <c r="E913" s="78"/>
    </row>
    <row r="914" spans="5:5">
      <c r="E914" s="78"/>
    </row>
    <row r="915" spans="5:5">
      <c r="E915" s="78"/>
    </row>
    <row r="916" spans="5:5">
      <c r="E916" s="78"/>
    </row>
    <row r="917" spans="5:5">
      <c r="E917" s="78"/>
    </row>
    <row r="918" spans="5:5">
      <c r="E918" s="78"/>
    </row>
    <row r="919" spans="5:5">
      <c r="E919" s="78"/>
    </row>
    <row r="920" spans="5:5">
      <c r="E920" s="78"/>
    </row>
    <row r="921" spans="5:5">
      <c r="E921" s="78"/>
    </row>
    <row r="922" spans="5:5">
      <c r="E922" s="78"/>
    </row>
    <row r="923" spans="5:5">
      <c r="E923" s="78"/>
    </row>
    <row r="924" spans="5:5">
      <c r="E924" s="78"/>
    </row>
    <row r="925" spans="5:5">
      <c r="E925" s="78"/>
    </row>
    <row r="926" spans="5:5">
      <c r="E926" s="78"/>
    </row>
    <row r="927" spans="5:5">
      <c r="E927" s="78"/>
    </row>
    <row r="928" spans="5:5">
      <c r="E928" s="78"/>
    </row>
    <row r="929" spans="5:5">
      <c r="E929" s="78"/>
    </row>
    <row r="930" spans="5:5">
      <c r="E930" s="78"/>
    </row>
    <row r="931" spans="5:5">
      <c r="E931" s="78"/>
    </row>
    <row r="932" spans="5:5">
      <c r="E932" s="78"/>
    </row>
    <row r="933" spans="5:5">
      <c r="E933" s="78"/>
    </row>
    <row r="934" spans="5:5">
      <c r="E934" s="78"/>
    </row>
    <row r="935" spans="5:5">
      <c r="E935" s="78"/>
    </row>
    <row r="936" spans="5:5">
      <c r="E936" s="78"/>
    </row>
    <row r="937" spans="5:5">
      <c r="E937" s="78"/>
    </row>
    <row r="938" spans="5:5">
      <c r="E938" s="78"/>
    </row>
    <row r="939" spans="5:5">
      <c r="E939" s="78"/>
    </row>
    <row r="940" spans="5:5">
      <c r="E940" s="78"/>
    </row>
    <row r="941" spans="5:5">
      <c r="E941" s="78"/>
    </row>
    <row r="942" spans="5:5">
      <c r="E942" s="78"/>
    </row>
    <row r="943" spans="5:5">
      <c r="E943" s="78"/>
    </row>
    <row r="944" spans="5:5">
      <c r="E944" s="78"/>
    </row>
    <row r="945" spans="5:5">
      <c r="E945" s="78"/>
    </row>
    <row r="946" spans="5:5">
      <c r="E946" s="78"/>
    </row>
    <row r="947" spans="5:5">
      <c r="E947" s="78"/>
    </row>
    <row r="948" spans="5:5">
      <c r="E948" s="78"/>
    </row>
    <row r="949" spans="5:5">
      <c r="E949" s="78"/>
    </row>
    <row r="950" spans="5:5">
      <c r="E950" s="78"/>
    </row>
    <row r="951" spans="5:5">
      <c r="E951" s="78"/>
    </row>
    <row r="952" spans="5:5">
      <c r="E952" s="78"/>
    </row>
    <row r="953" spans="5:5">
      <c r="E953" s="78"/>
    </row>
    <row r="954" spans="5:5">
      <c r="E954" s="78"/>
    </row>
    <row r="955" spans="5:5">
      <c r="E955" s="78"/>
    </row>
    <row r="956" spans="5:5">
      <c r="E956" s="78"/>
    </row>
    <row r="957" spans="5:5">
      <c r="E957" s="78"/>
    </row>
    <row r="958" spans="5:5">
      <c r="E958" s="78"/>
    </row>
    <row r="959" spans="5:5">
      <c r="E959" s="78"/>
    </row>
    <row r="960" spans="5:5">
      <c r="E960" s="78"/>
    </row>
    <row r="961" spans="5:5">
      <c r="E961" s="78"/>
    </row>
    <row r="962" spans="5:5">
      <c r="E962" s="78"/>
    </row>
    <row r="963" spans="5:5">
      <c r="E963" s="78"/>
    </row>
    <row r="964" spans="5:5">
      <c r="E964" s="78"/>
    </row>
    <row r="965" spans="5:5">
      <c r="E965" s="78"/>
    </row>
    <row r="966" spans="5:5">
      <c r="E966" s="78"/>
    </row>
    <row r="967" spans="5:5">
      <c r="E967" s="78"/>
    </row>
    <row r="968" spans="5:5">
      <c r="E968" s="78"/>
    </row>
    <row r="969" spans="5:5">
      <c r="E969" s="78"/>
    </row>
    <row r="970" spans="5:5">
      <c r="E970" s="78"/>
    </row>
    <row r="971" spans="5:5">
      <c r="E971" s="78"/>
    </row>
    <row r="972" spans="5:5">
      <c r="E972" s="78"/>
    </row>
    <row r="973" spans="5:5">
      <c r="E973" s="78"/>
    </row>
    <row r="974" spans="5:5">
      <c r="E974" s="78"/>
    </row>
    <row r="975" spans="5:5">
      <c r="E975" s="78"/>
    </row>
    <row r="976" spans="5:5">
      <c r="E976" s="78"/>
    </row>
    <row r="977" spans="5:5">
      <c r="E977" s="78"/>
    </row>
    <row r="978" spans="5:5">
      <c r="E978" s="78"/>
    </row>
    <row r="979" spans="5:5">
      <c r="E979" s="78"/>
    </row>
    <row r="980" spans="5:5">
      <c r="E980" s="78"/>
    </row>
    <row r="981" spans="5:5">
      <c r="E981" s="78"/>
    </row>
    <row r="982" spans="5:5">
      <c r="E982" s="78"/>
    </row>
    <row r="983" spans="5:5">
      <c r="E983" s="78"/>
    </row>
    <row r="984" spans="5:5">
      <c r="E984" s="78"/>
    </row>
    <row r="985" spans="5:5">
      <c r="E985" s="78"/>
    </row>
    <row r="986" spans="5:5">
      <c r="E986" s="78"/>
    </row>
    <row r="987" spans="5:5">
      <c r="E987" s="78"/>
    </row>
    <row r="988" spans="5:5">
      <c r="E988" s="78"/>
    </row>
    <row r="989" spans="5:5">
      <c r="E989" s="78"/>
    </row>
    <row r="990" spans="5:5">
      <c r="E990" s="78"/>
    </row>
    <row r="991" spans="5:5">
      <c r="E991" s="78"/>
    </row>
    <row r="992" spans="5:5">
      <c r="E992" s="78"/>
    </row>
    <row r="993" spans="5:5">
      <c r="E993" s="78"/>
    </row>
    <row r="994" spans="5:5">
      <c r="E994" s="78"/>
    </row>
    <row r="995" spans="5:5">
      <c r="E995" s="78"/>
    </row>
    <row r="996" spans="5:5">
      <c r="E996" s="78"/>
    </row>
    <row r="997" spans="5:5">
      <c r="E997" s="78"/>
    </row>
    <row r="998" spans="5:5">
      <c r="E998" s="78"/>
    </row>
    <row r="999" spans="5:5">
      <c r="E999" s="78"/>
    </row>
    <row r="1000" spans="5:5">
      <c r="E1000" s="78"/>
    </row>
    <row r="1001" spans="5:5">
      <c r="E1001" s="78"/>
    </row>
    <row r="1002" spans="5:5">
      <c r="E1002" s="78"/>
    </row>
    <row r="1003" spans="5:5">
      <c r="E1003" s="78"/>
    </row>
    <row r="1004" spans="5:5">
      <c r="E1004" s="78"/>
    </row>
    <row r="1005" spans="5:5">
      <c r="E1005" s="78"/>
    </row>
    <row r="1006" spans="5:5">
      <c r="E1006" s="78"/>
    </row>
    <row r="1007" spans="5:5">
      <c r="E1007" s="78"/>
    </row>
    <row r="1008" spans="5:5">
      <c r="E1008" s="78"/>
    </row>
    <row r="1009" spans="5:5">
      <c r="E1009" s="78"/>
    </row>
    <row r="1010" spans="5:5">
      <c r="E1010" s="78"/>
    </row>
    <row r="1011" spans="5:5">
      <c r="E1011" s="78"/>
    </row>
    <row r="1012" spans="5:5">
      <c r="E1012" s="78"/>
    </row>
    <row r="1013" spans="5:5">
      <c r="E1013" s="78"/>
    </row>
    <row r="1014" spans="5:5">
      <c r="E1014" s="78"/>
    </row>
    <row r="1015" spans="5:5">
      <c r="E1015" s="78"/>
    </row>
    <row r="1016" spans="5:5">
      <c r="E1016" s="78"/>
    </row>
    <row r="1017" spans="5:5">
      <c r="E1017" s="78"/>
    </row>
    <row r="1018" spans="5:5">
      <c r="E1018" s="78"/>
    </row>
    <row r="1019" spans="5:5">
      <c r="E1019" s="78"/>
    </row>
    <row r="1020" spans="5:5">
      <c r="E1020" s="78"/>
    </row>
    <row r="1021" spans="5:5">
      <c r="E1021" s="78"/>
    </row>
    <row r="1022" spans="5:5">
      <c r="E1022" s="78"/>
    </row>
    <row r="1023" spans="5:5">
      <c r="E1023" s="78"/>
    </row>
    <row r="1024" spans="5:5">
      <c r="E1024" s="78"/>
    </row>
    <row r="1025" spans="5:5">
      <c r="E1025" s="78"/>
    </row>
    <row r="1026" spans="5:5">
      <c r="E1026" s="78"/>
    </row>
    <row r="1027" spans="5:5">
      <c r="E1027" s="78"/>
    </row>
    <row r="1028" spans="5:5">
      <c r="E1028" s="78"/>
    </row>
    <row r="1029" spans="5:5">
      <c r="E1029" s="78"/>
    </row>
    <row r="1030" spans="5:5">
      <c r="E1030" s="78"/>
    </row>
    <row r="1031" spans="5:5">
      <c r="E1031" s="78"/>
    </row>
    <row r="1032" spans="5:5">
      <c r="E1032" s="78"/>
    </row>
    <row r="1033" spans="5:5">
      <c r="E1033" s="78"/>
    </row>
    <row r="1034" spans="5:5">
      <c r="E1034" s="78"/>
    </row>
    <row r="1035" spans="5:5">
      <c r="E1035" s="78"/>
    </row>
    <row r="1036" spans="5:5">
      <c r="E1036" s="78"/>
    </row>
    <row r="1037" spans="5:5">
      <c r="E1037" s="78"/>
    </row>
    <row r="1038" spans="5:5">
      <c r="E1038" s="78"/>
    </row>
    <row r="1039" spans="5:5">
      <c r="E1039" s="78"/>
    </row>
    <row r="1040" spans="5:5">
      <c r="E1040" s="78"/>
    </row>
    <row r="1041" spans="5:5">
      <c r="E1041" s="78"/>
    </row>
    <row r="1042" spans="5:5">
      <c r="E1042" s="78"/>
    </row>
    <row r="1043" spans="5:5">
      <c r="E1043" s="78"/>
    </row>
    <row r="1044" spans="5:5">
      <c r="E1044" s="78"/>
    </row>
    <row r="1045" spans="5:5">
      <c r="E1045" s="78"/>
    </row>
    <row r="1046" spans="5:5">
      <c r="E1046" s="78"/>
    </row>
    <row r="1047" spans="5:5">
      <c r="E1047" s="78"/>
    </row>
    <row r="1048" spans="5:5">
      <c r="E1048" s="78"/>
    </row>
    <row r="1049" spans="5:5">
      <c r="E1049" s="78"/>
    </row>
    <row r="1050" spans="5:5">
      <c r="E1050" s="78"/>
    </row>
    <row r="1051" spans="5:5">
      <c r="E1051" s="78"/>
    </row>
    <row r="1052" spans="5:5">
      <c r="E1052" s="78"/>
    </row>
    <row r="1053" spans="5:5">
      <c r="E1053" s="78"/>
    </row>
    <row r="1054" spans="5:5">
      <c r="E1054" s="78"/>
    </row>
    <row r="1055" spans="5:5">
      <c r="E1055" s="78"/>
    </row>
    <row r="1056" spans="5:5">
      <c r="E1056" s="78"/>
    </row>
    <row r="1057" spans="5:5">
      <c r="E1057" s="78"/>
    </row>
    <row r="1058" spans="5:5">
      <c r="E1058" s="78"/>
    </row>
    <row r="1059" spans="5:5">
      <c r="E1059" s="78"/>
    </row>
    <row r="1060" spans="5:5">
      <c r="E1060" s="78"/>
    </row>
    <row r="1061" spans="5:5">
      <c r="E1061" s="78"/>
    </row>
    <row r="1062" spans="5:5">
      <c r="E1062" s="78"/>
    </row>
    <row r="1063" spans="5:5">
      <c r="E1063" s="78"/>
    </row>
    <row r="1064" spans="5:5">
      <c r="E1064" s="78"/>
    </row>
    <row r="1065" spans="5:5">
      <c r="E1065" s="78"/>
    </row>
    <row r="1066" spans="5:5">
      <c r="E1066" s="78"/>
    </row>
    <row r="1067" spans="5:5">
      <c r="E1067" s="78"/>
    </row>
    <row r="1068" spans="5:5">
      <c r="E1068" s="78"/>
    </row>
    <row r="1069" spans="5:5">
      <c r="E1069" s="78"/>
    </row>
    <row r="1070" spans="5:5">
      <c r="E1070" s="78"/>
    </row>
    <row r="1071" spans="5:5">
      <c r="E1071" s="78"/>
    </row>
    <row r="1072" spans="5:5">
      <c r="E1072" s="78"/>
    </row>
    <row r="1073" spans="5:5">
      <c r="E1073" s="78"/>
    </row>
    <row r="1074" spans="5:5">
      <c r="E1074" s="78"/>
    </row>
    <row r="1075" spans="5:5">
      <c r="E1075" s="78"/>
    </row>
    <row r="1076" spans="5:5">
      <c r="E1076" s="78"/>
    </row>
    <row r="1077" spans="5:5">
      <c r="E1077" s="78"/>
    </row>
    <row r="1078" spans="5:5">
      <c r="E1078" s="78"/>
    </row>
    <row r="1079" spans="5:5">
      <c r="E1079" s="78"/>
    </row>
    <row r="1080" spans="5:5">
      <c r="E1080" s="78"/>
    </row>
    <row r="1081" spans="5:5">
      <c r="E1081" s="78"/>
    </row>
    <row r="1082" spans="5:5">
      <c r="E1082" s="78"/>
    </row>
    <row r="1083" spans="5:5">
      <c r="E1083" s="78"/>
    </row>
    <row r="1084" spans="5:5">
      <c r="E1084" s="78"/>
    </row>
    <row r="1085" spans="5:5">
      <c r="E1085" s="78"/>
    </row>
    <row r="1086" spans="5:5">
      <c r="E1086" s="78"/>
    </row>
    <row r="1087" spans="5:5">
      <c r="E1087" s="78"/>
    </row>
    <row r="1088" spans="5:5">
      <c r="E1088" s="78"/>
    </row>
    <row r="1089" spans="5:5">
      <c r="E1089" s="78"/>
    </row>
    <row r="1090" spans="5:5">
      <c r="E1090" s="78"/>
    </row>
    <row r="1091" spans="5:5">
      <c r="E1091" s="78"/>
    </row>
    <row r="1092" spans="5:5">
      <c r="E1092" s="78"/>
    </row>
    <row r="1093" spans="5:5">
      <c r="E1093" s="78"/>
    </row>
    <row r="1094" spans="5:5">
      <c r="E1094" s="78"/>
    </row>
    <row r="1095" spans="5:5">
      <c r="E1095" s="78"/>
    </row>
    <row r="1096" spans="5:5">
      <c r="E1096" s="78"/>
    </row>
    <row r="1097" spans="5:5">
      <c r="E1097" s="78"/>
    </row>
    <row r="1098" spans="5:5">
      <c r="E1098" s="78"/>
    </row>
    <row r="1099" spans="5:5">
      <c r="E1099" s="78"/>
    </row>
    <row r="1100" spans="5:5">
      <c r="E1100" s="78"/>
    </row>
    <row r="1101" spans="5:5">
      <c r="E1101" s="78"/>
    </row>
    <row r="1102" spans="5:5">
      <c r="E1102" s="78"/>
    </row>
    <row r="1103" spans="5:5">
      <c r="E1103" s="78"/>
    </row>
    <row r="1104" spans="5:5">
      <c r="E1104" s="78"/>
    </row>
    <row r="1105" spans="5:5">
      <c r="E1105" s="78"/>
    </row>
    <row r="1106" spans="5:5">
      <c r="E1106" s="78"/>
    </row>
    <row r="1107" spans="5:5">
      <c r="E1107" s="78"/>
    </row>
    <row r="1108" spans="5:5">
      <c r="E1108" s="78"/>
    </row>
    <row r="1109" spans="5:5">
      <c r="E1109" s="78"/>
    </row>
    <row r="1110" spans="5:5">
      <c r="E1110" s="78"/>
    </row>
    <row r="1111" spans="5:5">
      <c r="E1111" s="78"/>
    </row>
    <row r="1112" spans="5:5">
      <c r="E1112" s="78"/>
    </row>
    <row r="1113" spans="5:5">
      <c r="E1113" s="78"/>
    </row>
    <row r="1114" spans="5:5">
      <c r="E1114" s="78"/>
    </row>
    <row r="1115" spans="5:5">
      <c r="E1115" s="78"/>
    </row>
    <row r="1116" spans="5:5">
      <c r="E1116" s="78"/>
    </row>
    <row r="1117" spans="5:5">
      <c r="E1117" s="78"/>
    </row>
    <row r="1118" spans="5:5">
      <c r="E1118" s="78"/>
    </row>
    <row r="1119" spans="5:5">
      <c r="E1119" s="78"/>
    </row>
    <row r="1120" spans="5:5">
      <c r="E1120" s="78"/>
    </row>
    <row r="1121" spans="5:5">
      <c r="E1121" s="78"/>
    </row>
    <row r="1122" spans="5:5">
      <c r="E1122" s="78"/>
    </row>
    <row r="1123" spans="5:5">
      <c r="E1123" s="78"/>
    </row>
    <row r="1124" spans="5:5">
      <c r="E1124" s="78"/>
    </row>
    <row r="1125" spans="5:5">
      <c r="E1125" s="78"/>
    </row>
    <row r="1126" spans="5:5">
      <c r="E1126" s="78"/>
    </row>
    <row r="1127" spans="5:5">
      <c r="E1127" s="78"/>
    </row>
    <row r="1128" spans="5:5">
      <c r="E1128" s="78"/>
    </row>
    <row r="1129" spans="5:5">
      <c r="E1129" s="78"/>
    </row>
    <row r="1130" spans="5:5">
      <c r="E1130" s="78"/>
    </row>
    <row r="1131" spans="5:5">
      <c r="E1131" s="78"/>
    </row>
    <row r="1132" spans="5:5">
      <c r="E1132" s="78"/>
    </row>
    <row r="1133" spans="5:5">
      <c r="E1133" s="78"/>
    </row>
    <row r="1134" spans="5:5">
      <c r="E1134" s="78"/>
    </row>
    <row r="1135" spans="5:5">
      <c r="E1135" s="78"/>
    </row>
    <row r="1136" spans="5:5">
      <c r="E1136" s="78"/>
    </row>
    <row r="1137" spans="5:5">
      <c r="E1137" s="78"/>
    </row>
    <row r="1138" spans="5:5">
      <c r="E1138" s="78"/>
    </row>
    <row r="1139" spans="5:5">
      <c r="E1139" s="78"/>
    </row>
    <row r="1140" spans="5:5">
      <c r="E1140" s="78"/>
    </row>
    <row r="1141" spans="5:5">
      <c r="E1141" s="78"/>
    </row>
    <row r="1142" spans="5:5">
      <c r="E1142" s="78"/>
    </row>
    <row r="1143" spans="5:5">
      <c r="E1143" s="78"/>
    </row>
    <row r="1144" spans="5:5">
      <c r="E1144" s="78"/>
    </row>
    <row r="1145" spans="5:5">
      <c r="E1145" s="78"/>
    </row>
    <row r="1146" spans="5:5">
      <c r="E1146" s="78"/>
    </row>
    <row r="1147" spans="5:5">
      <c r="E1147" s="78"/>
    </row>
    <row r="1148" spans="5:5">
      <c r="E1148" s="78"/>
    </row>
    <row r="1149" spans="5:5">
      <c r="E1149" s="78"/>
    </row>
    <row r="1150" spans="5:5">
      <c r="E1150" s="78"/>
    </row>
    <row r="1151" spans="5:5">
      <c r="E1151" s="78"/>
    </row>
    <row r="1152" spans="5:5">
      <c r="E1152" s="78"/>
    </row>
    <row r="1153" spans="5:5">
      <c r="E1153" s="78"/>
    </row>
    <row r="1154" spans="5:5">
      <c r="E1154" s="78"/>
    </row>
    <row r="1155" spans="5:5">
      <c r="E1155" s="78"/>
    </row>
    <row r="1156" spans="5:5">
      <c r="E1156" s="78"/>
    </row>
    <row r="1157" spans="5:5">
      <c r="E1157" s="78"/>
    </row>
    <row r="1158" spans="5:5">
      <c r="E1158" s="78"/>
    </row>
    <row r="1159" spans="5:5">
      <c r="E1159" s="78"/>
    </row>
    <row r="1160" spans="5:5">
      <c r="E1160" s="78"/>
    </row>
    <row r="1161" spans="5:5">
      <c r="E1161" s="78"/>
    </row>
    <row r="1162" spans="5:5">
      <c r="E1162" s="78"/>
    </row>
    <row r="1163" spans="5:5">
      <c r="E1163" s="78"/>
    </row>
    <row r="1164" spans="5:5">
      <c r="E1164" s="78"/>
    </row>
    <row r="1165" spans="5:5">
      <c r="E1165" s="78"/>
    </row>
    <row r="1166" spans="5:5">
      <c r="E1166" s="78"/>
    </row>
    <row r="1167" spans="5:5">
      <c r="E1167" s="78"/>
    </row>
    <row r="1168" spans="5:5">
      <c r="E1168" s="78"/>
    </row>
    <row r="1169" spans="5:5">
      <c r="E1169" s="78"/>
    </row>
    <row r="1170" spans="5:5">
      <c r="E1170" s="78"/>
    </row>
    <row r="1171" spans="5:5">
      <c r="E1171" s="78"/>
    </row>
    <row r="1172" spans="5:5">
      <c r="E1172" s="78"/>
    </row>
    <row r="1173" spans="5:5">
      <c r="E1173" s="78"/>
    </row>
    <row r="1174" spans="5:5">
      <c r="E1174" s="78"/>
    </row>
    <row r="1175" spans="5:5">
      <c r="E1175" s="78"/>
    </row>
    <row r="1176" spans="5:5">
      <c r="E1176" s="78"/>
    </row>
    <row r="1177" spans="5:5">
      <c r="E1177" s="78"/>
    </row>
    <row r="1178" spans="5:5">
      <c r="E1178" s="78"/>
    </row>
    <row r="1179" spans="5:5">
      <c r="E1179" s="78"/>
    </row>
    <row r="1180" spans="5:5">
      <c r="E1180" s="78"/>
    </row>
    <row r="1181" spans="5:5">
      <c r="E1181" s="78"/>
    </row>
    <row r="1182" spans="5:5">
      <c r="E1182" s="78"/>
    </row>
    <row r="1183" spans="5:5">
      <c r="E1183" s="78"/>
    </row>
    <row r="1184" spans="5:5">
      <c r="E1184" s="78"/>
    </row>
    <row r="1185" spans="5:5">
      <c r="E1185" s="78"/>
    </row>
    <row r="1186" spans="5:5">
      <c r="E1186" s="78"/>
    </row>
    <row r="1187" spans="5:5">
      <c r="E1187" s="78"/>
    </row>
    <row r="1188" spans="5:5">
      <c r="E1188" s="78"/>
    </row>
    <row r="1189" spans="5:5">
      <c r="E1189" s="78"/>
    </row>
    <row r="1190" spans="5:5">
      <c r="E1190" s="78"/>
    </row>
    <row r="1191" spans="5:5">
      <c r="E1191" s="78"/>
    </row>
    <row r="1192" spans="5:5">
      <c r="E1192" s="78"/>
    </row>
    <row r="1193" spans="5:5">
      <c r="E1193" s="78"/>
    </row>
    <row r="1194" spans="5:5">
      <c r="E1194" s="78"/>
    </row>
    <row r="1195" spans="5:5">
      <c r="E1195" s="78"/>
    </row>
    <row r="1196" spans="5:5">
      <c r="E1196" s="78"/>
    </row>
    <row r="1197" spans="5:5">
      <c r="E1197" s="78"/>
    </row>
    <row r="1198" spans="5:5">
      <c r="E1198" s="78"/>
    </row>
    <row r="1199" spans="5:5">
      <c r="E1199" s="78"/>
    </row>
    <row r="1200" spans="5:5">
      <c r="E1200" s="78"/>
    </row>
    <row r="1201" spans="5:5">
      <c r="E1201" s="78"/>
    </row>
    <row r="1202" spans="5:5">
      <c r="E1202" s="78"/>
    </row>
    <row r="1203" spans="5:5">
      <c r="E1203" s="78"/>
    </row>
    <row r="1204" spans="5:5">
      <c r="E1204" s="78"/>
    </row>
    <row r="1205" spans="5:5">
      <c r="E1205" s="78"/>
    </row>
    <row r="1206" spans="5:5">
      <c r="E1206" s="78"/>
    </row>
    <row r="1207" spans="5:5">
      <c r="E1207" s="78"/>
    </row>
    <row r="1208" spans="5:5">
      <c r="E1208" s="78"/>
    </row>
    <row r="1209" spans="5:5">
      <c r="E1209" s="78"/>
    </row>
    <row r="1210" spans="5:5">
      <c r="E1210" s="78"/>
    </row>
    <row r="1211" spans="5:5">
      <c r="E1211" s="78"/>
    </row>
    <row r="1212" spans="5:5">
      <c r="E1212" s="78"/>
    </row>
    <row r="1213" spans="5:5">
      <c r="E1213" s="78"/>
    </row>
    <row r="1214" spans="5:5">
      <c r="E1214" s="78"/>
    </row>
    <row r="1215" spans="5:5">
      <c r="E1215" s="78"/>
    </row>
    <row r="1216" spans="5:5">
      <c r="E1216" s="78"/>
    </row>
    <row r="1217" spans="5:5">
      <c r="E1217" s="78"/>
    </row>
    <row r="1218" spans="5:5">
      <c r="E1218" s="78"/>
    </row>
    <row r="1219" spans="5:5">
      <c r="E1219" s="78"/>
    </row>
    <row r="1220" spans="5:5">
      <c r="E1220" s="78"/>
    </row>
    <row r="1221" spans="5:5">
      <c r="E1221" s="78"/>
    </row>
    <row r="1222" spans="5:5">
      <c r="E1222" s="78"/>
    </row>
    <row r="1223" spans="5:5">
      <c r="E1223" s="78"/>
    </row>
    <row r="1224" spans="5:5">
      <c r="E1224" s="78"/>
    </row>
    <row r="1225" spans="5:5">
      <c r="E1225" s="78"/>
    </row>
    <row r="1226" spans="5:5">
      <c r="E1226" s="78"/>
    </row>
    <row r="1227" spans="5:5">
      <c r="E1227" s="78"/>
    </row>
    <row r="1228" spans="5:5">
      <c r="E1228" s="78"/>
    </row>
    <row r="1229" spans="5:5">
      <c r="E1229" s="78"/>
    </row>
    <row r="1230" spans="5:5">
      <c r="E1230" s="78"/>
    </row>
    <row r="1231" spans="5:5">
      <c r="E1231" s="78"/>
    </row>
    <row r="1232" spans="5:5">
      <c r="E1232" s="78"/>
    </row>
    <row r="1233" spans="5:5">
      <c r="E1233" s="78"/>
    </row>
    <row r="1234" spans="5:5">
      <c r="E1234" s="78"/>
    </row>
    <row r="1235" spans="5:5">
      <c r="E1235" s="78"/>
    </row>
    <row r="1236" spans="5:5">
      <c r="E1236" s="78"/>
    </row>
    <row r="1237" spans="5:5">
      <c r="E1237" s="78"/>
    </row>
    <row r="1238" spans="5:5">
      <c r="E1238" s="78"/>
    </row>
    <row r="1239" spans="5:5">
      <c r="E1239" s="78"/>
    </row>
    <row r="1240" spans="5:5">
      <c r="E1240" s="78"/>
    </row>
    <row r="1241" spans="5:5">
      <c r="E1241" s="78"/>
    </row>
    <row r="1242" spans="5:5">
      <c r="E1242" s="78"/>
    </row>
    <row r="1243" spans="5:5">
      <c r="E1243" s="78"/>
    </row>
    <row r="1244" spans="5:5">
      <c r="E1244" s="78"/>
    </row>
    <row r="1245" spans="5:5">
      <c r="E1245" s="78"/>
    </row>
    <row r="1246" spans="5:5">
      <c r="E1246" s="78"/>
    </row>
    <row r="1247" spans="5:5">
      <c r="E1247" s="78"/>
    </row>
    <row r="1248" spans="5:5">
      <c r="E1248" s="78"/>
    </row>
    <row r="1249" spans="5:5">
      <c r="E1249" s="78"/>
    </row>
    <row r="1250" spans="5:5">
      <c r="E1250" s="78"/>
    </row>
    <row r="1251" spans="5:5">
      <c r="E1251" s="78"/>
    </row>
    <row r="1252" spans="5:5">
      <c r="E1252" s="78"/>
    </row>
    <row r="1253" spans="5:5">
      <c r="E1253" s="78"/>
    </row>
    <row r="1254" spans="5:5">
      <c r="E1254" s="78"/>
    </row>
    <row r="1255" spans="5:5">
      <c r="E1255" s="78"/>
    </row>
    <row r="1256" spans="5:5">
      <c r="E1256" s="78"/>
    </row>
    <row r="1257" spans="5:5">
      <c r="E1257" s="78"/>
    </row>
    <row r="1258" spans="5:5">
      <c r="E1258" s="78"/>
    </row>
    <row r="1259" spans="5:5">
      <c r="E1259" s="78"/>
    </row>
    <row r="1260" spans="5:5">
      <c r="E1260" s="78"/>
    </row>
    <row r="1261" spans="5:5">
      <c r="E1261" s="78"/>
    </row>
    <row r="1262" spans="5:5">
      <c r="E1262" s="78"/>
    </row>
    <row r="1263" spans="5:5">
      <c r="E1263" s="78"/>
    </row>
    <row r="1264" spans="5:5">
      <c r="E1264" s="78"/>
    </row>
    <row r="1265" spans="5:5">
      <c r="E1265" s="78"/>
    </row>
    <row r="1266" spans="5:5">
      <c r="E1266" s="78"/>
    </row>
    <row r="1267" spans="5:5">
      <c r="E1267" s="78"/>
    </row>
    <row r="1268" spans="5:5">
      <c r="E1268" s="78"/>
    </row>
    <row r="1269" spans="5:5">
      <c r="E1269" s="78"/>
    </row>
    <row r="1270" spans="5:5">
      <c r="E1270" s="78"/>
    </row>
    <row r="1271" spans="5:5">
      <c r="E1271" s="78"/>
    </row>
    <row r="1272" spans="5:5">
      <c r="E1272" s="78"/>
    </row>
    <row r="1273" spans="5:5">
      <c r="E1273" s="78"/>
    </row>
    <row r="1274" spans="5:5">
      <c r="E1274" s="78"/>
    </row>
    <row r="1275" spans="5:5">
      <c r="E1275" s="78"/>
    </row>
    <row r="1276" spans="5:5">
      <c r="E1276" s="78"/>
    </row>
    <row r="1277" spans="5:5">
      <c r="E1277" s="78"/>
    </row>
    <row r="1278" spans="5:5">
      <c r="E1278" s="78"/>
    </row>
    <row r="1279" spans="5:5">
      <c r="E1279" s="78"/>
    </row>
    <row r="1280" spans="5:5">
      <c r="E1280" s="78"/>
    </row>
    <row r="1281" spans="5:5">
      <c r="E1281" s="78"/>
    </row>
    <row r="1282" spans="5:5">
      <c r="E1282" s="78"/>
    </row>
    <row r="1283" spans="5:5">
      <c r="E1283" s="78"/>
    </row>
    <row r="1284" spans="5:5">
      <c r="E1284" s="78"/>
    </row>
    <row r="1285" spans="5:5">
      <c r="E1285" s="78"/>
    </row>
    <row r="1286" spans="5:5">
      <c r="E1286" s="78"/>
    </row>
    <row r="1287" spans="5:5">
      <c r="E1287" s="78"/>
    </row>
    <row r="1288" spans="5:5">
      <c r="E1288" s="78"/>
    </row>
    <row r="1289" spans="5:5">
      <c r="E1289" s="78"/>
    </row>
    <row r="1290" spans="5:5">
      <c r="E1290" s="78"/>
    </row>
    <row r="1291" spans="5:5">
      <c r="E1291" s="78"/>
    </row>
    <row r="1292" spans="5:5">
      <c r="E1292" s="78"/>
    </row>
    <row r="1293" spans="5:5">
      <c r="E1293" s="78"/>
    </row>
    <row r="1294" spans="5:5">
      <c r="E1294" s="78"/>
    </row>
    <row r="1295" spans="5:5">
      <c r="E1295" s="78"/>
    </row>
    <row r="1296" spans="5:5">
      <c r="E1296" s="78"/>
    </row>
    <row r="1297" spans="5:5">
      <c r="E1297" s="78"/>
    </row>
    <row r="1298" spans="5:5">
      <c r="E1298" s="78"/>
    </row>
    <row r="1299" spans="5:5">
      <c r="E1299" s="78"/>
    </row>
    <row r="1300" spans="5:5">
      <c r="E1300" s="78"/>
    </row>
    <row r="1301" spans="5:5">
      <c r="E1301" s="78"/>
    </row>
    <row r="1302" spans="5:5">
      <c r="E1302" s="78"/>
    </row>
    <row r="1303" spans="5:5">
      <c r="E1303" s="78"/>
    </row>
    <row r="1304" spans="5:5">
      <c r="E1304" s="78"/>
    </row>
    <row r="1305" spans="5:5">
      <c r="E1305" s="78"/>
    </row>
    <row r="1306" spans="5:5">
      <c r="E1306" s="78"/>
    </row>
    <row r="1307" spans="5:5">
      <c r="E1307" s="78"/>
    </row>
    <row r="1308" spans="5:5">
      <c r="E1308" s="78"/>
    </row>
    <row r="1309" spans="5:5">
      <c r="E1309" s="78"/>
    </row>
    <row r="1310" spans="5:5">
      <c r="E1310" s="78"/>
    </row>
    <row r="1311" spans="5:5">
      <c r="E1311" s="78"/>
    </row>
    <row r="1312" spans="5:5">
      <c r="E1312" s="78"/>
    </row>
    <row r="1313" spans="5:5">
      <c r="E1313" s="78"/>
    </row>
    <row r="1314" spans="5:5">
      <c r="E1314" s="78"/>
    </row>
    <row r="1315" spans="5:5">
      <c r="E1315" s="78"/>
    </row>
    <row r="1316" spans="5:5">
      <c r="E1316" s="78"/>
    </row>
    <row r="1317" spans="5:5">
      <c r="E1317" s="78"/>
    </row>
    <row r="1318" spans="5:5">
      <c r="E1318" s="78"/>
    </row>
    <row r="1319" spans="5:5">
      <c r="E1319" s="78"/>
    </row>
    <row r="1320" spans="5:5">
      <c r="E1320" s="78"/>
    </row>
    <row r="1321" spans="5:5">
      <c r="E1321" s="78"/>
    </row>
    <row r="1322" spans="5:5">
      <c r="E1322" s="78"/>
    </row>
    <row r="1323" spans="5:5">
      <c r="E1323" s="78"/>
    </row>
    <row r="1324" spans="5:5">
      <c r="E1324" s="78"/>
    </row>
    <row r="1325" spans="5:5">
      <c r="E1325" s="78"/>
    </row>
    <row r="1326" spans="5:5">
      <c r="E1326" s="78"/>
    </row>
    <row r="1327" spans="5:5">
      <c r="E1327" s="78"/>
    </row>
    <row r="1328" spans="5:5">
      <c r="E1328" s="78"/>
    </row>
    <row r="1329" spans="5:5">
      <c r="E1329" s="78"/>
    </row>
    <row r="1330" spans="5:5">
      <c r="E1330" s="78"/>
    </row>
    <row r="1331" spans="5:5">
      <c r="E1331" s="78"/>
    </row>
    <row r="1332" spans="5:5">
      <c r="E1332" s="78"/>
    </row>
    <row r="1333" spans="5:5">
      <c r="E1333" s="78"/>
    </row>
    <row r="1334" spans="5:5">
      <c r="E1334" s="78"/>
    </row>
    <row r="1335" spans="5:5">
      <c r="E1335" s="78"/>
    </row>
    <row r="1336" spans="5:5">
      <c r="E1336" s="78"/>
    </row>
    <row r="1337" spans="5:5">
      <c r="E1337" s="78"/>
    </row>
    <row r="1338" spans="5:5">
      <c r="E1338" s="78"/>
    </row>
    <row r="1339" spans="5:5">
      <c r="E1339" s="78"/>
    </row>
    <row r="1340" spans="5:5">
      <c r="E1340" s="78"/>
    </row>
    <row r="1341" spans="5:5">
      <c r="E1341" s="78"/>
    </row>
    <row r="1342" spans="5:5">
      <c r="E1342" s="78"/>
    </row>
    <row r="1343" spans="5:5">
      <c r="E1343" s="78"/>
    </row>
    <row r="1344" spans="5:5">
      <c r="E1344" s="78"/>
    </row>
    <row r="1345" spans="5:5">
      <c r="E1345" s="78"/>
    </row>
    <row r="1346" spans="5:5">
      <c r="E1346" s="78"/>
    </row>
    <row r="1347" spans="5:5">
      <c r="E1347" s="78"/>
    </row>
    <row r="1348" spans="5:5">
      <c r="E1348" s="78"/>
    </row>
    <row r="1349" spans="5:5">
      <c r="E1349" s="78"/>
    </row>
    <row r="1350" spans="5:5">
      <c r="E1350" s="78"/>
    </row>
    <row r="1351" spans="5:5">
      <c r="E1351" s="78"/>
    </row>
    <row r="1352" spans="5:5">
      <c r="E1352" s="78"/>
    </row>
    <row r="1353" spans="5:5">
      <c r="E1353" s="78"/>
    </row>
    <row r="1354" spans="5:5">
      <c r="E1354" s="78"/>
    </row>
    <row r="1355" spans="5:5">
      <c r="E1355" s="78"/>
    </row>
    <row r="1356" spans="5:5">
      <c r="E1356" s="78"/>
    </row>
    <row r="1357" spans="5:5">
      <c r="E1357" s="78"/>
    </row>
    <row r="1358" spans="5:5">
      <c r="E1358" s="78"/>
    </row>
    <row r="1359" spans="5:5">
      <c r="E1359" s="78"/>
    </row>
    <row r="1360" spans="5:5">
      <c r="E1360" s="78"/>
    </row>
    <row r="1361" spans="5:5">
      <c r="E1361" s="78"/>
    </row>
    <row r="1362" spans="5:5">
      <c r="E1362" s="78"/>
    </row>
    <row r="1363" spans="5:5">
      <c r="E1363" s="78"/>
    </row>
    <row r="1364" spans="5:5">
      <c r="E1364" s="78"/>
    </row>
    <row r="1365" spans="5:5">
      <c r="E1365" s="78"/>
    </row>
    <row r="1366" spans="5:5">
      <c r="E1366" s="78"/>
    </row>
    <row r="1367" spans="5:5">
      <c r="E1367" s="78"/>
    </row>
    <row r="1368" spans="5:5">
      <c r="E1368" s="78"/>
    </row>
    <row r="1369" spans="5:5">
      <c r="E1369" s="78"/>
    </row>
    <row r="1370" spans="5:5">
      <c r="E1370" s="78"/>
    </row>
    <row r="1371" spans="5:5">
      <c r="E1371" s="78"/>
    </row>
    <row r="1372" spans="5:5">
      <c r="E1372" s="78"/>
    </row>
    <row r="1373" spans="5:5">
      <c r="E1373" s="78"/>
    </row>
    <row r="1374" spans="5:5">
      <c r="E1374" s="78"/>
    </row>
    <row r="1375" spans="5:5">
      <c r="E1375" s="78"/>
    </row>
    <row r="1376" spans="5:5">
      <c r="E1376" s="78"/>
    </row>
    <row r="1377" spans="5:5">
      <c r="E1377" s="78"/>
    </row>
    <row r="1378" spans="5:5">
      <c r="E1378" s="78"/>
    </row>
    <row r="1379" spans="5:5">
      <c r="E1379" s="78"/>
    </row>
    <row r="1380" spans="5:5">
      <c r="E1380" s="78"/>
    </row>
    <row r="1381" spans="5:5">
      <c r="E1381" s="78"/>
    </row>
    <row r="1382" spans="5:5">
      <c r="E1382" s="78"/>
    </row>
    <row r="1383" spans="5:5">
      <c r="E1383" s="78"/>
    </row>
    <row r="1384" spans="5:5">
      <c r="E1384" s="78"/>
    </row>
    <row r="1385" spans="5:5">
      <c r="E1385" s="78"/>
    </row>
    <row r="1386" spans="5:5">
      <c r="E1386" s="78"/>
    </row>
    <row r="1387" spans="5:5">
      <c r="E1387" s="78"/>
    </row>
    <row r="1388" spans="5:5">
      <c r="E1388" s="78"/>
    </row>
    <row r="1389" spans="5:5">
      <c r="E1389" s="78"/>
    </row>
    <row r="1390" spans="5:5">
      <c r="E1390" s="78"/>
    </row>
    <row r="1391" spans="5:5">
      <c r="E1391" s="78"/>
    </row>
    <row r="1392" spans="5:5">
      <c r="E1392" s="78"/>
    </row>
    <row r="1393" spans="5:5">
      <c r="E1393" s="78"/>
    </row>
    <row r="1394" spans="5:5">
      <c r="E1394" s="78"/>
    </row>
    <row r="1395" spans="5:5">
      <c r="E1395" s="78"/>
    </row>
    <row r="1396" spans="5:5">
      <c r="E1396" s="78"/>
    </row>
    <row r="1397" spans="5:5">
      <c r="E1397" s="78"/>
    </row>
    <row r="1398" spans="5:5">
      <c r="E1398" s="78"/>
    </row>
    <row r="1399" spans="5:5">
      <c r="E1399" s="78"/>
    </row>
    <row r="1400" spans="5:5">
      <c r="E1400" s="78"/>
    </row>
    <row r="1401" spans="5:5">
      <c r="E1401" s="78"/>
    </row>
    <row r="1402" spans="5:5">
      <c r="E1402" s="78"/>
    </row>
    <row r="1403" spans="5:5">
      <c r="E1403" s="78"/>
    </row>
    <row r="1404" spans="5:5">
      <c r="E1404" s="78"/>
    </row>
    <row r="1405" spans="5:5">
      <c r="E1405" s="78"/>
    </row>
    <row r="1406" spans="5:5">
      <c r="E1406" s="78"/>
    </row>
    <row r="1407" spans="5:5">
      <c r="E1407" s="78"/>
    </row>
    <row r="1408" spans="5:5">
      <c r="E1408" s="78"/>
    </row>
    <row r="1409" spans="5:5">
      <c r="E1409" s="78"/>
    </row>
    <row r="1410" spans="5:5">
      <c r="E1410" s="78"/>
    </row>
    <row r="1411" spans="5:5">
      <c r="E1411" s="78"/>
    </row>
    <row r="1412" spans="5:5">
      <c r="E1412" s="78"/>
    </row>
    <row r="1413" spans="5:5">
      <c r="E1413" s="78"/>
    </row>
    <row r="1414" spans="5:5">
      <c r="E1414" s="78"/>
    </row>
    <row r="1415" spans="5:5">
      <c r="E1415" s="78"/>
    </row>
    <row r="1416" spans="5:5">
      <c r="E1416" s="78"/>
    </row>
    <row r="1417" spans="5:5">
      <c r="E1417" s="78"/>
    </row>
    <row r="1418" spans="5:5">
      <c r="E1418" s="78"/>
    </row>
    <row r="1419" spans="5:5">
      <c r="E1419" s="78"/>
    </row>
    <row r="1420" spans="5:5">
      <c r="E1420" s="78"/>
    </row>
    <row r="1421" spans="5:5">
      <c r="E1421" s="78"/>
    </row>
    <row r="1422" spans="5:5">
      <c r="E1422" s="78"/>
    </row>
    <row r="1423" spans="5:5">
      <c r="E1423" s="78"/>
    </row>
    <row r="1424" spans="5:5">
      <c r="E1424" s="78"/>
    </row>
    <row r="1425" spans="5:5">
      <c r="E1425" s="78"/>
    </row>
    <row r="1426" spans="5:5">
      <c r="E1426" s="78"/>
    </row>
    <row r="1427" spans="5:5">
      <c r="E1427" s="78"/>
    </row>
    <row r="1428" spans="5:5">
      <c r="E1428" s="78"/>
    </row>
    <row r="1429" spans="5:5">
      <c r="E1429" s="78"/>
    </row>
    <row r="1430" spans="5:5">
      <c r="E1430" s="78"/>
    </row>
    <row r="1431" spans="5:5">
      <c r="E1431" s="78"/>
    </row>
    <row r="1432" spans="5:5">
      <c r="E1432" s="78"/>
    </row>
    <row r="1433" spans="5:5">
      <c r="E1433" s="78"/>
    </row>
    <row r="1434" spans="5:5">
      <c r="E1434" s="78"/>
    </row>
    <row r="1435" spans="5:5">
      <c r="E1435" s="78"/>
    </row>
    <row r="1436" spans="5:5">
      <c r="E1436" s="78"/>
    </row>
    <row r="1437" spans="5:5">
      <c r="E1437" s="78"/>
    </row>
    <row r="1438" spans="5:5">
      <c r="E1438" s="78"/>
    </row>
    <row r="1439" spans="5:5">
      <c r="E1439" s="78"/>
    </row>
    <row r="1440" spans="5:5">
      <c r="E1440" s="78"/>
    </row>
    <row r="1441" spans="5:5">
      <c r="E1441" s="78"/>
    </row>
    <row r="1442" spans="5:5">
      <c r="E1442" s="78"/>
    </row>
    <row r="1443" spans="5:5">
      <c r="E1443" s="78"/>
    </row>
    <row r="1444" spans="5:5">
      <c r="E1444" s="78"/>
    </row>
    <row r="1445" spans="5:5">
      <c r="E1445" s="78"/>
    </row>
    <row r="1446" spans="5:5">
      <c r="E1446" s="78"/>
    </row>
    <row r="1447" spans="5:5">
      <c r="E1447" s="78"/>
    </row>
    <row r="1448" spans="5:5">
      <c r="E1448" s="78"/>
    </row>
    <row r="1449" spans="5:5">
      <c r="E1449" s="78"/>
    </row>
    <row r="1450" spans="5:5">
      <c r="E1450" s="78"/>
    </row>
    <row r="1451" spans="5:5">
      <c r="E1451" s="78"/>
    </row>
    <row r="1452" spans="5:5">
      <c r="E1452" s="78"/>
    </row>
    <row r="1453" spans="5:5">
      <c r="E1453" s="78"/>
    </row>
    <row r="1454" spans="5:5">
      <c r="E1454" s="78"/>
    </row>
    <row r="1455" spans="5:5">
      <c r="E1455" s="78"/>
    </row>
    <row r="1456" spans="5:5">
      <c r="E1456" s="78"/>
    </row>
    <row r="1457" spans="5:5">
      <c r="E1457" s="78"/>
    </row>
    <row r="1458" spans="5:5">
      <c r="E1458" s="78"/>
    </row>
    <row r="1459" spans="5:5">
      <c r="E1459" s="78"/>
    </row>
    <row r="1460" spans="5:5">
      <c r="E1460" s="78"/>
    </row>
    <row r="1461" spans="5:5">
      <c r="E1461" s="78"/>
    </row>
    <row r="1462" spans="5:5">
      <c r="E1462" s="78"/>
    </row>
    <row r="1463" spans="5:5">
      <c r="E1463" s="78"/>
    </row>
    <row r="1464" spans="5:5">
      <c r="E1464" s="78"/>
    </row>
    <row r="1465" spans="5:5">
      <c r="E1465" s="78"/>
    </row>
    <row r="1466" spans="5:5">
      <c r="E1466" s="78"/>
    </row>
    <row r="1467" spans="5:5">
      <c r="E1467" s="78"/>
    </row>
    <row r="1468" spans="5:5">
      <c r="E1468" s="78"/>
    </row>
    <row r="1469" spans="5:5">
      <c r="E1469" s="78"/>
    </row>
    <row r="1470" spans="5:5">
      <c r="E1470" s="78"/>
    </row>
    <row r="1471" spans="5:5">
      <c r="E1471" s="78"/>
    </row>
    <row r="1472" spans="5:5">
      <c r="E1472" s="78"/>
    </row>
    <row r="1473" spans="5:5">
      <c r="E1473" s="78"/>
    </row>
    <row r="1474" spans="5:5">
      <c r="E1474" s="78"/>
    </row>
    <row r="1475" spans="5:5">
      <c r="E1475" s="78"/>
    </row>
    <row r="1476" spans="5:5">
      <c r="E1476" s="78"/>
    </row>
    <row r="1477" spans="5:5">
      <c r="E1477" s="78"/>
    </row>
    <row r="1478" spans="5:5">
      <c r="E1478" s="78"/>
    </row>
    <row r="1479" spans="5:5">
      <c r="E1479" s="78"/>
    </row>
    <row r="1480" spans="5:5">
      <c r="E1480" s="78"/>
    </row>
    <row r="1481" spans="5:5">
      <c r="E1481" s="78"/>
    </row>
    <row r="1482" spans="5:5">
      <c r="E1482" s="78"/>
    </row>
    <row r="1483" spans="5:5">
      <c r="E1483" s="78"/>
    </row>
    <row r="1484" spans="5:5">
      <c r="E1484" s="78"/>
    </row>
    <row r="1485" spans="5:5">
      <c r="E1485" s="78"/>
    </row>
    <row r="1486" spans="5:5">
      <c r="E1486" s="78"/>
    </row>
    <row r="1487" spans="5:5">
      <c r="E1487" s="78"/>
    </row>
    <row r="1488" spans="5:5">
      <c r="E1488" s="78"/>
    </row>
    <row r="1489" spans="5:5">
      <c r="E1489" s="78"/>
    </row>
    <row r="1490" spans="5:5">
      <c r="E1490" s="78"/>
    </row>
    <row r="1491" spans="5:5">
      <c r="E1491" s="78"/>
    </row>
    <row r="1492" spans="5:5">
      <c r="E1492" s="78"/>
    </row>
    <row r="1493" spans="5:5">
      <c r="E1493" s="78"/>
    </row>
    <row r="1494" spans="5:5">
      <c r="E1494" s="78"/>
    </row>
    <row r="1495" spans="5:5">
      <c r="E1495" s="78"/>
    </row>
    <row r="1496" spans="5:5">
      <c r="E1496" s="78"/>
    </row>
    <row r="1497" spans="5:5">
      <c r="E1497" s="78"/>
    </row>
    <row r="1498" spans="5:5">
      <c r="E1498" s="78"/>
    </row>
    <row r="1499" spans="5:5">
      <c r="E1499" s="78"/>
    </row>
    <row r="1500" spans="5:5">
      <c r="E1500" s="78"/>
    </row>
    <row r="1501" spans="5:5">
      <c r="E1501" s="78"/>
    </row>
    <row r="1502" spans="5:5">
      <c r="E1502" s="78"/>
    </row>
    <row r="1503" spans="5:5">
      <c r="E1503" s="78"/>
    </row>
    <row r="1504" spans="5:5">
      <c r="E1504" s="78"/>
    </row>
    <row r="1505" spans="5:5">
      <c r="E1505" s="78"/>
    </row>
    <row r="1506" spans="5:5">
      <c r="E1506" s="78"/>
    </row>
    <row r="1507" spans="5:5">
      <c r="E1507" s="78"/>
    </row>
    <row r="1508" spans="5:5">
      <c r="E1508" s="78"/>
    </row>
    <row r="1509" spans="5:5">
      <c r="E1509" s="78"/>
    </row>
    <row r="1510" spans="5:5">
      <c r="E1510" s="78"/>
    </row>
    <row r="1511" spans="5:5">
      <c r="E1511" s="78"/>
    </row>
    <row r="1512" spans="5:5">
      <c r="E1512" s="78"/>
    </row>
    <row r="1513" spans="5:5">
      <c r="E1513" s="78"/>
    </row>
    <row r="1514" spans="5:5">
      <c r="E1514" s="78"/>
    </row>
    <row r="1515" spans="5:5">
      <c r="E1515" s="78"/>
    </row>
    <row r="1516" spans="5:5">
      <c r="E1516" s="78"/>
    </row>
    <row r="1517" spans="5:5">
      <c r="E1517" s="78"/>
    </row>
    <row r="1518" spans="5:5">
      <c r="E1518" s="78"/>
    </row>
    <row r="1519" spans="5:5">
      <c r="E1519" s="78"/>
    </row>
    <row r="1520" spans="5:5">
      <c r="E1520" s="78"/>
    </row>
    <row r="1521" spans="5:5">
      <c r="E1521" s="78"/>
    </row>
    <row r="1522" spans="5:5">
      <c r="E1522" s="78"/>
    </row>
    <row r="1523" spans="5:5">
      <c r="E1523" s="78"/>
    </row>
    <row r="1524" spans="5:5">
      <c r="E1524" s="78"/>
    </row>
    <row r="1525" spans="5:5">
      <c r="E1525" s="78"/>
    </row>
    <row r="1526" spans="5:5">
      <c r="E1526" s="78"/>
    </row>
    <row r="1527" spans="5:5">
      <c r="E1527" s="78"/>
    </row>
    <row r="1528" spans="5:5">
      <c r="E1528" s="78"/>
    </row>
    <row r="1529" spans="5:5">
      <c r="E1529" s="78"/>
    </row>
    <row r="1530" spans="5:5">
      <c r="E1530" s="78"/>
    </row>
    <row r="1531" spans="5:5">
      <c r="E1531" s="78"/>
    </row>
    <row r="1532" spans="5:5">
      <c r="E1532" s="78"/>
    </row>
    <row r="1533" spans="5:5">
      <c r="E1533" s="78"/>
    </row>
    <row r="1534" spans="5:5">
      <c r="E1534" s="78"/>
    </row>
    <row r="1535" spans="5:5">
      <c r="E1535" s="78"/>
    </row>
    <row r="1536" spans="5:5">
      <c r="E1536" s="78"/>
    </row>
    <row r="1537" spans="5:5">
      <c r="E1537" s="78"/>
    </row>
    <row r="1538" spans="5:5">
      <c r="E1538" s="78"/>
    </row>
    <row r="1539" spans="5:5">
      <c r="E1539" s="78"/>
    </row>
    <row r="1540" spans="5:5">
      <c r="E1540" s="78"/>
    </row>
    <row r="1541" spans="5:5">
      <c r="E1541" s="78"/>
    </row>
    <row r="1542" spans="5:5">
      <c r="E1542" s="78"/>
    </row>
    <row r="1543" spans="5:5">
      <c r="E1543" s="78"/>
    </row>
    <row r="1544" spans="5:5">
      <c r="E1544" s="78"/>
    </row>
    <row r="1545" spans="5:5">
      <c r="E1545" s="78"/>
    </row>
    <row r="1546" spans="5:5">
      <c r="E1546" s="78"/>
    </row>
    <row r="1547" spans="5:5">
      <c r="E1547" s="78"/>
    </row>
    <row r="1548" spans="5:5">
      <c r="E1548" s="78"/>
    </row>
    <row r="1549" spans="5:5">
      <c r="E1549" s="78"/>
    </row>
    <row r="1550" spans="5:5">
      <c r="E1550" s="78"/>
    </row>
    <row r="1551" spans="5:5">
      <c r="E1551" s="78"/>
    </row>
    <row r="1552" spans="5:5">
      <c r="E1552" s="78"/>
    </row>
    <row r="1553" spans="5:5">
      <c r="E1553" s="78"/>
    </row>
    <row r="1554" spans="5:5">
      <c r="E1554" s="78"/>
    </row>
    <row r="1555" spans="5:5">
      <c r="E1555" s="78"/>
    </row>
    <row r="1556" spans="5:5">
      <c r="E1556" s="78"/>
    </row>
    <row r="1557" spans="5:5">
      <c r="E1557" s="78"/>
    </row>
    <row r="1558" spans="5:5">
      <c r="E1558" s="78"/>
    </row>
    <row r="1559" spans="5:5">
      <c r="E1559" s="78"/>
    </row>
    <row r="1560" spans="5:5">
      <c r="E1560" s="78"/>
    </row>
    <row r="1561" spans="5:5">
      <c r="E1561" s="78"/>
    </row>
    <row r="1562" spans="5:5">
      <c r="E1562" s="78"/>
    </row>
    <row r="1563" spans="5:5">
      <c r="E1563" s="78"/>
    </row>
    <row r="1564" spans="5:5">
      <c r="E1564" s="78"/>
    </row>
    <row r="1565" spans="5:5">
      <c r="E1565" s="78"/>
    </row>
    <row r="1566" spans="5:5">
      <c r="E1566" s="78"/>
    </row>
    <row r="1567" spans="5:5">
      <c r="E1567" s="78"/>
    </row>
    <row r="1568" spans="5:5">
      <c r="E1568" s="78"/>
    </row>
    <row r="1569" spans="5:5">
      <c r="E1569" s="78"/>
    </row>
    <row r="1570" spans="5:5">
      <c r="E1570" s="78"/>
    </row>
    <row r="1571" spans="5:5">
      <c r="E1571" s="78"/>
    </row>
    <row r="1572" spans="5:5">
      <c r="E1572" s="78"/>
    </row>
    <row r="1573" spans="5:5">
      <c r="E1573" s="78"/>
    </row>
    <row r="1574" spans="5:5">
      <c r="E1574" s="78"/>
    </row>
    <row r="1575" spans="5:5">
      <c r="E1575" s="78"/>
    </row>
    <row r="1576" spans="5:5">
      <c r="E1576" s="78"/>
    </row>
    <row r="1577" spans="5:5">
      <c r="E1577" s="78"/>
    </row>
    <row r="1578" spans="5:5">
      <c r="E1578" s="78"/>
    </row>
    <row r="1579" spans="5:5">
      <c r="E1579" s="78"/>
    </row>
    <row r="1580" spans="5:5">
      <c r="E1580" s="78"/>
    </row>
    <row r="1581" spans="5:5">
      <c r="E1581" s="78"/>
    </row>
    <row r="1582" spans="5:5">
      <c r="E1582" s="78"/>
    </row>
    <row r="1583" spans="5:5">
      <c r="E1583" s="78"/>
    </row>
    <row r="1584" spans="5:5">
      <c r="E1584" s="78"/>
    </row>
    <row r="1585" spans="5:5">
      <c r="E1585" s="78"/>
    </row>
    <row r="1586" spans="5:5">
      <c r="E1586" s="78"/>
    </row>
    <row r="1587" spans="5:5">
      <c r="E1587" s="78"/>
    </row>
    <row r="1588" spans="5:5">
      <c r="E1588" s="78"/>
    </row>
    <row r="1589" spans="5:5">
      <c r="E1589" s="78"/>
    </row>
    <row r="1590" spans="5:5">
      <c r="E1590" s="78"/>
    </row>
    <row r="1591" spans="5:5">
      <c r="E1591" s="78"/>
    </row>
    <row r="1592" spans="5:5">
      <c r="E1592" s="78"/>
    </row>
    <row r="1593" spans="5:5">
      <c r="E1593" s="78"/>
    </row>
    <row r="1594" spans="5:5">
      <c r="E1594" s="78"/>
    </row>
    <row r="1595" spans="5:5">
      <c r="E1595" s="78"/>
    </row>
    <row r="1596" spans="5:5">
      <c r="E1596" s="78"/>
    </row>
    <row r="1597" spans="5:5">
      <c r="E1597" s="78"/>
    </row>
    <row r="1598" spans="5:5">
      <c r="E1598" s="78"/>
    </row>
    <row r="1599" spans="5:5">
      <c r="E1599" s="78"/>
    </row>
    <row r="1600" spans="5:5">
      <c r="E1600" s="78"/>
    </row>
    <row r="1601" spans="5:5">
      <c r="E1601" s="78"/>
    </row>
    <row r="1602" spans="5:5">
      <c r="E1602" s="78"/>
    </row>
    <row r="1603" spans="5:5">
      <c r="E1603" s="78"/>
    </row>
    <row r="1604" spans="5:5">
      <c r="E1604" s="78"/>
    </row>
    <row r="1605" spans="5:5">
      <c r="E1605" s="78"/>
    </row>
    <row r="1606" spans="5:5">
      <c r="E1606" s="78"/>
    </row>
    <row r="1607" spans="5:5">
      <c r="E1607" s="78"/>
    </row>
    <row r="1608" spans="5:5">
      <c r="E1608" s="78"/>
    </row>
    <row r="1609" spans="5:5">
      <c r="E1609" s="78"/>
    </row>
    <row r="1610" spans="5:5">
      <c r="E1610" s="78"/>
    </row>
    <row r="1611" spans="5:5">
      <c r="E1611" s="78"/>
    </row>
    <row r="1612" spans="5:5">
      <c r="E1612" s="78"/>
    </row>
    <row r="1613" spans="5:5">
      <c r="E1613" s="78"/>
    </row>
    <row r="1614" spans="5:5">
      <c r="E1614" s="78"/>
    </row>
    <row r="1615" spans="5:5">
      <c r="E1615" s="78"/>
    </row>
    <row r="1616" spans="5:5">
      <c r="E1616" s="78"/>
    </row>
    <row r="1617" spans="5:5">
      <c r="E1617" s="78"/>
    </row>
    <row r="1618" spans="5:5">
      <c r="E1618" s="78"/>
    </row>
    <row r="1619" spans="5:5">
      <c r="E1619" s="78"/>
    </row>
    <row r="1620" spans="5:5">
      <c r="E1620" s="78"/>
    </row>
    <row r="1621" spans="5:5">
      <c r="E1621" s="78"/>
    </row>
    <row r="1622" spans="5:5">
      <c r="E1622" s="78"/>
    </row>
    <row r="1623" spans="5:5">
      <c r="E1623" s="78"/>
    </row>
    <row r="1624" spans="5:5">
      <c r="E1624" s="78"/>
    </row>
    <row r="1625" spans="5:5">
      <c r="E1625" s="78"/>
    </row>
    <row r="1626" spans="5:5">
      <c r="E1626" s="78"/>
    </row>
    <row r="1627" spans="5:5">
      <c r="E1627" s="78"/>
    </row>
    <row r="1628" spans="5:5">
      <c r="E1628" s="78"/>
    </row>
    <row r="1629" spans="5:5">
      <c r="E1629" s="78"/>
    </row>
    <row r="1630" spans="5:5">
      <c r="E1630" s="78"/>
    </row>
    <row r="1631" spans="5:5">
      <c r="E1631" s="78"/>
    </row>
    <row r="1632" spans="5:5">
      <c r="E1632" s="78"/>
    </row>
    <row r="1633" spans="5:5">
      <c r="E1633" s="78"/>
    </row>
    <row r="1634" spans="5:5">
      <c r="E1634" s="78"/>
    </row>
    <row r="1635" spans="5:5">
      <c r="E1635" s="78"/>
    </row>
    <row r="1636" spans="5:5">
      <c r="E1636" s="78"/>
    </row>
    <row r="1637" spans="5:5">
      <c r="E1637" s="78"/>
    </row>
    <row r="1638" spans="5:5">
      <c r="E1638" s="78"/>
    </row>
    <row r="1639" spans="5:5">
      <c r="E1639" s="78"/>
    </row>
    <row r="1640" spans="5:5">
      <c r="E1640" s="78"/>
    </row>
    <row r="1641" spans="5:5">
      <c r="E1641" s="78"/>
    </row>
    <row r="1642" spans="5:5">
      <c r="E1642" s="78"/>
    </row>
    <row r="1643" spans="5:5">
      <c r="E1643" s="78"/>
    </row>
    <row r="1644" spans="5:5">
      <c r="E1644" s="78"/>
    </row>
    <row r="1645" spans="5:5">
      <c r="E1645" s="78"/>
    </row>
    <row r="1646" spans="5:5">
      <c r="E1646" s="78"/>
    </row>
    <row r="1647" spans="5:5">
      <c r="E1647" s="78"/>
    </row>
    <row r="1648" spans="5:5">
      <c r="E1648" s="78"/>
    </row>
    <row r="1649" spans="5:5">
      <c r="E1649" s="78"/>
    </row>
    <row r="1650" spans="5:5">
      <c r="E1650" s="78"/>
    </row>
    <row r="1651" spans="5:5">
      <c r="E1651" s="78"/>
    </row>
    <row r="1652" spans="5:5">
      <c r="E1652" s="78"/>
    </row>
    <row r="1653" spans="5:5">
      <c r="E1653" s="78"/>
    </row>
    <row r="1654" spans="5:5">
      <c r="E1654" s="78"/>
    </row>
    <row r="1655" spans="5:5">
      <c r="E1655" s="78"/>
    </row>
    <row r="1656" spans="5:5">
      <c r="E1656" s="78"/>
    </row>
    <row r="1657" spans="5:5">
      <c r="E1657" s="78"/>
    </row>
    <row r="1658" spans="5:5">
      <c r="E1658" s="78"/>
    </row>
    <row r="1659" spans="5:5">
      <c r="E1659" s="78"/>
    </row>
    <row r="1660" spans="5:5">
      <c r="E1660" s="78"/>
    </row>
    <row r="1661" spans="5:5">
      <c r="E1661" s="78"/>
    </row>
    <row r="1662" spans="5:5">
      <c r="E1662" s="78"/>
    </row>
    <row r="1663" spans="5:5">
      <c r="E1663" s="78"/>
    </row>
    <row r="1664" spans="5:5">
      <c r="E1664" s="78"/>
    </row>
    <row r="1665" spans="5:5">
      <c r="E1665" s="78"/>
    </row>
    <row r="1666" spans="5:5">
      <c r="E1666" s="78"/>
    </row>
    <row r="1667" spans="5:5">
      <c r="E1667" s="78"/>
    </row>
    <row r="1668" spans="5:5">
      <c r="E1668" s="78"/>
    </row>
    <row r="1669" spans="5:5">
      <c r="E1669" s="78"/>
    </row>
    <row r="1670" spans="5:5">
      <c r="E1670" s="78"/>
    </row>
    <row r="1671" spans="5:5">
      <c r="E1671" s="78"/>
    </row>
    <row r="1672" spans="5:5">
      <c r="E1672" s="78"/>
    </row>
    <row r="1673" spans="5:5">
      <c r="E1673" s="78"/>
    </row>
    <row r="1674" spans="5:5">
      <c r="E1674" s="78"/>
    </row>
    <row r="1675" spans="5:5">
      <c r="E1675" s="78"/>
    </row>
    <row r="1676" spans="5:5">
      <c r="E1676" s="78"/>
    </row>
    <row r="1677" spans="5:5">
      <c r="E1677" s="78"/>
    </row>
    <row r="1678" spans="5:5">
      <c r="E1678" s="78"/>
    </row>
    <row r="1679" spans="5:5">
      <c r="E1679" s="78"/>
    </row>
    <row r="1680" spans="5:5">
      <c r="E1680" s="78"/>
    </row>
    <row r="1681" spans="5:5">
      <c r="E1681" s="78"/>
    </row>
    <row r="1682" spans="5:5">
      <c r="E1682" s="78"/>
    </row>
    <row r="1683" spans="5:5">
      <c r="E1683" s="78"/>
    </row>
    <row r="1684" spans="5:5">
      <c r="E1684" s="78"/>
    </row>
    <row r="1685" spans="5:5">
      <c r="E1685" s="78"/>
    </row>
    <row r="1686" spans="5:5">
      <c r="E1686" s="78"/>
    </row>
    <row r="1687" spans="5:5">
      <c r="E1687" s="78"/>
    </row>
    <row r="1688" spans="5:5">
      <c r="E1688" s="78"/>
    </row>
    <row r="1689" spans="5:5">
      <c r="E1689" s="78"/>
    </row>
    <row r="1690" spans="5:5">
      <c r="E1690" s="78"/>
    </row>
    <row r="1691" spans="5:5">
      <c r="E1691" s="78"/>
    </row>
    <row r="1692" spans="5:5">
      <c r="E1692" s="78"/>
    </row>
    <row r="1693" spans="5:5">
      <c r="E1693" s="78"/>
    </row>
    <row r="1694" spans="5:5">
      <c r="E1694" s="78"/>
    </row>
    <row r="1695" spans="5:5">
      <c r="E1695" s="78"/>
    </row>
    <row r="1696" spans="5:5">
      <c r="E1696" s="78"/>
    </row>
    <row r="1697" spans="5:5">
      <c r="E1697" s="78"/>
    </row>
    <row r="1698" spans="5:5">
      <c r="E1698" s="78"/>
    </row>
    <row r="1699" spans="5:5">
      <c r="E1699" s="78"/>
    </row>
    <row r="1700" spans="5:5">
      <c r="E1700" s="78"/>
    </row>
    <row r="1701" spans="5:5">
      <c r="E1701" s="78"/>
    </row>
    <row r="1702" spans="5:5">
      <c r="E1702" s="78"/>
    </row>
    <row r="1703" spans="5:5">
      <c r="E1703" s="78"/>
    </row>
    <row r="1704" spans="5:5">
      <c r="E1704" s="78"/>
    </row>
    <row r="1705" spans="5:5">
      <c r="E1705" s="78"/>
    </row>
    <row r="1706" spans="5:5">
      <c r="E1706" s="78"/>
    </row>
    <row r="1707" spans="5:5">
      <c r="E1707" s="78"/>
    </row>
    <row r="1708" spans="5:5">
      <c r="E1708" s="78"/>
    </row>
    <row r="1709" spans="5:5">
      <c r="E1709" s="78"/>
    </row>
    <row r="1710" spans="5:5">
      <c r="E1710" s="78"/>
    </row>
    <row r="1711" spans="5:5">
      <c r="E1711" s="78"/>
    </row>
    <row r="1712" spans="5:5">
      <c r="E1712" s="78"/>
    </row>
    <row r="1713" spans="5:5">
      <c r="E1713" s="78"/>
    </row>
    <row r="1714" spans="5:5">
      <c r="E1714" s="78"/>
    </row>
    <row r="1715" spans="5:5">
      <c r="E1715" s="78"/>
    </row>
    <row r="1716" spans="5:5">
      <c r="E1716" s="78"/>
    </row>
    <row r="1717" spans="5:5">
      <c r="E1717" s="78"/>
    </row>
    <row r="1718" spans="5:5">
      <c r="E1718" s="78"/>
    </row>
    <row r="1719" spans="5:5">
      <c r="E1719" s="78"/>
    </row>
    <row r="1720" spans="5:5">
      <c r="E1720" s="78"/>
    </row>
    <row r="1721" spans="5:5">
      <c r="E1721" s="78"/>
    </row>
    <row r="1722" spans="5:5">
      <c r="E1722" s="78"/>
    </row>
    <row r="1723" spans="5:5">
      <c r="E1723" s="78"/>
    </row>
    <row r="1724" spans="5:5">
      <c r="E1724" s="78"/>
    </row>
    <row r="1725" spans="5:5">
      <c r="E1725" s="78"/>
    </row>
    <row r="1726" spans="5:5">
      <c r="E1726" s="78"/>
    </row>
    <row r="1727" spans="5:5">
      <c r="E1727" s="78"/>
    </row>
    <row r="1728" spans="5:5">
      <c r="E1728" s="78"/>
    </row>
    <row r="1729" spans="5:5">
      <c r="E1729" s="78"/>
    </row>
    <row r="1730" spans="5:5">
      <c r="E1730" s="78"/>
    </row>
    <row r="1731" spans="5:5">
      <c r="E1731" s="78"/>
    </row>
    <row r="1732" spans="5:5">
      <c r="E1732" s="78"/>
    </row>
    <row r="1733" spans="5:5">
      <c r="E1733" s="78"/>
    </row>
    <row r="1734" spans="5:5">
      <c r="E1734" s="78"/>
    </row>
    <row r="1735" spans="5:5">
      <c r="E1735" s="78"/>
    </row>
    <row r="1736" spans="5:5">
      <c r="E1736" s="78"/>
    </row>
    <row r="1737" spans="5:5">
      <c r="E1737" s="78"/>
    </row>
    <row r="1738" spans="5:5">
      <c r="E1738" s="78"/>
    </row>
    <row r="1739" spans="5:5">
      <c r="E1739" s="78"/>
    </row>
    <row r="1740" spans="5:5">
      <c r="E1740" s="78"/>
    </row>
    <row r="1741" spans="5:5">
      <c r="E1741" s="78"/>
    </row>
    <row r="1742" spans="5:5">
      <c r="E1742" s="78"/>
    </row>
    <row r="1743" spans="5:5">
      <c r="E1743" s="78"/>
    </row>
    <row r="1744" spans="5:5">
      <c r="E1744" s="78"/>
    </row>
    <row r="1745" spans="5:5">
      <c r="E1745" s="78"/>
    </row>
    <row r="1746" spans="5:5">
      <c r="E1746" s="78"/>
    </row>
    <row r="1747" spans="5:5">
      <c r="E1747" s="78"/>
    </row>
    <row r="1748" spans="5:5">
      <c r="E1748" s="78"/>
    </row>
    <row r="1749" spans="5:5">
      <c r="E1749" s="78"/>
    </row>
    <row r="1750" spans="5:5">
      <c r="E1750" s="78"/>
    </row>
    <row r="1751" spans="5:5">
      <c r="E1751" s="78"/>
    </row>
    <row r="1752" spans="5:5">
      <c r="E1752" s="78"/>
    </row>
    <row r="1753" spans="5:5">
      <c r="E1753" s="78"/>
    </row>
    <row r="1754" spans="5:5">
      <c r="E1754" s="78"/>
    </row>
    <row r="1755" spans="5:5">
      <c r="E1755" s="78"/>
    </row>
    <row r="1756" spans="5:5">
      <c r="E1756" s="78"/>
    </row>
    <row r="1757" spans="5:5">
      <c r="E1757" s="78"/>
    </row>
    <row r="1758" spans="5:5">
      <c r="E1758" s="78"/>
    </row>
    <row r="1759" spans="5:5">
      <c r="E1759" s="78"/>
    </row>
    <row r="1760" spans="5:5">
      <c r="E1760" s="78"/>
    </row>
    <row r="1761" spans="5:5">
      <c r="E1761" s="78"/>
    </row>
    <row r="1762" spans="5:5">
      <c r="E1762" s="78"/>
    </row>
    <row r="1763" spans="5:5">
      <c r="E1763" s="78"/>
    </row>
    <row r="1764" spans="5:5">
      <c r="E1764" s="78"/>
    </row>
    <row r="1765" spans="5:5">
      <c r="E1765" s="78"/>
    </row>
    <row r="1766" spans="5:5">
      <c r="E1766" s="78"/>
    </row>
    <row r="1767" spans="5:5">
      <c r="E1767" s="78"/>
    </row>
    <row r="1768" spans="5:5">
      <c r="E1768" s="78"/>
    </row>
    <row r="1769" spans="5:5">
      <c r="E1769" s="78"/>
    </row>
    <row r="1770" spans="5:5">
      <c r="E1770" s="78"/>
    </row>
    <row r="1771" spans="5:5">
      <c r="E1771" s="78"/>
    </row>
    <row r="1772" spans="5:5">
      <c r="E1772" s="78"/>
    </row>
    <row r="1773" spans="5:5">
      <c r="E1773" s="78"/>
    </row>
    <row r="1774" spans="5:5">
      <c r="E1774" s="78"/>
    </row>
    <row r="1775" spans="5:5">
      <c r="E1775" s="78"/>
    </row>
    <row r="1776" spans="5:5">
      <c r="E1776" s="78"/>
    </row>
    <row r="1777" spans="5:5">
      <c r="E1777" s="78"/>
    </row>
    <row r="1778" spans="5:5">
      <c r="E1778" s="78"/>
    </row>
    <row r="1779" spans="5:5">
      <c r="E1779" s="78"/>
    </row>
    <row r="1780" spans="5:5">
      <c r="E1780" s="78"/>
    </row>
    <row r="1781" spans="5:5">
      <c r="E1781" s="78"/>
    </row>
    <row r="1782" spans="5:5">
      <c r="E1782" s="78"/>
    </row>
    <row r="1783" spans="5:5">
      <c r="E1783" s="78"/>
    </row>
    <row r="1784" spans="5:5">
      <c r="E1784" s="78"/>
    </row>
    <row r="1785" spans="5:5">
      <c r="E1785" s="78"/>
    </row>
    <row r="1786" spans="5:5">
      <c r="E1786" s="78"/>
    </row>
    <row r="1787" spans="5:5">
      <c r="E1787" s="78"/>
    </row>
    <row r="1788" spans="5:5">
      <c r="E1788" s="78"/>
    </row>
    <row r="1789" spans="5:5">
      <c r="E1789" s="78"/>
    </row>
    <row r="1790" spans="5:5">
      <c r="E1790" s="78"/>
    </row>
    <row r="1791" spans="5:5">
      <c r="E1791" s="78"/>
    </row>
    <row r="1792" spans="5:5">
      <c r="E1792" s="78"/>
    </row>
    <row r="1793" spans="5:5">
      <c r="E1793" s="78"/>
    </row>
    <row r="1794" spans="5:5">
      <c r="E1794" s="78"/>
    </row>
    <row r="1795" spans="5:5">
      <c r="E1795" s="78"/>
    </row>
    <row r="1796" spans="5:5">
      <c r="E1796" s="78"/>
    </row>
    <row r="1797" spans="5:5">
      <c r="E1797" s="78"/>
    </row>
    <row r="1798" spans="5:5">
      <c r="E1798" s="78"/>
    </row>
    <row r="1799" spans="5:5">
      <c r="E1799" s="78"/>
    </row>
    <row r="1800" spans="5:5">
      <c r="E1800" s="78"/>
    </row>
    <row r="1801" spans="5:5">
      <c r="E1801" s="78"/>
    </row>
    <row r="1802" spans="5:5">
      <c r="E1802" s="78"/>
    </row>
    <row r="1803" spans="5:5">
      <c r="E1803" s="78"/>
    </row>
    <row r="1804" spans="5:5">
      <c r="E1804" s="78"/>
    </row>
    <row r="1805" spans="5:5">
      <c r="E1805" s="78"/>
    </row>
    <row r="1806" spans="5:5">
      <c r="E1806" s="78"/>
    </row>
    <row r="1807" spans="5:5">
      <c r="E1807" s="78"/>
    </row>
    <row r="1808" spans="5:5">
      <c r="E1808" s="78"/>
    </row>
    <row r="1809" spans="5:5">
      <c r="E1809" s="78"/>
    </row>
    <row r="1810" spans="5:5">
      <c r="E1810" s="78"/>
    </row>
    <row r="1811" spans="5:5">
      <c r="E1811" s="78"/>
    </row>
    <row r="1812" spans="5:5">
      <c r="E1812" s="78"/>
    </row>
    <row r="1813" spans="5:5">
      <c r="E1813" s="78"/>
    </row>
    <row r="1814" spans="5:5">
      <c r="E1814" s="78"/>
    </row>
    <row r="1815" spans="5:5">
      <c r="E1815" s="78"/>
    </row>
    <row r="1816" spans="5:5">
      <c r="E1816" s="78"/>
    </row>
    <row r="1817" spans="5:5">
      <c r="E1817" s="78"/>
    </row>
    <row r="1818" spans="5:5">
      <c r="E1818" s="78"/>
    </row>
    <row r="1819" spans="5:5">
      <c r="E1819" s="78"/>
    </row>
    <row r="1820" spans="5:5">
      <c r="E1820" s="78"/>
    </row>
    <row r="1821" spans="5:5">
      <c r="E1821" s="78"/>
    </row>
    <row r="1822" spans="5:5">
      <c r="E1822" s="78"/>
    </row>
    <row r="1823" spans="5:5">
      <c r="E1823" s="78"/>
    </row>
    <row r="1824" spans="5:5">
      <c r="E1824" s="78"/>
    </row>
    <row r="1825" spans="5:5">
      <c r="E1825" s="78"/>
    </row>
    <row r="1826" spans="5:5">
      <c r="E1826" s="78"/>
    </row>
    <row r="1827" spans="5:5">
      <c r="E1827" s="78"/>
    </row>
    <row r="1828" spans="5:5">
      <c r="E1828" s="78"/>
    </row>
    <row r="1829" spans="5:5">
      <c r="E1829" s="78"/>
    </row>
    <row r="1830" spans="5:5">
      <c r="E1830" s="78"/>
    </row>
    <row r="1831" spans="5:5">
      <c r="E1831" s="78"/>
    </row>
    <row r="1832" spans="5:5">
      <c r="E1832" s="78"/>
    </row>
    <row r="1833" spans="5:5">
      <c r="E1833" s="78"/>
    </row>
    <row r="1834" spans="5:5">
      <c r="E1834" s="78"/>
    </row>
    <row r="1835" spans="5:5">
      <c r="E1835" s="78"/>
    </row>
    <row r="1836" spans="5:5">
      <c r="E1836" s="78"/>
    </row>
    <row r="1837" spans="5:5">
      <c r="E1837" s="78"/>
    </row>
    <row r="1838" spans="5:5">
      <c r="E1838" s="78"/>
    </row>
    <row r="1839" spans="5:5">
      <c r="E1839" s="78"/>
    </row>
    <row r="1840" spans="5:5">
      <c r="E1840" s="78"/>
    </row>
    <row r="1841" spans="5:5">
      <c r="E1841" s="78"/>
    </row>
    <row r="1842" spans="5:5">
      <c r="E1842" s="78"/>
    </row>
    <row r="1843" spans="5:5">
      <c r="E1843" s="78"/>
    </row>
    <row r="1844" spans="5:5">
      <c r="E1844" s="78"/>
    </row>
    <row r="1845" spans="5:5">
      <c r="E1845" s="78"/>
    </row>
    <row r="1846" spans="5:5">
      <c r="E1846" s="78"/>
    </row>
    <row r="1847" spans="5:5">
      <c r="E1847" s="78"/>
    </row>
    <row r="1848" spans="5:5">
      <c r="E1848" s="78"/>
    </row>
    <row r="1849" spans="5:5">
      <c r="E1849" s="78"/>
    </row>
    <row r="1850" spans="5:5">
      <c r="E1850" s="78"/>
    </row>
    <row r="1851" spans="5:5">
      <c r="E1851" s="78"/>
    </row>
    <row r="1852" spans="5:5">
      <c r="E1852" s="78"/>
    </row>
    <row r="1853" spans="5:5">
      <c r="E1853" s="78"/>
    </row>
    <row r="1854" spans="5:5">
      <c r="E1854" s="78"/>
    </row>
    <row r="1855" spans="5:5">
      <c r="E1855" s="78"/>
    </row>
    <row r="1856" spans="5:5">
      <c r="E1856" s="78"/>
    </row>
    <row r="1857" spans="5:5">
      <c r="E1857" s="78"/>
    </row>
    <row r="1858" spans="5:5">
      <c r="E1858" s="78"/>
    </row>
    <row r="1859" spans="5:5">
      <c r="E1859" s="78"/>
    </row>
    <row r="1860" spans="5:5">
      <c r="E1860" s="78"/>
    </row>
    <row r="1861" spans="5:5">
      <c r="E1861" s="78"/>
    </row>
    <row r="1862" spans="5:5">
      <c r="E1862" s="78"/>
    </row>
    <row r="1863" spans="5:5">
      <c r="E1863" s="78"/>
    </row>
    <row r="1864" spans="5:5">
      <c r="E1864" s="78"/>
    </row>
    <row r="1865" spans="5:5">
      <c r="E1865" s="78"/>
    </row>
    <row r="1866" spans="5:5">
      <c r="E1866" s="78"/>
    </row>
    <row r="1867" spans="5:5">
      <c r="E1867" s="78"/>
    </row>
    <row r="1868" spans="5:5">
      <c r="E1868" s="78"/>
    </row>
    <row r="1869" spans="5:5">
      <c r="E1869" s="78"/>
    </row>
    <row r="1870" spans="5:5">
      <c r="E1870" s="78"/>
    </row>
    <row r="1871" spans="5:5">
      <c r="E1871" s="78"/>
    </row>
    <row r="1872" spans="5:5">
      <c r="E1872" s="78"/>
    </row>
    <row r="1873" spans="5:5">
      <c r="E1873" s="78"/>
    </row>
    <row r="1874" spans="5:5">
      <c r="E1874" s="78"/>
    </row>
    <row r="1875" spans="5:5">
      <c r="E1875" s="78"/>
    </row>
    <row r="1876" spans="5:5">
      <c r="E1876" s="78"/>
    </row>
    <row r="1877" spans="5:5">
      <c r="E1877" s="78"/>
    </row>
    <row r="1878" spans="5:5">
      <c r="E1878" s="78"/>
    </row>
    <row r="1879" spans="5:5">
      <c r="E1879" s="78"/>
    </row>
    <row r="1880" spans="5:5">
      <c r="E1880" s="78"/>
    </row>
    <row r="1881" spans="5:5">
      <c r="E1881" s="78"/>
    </row>
    <row r="1882" spans="5:5">
      <c r="E1882" s="78"/>
    </row>
    <row r="1883" spans="5:5">
      <c r="E1883" s="78"/>
    </row>
    <row r="1884" spans="5:5">
      <c r="E1884" s="78"/>
    </row>
    <row r="1885" spans="5:5">
      <c r="E1885" s="78"/>
    </row>
    <row r="1886" spans="5:5">
      <c r="E1886" s="78"/>
    </row>
    <row r="1887" spans="5:5">
      <c r="E1887" s="78"/>
    </row>
    <row r="1888" spans="5:5">
      <c r="E1888" s="78"/>
    </row>
    <row r="1889" spans="5:5">
      <c r="E1889" s="78"/>
    </row>
    <row r="1890" spans="5:5">
      <c r="E1890" s="78"/>
    </row>
    <row r="1891" spans="5:5">
      <c r="E1891" s="78"/>
    </row>
    <row r="1892" spans="5:5">
      <c r="E1892" s="78"/>
    </row>
    <row r="1893" spans="5:5">
      <c r="E1893" s="78"/>
    </row>
    <row r="1894" spans="5:5">
      <c r="E1894" s="78"/>
    </row>
    <row r="1895" spans="5:5">
      <c r="E1895" s="78"/>
    </row>
    <row r="1896" spans="5:5">
      <c r="E1896" s="78"/>
    </row>
    <row r="1897" spans="5:5">
      <c r="E1897" s="78"/>
    </row>
    <row r="1898" spans="5:5">
      <c r="E1898" s="78"/>
    </row>
    <row r="1899" spans="5:5">
      <c r="E1899" s="78"/>
    </row>
    <row r="1900" spans="5:5">
      <c r="E1900" s="78"/>
    </row>
    <row r="1901" spans="5:5">
      <c r="E1901" s="78"/>
    </row>
    <row r="1902" spans="5:5">
      <c r="E1902" s="78"/>
    </row>
    <row r="1903" spans="5:5">
      <c r="E1903" s="78"/>
    </row>
    <row r="1904" spans="5:5">
      <c r="E1904" s="78"/>
    </row>
    <row r="1905" spans="5:5">
      <c r="E1905" s="78"/>
    </row>
    <row r="1906" spans="5:5">
      <c r="E1906" s="78"/>
    </row>
    <row r="1907" spans="5:5">
      <c r="E1907" s="78"/>
    </row>
    <row r="1908" spans="5:5">
      <c r="E1908" s="78"/>
    </row>
    <row r="1909" spans="5:5">
      <c r="E1909" s="78"/>
    </row>
    <row r="1910" spans="5:5">
      <c r="E1910" s="78"/>
    </row>
    <row r="1911" spans="5:5">
      <c r="E1911" s="78"/>
    </row>
    <row r="1912" spans="5:5">
      <c r="E1912" s="78"/>
    </row>
    <row r="1913" spans="5:5">
      <c r="E1913" s="78"/>
    </row>
    <row r="1914" spans="5:5">
      <c r="E1914" s="78"/>
    </row>
    <row r="1915" spans="5:5">
      <c r="E1915" s="78"/>
    </row>
    <row r="1916" spans="5:5">
      <c r="E1916" s="78"/>
    </row>
    <row r="1917" spans="5:5">
      <c r="E1917" s="78"/>
    </row>
    <row r="1918" spans="5:5">
      <c r="E1918" s="78"/>
    </row>
    <row r="1919" spans="5:5">
      <c r="E1919" s="78"/>
    </row>
    <row r="1920" spans="5:5">
      <c r="E1920" s="78"/>
    </row>
    <row r="1921" spans="5:5">
      <c r="E1921" s="78"/>
    </row>
    <row r="1922" spans="5:5">
      <c r="E1922" s="78"/>
    </row>
    <row r="1923" spans="5:5">
      <c r="E1923" s="78"/>
    </row>
    <row r="1924" spans="5:5">
      <c r="E1924" s="78"/>
    </row>
    <row r="1925" spans="5:5">
      <c r="E1925" s="78"/>
    </row>
    <row r="1926" spans="5:5">
      <c r="E1926" s="78"/>
    </row>
    <row r="1927" spans="5:5">
      <c r="E1927" s="78"/>
    </row>
    <row r="1928" spans="5:5">
      <c r="E1928" s="78"/>
    </row>
    <row r="1929" spans="5:5">
      <c r="E1929" s="78"/>
    </row>
    <row r="1930" spans="5:5">
      <c r="E1930" s="78"/>
    </row>
    <row r="1931" spans="5:5">
      <c r="E1931" s="78"/>
    </row>
    <row r="1932" spans="5:5">
      <c r="E1932" s="78"/>
    </row>
    <row r="1933" spans="5:5">
      <c r="E1933" s="78"/>
    </row>
    <row r="1934" spans="5:5">
      <c r="E1934" s="78"/>
    </row>
    <row r="1935" spans="5:5">
      <c r="E1935" s="78"/>
    </row>
    <row r="1936" spans="5:5">
      <c r="E1936" s="78"/>
    </row>
    <row r="1937" spans="5:5">
      <c r="E1937" s="78"/>
    </row>
    <row r="1938" spans="5:5">
      <c r="E1938" s="78"/>
    </row>
    <row r="1939" spans="5:5">
      <c r="E1939" s="78"/>
    </row>
    <row r="1940" spans="5:5">
      <c r="E1940" s="78"/>
    </row>
    <row r="1941" spans="5:5">
      <c r="E1941" s="78"/>
    </row>
    <row r="1942" spans="5:5">
      <c r="E1942" s="78"/>
    </row>
    <row r="1943" spans="5:5">
      <c r="E1943" s="78"/>
    </row>
    <row r="1944" spans="5:5">
      <c r="E1944" s="78"/>
    </row>
    <row r="1945" spans="5:5">
      <c r="E1945" s="78"/>
    </row>
    <row r="1946" spans="5:5">
      <c r="E1946" s="78"/>
    </row>
    <row r="1947" spans="5:5">
      <c r="E1947" s="78"/>
    </row>
    <row r="1948" spans="5:5">
      <c r="E1948" s="78"/>
    </row>
    <row r="1949" spans="5:5">
      <c r="E1949" s="78"/>
    </row>
    <row r="1950" spans="5:5">
      <c r="E1950" s="78"/>
    </row>
    <row r="1951" spans="5:5">
      <c r="E1951" s="78"/>
    </row>
    <row r="1952" spans="5:5">
      <c r="E1952" s="78"/>
    </row>
    <row r="1953" spans="5:5">
      <c r="E1953" s="78"/>
    </row>
    <row r="1954" spans="5:5">
      <c r="E1954" s="78"/>
    </row>
    <row r="1955" spans="5:5">
      <c r="E1955" s="78"/>
    </row>
    <row r="1956" spans="5:5">
      <c r="E1956" s="78"/>
    </row>
    <row r="1957" spans="5:5">
      <c r="E1957" s="78"/>
    </row>
    <row r="1958" spans="5:5">
      <c r="E1958" s="78"/>
    </row>
    <row r="1959" spans="5:5">
      <c r="E1959" s="78"/>
    </row>
    <row r="1960" spans="5:5">
      <c r="E1960" s="78"/>
    </row>
    <row r="1961" spans="5:5">
      <c r="E1961" s="78"/>
    </row>
    <row r="1962" spans="5:5">
      <c r="E1962" s="78"/>
    </row>
    <row r="1963" spans="5:5">
      <c r="E1963" s="78"/>
    </row>
    <row r="1964" spans="5:5">
      <c r="E1964" s="78"/>
    </row>
    <row r="1965" spans="5:5">
      <c r="E1965" s="78"/>
    </row>
  </sheetData>
  <mergeCells count="15">
    <mergeCell ref="A1:F1"/>
    <mergeCell ref="A4:F4"/>
    <mergeCell ref="A5:F5"/>
    <mergeCell ref="A6:F6"/>
    <mergeCell ref="A8:A9"/>
    <mergeCell ref="B8:B9"/>
    <mergeCell ref="C8:C9"/>
    <mergeCell ref="C3:F3"/>
    <mergeCell ref="B120:F120"/>
    <mergeCell ref="E119:F119"/>
    <mergeCell ref="B117:E117"/>
    <mergeCell ref="E8:E9"/>
    <mergeCell ref="F8:F9"/>
    <mergeCell ref="B116:E116"/>
    <mergeCell ref="B118:F118"/>
  </mergeCells>
  <pageMargins left="0.54" right="0" top="0.47244094488188981" bottom="0.59055118110236227" header="0" footer="0"/>
  <pageSetup paperSize="9" scale="77" fitToHeight="3" orientation="portrait" r:id="rId1"/>
  <headerFooter alignWithMargins="0"/>
  <customProperties>
    <customPr name="krista_fm_consts" r:id="rId2"/>
  </customProperties>
</worksheet>
</file>

<file path=xl/worksheets/sheet10.xml><?xml version="1.0" encoding="utf-8"?>
<worksheet xmlns="http://schemas.openxmlformats.org/spreadsheetml/2006/main" xmlns:r="http://schemas.openxmlformats.org/officeDocument/2006/relationships">
  <sheetPr>
    <pageSetUpPr fitToPage="1"/>
  </sheetPr>
  <dimension ref="A1:S156"/>
  <sheetViews>
    <sheetView view="pageBreakPreview" topLeftCell="A107" zoomScaleSheetLayoutView="100" workbookViewId="0">
      <selection activeCell="A140" sqref="A140:G140"/>
    </sheetView>
  </sheetViews>
  <sheetFormatPr defaultColWidth="9.140625" defaultRowHeight="15.75"/>
  <cols>
    <col min="1" max="1" width="8" style="593" customWidth="1"/>
    <col min="2" max="2" width="86.42578125" style="361" customWidth="1"/>
    <col min="3" max="3" width="13" style="460" hidden="1" customWidth="1"/>
    <col min="4" max="4" width="18.140625" style="361" customWidth="1"/>
    <col min="5" max="5" width="18.42578125" style="361" customWidth="1"/>
    <col min="6" max="6" width="15.85546875" style="361" customWidth="1"/>
    <col min="7" max="7" width="15.85546875" style="461" customWidth="1"/>
    <col min="8" max="8" width="15.85546875" style="361" hidden="1" customWidth="1"/>
    <col min="9" max="9" width="41.28515625" style="592" hidden="1" customWidth="1"/>
    <col min="10" max="10" width="0" style="591" hidden="1" customWidth="1"/>
    <col min="11" max="11" width="0" style="361" hidden="1" customWidth="1"/>
    <col min="12" max="12" width="15.5703125" style="361" hidden="1" customWidth="1"/>
    <col min="13" max="17" width="0" style="361" hidden="1" customWidth="1"/>
    <col min="18" max="18" width="10.28515625" style="361" bestFit="1" customWidth="1"/>
    <col min="19" max="19" width="11.28515625" style="361" bestFit="1" customWidth="1"/>
    <col min="20" max="16384" width="9.140625" style="361"/>
  </cols>
  <sheetData>
    <row r="1" spans="1:19" hidden="1">
      <c r="A1" s="2326" t="s">
        <v>78</v>
      </c>
      <c r="B1" s="2326"/>
      <c r="D1" s="696"/>
      <c r="E1" s="696"/>
    </row>
    <row r="2" spans="1:19" s="321" customFormat="1">
      <c r="C2" s="455"/>
      <c r="D2" s="322"/>
      <c r="E2" s="322"/>
      <c r="F2" s="323" t="s">
        <v>429</v>
      </c>
      <c r="G2" s="323"/>
      <c r="H2" s="323"/>
      <c r="I2" s="599"/>
      <c r="J2" s="598"/>
    </row>
    <row r="3" spans="1:19" s="321" customFormat="1">
      <c r="C3" s="455"/>
      <c r="D3" s="322"/>
      <c r="E3" s="322"/>
      <c r="F3" s="323"/>
      <c r="G3" s="458"/>
      <c r="H3" s="323"/>
      <c r="I3" s="599"/>
      <c r="J3" s="598"/>
    </row>
    <row r="4" spans="1:19" s="321" customFormat="1">
      <c r="A4" s="2309" t="s">
        <v>5</v>
      </c>
      <c r="B4" s="2309"/>
      <c r="C4" s="2309"/>
      <c r="D4" s="2309"/>
      <c r="E4" s="2309"/>
      <c r="F4" s="2309"/>
      <c r="G4" s="2309"/>
      <c r="H4" s="379"/>
      <c r="I4" s="599"/>
      <c r="J4" s="598"/>
    </row>
    <row r="5" spans="1:19" s="321" customFormat="1">
      <c r="C5" s="455"/>
      <c r="D5" s="2319"/>
      <c r="E5" s="2319"/>
      <c r="F5" s="2319"/>
      <c r="G5" s="695"/>
      <c r="H5" s="695"/>
      <c r="I5" s="599"/>
      <c r="J5" s="598"/>
    </row>
    <row r="6" spans="1:19" s="321" customFormat="1" ht="12.75" customHeight="1">
      <c r="A6" s="2309" t="s">
        <v>236</v>
      </c>
      <c r="B6" s="2309"/>
      <c r="C6" s="2309"/>
      <c r="D6" s="2309"/>
      <c r="E6" s="2309"/>
      <c r="F6" s="2309"/>
      <c r="G6" s="2309"/>
      <c r="H6" s="379"/>
      <c r="I6" s="599"/>
      <c r="J6" s="598"/>
    </row>
    <row r="7" spans="1:19" s="321" customFormat="1">
      <c r="A7" s="2309" t="s">
        <v>428</v>
      </c>
      <c r="B7" s="2309"/>
      <c r="C7" s="2309"/>
      <c r="D7" s="2309"/>
      <c r="E7" s="2309"/>
      <c r="F7" s="2309"/>
      <c r="G7" s="2309"/>
      <c r="H7" s="379"/>
      <c r="I7" s="599"/>
      <c r="J7" s="598"/>
    </row>
    <row r="8" spans="1:19" s="321" customFormat="1">
      <c r="A8" s="327"/>
      <c r="B8" s="327"/>
      <c r="C8" s="455"/>
      <c r="D8" s="327"/>
      <c r="E8" s="327"/>
      <c r="F8" s="327"/>
      <c r="G8" s="695"/>
      <c r="H8" s="327"/>
      <c r="I8" s="599"/>
      <c r="J8" s="598"/>
    </row>
    <row r="9" spans="1:19" s="321" customFormat="1">
      <c r="A9" s="327"/>
      <c r="B9" s="327"/>
      <c r="C9" s="455"/>
      <c r="D9" s="327"/>
      <c r="E9" s="327"/>
      <c r="F9" s="327"/>
      <c r="G9" s="695" t="s">
        <v>230</v>
      </c>
      <c r="H9" s="327"/>
      <c r="I9" s="599"/>
      <c r="J9" s="598"/>
    </row>
    <row r="10" spans="1:19" ht="76.5" customHeight="1">
      <c r="A10" s="2340" t="s">
        <v>18</v>
      </c>
      <c r="B10" s="2342" t="s">
        <v>0</v>
      </c>
      <c r="C10" s="2333" t="s">
        <v>427</v>
      </c>
      <c r="D10" s="2316" t="s">
        <v>349</v>
      </c>
      <c r="E10" s="2316" t="s">
        <v>235</v>
      </c>
      <c r="F10" s="2343" t="s">
        <v>237</v>
      </c>
      <c r="G10" s="2344" t="s">
        <v>238</v>
      </c>
      <c r="H10" s="2330" t="s">
        <v>426</v>
      </c>
      <c r="I10" s="2335" t="s">
        <v>425</v>
      </c>
    </row>
    <row r="11" spans="1:19" ht="105.75" customHeight="1">
      <c r="A11" s="2341"/>
      <c r="B11" s="2342"/>
      <c r="C11" s="2334"/>
      <c r="D11" s="2316"/>
      <c r="E11" s="2316"/>
      <c r="F11" s="2343"/>
      <c r="G11" s="2345"/>
      <c r="H11" s="2330"/>
      <c r="I11" s="2336"/>
    </row>
    <row r="12" spans="1:19">
      <c r="A12" s="329">
        <v>1</v>
      </c>
      <c r="B12" s="329">
        <v>2</v>
      </c>
      <c r="C12" s="628"/>
      <c r="D12" s="329">
        <v>3</v>
      </c>
      <c r="E12" s="329">
        <v>4</v>
      </c>
      <c r="F12" s="694">
        <v>5</v>
      </c>
      <c r="G12" s="694">
        <v>6</v>
      </c>
      <c r="H12" s="693">
        <v>7</v>
      </c>
      <c r="I12" s="263">
        <v>7</v>
      </c>
    </row>
    <row r="13" spans="1:19" s="683" customFormat="1" ht="40.5" customHeight="1">
      <c r="A13" s="692"/>
      <c r="B13" s="691" t="s">
        <v>10</v>
      </c>
      <c r="C13" s="690"/>
      <c r="D13" s="688">
        <f>SUM(D21,D116)</f>
        <v>1314516</v>
      </c>
      <c r="E13" s="688">
        <f>SUM(E21,E116)</f>
        <v>1314516</v>
      </c>
      <c r="F13" s="688">
        <f>SUM(F21,F116)</f>
        <v>0</v>
      </c>
      <c r="G13" s="689">
        <f>IF(F13=0,0,F13/D13*100)</f>
        <v>0</v>
      </c>
      <c r="H13" s="688" t="e">
        <f>SUM(H21,H116)</f>
        <v>#REF!</v>
      </c>
      <c r="I13" s="687" t="s">
        <v>353</v>
      </c>
      <c r="J13" s="686"/>
      <c r="L13" s="684"/>
      <c r="Q13" s="685">
        <f>D13-E13</f>
        <v>0</v>
      </c>
      <c r="S13" s="684"/>
    </row>
    <row r="14" spans="1:19">
      <c r="A14" s="626"/>
      <c r="B14" s="626" t="s">
        <v>1</v>
      </c>
      <c r="C14" s="628"/>
      <c r="D14" s="606"/>
      <c r="E14" s="606"/>
      <c r="F14" s="606"/>
      <c r="G14" s="384"/>
      <c r="H14" s="606"/>
      <c r="I14" s="263"/>
      <c r="Q14" s="385">
        <f>D14-E14</f>
        <v>0</v>
      </c>
    </row>
    <row r="15" spans="1:19" s="420" customFormat="1" ht="47.25">
      <c r="A15" s="682"/>
      <c r="B15" s="625" t="s">
        <v>424</v>
      </c>
      <c r="C15" s="624"/>
      <c r="D15" s="622">
        <f>D31+D104</f>
        <v>0</v>
      </c>
      <c r="E15" s="622">
        <f>E31+E104</f>
        <v>0</v>
      </c>
      <c r="F15" s="622">
        <f>F31+F104</f>
        <v>0</v>
      </c>
      <c r="G15" s="623">
        <f>IF(F15=0,0,F15/D15*100)</f>
        <v>0</v>
      </c>
      <c r="H15" s="622" t="e">
        <f>H31+H104</f>
        <v>#REF!</v>
      </c>
      <c r="I15" s="673" t="s">
        <v>353</v>
      </c>
      <c r="J15" s="672"/>
      <c r="Q15" s="671">
        <f>D15-E15</f>
        <v>0</v>
      </c>
    </row>
    <row r="16" spans="1:19" s="595" customFormat="1">
      <c r="A16" s="627"/>
      <c r="B16" s="681" t="s">
        <v>423</v>
      </c>
      <c r="C16" s="680"/>
      <c r="D16" s="678"/>
      <c r="E16" s="678"/>
      <c r="F16" s="678"/>
      <c r="G16" s="679"/>
      <c r="H16" s="678"/>
      <c r="I16" s="677"/>
      <c r="J16" s="676"/>
      <c r="Q16" s="675"/>
    </row>
    <row r="17" spans="1:17" s="595" customFormat="1">
      <c r="A17" s="627"/>
      <c r="B17" s="681" t="s">
        <v>422</v>
      </c>
      <c r="C17" s="680"/>
      <c r="D17" s="678"/>
      <c r="E17" s="678"/>
      <c r="F17" s="678"/>
      <c r="G17" s="679"/>
      <c r="H17" s="678"/>
      <c r="I17" s="677"/>
      <c r="J17" s="676"/>
      <c r="Q17" s="675"/>
    </row>
    <row r="18" spans="1:17" s="595" customFormat="1">
      <c r="A18" s="627"/>
      <c r="B18" s="681" t="s">
        <v>421</v>
      </c>
      <c r="C18" s="680"/>
      <c r="D18" s="678"/>
      <c r="E18" s="678"/>
      <c r="F18" s="678"/>
      <c r="G18" s="679"/>
      <c r="H18" s="678"/>
      <c r="I18" s="677"/>
      <c r="J18" s="676"/>
      <c r="Q18" s="675"/>
    </row>
    <row r="19" spans="1:17" s="595" customFormat="1">
      <c r="A19" s="627"/>
      <c r="B19" s="681" t="s">
        <v>420</v>
      </c>
      <c r="C19" s="680"/>
      <c r="D19" s="678"/>
      <c r="E19" s="678"/>
      <c r="F19" s="678"/>
      <c r="G19" s="679"/>
      <c r="H19" s="678"/>
      <c r="I19" s="677"/>
      <c r="J19" s="676"/>
      <c r="Q19" s="675"/>
    </row>
    <row r="20" spans="1:17" s="420" customFormat="1" ht="16.5" customHeight="1">
      <c r="A20" s="674"/>
      <c r="B20" s="625" t="s">
        <v>34</v>
      </c>
      <c r="C20" s="624"/>
      <c r="D20" s="622">
        <f>D13-D15</f>
        <v>1314516</v>
      </c>
      <c r="E20" s="622">
        <f>E13-E15</f>
        <v>1314516</v>
      </c>
      <c r="F20" s="622">
        <f>F13-F15</f>
        <v>0</v>
      </c>
      <c r="G20" s="623">
        <f>IF(F20=0,0,F20/D20*100)</f>
        <v>0</v>
      </c>
      <c r="H20" s="622" t="e">
        <f>H13-H15</f>
        <v>#REF!</v>
      </c>
      <c r="I20" s="673" t="s">
        <v>353</v>
      </c>
      <c r="J20" s="672"/>
      <c r="Q20" s="671">
        <f t="shared" ref="Q20:Q64" si="0">D20-E20</f>
        <v>0</v>
      </c>
    </row>
    <row r="21" spans="1:17" s="629" customFormat="1" ht="40.5" customHeight="1">
      <c r="A21" s="2331" t="s">
        <v>419</v>
      </c>
      <c r="B21" s="2332"/>
      <c r="C21" s="635"/>
      <c r="D21" s="633">
        <f>D25+D61</f>
        <v>781033</v>
      </c>
      <c r="E21" s="633">
        <f>E25+E61</f>
        <v>781033</v>
      </c>
      <c r="F21" s="633">
        <f>F25+F61</f>
        <v>0</v>
      </c>
      <c r="G21" s="634">
        <f>IF(F21=0,0,F21/D21*100)</f>
        <v>0</v>
      </c>
      <c r="H21" s="633" t="e">
        <f>H25+H61</f>
        <v>#REF!</v>
      </c>
      <c r="I21" s="632" t="s">
        <v>353</v>
      </c>
      <c r="J21" s="631"/>
      <c r="Q21" s="630">
        <f t="shared" si="0"/>
        <v>0</v>
      </c>
    </row>
    <row r="22" spans="1:17">
      <c r="A22" s="626"/>
      <c r="B22" s="626" t="s">
        <v>1</v>
      </c>
      <c r="C22" s="628"/>
      <c r="D22" s="606"/>
      <c r="E22" s="606"/>
      <c r="F22" s="606"/>
      <c r="G22" s="384"/>
      <c r="H22" s="606"/>
      <c r="I22" s="263"/>
      <c r="Q22" s="385">
        <f t="shared" si="0"/>
        <v>0</v>
      </c>
    </row>
    <row r="23" spans="1:17" ht="47.25">
      <c r="A23" s="627"/>
      <c r="B23" s="625" t="s">
        <v>418</v>
      </c>
      <c r="C23" s="624"/>
      <c r="D23" s="622">
        <f>SUM(D31,D71,D104)</f>
        <v>0</v>
      </c>
      <c r="E23" s="622">
        <f>SUM(E31,E71,E104)</f>
        <v>0</v>
      </c>
      <c r="F23" s="622">
        <f>SUM(F31,F71,F104)</f>
        <v>0</v>
      </c>
      <c r="G23" s="623">
        <f>IF(F23=0,0,F23/D23*100)</f>
        <v>0</v>
      </c>
      <c r="H23" s="622">
        <f>H35+H108</f>
        <v>55892.3</v>
      </c>
      <c r="I23" s="263" t="s">
        <v>353</v>
      </c>
      <c r="Q23" s="385">
        <f t="shared" si="0"/>
        <v>0</v>
      </c>
    </row>
    <row r="24" spans="1:17" ht="16.5" customHeight="1">
      <c r="A24" s="626"/>
      <c r="B24" s="625" t="s">
        <v>34</v>
      </c>
      <c r="C24" s="624"/>
      <c r="D24" s="622">
        <f>SUM(D32,D56,D72,D77,D105,D114)</f>
        <v>781033</v>
      </c>
      <c r="E24" s="622">
        <f>SUM(E32,E56,E72,E77,E105,E114)</f>
        <v>781033</v>
      </c>
      <c r="F24" s="622">
        <f>SUM(F32,F56,F72,F77,F105,F114)</f>
        <v>0</v>
      </c>
      <c r="G24" s="623">
        <f>IF(F24=0,0,F24/D24*100)</f>
        <v>0</v>
      </c>
      <c r="H24" s="622" t="e">
        <f>H21-H23</f>
        <v>#REF!</v>
      </c>
      <c r="I24" s="263" t="s">
        <v>353</v>
      </c>
      <c r="Q24" s="385">
        <f t="shared" si="0"/>
        <v>0</v>
      </c>
    </row>
    <row r="25" spans="1:17" s="629" customFormat="1" ht="82.5" customHeight="1">
      <c r="A25" s="670" t="s">
        <v>6</v>
      </c>
      <c r="B25" s="662" t="s">
        <v>244</v>
      </c>
      <c r="C25" s="661"/>
      <c r="D25" s="660">
        <f>SUM(D29,D56)</f>
        <v>111672</v>
      </c>
      <c r="E25" s="660">
        <f>SUM(E29,E56)</f>
        <v>111672</v>
      </c>
      <c r="F25" s="660">
        <f>SUM(F29,F56)</f>
        <v>0</v>
      </c>
      <c r="G25" s="659">
        <f>IF(F25=0,0,F25/D25*100)</f>
        <v>0</v>
      </c>
      <c r="H25" s="644" t="e">
        <f>H56+H29</f>
        <v>#REF!</v>
      </c>
      <c r="I25" s="643" t="s">
        <v>353</v>
      </c>
      <c r="J25" s="631"/>
      <c r="Q25" s="630">
        <f t="shared" si="0"/>
        <v>0</v>
      </c>
    </row>
    <row r="26" spans="1:17">
      <c r="A26" s="626"/>
      <c r="B26" s="626" t="s">
        <v>1</v>
      </c>
      <c r="C26" s="628"/>
      <c r="D26" s="606"/>
      <c r="E26" s="606"/>
      <c r="F26" s="606"/>
      <c r="G26" s="384"/>
      <c r="H26" s="606"/>
      <c r="I26" s="263"/>
      <c r="Q26" s="385">
        <f t="shared" si="0"/>
        <v>0</v>
      </c>
    </row>
    <row r="27" spans="1:17" ht="31.5">
      <c r="A27" s="627"/>
      <c r="B27" s="616" t="s">
        <v>417</v>
      </c>
      <c r="C27" s="624"/>
      <c r="D27" s="622">
        <f>D31</f>
        <v>0</v>
      </c>
      <c r="E27" s="622">
        <f>E31</f>
        <v>0</v>
      </c>
      <c r="F27" s="622">
        <f>F31</f>
        <v>0</v>
      </c>
      <c r="G27" s="623">
        <f>IF(F27=0,0,F27/D27*100)</f>
        <v>0</v>
      </c>
      <c r="H27" s="622">
        <f>H39+H112</f>
        <v>2000</v>
      </c>
      <c r="I27" s="263" t="s">
        <v>353</v>
      </c>
      <c r="Q27" s="385">
        <f t="shared" si="0"/>
        <v>0</v>
      </c>
    </row>
    <row r="28" spans="1:17" ht="16.5" customHeight="1">
      <c r="A28" s="626"/>
      <c r="B28" s="625" t="s">
        <v>34</v>
      </c>
      <c r="C28" s="624"/>
      <c r="D28" s="622">
        <f>SUM(D32,D56)</f>
        <v>111672</v>
      </c>
      <c r="E28" s="622">
        <f>SUM(E32,E56)</f>
        <v>111672</v>
      </c>
      <c r="F28" s="622">
        <f>SUM(F32,F56)</f>
        <v>0</v>
      </c>
      <c r="G28" s="623">
        <f>IF(F28=0,0,F28/D28*100)</f>
        <v>0</v>
      </c>
      <c r="H28" s="622" t="e">
        <f>H25-H27</f>
        <v>#REF!</v>
      </c>
      <c r="I28" s="263" t="s">
        <v>353</v>
      </c>
      <c r="Q28" s="385">
        <f t="shared" si="0"/>
        <v>0</v>
      </c>
    </row>
    <row r="29" spans="1:17" ht="18" customHeight="1">
      <c r="A29" s="386" t="s">
        <v>30</v>
      </c>
      <c r="B29" s="387" t="s">
        <v>41</v>
      </c>
      <c r="C29" s="619"/>
      <c r="D29" s="388">
        <f>SUM(D31:D32)</f>
        <v>95187</v>
      </c>
      <c r="E29" s="388">
        <f>SUM(E31:E32)</f>
        <v>95187</v>
      </c>
      <c r="F29" s="388">
        <f>SUM(F31:F32)</f>
        <v>0</v>
      </c>
      <c r="G29" s="389">
        <f>IF(F29=0,0,F29/D29*100)</f>
        <v>0</v>
      </c>
      <c r="H29" s="41" t="e">
        <f>SUM(H31:H32)</f>
        <v>#REF!</v>
      </c>
      <c r="I29" s="263" t="s">
        <v>353</v>
      </c>
      <c r="Q29" s="385">
        <f t="shared" si="0"/>
        <v>0</v>
      </c>
    </row>
    <row r="30" spans="1:17">
      <c r="A30" s="612"/>
      <c r="B30" s="390" t="s">
        <v>1</v>
      </c>
      <c r="C30" s="602"/>
      <c r="D30" s="41"/>
      <c r="E30" s="41"/>
      <c r="F30" s="41"/>
      <c r="G30" s="384"/>
      <c r="H30" s="641"/>
      <c r="I30" s="263" t="s">
        <v>353</v>
      </c>
      <c r="Q30" s="385">
        <f t="shared" si="0"/>
        <v>0</v>
      </c>
    </row>
    <row r="31" spans="1:17" ht="31.5">
      <c r="A31" s="612"/>
      <c r="B31" s="616" t="s">
        <v>417</v>
      </c>
      <c r="C31" s="615"/>
      <c r="D31" s="611">
        <f>SUM(D39,D42,D46,D50,D54)</f>
        <v>0</v>
      </c>
      <c r="E31" s="611">
        <f>SUM(E39,E42,E46,E50,E54)</f>
        <v>0</v>
      </c>
      <c r="F31" s="611">
        <f>SUM(F39,F42,F46,F50,F54)</f>
        <v>0</v>
      </c>
      <c r="G31" s="391">
        <f>IF(F31=0,0,F31/D31*100)</f>
        <v>0</v>
      </c>
      <c r="H31" s="611" t="e">
        <f>SUM(H39,H42,#REF!,#REF!,H46,H50,H54,#REF!,#REF!,H35)</f>
        <v>#REF!</v>
      </c>
      <c r="I31" s="263" t="s">
        <v>353</v>
      </c>
      <c r="Q31" s="385">
        <f t="shared" si="0"/>
        <v>0</v>
      </c>
    </row>
    <row r="32" spans="1:17">
      <c r="A32" s="612"/>
      <c r="B32" s="616" t="s">
        <v>34</v>
      </c>
      <c r="C32" s="615"/>
      <c r="D32" s="611">
        <f>SUM(D36,D40,D43)</f>
        <v>95187</v>
      </c>
      <c r="E32" s="611">
        <f>SUM(E36,E40,E43)</f>
        <v>95187</v>
      </c>
      <c r="F32" s="611">
        <f>SUM(F36,F40,F43)</f>
        <v>0</v>
      </c>
      <c r="G32" s="391">
        <f>IF(F32=0,0,F32/D32*100)</f>
        <v>0</v>
      </c>
      <c r="H32" s="611" t="e">
        <f>SUM(H40,H43,#REF!,#REF!,H47,H51,H55,#REF!,#REF!)</f>
        <v>#REF!</v>
      </c>
      <c r="I32" s="263" t="s">
        <v>353</v>
      </c>
      <c r="Q32" s="385">
        <f t="shared" si="0"/>
        <v>0</v>
      </c>
    </row>
    <row r="33" spans="1:17" s="394" customFormat="1" ht="31.5">
      <c r="A33" s="392" t="s">
        <v>50</v>
      </c>
      <c r="B33" s="390" t="s">
        <v>87</v>
      </c>
      <c r="C33" s="602"/>
      <c r="D33" s="41">
        <f>SUM(D35:D36)</f>
        <v>54261</v>
      </c>
      <c r="E33" s="41">
        <f>SUM(E35:E36)</f>
        <v>54261</v>
      </c>
      <c r="F33" s="41">
        <f>SUM(F35:F36)</f>
        <v>0</v>
      </c>
      <c r="G33" s="393">
        <f>IF(F33=0,0,F33/D33*100)</f>
        <v>0</v>
      </c>
      <c r="H33" s="41">
        <f>SUM(H35:H36)</f>
        <v>0</v>
      </c>
      <c r="I33" s="2327"/>
      <c r="J33" s="608"/>
      <c r="Q33" s="385">
        <f t="shared" si="0"/>
        <v>0</v>
      </c>
    </row>
    <row r="34" spans="1:17">
      <c r="A34" s="395"/>
      <c r="B34" s="390" t="s">
        <v>1</v>
      </c>
      <c r="C34" s="602"/>
      <c r="D34" s="41"/>
      <c r="E34" s="41"/>
      <c r="F34" s="601"/>
      <c r="G34" s="396"/>
      <c r="H34" s="601"/>
      <c r="I34" s="2328"/>
      <c r="Q34" s="385">
        <f t="shared" si="0"/>
        <v>0</v>
      </c>
    </row>
    <row r="35" spans="1:17">
      <c r="A35" s="395"/>
      <c r="B35" s="383" t="s">
        <v>410</v>
      </c>
      <c r="C35" s="602"/>
      <c r="D35" s="27"/>
      <c r="E35" s="27"/>
      <c r="F35" s="601"/>
      <c r="G35" s="393">
        <f>IF(F35=0,0,F35/D35*100)</f>
        <v>0</v>
      </c>
      <c r="H35" s="601">
        <v>0</v>
      </c>
      <c r="I35" s="2328"/>
      <c r="L35" s="385"/>
      <c r="Q35" s="385">
        <f t="shared" si="0"/>
        <v>0</v>
      </c>
    </row>
    <row r="36" spans="1:17">
      <c r="A36" s="395"/>
      <c r="B36" s="383" t="s">
        <v>34</v>
      </c>
      <c r="C36" s="602"/>
      <c r="D36" s="27">
        <v>54261</v>
      </c>
      <c r="E36" s="27">
        <f>D36</f>
        <v>54261</v>
      </c>
      <c r="F36" s="601"/>
      <c r="G36" s="393">
        <f>IF(F36=0,0,F36/D36*100)</f>
        <v>0</v>
      </c>
      <c r="H36" s="601">
        <v>0</v>
      </c>
      <c r="I36" s="2329"/>
      <c r="Q36" s="385">
        <f t="shared" si="0"/>
        <v>0</v>
      </c>
    </row>
    <row r="37" spans="1:17" s="394" customFormat="1" ht="31.5">
      <c r="A37" s="392" t="s">
        <v>4</v>
      </c>
      <c r="B37" s="390" t="s">
        <v>276</v>
      </c>
      <c r="C37" s="602"/>
      <c r="D37" s="41">
        <f>SUM(D39:D40)</f>
        <v>18266</v>
      </c>
      <c r="E37" s="41">
        <f>SUM(E39:E40)</f>
        <v>18266</v>
      </c>
      <c r="F37" s="41">
        <f>SUM(F39:F40)</f>
        <v>0</v>
      </c>
      <c r="G37" s="393">
        <f>IF(F37=0,0,F37/D37*100)</f>
        <v>0</v>
      </c>
      <c r="H37" s="642">
        <f>SUM(H39:H40)</f>
        <v>2000</v>
      </c>
      <c r="I37" s="2337" t="s">
        <v>416</v>
      </c>
      <c r="J37" s="608"/>
      <c r="Q37" s="385">
        <f t="shared" si="0"/>
        <v>0</v>
      </c>
    </row>
    <row r="38" spans="1:17">
      <c r="A38" s="612"/>
      <c r="B38" s="390" t="s">
        <v>1</v>
      </c>
      <c r="C38" s="602"/>
      <c r="D38" s="41"/>
      <c r="E38" s="41"/>
      <c r="F38" s="601"/>
      <c r="G38" s="396"/>
      <c r="H38" s="641"/>
      <c r="I38" s="2338"/>
      <c r="Q38" s="385">
        <f t="shared" si="0"/>
        <v>0</v>
      </c>
    </row>
    <row r="39" spans="1:17">
      <c r="A39" s="612"/>
      <c r="B39" s="383" t="s">
        <v>415</v>
      </c>
      <c r="C39" s="602"/>
      <c r="D39" s="27"/>
      <c r="E39" s="27">
        <f>D39</f>
        <v>0</v>
      </c>
      <c r="F39" s="601">
        <v>0</v>
      </c>
      <c r="G39" s="393">
        <f t="shared" ref="G39:G44" si="1">IF(F39=0,0,F39/D39*100)</f>
        <v>0</v>
      </c>
      <c r="H39" s="641">
        <v>2000</v>
      </c>
      <c r="I39" s="2338"/>
      <c r="Q39" s="385">
        <f t="shared" si="0"/>
        <v>0</v>
      </c>
    </row>
    <row r="40" spans="1:17" ht="18.75" customHeight="1">
      <c r="A40" s="612"/>
      <c r="B40" s="383" t="s">
        <v>34</v>
      </c>
      <c r="C40" s="602"/>
      <c r="D40" s="27">
        <v>18266</v>
      </c>
      <c r="E40" s="27">
        <f>D40</f>
        <v>18266</v>
      </c>
      <c r="F40" s="601">
        <v>0</v>
      </c>
      <c r="G40" s="393">
        <f t="shared" si="1"/>
        <v>0</v>
      </c>
      <c r="H40" s="641">
        <v>0</v>
      </c>
      <c r="I40" s="2339"/>
      <c r="Q40" s="385">
        <f t="shared" si="0"/>
        <v>0</v>
      </c>
    </row>
    <row r="41" spans="1:17" s="394" customFormat="1" ht="83.25" customHeight="1">
      <c r="A41" s="669"/>
      <c r="B41" s="668" t="s">
        <v>414</v>
      </c>
      <c r="C41" s="613"/>
      <c r="D41" s="41">
        <f>SUM(D42:D43)</f>
        <v>22660</v>
      </c>
      <c r="E41" s="41">
        <f>SUM(E42:E43)</f>
        <v>22660</v>
      </c>
      <c r="F41" s="41">
        <f>SUM(F42:F43)</f>
        <v>0</v>
      </c>
      <c r="G41" s="393">
        <f t="shared" si="1"/>
        <v>0</v>
      </c>
      <c r="H41" s="642">
        <f>H42</f>
        <v>0</v>
      </c>
      <c r="I41" s="2327" t="s">
        <v>413</v>
      </c>
      <c r="J41" s="608"/>
      <c r="Q41" s="385">
        <f t="shared" si="0"/>
        <v>0</v>
      </c>
    </row>
    <row r="42" spans="1:17">
      <c r="A42" s="612"/>
      <c r="B42" s="383" t="s">
        <v>33</v>
      </c>
      <c r="C42" s="602"/>
      <c r="D42" s="27"/>
      <c r="E42" s="27"/>
      <c r="F42" s="601">
        <v>0</v>
      </c>
      <c r="G42" s="393">
        <f t="shared" si="1"/>
        <v>0</v>
      </c>
      <c r="H42" s="641">
        <v>0</v>
      </c>
      <c r="I42" s="2329"/>
      <c r="Q42" s="385">
        <f t="shared" si="0"/>
        <v>0</v>
      </c>
    </row>
    <row r="43" spans="1:17">
      <c r="A43" s="612"/>
      <c r="B43" s="383" t="s">
        <v>34</v>
      </c>
      <c r="C43" s="602"/>
      <c r="D43" s="27">
        <f>D47+D51+D55</f>
        <v>22660</v>
      </c>
      <c r="E43" s="27">
        <f>E47+E51+E55</f>
        <v>22660</v>
      </c>
      <c r="F43" s="601"/>
      <c r="G43" s="393">
        <f t="shared" si="1"/>
        <v>0</v>
      </c>
      <c r="H43" s="641"/>
      <c r="I43" s="263"/>
      <c r="Q43" s="385">
        <f t="shared" si="0"/>
        <v>0</v>
      </c>
    </row>
    <row r="44" spans="1:17" s="394" customFormat="1">
      <c r="A44" s="397" t="s">
        <v>140</v>
      </c>
      <c r="B44" s="390" t="s">
        <v>277</v>
      </c>
      <c r="C44" s="602"/>
      <c r="D44" s="41">
        <f>SUM(D46:D47)</f>
        <v>5078</v>
      </c>
      <c r="E44" s="41">
        <f>SUM(E46:E47)</f>
        <v>5078</v>
      </c>
      <c r="F44" s="41">
        <f>F46</f>
        <v>0</v>
      </c>
      <c r="G44" s="393">
        <f t="shared" si="1"/>
        <v>0</v>
      </c>
      <c r="H44" s="642">
        <f>H46</f>
        <v>0</v>
      </c>
      <c r="I44" s="2327"/>
      <c r="J44" s="608"/>
      <c r="Q44" s="385">
        <f t="shared" si="0"/>
        <v>0</v>
      </c>
    </row>
    <row r="45" spans="1:17">
      <c r="A45" s="612"/>
      <c r="B45" s="390" t="s">
        <v>1</v>
      </c>
      <c r="C45" s="602"/>
      <c r="D45" s="41"/>
      <c r="E45" s="41"/>
      <c r="F45" s="601"/>
      <c r="G45" s="396"/>
      <c r="H45" s="641"/>
      <c r="I45" s="2328"/>
      <c r="Q45" s="385">
        <f t="shared" si="0"/>
        <v>0</v>
      </c>
    </row>
    <row r="46" spans="1:17">
      <c r="A46" s="612"/>
      <c r="B46" s="383" t="s">
        <v>33</v>
      </c>
      <c r="C46" s="602"/>
      <c r="D46" s="27"/>
      <c r="E46" s="27"/>
      <c r="F46" s="641"/>
      <c r="G46" s="393">
        <f>IF(F46=0,0,F46/D46*100)</f>
        <v>0</v>
      </c>
      <c r="H46" s="641">
        <v>0</v>
      </c>
      <c r="I46" s="2328"/>
      <c r="L46" s="385" t="e">
        <f>F46+F50+F54+#REF!</f>
        <v>#REF!</v>
      </c>
      <c r="M46" s="385" t="e">
        <f>11478.662-L46</f>
        <v>#REF!</v>
      </c>
      <c r="Q46" s="385">
        <f t="shared" si="0"/>
        <v>0</v>
      </c>
    </row>
    <row r="47" spans="1:17">
      <c r="A47" s="612"/>
      <c r="B47" s="383" t="s">
        <v>34</v>
      </c>
      <c r="C47" s="602"/>
      <c r="D47" s="27">
        <v>5078</v>
      </c>
      <c r="E47" s="27">
        <f>D47</f>
        <v>5078</v>
      </c>
      <c r="F47" s="641"/>
      <c r="G47" s="393">
        <f>IF(F47=0,0,F47/D47*100)</f>
        <v>0</v>
      </c>
      <c r="H47" s="641">
        <v>0</v>
      </c>
      <c r="I47" s="2329"/>
      <c r="J47" s="640"/>
      <c r="Q47" s="385">
        <f t="shared" si="0"/>
        <v>0</v>
      </c>
    </row>
    <row r="48" spans="1:17" s="394" customFormat="1">
      <c r="A48" s="397" t="s">
        <v>141</v>
      </c>
      <c r="B48" s="390" t="s">
        <v>278</v>
      </c>
      <c r="C48" s="602"/>
      <c r="D48" s="41">
        <f>SUM(D50:D51)</f>
        <v>4882</v>
      </c>
      <c r="E48" s="41">
        <f>SUM(E50:E51)</f>
        <v>4882</v>
      </c>
      <c r="F48" s="642">
        <f>SUM(F50:F51)</f>
        <v>0</v>
      </c>
      <c r="G48" s="393">
        <f>IF(F48=0,0,F48/D48*100)</f>
        <v>0</v>
      </c>
      <c r="H48" s="642">
        <f>SUM(H50:H51)</f>
        <v>0</v>
      </c>
      <c r="I48" s="2327"/>
      <c r="J48" s="608"/>
      <c r="Q48" s="385">
        <f t="shared" si="0"/>
        <v>0</v>
      </c>
    </row>
    <row r="49" spans="1:18">
      <c r="A49" s="612"/>
      <c r="B49" s="390" t="s">
        <v>1</v>
      </c>
      <c r="C49" s="602"/>
      <c r="D49" s="41"/>
      <c r="E49" s="41"/>
      <c r="F49" s="641"/>
      <c r="G49" s="396"/>
      <c r="H49" s="641"/>
      <c r="I49" s="2328"/>
      <c r="Q49" s="385">
        <f t="shared" si="0"/>
        <v>0</v>
      </c>
    </row>
    <row r="50" spans="1:18">
      <c r="A50" s="612"/>
      <c r="B50" s="383" t="s">
        <v>33</v>
      </c>
      <c r="C50" s="602"/>
      <c r="D50" s="27"/>
      <c r="E50" s="27"/>
      <c r="F50" s="641">
        <v>0</v>
      </c>
      <c r="G50" s="393">
        <f>IF(F50=0,0,F50/D50*100)</f>
        <v>0</v>
      </c>
      <c r="H50" s="641">
        <v>0</v>
      </c>
      <c r="I50" s="2328"/>
      <c r="Q50" s="385">
        <f t="shared" si="0"/>
        <v>0</v>
      </c>
    </row>
    <row r="51" spans="1:18">
      <c r="A51" s="612"/>
      <c r="B51" s="383" t="s">
        <v>34</v>
      </c>
      <c r="C51" s="602"/>
      <c r="D51" s="27">
        <v>4882</v>
      </c>
      <c r="E51" s="27">
        <f>D51</f>
        <v>4882</v>
      </c>
      <c r="F51" s="641">
        <v>0</v>
      </c>
      <c r="G51" s="393">
        <f>IF(F51=0,0,F51/D51*100)</f>
        <v>0</v>
      </c>
      <c r="H51" s="641">
        <v>0</v>
      </c>
      <c r="I51" s="2329"/>
      <c r="J51" s="640"/>
      <c r="Q51" s="385">
        <f t="shared" si="0"/>
        <v>0</v>
      </c>
    </row>
    <row r="52" spans="1:18" s="394" customFormat="1">
      <c r="A52" s="397" t="s">
        <v>145</v>
      </c>
      <c r="B52" s="390" t="s">
        <v>279</v>
      </c>
      <c r="C52" s="602"/>
      <c r="D52" s="41">
        <f>SUM(D54:D55)</f>
        <v>12700</v>
      </c>
      <c r="E52" s="41">
        <f>SUM(E54:E55)</f>
        <v>12700</v>
      </c>
      <c r="F52" s="642">
        <f>SUM(F54:F55)</f>
        <v>0</v>
      </c>
      <c r="G52" s="393">
        <f>IF(F52=0,0,F52/D52*100)</f>
        <v>0</v>
      </c>
      <c r="H52" s="642">
        <f>SUM(H54:H55)</f>
        <v>5238.1000000000004</v>
      </c>
      <c r="I52" s="2327"/>
      <c r="J52" s="608"/>
      <c r="Q52" s="385">
        <f t="shared" si="0"/>
        <v>0</v>
      </c>
      <c r="R52" s="398"/>
    </row>
    <row r="53" spans="1:18">
      <c r="A53" s="612"/>
      <c r="B53" s="390" t="s">
        <v>1</v>
      </c>
      <c r="C53" s="602"/>
      <c r="D53" s="41"/>
      <c r="E53" s="41"/>
      <c r="F53" s="641"/>
      <c r="G53" s="396"/>
      <c r="H53" s="641"/>
      <c r="I53" s="2328"/>
      <c r="Q53" s="385">
        <f t="shared" si="0"/>
        <v>0</v>
      </c>
    </row>
    <row r="54" spans="1:18">
      <c r="A54" s="612"/>
      <c r="B54" s="383" t="s">
        <v>33</v>
      </c>
      <c r="C54" s="602"/>
      <c r="D54" s="27"/>
      <c r="E54" s="27"/>
      <c r="F54" s="641"/>
      <c r="G54" s="393">
        <f t="shared" ref="G54:G61" si="2">IF(F54=0,0,F54/D54*100)</f>
        <v>0</v>
      </c>
      <c r="H54" s="641">
        <v>5238.1000000000004</v>
      </c>
      <c r="I54" s="2328"/>
      <c r="Q54" s="385">
        <f t="shared" si="0"/>
        <v>0</v>
      </c>
    </row>
    <row r="55" spans="1:18">
      <c r="A55" s="612"/>
      <c r="B55" s="383" t="s">
        <v>34</v>
      </c>
      <c r="C55" s="602"/>
      <c r="D55" s="27">
        <v>12700</v>
      </c>
      <c r="E55" s="27">
        <f>D55</f>
        <v>12700</v>
      </c>
      <c r="F55" s="641"/>
      <c r="G55" s="393">
        <f t="shared" si="2"/>
        <v>0</v>
      </c>
      <c r="H55" s="641">
        <v>0</v>
      </c>
      <c r="I55" s="2329"/>
      <c r="J55" s="640"/>
      <c r="Q55" s="385">
        <f t="shared" si="0"/>
        <v>0</v>
      </c>
    </row>
    <row r="56" spans="1:18" ht="18" customHeight="1">
      <c r="A56" s="386" t="s">
        <v>31</v>
      </c>
      <c r="B56" s="387" t="s">
        <v>39</v>
      </c>
      <c r="C56" s="619"/>
      <c r="D56" s="388">
        <f>SUM(D57,D59)</f>
        <v>16485</v>
      </c>
      <c r="E56" s="388">
        <f>SUM(E57,E59)</f>
        <v>16485</v>
      </c>
      <c r="F56" s="388">
        <f>SUM(F57,F59)</f>
        <v>0</v>
      </c>
      <c r="G56" s="389">
        <f t="shared" si="2"/>
        <v>0</v>
      </c>
      <c r="H56" s="642" t="e">
        <f>SUM(#REF!,#REF!,#REF!,H59,H57,#REF!,#REF!)</f>
        <v>#REF!</v>
      </c>
      <c r="I56" s="263" t="s">
        <v>353</v>
      </c>
      <c r="Q56" s="385">
        <f t="shared" si="0"/>
        <v>0</v>
      </c>
    </row>
    <row r="57" spans="1:18">
      <c r="A57" s="381"/>
      <c r="B57" s="399" t="s">
        <v>12</v>
      </c>
      <c r="C57" s="665"/>
      <c r="D57" s="400">
        <f>D58</f>
        <v>4125</v>
      </c>
      <c r="E57" s="400">
        <f>E58</f>
        <v>4125</v>
      </c>
      <c r="F57" s="400">
        <f>F58</f>
        <v>0</v>
      </c>
      <c r="G57" s="391">
        <f t="shared" si="2"/>
        <v>0</v>
      </c>
      <c r="H57" s="667">
        <f>H58</f>
        <v>0</v>
      </c>
      <c r="I57" s="263" t="s">
        <v>353</v>
      </c>
      <c r="Q57" s="385">
        <f t="shared" si="0"/>
        <v>0</v>
      </c>
    </row>
    <row r="58" spans="1:18" ht="19.5" customHeight="1">
      <c r="A58" s="381" t="s">
        <v>146</v>
      </c>
      <c r="B58" s="401" t="s">
        <v>280</v>
      </c>
      <c r="C58" s="664"/>
      <c r="D58" s="402">
        <v>4125</v>
      </c>
      <c r="E58" s="402">
        <f>D58</f>
        <v>4125</v>
      </c>
      <c r="F58" s="652"/>
      <c r="G58" s="391">
        <f t="shared" si="2"/>
        <v>0</v>
      </c>
      <c r="H58" s="653">
        <v>0</v>
      </c>
      <c r="I58" s="666" t="s">
        <v>412</v>
      </c>
      <c r="Q58" s="385">
        <f t="shared" si="0"/>
        <v>0</v>
      </c>
    </row>
    <row r="59" spans="1:18">
      <c r="A59" s="395"/>
      <c r="B59" s="399" t="s">
        <v>281</v>
      </c>
      <c r="C59" s="665"/>
      <c r="D59" s="642">
        <f>D60</f>
        <v>12360</v>
      </c>
      <c r="E59" s="642">
        <f>E60</f>
        <v>12360</v>
      </c>
      <c r="F59" s="642">
        <f>F60</f>
        <v>0</v>
      </c>
      <c r="G59" s="391">
        <f t="shared" si="2"/>
        <v>0</v>
      </c>
      <c r="H59" s="41">
        <f>H60</f>
        <v>0</v>
      </c>
      <c r="I59" s="263" t="s">
        <v>353</v>
      </c>
      <c r="Q59" s="385">
        <f t="shared" si="0"/>
        <v>0</v>
      </c>
    </row>
    <row r="60" spans="1:18" ht="31.5">
      <c r="A60" s="381" t="s">
        <v>147</v>
      </c>
      <c r="B60" s="401" t="s">
        <v>282</v>
      </c>
      <c r="C60" s="664"/>
      <c r="D60" s="402">
        <v>12360</v>
      </c>
      <c r="E60" s="402">
        <f>D60</f>
        <v>12360</v>
      </c>
      <c r="F60" s="652"/>
      <c r="G60" s="391">
        <f t="shared" si="2"/>
        <v>0</v>
      </c>
      <c r="H60" s="653">
        <v>0</v>
      </c>
      <c r="I60" s="263"/>
      <c r="Q60" s="385">
        <f t="shared" si="0"/>
        <v>0</v>
      </c>
    </row>
    <row r="61" spans="1:18" s="629" customFormat="1" ht="45" customHeight="1">
      <c r="A61" s="663" t="s">
        <v>2</v>
      </c>
      <c r="B61" s="662" t="s">
        <v>221</v>
      </c>
      <c r="C61" s="661"/>
      <c r="D61" s="660">
        <f>SUM(D65,D98)</f>
        <v>669361</v>
      </c>
      <c r="E61" s="660">
        <f>SUM(E65,E98)</f>
        <v>669361</v>
      </c>
      <c r="F61" s="660">
        <f>SUM(F65,F98)</f>
        <v>0</v>
      </c>
      <c r="G61" s="659">
        <f t="shared" si="2"/>
        <v>0</v>
      </c>
      <c r="H61" s="644" t="e">
        <f>H114+H102</f>
        <v>#REF!</v>
      </c>
      <c r="I61" s="643" t="s">
        <v>353</v>
      </c>
      <c r="J61" s="631"/>
      <c r="Q61" s="630">
        <f t="shared" si="0"/>
        <v>0</v>
      </c>
    </row>
    <row r="62" spans="1:18">
      <c r="A62" s="626"/>
      <c r="B62" s="626" t="s">
        <v>1</v>
      </c>
      <c r="C62" s="628"/>
      <c r="D62" s="606"/>
      <c r="E62" s="606"/>
      <c r="F62" s="606"/>
      <c r="G62" s="384"/>
      <c r="H62" s="606"/>
      <c r="I62" s="263"/>
      <c r="Q62" s="385">
        <f t="shared" si="0"/>
        <v>0</v>
      </c>
    </row>
    <row r="63" spans="1:18" ht="31.5">
      <c r="A63" s="627"/>
      <c r="B63" s="625" t="s">
        <v>411</v>
      </c>
      <c r="C63" s="624"/>
      <c r="D63" s="622">
        <f>SUM(D71,D104)</f>
        <v>0</v>
      </c>
      <c r="E63" s="622">
        <f>SUM(E71,E104)</f>
        <v>0</v>
      </c>
      <c r="F63" s="622">
        <f>SUM(F71,F104)</f>
        <v>0</v>
      </c>
      <c r="G63" s="623">
        <f>IF(F63=0,0,F63/D63*100)</f>
        <v>0</v>
      </c>
      <c r="H63" s="622">
        <f>H78+H151</f>
        <v>0</v>
      </c>
      <c r="I63" s="263" t="s">
        <v>353</v>
      </c>
      <c r="Q63" s="385">
        <f t="shared" si="0"/>
        <v>0</v>
      </c>
    </row>
    <row r="64" spans="1:18" ht="16.5" customHeight="1">
      <c r="A64" s="626"/>
      <c r="B64" s="625" t="s">
        <v>34</v>
      </c>
      <c r="C64" s="624"/>
      <c r="D64" s="622">
        <f>SUM(D72,D77,D105,D114)</f>
        <v>669361</v>
      </c>
      <c r="E64" s="622">
        <f>SUM(E72,E77,E105,E114)</f>
        <v>669361</v>
      </c>
      <c r="F64" s="622">
        <f>SUM(F72,F77,F105,F114)</f>
        <v>0</v>
      </c>
      <c r="G64" s="623">
        <f>IF(F64=0,0,F64/D64*100)</f>
        <v>0</v>
      </c>
      <c r="H64" s="622" t="e">
        <f>H61-H63</f>
        <v>#REF!</v>
      </c>
      <c r="I64" s="263" t="s">
        <v>353</v>
      </c>
      <c r="Q64" s="385">
        <f t="shared" si="0"/>
        <v>0</v>
      </c>
    </row>
    <row r="65" spans="1:17" s="629" customFormat="1" ht="56.25" customHeight="1">
      <c r="A65" s="649" t="s">
        <v>246</v>
      </c>
      <c r="B65" s="648" t="s">
        <v>245</v>
      </c>
      <c r="C65" s="647"/>
      <c r="D65" s="646">
        <f>D69+D77</f>
        <v>602452</v>
      </c>
      <c r="E65" s="646">
        <f>E69+E77</f>
        <v>602452</v>
      </c>
      <c r="F65" s="646">
        <f>F69+F77</f>
        <v>0</v>
      </c>
      <c r="G65" s="645"/>
      <c r="H65" s="644"/>
      <c r="I65" s="643"/>
      <c r="J65" s="631"/>
      <c r="Q65" s="630"/>
    </row>
    <row r="66" spans="1:17">
      <c r="A66" s="626"/>
      <c r="B66" s="626" t="s">
        <v>1</v>
      </c>
      <c r="C66" s="628"/>
      <c r="D66" s="606"/>
      <c r="E66" s="606"/>
      <c r="F66" s="606"/>
      <c r="G66" s="384"/>
      <c r="H66" s="606"/>
      <c r="I66" s="263"/>
      <c r="Q66" s="385">
        <f t="shared" ref="Q66:Q78" si="3">D66-E66</f>
        <v>0</v>
      </c>
    </row>
    <row r="67" spans="1:17" ht="18" customHeight="1">
      <c r="A67" s="627"/>
      <c r="B67" s="616" t="s">
        <v>410</v>
      </c>
      <c r="C67" s="624"/>
      <c r="D67" s="622">
        <f>D71</f>
        <v>0</v>
      </c>
      <c r="E67" s="622">
        <f>E71</f>
        <v>0</v>
      </c>
      <c r="F67" s="622">
        <f>F71</f>
        <v>0</v>
      </c>
      <c r="G67" s="623">
        <f>IF(F67=0,0,F67/D67*100)</f>
        <v>0</v>
      </c>
      <c r="H67" s="622">
        <f>H82+H155</f>
        <v>0</v>
      </c>
      <c r="I67" s="263" t="s">
        <v>353</v>
      </c>
      <c r="Q67" s="385">
        <f t="shared" si="3"/>
        <v>0</v>
      </c>
    </row>
    <row r="68" spans="1:17" ht="16.5" customHeight="1">
      <c r="A68" s="626"/>
      <c r="B68" s="625" t="s">
        <v>34</v>
      </c>
      <c r="C68" s="624"/>
      <c r="D68" s="622">
        <f>SUM(D72,D77)</f>
        <v>602452</v>
      </c>
      <c r="E68" s="622">
        <f>SUM(E72,E77)</f>
        <v>602452</v>
      </c>
      <c r="F68" s="622">
        <f>SUM(F72,F77)</f>
        <v>0</v>
      </c>
      <c r="G68" s="623">
        <f>IF(F68=0,0,F68/D68*100)</f>
        <v>0</v>
      </c>
      <c r="H68" s="622">
        <f>H65-H67</f>
        <v>0</v>
      </c>
      <c r="I68" s="263" t="s">
        <v>353</v>
      </c>
      <c r="Q68" s="385">
        <f t="shared" si="3"/>
        <v>0</v>
      </c>
    </row>
    <row r="69" spans="1:17" ht="18" customHeight="1">
      <c r="A69" s="386" t="s">
        <v>247</v>
      </c>
      <c r="B69" s="387" t="s">
        <v>41</v>
      </c>
      <c r="C69" s="619"/>
      <c r="D69" s="388">
        <f>SUM(D71:D72)</f>
        <v>426772</v>
      </c>
      <c r="E69" s="388">
        <f>SUM(E71:E72)</f>
        <v>426772</v>
      </c>
      <c r="F69" s="388">
        <f>SUM(F71:F72)</f>
        <v>0</v>
      </c>
      <c r="G69" s="389">
        <f>IF(F69=0,0,F69/D69*100)</f>
        <v>0</v>
      </c>
      <c r="H69" s="642" t="e">
        <f>SUM(H71:H72)</f>
        <v>#REF!</v>
      </c>
      <c r="I69" s="263" t="s">
        <v>353</v>
      </c>
      <c r="Q69" s="385">
        <f t="shared" si="3"/>
        <v>0</v>
      </c>
    </row>
    <row r="70" spans="1:17">
      <c r="A70" s="612"/>
      <c r="B70" s="390" t="s">
        <v>1</v>
      </c>
      <c r="C70" s="602"/>
      <c r="D70" s="41"/>
      <c r="E70" s="41"/>
      <c r="F70" s="41"/>
      <c r="G70" s="391"/>
      <c r="H70" s="641"/>
      <c r="I70" s="263" t="s">
        <v>353</v>
      </c>
      <c r="Q70" s="385">
        <f t="shared" si="3"/>
        <v>0</v>
      </c>
    </row>
    <row r="71" spans="1:17">
      <c r="A71" s="612"/>
      <c r="B71" s="616" t="s">
        <v>410</v>
      </c>
      <c r="C71" s="615"/>
      <c r="D71" s="611">
        <f t="shared" ref="D71:F72" si="4">D75</f>
        <v>0</v>
      </c>
      <c r="E71" s="611">
        <f t="shared" si="4"/>
        <v>0</v>
      </c>
      <c r="F71" s="611">
        <f t="shared" si="4"/>
        <v>0</v>
      </c>
      <c r="G71" s="391">
        <f>IF(F71=0,0,F71/D71*100)</f>
        <v>0</v>
      </c>
      <c r="H71" s="611" t="e">
        <f>SUM(#REF!,H75)</f>
        <v>#REF!</v>
      </c>
      <c r="I71" s="263" t="s">
        <v>353</v>
      </c>
      <c r="Q71" s="385">
        <f t="shared" si="3"/>
        <v>0</v>
      </c>
    </row>
    <row r="72" spans="1:17">
      <c r="A72" s="612"/>
      <c r="B72" s="616" t="s">
        <v>34</v>
      </c>
      <c r="C72" s="615"/>
      <c r="D72" s="611">
        <f t="shared" si="4"/>
        <v>426772</v>
      </c>
      <c r="E72" s="611">
        <f t="shared" si="4"/>
        <v>426772</v>
      </c>
      <c r="F72" s="611">
        <f t="shared" si="4"/>
        <v>0</v>
      </c>
      <c r="G72" s="391">
        <f>IF(F72=0,0,F72/D72*100)</f>
        <v>0</v>
      </c>
      <c r="H72" s="611">
        <f>H76</f>
        <v>0</v>
      </c>
      <c r="I72" s="263" t="s">
        <v>353</v>
      </c>
      <c r="Q72" s="385">
        <f t="shared" si="3"/>
        <v>0</v>
      </c>
    </row>
    <row r="73" spans="1:17" s="394" customFormat="1" ht="31.5">
      <c r="A73" s="392" t="s">
        <v>148</v>
      </c>
      <c r="B73" s="390" t="s">
        <v>87</v>
      </c>
      <c r="C73" s="602"/>
      <c r="D73" s="41">
        <f>SUM(D75:D76)</f>
        <v>426772</v>
      </c>
      <c r="E73" s="41">
        <f>SUM(E75:E76)</f>
        <v>426772</v>
      </c>
      <c r="F73" s="41">
        <f>SUM(F75:F76)</f>
        <v>0</v>
      </c>
      <c r="G73" s="393">
        <f>IF(F73=0,0,F73/D73*100)</f>
        <v>0</v>
      </c>
      <c r="H73" s="41">
        <f>SUM(H75:H76)</f>
        <v>0</v>
      </c>
      <c r="I73" s="30" t="s">
        <v>353</v>
      </c>
      <c r="J73" s="608"/>
      <c r="Q73" s="385">
        <f t="shared" si="3"/>
        <v>0</v>
      </c>
    </row>
    <row r="74" spans="1:17">
      <c r="A74" s="612"/>
      <c r="B74" s="390" t="s">
        <v>1</v>
      </c>
      <c r="C74" s="602"/>
      <c r="D74" s="41"/>
      <c r="E74" s="41"/>
      <c r="F74" s="601"/>
      <c r="G74" s="393"/>
      <c r="H74" s="601"/>
      <c r="I74" s="263" t="s">
        <v>353</v>
      </c>
      <c r="J74" s="640"/>
      <c r="Q74" s="385">
        <f t="shared" si="3"/>
        <v>0</v>
      </c>
    </row>
    <row r="75" spans="1:17">
      <c r="A75" s="612"/>
      <c r="B75" s="383" t="s">
        <v>410</v>
      </c>
      <c r="C75" s="602"/>
      <c r="D75" s="27"/>
      <c r="E75" s="27">
        <f>D75</f>
        <v>0</v>
      </c>
      <c r="F75" s="601">
        <v>0</v>
      </c>
      <c r="G75" s="393">
        <f>IF(F75=0,0,F75/D75*100)</f>
        <v>0</v>
      </c>
      <c r="H75" s="601">
        <v>0</v>
      </c>
      <c r="I75" s="263" t="s">
        <v>353</v>
      </c>
      <c r="J75" s="640"/>
      <c r="Q75" s="385">
        <f t="shared" si="3"/>
        <v>0</v>
      </c>
    </row>
    <row r="76" spans="1:17">
      <c r="A76" s="612"/>
      <c r="B76" s="383" t="s">
        <v>34</v>
      </c>
      <c r="C76" s="602"/>
      <c r="D76" s="27">
        <v>426772</v>
      </c>
      <c r="E76" s="27">
        <f>D76</f>
        <v>426772</v>
      </c>
      <c r="F76" s="601">
        <v>0</v>
      </c>
      <c r="G76" s="393">
        <f>IF(F76=0,0,F76/D76*100)</f>
        <v>0</v>
      </c>
      <c r="H76" s="641">
        <v>0</v>
      </c>
      <c r="I76" s="263" t="s">
        <v>353</v>
      </c>
      <c r="J76" s="640"/>
      <c r="Q76" s="385">
        <f t="shared" si="3"/>
        <v>0</v>
      </c>
    </row>
    <row r="77" spans="1:17" ht="18" customHeight="1">
      <c r="A77" s="386" t="s">
        <v>248</v>
      </c>
      <c r="B77" s="387" t="s">
        <v>39</v>
      </c>
      <c r="C77" s="619"/>
      <c r="D77" s="388">
        <f>SUM(D78:D79)</f>
        <v>175680</v>
      </c>
      <c r="E77" s="388">
        <f>SUM(E78:E79)</f>
        <v>175680</v>
      </c>
      <c r="F77" s="388">
        <f>SUM(F78:F79)</f>
        <v>0</v>
      </c>
      <c r="G77" s="389">
        <f>IF(F77=0,0,F77/D77*100)</f>
        <v>0</v>
      </c>
      <c r="H77" s="618">
        <f>SUM(H80:H97)</f>
        <v>3460.6</v>
      </c>
      <c r="I77" s="617" t="s">
        <v>353</v>
      </c>
      <c r="Q77" s="385">
        <f t="shared" si="3"/>
        <v>0</v>
      </c>
    </row>
    <row r="78" spans="1:17" ht="37.5" customHeight="1">
      <c r="A78" s="405" t="s">
        <v>175</v>
      </c>
      <c r="B78" s="406" t="s">
        <v>284</v>
      </c>
      <c r="C78" s="650">
        <v>35499</v>
      </c>
      <c r="D78" s="407">
        <v>25000</v>
      </c>
      <c r="E78" s="407">
        <f>D78</f>
        <v>25000</v>
      </c>
      <c r="F78" s="638"/>
      <c r="G78" s="393">
        <f>IF(F78=0,0,F78/D78*100)</f>
        <v>0</v>
      </c>
      <c r="H78" s="637">
        <v>0</v>
      </c>
      <c r="I78" s="636" t="s">
        <v>409</v>
      </c>
      <c r="J78" s="651">
        <f>C78-D78-25000</f>
        <v>-14501</v>
      </c>
      <c r="Q78" s="385">
        <f t="shared" si="3"/>
        <v>0</v>
      </c>
    </row>
    <row r="79" spans="1:17" ht="69" customHeight="1">
      <c r="A79" s="658"/>
      <c r="B79" s="657" t="s">
        <v>408</v>
      </c>
      <c r="C79" s="656"/>
      <c r="D79" s="655">
        <f>SUM(D80:D97)</f>
        <v>150680</v>
      </c>
      <c r="E79" s="655">
        <f>SUM(E80:E97)</f>
        <v>150680</v>
      </c>
      <c r="F79" s="655">
        <f>SUM(F80:F97)</f>
        <v>0</v>
      </c>
      <c r="G79" s="393"/>
      <c r="H79" s="637"/>
      <c r="I79" s="636"/>
      <c r="J79" s="651"/>
      <c r="Q79" s="385"/>
    </row>
    <row r="80" spans="1:17" s="394" customFormat="1" ht="50.25" customHeight="1">
      <c r="A80" s="397" t="s">
        <v>179</v>
      </c>
      <c r="B80" s="408" t="s">
        <v>285</v>
      </c>
      <c r="C80" s="639" t="s">
        <v>353</v>
      </c>
      <c r="D80" s="407">
        <v>17250</v>
      </c>
      <c r="E80" s="407">
        <f t="shared" ref="E80:E97" si="5">D80</f>
        <v>17250</v>
      </c>
      <c r="F80" s="638"/>
      <c r="G80" s="393">
        <f t="shared" ref="G80:G97" si="6">IF(F80=0,0,F80/D80*100)</f>
        <v>0</v>
      </c>
      <c r="H80" s="637">
        <v>0</v>
      </c>
      <c r="I80" s="636" t="s">
        <v>407</v>
      </c>
      <c r="J80" s="608"/>
      <c r="Q80" s="385">
        <f t="shared" ref="Q80:Q97" si="7">D80-E80</f>
        <v>0</v>
      </c>
    </row>
    <row r="81" spans="1:17" ht="63">
      <c r="A81" s="405" t="s">
        <v>180</v>
      </c>
      <c r="B81" s="408" t="s">
        <v>286</v>
      </c>
      <c r="C81" s="639" t="s">
        <v>353</v>
      </c>
      <c r="D81" s="407">
        <v>5300</v>
      </c>
      <c r="E81" s="407">
        <f t="shared" si="5"/>
        <v>5300</v>
      </c>
      <c r="F81" s="638"/>
      <c r="G81" s="393">
        <f t="shared" si="6"/>
        <v>0</v>
      </c>
      <c r="H81" s="637">
        <v>0</v>
      </c>
      <c r="I81" s="636" t="s">
        <v>407</v>
      </c>
      <c r="Q81" s="385">
        <f t="shared" si="7"/>
        <v>0</v>
      </c>
    </row>
    <row r="82" spans="1:17" ht="53.25" customHeight="1">
      <c r="A82" s="405" t="s">
        <v>181</v>
      </c>
      <c r="B82" s="409" t="s">
        <v>287</v>
      </c>
      <c r="C82" s="654" t="s">
        <v>397</v>
      </c>
      <c r="D82" s="410">
        <v>5700</v>
      </c>
      <c r="E82" s="407">
        <f t="shared" si="5"/>
        <v>5700</v>
      </c>
      <c r="F82" s="653"/>
      <c r="G82" s="393">
        <f t="shared" si="6"/>
        <v>0</v>
      </c>
      <c r="H82" s="652">
        <v>0</v>
      </c>
      <c r="I82" s="263" t="s">
        <v>406</v>
      </c>
      <c r="Q82" s="385">
        <f t="shared" si="7"/>
        <v>0</v>
      </c>
    </row>
    <row r="83" spans="1:17" ht="69" customHeight="1">
      <c r="A83" s="405" t="s">
        <v>182</v>
      </c>
      <c r="B83" s="409" t="s">
        <v>288</v>
      </c>
      <c r="C83" s="654" t="s">
        <v>397</v>
      </c>
      <c r="D83" s="410">
        <v>8457</v>
      </c>
      <c r="E83" s="407">
        <f t="shared" si="5"/>
        <v>8457</v>
      </c>
      <c r="F83" s="653"/>
      <c r="G83" s="393">
        <f t="shared" si="6"/>
        <v>0</v>
      </c>
      <c r="H83" s="652">
        <v>0</v>
      </c>
      <c r="I83" s="263" t="s">
        <v>405</v>
      </c>
      <c r="Q83" s="385">
        <f t="shared" si="7"/>
        <v>0</v>
      </c>
    </row>
    <row r="84" spans="1:17" ht="69" customHeight="1">
      <c r="A84" s="405" t="s">
        <v>183</v>
      </c>
      <c r="B84" s="409" t="s">
        <v>289</v>
      </c>
      <c r="C84" s="654" t="s">
        <v>397</v>
      </c>
      <c r="D84" s="410">
        <v>9650</v>
      </c>
      <c r="E84" s="407">
        <f t="shared" si="5"/>
        <v>9650</v>
      </c>
      <c r="F84" s="653"/>
      <c r="G84" s="393">
        <f t="shared" si="6"/>
        <v>0</v>
      </c>
      <c r="H84" s="652">
        <v>0</v>
      </c>
      <c r="I84" s="263" t="s">
        <v>404</v>
      </c>
      <c r="Q84" s="385">
        <f t="shared" si="7"/>
        <v>0</v>
      </c>
    </row>
    <row r="85" spans="1:17" ht="50.25" customHeight="1">
      <c r="A85" s="405" t="s">
        <v>188</v>
      </c>
      <c r="B85" s="409" t="s">
        <v>290</v>
      </c>
      <c r="C85" s="654" t="s">
        <v>397</v>
      </c>
      <c r="D85" s="410">
        <v>7300</v>
      </c>
      <c r="E85" s="407">
        <f t="shared" si="5"/>
        <v>7300</v>
      </c>
      <c r="F85" s="653"/>
      <c r="G85" s="393">
        <f t="shared" si="6"/>
        <v>0</v>
      </c>
      <c r="H85" s="652">
        <v>0</v>
      </c>
      <c r="I85" s="263" t="s">
        <v>403</v>
      </c>
      <c r="Q85" s="385">
        <f t="shared" si="7"/>
        <v>0</v>
      </c>
    </row>
    <row r="86" spans="1:17" ht="50.25" customHeight="1">
      <c r="A86" s="405" t="s">
        <v>189</v>
      </c>
      <c r="B86" s="409" t="s">
        <v>291</v>
      </c>
      <c r="C86" s="654" t="s">
        <v>397</v>
      </c>
      <c r="D86" s="410">
        <v>8800</v>
      </c>
      <c r="E86" s="407">
        <f t="shared" si="5"/>
        <v>8800</v>
      </c>
      <c r="F86" s="653"/>
      <c r="G86" s="393">
        <f t="shared" si="6"/>
        <v>0</v>
      </c>
      <c r="H86" s="652">
        <v>0</v>
      </c>
      <c r="I86" s="603" t="s">
        <v>403</v>
      </c>
      <c r="J86" s="591" t="s">
        <v>402</v>
      </c>
      <c r="Q86" s="385">
        <f t="shared" si="7"/>
        <v>0</v>
      </c>
    </row>
    <row r="87" spans="1:17" ht="63" customHeight="1">
      <c r="A87" s="405" t="s">
        <v>190</v>
      </c>
      <c r="B87" s="409" t="s">
        <v>292</v>
      </c>
      <c r="C87" s="654" t="s">
        <v>397</v>
      </c>
      <c r="D87" s="410">
        <v>6600</v>
      </c>
      <c r="E87" s="407">
        <f t="shared" si="5"/>
        <v>6600</v>
      </c>
      <c r="F87" s="653"/>
      <c r="G87" s="393">
        <f t="shared" si="6"/>
        <v>0</v>
      </c>
      <c r="H87" s="652">
        <v>0</v>
      </c>
      <c r="I87" s="263" t="s">
        <v>401</v>
      </c>
      <c r="Q87" s="385">
        <f t="shared" si="7"/>
        <v>0</v>
      </c>
    </row>
    <row r="88" spans="1:17" ht="53.25" customHeight="1">
      <c r="A88" s="405" t="s">
        <v>191</v>
      </c>
      <c r="B88" s="408" t="s">
        <v>293</v>
      </c>
      <c r="C88" s="639"/>
      <c r="D88" s="407">
        <v>35972</v>
      </c>
      <c r="E88" s="407">
        <f t="shared" si="5"/>
        <v>35972</v>
      </c>
      <c r="F88" s="638"/>
      <c r="G88" s="393">
        <f t="shared" si="6"/>
        <v>0</v>
      </c>
      <c r="H88" s="637">
        <f>3387.7+50</f>
        <v>3437.7</v>
      </c>
      <c r="I88" s="636" t="s">
        <v>400</v>
      </c>
      <c r="Q88" s="385">
        <f t="shared" si="7"/>
        <v>0</v>
      </c>
    </row>
    <row r="89" spans="1:17" ht="59.25" customHeight="1">
      <c r="A89" s="405" t="s">
        <v>192</v>
      </c>
      <c r="B89" s="408" t="s">
        <v>294</v>
      </c>
      <c r="C89" s="639" t="s">
        <v>397</v>
      </c>
      <c r="D89" s="407">
        <v>4727</v>
      </c>
      <c r="E89" s="407">
        <f t="shared" si="5"/>
        <v>4727</v>
      </c>
      <c r="F89" s="638"/>
      <c r="G89" s="393">
        <f t="shared" si="6"/>
        <v>0</v>
      </c>
      <c r="H89" s="637">
        <v>6</v>
      </c>
      <c r="I89" s="636" t="s">
        <v>399</v>
      </c>
      <c r="Q89" s="385">
        <f t="shared" si="7"/>
        <v>0</v>
      </c>
    </row>
    <row r="90" spans="1:17" ht="59.25" customHeight="1">
      <c r="A90" s="405" t="s">
        <v>195</v>
      </c>
      <c r="B90" s="408" t="s">
        <v>295</v>
      </c>
      <c r="C90" s="639" t="s">
        <v>397</v>
      </c>
      <c r="D90" s="407">
        <v>3408</v>
      </c>
      <c r="E90" s="407">
        <f t="shared" si="5"/>
        <v>3408</v>
      </c>
      <c r="F90" s="638"/>
      <c r="G90" s="393">
        <f t="shared" si="6"/>
        <v>0</v>
      </c>
      <c r="H90" s="637">
        <v>6</v>
      </c>
      <c r="I90" s="636" t="s">
        <v>398</v>
      </c>
      <c r="Q90" s="385">
        <f t="shared" si="7"/>
        <v>0</v>
      </c>
    </row>
    <row r="91" spans="1:17" ht="47.25">
      <c r="A91" s="405" t="s">
        <v>196</v>
      </c>
      <c r="B91" s="408" t="s">
        <v>296</v>
      </c>
      <c r="C91" s="639" t="s">
        <v>397</v>
      </c>
      <c r="D91" s="407">
        <v>11052</v>
      </c>
      <c r="E91" s="407">
        <f t="shared" si="5"/>
        <v>11052</v>
      </c>
      <c r="F91" s="638"/>
      <c r="G91" s="393">
        <f t="shared" si="6"/>
        <v>0</v>
      </c>
      <c r="H91" s="637">
        <v>0</v>
      </c>
      <c r="I91" s="263"/>
      <c r="Q91" s="385">
        <f t="shared" si="7"/>
        <v>0</v>
      </c>
    </row>
    <row r="92" spans="1:17" ht="47.25">
      <c r="A92" s="405" t="s">
        <v>198</v>
      </c>
      <c r="B92" s="408" t="s">
        <v>297</v>
      </c>
      <c r="C92" s="639" t="s">
        <v>353</v>
      </c>
      <c r="D92" s="407">
        <v>1000</v>
      </c>
      <c r="E92" s="407">
        <f t="shared" si="5"/>
        <v>1000</v>
      </c>
      <c r="F92" s="638"/>
      <c r="G92" s="393">
        <f t="shared" si="6"/>
        <v>0</v>
      </c>
      <c r="H92" s="637">
        <v>0</v>
      </c>
      <c r="I92" s="636" t="s">
        <v>396</v>
      </c>
      <c r="Q92" s="385">
        <f t="shared" si="7"/>
        <v>0</v>
      </c>
    </row>
    <row r="93" spans="1:17" ht="47.25">
      <c r="A93" s="405" t="s">
        <v>298</v>
      </c>
      <c r="B93" s="408" t="s">
        <v>299</v>
      </c>
      <c r="C93" s="639" t="s">
        <v>353</v>
      </c>
      <c r="D93" s="407">
        <v>650</v>
      </c>
      <c r="E93" s="407">
        <f t="shared" si="5"/>
        <v>650</v>
      </c>
      <c r="F93" s="638"/>
      <c r="G93" s="393">
        <f t="shared" si="6"/>
        <v>0</v>
      </c>
      <c r="H93" s="637">
        <v>0</v>
      </c>
      <c r="I93" s="636" t="s">
        <v>396</v>
      </c>
      <c r="Q93" s="385">
        <f t="shared" si="7"/>
        <v>0</v>
      </c>
    </row>
    <row r="94" spans="1:17" ht="47.25">
      <c r="A94" s="405" t="s">
        <v>204</v>
      </c>
      <c r="B94" s="408" t="s">
        <v>300</v>
      </c>
      <c r="C94" s="639" t="s">
        <v>353</v>
      </c>
      <c r="D94" s="407">
        <v>350</v>
      </c>
      <c r="E94" s="407">
        <f t="shared" si="5"/>
        <v>350</v>
      </c>
      <c r="F94" s="638"/>
      <c r="G94" s="393">
        <f t="shared" si="6"/>
        <v>0</v>
      </c>
      <c r="H94" s="637">
        <v>0</v>
      </c>
      <c r="I94" s="636" t="s">
        <v>396</v>
      </c>
      <c r="Q94" s="385">
        <f t="shared" si="7"/>
        <v>0</v>
      </c>
    </row>
    <row r="95" spans="1:17" ht="47.25">
      <c r="A95" s="405" t="s">
        <v>205</v>
      </c>
      <c r="B95" s="408" t="s">
        <v>301</v>
      </c>
      <c r="C95" s="639" t="s">
        <v>353</v>
      </c>
      <c r="D95" s="407">
        <v>260</v>
      </c>
      <c r="E95" s="407">
        <f t="shared" si="5"/>
        <v>260</v>
      </c>
      <c r="F95" s="638"/>
      <c r="G95" s="393">
        <f t="shared" si="6"/>
        <v>0</v>
      </c>
      <c r="H95" s="637">
        <v>0</v>
      </c>
      <c r="I95" s="636" t="s">
        <v>396</v>
      </c>
      <c r="Q95" s="385">
        <f t="shared" si="7"/>
        <v>0</v>
      </c>
    </row>
    <row r="96" spans="1:17" ht="38.25" customHeight="1">
      <c r="A96" s="405" t="s">
        <v>302</v>
      </c>
      <c r="B96" s="408" t="s">
        <v>303</v>
      </c>
      <c r="C96" s="639">
        <v>21033</v>
      </c>
      <c r="D96" s="407">
        <v>13524</v>
      </c>
      <c r="E96" s="407">
        <f t="shared" si="5"/>
        <v>13524</v>
      </c>
      <c r="F96" s="638"/>
      <c r="G96" s="393">
        <f t="shared" si="6"/>
        <v>0</v>
      </c>
      <c r="H96" s="637">
        <v>2.7</v>
      </c>
      <c r="I96" s="636" t="s">
        <v>395</v>
      </c>
      <c r="J96" s="651">
        <f>C96-D96</f>
        <v>7509</v>
      </c>
      <c r="Q96" s="385">
        <f t="shared" si="7"/>
        <v>0</v>
      </c>
    </row>
    <row r="97" spans="1:17" ht="31.5">
      <c r="A97" s="405" t="s">
        <v>210</v>
      </c>
      <c r="B97" s="406" t="s">
        <v>304</v>
      </c>
      <c r="C97" s="650"/>
      <c r="D97" s="407">
        <v>10680</v>
      </c>
      <c r="E97" s="407">
        <f t="shared" si="5"/>
        <v>10680</v>
      </c>
      <c r="F97" s="638"/>
      <c r="G97" s="393">
        <f t="shared" si="6"/>
        <v>0</v>
      </c>
      <c r="H97" s="637">
        <v>8.1999999999999993</v>
      </c>
      <c r="I97" s="263"/>
      <c r="J97" s="640"/>
      <c r="Q97" s="385">
        <f t="shared" si="7"/>
        <v>0</v>
      </c>
    </row>
    <row r="98" spans="1:17" s="629" customFormat="1" ht="42.75" customHeight="1">
      <c r="A98" s="649" t="s">
        <v>249</v>
      </c>
      <c r="B98" s="648" t="s">
        <v>252</v>
      </c>
      <c r="C98" s="647"/>
      <c r="D98" s="646">
        <f>SUM(D102,D114)</f>
        <v>66909</v>
      </c>
      <c r="E98" s="646">
        <f>SUM(E102,E114)</f>
        <v>66909</v>
      </c>
      <c r="F98" s="646">
        <f>SUM(F102,F114)</f>
        <v>0</v>
      </c>
      <c r="G98" s="645"/>
      <c r="H98" s="644"/>
      <c r="I98" s="643"/>
      <c r="J98" s="631"/>
      <c r="Q98" s="630"/>
    </row>
    <row r="99" spans="1:17">
      <c r="A99" s="626"/>
      <c r="B99" s="626" t="s">
        <v>1</v>
      </c>
      <c r="C99" s="628"/>
      <c r="D99" s="606"/>
      <c r="E99" s="606"/>
      <c r="F99" s="606"/>
      <c r="G99" s="384"/>
      <c r="H99" s="606"/>
      <c r="I99" s="263"/>
      <c r="Q99" s="385">
        <f t="shared" ref="Q99:Q139" si="8">D99-E99</f>
        <v>0</v>
      </c>
    </row>
    <row r="100" spans="1:17" ht="31.5">
      <c r="A100" s="627"/>
      <c r="B100" s="616" t="s">
        <v>394</v>
      </c>
      <c r="C100" s="624"/>
      <c r="D100" s="622">
        <f>D104</f>
        <v>0</v>
      </c>
      <c r="E100" s="622">
        <f>E104</f>
        <v>0</v>
      </c>
      <c r="F100" s="622">
        <f>F104</f>
        <v>0</v>
      </c>
      <c r="G100" s="623">
        <f>IF(F100=0,0,F100/D100*100)</f>
        <v>0</v>
      </c>
      <c r="H100" s="622">
        <f>H115+H188</f>
        <v>18887</v>
      </c>
      <c r="I100" s="263" t="s">
        <v>353</v>
      </c>
      <c r="Q100" s="385">
        <f t="shared" si="8"/>
        <v>0</v>
      </c>
    </row>
    <row r="101" spans="1:17" ht="16.5" customHeight="1">
      <c r="A101" s="626"/>
      <c r="B101" s="625" t="s">
        <v>34</v>
      </c>
      <c r="C101" s="624"/>
      <c r="D101" s="622">
        <f>SUM(D105,D114)</f>
        <v>66909</v>
      </c>
      <c r="E101" s="622">
        <f>SUM(E105,E114)</f>
        <v>66909</v>
      </c>
      <c r="F101" s="622">
        <f>SUM(F105,F114)</f>
        <v>0</v>
      </c>
      <c r="G101" s="623">
        <f>IF(F101=0,0,F101/D101*100)</f>
        <v>0</v>
      </c>
      <c r="H101" s="622">
        <f>H98-H100</f>
        <v>-18887</v>
      </c>
      <c r="I101" s="263" t="s">
        <v>353</v>
      </c>
      <c r="Q101" s="385">
        <f t="shared" si="8"/>
        <v>0</v>
      </c>
    </row>
    <row r="102" spans="1:17" ht="18" customHeight="1">
      <c r="A102" s="386" t="s">
        <v>250</v>
      </c>
      <c r="B102" s="387" t="s">
        <v>41</v>
      </c>
      <c r="C102" s="619"/>
      <c r="D102" s="388">
        <f>SUM(D104:D105)</f>
        <v>54520</v>
      </c>
      <c r="E102" s="388">
        <f>SUM(E104:E105)</f>
        <v>54520</v>
      </c>
      <c r="F102" s="388">
        <f>SUM(F104:F105)</f>
        <v>0</v>
      </c>
      <c r="G102" s="389">
        <f>IF(F102=0,0,F102/D102*100)</f>
        <v>0</v>
      </c>
      <c r="H102" s="642" t="e">
        <f>SUM(H104:H105)</f>
        <v>#REF!</v>
      </c>
      <c r="I102" s="263" t="s">
        <v>353</v>
      </c>
      <c r="Q102" s="385">
        <f t="shared" si="8"/>
        <v>0</v>
      </c>
    </row>
    <row r="103" spans="1:17">
      <c r="A103" s="612"/>
      <c r="B103" s="390" t="s">
        <v>1</v>
      </c>
      <c r="C103" s="602"/>
      <c r="D103" s="41"/>
      <c r="E103" s="41"/>
      <c r="F103" s="41"/>
      <c r="G103" s="391"/>
      <c r="H103" s="641"/>
      <c r="I103" s="263" t="s">
        <v>353</v>
      </c>
      <c r="Q103" s="385">
        <f t="shared" si="8"/>
        <v>0</v>
      </c>
    </row>
    <row r="104" spans="1:17" ht="31.5">
      <c r="A104" s="612"/>
      <c r="B104" s="616" t="s">
        <v>394</v>
      </c>
      <c r="C104" s="615"/>
      <c r="D104" s="611">
        <f t="shared" ref="D104:F105" si="9">SUM(D108,D112)</f>
        <v>0</v>
      </c>
      <c r="E104" s="611">
        <f t="shared" si="9"/>
        <v>0</v>
      </c>
      <c r="F104" s="611">
        <f t="shared" si="9"/>
        <v>0</v>
      </c>
      <c r="G104" s="391">
        <f>IF(F104=0,0,F104/D104*100)</f>
        <v>0</v>
      </c>
      <c r="H104" s="611" t="e">
        <f>SUM(H108,#REF!)</f>
        <v>#REF!</v>
      </c>
      <c r="I104" s="263" t="s">
        <v>353</v>
      </c>
      <c r="Q104" s="385">
        <f t="shared" si="8"/>
        <v>0</v>
      </c>
    </row>
    <row r="105" spans="1:17">
      <c r="A105" s="612"/>
      <c r="B105" s="616" t="s">
        <v>34</v>
      </c>
      <c r="C105" s="615"/>
      <c r="D105" s="611">
        <f t="shared" si="9"/>
        <v>54520</v>
      </c>
      <c r="E105" s="611">
        <f t="shared" si="9"/>
        <v>54520</v>
      </c>
      <c r="F105" s="611">
        <f t="shared" si="9"/>
        <v>0</v>
      </c>
      <c r="G105" s="391">
        <f>IF(F105=0,0,F105/D105*100)</f>
        <v>0</v>
      </c>
      <c r="H105" s="611" t="e">
        <f>#REF!</f>
        <v>#REF!</v>
      </c>
      <c r="I105" s="263" t="s">
        <v>353</v>
      </c>
      <c r="Q105" s="385">
        <f t="shared" si="8"/>
        <v>0</v>
      </c>
    </row>
    <row r="106" spans="1:17" s="394" customFormat="1" ht="31.5">
      <c r="A106" s="392" t="s">
        <v>207</v>
      </c>
      <c r="B106" s="390" t="s">
        <v>305</v>
      </c>
      <c r="C106" s="602"/>
      <c r="D106" s="41">
        <f>SUM(D108:D109)</f>
        <v>5200</v>
      </c>
      <c r="E106" s="41">
        <f>SUM(E108:E109)</f>
        <v>5200</v>
      </c>
      <c r="F106" s="41">
        <f>SUM(F108:F109)</f>
        <v>0</v>
      </c>
      <c r="G106" s="391">
        <f>IF(F106=0,0,F106/D106*100)</f>
        <v>0</v>
      </c>
      <c r="H106" s="41">
        <f>SUM(H108:H109)</f>
        <v>55892.3</v>
      </c>
      <c r="I106" s="2327"/>
      <c r="J106" s="608"/>
      <c r="Q106" s="385">
        <f t="shared" si="8"/>
        <v>0</v>
      </c>
    </row>
    <row r="107" spans="1:17">
      <c r="A107" s="612"/>
      <c r="B107" s="390" t="s">
        <v>1</v>
      </c>
      <c r="C107" s="602"/>
      <c r="D107" s="27"/>
      <c r="E107" s="27"/>
      <c r="F107" s="601"/>
      <c r="G107" s="391"/>
      <c r="H107" s="601"/>
      <c r="I107" s="2328"/>
      <c r="Q107" s="385">
        <f t="shared" si="8"/>
        <v>0</v>
      </c>
    </row>
    <row r="108" spans="1:17">
      <c r="A108" s="612"/>
      <c r="B108" s="383" t="s">
        <v>33</v>
      </c>
      <c r="C108" s="602"/>
      <c r="D108" s="27"/>
      <c r="E108" s="27">
        <f>D108</f>
        <v>0</v>
      </c>
      <c r="F108" s="601"/>
      <c r="G108" s="393">
        <f>IF(F108=0,0,F108/D108*100)</f>
        <v>0</v>
      </c>
      <c r="H108" s="601">
        <f>55821.925+70.369</f>
        <v>55892.3</v>
      </c>
      <c r="I108" s="2329"/>
      <c r="Q108" s="385">
        <f t="shared" si="8"/>
        <v>0</v>
      </c>
    </row>
    <row r="109" spans="1:17">
      <c r="A109" s="612"/>
      <c r="B109" s="383" t="s">
        <v>34</v>
      </c>
      <c r="C109" s="602"/>
      <c r="D109" s="27">
        <v>5200</v>
      </c>
      <c r="E109" s="27">
        <f>D109</f>
        <v>5200</v>
      </c>
      <c r="F109" s="601"/>
      <c r="G109" s="393">
        <f>IF(F109=0,0,F109/D109*100)</f>
        <v>0</v>
      </c>
      <c r="H109" s="601"/>
      <c r="I109" s="263"/>
      <c r="Q109" s="385">
        <f t="shared" si="8"/>
        <v>0</v>
      </c>
    </row>
    <row r="110" spans="1:17" s="394" customFormat="1" ht="47.25">
      <c r="A110" s="397" t="s">
        <v>208</v>
      </c>
      <c r="B110" s="390" t="s">
        <v>306</v>
      </c>
      <c r="C110" s="602"/>
      <c r="D110" s="41">
        <f>SUM(D112:D113)</f>
        <v>49320</v>
      </c>
      <c r="E110" s="41">
        <f>SUM(E112:E113)</f>
        <v>49320</v>
      </c>
      <c r="F110" s="41">
        <f>SUM(F112:F113)</f>
        <v>0</v>
      </c>
      <c r="G110" s="393">
        <f>IF(F110=0,0,F110/D110*100)</f>
        <v>0</v>
      </c>
      <c r="H110" s="41">
        <f>SUM(H112:H113)</f>
        <v>0</v>
      </c>
      <c r="I110" s="30" t="s">
        <v>353</v>
      </c>
      <c r="J110" s="608"/>
      <c r="Q110" s="385">
        <f t="shared" si="8"/>
        <v>0</v>
      </c>
    </row>
    <row r="111" spans="1:17">
      <c r="A111" s="612"/>
      <c r="B111" s="390" t="s">
        <v>1</v>
      </c>
      <c r="C111" s="602"/>
      <c r="D111" s="41"/>
      <c r="E111" s="41"/>
      <c r="F111" s="601"/>
      <c r="G111" s="393"/>
      <c r="H111" s="601"/>
      <c r="I111" s="263" t="s">
        <v>353</v>
      </c>
      <c r="J111" s="640"/>
      <c r="Q111" s="385">
        <f t="shared" si="8"/>
        <v>0</v>
      </c>
    </row>
    <row r="112" spans="1:17">
      <c r="A112" s="612"/>
      <c r="B112" s="383" t="s">
        <v>393</v>
      </c>
      <c r="C112" s="602"/>
      <c r="D112" s="27"/>
      <c r="E112" s="27">
        <f>D112</f>
        <v>0</v>
      </c>
      <c r="F112" s="601">
        <v>0</v>
      </c>
      <c r="G112" s="393">
        <f>IF(F112=0,0,F112/D112*100)</f>
        <v>0</v>
      </c>
      <c r="H112" s="601">
        <v>0</v>
      </c>
      <c r="I112" s="263" t="s">
        <v>353</v>
      </c>
      <c r="J112" s="640"/>
      <c r="Q112" s="385">
        <f t="shared" si="8"/>
        <v>0</v>
      </c>
    </row>
    <row r="113" spans="1:17">
      <c r="A113" s="612"/>
      <c r="B113" s="383" t="s">
        <v>34</v>
      </c>
      <c r="C113" s="602"/>
      <c r="D113" s="27">
        <v>49320</v>
      </c>
      <c r="E113" s="27">
        <f>D113</f>
        <v>49320</v>
      </c>
      <c r="F113" s="601">
        <v>0</v>
      </c>
      <c r="G113" s="393">
        <f>IF(F113=0,0,F113/D113*100)</f>
        <v>0</v>
      </c>
      <c r="H113" s="641">
        <v>0</v>
      </c>
      <c r="I113" s="263" t="s">
        <v>353</v>
      </c>
      <c r="J113" s="640"/>
      <c r="Q113" s="385">
        <f t="shared" si="8"/>
        <v>0</v>
      </c>
    </row>
    <row r="114" spans="1:17" ht="18" customHeight="1">
      <c r="A114" s="386" t="s">
        <v>251</v>
      </c>
      <c r="B114" s="387" t="s">
        <v>39</v>
      </c>
      <c r="C114" s="619"/>
      <c r="D114" s="388">
        <f>SUM(D115)</f>
        <v>12389</v>
      </c>
      <c r="E114" s="388">
        <f>SUM(E115)</f>
        <v>12389</v>
      </c>
      <c r="F114" s="388">
        <f>SUM(F115)</f>
        <v>0</v>
      </c>
      <c r="G114" s="389">
        <f>IF(F114=0,0,F114/D114*100)</f>
        <v>0</v>
      </c>
      <c r="H114" s="618">
        <f>SUM(H115:H115)</f>
        <v>18887</v>
      </c>
      <c r="I114" s="617" t="s">
        <v>353</v>
      </c>
      <c r="Q114" s="385">
        <f t="shared" si="8"/>
        <v>0</v>
      </c>
    </row>
    <row r="115" spans="1:17" ht="40.5" customHeight="1">
      <c r="A115" s="405" t="s">
        <v>209</v>
      </c>
      <c r="B115" s="408" t="s">
        <v>307</v>
      </c>
      <c r="C115" s="639">
        <v>115427.86</v>
      </c>
      <c r="D115" s="407">
        <v>12389</v>
      </c>
      <c r="E115" s="407">
        <f>D115</f>
        <v>12389</v>
      </c>
      <c r="F115" s="638"/>
      <c r="G115" s="393">
        <f>IF(F115=0,0,F115/D115*100)</f>
        <v>0</v>
      </c>
      <c r="H115" s="637">
        <v>18887</v>
      </c>
      <c r="I115" s="636" t="s">
        <v>392</v>
      </c>
      <c r="Q115" s="385">
        <f t="shared" si="8"/>
        <v>0</v>
      </c>
    </row>
    <row r="116" spans="1:17" s="629" customFormat="1" ht="40.5" customHeight="1">
      <c r="A116" s="2331" t="s">
        <v>391</v>
      </c>
      <c r="B116" s="2332"/>
      <c r="C116" s="635"/>
      <c r="D116" s="633">
        <f>D120+D151</f>
        <v>533483</v>
      </c>
      <c r="E116" s="633">
        <f>E120+E151</f>
        <v>533483</v>
      </c>
      <c r="F116" s="633">
        <f>F120+F151</f>
        <v>0</v>
      </c>
      <c r="G116" s="634">
        <f>IF(F116=0,0,F116/D116*100)</f>
        <v>0</v>
      </c>
      <c r="H116" s="633">
        <f>H120+H151</f>
        <v>504279</v>
      </c>
      <c r="I116" s="632"/>
      <c r="J116" s="631"/>
      <c r="Q116" s="630">
        <f t="shared" si="8"/>
        <v>0</v>
      </c>
    </row>
    <row r="117" spans="1:17">
      <c r="A117" s="626"/>
      <c r="B117" s="626" t="s">
        <v>1</v>
      </c>
      <c r="C117" s="628"/>
      <c r="D117" s="606"/>
      <c r="E117" s="606"/>
      <c r="F117" s="606"/>
      <c r="G117" s="384"/>
      <c r="H117" s="606"/>
      <c r="I117" s="263"/>
      <c r="Q117" s="385">
        <f t="shared" si="8"/>
        <v>0</v>
      </c>
    </row>
    <row r="118" spans="1:17" ht="18" customHeight="1">
      <c r="A118" s="627"/>
      <c r="B118" s="625" t="s">
        <v>33</v>
      </c>
      <c r="C118" s="624"/>
      <c r="D118" s="622"/>
      <c r="E118" s="622"/>
      <c r="F118" s="622"/>
      <c r="G118" s="623">
        <f t="shared" ref="G118:G139" si="10">IF(F118=0,0,F118/D118*100)</f>
        <v>0</v>
      </c>
      <c r="H118" s="622">
        <f>H133+H206</f>
        <v>4973.2</v>
      </c>
      <c r="I118" s="263" t="s">
        <v>353</v>
      </c>
      <c r="Q118" s="385">
        <f t="shared" si="8"/>
        <v>0</v>
      </c>
    </row>
    <row r="119" spans="1:17" ht="16.5" customHeight="1">
      <c r="A119" s="626"/>
      <c r="B119" s="625" t="s">
        <v>34</v>
      </c>
      <c r="C119" s="624"/>
      <c r="D119" s="622">
        <f>D130</f>
        <v>533483</v>
      </c>
      <c r="E119" s="622">
        <f>E130</f>
        <v>533483</v>
      </c>
      <c r="F119" s="622">
        <f>F130</f>
        <v>0</v>
      </c>
      <c r="G119" s="623">
        <f t="shared" si="10"/>
        <v>0</v>
      </c>
      <c r="H119" s="622">
        <f>H116-H118</f>
        <v>499305.8</v>
      </c>
      <c r="I119" s="263" t="s">
        <v>353</v>
      </c>
      <c r="Q119" s="385">
        <f t="shared" si="8"/>
        <v>0</v>
      </c>
    </row>
    <row r="120" spans="1:17" ht="31.5">
      <c r="A120" s="621" t="s">
        <v>6</v>
      </c>
      <c r="B120" s="620" t="s">
        <v>222</v>
      </c>
      <c r="C120" s="619"/>
      <c r="D120" s="388">
        <f>D130</f>
        <v>533483</v>
      </c>
      <c r="E120" s="388">
        <f>E130</f>
        <v>533483</v>
      </c>
      <c r="F120" s="388">
        <f>F130</f>
        <v>0</v>
      </c>
      <c r="G120" s="389">
        <f t="shared" si="10"/>
        <v>0</v>
      </c>
      <c r="H120" s="618">
        <f>H130</f>
        <v>504279</v>
      </c>
      <c r="I120" s="617"/>
      <c r="Q120" s="385">
        <f t="shared" si="8"/>
        <v>0</v>
      </c>
    </row>
    <row r="121" spans="1:17" ht="15.75" hidden="1" customHeight="1">
      <c r="A121" s="395" t="s">
        <v>42</v>
      </c>
      <c r="B121" s="399" t="s">
        <v>41</v>
      </c>
      <c r="C121" s="607"/>
      <c r="D121" s="606"/>
      <c r="E121" s="606"/>
      <c r="F121" s="606"/>
      <c r="G121" s="391">
        <f t="shared" si="10"/>
        <v>0</v>
      </c>
      <c r="H121" s="606"/>
      <c r="I121" s="603" t="s">
        <v>389</v>
      </c>
      <c r="Q121" s="385">
        <f t="shared" si="8"/>
        <v>0</v>
      </c>
    </row>
    <row r="122" spans="1:17" hidden="1">
      <c r="A122" s="612"/>
      <c r="B122" s="390" t="s">
        <v>1</v>
      </c>
      <c r="C122" s="602"/>
      <c r="D122" s="41"/>
      <c r="E122" s="41"/>
      <c r="F122" s="41"/>
      <c r="G122" s="391">
        <f t="shared" si="10"/>
        <v>0</v>
      </c>
      <c r="H122" s="41"/>
      <c r="I122" s="603" t="s">
        <v>389</v>
      </c>
      <c r="Q122" s="385">
        <f t="shared" si="8"/>
        <v>0</v>
      </c>
    </row>
    <row r="123" spans="1:17" hidden="1">
      <c r="A123" s="612"/>
      <c r="B123" s="616" t="s">
        <v>33</v>
      </c>
      <c r="C123" s="615"/>
      <c r="D123" s="611"/>
      <c r="E123" s="611"/>
      <c r="F123" s="611"/>
      <c r="G123" s="391">
        <f t="shared" si="10"/>
        <v>0</v>
      </c>
      <c r="H123" s="611"/>
      <c r="I123" s="603" t="s">
        <v>389</v>
      </c>
      <c r="Q123" s="385">
        <f t="shared" si="8"/>
        <v>0</v>
      </c>
    </row>
    <row r="124" spans="1:17" hidden="1">
      <c r="A124" s="612"/>
      <c r="B124" s="616" t="s">
        <v>34</v>
      </c>
      <c r="C124" s="615"/>
      <c r="D124" s="611"/>
      <c r="E124" s="611"/>
      <c r="F124" s="611"/>
      <c r="G124" s="391">
        <f t="shared" si="10"/>
        <v>0</v>
      </c>
      <c r="H124" s="611"/>
      <c r="I124" s="603" t="s">
        <v>389</v>
      </c>
      <c r="Q124" s="385">
        <f t="shared" si="8"/>
        <v>0</v>
      </c>
    </row>
    <row r="125" spans="1:17" s="394" customFormat="1" hidden="1">
      <c r="A125" s="397" t="s">
        <v>50</v>
      </c>
      <c r="B125" s="614"/>
      <c r="C125" s="613"/>
      <c r="D125" s="41"/>
      <c r="E125" s="41"/>
      <c r="F125" s="41"/>
      <c r="G125" s="391">
        <f t="shared" si="10"/>
        <v>0</v>
      </c>
      <c r="H125" s="41"/>
      <c r="I125" s="603" t="s">
        <v>389</v>
      </c>
      <c r="J125" s="608"/>
      <c r="Q125" s="385">
        <f t="shared" si="8"/>
        <v>0</v>
      </c>
    </row>
    <row r="126" spans="1:17" hidden="1">
      <c r="A126" s="612"/>
      <c r="B126" s="390" t="s">
        <v>1</v>
      </c>
      <c r="C126" s="602"/>
      <c r="D126" s="41"/>
      <c r="E126" s="41"/>
      <c r="F126" s="41"/>
      <c r="G126" s="391">
        <f t="shared" si="10"/>
        <v>0</v>
      </c>
      <c r="H126" s="41"/>
      <c r="I126" s="603" t="s">
        <v>389</v>
      </c>
      <c r="Q126" s="385">
        <f t="shared" si="8"/>
        <v>0</v>
      </c>
    </row>
    <row r="127" spans="1:17" hidden="1">
      <c r="A127" s="612"/>
      <c r="B127" s="383" t="s">
        <v>33</v>
      </c>
      <c r="C127" s="602"/>
      <c r="D127" s="611"/>
      <c r="E127" s="611"/>
      <c r="F127" s="611"/>
      <c r="G127" s="391">
        <f t="shared" si="10"/>
        <v>0</v>
      </c>
      <c r="H127" s="611"/>
      <c r="I127" s="603" t="s">
        <v>389</v>
      </c>
      <c r="Q127" s="385">
        <f t="shared" si="8"/>
        <v>0</v>
      </c>
    </row>
    <row r="128" spans="1:17" hidden="1">
      <c r="A128" s="612"/>
      <c r="B128" s="383" t="s">
        <v>34</v>
      </c>
      <c r="C128" s="602"/>
      <c r="D128" s="611"/>
      <c r="E128" s="611"/>
      <c r="F128" s="611"/>
      <c r="G128" s="391">
        <f t="shared" si="10"/>
        <v>0</v>
      </c>
      <c r="H128" s="611"/>
      <c r="I128" s="603" t="s">
        <v>389</v>
      </c>
      <c r="Q128" s="385">
        <f t="shared" si="8"/>
        <v>0</v>
      </c>
    </row>
    <row r="129" spans="1:17" s="394" customFormat="1" hidden="1">
      <c r="A129" s="397" t="s">
        <v>4</v>
      </c>
      <c r="B129" s="610" t="s">
        <v>227</v>
      </c>
      <c r="C129" s="609"/>
      <c r="D129" s="41"/>
      <c r="E129" s="41"/>
      <c r="F129" s="41"/>
      <c r="G129" s="391">
        <f t="shared" si="10"/>
        <v>0</v>
      </c>
      <c r="H129" s="41"/>
      <c r="I129" s="603" t="s">
        <v>389</v>
      </c>
      <c r="J129" s="608"/>
      <c r="Q129" s="385">
        <f t="shared" si="8"/>
        <v>0</v>
      </c>
    </row>
    <row r="130" spans="1:17" ht="21.75" customHeight="1">
      <c r="A130" s="395" t="s">
        <v>30</v>
      </c>
      <c r="B130" s="399" t="s">
        <v>39</v>
      </c>
      <c r="C130" s="607"/>
      <c r="D130" s="606">
        <f>SUM(D131:D139)</f>
        <v>533483</v>
      </c>
      <c r="E130" s="606">
        <f>SUM(E131:E139)</f>
        <v>533483</v>
      </c>
      <c r="F130" s="606">
        <f>SUM(F131:F139)</f>
        <v>0</v>
      </c>
      <c r="G130" s="391">
        <f t="shared" si="10"/>
        <v>0</v>
      </c>
      <c r="H130" s="606">
        <f>SUM(H131:H138)</f>
        <v>504279</v>
      </c>
      <c r="I130" s="603" t="s">
        <v>389</v>
      </c>
      <c r="Q130" s="385">
        <f t="shared" si="8"/>
        <v>0</v>
      </c>
    </row>
    <row r="131" spans="1:17">
      <c r="A131" s="381" t="s">
        <v>212</v>
      </c>
      <c r="B131" s="382" t="s">
        <v>263</v>
      </c>
      <c r="C131" s="605"/>
      <c r="D131" s="411">
        <v>20000</v>
      </c>
      <c r="E131" s="411">
        <f t="shared" ref="E131:E139" si="11">D131</f>
        <v>20000</v>
      </c>
      <c r="F131" s="604"/>
      <c r="G131" s="391">
        <f t="shared" si="10"/>
        <v>0</v>
      </c>
      <c r="H131" s="604">
        <v>3765.6</v>
      </c>
      <c r="I131" s="603" t="s">
        <v>389</v>
      </c>
      <c r="Q131" s="385">
        <f t="shared" si="8"/>
        <v>0</v>
      </c>
    </row>
    <row r="132" spans="1:17" ht="31.5">
      <c r="A132" s="381" t="s">
        <v>225</v>
      </c>
      <c r="B132" s="382" t="s">
        <v>264</v>
      </c>
      <c r="C132" s="605"/>
      <c r="D132" s="411">
        <v>31605</v>
      </c>
      <c r="E132" s="411">
        <f t="shared" si="11"/>
        <v>31605</v>
      </c>
      <c r="F132" s="604"/>
      <c r="G132" s="391">
        <f t="shared" si="10"/>
        <v>0</v>
      </c>
      <c r="H132" s="604">
        <v>109888.2</v>
      </c>
      <c r="I132" s="603" t="s">
        <v>389</v>
      </c>
      <c r="Q132" s="385">
        <f t="shared" si="8"/>
        <v>0</v>
      </c>
    </row>
    <row r="133" spans="1:17" ht="31.5">
      <c r="A133" s="381" t="s">
        <v>223</v>
      </c>
      <c r="B133" s="382" t="s">
        <v>265</v>
      </c>
      <c r="C133" s="605"/>
      <c r="D133" s="411">
        <v>167000</v>
      </c>
      <c r="E133" s="411">
        <f t="shared" si="11"/>
        <v>167000</v>
      </c>
      <c r="F133" s="604"/>
      <c r="G133" s="391">
        <f t="shared" si="10"/>
        <v>0</v>
      </c>
      <c r="H133" s="604">
        <v>4973.2</v>
      </c>
      <c r="I133" s="603" t="s">
        <v>389</v>
      </c>
      <c r="Q133" s="385">
        <f t="shared" si="8"/>
        <v>0</v>
      </c>
    </row>
    <row r="134" spans="1:17" ht="31.5">
      <c r="A134" s="381" t="s">
        <v>224</v>
      </c>
      <c r="B134" s="382" t="s">
        <v>266</v>
      </c>
      <c r="C134" s="605"/>
      <c r="D134" s="411">
        <v>22000</v>
      </c>
      <c r="E134" s="411">
        <f t="shared" si="11"/>
        <v>22000</v>
      </c>
      <c r="F134" s="604"/>
      <c r="G134" s="391">
        <f t="shared" si="10"/>
        <v>0</v>
      </c>
      <c r="H134" s="604"/>
      <c r="I134" s="603"/>
      <c r="Q134" s="385">
        <f t="shared" si="8"/>
        <v>0</v>
      </c>
    </row>
    <row r="135" spans="1:17" ht="31.5">
      <c r="A135" s="381" t="s">
        <v>267</v>
      </c>
      <c r="B135" s="382" t="s">
        <v>268</v>
      </c>
      <c r="C135" s="605"/>
      <c r="D135" s="411">
        <v>1200</v>
      </c>
      <c r="E135" s="411">
        <f t="shared" si="11"/>
        <v>1200</v>
      </c>
      <c r="F135" s="604"/>
      <c r="G135" s="391">
        <f t="shared" si="10"/>
        <v>0</v>
      </c>
      <c r="H135" s="604"/>
      <c r="I135" s="603"/>
      <c r="Q135" s="385">
        <f t="shared" si="8"/>
        <v>0</v>
      </c>
    </row>
    <row r="136" spans="1:17">
      <c r="A136" s="381" t="s">
        <v>269</v>
      </c>
      <c r="B136" s="382" t="s">
        <v>270</v>
      </c>
      <c r="C136" s="605"/>
      <c r="D136" s="411">
        <v>34000</v>
      </c>
      <c r="E136" s="411">
        <f t="shared" si="11"/>
        <v>34000</v>
      </c>
      <c r="F136" s="604"/>
      <c r="G136" s="391">
        <f t="shared" si="10"/>
        <v>0</v>
      </c>
      <c r="H136" s="604"/>
      <c r="I136" s="603"/>
      <c r="Q136" s="385">
        <f t="shared" si="8"/>
        <v>0</v>
      </c>
    </row>
    <row r="137" spans="1:17">
      <c r="A137" s="381" t="s">
        <v>271</v>
      </c>
      <c r="B137" s="382" t="s">
        <v>272</v>
      </c>
      <c r="C137" s="605"/>
      <c r="D137" s="411">
        <v>28810</v>
      </c>
      <c r="E137" s="411">
        <f t="shared" si="11"/>
        <v>28810</v>
      </c>
      <c r="F137" s="604"/>
      <c r="G137" s="391">
        <f t="shared" si="10"/>
        <v>0</v>
      </c>
      <c r="H137" s="604">
        <v>301041.3</v>
      </c>
      <c r="I137" s="603" t="s">
        <v>389</v>
      </c>
      <c r="Q137" s="385">
        <f t="shared" si="8"/>
        <v>0</v>
      </c>
    </row>
    <row r="138" spans="1:17">
      <c r="A138" s="381" t="s">
        <v>273</v>
      </c>
      <c r="B138" s="382" t="s">
        <v>274</v>
      </c>
      <c r="C138" s="605"/>
      <c r="D138" s="411">
        <v>158868</v>
      </c>
      <c r="E138" s="411">
        <f t="shared" si="11"/>
        <v>158868</v>
      </c>
      <c r="F138" s="604"/>
      <c r="G138" s="391">
        <f t="shared" si="10"/>
        <v>0</v>
      </c>
      <c r="H138" s="604">
        <v>84610.7</v>
      </c>
      <c r="I138" s="603" t="s">
        <v>389</v>
      </c>
      <c r="Q138" s="385">
        <f t="shared" si="8"/>
        <v>0</v>
      </c>
    </row>
    <row r="139" spans="1:17" ht="31.5">
      <c r="A139" s="381" t="s">
        <v>390</v>
      </c>
      <c r="B139" s="383" t="s">
        <v>275</v>
      </c>
      <c r="C139" s="602"/>
      <c r="D139" s="27">
        <v>70000</v>
      </c>
      <c r="E139" s="411">
        <f t="shared" si="11"/>
        <v>70000</v>
      </c>
      <c r="F139" s="601"/>
      <c r="G139" s="391">
        <f t="shared" si="10"/>
        <v>0</v>
      </c>
      <c r="H139" s="601">
        <v>0</v>
      </c>
      <c r="I139" s="263" t="s">
        <v>389</v>
      </c>
      <c r="Q139" s="361">
        <f t="shared" si="8"/>
        <v>0</v>
      </c>
    </row>
    <row r="140" spans="1:17" ht="21.75" customHeight="1">
      <c r="A140" s="2347"/>
      <c r="B140" s="2348"/>
      <c r="C140" s="2348"/>
      <c r="D140" s="2348"/>
      <c r="E140" s="2348"/>
      <c r="F140" s="2348"/>
      <c r="G140" s="2348"/>
      <c r="H140" s="600"/>
    </row>
    <row r="141" spans="1:17" s="321" customFormat="1" ht="22.5" hidden="1" customHeight="1">
      <c r="A141" s="353"/>
      <c r="B141" s="452" t="s">
        <v>388</v>
      </c>
      <c r="C141" s="453"/>
      <c r="D141" s="454"/>
      <c r="E141" s="454"/>
      <c r="F141" s="2346" t="s">
        <v>387</v>
      </c>
      <c r="G141" s="2346"/>
      <c r="H141" s="590"/>
      <c r="I141" s="599"/>
      <c r="J141" s="598"/>
    </row>
    <row r="142" spans="1:17" s="321" customFormat="1" ht="22.5" customHeight="1">
      <c r="A142" s="353"/>
      <c r="B142" s="452" t="s">
        <v>310</v>
      </c>
      <c r="C142" s="453"/>
      <c r="D142" s="454"/>
      <c r="E142" s="454"/>
      <c r="F142" s="2346" t="s">
        <v>86</v>
      </c>
      <c r="G142" s="2346"/>
      <c r="H142" s="590"/>
      <c r="I142" s="599"/>
      <c r="J142" s="598"/>
    </row>
    <row r="143" spans="1:17" s="321" customFormat="1" ht="15" customHeight="1">
      <c r="A143" s="353"/>
      <c r="B143" s="353"/>
      <c r="C143" s="455"/>
      <c r="D143" s="353"/>
      <c r="E143" s="353"/>
      <c r="F143" s="2312"/>
      <c r="G143" s="2312"/>
      <c r="H143" s="380"/>
      <c r="I143" s="599"/>
      <c r="J143" s="598"/>
    </row>
    <row r="144" spans="1:17" s="321" customFormat="1" ht="15" customHeight="1">
      <c r="B144" s="456" t="s">
        <v>311</v>
      </c>
      <c r="C144" s="457"/>
      <c r="D144" s="356"/>
      <c r="E144" s="356"/>
      <c r="F144" s="325"/>
      <c r="G144" s="458"/>
      <c r="H144" s="325"/>
      <c r="I144" s="599"/>
      <c r="J144" s="598"/>
    </row>
    <row r="145" spans="1:7" s="361" customFormat="1" ht="15.75" customHeight="1">
      <c r="A145" s="461"/>
      <c r="B145" s="459"/>
      <c r="C145" s="460"/>
      <c r="G145" s="461"/>
    </row>
    <row r="146" spans="1:7" s="361" customFormat="1" ht="15.75" customHeight="1">
      <c r="A146" s="461"/>
      <c r="B146" s="459"/>
      <c r="C146" s="460"/>
      <c r="G146" s="461"/>
    </row>
    <row r="147" spans="1:7" s="361" customFormat="1" ht="15" customHeight="1">
      <c r="A147" s="461"/>
      <c r="B147" s="459"/>
      <c r="C147" s="460"/>
      <c r="D147" s="362"/>
      <c r="E147" s="362"/>
      <c r="G147" s="461"/>
    </row>
    <row r="148" spans="1:7" s="361" customFormat="1" ht="24.75" customHeight="1">
      <c r="A148" s="461"/>
      <c r="B148" s="364"/>
      <c r="C148" s="460"/>
      <c r="D148" s="597"/>
      <c r="E148" s="597"/>
      <c r="F148" s="597"/>
      <c r="G148" s="597"/>
    </row>
    <row r="149" spans="1:7" s="361" customFormat="1" ht="16.5" hidden="1" customHeight="1">
      <c r="A149" s="593"/>
      <c r="B149" s="367"/>
      <c r="C149" s="460"/>
      <c r="D149" s="367"/>
      <c r="E149" s="367"/>
      <c r="G149" s="461"/>
    </row>
    <row r="150" spans="1:7" s="361" customFormat="1" hidden="1">
      <c r="A150" s="593"/>
      <c r="B150" s="367"/>
      <c r="C150" s="460"/>
      <c r="D150" s="367"/>
      <c r="E150" s="367"/>
      <c r="G150" s="461"/>
    </row>
    <row r="151" spans="1:7" s="361" customFormat="1" ht="15.75" customHeight="1">
      <c r="A151" s="596"/>
      <c r="B151" s="367"/>
      <c r="C151" s="460"/>
      <c r="D151" s="364"/>
      <c r="E151" s="364"/>
      <c r="G151" s="461"/>
    </row>
    <row r="152" spans="1:7" s="361" customFormat="1" ht="30.75" customHeight="1">
      <c r="A152" s="593"/>
      <c r="B152" s="595"/>
      <c r="C152" s="594"/>
      <c r="D152" s="370"/>
      <c r="E152" s="370"/>
      <c r="G152" s="461"/>
    </row>
    <row r="153" spans="1:7" s="361" customFormat="1" ht="14.25" customHeight="1">
      <c r="A153" s="593"/>
      <c r="B153" s="595"/>
      <c r="C153" s="594"/>
      <c r="D153" s="370"/>
      <c r="E153" s="370"/>
      <c r="G153" s="461"/>
    </row>
    <row r="154" spans="1:7" s="361" customFormat="1" ht="14.25" customHeight="1">
      <c r="A154" s="593"/>
      <c r="B154" s="595"/>
      <c r="C154" s="594"/>
      <c r="D154" s="370"/>
      <c r="E154" s="370"/>
      <c r="G154" s="461"/>
    </row>
    <row r="156" spans="1:7" s="361" customFormat="1" hidden="1">
      <c r="A156" s="593"/>
      <c r="B156" s="361" t="s">
        <v>60</v>
      </c>
      <c r="C156" s="460"/>
      <c r="G156" s="461"/>
    </row>
  </sheetData>
  <mergeCells count="27">
    <mergeCell ref="F143:G143"/>
    <mergeCell ref="A10:A11"/>
    <mergeCell ref="B10:B11"/>
    <mergeCell ref="D10:D11"/>
    <mergeCell ref="F10:F11"/>
    <mergeCell ref="G10:G11"/>
    <mergeCell ref="F142:G142"/>
    <mergeCell ref="A140:G140"/>
    <mergeCell ref="F141:G141"/>
    <mergeCell ref="E10:E11"/>
    <mergeCell ref="I48:I51"/>
    <mergeCell ref="I52:I55"/>
    <mergeCell ref="H10:H11"/>
    <mergeCell ref="I106:I108"/>
    <mergeCell ref="A116:B116"/>
    <mergeCell ref="C10:C11"/>
    <mergeCell ref="I10:I11"/>
    <mergeCell ref="A21:B21"/>
    <mergeCell ref="I33:I36"/>
    <mergeCell ref="I41:I42"/>
    <mergeCell ref="I37:I40"/>
    <mergeCell ref="I44:I47"/>
    <mergeCell ref="A1:B1"/>
    <mergeCell ref="A4:G4"/>
    <mergeCell ref="D5:F5"/>
    <mergeCell ref="A6:G6"/>
    <mergeCell ref="A7:G7"/>
  </mergeCells>
  <pageMargins left="0.55118110236220474" right="0.31496062992125984" top="0.23622047244094491" bottom="0.23622047244094491" header="0" footer="0"/>
  <pageSetup paperSize="9" scale="59" fitToHeight="6" orientation="portrait" r:id="rId1"/>
  <headerFooter alignWithMargins="0"/>
  <rowBreaks count="1" manualBreakCount="1">
    <brk id="119" min="1" max="6" man="1"/>
  </rowBreaks>
  <customProperties>
    <customPr name="krista_fm_consts" r:id="rId2"/>
  </customProperties>
</worksheet>
</file>

<file path=xl/worksheets/sheet11.xml><?xml version="1.0" encoding="utf-8"?>
<worksheet xmlns="http://schemas.openxmlformats.org/spreadsheetml/2006/main" xmlns:r="http://schemas.openxmlformats.org/officeDocument/2006/relationships">
  <sheetPr>
    <tabColor rgb="FF00B0F0"/>
    <pageSetUpPr fitToPage="1"/>
  </sheetPr>
  <dimension ref="A1:Q83"/>
  <sheetViews>
    <sheetView view="pageBreakPreview" topLeftCell="A26" zoomScaleSheetLayoutView="100" workbookViewId="0">
      <selection activeCell="A34" sqref="A34:B71"/>
    </sheetView>
  </sheetViews>
  <sheetFormatPr defaultColWidth="9.140625" defaultRowHeight="15.75"/>
  <cols>
    <col min="1" max="1" width="8.7109375" style="365" customWidth="1"/>
    <col min="2" max="2" width="47" style="297" customWidth="1"/>
    <col min="3" max="3" width="15.5703125" style="420" customWidth="1"/>
    <col min="4" max="5" width="15.5703125" style="361" customWidth="1"/>
    <col min="6" max="6" width="15.5703125" style="427" customWidth="1"/>
    <col min="7" max="8" width="15.5703125" style="297" customWidth="1"/>
    <col min="9" max="9" width="15.5703125" style="427" customWidth="1"/>
    <col min="10" max="11" width="15.5703125" style="297" customWidth="1"/>
    <col min="12" max="12" width="15.5703125" style="430" customWidth="1"/>
    <col min="13" max="14" width="15.5703125" style="365" customWidth="1"/>
    <col min="15" max="16384" width="9.140625" style="297"/>
  </cols>
  <sheetData>
    <row r="1" spans="1:16" hidden="1">
      <c r="A1" s="2317" t="s">
        <v>78</v>
      </c>
      <c r="B1" s="2317"/>
      <c r="C1" s="422"/>
      <c r="D1" s="377"/>
      <c r="E1" s="377"/>
    </row>
    <row r="2" spans="1:16">
      <c r="A2" s="377"/>
      <c r="B2" s="377"/>
      <c r="C2" s="422"/>
      <c r="D2" s="377"/>
      <c r="E2" s="377"/>
      <c r="L2" s="431"/>
    </row>
    <row r="3" spans="1:16" s="321" customFormat="1">
      <c r="C3" s="423"/>
      <c r="D3" s="322"/>
      <c r="E3" s="322"/>
      <c r="F3" s="423"/>
      <c r="G3" s="322"/>
      <c r="H3" s="322"/>
      <c r="I3" s="2318" t="s">
        <v>316</v>
      </c>
      <c r="J3" s="2318"/>
      <c r="K3" s="2318"/>
      <c r="L3" s="2318"/>
      <c r="M3" s="432"/>
      <c r="N3" s="433"/>
    </row>
    <row r="4" spans="1:16" s="321" customFormat="1">
      <c r="C4" s="423"/>
      <c r="D4" s="322"/>
      <c r="E4" s="322"/>
      <c r="F4" s="428"/>
      <c r="G4" s="325"/>
      <c r="H4" s="325"/>
      <c r="I4" s="428"/>
      <c r="J4" s="325"/>
      <c r="K4" s="325"/>
      <c r="L4" s="434"/>
      <c r="M4" s="432"/>
      <c r="N4" s="433"/>
    </row>
    <row r="5" spans="1:16" s="321" customFormat="1" ht="18" customHeight="1">
      <c r="A5" s="2320" t="s">
        <v>5</v>
      </c>
      <c r="B5" s="2320"/>
      <c r="C5" s="2320"/>
      <c r="D5" s="2320"/>
      <c r="E5" s="2320"/>
      <c r="F5" s="2320"/>
      <c r="G5" s="2320"/>
      <c r="H5" s="2320"/>
      <c r="I5" s="2320"/>
      <c r="J5" s="2320"/>
      <c r="K5" s="2320"/>
      <c r="L5" s="2320"/>
      <c r="M5" s="2320"/>
      <c r="N5" s="2320"/>
    </row>
    <row r="6" spans="1:16" s="321" customFormat="1" ht="18" customHeight="1">
      <c r="A6" s="2320" t="s">
        <v>236</v>
      </c>
      <c r="B6" s="2320"/>
      <c r="C6" s="2320"/>
      <c r="D6" s="2320"/>
      <c r="E6" s="2320"/>
      <c r="F6" s="2320"/>
      <c r="G6" s="2320"/>
      <c r="H6" s="2320"/>
      <c r="I6" s="2320"/>
      <c r="J6" s="2320"/>
      <c r="K6" s="2320"/>
      <c r="L6" s="2320"/>
      <c r="M6" s="2320"/>
      <c r="N6" s="2320"/>
    </row>
    <row r="7" spans="1:16" s="321" customFormat="1" ht="18" customHeight="1">
      <c r="A7" s="2320" t="s">
        <v>229</v>
      </c>
      <c r="B7" s="2320"/>
      <c r="C7" s="2320"/>
      <c r="D7" s="2320"/>
      <c r="E7" s="2320"/>
      <c r="F7" s="2320"/>
      <c r="G7" s="2320"/>
      <c r="H7" s="2320"/>
      <c r="I7" s="2320"/>
      <c r="J7" s="2320"/>
      <c r="K7" s="2320"/>
      <c r="L7" s="2320"/>
      <c r="M7" s="2320"/>
      <c r="N7" s="2320"/>
    </row>
    <row r="8" spans="1:16" s="321" customFormat="1">
      <c r="A8" s="327"/>
      <c r="B8" s="327"/>
      <c r="C8" s="379"/>
      <c r="D8" s="327"/>
      <c r="E8" s="327"/>
      <c r="F8" s="379"/>
      <c r="G8" s="327"/>
      <c r="H8" s="327"/>
      <c r="I8" s="379"/>
      <c r="J8" s="327"/>
      <c r="K8" s="327" t="s">
        <v>230</v>
      </c>
      <c r="L8" s="435"/>
      <c r="M8" s="432"/>
      <c r="N8" s="433"/>
    </row>
    <row r="9" spans="1:16" ht="20.25" customHeight="1">
      <c r="A9" s="2325" t="s">
        <v>18</v>
      </c>
      <c r="B9" s="2325" t="s">
        <v>0</v>
      </c>
      <c r="C9" s="2316" t="s">
        <v>260</v>
      </c>
      <c r="D9" s="2351" t="s">
        <v>257</v>
      </c>
      <c r="E9" s="2351"/>
      <c r="F9" s="2316" t="s">
        <v>235</v>
      </c>
      <c r="G9" s="2351" t="s">
        <v>257</v>
      </c>
      <c r="H9" s="2351"/>
      <c r="I9" s="2316" t="s">
        <v>237</v>
      </c>
      <c r="J9" s="2351" t="s">
        <v>257</v>
      </c>
      <c r="K9" s="2351"/>
      <c r="L9" s="2350" t="s">
        <v>238</v>
      </c>
      <c r="M9" s="2349" t="s">
        <v>257</v>
      </c>
      <c r="N9" s="2349"/>
    </row>
    <row r="10" spans="1:16" s="238" customFormat="1" ht="69.75" customHeight="1">
      <c r="A10" s="2325"/>
      <c r="B10" s="2325"/>
      <c r="C10" s="2316"/>
      <c r="D10" s="378" t="s">
        <v>259</v>
      </c>
      <c r="E10" s="378" t="s">
        <v>258</v>
      </c>
      <c r="F10" s="2316"/>
      <c r="G10" s="378" t="s">
        <v>259</v>
      </c>
      <c r="H10" s="378" t="s">
        <v>258</v>
      </c>
      <c r="I10" s="2316"/>
      <c r="J10" s="378" t="s">
        <v>259</v>
      </c>
      <c r="K10" s="378" t="s">
        <v>258</v>
      </c>
      <c r="L10" s="2350"/>
      <c r="M10" s="436" t="s">
        <v>259</v>
      </c>
      <c r="N10" s="436" t="s">
        <v>258</v>
      </c>
    </row>
    <row r="11" spans="1:16" ht="16.5" customHeight="1">
      <c r="A11" s="328">
        <v>1</v>
      </c>
      <c r="B11" s="372">
        <v>2</v>
      </c>
      <c r="C11" s="424">
        <v>3</v>
      </c>
      <c r="D11" s="329">
        <v>4</v>
      </c>
      <c r="E11" s="329">
        <v>5</v>
      </c>
      <c r="F11" s="429">
        <v>6</v>
      </c>
      <c r="G11" s="371">
        <v>7</v>
      </c>
      <c r="H11" s="371">
        <v>8</v>
      </c>
      <c r="I11" s="429">
        <v>9</v>
      </c>
      <c r="J11" s="371">
        <v>10</v>
      </c>
      <c r="K11" s="371">
        <v>11</v>
      </c>
      <c r="L11" s="437">
        <v>12</v>
      </c>
      <c r="M11" s="438">
        <v>13</v>
      </c>
      <c r="N11" s="438">
        <v>14</v>
      </c>
    </row>
    <row r="12" spans="1:16" s="418" customFormat="1" ht="20.25" customHeight="1">
      <c r="A12" s="417"/>
      <c r="B12" s="373" t="s">
        <v>10</v>
      </c>
      <c r="C12" s="413">
        <f>SUM(D12:E12)</f>
        <v>1314516</v>
      </c>
      <c r="D12" s="413">
        <f>SUM(D13,D59)</f>
        <v>0</v>
      </c>
      <c r="E12" s="413">
        <f>SUM(E13,E59)</f>
        <v>1314516</v>
      </c>
      <c r="F12" s="413">
        <f>SUM(G12:H12)</f>
        <v>0</v>
      </c>
      <c r="G12" s="413">
        <f>SUM(G13,G59)</f>
        <v>0</v>
      </c>
      <c r="H12" s="413">
        <f>SUM(H13,H59)</f>
        <v>0</v>
      </c>
      <c r="I12" s="413">
        <f>SUM(J12:K12)</f>
        <v>0</v>
      </c>
      <c r="J12" s="413">
        <f>SUM(J13,J59)</f>
        <v>0</v>
      </c>
      <c r="K12" s="413">
        <f>SUM(K13,K59)</f>
        <v>0</v>
      </c>
      <c r="L12" s="419">
        <f>IF(I12=0,0,I12/F12*100)</f>
        <v>0</v>
      </c>
      <c r="M12" s="419">
        <f>IF(J12=0,0,J12/G12*100)</f>
        <v>0</v>
      </c>
      <c r="N12" s="419">
        <f>IF(K12=0,0,K12/H12*100)</f>
        <v>0</v>
      </c>
    </row>
    <row r="13" spans="1:16" s="376" customFormat="1" ht="59.25" customHeight="1">
      <c r="A13" s="2354" t="s">
        <v>261</v>
      </c>
      <c r="B13" s="2354"/>
      <c r="C13" s="413">
        <f>SUM(D13:E13)</f>
        <v>781033</v>
      </c>
      <c r="D13" s="413">
        <f>SUM(D14,D29)</f>
        <v>0</v>
      </c>
      <c r="E13" s="413">
        <f>SUM(E14,E29)</f>
        <v>781033</v>
      </c>
      <c r="F13" s="413">
        <f>SUM(G13:H13)</f>
        <v>0</v>
      </c>
      <c r="G13" s="413">
        <f>SUM(G14,G29)</f>
        <v>0</v>
      </c>
      <c r="H13" s="413">
        <f>SUM(H14,H29)</f>
        <v>0</v>
      </c>
      <c r="I13" s="413">
        <f>SUM(J13:K13)</f>
        <v>0</v>
      </c>
      <c r="J13" s="413">
        <f>SUM(J14,J29)</f>
        <v>0</v>
      </c>
      <c r="K13" s="413">
        <f>SUM(K14,K29)</f>
        <v>0</v>
      </c>
      <c r="L13" s="439">
        <f t="shared" ref="L13:L71" si="0">IF(I13=0,0,I13/F13*100)</f>
        <v>0</v>
      </c>
      <c r="M13" s="440">
        <f t="shared" ref="M13:M71" si="1">IF(J13=0,0,J13/G13*100)</f>
        <v>0</v>
      </c>
      <c r="N13" s="440">
        <f t="shared" ref="N13:N71" si="2">IF(K13=0,0,K13/H13*100)</f>
        <v>0</v>
      </c>
    </row>
    <row r="14" spans="1:16" ht="97.5" customHeight="1">
      <c r="A14" s="335" t="s">
        <v>6</v>
      </c>
      <c r="B14" s="319" t="s">
        <v>244</v>
      </c>
      <c r="C14" s="414">
        <f t="shared" ref="C14:C71" si="3">SUM(D14:E14)</f>
        <v>111672</v>
      </c>
      <c r="D14" s="414">
        <f>SUM(D15,D24)</f>
        <v>0</v>
      </c>
      <c r="E14" s="414">
        <f>SUM(E15,E24)</f>
        <v>111672</v>
      </c>
      <c r="F14" s="414">
        <f t="shared" ref="F14:F71" si="4">SUM(G14:H14)</f>
        <v>0</v>
      </c>
      <c r="G14" s="414">
        <f>SUM(G15,G24)</f>
        <v>0</v>
      </c>
      <c r="H14" s="414">
        <f>SUM(H15,H24)</f>
        <v>0</v>
      </c>
      <c r="I14" s="414">
        <f t="shared" ref="I14:I71" si="5">SUM(J14:K14)</f>
        <v>0</v>
      </c>
      <c r="J14" s="414">
        <f>SUM(J15,J24)</f>
        <v>0</v>
      </c>
      <c r="K14" s="414">
        <f>SUM(K15,K24)</f>
        <v>0</v>
      </c>
      <c r="L14" s="441">
        <f t="shared" si="0"/>
        <v>0</v>
      </c>
      <c r="M14" s="442">
        <f t="shared" si="1"/>
        <v>0</v>
      </c>
      <c r="N14" s="442">
        <f t="shared" si="2"/>
        <v>0</v>
      </c>
    </row>
    <row r="15" spans="1:16" s="361" customFormat="1" ht="35.25" customHeight="1">
      <c r="A15" s="386" t="s">
        <v>30</v>
      </c>
      <c r="B15" s="387" t="s">
        <v>41</v>
      </c>
      <c r="C15" s="403">
        <f>SUM(D15:E15)</f>
        <v>95187</v>
      </c>
      <c r="D15" s="403">
        <f>SUM(D16,D17,D19,D22)</f>
        <v>0</v>
      </c>
      <c r="E15" s="403">
        <f>SUM(E16,E17,E19,E22)</f>
        <v>95187</v>
      </c>
      <c r="F15" s="403">
        <f t="shared" si="4"/>
        <v>0</v>
      </c>
      <c r="G15" s="403">
        <f>SUM(G16,G17,G19,G22)</f>
        <v>0</v>
      </c>
      <c r="H15" s="403">
        <f>SUM(H16,H17,H19,H22)</f>
        <v>0</v>
      </c>
      <c r="I15" s="403">
        <f t="shared" si="5"/>
        <v>0</v>
      </c>
      <c r="J15" s="403">
        <f>SUM(J16,J17,J19,J22)</f>
        <v>0</v>
      </c>
      <c r="K15" s="403">
        <f>SUM(K16,K17,K19,K22)</f>
        <v>0</v>
      </c>
      <c r="L15" s="389">
        <f t="shared" si="0"/>
        <v>0</v>
      </c>
      <c r="M15" s="443">
        <f t="shared" si="1"/>
        <v>0</v>
      </c>
      <c r="N15" s="443">
        <f t="shared" si="2"/>
        <v>0</v>
      </c>
      <c r="P15" s="385"/>
    </row>
    <row r="16" spans="1:16" s="394" customFormat="1" ht="63">
      <c r="A16" s="392" t="s">
        <v>50</v>
      </c>
      <c r="B16" s="390" t="s">
        <v>87</v>
      </c>
      <c r="C16" s="404">
        <f t="shared" si="3"/>
        <v>54261</v>
      </c>
      <c r="D16" s="28"/>
      <c r="E16" s="28">
        <v>54261</v>
      </c>
      <c r="F16" s="404">
        <f t="shared" si="4"/>
        <v>0</v>
      </c>
      <c r="G16" s="28"/>
      <c r="H16" s="28"/>
      <c r="I16" s="404">
        <f t="shared" si="5"/>
        <v>0</v>
      </c>
      <c r="J16" s="28"/>
      <c r="K16" s="28"/>
      <c r="L16" s="393">
        <f t="shared" si="0"/>
        <v>0</v>
      </c>
      <c r="M16" s="396">
        <f t="shared" si="1"/>
        <v>0</v>
      </c>
      <c r="N16" s="396">
        <f t="shared" si="2"/>
        <v>0</v>
      </c>
      <c r="P16" s="385"/>
    </row>
    <row r="17" spans="1:17" s="361" customFormat="1">
      <c r="A17" s="381"/>
      <c r="B17" s="399" t="s">
        <v>283</v>
      </c>
      <c r="C17" s="404">
        <f t="shared" si="3"/>
        <v>18266</v>
      </c>
      <c r="D17" s="400">
        <f>D18</f>
        <v>0</v>
      </c>
      <c r="E17" s="400">
        <f>E18</f>
        <v>18266</v>
      </c>
      <c r="F17" s="404">
        <f t="shared" si="4"/>
        <v>0</v>
      </c>
      <c r="G17" s="400">
        <f>G18</f>
        <v>0</v>
      </c>
      <c r="H17" s="400">
        <f>H18</f>
        <v>0</v>
      </c>
      <c r="I17" s="404">
        <f t="shared" si="5"/>
        <v>0</v>
      </c>
      <c r="J17" s="400">
        <f>J18</f>
        <v>0</v>
      </c>
      <c r="K17" s="400">
        <f>K18</f>
        <v>0</v>
      </c>
      <c r="L17" s="391">
        <f t="shared" si="0"/>
        <v>0</v>
      </c>
      <c r="M17" s="384">
        <f t="shared" si="1"/>
        <v>0</v>
      </c>
      <c r="N17" s="384">
        <f t="shared" si="2"/>
        <v>0</v>
      </c>
      <c r="P17" s="385"/>
    </row>
    <row r="18" spans="1:17" s="394" customFormat="1" ht="47.25">
      <c r="A18" s="392" t="s">
        <v>4</v>
      </c>
      <c r="B18" s="390" t="s">
        <v>276</v>
      </c>
      <c r="C18" s="404">
        <f t="shared" si="3"/>
        <v>18266</v>
      </c>
      <c r="D18" s="28"/>
      <c r="E18" s="28">
        <v>18266</v>
      </c>
      <c r="F18" s="404">
        <f t="shared" si="4"/>
        <v>0</v>
      </c>
      <c r="G18" s="28"/>
      <c r="H18" s="28"/>
      <c r="I18" s="404">
        <f t="shared" si="5"/>
        <v>0</v>
      </c>
      <c r="J18" s="28"/>
      <c r="K18" s="28"/>
      <c r="L18" s="393">
        <f t="shared" si="0"/>
        <v>0</v>
      </c>
      <c r="M18" s="396">
        <f t="shared" si="1"/>
        <v>0</v>
      </c>
      <c r="N18" s="396">
        <f t="shared" si="2"/>
        <v>0</v>
      </c>
      <c r="P18" s="385"/>
    </row>
    <row r="19" spans="1:17" s="361" customFormat="1">
      <c r="A19" s="381"/>
      <c r="B19" s="399" t="s">
        <v>90</v>
      </c>
      <c r="C19" s="404">
        <f t="shared" si="3"/>
        <v>9960</v>
      </c>
      <c r="D19" s="400">
        <f>SUM(D20:D21)</f>
        <v>0</v>
      </c>
      <c r="E19" s="400">
        <f>SUM(E20:E21)</f>
        <v>9960</v>
      </c>
      <c r="F19" s="404">
        <f t="shared" si="4"/>
        <v>0</v>
      </c>
      <c r="G19" s="400">
        <f>SUM(G20:G21)</f>
        <v>0</v>
      </c>
      <c r="H19" s="400">
        <f>SUM(H20:H21)</f>
        <v>0</v>
      </c>
      <c r="I19" s="404">
        <f t="shared" si="5"/>
        <v>0</v>
      </c>
      <c r="J19" s="400">
        <f>SUM(J20:J21)</f>
        <v>0</v>
      </c>
      <c r="K19" s="400">
        <f>SUM(K20:K21)</f>
        <v>0</v>
      </c>
      <c r="L19" s="391">
        <f t="shared" si="0"/>
        <v>0</v>
      </c>
      <c r="M19" s="384">
        <f t="shared" si="1"/>
        <v>0</v>
      </c>
      <c r="N19" s="384">
        <f t="shared" si="2"/>
        <v>0</v>
      </c>
      <c r="P19" s="385"/>
    </row>
    <row r="20" spans="1:17" s="394" customFormat="1" ht="31.5">
      <c r="A20" s="397" t="s">
        <v>35</v>
      </c>
      <c r="B20" s="390" t="s">
        <v>277</v>
      </c>
      <c r="C20" s="404">
        <f t="shared" si="3"/>
        <v>5078</v>
      </c>
      <c r="D20" s="28"/>
      <c r="E20" s="28">
        <v>5078</v>
      </c>
      <c r="F20" s="404">
        <f t="shared" si="4"/>
        <v>0</v>
      </c>
      <c r="G20" s="28"/>
      <c r="H20" s="28"/>
      <c r="I20" s="404">
        <f t="shared" si="5"/>
        <v>0</v>
      </c>
      <c r="J20" s="28"/>
      <c r="K20" s="28"/>
      <c r="L20" s="393">
        <f t="shared" si="0"/>
        <v>0</v>
      </c>
      <c r="M20" s="396">
        <f t="shared" si="1"/>
        <v>0</v>
      </c>
      <c r="N20" s="396">
        <f t="shared" si="2"/>
        <v>0</v>
      </c>
      <c r="P20" s="385"/>
    </row>
    <row r="21" spans="1:17" s="394" customFormat="1" ht="31.5">
      <c r="A21" s="397" t="s">
        <v>140</v>
      </c>
      <c r="B21" s="390" t="s">
        <v>278</v>
      </c>
      <c r="C21" s="404">
        <f t="shared" si="3"/>
        <v>4882</v>
      </c>
      <c r="D21" s="28"/>
      <c r="E21" s="28">
        <v>4882</v>
      </c>
      <c r="F21" s="404">
        <f t="shared" si="4"/>
        <v>0</v>
      </c>
      <c r="G21" s="28"/>
      <c r="H21" s="28"/>
      <c r="I21" s="404">
        <f t="shared" si="5"/>
        <v>0</v>
      </c>
      <c r="J21" s="28"/>
      <c r="K21" s="28"/>
      <c r="L21" s="393">
        <f t="shared" si="0"/>
        <v>0</v>
      </c>
      <c r="M21" s="396">
        <f t="shared" si="1"/>
        <v>0</v>
      </c>
      <c r="N21" s="396">
        <f t="shared" si="2"/>
        <v>0</v>
      </c>
      <c r="P21" s="385"/>
    </row>
    <row r="22" spans="1:17" s="361" customFormat="1">
      <c r="A22" s="381"/>
      <c r="B22" s="399" t="s">
        <v>12</v>
      </c>
      <c r="C22" s="404">
        <f t="shared" si="3"/>
        <v>12700</v>
      </c>
      <c r="D22" s="400">
        <f>D23</f>
        <v>0</v>
      </c>
      <c r="E22" s="400">
        <f>E23</f>
        <v>12700</v>
      </c>
      <c r="F22" s="404">
        <f t="shared" si="4"/>
        <v>0</v>
      </c>
      <c r="G22" s="400">
        <f>G23</f>
        <v>0</v>
      </c>
      <c r="H22" s="400">
        <f>H23</f>
        <v>0</v>
      </c>
      <c r="I22" s="404">
        <f t="shared" si="5"/>
        <v>0</v>
      </c>
      <c r="J22" s="400">
        <f>J23</f>
        <v>0</v>
      </c>
      <c r="K22" s="400">
        <f>K23</f>
        <v>0</v>
      </c>
      <c r="L22" s="391">
        <f t="shared" si="0"/>
        <v>0</v>
      </c>
      <c r="M22" s="384">
        <f t="shared" si="1"/>
        <v>0</v>
      </c>
      <c r="N22" s="384">
        <f t="shared" si="2"/>
        <v>0</v>
      </c>
      <c r="P22" s="385"/>
    </row>
    <row r="23" spans="1:17" s="394" customFormat="1" ht="31.5">
      <c r="A23" s="397" t="s">
        <v>141</v>
      </c>
      <c r="B23" s="390" t="s">
        <v>279</v>
      </c>
      <c r="C23" s="404">
        <f t="shared" si="3"/>
        <v>12700</v>
      </c>
      <c r="D23" s="28"/>
      <c r="E23" s="28">
        <v>12700</v>
      </c>
      <c r="F23" s="404">
        <f t="shared" si="4"/>
        <v>0</v>
      </c>
      <c r="G23" s="28"/>
      <c r="H23" s="28"/>
      <c r="I23" s="404">
        <f t="shared" si="5"/>
        <v>0</v>
      </c>
      <c r="J23" s="28"/>
      <c r="K23" s="28"/>
      <c r="L23" s="393">
        <f t="shared" si="0"/>
        <v>0</v>
      </c>
      <c r="M23" s="396">
        <f t="shared" si="1"/>
        <v>0</v>
      </c>
      <c r="N23" s="396">
        <f t="shared" si="2"/>
        <v>0</v>
      </c>
      <c r="P23" s="385"/>
      <c r="Q23" s="398"/>
    </row>
    <row r="24" spans="1:17" s="361" customFormat="1" ht="36" customHeight="1">
      <c r="A24" s="386" t="s">
        <v>31</v>
      </c>
      <c r="B24" s="387" t="s">
        <v>39</v>
      </c>
      <c r="C24" s="403">
        <f t="shared" si="3"/>
        <v>16485</v>
      </c>
      <c r="D24" s="403">
        <f>SUM(D25,D27)</f>
        <v>0</v>
      </c>
      <c r="E24" s="403">
        <f>SUM(E25,E27)</f>
        <v>16485</v>
      </c>
      <c r="F24" s="403">
        <f t="shared" si="4"/>
        <v>0</v>
      </c>
      <c r="G24" s="403">
        <f>SUM(G25,G27)</f>
        <v>0</v>
      </c>
      <c r="H24" s="403">
        <f>SUM(H25,H27)</f>
        <v>0</v>
      </c>
      <c r="I24" s="403">
        <f t="shared" si="5"/>
        <v>0</v>
      </c>
      <c r="J24" s="403">
        <f>SUM(J25,J27)</f>
        <v>0</v>
      </c>
      <c r="K24" s="403">
        <f>SUM(K25,K27)</f>
        <v>0</v>
      </c>
      <c r="L24" s="389">
        <f t="shared" si="0"/>
        <v>0</v>
      </c>
      <c r="M24" s="443">
        <f t="shared" si="1"/>
        <v>0</v>
      </c>
      <c r="N24" s="443">
        <f t="shared" si="2"/>
        <v>0</v>
      </c>
      <c r="P24" s="385"/>
    </row>
    <row r="25" spans="1:17" s="361" customFormat="1">
      <c r="A25" s="381"/>
      <c r="B25" s="399" t="s">
        <v>12</v>
      </c>
      <c r="C25" s="404">
        <f t="shared" si="3"/>
        <v>4125</v>
      </c>
      <c r="D25" s="400">
        <f>D26</f>
        <v>0</v>
      </c>
      <c r="E25" s="400">
        <f>E26</f>
        <v>4125</v>
      </c>
      <c r="F25" s="404">
        <f t="shared" si="4"/>
        <v>0</v>
      </c>
      <c r="G25" s="400">
        <f>G26</f>
        <v>0</v>
      </c>
      <c r="H25" s="400">
        <f>H26</f>
        <v>0</v>
      </c>
      <c r="I25" s="404">
        <f t="shared" si="5"/>
        <v>0</v>
      </c>
      <c r="J25" s="400">
        <f>J26</f>
        <v>0</v>
      </c>
      <c r="K25" s="400">
        <f>K26</f>
        <v>0</v>
      </c>
      <c r="L25" s="391">
        <f t="shared" si="0"/>
        <v>0</v>
      </c>
      <c r="M25" s="384">
        <f t="shared" si="1"/>
        <v>0</v>
      </c>
      <c r="N25" s="384">
        <f t="shared" si="2"/>
        <v>0</v>
      </c>
      <c r="P25" s="385"/>
    </row>
    <row r="26" spans="1:17" s="361" customFormat="1" ht="31.5">
      <c r="A26" s="381" t="s">
        <v>145</v>
      </c>
      <c r="B26" s="401" t="s">
        <v>280</v>
      </c>
      <c r="C26" s="404">
        <f t="shared" si="3"/>
        <v>4125</v>
      </c>
      <c r="D26" s="402"/>
      <c r="E26" s="402">
        <v>4125</v>
      </c>
      <c r="F26" s="404">
        <f t="shared" si="4"/>
        <v>0</v>
      </c>
      <c r="G26" s="402"/>
      <c r="H26" s="402"/>
      <c r="I26" s="404">
        <f t="shared" si="5"/>
        <v>0</v>
      </c>
      <c r="J26" s="402"/>
      <c r="K26" s="402"/>
      <c r="L26" s="391">
        <f t="shared" si="0"/>
        <v>0</v>
      </c>
      <c r="M26" s="384">
        <f t="shared" si="1"/>
        <v>0</v>
      </c>
      <c r="N26" s="384">
        <f t="shared" si="2"/>
        <v>0</v>
      </c>
      <c r="P26" s="385"/>
    </row>
    <row r="27" spans="1:17" s="361" customFormat="1">
      <c r="A27" s="395"/>
      <c r="B27" s="399" t="s">
        <v>281</v>
      </c>
      <c r="C27" s="404">
        <f t="shared" si="3"/>
        <v>12360</v>
      </c>
      <c r="D27" s="404">
        <f>D28</f>
        <v>0</v>
      </c>
      <c r="E27" s="404">
        <f>E28</f>
        <v>12360</v>
      </c>
      <c r="F27" s="404">
        <f t="shared" si="4"/>
        <v>0</v>
      </c>
      <c r="G27" s="404">
        <f>G28</f>
        <v>0</v>
      </c>
      <c r="H27" s="404">
        <f>H28</f>
        <v>0</v>
      </c>
      <c r="I27" s="404">
        <f t="shared" si="5"/>
        <v>0</v>
      </c>
      <c r="J27" s="404">
        <f>J28</f>
        <v>0</v>
      </c>
      <c r="K27" s="404">
        <f>K28</f>
        <v>0</v>
      </c>
      <c r="L27" s="391">
        <f t="shared" si="0"/>
        <v>0</v>
      </c>
      <c r="M27" s="384">
        <f t="shared" si="1"/>
        <v>0</v>
      </c>
      <c r="N27" s="384">
        <f t="shared" si="2"/>
        <v>0</v>
      </c>
      <c r="P27" s="385"/>
    </row>
    <row r="28" spans="1:17" s="361" customFormat="1" ht="63">
      <c r="A28" s="381" t="s">
        <v>146</v>
      </c>
      <c r="B28" s="401" t="s">
        <v>282</v>
      </c>
      <c r="C28" s="404">
        <f t="shared" si="3"/>
        <v>12360</v>
      </c>
      <c r="D28" s="402"/>
      <c r="E28" s="402">
        <v>12360</v>
      </c>
      <c r="F28" s="404">
        <f t="shared" si="4"/>
        <v>0</v>
      </c>
      <c r="G28" s="402"/>
      <c r="H28" s="402"/>
      <c r="I28" s="404">
        <f t="shared" si="5"/>
        <v>0</v>
      </c>
      <c r="J28" s="402"/>
      <c r="K28" s="402"/>
      <c r="L28" s="391">
        <f t="shared" si="0"/>
        <v>0</v>
      </c>
      <c r="M28" s="384">
        <f t="shared" si="1"/>
        <v>0</v>
      </c>
      <c r="N28" s="384">
        <f t="shared" si="2"/>
        <v>0</v>
      </c>
      <c r="P28" s="385"/>
    </row>
    <row r="29" spans="1:17" ht="78.75">
      <c r="A29" s="348" t="s">
        <v>2</v>
      </c>
      <c r="B29" s="349" t="s">
        <v>313</v>
      </c>
      <c r="C29" s="414">
        <f t="shared" si="3"/>
        <v>669361</v>
      </c>
      <c r="D29" s="414">
        <f>SUM(D30,D53)</f>
        <v>0</v>
      </c>
      <c r="E29" s="414">
        <f>SUM(E30,E53)</f>
        <v>669361</v>
      </c>
      <c r="F29" s="414">
        <f t="shared" si="4"/>
        <v>0</v>
      </c>
      <c r="G29" s="414">
        <f>SUM(G30,G53)</f>
        <v>0</v>
      </c>
      <c r="H29" s="414">
        <f>SUM(H30,H53)</f>
        <v>0</v>
      </c>
      <c r="I29" s="414">
        <f t="shared" si="5"/>
        <v>0</v>
      </c>
      <c r="J29" s="414">
        <f>SUM(J30,J53)</f>
        <v>0</v>
      </c>
      <c r="K29" s="414">
        <f>SUM(K30,K53)</f>
        <v>0</v>
      </c>
      <c r="L29" s="441">
        <f t="shared" si="0"/>
        <v>0</v>
      </c>
      <c r="M29" s="442">
        <f t="shared" si="1"/>
        <v>0</v>
      </c>
      <c r="N29" s="442">
        <f t="shared" si="2"/>
        <v>0</v>
      </c>
    </row>
    <row r="30" spans="1:17" ht="50.25" customHeight="1">
      <c r="A30" s="348" t="s">
        <v>246</v>
      </c>
      <c r="B30" s="319" t="s">
        <v>314</v>
      </c>
      <c r="C30" s="414">
        <f t="shared" si="3"/>
        <v>602452</v>
      </c>
      <c r="D30" s="414">
        <f>SUM(D31,D33)</f>
        <v>0</v>
      </c>
      <c r="E30" s="414">
        <f>SUM(E31,E33)</f>
        <v>602452</v>
      </c>
      <c r="F30" s="414">
        <f t="shared" si="4"/>
        <v>0</v>
      </c>
      <c r="G30" s="414">
        <f>SUM(G31,G33)</f>
        <v>0</v>
      </c>
      <c r="H30" s="414">
        <f>SUM(H31,H33)</f>
        <v>0</v>
      </c>
      <c r="I30" s="414">
        <f t="shared" si="5"/>
        <v>0</v>
      </c>
      <c r="J30" s="414">
        <f>SUM(J31,J33)</f>
        <v>0</v>
      </c>
      <c r="K30" s="414">
        <f>SUM(K31,K33)</f>
        <v>0</v>
      </c>
      <c r="L30" s="441">
        <f t="shared" si="0"/>
        <v>0</v>
      </c>
      <c r="M30" s="442">
        <f t="shared" si="1"/>
        <v>0</v>
      </c>
      <c r="N30" s="442">
        <f t="shared" si="2"/>
        <v>0</v>
      </c>
    </row>
    <row r="31" spans="1:17" s="361" customFormat="1" ht="36" customHeight="1">
      <c r="A31" s="386" t="s">
        <v>247</v>
      </c>
      <c r="B31" s="387" t="s">
        <v>41</v>
      </c>
      <c r="C31" s="403">
        <f t="shared" si="3"/>
        <v>426772</v>
      </c>
      <c r="D31" s="388">
        <f>D32</f>
        <v>0</v>
      </c>
      <c r="E31" s="388">
        <f>E32</f>
        <v>426772</v>
      </c>
      <c r="F31" s="403">
        <f t="shared" si="4"/>
        <v>0</v>
      </c>
      <c r="G31" s="388">
        <f>G32</f>
        <v>0</v>
      </c>
      <c r="H31" s="388">
        <f>H32</f>
        <v>0</v>
      </c>
      <c r="I31" s="403">
        <f t="shared" si="5"/>
        <v>0</v>
      </c>
      <c r="J31" s="388">
        <f>J32</f>
        <v>0</v>
      </c>
      <c r="K31" s="388">
        <f>K32</f>
        <v>0</v>
      </c>
      <c r="L31" s="444">
        <f t="shared" si="0"/>
        <v>0</v>
      </c>
      <c r="M31" s="445">
        <f t="shared" si="1"/>
        <v>0</v>
      </c>
      <c r="N31" s="445">
        <f t="shared" si="2"/>
        <v>0</v>
      </c>
      <c r="P31" s="385"/>
    </row>
    <row r="32" spans="1:17" s="394" customFormat="1" ht="63">
      <c r="A32" s="392" t="s">
        <v>147</v>
      </c>
      <c r="B32" s="390" t="s">
        <v>87</v>
      </c>
      <c r="C32" s="404">
        <f t="shared" si="3"/>
        <v>426772</v>
      </c>
      <c r="D32" s="27"/>
      <c r="E32" s="27">
        <v>426772</v>
      </c>
      <c r="F32" s="404">
        <f t="shared" si="4"/>
        <v>0</v>
      </c>
      <c r="G32" s="27"/>
      <c r="H32" s="27"/>
      <c r="I32" s="404">
        <f t="shared" si="5"/>
        <v>0</v>
      </c>
      <c r="J32" s="27"/>
      <c r="K32" s="27"/>
      <c r="L32" s="446">
        <f t="shared" si="0"/>
        <v>0</v>
      </c>
      <c r="M32" s="447">
        <f t="shared" si="1"/>
        <v>0</v>
      </c>
      <c r="N32" s="447">
        <f t="shared" si="2"/>
        <v>0</v>
      </c>
      <c r="P32" s="385"/>
    </row>
    <row r="33" spans="1:16" s="361" customFormat="1" ht="41.25" customHeight="1">
      <c r="A33" s="386" t="s">
        <v>248</v>
      </c>
      <c r="B33" s="387" t="s">
        <v>39</v>
      </c>
      <c r="C33" s="403">
        <f t="shared" si="3"/>
        <v>175680</v>
      </c>
      <c r="D33" s="388">
        <f>SUM(D34:D52)</f>
        <v>0</v>
      </c>
      <c r="E33" s="388">
        <f>SUM(E34:E52)</f>
        <v>175680</v>
      </c>
      <c r="F33" s="403">
        <f t="shared" si="4"/>
        <v>0</v>
      </c>
      <c r="G33" s="388">
        <f>SUM(G34:G52)</f>
        <v>0</v>
      </c>
      <c r="H33" s="388">
        <f>SUM(H34:H52)</f>
        <v>0</v>
      </c>
      <c r="I33" s="403">
        <f t="shared" si="5"/>
        <v>0</v>
      </c>
      <c r="J33" s="388">
        <f>SUM(J34:J52)</f>
        <v>0</v>
      </c>
      <c r="K33" s="388">
        <f>SUM(K34:K52)</f>
        <v>0</v>
      </c>
      <c r="L33" s="444">
        <f t="shared" si="0"/>
        <v>0</v>
      </c>
      <c r="M33" s="445">
        <f t="shared" si="1"/>
        <v>0</v>
      </c>
      <c r="N33" s="445">
        <f t="shared" si="2"/>
        <v>0</v>
      </c>
      <c r="P33" s="385"/>
    </row>
    <row r="34" spans="1:16" s="361" customFormat="1" ht="51" customHeight="1">
      <c r="A34" s="405" t="s">
        <v>148</v>
      </c>
      <c r="B34" s="406" t="s">
        <v>284</v>
      </c>
      <c r="C34" s="404">
        <f t="shared" si="3"/>
        <v>25000</v>
      </c>
      <c r="D34" s="407"/>
      <c r="E34" s="407">
        <v>25000</v>
      </c>
      <c r="F34" s="404">
        <f t="shared" si="4"/>
        <v>0</v>
      </c>
      <c r="G34" s="407"/>
      <c r="H34" s="407"/>
      <c r="I34" s="404">
        <f t="shared" si="5"/>
        <v>0</v>
      </c>
      <c r="J34" s="407"/>
      <c r="K34" s="407"/>
      <c r="L34" s="448">
        <f t="shared" si="0"/>
        <v>0</v>
      </c>
      <c r="M34" s="449">
        <f t="shared" si="1"/>
        <v>0</v>
      </c>
      <c r="N34" s="449">
        <f t="shared" si="2"/>
        <v>0</v>
      </c>
      <c r="P34" s="385"/>
    </row>
    <row r="35" spans="1:16" s="394" customFormat="1" ht="102.75" customHeight="1">
      <c r="A35" s="397" t="s">
        <v>175</v>
      </c>
      <c r="B35" s="408" t="s">
        <v>285</v>
      </c>
      <c r="C35" s="404">
        <f t="shared" si="3"/>
        <v>17250</v>
      </c>
      <c r="D35" s="407"/>
      <c r="E35" s="407">
        <v>17250</v>
      </c>
      <c r="F35" s="404">
        <f t="shared" si="4"/>
        <v>0</v>
      </c>
      <c r="G35" s="407"/>
      <c r="H35" s="407"/>
      <c r="I35" s="404">
        <f t="shared" si="5"/>
        <v>0</v>
      </c>
      <c r="J35" s="407"/>
      <c r="K35" s="407"/>
      <c r="L35" s="446">
        <f t="shared" si="0"/>
        <v>0</v>
      </c>
      <c r="M35" s="447">
        <f t="shared" si="1"/>
        <v>0</v>
      </c>
      <c r="N35" s="447">
        <f t="shared" si="2"/>
        <v>0</v>
      </c>
      <c r="P35" s="385"/>
    </row>
    <row r="36" spans="1:16" s="361" customFormat="1" ht="102.75" customHeight="1">
      <c r="A36" s="405" t="s">
        <v>179</v>
      </c>
      <c r="B36" s="408" t="s">
        <v>286</v>
      </c>
      <c r="C36" s="404">
        <f t="shared" si="3"/>
        <v>5300</v>
      </c>
      <c r="D36" s="407"/>
      <c r="E36" s="407">
        <v>5300</v>
      </c>
      <c r="F36" s="404">
        <f t="shared" si="4"/>
        <v>0</v>
      </c>
      <c r="G36" s="407"/>
      <c r="H36" s="407"/>
      <c r="I36" s="404">
        <f t="shared" si="5"/>
        <v>0</v>
      </c>
      <c r="J36" s="407"/>
      <c r="K36" s="407"/>
      <c r="L36" s="448">
        <f t="shared" si="0"/>
        <v>0</v>
      </c>
      <c r="M36" s="449">
        <f t="shared" si="1"/>
        <v>0</v>
      </c>
      <c r="N36" s="449">
        <f t="shared" si="2"/>
        <v>0</v>
      </c>
      <c r="P36" s="385"/>
    </row>
    <row r="37" spans="1:16" s="361" customFormat="1" ht="102.75" customHeight="1">
      <c r="A37" s="405" t="s">
        <v>180</v>
      </c>
      <c r="B37" s="409" t="s">
        <v>287</v>
      </c>
      <c r="C37" s="404">
        <f t="shared" si="3"/>
        <v>5700</v>
      </c>
      <c r="D37" s="410"/>
      <c r="E37" s="410">
        <v>5700</v>
      </c>
      <c r="F37" s="404">
        <f t="shared" si="4"/>
        <v>0</v>
      </c>
      <c r="G37" s="410"/>
      <c r="H37" s="410"/>
      <c r="I37" s="404">
        <f t="shared" si="5"/>
        <v>0</v>
      </c>
      <c r="J37" s="410"/>
      <c r="K37" s="410"/>
      <c r="L37" s="448">
        <f t="shared" si="0"/>
        <v>0</v>
      </c>
      <c r="M37" s="449">
        <f t="shared" si="1"/>
        <v>0</v>
      </c>
      <c r="N37" s="449">
        <f t="shared" si="2"/>
        <v>0</v>
      </c>
      <c r="P37" s="385"/>
    </row>
    <row r="38" spans="1:16" s="361" customFormat="1" ht="102.75" customHeight="1">
      <c r="A38" s="405" t="s">
        <v>181</v>
      </c>
      <c r="B38" s="409" t="s">
        <v>288</v>
      </c>
      <c r="C38" s="404">
        <f t="shared" si="3"/>
        <v>8457</v>
      </c>
      <c r="D38" s="410"/>
      <c r="E38" s="410">
        <v>8457</v>
      </c>
      <c r="F38" s="404">
        <f t="shared" si="4"/>
        <v>0</v>
      </c>
      <c r="G38" s="410"/>
      <c r="H38" s="410"/>
      <c r="I38" s="404">
        <f t="shared" si="5"/>
        <v>0</v>
      </c>
      <c r="J38" s="410"/>
      <c r="K38" s="410"/>
      <c r="L38" s="448">
        <f t="shared" si="0"/>
        <v>0</v>
      </c>
      <c r="M38" s="449">
        <f t="shared" si="1"/>
        <v>0</v>
      </c>
      <c r="N38" s="449">
        <f t="shared" si="2"/>
        <v>0</v>
      </c>
      <c r="P38" s="385"/>
    </row>
    <row r="39" spans="1:16" s="361" customFormat="1" ht="102.75" customHeight="1">
      <c r="A39" s="405" t="s">
        <v>182</v>
      </c>
      <c r="B39" s="409" t="s">
        <v>289</v>
      </c>
      <c r="C39" s="404">
        <f t="shared" si="3"/>
        <v>9650</v>
      </c>
      <c r="D39" s="410"/>
      <c r="E39" s="410">
        <v>9650</v>
      </c>
      <c r="F39" s="404">
        <f t="shared" si="4"/>
        <v>0</v>
      </c>
      <c r="G39" s="410"/>
      <c r="H39" s="410"/>
      <c r="I39" s="404">
        <f t="shared" si="5"/>
        <v>0</v>
      </c>
      <c r="J39" s="410"/>
      <c r="K39" s="410"/>
      <c r="L39" s="448">
        <f t="shared" si="0"/>
        <v>0</v>
      </c>
      <c r="M39" s="449">
        <f t="shared" si="1"/>
        <v>0</v>
      </c>
      <c r="N39" s="449">
        <f t="shared" si="2"/>
        <v>0</v>
      </c>
      <c r="P39" s="385"/>
    </row>
    <row r="40" spans="1:16" s="361" customFormat="1" ht="102.75" customHeight="1">
      <c r="A40" s="405" t="s">
        <v>183</v>
      </c>
      <c r="B40" s="409" t="s">
        <v>290</v>
      </c>
      <c r="C40" s="404">
        <f t="shared" si="3"/>
        <v>7300</v>
      </c>
      <c r="D40" s="410"/>
      <c r="E40" s="410">
        <v>7300</v>
      </c>
      <c r="F40" s="404">
        <f t="shared" si="4"/>
        <v>0</v>
      </c>
      <c r="G40" s="410"/>
      <c r="H40" s="410"/>
      <c r="I40" s="404">
        <f t="shared" si="5"/>
        <v>0</v>
      </c>
      <c r="J40" s="410"/>
      <c r="K40" s="410"/>
      <c r="L40" s="448">
        <f t="shared" si="0"/>
        <v>0</v>
      </c>
      <c r="M40" s="449">
        <f t="shared" si="1"/>
        <v>0</v>
      </c>
      <c r="N40" s="449">
        <f t="shared" si="2"/>
        <v>0</v>
      </c>
      <c r="P40" s="385"/>
    </row>
    <row r="41" spans="1:16" s="361" customFormat="1" ht="102.75" customHeight="1">
      <c r="A41" s="405" t="s">
        <v>188</v>
      </c>
      <c r="B41" s="409" t="s">
        <v>291</v>
      </c>
      <c r="C41" s="404">
        <f t="shared" si="3"/>
        <v>8800</v>
      </c>
      <c r="D41" s="410"/>
      <c r="E41" s="410">
        <v>8800</v>
      </c>
      <c r="F41" s="404">
        <f t="shared" si="4"/>
        <v>0</v>
      </c>
      <c r="G41" s="410"/>
      <c r="H41" s="410"/>
      <c r="I41" s="404">
        <f t="shared" si="5"/>
        <v>0</v>
      </c>
      <c r="J41" s="410"/>
      <c r="K41" s="410"/>
      <c r="L41" s="448">
        <f t="shared" si="0"/>
        <v>0</v>
      </c>
      <c r="M41" s="449">
        <f t="shared" si="1"/>
        <v>0</v>
      </c>
      <c r="N41" s="449">
        <f t="shared" si="2"/>
        <v>0</v>
      </c>
      <c r="P41" s="385"/>
    </row>
    <row r="42" spans="1:16" s="361" customFormat="1" ht="102.75" customHeight="1">
      <c r="A42" s="405" t="s">
        <v>189</v>
      </c>
      <c r="B42" s="409" t="s">
        <v>292</v>
      </c>
      <c r="C42" s="404">
        <f t="shared" si="3"/>
        <v>6600</v>
      </c>
      <c r="D42" s="410"/>
      <c r="E42" s="410">
        <v>6600</v>
      </c>
      <c r="F42" s="404">
        <f t="shared" si="4"/>
        <v>0</v>
      </c>
      <c r="G42" s="410"/>
      <c r="H42" s="410"/>
      <c r="I42" s="404">
        <f t="shared" si="5"/>
        <v>0</v>
      </c>
      <c r="J42" s="410"/>
      <c r="K42" s="410"/>
      <c r="L42" s="448">
        <f t="shared" si="0"/>
        <v>0</v>
      </c>
      <c r="M42" s="449">
        <f t="shared" si="1"/>
        <v>0</v>
      </c>
      <c r="N42" s="449">
        <f t="shared" si="2"/>
        <v>0</v>
      </c>
      <c r="P42" s="385"/>
    </row>
    <row r="43" spans="1:16" s="361" customFormat="1" ht="102.75" customHeight="1">
      <c r="A43" s="405" t="s">
        <v>190</v>
      </c>
      <c r="B43" s="408" t="s">
        <v>293</v>
      </c>
      <c r="C43" s="404">
        <f t="shared" si="3"/>
        <v>35972</v>
      </c>
      <c r="D43" s="407"/>
      <c r="E43" s="407">
        <v>35972</v>
      </c>
      <c r="F43" s="404">
        <f t="shared" si="4"/>
        <v>0</v>
      </c>
      <c r="G43" s="407"/>
      <c r="H43" s="407"/>
      <c r="I43" s="404">
        <f t="shared" si="5"/>
        <v>0</v>
      </c>
      <c r="J43" s="407"/>
      <c r="K43" s="407"/>
      <c r="L43" s="448">
        <f t="shared" si="0"/>
        <v>0</v>
      </c>
      <c r="M43" s="449">
        <f t="shared" si="1"/>
        <v>0</v>
      </c>
      <c r="N43" s="449">
        <f t="shared" si="2"/>
        <v>0</v>
      </c>
      <c r="P43" s="385"/>
    </row>
    <row r="44" spans="1:16" s="361" customFormat="1" ht="102.75" customHeight="1">
      <c r="A44" s="405" t="s">
        <v>191</v>
      </c>
      <c r="B44" s="408" t="s">
        <v>294</v>
      </c>
      <c r="C44" s="404">
        <f t="shared" si="3"/>
        <v>4727</v>
      </c>
      <c r="D44" s="407"/>
      <c r="E44" s="407">
        <v>4727</v>
      </c>
      <c r="F44" s="404">
        <f t="shared" si="4"/>
        <v>0</v>
      </c>
      <c r="G44" s="407"/>
      <c r="H44" s="407"/>
      <c r="I44" s="404">
        <f t="shared" si="5"/>
        <v>0</v>
      </c>
      <c r="J44" s="407"/>
      <c r="K44" s="407"/>
      <c r="L44" s="448">
        <f t="shared" si="0"/>
        <v>0</v>
      </c>
      <c r="M44" s="449">
        <f t="shared" si="1"/>
        <v>0</v>
      </c>
      <c r="N44" s="449">
        <f t="shared" si="2"/>
        <v>0</v>
      </c>
      <c r="P44" s="385"/>
    </row>
    <row r="45" spans="1:16" s="361" customFormat="1" ht="102.75" customHeight="1">
      <c r="A45" s="405" t="s">
        <v>192</v>
      </c>
      <c r="B45" s="408" t="s">
        <v>295</v>
      </c>
      <c r="C45" s="404">
        <f t="shared" si="3"/>
        <v>3408</v>
      </c>
      <c r="D45" s="407"/>
      <c r="E45" s="407">
        <v>3408</v>
      </c>
      <c r="F45" s="404">
        <f t="shared" si="4"/>
        <v>0</v>
      </c>
      <c r="G45" s="407"/>
      <c r="H45" s="407"/>
      <c r="I45" s="404">
        <f t="shared" si="5"/>
        <v>0</v>
      </c>
      <c r="J45" s="407"/>
      <c r="K45" s="407"/>
      <c r="L45" s="448">
        <f t="shared" si="0"/>
        <v>0</v>
      </c>
      <c r="M45" s="449">
        <f t="shared" si="1"/>
        <v>0</v>
      </c>
      <c r="N45" s="449">
        <f t="shared" si="2"/>
        <v>0</v>
      </c>
      <c r="P45" s="385"/>
    </row>
    <row r="46" spans="1:16" s="361" customFormat="1" ht="102.75" customHeight="1">
      <c r="A46" s="405" t="s">
        <v>195</v>
      </c>
      <c r="B46" s="408" t="s">
        <v>296</v>
      </c>
      <c r="C46" s="404">
        <f t="shared" si="3"/>
        <v>11052</v>
      </c>
      <c r="D46" s="407"/>
      <c r="E46" s="407">
        <v>11052</v>
      </c>
      <c r="F46" s="404">
        <f t="shared" si="4"/>
        <v>0</v>
      </c>
      <c r="G46" s="407"/>
      <c r="H46" s="407"/>
      <c r="I46" s="404">
        <f t="shared" si="5"/>
        <v>0</v>
      </c>
      <c r="J46" s="407"/>
      <c r="K46" s="407"/>
      <c r="L46" s="448">
        <f t="shared" si="0"/>
        <v>0</v>
      </c>
      <c r="M46" s="449">
        <f t="shared" si="1"/>
        <v>0</v>
      </c>
      <c r="N46" s="449">
        <f t="shared" si="2"/>
        <v>0</v>
      </c>
      <c r="P46" s="385"/>
    </row>
    <row r="47" spans="1:16" s="361" customFormat="1" ht="102.75" customHeight="1">
      <c r="A47" s="405" t="s">
        <v>196</v>
      </c>
      <c r="B47" s="408" t="s">
        <v>297</v>
      </c>
      <c r="C47" s="404">
        <f t="shared" si="3"/>
        <v>1000</v>
      </c>
      <c r="D47" s="407"/>
      <c r="E47" s="407">
        <v>1000</v>
      </c>
      <c r="F47" s="404">
        <f t="shared" si="4"/>
        <v>0</v>
      </c>
      <c r="G47" s="407"/>
      <c r="H47" s="407"/>
      <c r="I47" s="404">
        <f t="shared" si="5"/>
        <v>0</v>
      </c>
      <c r="J47" s="407"/>
      <c r="K47" s="407"/>
      <c r="L47" s="448">
        <f t="shared" si="0"/>
        <v>0</v>
      </c>
      <c r="M47" s="449">
        <f t="shared" si="1"/>
        <v>0</v>
      </c>
      <c r="N47" s="449">
        <f t="shared" si="2"/>
        <v>0</v>
      </c>
      <c r="P47" s="385"/>
    </row>
    <row r="48" spans="1:16" s="361" customFormat="1" ht="102.75" customHeight="1">
      <c r="A48" s="405" t="s">
        <v>198</v>
      </c>
      <c r="B48" s="408" t="s">
        <v>299</v>
      </c>
      <c r="C48" s="404">
        <f t="shared" si="3"/>
        <v>650</v>
      </c>
      <c r="D48" s="407"/>
      <c r="E48" s="407">
        <v>650</v>
      </c>
      <c r="F48" s="404">
        <f t="shared" si="4"/>
        <v>0</v>
      </c>
      <c r="G48" s="407"/>
      <c r="H48" s="407"/>
      <c r="I48" s="404">
        <f t="shared" si="5"/>
        <v>0</v>
      </c>
      <c r="J48" s="407"/>
      <c r="K48" s="407"/>
      <c r="L48" s="448">
        <f t="shared" si="0"/>
        <v>0</v>
      </c>
      <c r="M48" s="449">
        <f t="shared" si="1"/>
        <v>0</v>
      </c>
      <c r="N48" s="449">
        <f t="shared" si="2"/>
        <v>0</v>
      </c>
      <c r="P48" s="385"/>
    </row>
    <row r="49" spans="1:16" s="361" customFormat="1" ht="102.75" customHeight="1">
      <c r="A49" s="405" t="s">
        <v>298</v>
      </c>
      <c r="B49" s="408" t="s">
        <v>300</v>
      </c>
      <c r="C49" s="404">
        <f t="shared" si="3"/>
        <v>350</v>
      </c>
      <c r="D49" s="407"/>
      <c r="E49" s="407">
        <v>350</v>
      </c>
      <c r="F49" s="404">
        <f t="shared" si="4"/>
        <v>0</v>
      </c>
      <c r="G49" s="407"/>
      <c r="H49" s="407"/>
      <c r="I49" s="404">
        <f t="shared" si="5"/>
        <v>0</v>
      </c>
      <c r="J49" s="407"/>
      <c r="K49" s="407"/>
      <c r="L49" s="448">
        <f t="shared" si="0"/>
        <v>0</v>
      </c>
      <c r="M49" s="449">
        <f t="shared" si="1"/>
        <v>0</v>
      </c>
      <c r="N49" s="449">
        <f t="shared" si="2"/>
        <v>0</v>
      </c>
      <c r="P49" s="385"/>
    </row>
    <row r="50" spans="1:16" s="361" customFormat="1" ht="102.75" customHeight="1">
      <c r="A50" s="405" t="s">
        <v>204</v>
      </c>
      <c r="B50" s="408" t="s">
        <v>301</v>
      </c>
      <c r="C50" s="404">
        <f t="shared" si="3"/>
        <v>260</v>
      </c>
      <c r="D50" s="407"/>
      <c r="E50" s="407">
        <v>260</v>
      </c>
      <c r="F50" s="404">
        <f t="shared" si="4"/>
        <v>0</v>
      </c>
      <c r="G50" s="407"/>
      <c r="H50" s="407"/>
      <c r="I50" s="404">
        <f t="shared" si="5"/>
        <v>0</v>
      </c>
      <c r="J50" s="407"/>
      <c r="K50" s="407"/>
      <c r="L50" s="448">
        <f t="shared" si="0"/>
        <v>0</v>
      </c>
      <c r="M50" s="449">
        <f t="shared" si="1"/>
        <v>0</v>
      </c>
      <c r="N50" s="449">
        <f t="shared" si="2"/>
        <v>0</v>
      </c>
      <c r="P50" s="385"/>
    </row>
    <row r="51" spans="1:16" s="361" customFormat="1" ht="49.5" customHeight="1">
      <c r="A51" s="405" t="s">
        <v>205</v>
      </c>
      <c r="B51" s="408" t="s">
        <v>303</v>
      </c>
      <c r="C51" s="404">
        <f t="shared" si="3"/>
        <v>13524</v>
      </c>
      <c r="D51" s="407"/>
      <c r="E51" s="407">
        <v>13524</v>
      </c>
      <c r="F51" s="404">
        <f t="shared" si="4"/>
        <v>0</v>
      </c>
      <c r="G51" s="407"/>
      <c r="H51" s="407"/>
      <c r="I51" s="404">
        <f t="shared" si="5"/>
        <v>0</v>
      </c>
      <c r="J51" s="407"/>
      <c r="K51" s="407"/>
      <c r="L51" s="448">
        <f t="shared" si="0"/>
        <v>0</v>
      </c>
      <c r="M51" s="449">
        <f t="shared" si="1"/>
        <v>0</v>
      </c>
      <c r="N51" s="449">
        <f t="shared" si="2"/>
        <v>0</v>
      </c>
      <c r="P51" s="385"/>
    </row>
    <row r="52" spans="1:16" s="361" customFormat="1" ht="47.25">
      <c r="A52" s="405" t="s">
        <v>302</v>
      </c>
      <c r="B52" s="406" t="s">
        <v>304</v>
      </c>
      <c r="C52" s="404">
        <f t="shared" si="3"/>
        <v>10680</v>
      </c>
      <c r="D52" s="407"/>
      <c r="E52" s="407">
        <v>10680</v>
      </c>
      <c r="F52" s="404">
        <f t="shared" si="4"/>
        <v>0</v>
      </c>
      <c r="G52" s="407"/>
      <c r="H52" s="407"/>
      <c r="I52" s="404">
        <f t="shared" si="5"/>
        <v>0</v>
      </c>
      <c r="J52" s="407"/>
      <c r="K52" s="407"/>
      <c r="L52" s="448">
        <f t="shared" si="0"/>
        <v>0</v>
      </c>
      <c r="M52" s="449">
        <f t="shared" si="1"/>
        <v>0</v>
      </c>
      <c r="N52" s="449">
        <f t="shared" si="2"/>
        <v>0</v>
      </c>
      <c r="P52" s="385"/>
    </row>
    <row r="53" spans="1:16" ht="35.25" customHeight="1">
      <c r="A53" s="348" t="s">
        <v>249</v>
      </c>
      <c r="B53" s="319" t="s">
        <v>315</v>
      </c>
      <c r="C53" s="414">
        <f t="shared" si="3"/>
        <v>66909</v>
      </c>
      <c r="D53" s="414">
        <f>SUM(D54,D57)</f>
        <v>0</v>
      </c>
      <c r="E53" s="414">
        <f>SUM(E54,E57)</f>
        <v>66909</v>
      </c>
      <c r="F53" s="414">
        <f t="shared" si="4"/>
        <v>0</v>
      </c>
      <c r="G53" s="414">
        <f>SUM(G54,G57)</f>
        <v>0</v>
      </c>
      <c r="H53" s="414">
        <f>SUM(H54,H57)</f>
        <v>0</v>
      </c>
      <c r="I53" s="414">
        <f t="shared" si="5"/>
        <v>0</v>
      </c>
      <c r="J53" s="414">
        <f>SUM(J54,J57)</f>
        <v>0</v>
      </c>
      <c r="K53" s="414">
        <f>SUM(K54,K57)</f>
        <v>0</v>
      </c>
      <c r="L53" s="441">
        <f t="shared" si="0"/>
        <v>0</v>
      </c>
      <c r="M53" s="442">
        <f t="shared" si="1"/>
        <v>0</v>
      </c>
      <c r="N53" s="442">
        <f t="shared" si="2"/>
        <v>0</v>
      </c>
    </row>
    <row r="54" spans="1:16" s="361" customFormat="1" ht="43.5" customHeight="1">
      <c r="A54" s="386" t="s">
        <v>250</v>
      </c>
      <c r="B54" s="387" t="s">
        <v>41</v>
      </c>
      <c r="C54" s="403">
        <f t="shared" si="3"/>
        <v>54520</v>
      </c>
      <c r="D54" s="388">
        <f>SUM(D55:D56)</f>
        <v>0</v>
      </c>
      <c r="E54" s="388">
        <f>SUM(E55:E56)</f>
        <v>54520</v>
      </c>
      <c r="F54" s="403">
        <f t="shared" si="4"/>
        <v>0</v>
      </c>
      <c r="G54" s="388">
        <f>SUM(G55:G56)</f>
        <v>0</v>
      </c>
      <c r="H54" s="388">
        <f>SUM(H55:H56)</f>
        <v>0</v>
      </c>
      <c r="I54" s="403">
        <f t="shared" si="5"/>
        <v>0</v>
      </c>
      <c r="J54" s="388">
        <f>SUM(J55:J56)</f>
        <v>0</v>
      </c>
      <c r="K54" s="388">
        <f>SUM(K55:K56)</f>
        <v>0</v>
      </c>
      <c r="L54" s="444">
        <f t="shared" si="0"/>
        <v>0</v>
      </c>
      <c r="M54" s="445">
        <f t="shared" si="1"/>
        <v>0</v>
      </c>
      <c r="N54" s="445">
        <f t="shared" si="2"/>
        <v>0</v>
      </c>
      <c r="P54" s="385">
        <f>D54-E54</f>
        <v>-54520</v>
      </c>
    </row>
    <row r="55" spans="1:16" s="394" customFormat="1" ht="47.25">
      <c r="A55" s="392" t="s">
        <v>210</v>
      </c>
      <c r="B55" s="390" t="s">
        <v>305</v>
      </c>
      <c r="C55" s="404">
        <f t="shared" si="3"/>
        <v>5200</v>
      </c>
      <c r="D55" s="27"/>
      <c r="E55" s="27">
        <v>5200</v>
      </c>
      <c r="F55" s="404">
        <f t="shared" si="4"/>
        <v>0</v>
      </c>
      <c r="G55" s="27"/>
      <c r="H55" s="27"/>
      <c r="I55" s="404">
        <f t="shared" si="5"/>
        <v>0</v>
      </c>
      <c r="J55" s="27"/>
      <c r="K55" s="27"/>
      <c r="L55" s="446">
        <f t="shared" si="0"/>
        <v>0</v>
      </c>
      <c r="M55" s="447">
        <f t="shared" si="1"/>
        <v>0</v>
      </c>
      <c r="N55" s="447">
        <f t="shared" si="2"/>
        <v>0</v>
      </c>
      <c r="P55" s="385">
        <f>D55-E55</f>
        <v>-5200</v>
      </c>
    </row>
    <row r="56" spans="1:16" s="394" customFormat="1" ht="78.75">
      <c r="A56" s="397" t="s">
        <v>207</v>
      </c>
      <c r="B56" s="390" t="s">
        <v>306</v>
      </c>
      <c r="C56" s="404">
        <f t="shared" si="3"/>
        <v>49320</v>
      </c>
      <c r="D56" s="27"/>
      <c r="E56" s="27">
        <v>49320</v>
      </c>
      <c r="F56" s="404">
        <f t="shared" si="4"/>
        <v>0</v>
      </c>
      <c r="G56" s="27"/>
      <c r="H56" s="27"/>
      <c r="I56" s="404">
        <f t="shared" si="5"/>
        <v>0</v>
      </c>
      <c r="J56" s="27"/>
      <c r="K56" s="27"/>
      <c r="L56" s="446">
        <f t="shared" si="0"/>
        <v>0</v>
      </c>
      <c r="M56" s="447">
        <f t="shared" si="1"/>
        <v>0</v>
      </c>
      <c r="N56" s="447">
        <f t="shared" si="2"/>
        <v>0</v>
      </c>
      <c r="P56" s="385">
        <f>D56-E56</f>
        <v>-49320</v>
      </c>
    </row>
    <row r="57" spans="1:16" s="361" customFormat="1" ht="33.75" customHeight="1">
      <c r="A57" s="386" t="s">
        <v>251</v>
      </c>
      <c r="B57" s="387" t="s">
        <v>39</v>
      </c>
      <c r="C57" s="403">
        <f t="shared" si="3"/>
        <v>12389</v>
      </c>
      <c r="D57" s="388">
        <f>SUM(D58)</f>
        <v>0</v>
      </c>
      <c r="E57" s="388">
        <f>SUM(E58)</f>
        <v>12389</v>
      </c>
      <c r="F57" s="403">
        <f t="shared" si="4"/>
        <v>0</v>
      </c>
      <c r="G57" s="388">
        <f>SUM(G58)</f>
        <v>0</v>
      </c>
      <c r="H57" s="388">
        <f>SUM(H58)</f>
        <v>0</v>
      </c>
      <c r="I57" s="403">
        <f t="shared" si="5"/>
        <v>0</v>
      </c>
      <c r="J57" s="388">
        <f>SUM(J58)</f>
        <v>0</v>
      </c>
      <c r="K57" s="388">
        <f>SUM(K58)</f>
        <v>0</v>
      </c>
      <c r="L57" s="444">
        <f t="shared" si="0"/>
        <v>0</v>
      </c>
      <c r="M57" s="445">
        <f t="shared" si="1"/>
        <v>0</v>
      </c>
      <c r="N57" s="445">
        <f t="shared" si="2"/>
        <v>0</v>
      </c>
      <c r="P57" s="385">
        <f>D57-E57</f>
        <v>-12389</v>
      </c>
    </row>
    <row r="58" spans="1:16" s="361" customFormat="1" ht="51.75" customHeight="1">
      <c r="A58" s="405" t="s">
        <v>208</v>
      </c>
      <c r="B58" s="408" t="s">
        <v>307</v>
      </c>
      <c r="C58" s="404">
        <f t="shared" si="3"/>
        <v>12389</v>
      </c>
      <c r="D58" s="407"/>
      <c r="E58" s="407">
        <v>12389</v>
      </c>
      <c r="F58" s="404">
        <f t="shared" si="4"/>
        <v>0</v>
      </c>
      <c r="G58" s="407"/>
      <c r="H58" s="407"/>
      <c r="I58" s="404">
        <f t="shared" si="5"/>
        <v>0</v>
      </c>
      <c r="J58" s="407"/>
      <c r="K58" s="407"/>
      <c r="L58" s="448">
        <f t="shared" si="0"/>
        <v>0</v>
      </c>
      <c r="M58" s="449">
        <f t="shared" si="1"/>
        <v>0</v>
      </c>
      <c r="N58" s="449">
        <f t="shared" si="2"/>
        <v>0</v>
      </c>
      <c r="P58" s="385">
        <f>D58-E58</f>
        <v>-12389</v>
      </c>
    </row>
    <row r="59" spans="1:16" s="376" customFormat="1" ht="64.5" customHeight="1">
      <c r="A59" s="2354" t="s">
        <v>262</v>
      </c>
      <c r="B59" s="2354"/>
      <c r="C59" s="412">
        <f t="shared" si="3"/>
        <v>533483</v>
      </c>
      <c r="D59" s="412">
        <f>D60</f>
        <v>0</v>
      </c>
      <c r="E59" s="412">
        <f>E60</f>
        <v>533483</v>
      </c>
      <c r="F59" s="412">
        <f t="shared" si="4"/>
        <v>0</v>
      </c>
      <c r="G59" s="412">
        <f>G60</f>
        <v>0</v>
      </c>
      <c r="H59" s="412">
        <f>H60</f>
        <v>0</v>
      </c>
      <c r="I59" s="412">
        <f t="shared" si="5"/>
        <v>0</v>
      </c>
      <c r="J59" s="412">
        <f>J60</f>
        <v>0</v>
      </c>
      <c r="K59" s="412">
        <f>K60</f>
        <v>0</v>
      </c>
      <c r="L59" s="439">
        <f t="shared" si="0"/>
        <v>0</v>
      </c>
      <c r="M59" s="440">
        <f t="shared" si="1"/>
        <v>0</v>
      </c>
      <c r="N59" s="440">
        <f t="shared" si="2"/>
        <v>0</v>
      </c>
    </row>
    <row r="60" spans="1:16" ht="57" customHeight="1">
      <c r="A60" s="348" t="s">
        <v>6</v>
      </c>
      <c r="B60" s="349" t="s">
        <v>222</v>
      </c>
      <c r="C60" s="414">
        <f>SUM(D60:E60)</f>
        <v>533483</v>
      </c>
      <c r="D60" s="414">
        <f>SUM(D61,D65)</f>
        <v>0</v>
      </c>
      <c r="E60" s="414">
        <f>SUM(E61,E65)</f>
        <v>533483</v>
      </c>
      <c r="F60" s="414">
        <f>SUM(G60:H60)</f>
        <v>0</v>
      </c>
      <c r="G60" s="414">
        <f>SUM(G61,G65)</f>
        <v>0</v>
      </c>
      <c r="H60" s="414">
        <f>SUM(H61,H65)</f>
        <v>0</v>
      </c>
      <c r="I60" s="414">
        <f>SUM(J60:K60)</f>
        <v>0</v>
      </c>
      <c r="J60" s="414">
        <f>SUM(J61,J65)</f>
        <v>0</v>
      </c>
      <c r="K60" s="414">
        <f>SUM(K61,K65)</f>
        <v>0</v>
      </c>
      <c r="L60" s="441">
        <f t="shared" si="0"/>
        <v>0</v>
      </c>
      <c r="M60" s="442">
        <f t="shared" si="1"/>
        <v>0</v>
      </c>
      <c r="N60" s="442">
        <f t="shared" si="2"/>
        <v>0</v>
      </c>
    </row>
    <row r="61" spans="1:16" ht="42" customHeight="1">
      <c r="A61" s="415" t="s">
        <v>253</v>
      </c>
      <c r="B61" s="416" t="s">
        <v>41</v>
      </c>
      <c r="C61" s="403">
        <f t="shared" si="3"/>
        <v>221678</v>
      </c>
      <c r="D61" s="403">
        <f>SUM(D62:D64)</f>
        <v>0</v>
      </c>
      <c r="E61" s="403">
        <f>SUM(E62:E64)</f>
        <v>221678</v>
      </c>
      <c r="F61" s="403">
        <f t="shared" si="4"/>
        <v>0</v>
      </c>
      <c r="G61" s="403">
        <f>SUM(G62:G64)</f>
        <v>0</v>
      </c>
      <c r="H61" s="403">
        <f>SUM(H62:H64)</f>
        <v>0</v>
      </c>
      <c r="I61" s="403">
        <f t="shared" si="5"/>
        <v>0</v>
      </c>
      <c r="J61" s="403">
        <f>SUM(J62:J64)</f>
        <v>0</v>
      </c>
      <c r="K61" s="403">
        <f>SUM(K62:K64)</f>
        <v>0</v>
      </c>
      <c r="L61" s="450">
        <f t="shared" si="0"/>
        <v>0</v>
      </c>
      <c r="M61" s="451">
        <f t="shared" si="1"/>
        <v>0</v>
      </c>
      <c r="N61" s="451">
        <f t="shared" si="2"/>
        <v>0</v>
      </c>
    </row>
    <row r="62" spans="1:16" s="361" customFormat="1" ht="31.5">
      <c r="A62" s="381" t="s">
        <v>209</v>
      </c>
      <c r="B62" s="382" t="s">
        <v>270</v>
      </c>
      <c r="C62" s="404">
        <f>SUM(D62:E62)</f>
        <v>34000</v>
      </c>
      <c r="D62" s="411"/>
      <c r="E62" s="411">
        <v>34000</v>
      </c>
      <c r="F62" s="404">
        <f>SUM(G62:H62)</f>
        <v>0</v>
      </c>
      <c r="G62" s="411"/>
      <c r="H62" s="411"/>
      <c r="I62" s="404">
        <f>SUM(J62:K62)</f>
        <v>0</v>
      </c>
      <c r="J62" s="411"/>
      <c r="K62" s="411"/>
      <c r="L62" s="448">
        <f t="shared" ref="L62:N67" si="6">IF(I62=0,0,I62/F62*100)</f>
        <v>0</v>
      </c>
      <c r="M62" s="449">
        <f t="shared" si="6"/>
        <v>0</v>
      </c>
      <c r="N62" s="449">
        <f t="shared" si="6"/>
        <v>0</v>
      </c>
      <c r="P62" s="385"/>
    </row>
    <row r="63" spans="1:16" s="361" customFormat="1" ht="31.5">
      <c r="A63" s="381" t="s">
        <v>212</v>
      </c>
      <c r="B63" s="382" t="s">
        <v>272</v>
      </c>
      <c r="C63" s="404">
        <f>SUM(D63:E63)</f>
        <v>28810</v>
      </c>
      <c r="D63" s="411"/>
      <c r="E63" s="411">
        <v>28810</v>
      </c>
      <c r="F63" s="404">
        <f>SUM(G63:H63)</f>
        <v>0</v>
      </c>
      <c r="G63" s="411"/>
      <c r="H63" s="411"/>
      <c r="I63" s="404">
        <f>SUM(J63:K63)</f>
        <v>0</v>
      </c>
      <c r="J63" s="411"/>
      <c r="K63" s="411"/>
      <c r="L63" s="448">
        <f t="shared" si="6"/>
        <v>0</v>
      </c>
      <c r="M63" s="449">
        <f t="shared" si="6"/>
        <v>0</v>
      </c>
      <c r="N63" s="449">
        <f t="shared" si="6"/>
        <v>0</v>
      </c>
      <c r="P63" s="385"/>
    </row>
    <row r="64" spans="1:16" s="361" customFormat="1" ht="31.5">
      <c r="A64" s="381" t="s">
        <v>225</v>
      </c>
      <c r="B64" s="382" t="s">
        <v>274</v>
      </c>
      <c r="C64" s="404">
        <f>SUM(D64:E64)</f>
        <v>158868</v>
      </c>
      <c r="D64" s="411"/>
      <c r="E64" s="411">
        <v>158868</v>
      </c>
      <c r="F64" s="404">
        <f>SUM(G64:H64)</f>
        <v>0</v>
      </c>
      <c r="G64" s="411"/>
      <c r="H64" s="411"/>
      <c r="I64" s="404">
        <f>SUM(J64:K64)</f>
        <v>0</v>
      </c>
      <c r="J64" s="411"/>
      <c r="K64" s="411"/>
      <c r="L64" s="448">
        <f t="shared" si="6"/>
        <v>0</v>
      </c>
      <c r="M64" s="449">
        <f t="shared" si="6"/>
        <v>0</v>
      </c>
      <c r="N64" s="449">
        <f t="shared" si="6"/>
        <v>0</v>
      </c>
      <c r="P64" s="385"/>
    </row>
    <row r="65" spans="1:16" ht="34.5" customHeight="1">
      <c r="A65" s="415" t="s">
        <v>254</v>
      </c>
      <c r="B65" s="416" t="s">
        <v>39</v>
      </c>
      <c r="C65" s="403">
        <f t="shared" si="3"/>
        <v>311805</v>
      </c>
      <c r="D65" s="403">
        <f>SUM(D66:D71)</f>
        <v>0</v>
      </c>
      <c r="E65" s="403">
        <f>SUM(E66:E71)</f>
        <v>311805</v>
      </c>
      <c r="F65" s="403">
        <f>SUM(G65:H65)</f>
        <v>0</v>
      </c>
      <c r="G65" s="403">
        <f>SUM(G66:G71)</f>
        <v>0</v>
      </c>
      <c r="H65" s="403">
        <f>SUM(H66:H71)</f>
        <v>0</v>
      </c>
      <c r="I65" s="403">
        <f>SUM(J65:K65)</f>
        <v>0</v>
      </c>
      <c r="J65" s="403">
        <f>SUM(J66:J71)</f>
        <v>0</v>
      </c>
      <c r="K65" s="403">
        <f>SUM(K66:K71)</f>
        <v>0</v>
      </c>
      <c r="L65" s="444">
        <f t="shared" si="6"/>
        <v>0</v>
      </c>
      <c r="M65" s="445">
        <f t="shared" si="6"/>
        <v>0</v>
      </c>
      <c r="N65" s="445">
        <f t="shared" si="6"/>
        <v>0</v>
      </c>
    </row>
    <row r="66" spans="1:16" s="361" customFormat="1">
      <c r="A66" s="381" t="s">
        <v>223</v>
      </c>
      <c r="B66" s="382" t="s">
        <v>263</v>
      </c>
      <c r="C66" s="404">
        <f t="shared" si="3"/>
        <v>20000</v>
      </c>
      <c r="D66" s="411"/>
      <c r="E66" s="411">
        <v>20000</v>
      </c>
      <c r="F66" s="404">
        <f t="shared" si="4"/>
        <v>0</v>
      </c>
      <c r="G66" s="411"/>
      <c r="H66" s="411"/>
      <c r="I66" s="404">
        <f t="shared" si="5"/>
        <v>0</v>
      </c>
      <c r="J66" s="411"/>
      <c r="K66" s="411"/>
      <c r="L66" s="448">
        <f t="shared" si="6"/>
        <v>0</v>
      </c>
      <c r="M66" s="449">
        <f t="shared" si="6"/>
        <v>0</v>
      </c>
      <c r="N66" s="449">
        <f t="shared" si="6"/>
        <v>0</v>
      </c>
      <c r="P66" s="385"/>
    </row>
    <row r="67" spans="1:16" s="361" customFormat="1" ht="47.25">
      <c r="A67" s="381" t="s">
        <v>224</v>
      </c>
      <c r="B67" s="382" t="s">
        <v>264</v>
      </c>
      <c r="C67" s="404">
        <f t="shared" si="3"/>
        <v>31605</v>
      </c>
      <c r="D67" s="411"/>
      <c r="E67" s="411">
        <v>31605</v>
      </c>
      <c r="F67" s="404">
        <f t="shared" si="4"/>
        <v>0</v>
      </c>
      <c r="G67" s="411"/>
      <c r="H67" s="411"/>
      <c r="I67" s="404">
        <f t="shared" si="5"/>
        <v>0</v>
      </c>
      <c r="J67" s="411"/>
      <c r="K67" s="411"/>
      <c r="L67" s="448">
        <f t="shared" si="6"/>
        <v>0</v>
      </c>
      <c r="M67" s="449">
        <f t="shared" si="6"/>
        <v>0</v>
      </c>
      <c r="N67" s="449">
        <f t="shared" si="6"/>
        <v>0</v>
      </c>
      <c r="P67" s="385"/>
    </row>
    <row r="68" spans="1:16" s="361" customFormat="1" ht="47.25">
      <c r="A68" s="381" t="s">
        <v>267</v>
      </c>
      <c r="B68" s="382" t="s">
        <v>265</v>
      </c>
      <c r="C68" s="404">
        <f t="shared" si="3"/>
        <v>167000</v>
      </c>
      <c r="D68" s="411"/>
      <c r="E68" s="411">
        <v>167000</v>
      </c>
      <c r="F68" s="404">
        <f t="shared" si="4"/>
        <v>0</v>
      </c>
      <c r="G68" s="411"/>
      <c r="H68" s="411"/>
      <c r="I68" s="404">
        <f t="shared" si="5"/>
        <v>0</v>
      </c>
      <c r="J68" s="411"/>
      <c r="K68" s="411"/>
      <c r="L68" s="448">
        <f t="shared" si="0"/>
        <v>0</v>
      </c>
      <c r="M68" s="449">
        <f t="shared" si="1"/>
        <v>0</v>
      </c>
      <c r="N68" s="449">
        <f t="shared" si="2"/>
        <v>0</v>
      </c>
      <c r="P68" s="385"/>
    </row>
    <row r="69" spans="1:16" s="361" customFormat="1" ht="63">
      <c r="A69" s="381" t="s">
        <v>269</v>
      </c>
      <c r="B69" s="382" t="s">
        <v>266</v>
      </c>
      <c r="C69" s="404">
        <f t="shared" si="3"/>
        <v>22000</v>
      </c>
      <c r="D69" s="411"/>
      <c r="E69" s="411">
        <v>22000</v>
      </c>
      <c r="F69" s="404">
        <f t="shared" si="4"/>
        <v>0</v>
      </c>
      <c r="G69" s="411"/>
      <c r="H69" s="411"/>
      <c r="I69" s="404">
        <f t="shared" si="5"/>
        <v>0</v>
      </c>
      <c r="J69" s="411"/>
      <c r="K69" s="411"/>
      <c r="L69" s="448">
        <f t="shared" si="0"/>
        <v>0</v>
      </c>
      <c r="M69" s="449">
        <f t="shared" si="1"/>
        <v>0</v>
      </c>
      <c r="N69" s="449">
        <f t="shared" si="2"/>
        <v>0</v>
      </c>
      <c r="P69" s="385"/>
    </row>
    <row r="70" spans="1:16" s="361" customFormat="1" ht="51" customHeight="1">
      <c r="A70" s="381" t="s">
        <v>271</v>
      </c>
      <c r="B70" s="382" t="s">
        <v>268</v>
      </c>
      <c r="C70" s="404">
        <f t="shared" si="3"/>
        <v>1200</v>
      </c>
      <c r="D70" s="411"/>
      <c r="E70" s="411">
        <v>1200</v>
      </c>
      <c r="F70" s="404">
        <f t="shared" si="4"/>
        <v>0</v>
      </c>
      <c r="G70" s="411"/>
      <c r="H70" s="411"/>
      <c r="I70" s="404">
        <f t="shared" si="5"/>
        <v>0</v>
      </c>
      <c r="J70" s="411"/>
      <c r="K70" s="411"/>
      <c r="L70" s="448">
        <f t="shared" si="0"/>
        <v>0</v>
      </c>
      <c r="M70" s="449">
        <f t="shared" si="1"/>
        <v>0</v>
      </c>
      <c r="N70" s="449">
        <f t="shared" si="2"/>
        <v>0</v>
      </c>
      <c r="P70" s="385"/>
    </row>
    <row r="71" spans="1:16" s="361" customFormat="1" ht="63">
      <c r="A71" s="381" t="s">
        <v>273</v>
      </c>
      <c r="B71" s="383" t="s">
        <v>275</v>
      </c>
      <c r="C71" s="404">
        <f t="shared" si="3"/>
        <v>70000</v>
      </c>
      <c r="D71" s="27"/>
      <c r="E71" s="411">
        <v>70000</v>
      </c>
      <c r="F71" s="404">
        <f t="shared" si="4"/>
        <v>0</v>
      </c>
      <c r="G71" s="27"/>
      <c r="H71" s="411"/>
      <c r="I71" s="404">
        <f t="shared" si="5"/>
        <v>0</v>
      </c>
      <c r="J71" s="27"/>
      <c r="K71" s="411"/>
      <c r="L71" s="448">
        <f t="shared" si="0"/>
        <v>0</v>
      </c>
      <c r="M71" s="449">
        <f t="shared" si="1"/>
        <v>0</v>
      </c>
      <c r="N71" s="449">
        <f t="shared" si="2"/>
        <v>0</v>
      </c>
    </row>
    <row r="72" spans="1:16" ht="24.75" customHeight="1">
      <c r="A72" s="359"/>
      <c r="B72" s="363" t="s">
        <v>309</v>
      </c>
      <c r="C72" s="425"/>
      <c r="D72" s="364"/>
      <c r="E72" s="364"/>
    </row>
    <row r="73" spans="1:16" ht="54.75" customHeight="1">
      <c r="A73" s="2352" t="s">
        <v>87</v>
      </c>
      <c r="B73" s="2353"/>
      <c r="C73" s="391">
        <f t="shared" ref="C73:N73" si="7">SUM(C32,C16)</f>
        <v>481033</v>
      </c>
      <c r="D73" s="384">
        <f t="shared" si="7"/>
        <v>0</v>
      </c>
      <c r="E73" s="384">
        <f t="shared" si="7"/>
        <v>481033</v>
      </c>
      <c r="F73" s="391">
        <f t="shared" si="7"/>
        <v>0</v>
      </c>
      <c r="G73" s="384">
        <f t="shared" si="7"/>
        <v>0</v>
      </c>
      <c r="H73" s="384">
        <f t="shared" si="7"/>
        <v>0</v>
      </c>
      <c r="I73" s="391">
        <f t="shared" si="7"/>
        <v>0</v>
      </c>
      <c r="J73" s="384">
        <f t="shared" si="7"/>
        <v>0</v>
      </c>
      <c r="K73" s="384">
        <f t="shared" si="7"/>
        <v>0</v>
      </c>
      <c r="L73" s="391">
        <f t="shared" si="7"/>
        <v>0</v>
      </c>
      <c r="M73" s="384">
        <f t="shared" si="7"/>
        <v>0</v>
      </c>
      <c r="N73" s="384">
        <f t="shared" si="7"/>
        <v>0</v>
      </c>
    </row>
    <row r="74" spans="1:16" ht="54.75" customHeight="1">
      <c r="A74" s="2352" t="s">
        <v>308</v>
      </c>
      <c r="B74" s="2353"/>
      <c r="C74" s="404">
        <f>SUM(C19,C22)</f>
        <v>22660</v>
      </c>
      <c r="D74" s="421">
        <f t="shared" ref="D74:N74" si="8">SUM(D19,D22)</f>
        <v>0</v>
      </c>
      <c r="E74" s="421">
        <f t="shared" si="8"/>
        <v>22660</v>
      </c>
      <c r="F74" s="404">
        <f t="shared" si="8"/>
        <v>0</v>
      </c>
      <c r="G74" s="421">
        <f t="shared" si="8"/>
        <v>0</v>
      </c>
      <c r="H74" s="421">
        <f t="shared" si="8"/>
        <v>0</v>
      </c>
      <c r="I74" s="404">
        <f t="shared" si="8"/>
        <v>0</v>
      </c>
      <c r="J74" s="421">
        <f t="shared" si="8"/>
        <v>0</v>
      </c>
      <c r="K74" s="421">
        <f t="shared" si="8"/>
        <v>0</v>
      </c>
      <c r="L74" s="404">
        <f t="shared" si="8"/>
        <v>0</v>
      </c>
      <c r="M74" s="421">
        <f t="shared" si="8"/>
        <v>0</v>
      </c>
      <c r="N74" s="421">
        <f t="shared" si="8"/>
        <v>0</v>
      </c>
    </row>
    <row r="75" spans="1:16" ht="36" customHeight="1">
      <c r="A75" s="2355" t="s">
        <v>312</v>
      </c>
      <c r="B75" s="2356"/>
      <c r="C75" s="391">
        <f>SUM(C35:C52)</f>
        <v>150680</v>
      </c>
      <c r="D75" s="384">
        <f t="shared" ref="D75:N75" si="9">SUM(D35:D52)</f>
        <v>0</v>
      </c>
      <c r="E75" s="384">
        <f t="shared" si="9"/>
        <v>150680</v>
      </c>
      <c r="F75" s="391">
        <f t="shared" si="9"/>
        <v>0</v>
      </c>
      <c r="G75" s="384">
        <f t="shared" si="9"/>
        <v>0</v>
      </c>
      <c r="H75" s="384">
        <f t="shared" si="9"/>
        <v>0</v>
      </c>
      <c r="I75" s="391">
        <f t="shared" si="9"/>
        <v>0</v>
      </c>
      <c r="J75" s="384">
        <f t="shared" si="9"/>
        <v>0</v>
      </c>
      <c r="K75" s="384">
        <f t="shared" si="9"/>
        <v>0</v>
      </c>
      <c r="L75" s="391">
        <f t="shared" si="9"/>
        <v>0</v>
      </c>
      <c r="M75" s="384">
        <f t="shared" si="9"/>
        <v>0</v>
      </c>
      <c r="N75" s="384">
        <f t="shared" si="9"/>
        <v>0</v>
      </c>
    </row>
    <row r="76" spans="1:16" ht="14.25" customHeight="1">
      <c r="C76" s="426"/>
      <c r="D76" s="370"/>
      <c r="E76" s="370"/>
    </row>
    <row r="77" spans="1:16" ht="14.25" customHeight="1">
      <c r="B77" s="369"/>
      <c r="C77" s="426"/>
      <c r="D77" s="370"/>
      <c r="E77" s="370"/>
    </row>
    <row r="78" spans="1:16">
      <c r="B78" s="452" t="s">
        <v>310</v>
      </c>
      <c r="C78" s="453"/>
      <c r="D78" s="454"/>
      <c r="E78" s="454"/>
      <c r="F78" s="462"/>
      <c r="G78" s="462"/>
      <c r="H78" s="462"/>
      <c r="I78" s="463"/>
      <c r="J78" s="462"/>
      <c r="K78" s="462"/>
      <c r="L78" s="464"/>
      <c r="M78" s="2346" t="s">
        <v>86</v>
      </c>
      <c r="N78" s="2346"/>
    </row>
    <row r="79" spans="1:16" hidden="1">
      <c r="B79" s="353"/>
      <c r="C79" s="455"/>
      <c r="D79" s="353"/>
      <c r="E79" s="353"/>
      <c r="F79" s="2312"/>
      <c r="G79" s="2312"/>
    </row>
    <row r="80" spans="1:16">
      <c r="B80" s="353"/>
      <c r="C80" s="455"/>
      <c r="D80" s="353"/>
      <c r="E80" s="353"/>
      <c r="F80" s="380"/>
      <c r="G80" s="380"/>
    </row>
    <row r="81" spans="2:7">
      <c r="B81" s="353"/>
      <c r="C81" s="455"/>
      <c r="D81" s="353"/>
      <c r="E81" s="353"/>
      <c r="F81" s="380"/>
      <c r="G81" s="380"/>
    </row>
    <row r="82" spans="2:7">
      <c r="B82" s="456" t="s">
        <v>311</v>
      </c>
      <c r="C82" s="457"/>
      <c r="D82" s="356"/>
      <c r="E82" s="356"/>
      <c r="F82" s="325"/>
      <c r="G82" s="458"/>
    </row>
    <row r="83" spans="2:7">
      <c r="B83" s="459"/>
      <c r="C83" s="460"/>
      <c r="F83" s="361"/>
      <c r="G83" s="461"/>
    </row>
  </sheetData>
  <mergeCells count="22">
    <mergeCell ref="F79:G79"/>
    <mergeCell ref="A13:B13"/>
    <mergeCell ref="A59:B59"/>
    <mergeCell ref="D9:E9"/>
    <mergeCell ref="F9:F10"/>
    <mergeCell ref="A75:B75"/>
    <mergeCell ref="M78:N78"/>
    <mergeCell ref="A1:B1"/>
    <mergeCell ref="I3:L3"/>
    <mergeCell ref="A9:A10"/>
    <mergeCell ref="B9:B10"/>
    <mergeCell ref="C9:C10"/>
    <mergeCell ref="M9:N9"/>
    <mergeCell ref="A5:N5"/>
    <mergeCell ref="L9:L10"/>
    <mergeCell ref="G9:H9"/>
    <mergeCell ref="I9:I10"/>
    <mergeCell ref="J9:K9"/>
    <mergeCell ref="A74:B74"/>
    <mergeCell ref="A73:B73"/>
    <mergeCell ref="A7:N7"/>
    <mergeCell ref="A6:N6"/>
  </mergeCells>
  <pageMargins left="0.55118110236220474" right="0.31496062992125984" top="0.23622047244094491" bottom="0.23622047244094491" header="0" footer="0"/>
  <pageSetup paperSize="9" scale="58" fitToHeight="5" orientation="landscape" r:id="rId1"/>
  <headerFooter alignWithMargins="0">
    <oddFooter>&amp;C&amp;Z&amp;F</oddFooter>
  </headerFooter>
  <customProperties>
    <customPr name="krista_fm_consts" r:id="rId2"/>
  </customProperties>
</worksheet>
</file>

<file path=xl/worksheets/sheet12.xml><?xml version="1.0" encoding="utf-8"?>
<worksheet xmlns="http://schemas.openxmlformats.org/spreadsheetml/2006/main" xmlns:r="http://schemas.openxmlformats.org/officeDocument/2006/relationships">
  <sheetPr>
    <pageSetUpPr fitToPage="1"/>
  </sheetPr>
  <dimension ref="A1:Q84"/>
  <sheetViews>
    <sheetView view="pageBreakPreview" topLeftCell="A6" zoomScale="87" zoomScaleSheetLayoutView="87" workbookViewId="0">
      <pane xSplit="2" ySplit="8" topLeftCell="F14" activePane="bottomRight" state="frozen"/>
      <selection activeCell="A6" sqref="A6"/>
      <selection pane="topRight" activeCell="C6" sqref="C6"/>
      <selection pane="bottomLeft" activeCell="A14" sqref="A14"/>
      <selection pane="bottomRight" activeCell="N22" sqref="N22"/>
    </sheetView>
  </sheetViews>
  <sheetFormatPr defaultColWidth="9.140625" defaultRowHeight="15.75"/>
  <cols>
    <col min="1" max="1" width="5.42578125" style="466" customWidth="1"/>
    <col min="2" max="2" width="149.5703125" style="466" customWidth="1"/>
    <col min="3" max="3" width="14" style="466" hidden="1" customWidth="1"/>
    <col min="4" max="4" width="14.42578125" style="466" hidden="1" customWidth="1"/>
    <col min="5" max="5" width="12.140625" style="466" hidden="1" customWidth="1"/>
    <col min="6" max="6" width="16.85546875" style="466" customWidth="1"/>
    <col min="7" max="7" width="15.42578125" style="466" customWidth="1"/>
    <col min="8" max="8" width="17.7109375" style="466" customWidth="1"/>
    <col min="9" max="9" width="16.85546875" style="466" customWidth="1"/>
    <col min="10" max="10" width="15.42578125" style="466" customWidth="1"/>
    <col min="11" max="11" width="17.7109375" style="466" customWidth="1"/>
    <col min="12" max="12" width="17.85546875" style="466" customWidth="1"/>
    <col min="13" max="13" width="15.42578125" style="466" customWidth="1"/>
    <col min="14" max="14" width="17.7109375" style="466" customWidth="1"/>
    <col min="15" max="16" width="13.28515625" style="465" customWidth="1"/>
    <col min="17" max="17" width="13.28515625" style="466" customWidth="1"/>
    <col min="18" max="16384" width="9.140625" style="466"/>
  </cols>
  <sheetData>
    <row r="1" spans="1:17" hidden="1">
      <c r="A1" s="2359" t="s">
        <v>78</v>
      </c>
      <c r="B1" s="2359"/>
    </row>
    <row r="2" spans="1:17" s="467" customFormat="1" hidden="1">
      <c r="C2" s="380"/>
      <c r="D2" s="380"/>
      <c r="E2" s="380"/>
      <c r="F2" s="380"/>
      <c r="G2" s="380"/>
      <c r="H2" s="380"/>
      <c r="I2" s="380"/>
      <c r="J2" s="380"/>
      <c r="K2" s="380"/>
      <c r="L2" s="380"/>
      <c r="M2" s="380"/>
      <c r="N2" s="380"/>
      <c r="O2" s="380"/>
      <c r="P2" s="380"/>
    </row>
    <row r="3" spans="1:17" s="467" customFormat="1" hidden="1">
      <c r="C3" s="380"/>
      <c r="D3" s="380"/>
      <c r="E3" s="380"/>
      <c r="F3" s="380"/>
      <c r="G3" s="380"/>
      <c r="H3" s="380"/>
      <c r="I3" s="380"/>
      <c r="J3" s="380"/>
      <c r="K3" s="380"/>
      <c r="L3" s="380"/>
      <c r="M3" s="380"/>
      <c r="N3" s="380"/>
      <c r="O3" s="468"/>
      <c r="P3" s="468"/>
    </row>
    <row r="4" spans="1:17" s="467" customFormat="1" hidden="1">
      <c r="C4" s="380"/>
      <c r="D4" s="380"/>
      <c r="E4" s="380"/>
      <c r="F4" s="380"/>
      <c r="G4" s="380"/>
      <c r="H4" s="380"/>
      <c r="I4" s="380"/>
      <c r="J4" s="380"/>
      <c r="K4" s="380"/>
      <c r="L4" s="380"/>
      <c r="M4" s="380"/>
      <c r="N4" s="380"/>
      <c r="O4" s="468"/>
      <c r="P4" s="468"/>
    </row>
    <row r="5" spans="1:17" s="467" customFormat="1" hidden="1">
      <c r="C5" s="469"/>
      <c r="D5" s="469"/>
      <c r="E5" s="469"/>
      <c r="F5" s="469"/>
      <c r="G5" s="469"/>
      <c r="H5" s="469"/>
      <c r="I5" s="469"/>
      <c r="J5" s="469"/>
      <c r="K5" s="469"/>
      <c r="L5" s="469"/>
      <c r="M5" s="469"/>
      <c r="N5" s="469"/>
      <c r="O5" s="470"/>
      <c r="P5" s="470"/>
    </row>
    <row r="6" spans="1:17" s="467" customFormat="1" hidden="1">
      <c r="A6" s="2360"/>
      <c r="B6" s="2360"/>
      <c r="C6" s="2360"/>
      <c r="D6" s="2360"/>
      <c r="E6" s="2360"/>
      <c r="F6" s="2360"/>
      <c r="G6" s="2360"/>
      <c r="H6" s="2360"/>
      <c r="I6" s="2360"/>
      <c r="J6" s="2360"/>
      <c r="K6" s="2360"/>
      <c r="L6" s="2360"/>
      <c r="M6" s="2360"/>
      <c r="N6" s="2360"/>
      <c r="O6" s="2360"/>
      <c r="P6" s="471"/>
    </row>
    <row r="7" spans="1:17" s="467" customFormat="1" ht="15.75" hidden="1" customHeight="1">
      <c r="C7" s="472"/>
      <c r="D7" s="472"/>
      <c r="E7" s="472"/>
      <c r="F7" s="472"/>
      <c r="G7" s="472"/>
      <c r="H7" s="472"/>
      <c r="I7" s="472"/>
      <c r="J7" s="472"/>
      <c r="K7" s="472"/>
      <c r="L7" s="472"/>
      <c r="M7" s="472"/>
      <c r="N7" s="472"/>
      <c r="O7" s="473"/>
      <c r="P7" s="473"/>
    </row>
    <row r="8" spans="1:17" s="467" customFormat="1" ht="35.25" customHeight="1">
      <c r="A8" s="2361" t="s">
        <v>317</v>
      </c>
      <c r="B8" s="2361"/>
      <c r="C8" s="2361"/>
      <c r="D8" s="2361"/>
      <c r="E8" s="2361"/>
      <c r="F8" s="2361"/>
      <c r="G8" s="2361"/>
      <c r="H8" s="2361"/>
      <c r="I8" s="2361"/>
      <c r="J8" s="2361"/>
      <c r="K8" s="2361"/>
      <c r="L8" s="2361"/>
      <c r="M8" s="2361"/>
      <c r="N8" s="2361"/>
      <c r="O8" s="2361"/>
      <c r="P8" s="471"/>
    </row>
    <row r="9" spans="1:17" s="467" customFormat="1" ht="25.5">
      <c r="A9" s="2361" t="s">
        <v>348</v>
      </c>
      <c r="B9" s="2361"/>
      <c r="C9" s="2361"/>
      <c r="D9" s="2361"/>
      <c r="E9" s="2361"/>
      <c r="F9" s="2361"/>
      <c r="G9" s="2361"/>
      <c r="H9" s="2361"/>
      <c r="I9" s="2361"/>
      <c r="J9" s="2361"/>
      <c r="K9" s="2361"/>
      <c r="L9" s="2361"/>
      <c r="M9" s="2361"/>
      <c r="N9" s="2361"/>
      <c r="O9" s="2361"/>
      <c r="P9" s="471"/>
    </row>
    <row r="10" spans="1:17" s="467" customFormat="1" hidden="1">
      <c r="A10" s="474"/>
      <c r="B10" s="474"/>
      <c r="C10" s="474"/>
      <c r="D10" s="474"/>
      <c r="E10" s="474"/>
      <c r="F10" s="474"/>
      <c r="G10" s="474"/>
      <c r="H10" s="474"/>
      <c r="I10" s="474"/>
      <c r="J10" s="474"/>
      <c r="K10" s="474"/>
      <c r="L10" s="474"/>
      <c r="M10" s="474"/>
      <c r="N10" s="474"/>
      <c r="O10" s="473"/>
      <c r="P10" s="473"/>
    </row>
    <row r="11" spans="1:17" s="467" customFormat="1">
      <c r="A11" s="474"/>
      <c r="B11" s="474"/>
      <c r="C11" s="474"/>
      <c r="D11" s="474"/>
      <c r="E11" s="474"/>
      <c r="F11" s="473"/>
      <c r="G11" s="473"/>
      <c r="H11" s="473"/>
      <c r="I11" s="473"/>
      <c r="J11" s="473"/>
      <c r="K11" s="473"/>
      <c r="L11" s="473"/>
      <c r="M11" s="473"/>
      <c r="N11" s="473" t="s">
        <v>230</v>
      </c>
      <c r="O11" s="473"/>
      <c r="P11" s="473"/>
    </row>
    <row r="12" spans="1:17" s="467" customFormat="1" ht="15.75" customHeight="1">
      <c r="A12" s="2342" t="s">
        <v>18</v>
      </c>
      <c r="B12" s="2342" t="s">
        <v>0</v>
      </c>
      <c r="C12" s="2343" t="s">
        <v>318</v>
      </c>
      <c r="D12" s="2351" t="s">
        <v>257</v>
      </c>
      <c r="E12" s="2351"/>
      <c r="F12" s="2316" t="s">
        <v>349</v>
      </c>
      <c r="G12" s="2351" t="s">
        <v>257</v>
      </c>
      <c r="H12" s="2351"/>
      <c r="I12" s="2316" t="s">
        <v>237</v>
      </c>
      <c r="J12" s="2351" t="s">
        <v>257</v>
      </c>
      <c r="K12" s="2351"/>
      <c r="L12" s="2316" t="s">
        <v>350</v>
      </c>
      <c r="M12" s="2351" t="s">
        <v>257</v>
      </c>
      <c r="N12" s="2351"/>
      <c r="P12" s="475"/>
    </row>
    <row r="13" spans="1:17" ht="76.5" customHeight="1">
      <c r="A13" s="2342"/>
      <c r="B13" s="2342"/>
      <c r="C13" s="2343"/>
      <c r="D13" s="378" t="s">
        <v>259</v>
      </c>
      <c r="E13" s="378" t="s">
        <v>258</v>
      </c>
      <c r="F13" s="2316"/>
      <c r="G13" s="378" t="s">
        <v>259</v>
      </c>
      <c r="H13" s="378" t="s">
        <v>258</v>
      </c>
      <c r="I13" s="2316"/>
      <c r="J13" s="378" t="s">
        <v>259</v>
      </c>
      <c r="K13" s="378" t="s">
        <v>258</v>
      </c>
      <c r="L13" s="2316"/>
      <c r="M13" s="378" t="s">
        <v>259</v>
      </c>
      <c r="N13" s="378" t="s">
        <v>258</v>
      </c>
      <c r="O13" s="466"/>
      <c r="P13" s="475"/>
    </row>
    <row r="14" spans="1:17">
      <c r="A14" s="476">
        <v>1</v>
      </c>
      <c r="B14" s="476">
        <v>2</v>
      </c>
      <c r="C14" s="476" t="e">
        <f>#REF!+1</f>
        <v>#REF!</v>
      </c>
      <c r="D14" s="476" t="e">
        <f>C14+1</f>
        <v>#REF!</v>
      </c>
      <c r="E14" s="476" t="e">
        <f>D14+1</f>
        <v>#REF!</v>
      </c>
      <c r="F14" s="476">
        <v>3</v>
      </c>
      <c r="G14" s="476">
        <v>4</v>
      </c>
      <c r="H14" s="476">
        <v>5</v>
      </c>
      <c r="I14" s="476">
        <v>3</v>
      </c>
      <c r="J14" s="476">
        <v>4</v>
      </c>
      <c r="K14" s="476">
        <v>5</v>
      </c>
      <c r="L14" s="476">
        <v>3</v>
      </c>
      <c r="M14" s="476">
        <v>4</v>
      </c>
      <c r="N14" s="476">
        <v>5</v>
      </c>
      <c r="O14" s="466"/>
      <c r="P14" s="477"/>
    </row>
    <row r="15" spans="1:17" s="480" customFormat="1" ht="32.25" customHeight="1">
      <c r="A15" s="547"/>
      <c r="B15" s="547" t="s">
        <v>10</v>
      </c>
      <c r="C15" s="528" t="e">
        <f>D15+E15</f>
        <v>#REF!</v>
      </c>
      <c r="D15" s="528" t="e">
        <f>D17+D69+#REF!</f>
        <v>#REF!</v>
      </c>
      <c r="E15" s="528" t="e">
        <f>E17+E69+#REF!</f>
        <v>#REF!</v>
      </c>
      <c r="F15" s="528">
        <f>SUM(G15:H15)</f>
        <v>1314516</v>
      </c>
      <c r="G15" s="528">
        <f>G17+G69</f>
        <v>0</v>
      </c>
      <c r="H15" s="528">
        <f>H17+H69</f>
        <v>1314516</v>
      </c>
      <c r="I15" s="528">
        <f>SUM(J15:K15)</f>
        <v>0</v>
      </c>
      <c r="J15" s="528">
        <f>J17+J69</f>
        <v>0</v>
      </c>
      <c r="K15" s="528">
        <f>K17+K69</f>
        <v>0</v>
      </c>
      <c r="L15" s="528">
        <f>SUM(M15:N15)</f>
        <v>-1314516</v>
      </c>
      <c r="M15" s="528">
        <f>J15-G15</f>
        <v>0</v>
      </c>
      <c r="N15" s="528">
        <f>K15-H15</f>
        <v>-1314516</v>
      </c>
      <c r="O15" s="479"/>
      <c r="P15" s="479"/>
      <c r="Q15" s="479"/>
    </row>
    <row r="16" spans="1:17" s="484" customFormat="1" ht="30.75" customHeight="1">
      <c r="A16" s="481"/>
      <c r="B16" s="482" t="s">
        <v>319</v>
      </c>
      <c r="C16" s="483" t="e">
        <f>C19+C37</f>
        <v>#REF!</v>
      </c>
      <c r="D16" s="483" t="e">
        <f>D19+D37</f>
        <v>#REF!</v>
      </c>
      <c r="E16" s="483" t="e">
        <f>E19+E37</f>
        <v>#REF!</v>
      </c>
      <c r="F16" s="529">
        <f t="shared" ref="F16:F56" si="0">SUM(G16:H16)</f>
        <v>798157</v>
      </c>
      <c r="G16" s="529">
        <f>G19+G37+G70</f>
        <v>0</v>
      </c>
      <c r="H16" s="529">
        <f>H19+H37+H70</f>
        <v>798157</v>
      </c>
      <c r="I16" s="529">
        <f t="shared" ref="I16:I77" si="1">SUM(J16:K16)</f>
        <v>0</v>
      </c>
      <c r="J16" s="529">
        <f>J19+J37+J70</f>
        <v>0</v>
      </c>
      <c r="K16" s="529">
        <f>K19+K37+K70</f>
        <v>0</v>
      </c>
      <c r="L16" s="529">
        <f t="shared" ref="L16:L77" si="2">SUM(M16:N16)</f>
        <v>-798157</v>
      </c>
      <c r="M16" s="529">
        <f t="shared" ref="M16:M77" si="3">J16-G16</f>
        <v>0</v>
      </c>
      <c r="N16" s="529">
        <f t="shared" ref="N16:N77" si="4">K16-H16</f>
        <v>-798157</v>
      </c>
      <c r="O16" s="479"/>
      <c r="P16" s="479"/>
      <c r="Q16" s="479"/>
    </row>
    <row r="17" spans="1:17" s="485" customFormat="1" ht="20.25" customHeight="1">
      <c r="A17" s="2357" t="s">
        <v>320</v>
      </c>
      <c r="B17" s="2358"/>
      <c r="C17" s="478" t="e">
        <f t="shared" ref="C17:C62" si="5">D17+E17</f>
        <v>#REF!</v>
      </c>
      <c r="D17" s="478" t="e">
        <f>D18+D36</f>
        <v>#REF!</v>
      </c>
      <c r="E17" s="478" t="e">
        <f>E18+E36</f>
        <v>#REF!</v>
      </c>
      <c r="F17" s="528">
        <f t="shared" si="0"/>
        <v>781033</v>
      </c>
      <c r="G17" s="530">
        <f>G18+G36</f>
        <v>0</v>
      </c>
      <c r="H17" s="530">
        <f>H18+H36</f>
        <v>781033</v>
      </c>
      <c r="I17" s="528">
        <f t="shared" si="1"/>
        <v>0</v>
      </c>
      <c r="J17" s="530">
        <f>J18+J36</f>
        <v>0</v>
      </c>
      <c r="K17" s="530">
        <f>K18+K36</f>
        <v>0</v>
      </c>
      <c r="L17" s="528">
        <f t="shared" si="2"/>
        <v>-781033</v>
      </c>
      <c r="M17" s="530">
        <f t="shared" si="3"/>
        <v>0</v>
      </c>
      <c r="N17" s="530">
        <f t="shared" si="4"/>
        <v>-781033</v>
      </c>
      <c r="O17" s="479"/>
      <c r="P17" s="479"/>
      <c r="Q17" s="479"/>
    </row>
    <row r="18" spans="1:17" s="485" customFormat="1" ht="20.25">
      <c r="A18" s="486" t="s">
        <v>6</v>
      </c>
      <c r="B18" s="487" t="s">
        <v>321</v>
      </c>
      <c r="C18" s="488" t="e">
        <f t="shared" si="5"/>
        <v>#REF!</v>
      </c>
      <c r="D18" s="488" t="e">
        <f>D19+D30</f>
        <v>#REF!</v>
      </c>
      <c r="E18" s="488" t="e">
        <f>E19+E30</f>
        <v>#REF!</v>
      </c>
      <c r="F18" s="531">
        <f t="shared" si="0"/>
        <v>111672</v>
      </c>
      <c r="G18" s="532">
        <f>G19+G30</f>
        <v>0</v>
      </c>
      <c r="H18" s="532">
        <f>H19+H30</f>
        <v>111672</v>
      </c>
      <c r="I18" s="531">
        <f t="shared" si="1"/>
        <v>0</v>
      </c>
      <c r="J18" s="532">
        <f>J19+J30</f>
        <v>0</v>
      </c>
      <c r="K18" s="532">
        <f>K19+K30</f>
        <v>0</v>
      </c>
      <c r="L18" s="531">
        <f t="shared" si="2"/>
        <v>-111672</v>
      </c>
      <c r="M18" s="532">
        <f t="shared" si="3"/>
        <v>0</v>
      </c>
      <c r="N18" s="532">
        <f t="shared" si="4"/>
        <v>-111672</v>
      </c>
      <c r="O18" s="479"/>
      <c r="P18" s="479"/>
      <c r="Q18" s="479"/>
    </row>
    <row r="19" spans="1:17" ht="25.5" hidden="1" customHeight="1">
      <c r="A19" s="489" t="s">
        <v>30</v>
      </c>
      <c r="B19" s="490" t="s">
        <v>322</v>
      </c>
      <c r="C19" s="491" t="e">
        <f t="shared" si="5"/>
        <v>#REF!</v>
      </c>
      <c r="D19" s="491" t="e">
        <f>D20+D21+#REF!+#REF!+#REF!+#REF!+D22</f>
        <v>#REF!</v>
      </c>
      <c r="E19" s="491" t="e">
        <f>E20+E21+#REF!+#REF!+#REF!+#REF!+E22</f>
        <v>#REF!</v>
      </c>
      <c r="F19" s="533">
        <f t="shared" si="0"/>
        <v>95187</v>
      </c>
      <c r="G19" s="533">
        <f>SUM(G20:G22)</f>
        <v>0</v>
      </c>
      <c r="H19" s="533">
        <f>SUM(H20:H22)</f>
        <v>95187</v>
      </c>
      <c r="I19" s="533">
        <f t="shared" si="1"/>
        <v>0</v>
      </c>
      <c r="J19" s="533">
        <f>SUM(J20:J22)</f>
        <v>0</v>
      </c>
      <c r="K19" s="533">
        <f>SUM(K20:K22)</f>
        <v>0</v>
      </c>
      <c r="L19" s="533">
        <f t="shared" si="2"/>
        <v>-95187</v>
      </c>
      <c r="M19" s="533">
        <f t="shared" si="3"/>
        <v>0</v>
      </c>
      <c r="N19" s="533">
        <f t="shared" si="4"/>
        <v>-95187</v>
      </c>
      <c r="O19" s="479"/>
      <c r="P19" s="479"/>
      <c r="Q19" s="479"/>
    </row>
    <row r="20" spans="1:17" s="497" customFormat="1" ht="25.5" customHeight="1">
      <c r="A20" s="492" t="s">
        <v>50</v>
      </c>
      <c r="B20" s="493" t="s">
        <v>323</v>
      </c>
      <c r="C20" s="494" t="e">
        <f t="shared" si="5"/>
        <v>#REF!</v>
      </c>
      <c r="D20" s="495" t="e">
        <f>#REF!</f>
        <v>#REF!</v>
      </c>
      <c r="E20" s="496" t="e">
        <f>#REF!</f>
        <v>#REF!</v>
      </c>
      <c r="F20" s="534">
        <f t="shared" si="0"/>
        <v>54261</v>
      </c>
      <c r="G20" s="535"/>
      <c r="H20" s="536">
        <v>54261</v>
      </c>
      <c r="I20" s="534">
        <f t="shared" si="1"/>
        <v>0</v>
      </c>
      <c r="J20" s="535"/>
      <c r="K20" s="536"/>
      <c r="L20" s="534">
        <f t="shared" si="2"/>
        <v>-54261</v>
      </c>
      <c r="M20" s="535">
        <f t="shared" si="3"/>
        <v>0</v>
      </c>
      <c r="N20" s="536">
        <f t="shared" si="4"/>
        <v>-54261</v>
      </c>
      <c r="O20" s="479"/>
      <c r="P20" s="479"/>
      <c r="Q20" s="479"/>
    </row>
    <row r="21" spans="1:17" s="497" customFormat="1" ht="24.75" customHeight="1">
      <c r="A21" s="492" t="s">
        <v>4</v>
      </c>
      <c r="B21" s="493" t="s">
        <v>324</v>
      </c>
      <c r="C21" s="494">
        <f t="shared" si="5"/>
        <v>0</v>
      </c>
      <c r="D21" s="496"/>
      <c r="E21" s="496"/>
      <c r="F21" s="534">
        <f t="shared" si="0"/>
        <v>18266</v>
      </c>
      <c r="G21" s="536"/>
      <c r="H21" s="534">
        <v>18266</v>
      </c>
      <c r="I21" s="534">
        <f t="shared" si="1"/>
        <v>0</v>
      </c>
      <c r="J21" s="536"/>
      <c r="K21" s="534"/>
      <c r="L21" s="534">
        <f t="shared" si="2"/>
        <v>-18266</v>
      </c>
      <c r="M21" s="536">
        <f t="shared" si="3"/>
        <v>0</v>
      </c>
      <c r="N21" s="534">
        <f t="shared" si="4"/>
        <v>-18266</v>
      </c>
      <c r="O21" s="479"/>
      <c r="P21" s="479"/>
      <c r="Q21" s="479"/>
    </row>
    <row r="22" spans="1:17" s="497" customFormat="1" ht="27" customHeight="1">
      <c r="A22" s="492" t="s">
        <v>35</v>
      </c>
      <c r="B22" s="493" t="s">
        <v>325</v>
      </c>
      <c r="C22" s="494" t="e">
        <f t="shared" si="5"/>
        <v>#REF!</v>
      </c>
      <c r="D22" s="494" t="e">
        <f>D23+D24+D25+D26+D27+D28</f>
        <v>#REF!</v>
      </c>
      <c r="E22" s="494">
        <f>E23+E24+E25+E26+E27+E28</f>
        <v>0</v>
      </c>
      <c r="F22" s="534">
        <f t="shared" si="0"/>
        <v>22660</v>
      </c>
      <c r="G22" s="534">
        <f>G23+G24+G25+G26+G27+G28+G29</f>
        <v>0</v>
      </c>
      <c r="H22" s="534">
        <f>H23+H24+H25+H26+H27+H28+H29</f>
        <v>22660</v>
      </c>
      <c r="I22" s="534">
        <f t="shared" si="1"/>
        <v>0</v>
      </c>
      <c r="J22" s="534">
        <f>J23+J24+J25+J26+J27+J28+J29</f>
        <v>0</v>
      </c>
      <c r="K22" s="534">
        <f>K23+K24+K25+K26+K27+K28+K29</f>
        <v>0</v>
      </c>
      <c r="L22" s="534">
        <f t="shared" si="2"/>
        <v>-22660</v>
      </c>
      <c r="M22" s="534">
        <f t="shared" si="3"/>
        <v>0</v>
      </c>
      <c r="N22" s="534">
        <f t="shared" si="4"/>
        <v>-22660</v>
      </c>
      <c r="O22" s="479"/>
      <c r="P22" s="479"/>
      <c r="Q22" s="479"/>
    </row>
    <row r="23" spans="1:17" s="502" customFormat="1" ht="20.25" hidden="1">
      <c r="A23" s="498" t="s">
        <v>50</v>
      </c>
      <c r="B23" s="499" t="s">
        <v>326</v>
      </c>
      <c r="C23" s="494" t="e">
        <f t="shared" si="5"/>
        <v>#REF!</v>
      </c>
      <c r="D23" s="501" t="e">
        <f>#REF!</f>
        <v>#REF!</v>
      </c>
      <c r="E23" s="500"/>
      <c r="F23" s="534">
        <f t="shared" si="0"/>
        <v>0</v>
      </c>
      <c r="G23" s="537"/>
      <c r="H23" s="537"/>
      <c r="I23" s="534">
        <f t="shared" si="1"/>
        <v>0</v>
      </c>
      <c r="J23" s="537"/>
      <c r="K23" s="537"/>
      <c r="L23" s="534">
        <f t="shared" si="2"/>
        <v>0</v>
      </c>
      <c r="M23" s="537">
        <f t="shared" si="3"/>
        <v>0</v>
      </c>
      <c r="N23" s="537">
        <f t="shared" si="4"/>
        <v>0</v>
      </c>
      <c r="O23" s="479"/>
      <c r="P23" s="479"/>
      <c r="Q23" s="479"/>
    </row>
    <row r="24" spans="1:17" s="502" customFormat="1" ht="20.25" hidden="1">
      <c r="A24" s="498" t="s">
        <v>4</v>
      </c>
      <c r="B24" s="499" t="s">
        <v>278</v>
      </c>
      <c r="C24" s="494">
        <f t="shared" si="5"/>
        <v>0</v>
      </c>
      <c r="D24" s="500"/>
      <c r="E24" s="500"/>
      <c r="F24" s="534">
        <f t="shared" si="0"/>
        <v>4882</v>
      </c>
      <c r="G24" s="538"/>
      <c r="H24" s="538">
        <v>4882</v>
      </c>
      <c r="I24" s="534">
        <f t="shared" si="1"/>
        <v>0</v>
      </c>
      <c r="J24" s="538"/>
      <c r="K24" s="538"/>
      <c r="L24" s="534">
        <f t="shared" si="2"/>
        <v>-4882</v>
      </c>
      <c r="M24" s="538">
        <f t="shared" si="3"/>
        <v>0</v>
      </c>
      <c r="N24" s="538">
        <f t="shared" si="4"/>
        <v>-4882</v>
      </c>
      <c r="O24" s="479"/>
      <c r="P24" s="479"/>
      <c r="Q24" s="479"/>
    </row>
    <row r="25" spans="1:17" s="502" customFormat="1" ht="20.25" hidden="1">
      <c r="A25" s="498" t="s">
        <v>35</v>
      </c>
      <c r="B25" s="499" t="s">
        <v>279</v>
      </c>
      <c r="C25" s="494">
        <f t="shared" si="5"/>
        <v>0</v>
      </c>
      <c r="D25" s="500"/>
      <c r="E25" s="500"/>
      <c r="F25" s="534">
        <f t="shared" si="0"/>
        <v>12700</v>
      </c>
      <c r="G25" s="537"/>
      <c r="H25" s="537">
        <v>12700</v>
      </c>
      <c r="I25" s="534">
        <f t="shared" si="1"/>
        <v>0</v>
      </c>
      <c r="J25" s="537"/>
      <c r="K25" s="537"/>
      <c r="L25" s="534">
        <f t="shared" si="2"/>
        <v>-12700</v>
      </c>
      <c r="M25" s="537">
        <f t="shared" si="3"/>
        <v>0</v>
      </c>
      <c r="N25" s="537">
        <f t="shared" si="4"/>
        <v>-12700</v>
      </c>
      <c r="O25" s="479"/>
      <c r="P25" s="479"/>
      <c r="Q25" s="479"/>
    </row>
    <row r="26" spans="1:17" s="502" customFormat="1" ht="20.25" hidden="1">
      <c r="A26" s="498" t="s">
        <v>140</v>
      </c>
      <c r="B26" s="499" t="s">
        <v>327</v>
      </c>
      <c r="C26" s="494">
        <f t="shared" si="5"/>
        <v>0</v>
      </c>
      <c r="D26" s="500"/>
      <c r="E26" s="500"/>
      <c r="F26" s="534">
        <f t="shared" si="0"/>
        <v>0</v>
      </c>
      <c r="G26" s="538"/>
      <c r="H26" s="538"/>
      <c r="I26" s="534">
        <f t="shared" si="1"/>
        <v>0</v>
      </c>
      <c r="J26" s="538"/>
      <c r="K26" s="538"/>
      <c r="L26" s="534">
        <f t="shared" si="2"/>
        <v>0</v>
      </c>
      <c r="M26" s="538">
        <f t="shared" si="3"/>
        <v>0</v>
      </c>
      <c r="N26" s="538">
        <f t="shared" si="4"/>
        <v>0</v>
      </c>
      <c r="O26" s="479"/>
      <c r="P26" s="479"/>
      <c r="Q26" s="479"/>
    </row>
    <row r="27" spans="1:17" s="502" customFormat="1" ht="21" hidden="1" customHeight="1">
      <c r="A27" s="498" t="s">
        <v>141</v>
      </c>
      <c r="B27" s="503" t="s">
        <v>328</v>
      </c>
      <c r="C27" s="494">
        <f t="shared" si="5"/>
        <v>0</v>
      </c>
      <c r="D27" s="500"/>
      <c r="E27" s="500"/>
      <c r="F27" s="534">
        <f t="shared" si="0"/>
        <v>0</v>
      </c>
      <c r="G27" s="538"/>
      <c r="H27" s="538"/>
      <c r="I27" s="534">
        <f t="shared" si="1"/>
        <v>0</v>
      </c>
      <c r="J27" s="538"/>
      <c r="K27" s="538"/>
      <c r="L27" s="534">
        <f t="shared" si="2"/>
        <v>0</v>
      </c>
      <c r="M27" s="538">
        <f t="shared" si="3"/>
        <v>0</v>
      </c>
      <c r="N27" s="538">
        <f t="shared" si="4"/>
        <v>0</v>
      </c>
      <c r="O27" s="479"/>
      <c r="P27" s="479"/>
      <c r="Q27" s="479"/>
    </row>
    <row r="28" spans="1:17" s="502" customFormat="1" ht="21" hidden="1" customHeight="1">
      <c r="A28" s="498" t="s">
        <v>145</v>
      </c>
      <c r="B28" s="504" t="s">
        <v>329</v>
      </c>
      <c r="C28" s="494">
        <f t="shared" si="5"/>
        <v>0</v>
      </c>
      <c r="D28" s="500"/>
      <c r="E28" s="500"/>
      <c r="F28" s="534">
        <f t="shared" si="0"/>
        <v>0</v>
      </c>
      <c r="G28" s="538"/>
      <c r="H28" s="538"/>
      <c r="I28" s="534">
        <f t="shared" si="1"/>
        <v>0</v>
      </c>
      <c r="J28" s="538"/>
      <c r="K28" s="538"/>
      <c r="L28" s="534">
        <f t="shared" si="2"/>
        <v>0</v>
      </c>
      <c r="M28" s="538">
        <f t="shared" si="3"/>
        <v>0</v>
      </c>
      <c r="N28" s="538">
        <f t="shared" si="4"/>
        <v>0</v>
      </c>
      <c r="O28" s="479"/>
      <c r="P28" s="479"/>
      <c r="Q28" s="479"/>
    </row>
    <row r="29" spans="1:17" s="502" customFormat="1" ht="21" hidden="1" customHeight="1">
      <c r="A29" s="498" t="s">
        <v>146</v>
      </c>
      <c r="B29" s="504" t="s">
        <v>330</v>
      </c>
      <c r="C29" s="494"/>
      <c r="D29" s="500"/>
      <c r="E29" s="500"/>
      <c r="F29" s="534">
        <f t="shared" si="0"/>
        <v>5078</v>
      </c>
      <c r="G29" s="538"/>
      <c r="H29" s="538">
        <v>5078</v>
      </c>
      <c r="I29" s="534">
        <f t="shared" si="1"/>
        <v>0</v>
      </c>
      <c r="J29" s="538"/>
      <c r="K29" s="538"/>
      <c r="L29" s="534">
        <f t="shared" si="2"/>
        <v>-5078</v>
      </c>
      <c r="M29" s="538">
        <f t="shared" si="3"/>
        <v>0</v>
      </c>
      <c r="N29" s="538">
        <f t="shared" si="4"/>
        <v>-5078</v>
      </c>
      <c r="O29" s="479"/>
      <c r="P29" s="479"/>
      <c r="Q29" s="479"/>
    </row>
    <row r="30" spans="1:17" s="497" customFormat="1" ht="18.75" customHeight="1">
      <c r="A30" s="505" t="s">
        <v>31</v>
      </c>
      <c r="B30" s="506" t="s">
        <v>39</v>
      </c>
      <c r="C30" s="494">
        <f t="shared" si="5"/>
        <v>0</v>
      </c>
      <c r="D30" s="494"/>
      <c r="E30" s="494"/>
      <c r="F30" s="534">
        <f t="shared" si="0"/>
        <v>16485</v>
      </c>
      <c r="G30" s="534">
        <f>SUM(G31:G34)</f>
        <v>0</v>
      </c>
      <c r="H30" s="534">
        <f>SUM(H31:H34)</f>
        <v>16485</v>
      </c>
      <c r="I30" s="534">
        <f t="shared" si="1"/>
        <v>0</v>
      </c>
      <c r="J30" s="534">
        <f>SUM(J31:J34)</f>
        <v>0</v>
      </c>
      <c r="K30" s="534">
        <f>SUM(K31:K34)</f>
        <v>0</v>
      </c>
      <c r="L30" s="534">
        <f t="shared" si="2"/>
        <v>-16485</v>
      </c>
      <c r="M30" s="534">
        <f t="shared" si="3"/>
        <v>0</v>
      </c>
      <c r="N30" s="534">
        <f t="shared" si="4"/>
        <v>-16485</v>
      </c>
      <c r="O30" s="479"/>
      <c r="P30" s="479"/>
      <c r="Q30" s="479"/>
    </row>
    <row r="31" spans="1:17" s="497" customFormat="1" ht="20.25" hidden="1">
      <c r="A31" s="507"/>
      <c r="B31" s="506" t="s">
        <v>12</v>
      </c>
      <c r="C31" s="494"/>
      <c r="D31" s="510"/>
      <c r="E31" s="510"/>
      <c r="F31" s="534"/>
      <c r="G31" s="539"/>
      <c r="H31" s="539"/>
      <c r="I31" s="534">
        <f t="shared" si="1"/>
        <v>0</v>
      </c>
      <c r="J31" s="539"/>
      <c r="K31" s="539"/>
      <c r="L31" s="534">
        <f t="shared" si="2"/>
        <v>0</v>
      </c>
      <c r="M31" s="539">
        <f t="shared" si="3"/>
        <v>0</v>
      </c>
      <c r="N31" s="539">
        <f t="shared" si="4"/>
        <v>0</v>
      </c>
      <c r="O31" s="479"/>
      <c r="P31" s="479"/>
      <c r="Q31" s="479"/>
    </row>
    <row r="32" spans="1:17" s="497" customFormat="1" ht="27.75" customHeight="1">
      <c r="A32" s="507" t="s">
        <v>140</v>
      </c>
      <c r="B32" s="508" t="s">
        <v>280</v>
      </c>
      <c r="C32" s="494">
        <f t="shared" si="5"/>
        <v>0</v>
      </c>
      <c r="D32" s="509"/>
      <c r="E32" s="509"/>
      <c r="F32" s="534">
        <f t="shared" si="0"/>
        <v>4125</v>
      </c>
      <c r="G32" s="540"/>
      <c r="H32" s="540">
        <v>4125</v>
      </c>
      <c r="I32" s="534">
        <f t="shared" si="1"/>
        <v>0</v>
      </c>
      <c r="J32" s="540"/>
      <c r="K32" s="540"/>
      <c r="L32" s="534">
        <f t="shared" si="2"/>
        <v>-4125</v>
      </c>
      <c r="M32" s="540">
        <f t="shared" si="3"/>
        <v>0</v>
      </c>
      <c r="N32" s="540">
        <f t="shared" si="4"/>
        <v>-4125</v>
      </c>
      <c r="O32" s="479"/>
      <c r="P32" s="479"/>
      <c r="Q32" s="479"/>
    </row>
    <row r="33" spans="1:17" s="497" customFormat="1" ht="20.25" hidden="1">
      <c r="A33" s="505"/>
      <c r="B33" s="506" t="s">
        <v>281</v>
      </c>
      <c r="C33" s="494"/>
      <c r="D33" s="494"/>
      <c r="E33" s="494"/>
      <c r="F33" s="534">
        <f t="shared" si="0"/>
        <v>0</v>
      </c>
      <c r="G33" s="534"/>
      <c r="H33" s="534"/>
      <c r="I33" s="534">
        <f t="shared" si="1"/>
        <v>0</v>
      </c>
      <c r="J33" s="534"/>
      <c r="K33" s="534"/>
      <c r="L33" s="534">
        <f t="shared" si="2"/>
        <v>0</v>
      </c>
      <c r="M33" s="534">
        <f t="shared" si="3"/>
        <v>0</v>
      </c>
      <c r="N33" s="534">
        <f t="shared" si="4"/>
        <v>0</v>
      </c>
      <c r="O33" s="479"/>
      <c r="P33" s="479"/>
      <c r="Q33" s="479"/>
    </row>
    <row r="34" spans="1:17" s="497" customFormat="1" ht="27" customHeight="1">
      <c r="A34" s="507" t="s">
        <v>141</v>
      </c>
      <c r="B34" s="508" t="s">
        <v>331</v>
      </c>
      <c r="C34" s="494">
        <f t="shared" si="5"/>
        <v>0</v>
      </c>
      <c r="D34" s="509"/>
      <c r="E34" s="509"/>
      <c r="F34" s="534">
        <f t="shared" si="0"/>
        <v>12360</v>
      </c>
      <c r="G34" s="540"/>
      <c r="H34" s="540">
        <v>12360</v>
      </c>
      <c r="I34" s="534">
        <f t="shared" si="1"/>
        <v>0</v>
      </c>
      <c r="J34" s="540"/>
      <c r="K34" s="540"/>
      <c r="L34" s="534">
        <f t="shared" si="2"/>
        <v>-12360</v>
      </c>
      <c r="M34" s="540">
        <f t="shared" si="3"/>
        <v>0</v>
      </c>
      <c r="N34" s="540">
        <f t="shared" si="4"/>
        <v>-12360</v>
      </c>
      <c r="O34" s="479"/>
      <c r="P34" s="479"/>
      <c r="Q34" s="479"/>
    </row>
    <row r="35" spans="1:17" s="497" customFormat="1" ht="20.25" hidden="1">
      <c r="A35" s="507" t="s">
        <v>332</v>
      </c>
      <c r="B35" s="506" t="s">
        <v>333</v>
      </c>
      <c r="C35" s="494"/>
      <c r="D35" s="510"/>
      <c r="E35" s="510"/>
      <c r="F35" s="534">
        <f t="shared" si="0"/>
        <v>0</v>
      </c>
      <c r="G35" s="539"/>
      <c r="H35" s="539"/>
      <c r="I35" s="534">
        <f t="shared" si="1"/>
        <v>0</v>
      </c>
      <c r="J35" s="539"/>
      <c r="K35" s="539"/>
      <c r="L35" s="534">
        <f t="shared" si="2"/>
        <v>0</v>
      </c>
      <c r="M35" s="539">
        <f t="shared" si="3"/>
        <v>0</v>
      </c>
      <c r="N35" s="539">
        <f t="shared" si="4"/>
        <v>0</v>
      </c>
      <c r="O35" s="479"/>
      <c r="P35" s="479"/>
      <c r="Q35" s="479"/>
    </row>
    <row r="36" spans="1:17" s="485" customFormat="1" ht="20.25">
      <c r="A36" s="486" t="s">
        <v>2</v>
      </c>
      <c r="B36" s="487" t="s">
        <v>221</v>
      </c>
      <c r="C36" s="488">
        <f t="shared" si="5"/>
        <v>0</v>
      </c>
      <c r="D36" s="488"/>
      <c r="E36" s="488"/>
      <c r="F36" s="531">
        <f t="shared" si="0"/>
        <v>669361</v>
      </c>
      <c r="G36" s="532">
        <f>G37+G41</f>
        <v>0</v>
      </c>
      <c r="H36" s="532">
        <f>H37+H41</f>
        <v>669361</v>
      </c>
      <c r="I36" s="531">
        <f t="shared" si="1"/>
        <v>0</v>
      </c>
      <c r="J36" s="532">
        <f>J37+J41</f>
        <v>0</v>
      </c>
      <c r="K36" s="532">
        <f>K37+K41</f>
        <v>0</v>
      </c>
      <c r="L36" s="531">
        <f t="shared" si="2"/>
        <v>-669361</v>
      </c>
      <c r="M36" s="532">
        <f t="shared" si="3"/>
        <v>0</v>
      </c>
      <c r="N36" s="532">
        <f t="shared" si="4"/>
        <v>-669361</v>
      </c>
      <c r="O36" s="479"/>
      <c r="P36" s="479"/>
      <c r="Q36" s="479"/>
    </row>
    <row r="37" spans="1:17" ht="19.5" hidden="1" customHeight="1">
      <c r="A37" s="489" t="s">
        <v>37</v>
      </c>
      <c r="B37" s="490" t="s">
        <v>41</v>
      </c>
      <c r="C37" s="491">
        <f t="shared" si="5"/>
        <v>0</v>
      </c>
      <c r="D37" s="491">
        <f>D38+D39+D40</f>
        <v>0</v>
      </c>
      <c r="E37" s="491">
        <f>E38+E39+E40</f>
        <v>0</v>
      </c>
      <c r="F37" s="533">
        <f t="shared" si="0"/>
        <v>481292</v>
      </c>
      <c r="G37" s="533">
        <f>SUM(G38:G40)</f>
        <v>0</v>
      </c>
      <c r="H37" s="533">
        <f>SUM(H38:H40)</f>
        <v>481292</v>
      </c>
      <c r="I37" s="533">
        <f t="shared" si="1"/>
        <v>0</v>
      </c>
      <c r="J37" s="533">
        <f>SUM(J38:J40)</f>
        <v>0</v>
      </c>
      <c r="K37" s="533">
        <f>SUM(K38:K40)</f>
        <v>0</v>
      </c>
      <c r="L37" s="533">
        <f t="shared" si="2"/>
        <v>-481292</v>
      </c>
      <c r="M37" s="533">
        <f t="shared" si="3"/>
        <v>0</v>
      </c>
      <c r="N37" s="533">
        <f t="shared" si="4"/>
        <v>-481292</v>
      </c>
      <c r="O37" s="479"/>
      <c r="P37" s="479"/>
      <c r="Q37" s="479"/>
    </row>
    <row r="38" spans="1:17" s="497" customFormat="1" ht="22.5" customHeight="1">
      <c r="A38" s="492" t="s">
        <v>145</v>
      </c>
      <c r="B38" s="493" t="s">
        <v>334</v>
      </c>
      <c r="C38" s="494">
        <f t="shared" si="5"/>
        <v>0</v>
      </c>
      <c r="D38" s="494"/>
      <c r="E38" s="494"/>
      <c r="F38" s="534">
        <f t="shared" si="0"/>
        <v>5200</v>
      </c>
      <c r="G38" s="534"/>
      <c r="H38" s="534">
        <v>5200</v>
      </c>
      <c r="I38" s="534">
        <f t="shared" si="1"/>
        <v>0</v>
      </c>
      <c r="J38" s="534"/>
      <c r="K38" s="534"/>
      <c r="L38" s="534">
        <f t="shared" si="2"/>
        <v>-5200</v>
      </c>
      <c r="M38" s="534">
        <f t="shared" si="3"/>
        <v>0</v>
      </c>
      <c r="N38" s="534">
        <f t="shared" si="4"/>
        <v>-5200</v>
      </c>
      <c r="O38" s="479"/>
      <c r="P38" s="479"/>
      <c r="Q38" s="479"/>
    </row>
    <row r="39" spans="1:17" s="497" customFormat="1" ht="20.25">
      <c r="A39" s="492" t="s">
        <v>146</v>
      </c>
      <c r="B39" s="493" t="s">
        <v>323</v>
      </c>
      <c r="C39" s="494">
        <f t="shared" si="5"/>
        <v>0</v>
      </c>
      <c r="D39" s="494"/>
      <c r="E39" s="494"/>
      <c r="F39" s="534">
        <f t="shared" si="0"/>
        <v>426772</v>
      </c>
      <c r="G39" s="534"/>
      <c r="H39" s="534">
        <f>405433.4+21338.6</f>
        <v>426772</v>
      </c>
      <c r="I39" s="534">
        <f t="shared" si="1"/>
        <v>0</v>
      </c>
      <c r="J39" s="534"/>
      <c r="K39" s="534"/>
      <c r="L39" s="534">
        <f t="shared" si="2"/>
        <v>-426772</v>
      </c>
      <c r="M39" s="534">
        <f t="shared" si="3"/>
        <v>0</v>
      </c>
      <c r="N39" s="534">
        <f t="shared" si="4"/>
        <v>-426772</v>
      </c>
      <c r="O39" s="479"/>
      <c r="P39" s="479"/>
      <c r="Q39" s="479"/>
    </row>
    <row r="40" spans="1:17" s="497" customFormat="1" ht="20.25">
      <c r="A40" s="492" t="s">
        <v>147</v>
      </c>
      <c r="B40" s="493" t="s">
        <v>335</v>
      </c>
      <c r="C40" s="494">
        <f t="shared" si="5"/>
        <v>0</v>
      </c>
      <c r="D40" s="494"/>
      <c r="E40" s="494"/>
      <c r="F40" s="534">
        <f t="shared" si="0"/>
        <v>49320</v>
      </c>
      <c r="G40" s="534"/>
      <c r="H40" s="534">
        <v>49320</v>
      </c>
      <c r="I40" s="534">
        <f t="shared" si="1"/>
        <v>0</v>
      </c>
      <c r="J40" s="534"/>
      <c r="K40" s="534"/>
      <c r="L40" s="534">
        <f t="shared" si="2"/>
        <v>-49320</v>
      </c>
      <c r="M40" s="534">
        <f t="shared" si="3"/>
        <v>0</v>
      </c>
      <c r="N40" s="534">
        <f t="shared" si="4"/>
        <v>-49320</v>
      </c>
      <c r="O40" s="479"/>
      <c r="P40" s="479"/>
      <c r="Q40" s="479"/>
    </row>
    <row r="41" spans="1:17" s="497" customFormat="1" ht="37.5" hidden="1">
      <c r="A41" s="505" t="s">
        <v>38</v>
      </c>
      <c r="B41" s="506" t="s">
        <v>39</v>
      </c>
      <c r="C41" s="494">
        <f t="shared" si="5"/>
        <v>0</v>
      </c>
      <c r="D41" s="494"/>
      <c r="E41" s="494"/>
      <c r="F41" s="534">
        <f t="shared" si="0"/>
        <v>188069</v>
      </c>
      <c r="G41" s="534">
        <f>SUM(G42,G65:G68)</f>
        <v>0</v>
      </c>
      <c r="H41" s="534">
        <f>SUM(H42,H65:H68)</f>
        <v>188069</v>
      </c>
      <c r="I41" s="534">
        <f t="shared" si="1"/>
        <v>0</v>
      </c>
      <c r="J41" s="534">
        <f>SUM(J42,J65:J68)</f>
        <v>0</v>
      </c>
      <c r="K41" s="534">
        <f>SUM(K42,K65:K68)</f>
        <v>0</v>
      </c>
      <c r="L41" s="534">
        <f t="shared" si="2"/>
        <v>-188069</v>
      </c>
      <c r="M41" s="534">
        <f t="shared" si="3"/>
        <v>0</v>
      </c>
      <c r="N41" s="534">
        <f t="shared" si="4"/>
        <v>-188069</v>
      </c>
      <c r="O41" s="479"/>
      <c r="P41" s="479"/>
      <c r="Q41" s="479"/>
    </row>
    <row r="42" spans="1:17" s="497" customFormat="1" ht="20.25">
      <c r="A42" s="492" t="s">
        <v>148</v>
      </c>
      <c r="B42" s="516" t="s">
        <v>336</v>
      </c>
      <c r="C42" s="494">
        <f t="shared" si="5"/>
        <v>0</v>
      </c>
      <c r="D42" s="517"/>
      <c r="E42" s="517"/>
      <c r="F42" s="534">
        <f t="shared" si="0"/>
        <v>126476</v>
      </c>
      <c r="G42" s="541">
        <f>SUM(G43:G64)</f>
        <v>0</v>
      </c>
      <c r="H42" s="541">
        <f>SUM(H43:H64)</f>
        <v>126476</v>
      </c>
      <c r="I42" s="534">
        <f t="shared" si="1"/>
        <v>0</v>
      </c>
      <c r="J42" s="541">
        <f>SUM(J43:J64)</f>
        <v>0</v>
      </c>
      <c r="K42" s="541">
        <f>SUM(K43:K64)</f>
        <v>0</v>
      </c>
      <c r="L42" s="534">
        <f t="shared" si="2"/>
        <v>-126476</v>
      </c>
      <c r="M42" s="541">
        <f t="shared" si="3"/>
        <v>0</v>
      </c>
      <c r="N42" s="541">
        <f t="shared" si="4"/>
        <v>-126476</v>
      </c>
      <c r="O42" s="479"/>
      <c r="P42" s="479"/>
      <c r="Q42" s="479"/>
    </row>
    <row r="43" spans="1:17" s="515" customFormat="1" ht="37.5" hidden="1">
      <c r="A43" s="498" t="s">
        <v>50</v>
      </c>
      <c r="B43" s="518" t="s">
        <v>285</v>
      </c>
      <c r="C43" s="513">
        <f t="shared" si="5"/>
        <v>0</v>
      </c>
      <c r="D43" s="519"/>
      <c r="E43" s="519"/>
      <c r="F43" s="542">
        <f t="shared" si="0"/>
        <v>17250</v>
      </c>
      <c r="G43" s="543"/>
      <c r="H43" s="543">
        <v>17250</v>
      </c>
      <c r="I43" s="542">
        <f t="shared" si="1"/>
        <v>0</v>
      </c>
      <c r="J43" s="543"/>
      <c r="K43" s="543"/>
      <c r="L43" s="542">
        <f t="shared" si="2"/>
        <v>-17250</v>
      </c>
      <c r="M43" s="543">
        <f t="shared" si="3"/>
        <v>0</v>
      </c>
      <c r="N43" s="543">
        <f t="shared" si="4"/>
        <v>-17250</v>
      </c>
      <c r="O43" s="479"/>
      <c r="P43" s="479"/>
      <c r="Q43" s="479"/>
    </row>
    <row r="44" spans="1:17" s="515" customFormat="1" ht="56.25" hidden="1">
      <c r="A44" s="511" t="s">
        <v>4</v>
      </c>
      <c r="B44" s="518" t="s">
        <v>286</v>
      </c>
      <c r="C44" s="513">
        <f t="shared" si="5"/>
        <v>0</v>
      </c>
      <c r="D44" s="519"/>
      <c r="E44" s="519"/>
      <c r="F44" s="542">
        <f t="shared" si="0"/>
        <v>5300</v>
      </c>
      <c r="G44" s="543"/>
      <c r="H44" s="543">
        <v>5300</v>
      </c>
      <c r="I44" s="542">
        <f t="shared" si="1"/>
        <v>0</v>
      </c>
      <c r="J44" s="543"/>
      <c r="K44" s="543"/>
      <c r="L44" s="542">
        <f t="shared" si="2"/>
        <v>-5300</v>
      </c>
      <c r="M44" s="543">
        <f t="shared" si="3"/>
        <v>0</v>
      </c>
      <c r="N44" s="543">
        <f t="shared" si="4"/>
        <v>-5300</v>
      </c>
      <c r="O44" s="479"/>
      <c r="P44" s="479"/>
      <c r="Q44" s="479"/>
    </row>
    <row r="45" spans="1:17" s="515" customFormat="1" ht="66.75" hidden="1" customHeight="1">
      <c r="A45" s="511" t="s">
        <v>35</v>
      </c>
      <c r="B45" s="512" t="s">
        <v>287</v>
      </c>
      <c r="C45" s="513">
        <f t="shared" si="5"/>
        <v>0</v>
      </c>
      <c r="D45" s="514"/>
      <c r="E45" s="514"/>
      <c r="F45" s="542">
        <f t="shared" si="0"/>
        <v>5700</v>
      </c>
      <c r="G45" s="544"/>
      <c r="H45" s="544">
        <v>5700</v>
      </c>
      <c r="I45" s="542">
        <f t="shared" si="1"/>
        <v>0</v>
      </c>
      <c r="J45" s="544"/>
      <c r="K45" s="544"/>
      <c r="L45" s="542">
        <f t="shared" si="2"/>
        <v>-5700</v>
      </c>
      <c r="M45" s="544">
        <f t="shared" si="3"/>
        <v>0</v>
      </c>
      <c r="N45" s="544">
        <f t="shared" si="4"/>
        <v>-5700</v>
      </c>
      <c r="O45" s="479"/>
      <c r="P45" s="479"/>
      <c r="Q45" s="479"/>
    </row>
    <row r="46" spans="1:17" s="515" customFormat="1" ht="66.75" hidden="1" customHeight="1">
      <c r="A46" s="511" t="s">
        <v>140</v>
      </c>
      <c r="B46" s="512" t="s">
        <v>288</v>
      </c>
      <c r="C46" s="513">
        <f t="shared" si="5"/>
        <v>0</v>
      </c>
      <c r="D46" s="514"/>
      <c r="E46" s="514"/>
      <c r="F46" s="542">
        <f t="shared" si="0"/>
        <v>8457</v>
      </c>
      <c r="G46" s="544"/>
      <c r="H46" s="544">
        <v>8457</v>
      </c>
      <c r="I46" s="542">
        <f t="shared" si="1"/>
        <v>0</v>
      </c>
      <c r="J46" s="544"/>
      <c r="K46" s="544"/>
      <c r="L46" s="542">
        <f t="shared" si="2"/>
        <v>-8457</v>
      </c>
      <c r="M46" s="544">
        <f t="shared" si="3"/>
        <v>0</v>
      </c>
      <c r="N46" s="544">
        <f t="shared" si="4"/>
        <v>-8457</v>
      </c>
      <c r="O46" s="479"/>
      <c r="P46" s="479"/>
      <c r="Q46" s="479"/>
    </row>
    <row r="47" spans="1:17" s="515" customFormat="1" ht="66.75" hidden="1" customHeight="1">
      <c r="A47" s="511" t="s">
        <v>141</v>
      </c>
      <c r="B47" s="512" t="s">
        <v>289</v>
      </c>
      <c r="C47" s="513">
        <f t="shared" si="5"/>
        <v>0</v>
      </c>
      <c r="D47" s="514"/>
      <c r="E47" s="514"/>
      <c r="F47" s="542">
        <f t="shared" si="0"/>
        <v>9650</v>
      </c>
      <c r="G47" s="544"/>
      <c r="H47" s="544">
        <v>9650</v>
      </c>
      <c r="I47" s="542">
        <f t="shared" si="1"/>
        <v>0</v>
      </c>
      <c r="J47" s="544"/>
      <c r="K47" s="544"/>
      <c r="L47" s="542">
        <f t="shared" si="2"/>
        <v>-9650</v>
      </c>
      <c r="M47" s="544">
        <f t="shared" si="3"/>
        <v>0</v>
      </c>
      <c r="N47" s="544">
        <f t="shared" si="4"/>
        <v>-9650</v>
      </c>
      <c r="O47" s="479"/>
      <c r="P47" s="479"/>
      <c r="Q47" s="479"/>
    </row>
    <row r="48" spans="1:17" s="515" customFormat="1" ht="57" hidden="1" customHeight="1">
      <c r="A48" s="511" t="s">
        <v>145</v>
      </c>
      <c r="B48" s="512" t="s">
        <v>290</v>
      </c>
      <c r="C48" s="513">
        <f t="shared" si="5"/>
        <v>0</v>
      </c>
      <c r="D48" s="514"/>
      <c r="E48" s="514"/>
      <c r="F48" s="542">
        <f t="shared" si="0"/>
        <v>7300</v>
      </c>
      <c r="G48" s="544"/>
      <c r="H48" s="544">
        <v>7300</v>
      </c>
      <c r="I48" s="542">
        <f t="shared" si="1"/>
        <v>0</v>
      </c>
      <c r="J48" s="544"/>
      <c r="K48" s="544"/>
      <c r="L48" s="542">
        <f t="shared" si="2"/>
        <v>-7300</v>
      </c>
      <c r="M48" s="544">
        <f t="shared" si="3"/>
        <v>0</v>
      </c>
      <c r="N48" s="544">
        <f t="shared" si="4"/>
        <v>-7300</v>
      </c>
      <c r="O48" s="479"/>
      <c r="P48" s="479"/>
      <c r="Q48" s="479"/>
    </row>
    <row r="49" spans="1:17" s="515" customFormat="1" ht="66.75" hidden="1" customHeight="1">
      <c r="A49" s="511" t="s">
        <v>146</v>
      </c>
      <c r="B49" s="512" t="s">
        <v>291</v>
      </c>
      <c r="C49" s="513">
        <f t="shared" si="5"/>
        <v>0</v>
      </c>
      <c r="D49" s="514"/>
      <c r="E49" s="514"/>
      <c r="F49" s="542">
        <f t="shared" si="0"/>
        <v>8800</v>
      </c>
      <c r="G49" s="544"/>
      <c r="H49" s="544">
        <v>8800</v>
      </c>
      <c r="I49" s="542">
        <f t="shared" si="1"/>
        <v>0</v>
      </c>
      <c r="J49" s="544"/>
      <c r="K49" s="544"/>
      <c r="L49" s="542">
        <f t="shared" si="2"/>
        <v>-8800</v>
      </c>
      <c r="M49" s="544">
        <f t="shared" si="3"/>
        <v>0</v>
      </c>
      <c r="N49" s="544">
        <f t="shared" si="4"/>
        <v>-8800</v>
      </c>
      <c r="O49" s="479"/>
      <c r="P49" s="479"/>
      <c r="Q49" s="479"/>
    </row>
    <row r="50" spans="1:17" s="515" customFormat="1" ht="66.75" hidden="1" customHeight="1">
      <c r="A50" s="511" t="s">
        <v>147</v>
      </c>
      <c r="B50" s="512" t="s">
        <v>292</v>
      </c>
      <c r="C50" s="513">
        <f t="shared" si="5"/>
        <v>0</v>
      </c>
      <c r="D50" s="514"/>
      <c r="E50" s="514"/>
      <c r="F50" s="542">
        <f t="shared" si="0"/>
        <v>6600</v>
      </c>
      <c r="G50" s="544"/>
      <c r="H50" s="544">
        <v>6600</v>
      </c>
      <c r="I50" s="542">
        <f t="shared" si="1"/>
        <v>0</v>
      </c>
      <c r="J50" s="544"/>
      <c r="K50" s="544"/>
      <c r="L50" s="542">
        <f t="shared" si="2"/>
        <v>-6600</v>
      </c>
      <c r="M50" s="544">
        <f t="shared" si="3"/>
        <v>0</v>
      </c>
      <c r="N50" s="544">
        <f t="shared" si="4"/>
        <v>-6600</v>
      </c>
      <c r="O50" s="479"/>
      <c r="P50" s="479"/>
      <c r="Q50" s="479"/>
    </row>
    <row r="51" spans="1:17" s="515" customFormat="1" ht="53.25" hidden="1" customHeight="1">
      <c r="A51" s="511" t="s">
        <v>148</v>
      </c>
      <c r="B51" s="518" t="s">
        <v>293</v>
      </c>
      <c r="C51" s="513">
        <f t="shared" si="5"/>
        <v>0</v>
      </c>
      <c r="D51" s="519"/>
      <c r="E51" s="519"/>
      <c r="F51" s="542">
        <f t="shared" si="0"/>
        <v>35972</v>
      </c>
      <c r="G51" s="543"/>
      <c r="H51" s="543">
        <v>35972</v>
      </c>
      <c r="I51" s="542">
        <f t="shared" si="1"/>
        <v>0</v>
      </c>
      <c r="J51" s="543"/>
      <c r="K51" s="543"/>
      <c r="L51" s="542">
        <f t="shared" si="2"/>
        <v>-35972</v>
      </c>
      <c r="M51" s="543">
        <f t="shared" si="3"/>
        <v>0</v>
      </c>
      <c r="N51" s="543">
        <f t="shared" si="4"/>
        <v>-35972</v>
      </c>
      <c r="O51" s="479"/>
      <c r="P51" s="479"/>
      <c r="Q51" s="479"/>
    </row>
    <row r="52" spans="1:17" s="515" customFormat="1" ht="59.25" hidden="1" customHeight="1">
      <c r="A52" s="511" t="s">
        <v>175</v>
      </c>
      <c r="B52" s="518" t="s">
        <v>294</v>
      </c>
      <c r="C52" s="513">
        <f t="shared" si="5"/>
        <v>0</v>
      </c>
      <c r="D52" s="519"/>
      <c r="E52" s="519"/>
      <c r="F52" s="542">
        <f t="shared" si="0"/>
        <v>4727</v>
      </c>
      <c r="G52" s="543"/>
      <c r="H52" s="543">
        <v>4727</v>
      </c>
      <c r="I52" s="542">
        <f t="shared" si="1"/>
        <v>0</v>
      </c>
      <c r="J52" s="543"/>
      <c r="K52" s="543"/>
      <c r="L52" s="542">
        <f t="shared" si="2"/>
        <v>-4727</v>
      </c>
      <c r="M52" s="543">
        <f t="shared" si="3"/>
        <v>0</v>
      </c>
      <c r="N52" s="543">
        <f t="shared" si="4"/>
        <v>-4727</v>
      </c>
      <c r="O52" s="479"/>
      <c r="P52" s="479"/>
      <c r="Q52" s="479"/>
    </row>
    <row r="53" spans="1:17" s="515" customFormat="1" ht="59.25" hidden="1" customHeight="1">
      <c r="A53" s="511" t="s">
        <v>179</v>
      </c>
      <c r="B53" s="518" t="s">
        <v>295</v>
      </c>
      <c r="C53" s="513">
        <f t="shared" si="5"/>
        <v>0</v>
      </c>
      <c r="D53" s="519"/>
      <c r="E53" s="519"/>
      <c r="F53" s="542">
        <f t="shared" si="0"/>
        <v>3408</v>
      </c>
      <c r="G53" s="543"/>
      <c r="H53" s="543">
        <v>3408</v>
      </c>
      <c r="I53" s="542">
        <f t="shared" si="1"/>
        <v>0</v>
      </c>
      <c r="J53" s="543"/>
      <c r="K53" s="543"/>
      <c r="L53" s="542">
        <f t="shared" si="2"/>
        <v>-3408</v>
      </c>
      <c r="M53" s="543">
        <f t="shared" si="3"/>
        <v>0</v>
      </c>
      <c r="N53" s="543">
        <f t="shared" si="4"/>
        <v>-3408</v>
      </c>
      <c r="O53" s="479"/>
      <c r="P53" s="479"/>
      <c r="Q53" s="479"/>
    </row>
    <row r="54" spans="1:17" s="515" customFormat="1" ht="37.5" hidden="1">
      <c r="A54" s="511" t="s">
        <v>180</v>
      </c>
      <c r="B54" s="518" t="s">
        <v>337</v>
      </c>
      <c r="C54" s="513">
        <f t="shared" si="5"/>
        <v>0</v>
      </c>
      <c r="D54" s="519"/>
      <c r="E54" s="519"/>
      <c r="F54" s="542">
        <f t="shared" si="0"/>
        <v>0</v>
      </c>
      <c r="G54" s="543"/>
      <c r="H54" s="543"/>
      <c r="I54" s="542">
        <f t="shared" si="1"/>
        <v>0</v>
      </c>
      <c r="J54" s="543"/>
      <c r="K54" s="543"/>
      <c r="L54" s="542">
        <f t="shared" si="2"/>
        <v>0</v>
      </c>
      <c r="M54" s="543">
        <f t="shared" si="3"/>
        <v>0</v>
      </c>
      <c r="N54" s="543">
        <f t="shared" si="4"/>
        <v>0</v>
      </c>
      <c r="O54" s="479"/>
      <c r="P54" s="479"/>
      <c r="Q54" s="479"/>
    </row>
    <row r="55" spans="1:17" s="515" customFormat="1" ht="37.5" hidden="1">
      <c r="A55" s="511" t="s">
        <v>181</v>
      </c>
      <c r="B55" s="518" t="s">
        <v>338</v>
      </c>
      <c r="C55" s="513">
        <f t="shared" si="5"/>
        <v>0</v>
      </c>
      <c r="D55" s="519"/>
      <c r="E55" s="519"/>
      <c r="F55" s="542">
        <f t="shared" si="0"/>
        <v>0</v>
      </c>
      <c r="G55" s="543"/>
      <c r="H55" s="543"/>
      <c r="I55" s="542">
        <f t="shared" si="1"/>
        <v>0</v>
      </c>
      <c r="J55" s="543"/>
      <c r="K55" s="543"/>
      <c r="L55" s="542">
        <f t="shared" si="2"/>
        <v>0</v>
      </c>
      <c r="M55" s="543">
        <f t="shared" si="3"/>
        <v>0</v>
      </c>
      <c r="N55" s="543">
        <f t="shared" si="4"/>
        <v>0</v>
      </c>
      <c r="O55" s="479"/>
      <c r="P55" s="479"/>
      <c r="Q55" s="479"/>
    </row>
    <row r="56" spans="1:17" s="515" customFormat="1" ht="37.5" hidden="1">
      <c r="A56" s="511" t="s">
        <v>182</v>
      </c>
      <c r="B56" s="518" t="s">
        <v>296</v>
      </c>
      <c r="C56" s="513">
        <f t="shared" si="5"/>
        <v>0</v>
      </c>
      <c r="D56" s="519"/>
      <c r="E56" s="519"/>
      <c r="F56" s="542">
        <f t="shared" si="0"/>
        <v>11052</v>
      </c>
      <c r="G56" s="543"/>
      <c r="H56" s="543">
        <v>11052</v>
      </c>
      <c r="I56" s="542">
        <f t="shared" si="1"/>
        <v>0</v>
      </c>
      <c r="J56" s="543"/>
      <c r="K56" s="543"/>
      <c r="L56" s="542">
        <f t="shared" si="2"/>
        <v>-11052</v>
      </c>
      <c r="M56" s="543">
        <f t="shared" si="3"/>
        <v>0</v>
      </c>
      <c r="N56" s="543">
        <f t="shared" si="4"/>
        <v>-11052</v>
      </c>
      <c r="O56" s="479"/>
      <c r="P56" s="479"/>
      <c r="Q56" s="479"/>
    </row>
    <row r="57" spans="1:17" s="515" customFormat="1" ht="37.5" hidden="1">
      <c r="A57" s="511" t="s">
        <v>183</v>
      </c>
      <c r="B57" s="518" t="s">
        <v>297</v>
      </c>
      <c r="C57" s="513">
        <f t="shared" si="5"/>
        <v>0</v>
      </c>
      <c r="D57" s="519"/>
      <c r="E57" s="519"/>
      <c r="F57" s="542">
        <f t="shared" ref="F57:F80" si="6">SUM(G57:H57)</f>
        <v>1000</v>
      </c>
      <c r="G57" s="543"/>
      <c r="H57" s="543">
        <v>1000</v>
      </c>
      <c r="I57" s="542">
        <f t="shared" si="1"/>
        <v>0</v>
      </c>
      <c r="J57" s="543"/>
      <c r="K57" s="543"/>
      <c r="L57" s="542">
        <f t="shared" si="2"/>
        <v>-1000</v>
      </c>
      <c r="M57" s="543">
        <f t="shared" si="3"/>
        <v>0</v>
      </c>
      <c r="N57" s="543">
        <f t="shared" si="4"/>
        <v>-1000</v>
      </c>
      <c r="O57" s="479"/>
      <c r="P57" s="479"/>
      <c r="Q57" s="479"/>
    </row>
    <row r="58" spans="1:17" s="515" customFormat="1" ht="37.5" hidden="1">
      <c r="A58" s="511" t="s">
        <v>188</v>
      </c>
      <c r="B58" s="518" t="s">
        <v>299</v>
      </c>
      <c r="C58" s="513">
        <f t="shared" si="5"/>
        <v>0</v>
      </c>
      <c r="D58" s="519"/>
      <c r="E58" s="519"/>
      <c r="F58" s="542">
        <f t="shared" si="6"/>
        <v>650</v>
      </c>
      <c r="G58" s="543"/>
      <c r="H58" s="543">
        <v>650</v>
      </c>
      <c r="I58" s="542">
        <f t="shared" si="1"/>
        <v>0</v>
      </c>
      <c r="J58" s="543"/>
      <c r="K58" s="543"/>
      <c r="L58" s="542">
        <f t="shared" si="2"/>
        <v>-650</v>
      </c>
      <c r="M58" s="543">
        <f t="shared" si="3"/>
        <v>0</v>
      </c>
      <c r="N58" s="543">
        <f t="shared" si="4"/>
        <v>-650</v>
      </c>
      <c r="O58" s="479"/>
      <c r="P58" s="479"/>
      <c r="Q58" s="479"/>
    </row>
    <row r="59" spans="1:17" s="515" customFormat="1" ht="37.5" hidden="1">
      <c r="A59" s="511" t="s">
        <v>189</v>
      </c>
      <c r="B59" s="518" t="s">
        <v>300</v>
      </c>
      <c r="C59" s="513">
        <f t="shared" si="5"/>
        <v>0</v>
      </c>
      <c r="D59" s="519"/>
      <c r="E59" s="519"/>
      <c r="F59" s="542">
        <f t="shared" si="6"/>
        <v>350</v>
      </c>
      <c r="G59" s="543"/>
      <c r="H59" s="543">
        <v>350</v>
      </c>
      <c r="I59" s="542">
        <f t="shared" si="1"/>
        <v>0</v>
      </c>
      <c r="J59" s="543"/>
      <c r="K59" s="543"/>
      <c r="L59" s="542">
        <f t="shared" si="2"/>
        <v>-350</v>
      </c>
      <c r="M59" s="543">
        <f t="shared" si="3"/>
        <v>0</v>
      </c>
      <c r="N59" s="543">
        <f t="shared" si="4"/>
        <v>-350</v>
      </c>
      <c r="O59" s="479"/>
      <c r="P59" s="479"/>
      <c r="Q59" s="479"/>
    </row>
    <row r="60" spans="1:17" s="515" customFormat="1" ht="37.5" hidden="1">
      <c r="A60" s="511" t="s">
        <v>190</v>
      </c>
      <c r="B60" s="518" t="s">
        <v>301</v>
      </c>
      <c r="C60" s="513">
        <f t="shared" si="5"/>
        <v>0</v>
      </c>
      <c r="D60" s="519"/>
      <c r="E60" s="519"/>
      <c r="F60" s="542">
        <f t="shared" si="6"/>
        <v>260</v>
      </c>
      <c r="G60" s="543"/>
      <c r="H60" s="543">
        <v>260</v>
      </c>
      <c r="I60" s="542">
        <f t="shared" si="1"/>
        <v>0</v>
      </c>
      <c r="J60" s="543"/>
      <c r="K60" s="543"/>
      <c r="L60" s="542">
        <f t="shared" si="2"/>
        <v>-260</v>
      </c>
      <c r="M60" s="543">
        <f t="shared" si="3"/>
        <v>0</v>
      </c>
      <c r="N60" s="543">
        <f t="shared" si="4"/>
        <v>-260</v>
      </c>
      <c r="O60" s="479"/>
      <c r="P60" s="479"/>
      <c r="Q60" s="479"/>
    </row>
    <row r="61" spans="1:17" s="515" customFormat="1" ht="37.5" hidden="1">
      <c r="A61" s="511" t="s">
        <v>191</v>
      </c>
      <c r="B61" s="518" t="s">
        <v>339</v>
      </c>
      <c r="C61" s="513">
        <f t="shared" si="5"/>
        <v>0</v>
      </c>
      <c r="D61" s="519"/>
      <c r="E61" s="519"/>
      <c r="F61" s="542">
        <f t="shared" si="6"/>
        <v>0</v>
      </c>
      <c r="G61" s="543"/>
      <c r="H61" s="543"/>
      <c r="I61" s="542">
        <f t="shared" si="1"/>
        <v>0</v>
      </c>
      <c r="J61" s="543"/>
      <c r="K61" s="543"/>
      <c r="L61" s="542">
        <f t="shared" si="2"/>
        <v>0</v>
      </c>
      <c r="M61" s="543">
        <f t="shared" si="3"/>
        <v>0</v>
      </c>
      <c r="N61" s="543">
        <f t="shared" si="4"/>
        <v>0</v>
      </c>
      <c r="O61" s="479"/>
      <c r="P61" s="479"/>
      <c r="Q61" s="479"/>
    </row>
    <row r="62" spans="1:17" s="515" customFormat="1" ht="37.5" hidden="1">
      <c r="A62" s="511" t="s">
        <v>192</v>
      </c>
      <c r="B62" s="518" t="s">
        <v>340</v>
      </c>
      <c r="C62" s="513">
        <f t="shared" si="5"/>
        <v>0</v>
      </c>
      <c r="D62" s="519"/>
      <c r="E62" s="519"/>
      <c r="F62" s="542">
        <f t="shared" si="6"/>
        <v>0</v>
      </c>
      <c r="G62" s="543"/>
      <c r="H62" s="543"/>
      <c r="I62" s="542">
        <f t="shared" si="1"/>
        <v>0</v>
      </c>
      <c r="J62" s="543"/>
      <c r="K62" s="543"/>
      <c r="L62" s="542">
        <f t="shared" si="2"/>
        <v>0</v>
      </c>
      <c r="M62" s="543">
        <f t="shared" si="3"/>
        <v>0</v>
      </c>
      <c r="N62" s="543">
        <f t="shared" si="4"/>
        <v>0</v>
      </c>
      <c r="O62" s="479"/>
      <c r="P62" s="479"/>
      <c r="Q62" s="479"/>
    </row>
    <row r="63" spans="1:17" s="515" customFormat="1" ht="56.25" hidden="1">
      <c r="A63" s="511" t="s">
        <v>195</v>
      </c>
      <c r="B63" s="518" t="s">
        <v>341</v>
      </c>
      <c r="C63" s="513">
        <f t="shared" ref="C63:C77" si="7">D63+E63</f>
        <v>0</v>
      </c>
      <c r="D63" s="519"/>
      <c r="E63" s="519"/>
      <c r="F63" s="542">
        <f t="shared" si="6"/>
        <v>0</v>
      </c>
      <c r="G63" s="543"/>
      <c r="H63" s="543"/>
      <c r="I63" s="542">
        <f t="shared" si="1"/>
        <v>0</v>
      </c>
      <c r="J63" s="543"/>
      <c r="K63" s="543"/>
      <c r="L63" s="542">
        <f t="shared" si="2"/>
        <v>0</v>
      </c>
      <c r="M63" s="543">
        <f t="shared" si="3"/>
        <v>0</v>
      </c>
      <c r="N63" s="543">
        <f t="shared" si="4"/>
        <v>0</v>
      </c>
      <c r="O63" s="479"/>
      <c r="P63" s="479"/>
      <c r="Q63" s="479"/>
    </row>
    <row r="64" spans="1:17" s="515" customFormat="1" ht="60.75" hidden="1" customHeight="1">
      <c r="A64" s="511" t="s">
        <v>196</v>
      </c>
      <c r="B64" s="518" t="s">
        <v>342</v>
      </c>
      <c r="C64" s="513">
        <f t="shared" si="7"/>
        <v>0</v>
      </c>
      <c r="D64" s="519"/>
      <c r="E64" s="519"/>
      <c r="F64" s="542">
        <f t="shared" si="6"/>
        <v>0</v>
      </c>
      <c r="G64" s="543"/>
      <c r="H64" s="543"/>
      <c r="I64" s="542">
        <f t="shared" si="1"/>
        <v>0</v>
      </c>
      <c r="J64" s="543"/>
      <c r="K64" s="543"/>
      <c r="L64" s="542">
        <f t="shared" si="2"/>
        <v>0</v>
      </c>
      <c r="M64" s="543">
        <f t="shared" si="3"/>
        <v>0</v>
      </c>
      <c r="N64" s="543">
        <f t="shared" si="4"/>
        <v>0</v>
      </c>
      <c r="O64" s="479"/>
      <c r="P64" s="479"/>
      <c r="Q64" s="479"/>
    </row>
    <row r="65" spans="1:17" s="497" customFormat="1" ht="37.5">
      <c r="A65" s="507" t="s">
        <v>175</v>
      </c>
      <c r="B65" s="516" t="s">
        <v>303</v>
      </c>
      <c r="C65" s="494">
        <f t="shared" si="7"/>
        <v>0</v>
      </c>
      <c r="D65" s="520"/>
      <c r="E65" s="520"/>
      <c r="F65" s="534">
        <f t="shared" si="6"/>
        <v>13524</v>
      </c>
      <c r="G65" s="545"/>
      <c r="H65" s="545">
        <v>13524</v>
      </c>
      <c r="I65" s="534">
        <f t="shared" si="1"/>
        <v>0</v>
      </c>
      <c r="J65" s="545"/>
      <c r="K65" s="545"/>
      <c r="L65" s="534">
        <f t="shared" si="2"/>
        <v>-13524</v>
      </c>
      <c r="M65" s="545">
        <f t="shared" si="3"/>
        <v>0</v>
      </c>
      <c r="N65" s="545">
        <f t="shared" si="4"/>
        <v>-13524</v>
      </c>
      <c r="O65" s="479"/>
      <c r="P65" s="479"/>
      <c r="Q65" s="479"/>
    </row>
    <row r="66" spans="1:17" s="497" customFormat="1" ht="20.25">
      <c r="A66" s="507" t="s">
        <v>179</v>
      </c>
      <c r="B66" s="521" t="s">
        <v>284</v>
      </c>
      <c r="C66" s="494">
        <f t="shared" si="7"/>
        <v>0</v>
      </c>
      <c r="D66" s="520"/>
      <c r="E66" s="520"/>
      <c r="F66" s="534">
        <f t="shared" si="6"/>
        <v>25000</v>
      </c>
      <c r="G66" s="545"/>
      <c r="H66" s="545">
        <v>25000</v>
      </c>
      <c r="I66" s="534">
        <f t="shared" si="1"/>
        <v>0</v>
      </c>
      <c r="J66" s="545"/>
      <c r="K66" s="545"/>
      <c r="L66" s="534">
        <f t="shared" si="2"/>
        <v>-25000</v>
      </c>
      <c r="M66" s="545">
        <f t="shared" si="3"/>
        <v>0</v>
      </c>
      <c r="N66" s="545">
        <f t="shared" si="4"/>
        <v>-25000</v>
      </c>
      <c r="O66" s="479"/>
      <c r="P66" s="479"/>
      <c r="Q66" s="479"/>
    </row>
    <row r="67" spans="1:17" s="497" customFormat="1" ht="21.75" customHeight="1">
      <c r="A67" s="507" t="s">
        <v>180</v>
      </c>
      <c r="B67" s="521" t="s">
        <v>304</v>
      </c>
      <c r="C67" s="494">
        <f t="shared" si="7"/>
        <v>0</v>
      </c>
      <c r="D67" s="520"/>
      <c r="E67" s="520"/>
      <c r="F67" s="534">
        <f t="shared" si="6"/>
        <v>10680</v>
      </c>
      <c r="G67" s="545"/>
      <c r="H67" s="545">
        <v>10680</v>
      </c>
      <c r="I67" s="534">
        <f t="shared" si="1"/>
        <v>0</v>
      </c>
      <c r="J67" s="545"/>
      <c r="K67" s="545"/>
      <c r="L67" s="534">
        <f t="shared" si="2"/>
        <v>-10680</v>
      </c>
      <c r="M67" s="545">
        <f t="shared" si="3"/>
        <v>0</v>
      </c>
      <c r="N67" s="545">
        <f t="shared" si="4"/>
        <v>-10680</v>
      </c>
      <c r="O67" s="479"/>
      <c r="P67" s="479"/>
      <c r="Q67" s="479"/>
    </row>
    <row r="68" spans="1:17" s="497" customFormat="1" ht="24" customHeight="1">
      <c r="A68" s="507" t="s">
        <v>181</v>
      </c>
      <c r="B68" s="516" t="s">
        <v>343</v>
      </c>
      <c r="C68" s="494">
        <f t="shared" si="7"/>
        <v>0</v>
      </c>
      <c r="D68" s="520"/>
      <c r="E68" s="520"/>
      <c r="F68" s="534">
        <f t="shared" si="6"/>
        <v>12389</v>
      </c>
      <c r="G68" s="545"/>
      <c r="H68" s="545">
        <v>12389</v>
      </c>
      <c r="I68" s="534">
        <f t="shared" si="1"/>
        <v>0</v>
      </c>
      <c r="J68" s="545"/>
      <c r="K68" s="545"/>
      <c r="L68" s="534">
        <f t="shared" si="2"/>
        <v>-12389</v>
      </c>
      <c r="M68" s="545">
        <f t="shared" si="3"/>
        <v>0</v>
      </c>
      <c r="N68" s="545">
        <f t="shared" si="4"/>
        <v>-12389</v>
      </c>
      <c r="O68" s="479"/>
      <c r="P68" s="479"/>
      <c r="Q68" s="479"/>
    </row>
    <row r="69" spans="1:17" s="485" customFormat="1" ht="20.25">
      <c r="A69" s="2357" t="s">
        <v>347</v>
      </c>
      <c r="B69" s="2358"/>
      <c r="C69" s="478">
        <f t="shared" si="7"/>
        <v>0</v>
      </c>
      <c r="D69" s="478"/>
      <c r="E69" s="478"/>
      <c r="F69" s="528">
        <f t="shared" si="6"/>
        <v>533483</v>
      </c>
      <c r="G69" s="528">
        <f>SUM(G70,G74)</f>
        <v>0</v>
      </c>
      <c r="H69" s="530">
        <f>SUM(H70,H74)</f>
        <v>533483</v>
      </c>
      <c r="I69" s="528">
        <f t="shared" si="1"/>
        <v>0</v>
      </c>
      <c r="J69" s="528">
        <f>SUM(J70,J74)</f>
        <v>0</v>
      </c>
      <c r="K69" s="530">
        <f>SUM(K70,K74)</f>
        <v>0</v>
      </c>
      <c r="L69" s="528">
        <f t="shared" si="2"/>
        <v>-533483</v>
      </c>
      <c r="M69" s="528">
        <f t="shared" si="3"/>
        <v>0</v>
      </c>
      <c r="N69" s="530">
        <f t="shared" si="4"/>
        <v>-533483</v>
      </c>
      <c r="O69" s="479"/>
      <c r="P69" s="479"/>
      <c r="Q69" s="479"/>
    </row>
    <row r="70" spans="1:17" ht="26.25" hidden="1" customHeight="1">
      <c r="A70" s="489" t="s">
        <v>42</v>
      </c>
      <c r="B70" s="490" t="s">
        <v>41</v>
      </c>
      <c r="C70" s="491">
        <f t="shared" si="7"/>
        <v>0</v>
      </c>
      <c r="D70" s="491"/>
      <c r="E70" s="491"/>
      <c r="F70" s="533">
        <f t="shared" si="6"/>
        <v>221678</v>
      </c>
      <c r="G70" s="533">
        <f>SUM(G71:G73)</f>
        <v>0</v>
      </c>
      <c r="H70" s="533">
        <f>SUM(H71:H73)</f>
        <v>221678</v>
      </c>
      <c r="I70" s="533">
        <f t="shared" si="1"/>
        <v>0</v>
      </c>
      <c r="J70" s="533">
        <f>SUM(J71:J73)</f>
        <v>0</v>
      </c>
      <c r="K70" s="533">
        <f>SUM(K71:K73)</f>
        <v>0</v>
      </c>
      <c r="L70" s="533">
        <f t="shared" si="2"/>
        <v>-221678</v>
      </c>
      <c r="M70" s="533">
        <f t="shared" si="3"/>
        <v>0</v>
      </c>
      <c r="N70" s="533">
        <f t="shared" si="4"/>
        <v>-221678</v>
      </c>
      <c r="O70" s="479"/>
      <c r="P70" s="479"/>
      <c r="Q70" s="479"/>
    </row>
    <row r="71" spans="1:17" s="497" customFormat="1" ht="20.25">
      <c r="A71" s="507" t="s">
        <v>182</v>
      </c>
      <c r="B71" s="522" t="s">
        <v>270</v>
      </c>
      <c r="C71" s="494"/>
      <c r="D71" s="523"/>
      <c r="E71" s="523"/>
      <c r="F71" s="534">
        <f t="shared" si="6"/>
        <v>34000</v>
      </c>
      <c r="G71" s="546"/>
      <c r="H71" s="546">
        <v>34000</v>
      </c>
      <c r="I71" s="534">
        <f t="shared" si="1"/>
        <v>0</v>
      </c>
      <c r="J71" s="546"/>
      <c r="K71" s="546"/>
      <c r="L71" s="534">
        <f t="shared" si="2"/>
        <v>-34000</v>
      </c>
      <c r="M71" s="546">
        <f t="shared" si="3"/>
        <v>0</v>
      </c>
      <c r="N71" s="546">
        <f t="shared" si="4"/>
        <v>-34000</v>
      </c>
      <c r="O71" s="479"/>
      <c r="P71" s="479"/>
      <c r="Q71" s="479"/>
    </row>
    <row r="72" spans="1:17" s="497" customFormat="1" ht="20.25">
      <c r="A72" s="507" t="s">
        <v>183</v>
      </c>
      <c r="B72" s="524" t="s">
        <v>344</v>
      </c>
      <c r="C72" s="494">
        <f>D72+E72</f>
        <v>0</v>
      </c>
      <c r="D72" s="523"/>
      <c r="E72" s="523"/>
      <c r="F72" s="534">
        <f t="shared" si="6"/>
        <v>28810</v>
      </c>
      <c r="G72" s="546"/>
      <c r="H72" s="546">
        <v>28810</v>
      </c>
      <c r="I72" s="534">
        <f t="shared" si="1"/>
        <v>0</v>
      </c>
      <c r="J72" s="546"/>
      <c r="K72" s="546"/>
      <c r="L72" s="534">
        <f t="shared" si="2"/>
        <v>-28810</v>
      </c>
      <c r="M72" s="546">
        <f t="shared" si="3"/>
        <v>0</v>
      </c>
      <c r="N72" s="546">
        <f t="shared" si="4"/>
        <v>-28810</v>
      </c>
      <c r="O72" s="479"/>
      <c r="P72" s="479"/>
      <c r="Q72" s="479"/>
    </row>
    <row r="73" spans="1:17" s="497" customFormat="1" ht="20.25">
      <c r="A73" s="507" t="s">
        <v>188</v>
      </c>
      <c r="B73" s="524" t="s">
        <v>345</v>
      </c>
      <c r="C73" s="494">
        <f>D73+E73</f>
        <v>0</v>
      </c>
      <c r="D73" s="523"/>
      <c r="E73" s="523"/>
      <c r="F73" s="534">
        <f t="shared" si="6"/>
        <v>158868</v>
      </c>
      <c r="G73" s="546"/>
      <c r="H73" s="546">
        <v>158868</v>
      </c>
      <c r="I73" s="534">
        <f t="shared" si="1"/>
        <v>0</v>
      </c>
      <c r="J73" s="546"/>
      <c r="K73" s="546"/>
      <c r="L73" s="534">
        <f t="shared" si="2"/>
        <v>-158868</v>
      </c>
      <c r="M73" s="546">
        <f t="shared" si="3"/>
        <v>0</v>
      </c>
      <c r="N73" s="546">
        <f t="shared" si="4"/>
        <v>-158868</v>
      </c>
      <c r="O73" s="479"/>
      <c r="P73" s="479"/>
      <c r="Q73" s="479"/>
    </row>
    <row r="74" spans="1:17" s="497" customFormat="1" ht="21.75" hidden="1" customHeight="1">
      <c r="A74" s="505" t="s">
        <v>42</v>
      </c>
      <c r="B74" s="506" t="s">
        <v>39</v>
      </c>
      <c r="C74" s="494">
        <f t="shared" si="7"/>
        <v>0</v>
      </c>
      <c r="D74" s="494"/>
      <c r="E74" s="494"/>
      <c r="F74" s="534">
        <f t="shared" si="6"/>
        <v>311805</v>
      </c>
      <c r="G74" s="542">
        <f>SUM(G75:G80)</f>
        <v>0</v>
      </c>
      <c r="H74" s="542">
        <f>SUM(H75:H80)</f>
        <v>311805</v>
      </c>
      <c r="I74" s="534">
        <f t="shared" si="1"/>
        <v>0</v>
      </c>
      <c r="J74" s="542">
        <f>SUM(J75:J80)</f>
        <v>0</v>
      </c>
      <c r="K74" s="542"/>
      <c r="L74" s="534">
        <f t="shared" si="2"/>
        <v>-311805</v>
      </c>
      <c r="M74" s="542">
        <f t="shared" si="3"/>
        <v>0</v>
      </c>
      <c r="N74" s="542">
        <f t="shared" si="4"/>
        <v>-311805</v>
      </c>
      <c r="O74" s="479"/>
      <c r="P74" s="479"/>
      <c r="Q74" s="479"/>
    </row>
    <row r="75" spans="1:17" s="497" customFormat="1" ht="20.25">
      <c r="A75" s="507" t="s">
        <v>189</v>
      </c>
      <c r="B75" s="524" t="s">
        <v>263</v>
      </c>
      <c r="C75" s="494">
        <f t="shared" si="7"/>
        <v>0</v>
      </c>
      <c r="D75" s="523"/>
      <c r="E75" s="523"/>
      <c r="F75" s="534">
        <f t="shared" si="6"/>
        <v>20000</v>
      </c>
      <c r="G75" s="546"/>
      <c r="H75" s="546">
        <v>20000</v>
      </c>
      <c r="I75" s="534">
        <f t="shared" si="1"/>
        <v>0</v>
      </c>
      <c r="J75" s="546"/>
      <c r="K75" s="546"/>
      <c r="L75" s="534">
        <f t="shared" si="2"/>
        <v>-20000</v>
      </c>
      <c r="M75" s="546">
        <f t="shared" si="3"/>
        <v>0</v>
      </c>
      <c r="N75" s="546">
        <f t="shared" si="4"/>
        <v>-20000</v>
      </c>
      <c r="O75" s="479"/>
      <c r="P75" s="479"/>
      <c r="Q75" s="479"/>
    </row>
    <row r="76" spans="1:17" s="497" customFormat="1" ht="18" customHeight="1">
      <c r="A76" s="507" t="s">
        <v>190</v>
      </c>
      <c r="B76" s="524" t="s">
        <v>264</v>
      </c>
      <c r="C76" s="494">
        <f t="shared" si="7"/>
        <v>0</v>
      </c>
      <c r="D76" s="523"/>
      <c r="E76" s="523"/>
      <c r="F76" s="534">
        <f t="shared" si="6"/>
        <v>31605</v>
      </c>
      <c r="G76" s="546"/>
      <c r="H76" s="546">
        <v>31605</v>
      </c>
      <c r="I76" s="534">
        <f t="shared" si="1"/>
        <v>0</v>
      </c>
      <c r="J76" s="546"/>
      <c r="K76" s="546"/>
      <c r="L76" s="534">
        <f t="shared" si="2"/>
        <v>-31605</v>
      </c>
      <c r="M76" s="546">
        <f t="shared" si="3"/>
        <v>0</v>
      </c>
      <c r="N76" s="546">
        <f t="shared" si="4"/>
        <v>-31605</v>
      </c>
      <c r="O76" s="479"/>
      <c r="P76" s="479"/>
      <c r="Q76" s="479"/>
    </row>
    <row r="77" spans="1:17" s="497" customFormat="1" ht="18" customHeight="1">
      <c r="A77" s="507" t="s">
        <v>191</v>
      </c>
      <c r="B77" s="524" t="s">
        <v>265</v>
      </c>
      <c r="C77" s="494">
        <f t="shared" si="7"/>
        <v>0</v>
      </c>
      <c r="D77" s="523"/>
      <c r="E77" s="523"/>
      <c r="F77" s="534">
        <f t="shared" si="6"/>
        <v>167000</v>
      </c>
      <c r="G77" s="546"/>
      <c r="H77" s="546">
        <v>167000</v>
      </c>
      <c r="I77" s="534">
        <f t="shared" si="1"/>
        <v>0</v>
      </c>
      <c r="J77" s="546"/>
      <c r="K77" s="546"/>
      <c r="L77" s="534">
        <f t="shared" si="2"/>
        <v>-167000</v>
      </c>
      <c r="M77" s="546">
        <f t="shared" si="3"/>
        <v>0</v>
      </c>
      <c r="N77" s="546">
        <f t="shared" si="4"/>
        <v>-167000</v>
      </c>
      <c r="O77" s="479"/>
      <c r="P77" s="479"/>
      <c r="Q77" s="479"/>
    </row>
    <row r="78" spans="1:17" s="497" customFormat="1" ht="37.5">
      <c r="A78" s="507" t="s">
        <v>192</v>
      </c>
      <c r="B78" s="522" t="s">
        <v>266</v>
      </c>
      <c r="C78" s="494"/>
      <c r="D78" s="523"/>
      <c r="E78" s="523"/>
      <c r="F78" s="534">
        <f t="shared" si="6"/>
        <v>22000</v>
      </c>
      <c r="G78" s="546"/>
      <c r="H78" s="546">
        <v>22000</v>
      </c>
      <c r="I78" s="534">
        <f>SUM(J78:K78)</f>
        <v>0</v>
      </c>
      <c r="J78" s="546"/>
      <c r="K78" s="546"/>
      <c r="L78" s="534">
        <f>SUM(M78:N78)</f>
        <v>-22000</v>
      </c>
      <c r="M78" s="546">
        <f t="shared" ref="M78:N80" si="8">J78-G78</f>
        <v>0</v>
      </c>
      <c r="N78" s="546">
        <f t="shared" si="8"/>
        <v>-22000</v>
      </c>
      <c r="O78" s="479"/>
      <c r="P78" s="479"/>
      <c r="Q78" s="479"/>
    </row>
    <row r="79" spans="1:17" s="497" customFormat="1" ht="22.5" customHeight="1">
      <c r="A79" s="507" t="s">
        <v>195</v>
      </c>
      <c r="B79" s="522" t="s">
        <v>268</v>
      </c>
      <c r="C79" s="494"/>
      <c r="D79" s="523"/>
      <c r="E79" s="523"/>
      <c r="F79" s="534">
        <f t="shared" si="6"/>
        <v>1200</v>
      </c>
      <c r="G79" s="546"/>
      <c r="H79" s="546">
        <v>1200</v>
      </c>
      <c r="I79" s="534">
        <f>SUM(J79:K79)</f>
        <v>0</v>
      </c>
      <c r="J79" s="546"/>
      <c r="K79" s="546"/>
      <c r="L79" s="534">
        <f>SUM(M79:N79)</f>
        <v>-1200</v>
      </c>
      <c r="M79" s="546">
        <f t="shared" si="8"/>
        <v>0</v>
      </c>
      <c r="N79" s="546">
        <f t="shared" si="8"/>
        <v>-1200</v>
      </c>
      <c r="O79" s="479"/>
      <c r="P79" s="479"/>
      <c r="Q79" s="479"/>
    </row>
    <row r="80" spans="1:17" s="497" customFormat="1" ht="37.5">
      <c r="A80" s="507" t="s">
        <v>196</v>
      </c>
      <c r="B80" s="525" t="s">
        <v>275</v>
      </c>
      <c r="C80" s="494"/>
      <c r="D80" s="523"/>
      <c r="E80" s="523"/>
      <c r="F80" s="534">
        <f t="shared" si="6"/>
        <v>70000</v>
      </c>
      <c r="G80" s="546"/>
      <c r="H80" s="546">
        <v>70000</v>
      </c>
      <c r="I80" s="534">
        <f>SUM(J80:K80)</f>
        <v>0</v>
      </c>
      <c r="J80" s="546"/>
      <c r="K80" s="546"/>
      <c r="L80" s="534">
        <f>SUM(M80:N80)</f>
        <v>-70000</v>
      </c>
      <c r="M80" s="546">
        <f t="shared" si="8"/>
        <v>0</v>
      </c>
      <c r="N80" s="546">
        <f t="shared" si="8"/>
        <v>-70000</v>
      </c>
      <c r="O80" s="479"/>
      <c r="P80" s="479"/>
      <c r="Q80" s="479"/>
    </row>
    <row r="81" spans="1:17" s="467" customFormat="1" ht="15" customHeight="1">
      <c r="B81" s="526" t="s">
        <v>311</v>
      </c>
      <c r="C81" s="469"/>
      <c r="D81" s="469"/>
      <c r="E81" s="469"/>
      <c r="F81" s="469"/>
      <c r="G81" s="469"/>
      <c r="H81" s="469"/>
      <c r="I81" s="469"/>
      <c r="J81" s="469"/>
      <c r="K81" s="469"/>
      <c r="L81" s="469"/>
      <c r="M81" s="469"/>
      <c r="N81" s="469"/>
      <c r="O81" s="479"/>
      <c r="P81" s="479"/>
      <c r="Q81" s="479"/>
    </row>
    <row r="82" spans="1:17" ht="15.75" customHeight="1">
      <c r="A82" s="465"/>
      <c r="B82" s="527" t="s">
        <v>346</v>
      </c>
      <c r="O82" s="479"/>
      <c r="P82" s="479"/>
      <c r="Q82" s="479"/>
    </row>
    <row r="83" spans="1:17" ht="15.75" customHeight="1">
      <c r="A83" s="465"/>
      <c r="B83" s="527"/>
    </row>
    <row r="84" spans="1:17" ht="15" customHeight="1">
      <c r="A84" s="465"/>
      <c r="B84" s="527"/>
    </row>
  </sheetData>
  <mergeCells count="16">
    <mergeCell ref="A1:B1"/>
    <mergeCell ref="A6:O6"/>
    <mergeCell ref="A8:O8"/>
    <mergeCell ref="A9:O9"/>
    <mergeCell ref="A12:A13"/>
    <mergeCell ref="B12:B13"/>
    <mergeCell ref="A69:B69"/>
    <mergeCell ref="I12:I13"/>
    <mergeCell ref="J12:K12"/>
    <mergeCell ref="L12:L13"/>
    <mergeCell ref="M12:N12"/>
    <mergeCell ref="D12:E12"/>
    <mergeCell ref="F12:F13"/>
    <mergeCell ref="G12:H12"/>
    <mergeCell ref="A17:B17"/>
    <mergeCell ref="C12:C13"/>
  </mergeCells>
  <printOptions horizontalCentered="1"/>
  <pageMargins left="0.55118110236220474" right="0.31496062992125984" top="0.23622047244094491" bottom="0.23622047244094491" header="0" footer="0"/>
  <pageSetup paperSize="9" scale="46" orientation="landscape" r:id="rId1"/>
  <headerFooter alignWithMargins="0"/>
  <customProperties>
    <customPr name="krista_fm_consts" r:id="rId2"/>
  </customProperties>
</worksheet>
</file>

<file path=xl/worksheets/sheet13.xml><?xml version="1.0" encoding="utf-8"?>
<worksheet xmlns="http://schemas.openxmlformats.org/spreadsheetml/2006/main" xmlns:r="http://schemas.openxmlformats.org/officeDocument/2006/relationships">
  <sheetPr>
    <pageSetUpPr fitToPage="1"/>
  </sheetPr>
  <dimension ref="A1:Q84"/>
  <sheetViews>
    <sheetView view="pageBreakPreview" topLeftCell="A5" zoomScale="87" zoomScaleSheetLayoutView="87" workbookViewId="0">
      <selection activeCell="B21" sqref="B21"/>
    </sheetView>
  </sheetViews>
  <sheetFormatPr defaultColWidth="9.140625" defaultRowHeight="15.75"/>
  <cols>
    <col min="1" max="1" width="5.42578125" style="466" customWidth="1"/>
    <col min="2" max="2" width="149.5703125" style="466" customWidth="1"/>
    <col min="3" max="3" width="14" style="466" hidden="1" customWidth="1"/>
    <col min="4" max="4" width="14.42578125" style="466" hidden="1" customWidth="1"/>
    <col min="5" max="5" width="12.140625" style="466" hidden="1" customWidth="1"/>
    <col min="6" max="6" width="16.85546875" style="466" customWidth="1"/>
    <col min="7" max="7" width="15.42578125" style="466" customWidth="1"/>
    <col min="8" max="8" width="17.7109375" style="466" customWidth="1"/>
    <col min="9" max="9" width="16.85546875" style="466" customWidth="1"/>
    <col min="10" max="10" width="15.42578125" style="466" customWidth="1"/>
    <col min="11" max="11" width="17.7109375" style="466" customWidth="1"/>
    <col min="12" max="12" width="17.85546875" style="466" customWidth="1"/>
    <col min="13" max="13" width="17.28515625" style="466" customWidth="1"/>
    <col min="14" max="14" width="20.42578125" style="466" customWidth="1"/>
    <col min="15" max="16" width="13.28515625" style="697" customWidth="1"/>
    <col min="17" max="17" width="13.28515625" style="466" customWidth="1"/>
    <col min="18" max="16384" width="9.140625" style="466"/>
  </cols>
  <sheetData>
    <row r="1" spans="1:17" hidden="1">
      <c r="A1" s="2359"/>
      <c r="B1" s="2359"/>
    </row>
    <row r="2" spans="1:17" s="467" customFormat="1" hidden="1">
      <c r="C2" s="380"/>
      <c r="D2" s="380"/>
      <c r="E2" s="380"/>
      <c r="F2" s="380"/>
      <c r="G2" s="380"/>
      <c r="H2" s="380"/>
      <c r="I2" s="380"/>
      <c r="J2" s="380"/>
      <c r="K2" s="380"/>
      <c r="L2" s="380"/>
      <c r="M2" s="380"/>
      <c r="N2" s="380"/>
      <c r="O2" s="380"/>
      <c r="P2" s="380"/>
    </row>
    <row r="3" spans="1:17" s="467" customFormat="1" hidden="1">
      <c r="C3" s="380"/>
      <c r="D3" s="380"/>
      <c r="E3" s="380"/>
      <c r="F3" s="380"/>
      <c r="G3" s="380"/>
      <c r="H3" s="380"/>
      <c r="I3" s="380"/>
      <c r="J3" s="380"/>
      <c r="K3" s="380"/>
      <c r="L3" s="380"/>
      <c r="M3" s="380"/>
      <c r="N3" s="380"/>
      <c r="O3" s="468"/>
      <c r="P3" s="468"/>
    </row>
    <row r="4" spans="1:17" s="467" customFormat="1" hidden="1">
      <c r="C4" s="380"/>
      <c r="D4" s="380"/>
      <c r="E4" s="380"/>
      <c r="F4" s="380"/>
      <c r="G4" s="380"/>
      <c r="H4" s="380"/>
      <c r="I4" s="380"/>
      <c r="J4" s="380"/>
      <c r="K4" s="380"/>
      <c r="L4" s="380"/>
      <c r="M4" s="380"/>
      <c r="N4" s="380"/>
      <c r="O4" s="468"/>
      <c r="P4" s="468"/>
    </row>
    <row r="5" spans="1:17" s="467" customFormat="1">
      <c r="C5" s="469"/>
      <c r="D5" s="469"/>
      <c r="E5" s="469"/>
      <c r="F5" s="469"/>
      <c r="G5" s="469"/>
      <c r="H5" s="469"/>
      <c r="I5" s="469"/>
      <c r="J5" s="469"/>
      <c r="K5" s="469"/>
      <c r="L5" s="469"/>
      <c r="M5" s="469" t="s">
        <v>78</v>
      </c>
      <c r="N5" s="469"/>
      <c r="O5" s="470"/>
      <c r="P5" s="470"/>
    </row>
    <row r="6" spans="1:17" s="467" customFormat="1">
      <c r="A6" s="2360"/>
      <c r="B6" s="2360"/>
      <c r="C6" s="2360"/>
      <c r="D6" s="2360"/>
      <c r="E6" s="2360"/>
      <c r="F6" s="2360"/>
      <c r="G6" s="2360"/>
      <c r="H6" s="2360"/>
      <c r="I6" s="2360"/>
      <c r="J6" s="2360"/>
      <c r="K6" s="2360"/>
      <c r="L6" s="2360"/>
      <c r="M6" s="2360"/>
      <c r="N6" s="2360"/>
      <c r="O6" s="2360"/>
      <c r="P6" s="471"/>
    </row>
    <row r="7" spans="1:17" s="467" customFormat="1" ht="15.75" hidden="1" customHeight="1">
      <c r="C7" s="472"/>
      <c r="D7" s="472"/>
      <c r="E7" s="472"/>
      <c r="F7" s="472"/>
      <c r="G7" s="472"/>
      <c r="H7" s="472"/>
      <c r="I7" s="472"/>
      <c r="J7" s="472"/>
      <c r="K7" s="472"/>
      <c r="L7" s="472"/>
      <c r="M7" s="472"/>
      <c r="N7" s="472"/>
      <c r="O7" s="473"/>
      <c r="P7" s="473"/>
    </row>
    <row r="8" spans="1:17" s="467" customFormat="1" ht="35.25" customHeight="1">
      <c r="A8" s="2361" t="s">
        <v>317</v>
      </c>
      <c r="B8" s="2361"/>
      <c r="C8" s="2361"/>
      <c r="D8" s="2361"/>
      <c r="E8" s="2361"/>
      <c r="F8" s="2361"/>
      <c r="G8" s="2361"/>
      <c r="H8" s="2361"/>
      <c r="I8" s="2361"/>
      <c r="J8" s="2361"/>
      <c r="K8" s="2361"/>
      <c r="L8" s="2361"/>
      <c r="M8" s="2361"/>
      <c r="N8" s="2361"/>
      <c r="O8" s="2361"/>
      <c r="P8" s="471"/>
    </row>
    <row r="9" spans="1:17" s="467" customFormat="1" ht="25.5">
      <c r="A9" s="2361" t="s">
        <v>430</v>
      </c>
      <c r="B9" s="2361"/>
      <c r="C9" s="2361"/>
      <c r="D9" s="2361"/>
      <c r="E9" s="2361"/>
      <c r="F9" s="2361"/>
      <c r="G9" s="2361"/>
      <c r="H9" s="2361"/>
      <c r="I9" s="2361"/>
      <c r="J9" s="2361"/>
      <c r="K9" s="2361"/>
      <c r="L9" s="2361"/>
      <c r="M9" s="2361"/>
      <c r="N9" s="2361"/>
      <c r="O9" s="2361"/>
      <c r="P9" s="471"/>
    </row>
    <row r="10" spans="1:17" s="467" customFormat="1" hidden="1">
      <c r="A10" s="474"/>
      <c r="B10" s="474"/>
      <c r="C10" s="474"/>
      <c r="D10" s="474"/>
      <c r="E10" s="474"/>
      <c r="F10" s="474"/>
      <c r="G10" s="474"/>
      <c r="H10" s="474"/>
      <c r="I10" s="474"/>
      <c r="J10" s="474"/>
      <c r="K10" s="474"/>
      <c r="L10" s="474"/>
      <c r="M10" s="474"/>
      <c r="N10" s="474"/>
      <c r="O10" s="473"/>
      <c r="P10" s="473"/>
    </row>
    <row r="11" spans="1:17" s="467" customFormat="1">
      <c r="A11" s="474"/>
      <c r="B11" s="474"/>
      <c r="C11" s="474"/>
      <c r="D11" s="474"/>
      <c r="E11" s="474"/>
      <c r="F11" s="473"/>
      <c r="G11" s="473"/>
      <c r="H11" s="473"/>
      <c r="I11" s="473"/>
      <c r="J11" s="473"/>
      <c r="K11" s="473"/>
      <c r="L11" s="473"/>
      <c r="M11" s="473"/>
      <c r="N11" s="473" t="s">
        <v>230</v>
      </c>
      <c r="O11" s="473"/>
      <c r="P11" s="473"/>
    </row>
    <row r="12" spans="1:17" s="467" customFormat="1" ht="15.75" customHeight="1">
      <c r="A12" s="2342" t="s">
        <v>18</v>
      </c>
      <c r="B12" s="2342" t="s">
        <v>0</v>
      </c>
      <c r="C12" s="2343" t="s">
        <v>318</v>
      </c>
      <c r="D12" s="2351" t="s">
        <v>257</v>
      </c>
      <c r="E12" s="2351"/>
      <c r="F12" s="2316" t="s">
        <v>349</v>
      </c>
      <c r="G12" s="2351" t="s">
        <v>257</v>
      </c>
      <c r="H12" s="2351"/>
      <c r="I12" s="2316" t="s">
        <v>237</v>
      </c>
      <c r="J12" s="2351" t="s">
        <v>257</v>
      </c>
      <c r="K12" s="2351"/>
      <c r="L12" s="2316" t="s">
        <v>350</v>
      </c>
      <c r="M12" s="2351" t="s">
        <v>257</v>
      </c>
      <c r="N12" s="2351"/>
      <c r="P12" s="475"/>
    </row>
    <row r="13" spans="1:17" ht="76.5" customHeight="1">
      <c r="A13" s="2342"/>
      <c r="B13" s="2342"/>
      <c r="C13" s="2343"/>
      <c r="D13" s="378" t="s">
        <v>259</v>
      </c>
      <c r="E13" s="378" t="s">
        <v>258</v>
      </c>
      <c r="F13" s="2316"/>
      <c r="G13" s="378" t="s">
        <v>259</v>
      </c>
      <c r="H13" s="378" t="s">
        <v>258</v>
      </c>
      <c r="I13" s="2316"/>
      <c r="J13" s="378" t="s">
        <v>259</v>
      </c>
      <c r="K13" s="378" t="s">
        <v>258</v>
      </c>
      <c r="L13" s="2316"/>
      <c r="M13" s="378" t="s">
        <v>259</v>
      </c>
      <c r="N13" s="378" t="s">
        <v>258</v>
      </c>
      <c r="O13" s="466"/>
      <c r="P13" s="475"/>
    </row>
    <row r="14" spans="1:17">
      <c r="A14" s="476">
        <v>1</v>
      </c>
      <c r="B14" s="476">
        <v>2</v>
      </c>
      <c r="C14" s="476" t="e">
        <f>#REF!+1</f>
        <v>#REF!</v>
      </c>
      <c r="D14" s="476" t="e">
        <f>C14+1</f>
        <v>#REF!</v>
      </c>
      <c r="E14" s="476" t="e">
        <f>D14+1</f>
        <v>#REF!</v>
      </c>
      <c r="F14" s="476">
        <v>3</v>
      </c>
      <c r="G14" s="476">
        <v>4</v>
      </c>
      <c r="H14" s="476">
        <v>5</v>
      </c>
      <c r="I14" s="476">
        <v>3</v>
      </c>
      <c r="J14" s="476">
        <v>4</v>
      </c>
      <c r="K14" s="476">
        <v>5</v>
      </c>
      <c r="L14" s="476">
        <v>3</v>
      </c>
      <c r="M14" s="476">
        <v>4</v>
      </c>
      <c r="N14" s="476">
        <v>5</v>
      </c>
      <c r="O14" s="466"/>
      <c r="P14" s="477"/>
    </row>
    <row r="15" spans="1:17" s="480" customFormat="1" ht="32.25" customHeight="1">
      <c r="A15" s="547"/>
      <c r="B15" s="547" t="s">
        <v>10</v>
      </c>
      <c r="C15" s="528" t="e">
        <f>D15+E15</f>
        <v>#REF!</v>
      </c>
      <c r="D15" s="528" t="e">
        <f>D17+D69+#REF!</f>
        <v>#REF!</v>
      </c>
      <c r="E15" s="528" t="e">
        <f>E17+E69+#REF!</f>
        <v>#REF!</v>
      </c>
      <c r="F15" s="528" t="e">
        <f>SUM(G15:H15)</f>
        <v>#REF!</v>
      </c>
      <c r="G15" s="528" t="e">
        <f>G17+G69</f>
        <v>#REF!</v>
      </c>
      <c r="H15" s="528" t="e">
        <f>H17+H69</f>
        <v>#REF!</v>
      </c>
      <c r="I15" s="528" t="e">
        <f>SUM(J15:K15)</f>
        <v>#REF!</v>
      </c>
      <c r="J15" s="528" t="e">
        <f>J17+J69</f>
        <v>#REF!</v>
      </c>
      <c r="K15" s="528" t="e">
        <f>K17+K69</f>
        <v>#REF!</v>
      </c>
      <c r="L15" s="528" t="e">
        <f>SUM(M15:N15)</f>
        <v>#REF!</v>
      </c>
      <c r="M15" s="528" t="e">
        <f t="shared" ref="M15:M46" si="0">J15-G15</f>
        <v>#REF!</v>
      </c>
      <c r="N15" s="528" t="e">
        <f t="shared" ref="N15:N46" si="1">K15-H15</f>
        <v>#REF!</v>
      </c>
      <c r="O15" s="479"/>
      <c r="P15" s="479"/>
      <c r="Q15" s="479"/>
    </row>
    <row r="16" spans="1:17" s="484" customFormat="1" ht="30.75" customHeight="1">
      <c r="A16" s="481"/>
      <c r="B16" s="482" t="s">
        <v>319</v>
      </c>
      <c r="C16" s="483" t="e">
        <f>C19+C37</f>
        <v>#REF!</v>
      </c>
      <c r="D16" s="483" t="e">
        <f>D19+D37</f>
        <v>#REF!</v>
      </c>
      <c r="E16" s="483" t="e">
        <f>E19+E37</f>
        <v>#REF!</v>
      </c>
      <c r="F16" s="529" t="e">
        <f t="shared" ref="F16:F79" si="2">SUM(G16:H16)</f>
        <v>#REF!</v>
      </c>
      <c r="G16" s="529" t="e">
        <f>G19+G37+G70</f>
        <v>#REF!</v>
      </c>
      <c r="H16" s="529" t="e">
        <f>H19+H37+H70</f>
        <v>#REF!</v>
      </c>
      <c r="I16" s="529" t="e">
        <f t="shared" ref="I16:I79" si="3">SUM(J16:K16)</f>
        <v>#REF!</v>
      </c>
      <c r="J16" s="529" t="e">
        <f>J19+J37+J70</f>
        <v>#REF!</v>
      </c>
      <c r="K16" s="529" t="e">
        <f>K19+K37+K70</f>
        <v>#REF!</v>
      </c>
      <c r="L16" s="529" t="e">
        <f t="shared" ref="L16:L77" si="4">SUM(M16:N16)</f>
        <v>#REF!</v>
      </c>
      <c r="M16" s="529" t="e">
        <f t="shared" si="0"/>
        <v>#REF!</v>
      </c>
      <c r="N16" s="529" t="e">
        <f t="shared" si="1"/>
        <v>#REF!</v>
      </c>
      <c r="O16" s="479"/>
      <c r="P16" s="479"/>
      <c r="Q16" s="479"/>
    </row>
    <row r="17" spans="1:17" s="485" customFormat="1" ht="20.25" customHeight="1">
      <c r="A17" s="2357" t="s">
        <v>320</v>
      </c>
      <c r="B17" s="2358"/>
      <c r="C17" s="478" t="e">
        <f t="shared" ref="C17:C77" si="5">D17+E17</f>
        <v>#REF!</v>
      </c>
      <c r="D17" s="478" t="e">
        <f>D18+D36</f>
        <v>#REF!</v>
      </c>
      <c r="E17" s="478" t="e">
        <f>E18+E36</f>
        <v>#REF!</v>
      </c>
      <c r="F17" s="528" t="e">
        <f t="shared" si="2"/>
        <v>#REF!</v>
      </c>
      <c r="G17" s="530" t="e">
        <f>G18+G36</f>
        <v>#REF!</v>
      </c>
      <c r="H17" s="530" t="e">
        <f>H18+H36</f>
        <v>#REF!</v>
      </c>
      <c r="I17" s="528" t="e">
        <f t="shared" si="3"/>
        <v>#REF!</v>
      </c>
      <c r="J17" s="530" t="e">
        <f>J18+J36</f>
        <v>#REF!</v>
      </c>
      <c r="K17" s="530" t="e">
        <f>K18+K36</f>
        <v>#REF!</v>
      </c>
      <c r="L17" s="528" t="e">
        <f t="shared" si="4"/>
        <v>#REF!</v>
      </c>
      <c r="M17" s="530" t="e">
        <f t="shared" si="0"/>
        <v>#REF!</v>
      </c>
      <c r="N17" s="530" t="e">
        <f t="shared" si="1"/>
        <v>#REF!</v>
      </c>
      <c r="O17" s="479"/>
      <c r="P17" s="479"/>
      <c r="Q17" s="479"/>
    </row>
    <row r="18" spans="1:17" s="485" customFormat="1" ht="20.25">
      <c r="A18" s="486" t="s">
        <v>6</v>
      </c>
      <c r="B18" s="487" t="s">
        <v>321</v>
      </c>
      <c r="C18" s="488" t="e">
        <f t="shared" si="5"/>
        <v>#REF!</v>
      </c>
      <c r="D18" s="488" t="e">
        <f>D19+D30</f>
        <v>#REF!</v>
      </c>
      <c r="E18" s="488" t="e">
        <f>E19+E30</f>
        <v>#REF!</v>
      </c>
      <c r="F18" s="531" t="e">
        <f t="shared" si="2"/>
        <v>#REF!</v>
      </c>
      <c r="G18" s="532" t="e">
        <f>G19+G30</f>
        <v>#REF!</v>
      </c>
      <c r="H18" s="532" t="e">
        <f>H19+H30</f>
        <v>#REF!</v>
      </c>
      <c r="I18" s="531" t="e">
        <f t="shared" si="3"/>
        <v>#REF!</v>
      </c>
      <c r="J18" s="532" t="e">
        <f>J19+J30</f>
        <v>#REF!</v>
      </c>
      <c r="K18" s="532" t="e">
        <f>K19+K30</f>
        <v>#REF!</v>
      </c>
      <c r="L18" s="531" t="e">
        <f t="shared" si="4"/>
        <v>#REF!</v>
      </c>
      <c r="M18" s="532" t="e">
        <f t="shared" si="0"/>
        <v>#REF!</v>
      </c>
      <c r="N18" s="532" t="e">
        <f t="shared" si="1"/>
        <v>#REF!</v>
      </c>
      <c r="O18" s="479"/>
      <c r="P18" s="479"/>
      <c r="Q18" s="479"/>
    </row>
    <row r="19" spans="1:17" ht="25.5" hidden="1" customHeight="1">
      <c r="A19" s="489" t="s">
        <v>30</v>
      </c>
      <c r="B19" s="490" t="s">
        <v>322</v>
      </c>
      <c r="C19" s="491" t="e">
        <f t="shared" si="5"/>
        <v>#REF!</v>
      </c>
      <c r="D19" s="491" t="e">
        <f>D20+D21+#REF!+#REF!+#REF!+#REF!+D22</f>
        <v>#REF!</v>
      </c>
      <c r="E19" s="491" t="e">
        <f>E20+E21+#REF!+#REF!+#REF!+#REF!+E22</f>
        <v>#REF!</v>
      </c>
      <c r="F19" s="533" t="e">
        <f t="shared" si="2"/>
        <v>#REF!</v>
      </c>
      <c r="G19" s="533" t="e">
        <f>SUM(G20:G22)</f>
        <v>#REF!</v>
      </c>
      <c r="H19" s="533" t="e">
        <f>SUM(H20:H22)</f>
        <v>#REF!</v>
      </c>
      <c r="I19" s="533" t="e">
        <f t="shared" si="3"/>
        <v>#REF!</v>
      </c>
      <c r="J19" s="533" t="e">
        <f>SUM(J20:J22)</f>
        <v>#REF!</v>
      </c>
      <c r="K19" s="533" t="e">
        <f>SUM(K20:K22)</f>
        <v>#REF!</v>
      </c>
      <c r="L19" s="533" t="e">
        <f t="shared" si="4"/>
        <v>#REF!</v>
      </c>
      <c r="M19" s="533" t="e">
        <f t="shared" si="0"/>
        <v>#REF!</v>
      </c>
      <c r="N19" s="533" t="e">
        <f t="shared" si="1"/>
        <v>#REF!</v>
      </c>
      <c r="O19" s="479"/>
      <c r="P19" s="479"/>
      <c r="Q19" s="479"/>
    </row>
    <row r="20" spans="1:17" s="497" customFormat="1" ht="25.5" customHeight="1">
      <c r="A20" s="492" t="s">
        <v>50</v>
      </c>
      <c r="B20" s="493" t="s">
        <v>323</v>
      </c>
      <c r="C20" s="494" t="e">
        <f t="shared" si="5"/>
        <v>#REF!</v>
      </c>
      <c r="D20" s="495" t="e">
        <f>#REF!</f>
        <v>#REF!</v>
      </c>
      <c r="E20" s="496" t="e">
        <f>#REF!</f>
        <v>#REF!</v>
      </c>
      <c r="F20" s="534" t="e">
        <f t="shared" si="2"/>
        <v>#REF!</v>
      </c>
      <c r="G20" s="535" t="e">
        <f>#REF!</f>
        <v>#REF!</v>
      </c>
      <c r="H20" s="536" t="e">
        <f>#REF!</f>
        <v>#REF!</v>
      </c>
      <c r="I20" s="534" t="e">
        <f t="shared" si="3"/>
        <v>#REF!</v>
      </c>
      <c r="J20" s="535" t="e">
        <f>#REF!</f>
        <v>#REF!</v>
      </c>
      <c r="K20" s="536" t="e">
        <f>#REF!</f>
        <v>#REF!</v>
      </c>
      <c r="L20" s="534" t="e">
        <f t="shared" si="4"/>
        <v>#REF!</v>
      </c>
      <c r="M20" s="535" t="e">
        <f t="shared" si="0"/>
        <v>#REF!</v>
      </c>
      <c r="N20" s="536" t="e">
        <f t="shared" si="1"/>
        <v>#REF!</v>
      </c>
      <c r="O20" s="479"/>
      <c r="P20" s="479"/>
      <c r="Q20" s="479"/>
    </row>
    <row r="21" spans="1:17" s="497" customFormat="1" ht="24.75" customHeight="1">
      <c r="A21" s="492" t="s">
        <v>4</v>
      </c>
      <c r="B21" s="493" t="s">
        <v>324</v>
      </c>
      <c r="C21" s="494">
        <f t="shared" si="5"/>
        <v>0</v>
      </c>
      <c r="D21" s="496"/>
      <c r="E21" s="496"/>
      <c r="F21" s="534" t="e">
        <f t="shared" si="2"/>
        <v>#REF!</v>
      </c>
      <c r="G21" s="536" t="e">
        <f>#REF!</f>
        <v>#REF!</v>
      </c>
      <c r="H21" s="536" t="e">
        <f>#REF!</f>
        <v>#REF!</v>
      </c>
      <c r="I21" s="534" t="e">
        <f t="shared" si="3"/>
        <v>#REF!</v>
      </c>
      <c r="J21" s="536" t="e">
        <f>#REF!</f>
        <v>#REF!</v>
      </c>
      <c r="K21" s="536" t="e">
        <f>#REF!</f>
        <v>#REF!</v>
      </c>
      <c r="L21" s="534" t="e">
        <f t="shared" si="4"/>
        <v>#REF!</v>
      </c>
      <c r="M21" s="536" t="e">
        <f t="shared" si="0"/>
        <v>#REF!</v>
      </c>
      <c r="N21" s="534" t="e">
        <f t="shared" si="1"/>
        <v>#REF!</v>
      </c>
      <c r="O21" s="479"/>
      <c r="P21" s="479"/>
      <c r="Q21" s="479"/>
    </row>
    <row r="22" spans="1:17" s="497" customFormat="1" ht="27" customHeight="1">
      <c r="A22" s="492" t="s">
        <v>35</v>
      </c>
      <c r="B22" s="493" t="s">
        <v>325</v>
      </c>
      <c r="C22" s="494" t="e">
        <f t="shared" si="5"/>
        <v>#REF!</v>
      </c>
      <c r="D22" s="494" t="e">
        <f>D23+D24+D25+D26+D27+D28</f>
        <v>#REF!</v>
      </c>
      <c r="E22" s="494">
        <f>E23+E24+E25+E26+E27+E28</f>
        <v>0</v>
      </c>
      <c r="F22" s="534" t="e">
        <f t="shared" si="2"/>
        <v>#REF!</v>
      </c>
      <c r="G22" s="698" t="e">
        <f>#REF!+#REF!+#REF!</f>
        <v>#REF!</v>
      </c>
      <c r="H22" s="698" t="e">
        <f>#REF!+#REF!+#REF!</f>
        <v>#REF!</v>
      </c>
      <c r="I22" s="534">
        <f t="shared" si="3"/>
        <v>0</v>
      </c>
      <c r="J22" s="698">
        <f>J23+J24+J25+J26+J27+J28+J29</f>
        <v>0</v>
      </c>
      <c r="K22" s="698">
        <f>K23+K24+K25+K26+K27+K28+K29</f>
        <v>0</v>
      </c>
      <c r="L22" s="534" t="e">
        <f t="shared" si="4"/>
        <v>#REF!</v>
      </c>
      <c r="M22" s="534" t="e">
        <f t="shared" si="0"/>
        <v>#REF!</v>
      </c>
      <c r="N22" s="534" t="e">
        <f t="shared" si="1"/>
        <v>#REF!</v>
      </c>
      <c r="O22" s="479"/>
      <c r="P22" s="479"/>
      <c r="Q22" s="479"/>
    </row>
    <row r="23" spans="1:17" s="502" customFormat="1" ht="20.25" hidden="1">
      <c r="A23" s="498" t="s">
        <v>50</v>
      </c>
      <c r="B23" s="499" t="s">
        <v>326</v>
      </c>
      <c r="C23" s="494" t="e">
        <f t="shared" si="5"/>
        <v>#REF!</v>
      </c>
      <c r="D23" s="501" t="e">
        <f>#REF!</f>
        <v>#REF!</v>
      </c>
      <c r="E23" s="500"/>
      <c r="F23" s="534">
        <f t="shared" si="2"/>
        <v>0</v>
      </c>
      <c r="G23" s="537"/>
      <c r="H23" s="537"/>
      <c r="I23" s="534">
        <f t="shared" si="3"/>
        <v>0</v>
      </c>
      <c r="J23" s="537"/>
      <c r="K23" s="537"/>
      <c r="L23" s="534">
        <f t="shared" si="4"/>
        <v>0</v>
      </c>
      <c r="M23" s="537">
        <f t="shared" si="0"/>
        <v>0</v>
      </c>
      <c r="N23" s="537">
        <f t="shared" si="1"/>
        <v>0</v>
      </c>
      <c r="O23" s="479"/>
      <c r="P23" s="479"/>
      <c r="Q23" s="479"/>
    </row>
    <row r="24" spans="1:17" s="502" customFormat="1" ht="20.25" hidden="1">
      <c r="A24" s="498" t="s">
        <v>4</v>
      </c>
      <c r="B24" s="499" t="s">
        <v>278</v>
      </c>
      <c r="C24" s="494">
        <f t="shared" si="5"/>
        <v>0</v>
      </c>
      <c r="D24" s="500"/>
      <c r="E24" s="500"/>
      <c r="F24" s="534">
        <f t="shared" si="2"/>
        <v>4882</v>
      </c>
      <c r="G24" s="538"/>
      <c r="H24" s="538">
        <v>4882</v>
      </c>
      <c r="I24" s="534">
        <f t="shared" si="3"/>
        <v>0</v>
      </c>
      <c r="J24" s="538"/>
      <c r="K24" s="538"/>
      <c r="L24" s="534">
        <f t="shared" si="4"/>
        <v>-4882</v>
      </c>
      <c r="M24" s="538">
        <f t="shared" si="0"/>
        <v>0</v>
      </c>
      <c r="N24" s="538">
        <f t="shared" si="1"/>
        <v>-4882</v>
      </c>
      <c r="O24" s="479"/>
      <c r="P24" s="479"/>
      <c r="Q24" s="479"/>
    </row>
    <row r="25" spans="1:17" s="502" customFormat="1" ht="20.25" hidden="1">
      <c r="A25" s="498" t="s">
        <v>35</v>
      </c>
      <c r="B25" s="499" t="s">
        <v>279</v>
      </c>
      <c r="C25" s="494">
        <f t="shared" si="5"/>
        <v>0</v>
      </c>
      <c r="D25" s="500"/>
      <c r="E25" s="500"/>
      <c r="F25" s="534">
        <f t="shared" si="2"/>
        <v>12700</v>
      </c>
      <c r="G25" s="537"/>
      <c r="H25" s="537">
        <v>12700</v>
      </c>
      <c r="I25" s="534">
        <f t="shared" si="3"/>
        <v>0</v>
      </c>
      <c r="J25" s="537"/>
      <c r="K25" s="537"/>
      <c r="L25" s="534">
        <f t="shared" si="4"/>
        <v>-12700</v>
      </c>
      <c r="M25" s="537">
        <f t="shared" si="0"/>
        <v>0</v>
      </c>
      <c r="N25" s="537">
        <f t="shared" si="1"/>
        <v>-12700</v>
      </c>
      <c r="O25" s="479"/>
      <c r="P25" s="479"/>
      <c r="Q25" s="479"/>
    </row>
    <row r="26" spans="1:17" s="502" customFormat="1" ht="20.25" hidden="1">
      <c r="A26" s="498" t="s">
        <v>140</v>
      </c>
      <c r="B26" s="499" t="s">
        <v>327</v>
      </c>
      <c r="C26" s="494">
        <f t="shared" si="5"/>
        <v>0</v>
      </c>
      <c r="D26" s="500"/>
      <c r="E26" s="500"/>
      <c r="F26" s="534">
        <f t="shared" si="2"/>
        <v>0</v>
      </c>
      <c r="G26" s="538"/>
      <c r="H26" s="538"/>
      <c r="I26" s="534">
        <f t="shared" si="3"/>
        <v>0</v>
      </c>
      <c r="J26" s="538"/>
      <c r="K26" s="538"/>
      <c r="L26" s="534">
        <f t="shared" si="4"/>
        <v>0</v>
      </c>
      <c r="M26" s="538">
        <f t="shared" si="0"/>
        <v>0</v>
      </c>
      <c r="N26" s="538">
        <f t="shared" si="1"/>
        <v>0</v>
      </c>
      <c r="O26" s="479"/>
      <c r="P26" s="479"/>
      <c r="Q26" s="479"/>
    </row>
    <row r="27" spans="1:17" s="502" customFormat="1" ht="21" hidden="1" customHeight="1">
      <c r="A27" s="498" t="s">
        <v>141</v>
      </c>
      <c r="B27" s="503" t="s">
        <v>328</v>
      </c>
      <c r="C27" s="494">
        <f t="shared" si="5"/>
        <v>0</v>
      </c>
      <c r="D27" s="500"/>
      <c r="E27" s="500"/>
      <c r="F27" s="534">
        <f t="shared" si="2"/>
        <v>0</v>
      </c>
      <c r="G27" s="538"/>
      <c r="H27" s="538"/>
      <c r="I27" s="534">
        <f t="shared" si="3"/>
        <v>0</v>
      </c>
      <c r="J27" s="538"/>
      <c r="K27" s="538"/>
      <c r="L27" s="534">
        <f t="shared" si="4"/>
        <v>0</v>
      </c>
      <c r="M27" s="538">
        <f t="shared" si="0"/>
        <v>0</v>
      </c>
      <c r="N27" s="538">
        <f t="shared" si="1"/>
        <v>0</v>
      </c>
      <c r="O27" s="479"/>
      <c r="P27" s="479"/>
      <c r="Q27" s="479"/>
    </row>
    <row r="28" spans="1:17" s="502" customFormat="1" ht="21" hidden="1" customHeight="1">
      <c r="A28" s="498" t="s">
        <v>145</v>
      </c>
      <c r="B28" s="504" t="s">
        <v>329</v>
      </c>
      <c r="C28" s="494">
        <f t="shared" si="5"/>
        <v>0</v>
      </c>
      <c r="D28" s="500"/>
      <c r="E28" s="500"/>
      <c r="F28" s="534">
        <f t="shared" si="2"/>
        <v>0</v>
      </c>
      <c r="G28" s="538"/>
      <c r="H28" s="538"/>
      <c r="I28" s="534">
        <f t="shared" si="3"/>
        <v>0</v>
      </c>
      <c r="J28" s="538"/>
      <c r="K28" s="538"/>
      <c r="L28" s="534">
        <f t="shared" si="4"/>
        <v>0</v>
      </c>
      <c r="M28" s="538">
        <f t="shared" si="0"/>
        <v>0</v>
      </c>
      <c r="N28" s="538">
        <f t="shared" si="1"/>
        <v>0</v>
      </c>
      <c r="O28" s="479"/>
      <c r="P28" s="479"/>
      <c r="Q28" s="479"/>
    </row>
    <row r="29" spans="1:17" s="502" customFormat="1" ht="21" hidden="1" customHeight="1">
      <c r="A29" s="498" t="s">
        <v>146</v>
      </c>
      <c r="B29" s="504" t="s">
        <v>330</v>
      </c>
      <c r="C29" s="494"/>
      <c r="D29" s="500"/>
      <c r="E29" s="500"/>
      <c r="F29" s="534">
        <f t="shared" si="2"/>
        <v>5078</v>
      </c>
      <c r="G29" s="538"/>
      <c r="H29" s="538">
        <v>5078</v>
      </c>
      <c r="I29" s="534">
        <f t="shared" si="3"/>
        <v>0</v>
      </c>
      <c r="J29" s="538"/>
      <c r="K29" s="538"/>
      <c r="L29" s="534">
        <f t="shared" si="4"/>
        <v>-5078</v>
      </c>
      <c r="M29" s="538">
        <f t="shared" si="0"/>
        <v>0</v>
      </c>
      <c r="N29" s="538">
        <f t="shared" si="1"/>
        <v>-5078</v>
      </c>
      <c r="O29" s="479"/>
      <c r="P29" s="479"/>
      <c r="Q29" s="479"/>
    </row>
    <row r="30" spans="1:17" s="700" customFormat="1" ht="18.75" customHeight="1">
      <c r="A30" s="505" t="s">
        <v>31</v>
      </c>
      <c r="B30" s="506" t="s">
        <v>39</v>
      </c>
      <c r="C30" s="494">
        <f t="shared" si="5"/>
        <v>0</v>
      </c>
      <c r="D30" s="494"/>
      <c r="E30" s="494"/>
      <c r="F30" s="534" t="e">
        <f t="shared" si="2"/>
        <v>#REF!</v>
      </c>
      <c r="G30" s="534" t="e">
        <f>SUM(G31:G34)</f>
        <v>#REF!</v>
      </c>
      <c r="H30" s="534" t="e">
        <f>SUM(H31:H34)</f>
        <v>#REF!</v>
      </c>
      <c r="I30" s="534" t="e">
        <f t="shared" si="3"/>
        <v>#REF!</v>
      </c>
      <c r="J30" s="534" t="e">
        <f>SUM(J31:J34)</f>
        <v>#REF!</v>
      </c>
      <c r="K30" s="534" t="e">
        <f>SUM(K31:K34)</f>
        <v>#REF!</v>
      </c>
      <c r="L30" s="534" t="e">
        <f t="shared" si="4"/>
        <v>#REF!</v>
      </c>
      <c r="M30" s="534" t="e">
        <f t="shared" si="0"/>
        <v>#REF!</v>
      </c>
      <c r="N30" s="534" t="e">
        <f t="shared" si="1"/>
        <v>#REF!</v>
      </c>
      <c r="O30" s="479"/>
      <c r="P30" s="479"/>
      <c r="Q30" s="479"/>
    </row>
    <row r="31" spans="1:17" s="497" customFormat="1" ht="20.25" hidden="1">
      <c r="A31" s="507"/>
      <c r="B31" s="506" t="s">
        <v>12</v>
      </c>
      <c r="C31" s="494"/>
      <c r="D31" s="510"/>
      <c r="E31" s="510"/>
      <c r="F31" s="534">
        <f t="shared" si="2"/>
        <v>0</v>
      </c>
      <c r="G31" s="699"/>
      <c r="H31" s="699"/>
      <c r="I31" s="534">
        <f t="shared" si="3"/>
        <v>0</v>
      </c>
      <c r="J31" s="539"/>
      <c r="K31" s="539"/>
      <c r="L31" s="534">
        <f t="shared" si="4"/>
        <v>0</v>
      </c>
      <c r="M31" s="539">
        <f t="shared" si="0"/>
        <v>0</v>
      </c>
      <c r="N31" s="539">
        <f t="shared" si="1"/>
        <v>0</v>
      </c>
      <c r="O31" s="479"/>
      <c r="P31" s="479"/>
      <c r="Q31" s="479"/>
    </row>
    <row r="32" spans="1:17" s="497" customFormat="1" ht="27.75" customHeight="1">
      <c r="A32" s="507" t="s">
        <v>140</v>
      </c>
      <c r="B32" s="508" t="s">
        <v>280</v>
      </c>
      <c r="C32" s="494">
        <f t="shared" si="5"/>
        <v>0</v>
      </c>
      <c r="D32" s="509"/>
      <c r="E32" s="509"/>
      <c r="F32" s="534" t="e">
        <f t="shared" si="2"/>
        <v>#REF!</v>
      </c>
      <c r="G32" s="540" t="e">
        <f>#REF!</f>
        <v>#REF!</v>
      </c>
      <c r="H32" s="540" t="e">
        <f>#REF!</f>
        <v>#REF!</v>
      </c>
      <c r="I32" s="534" t="e">
        <f t="shared" si="3"/>
        <v>#REF!</v>
      </c>
      <c r="J32" s="540" t="e">
        <f>#REF!</f>
        <v>#REF!</v>
      </c>
      <c r="K32" s="540" t="e">
        <f>#REF!</f>
        <v>#REF!</v>
      </c>
      <c r="L32" s="534" t="e">
        <f t="shared" si="4"/>
        <v>#REF!</v>
      </c>
      <c r="M32" s="540" t="e">
        <f t="shared" si="0"/>
        <v>#REF!</v>
      </c>
      <c r="N32" s="540" t="e">
        <f t="shared" si="1"/>
        <v>#REF!</v>
      </c>
      <c r="O32" s="479"/>
      <c r="P32" s="479"/>
      <c r="Q32" s="479"/>
    </row>
    <row r="33" spans="1:17" s="497" customFormat="1" ht="20.25" hidden="1">
      <c r="A33" s="505"/>
      <c r="B33" s="506" t="s">
        <v>281</v>
      </c>
      <c r="C33" s="494"/>
      <c r="D33" s="494"/>
      <c r="E33" s="494"/>
      <c r="F33" s="534">
        <f t="shared" si="2"/>
        <v>0</v>
      </c>
      <c r="G33" s="698"/>
      <c r="H33" s="698"/>
      <c r="I33" s="534">
        <f t="shared" si="3"/>
        <v>0</v>
      </c>
      <c r="J33" s="534"/>
      <c r="K33" s="534"/>
      <c r="L33" s="534">
        <f t="shared" si="4"/>
        <v>0</v>
      </c>
      <c r="M33" s="534">
        <f t="shared" si="0"/>
        <v>0</v>
      </c>
      <c r="N33" s="534">
        <f t="shared" si="1"/>
        <v>0</v>
      </c>
      <c r="O33" s="479"/>
      <c r="P33" s="479"/>
      <c r="Q33" s="479"/>
    </row>
    <row r="34" spans="1:17" s="497" customFormat="1" ht="27" customHeight="1">
      <c r="A34" s="507" t="s">
        <v>141</v>
      </c>
      <c r="B34" s="508" t="s">
        <v>331</v>
      </c>
      <c r="C34" s="494">
        <f t="shared" si="5"/>
        <v>0</v>
      </c>
      <c r="D34" s="509"/>
      <c r="E34" s="509"/>
      <c r="F34" s="534" t="e">
        <f t="shared" si="2"/>
        <v>#REF!</v>
      </c>
      <c r="G34" s="540" t="e">
        <f>#REF!</f>
        <v>#REF!</v>
      </c>
      <c r="H34" s="540" t="e">
        <f>#REF!</f>
        <v>#REF!</v>
      </c>
      <c r="I34" s="534" t="e">
        <f t="shared" si="3"/>
        <v>#REF!</v>
      </c>
      <c r="J34" s="540" t="e">
        <f>#REF!</f>
        <v>#REF!</v>
      </c>
      <c r="K34" s="540" t="e">
        <f>#REF!</f>
        <v>#REF!</v>
      </c>
      <c r="L34" s="534" t="e">
        <f t="shared" si="4"/>
        <v>#REF!</v>
      </c>
      <c r="M34" s="540" t="e">
        <f t="shared" si="0"/>
        <v>#REF!</v>
      </c>
      <c r="N34" s="540" t="e">
        <f t="shared" si="1"/>
        <v>#REF!</v>
      </c>
      <c r="O34" s="479"/>
      <c r="P34" s="479"/>
      <c r="Q34" s="479"/>
    </row>
    <row r="35" spans="1:17" s="497" customFormat="1" ht="20.25" hidden="1">
      <c r="A35" s="507" t="s">
        <v>332</v>
      </c>
      <c r="B35" s="506" t="s">
        <v>333</v>
      </c>
      <c r="C35" s="494"/>
      <c r="D35" s="510"/>
      <c r="E35" s="510"/>
      <c r="F35" s="534">
        <f t="shared" si="2"/>
        <v>0</v>
      </c>
      <c r="G35" s="539"/>
      <c r="H35" s="539"/>
      <c r="I35" s="534">
        <f t="shared" si="3"/>
        <v>0</v>
      </c>
      <c r="J35" s="539"/>
      <c r="K35" s="539"/>
      <c r="L35" s="534">
        <f t="shared" si="4"/>
        <v>0</v>
      </c>
      <c r="M35" s="539">
        <f t="shared" si="0"/>
        <v>0</v>
      </c>
      <c r="N35" s="539">
        <f t="shared" si="1"/>
        <v>0</v>
      </c>
      <c r="O35" s="479"/>
      <c r="P35" s="479"/>
      <c r="Q35" s="479"/>
    </row>
    <row r="36" spans="1:17" s="485" customFormat="1" ht="20.25">
      <c r="A36" s="486" t="s">
        <v>2</v>
      </c>
      <c r="B36" s="487" t="s">
        <v>221</v>
      </c>
      <c r="C36" s="488">
        <f t="shared" si="5"/>
        <v>0</v>
      </c>
      <c r="D36" s="488"/>
      <c r="E36" s="488"/>
      <c r="F36" s="531" t="e">
        <f t="shared" si="2"/>
        <v>#REF!</v>
      </c>
      <c r="G36" s="532" t="e">
        <f>G37+G41</f>
        <v>#REF!</v>
      </c>
      <c r="H36" s="532" t="e">
        <f>H37+H41</f>
        <v>#REF!</v>
      </c>
      <c r="I36" s="531" t="e">
        <f t="shared" si="3"/>
        <v>#REF!</v>
      </c>
      <c r="J36" s="532" t="e">
        <f>J37+J41</f>
        <v>#REF!</v>
      </c>
      <c r="K36" s="532" t="e">
        <f>K37+K41</f>
        <v>#REF!</v>
      </c>
      <c r="L36" s="531" t="e">
        <f t="shared" si="4"/>
        <v>#REF!</v>
      </c>
      <c r="M36" s="532" t="e">
        <f t="shared" si="0"/>
        <v>#REF!</v>
      </c>
      <c r="N36" s="532" t="e">
        <f t="shared" si="1"/>
        <v>#REF!</v>
      </c>
      <c r="O36" s="479"/>
      <c r="P36" s="479"/>
      <c r="Q36" s="479"/>
    </row>
    <row r="37" spans="1:17" ht="19.5" hidden="1" customHeight="1">
      <c r="A37" s="489" t="s">
        <v>37</v>
      </c>
      <c r="B37" s="490" t="s">
        <v>41</v>
      </c>
      <c r="C37" s="491">
        <f t="shared" si="5"/>
        <v>0</v>
      </c>
      <c r="D37" s="491">
        <f>D38+D39+D40</f>
        <v>0</v>
      </c>
      <c r="E37" s="491">
        <f>E38+E39+E40</f>
        <v>0</v>
      </c>
      <c r="F37" s="533" t="e">
        <f t="shared" si="2"/>
        <v>#REF!</v>
      </c>
      <c r="G37" s="533" t="e">
        <f>SUM(G38:G40)</f>
        <v>#REF!</v>
      </c>
      <c r="H37" s="533" t="e">
        <f>SUM(H38:H40)</f>
        <v>#REF!</v>
      </c>
      <c r="I37" s="533" t="e">
        <f t="shared" si="3"/>
        <v>#REF!</v>
      </c>
      <c r="J37" s="533" t="e">
        <f>SUM(J38:J40)</f>
        <v>#REF!</v>
      </c>
      <c r="K37" s="533" t="e">
        <f>SUM(K38:K40)</f>
        <v>#REF!</v>
      </c>
      <c r="L37" s="533" t="e">
        <f t="shared" si="4"/>
        <v>#REF!</v>
      </c>
      <c r="M37" s="533" t="e">
        <f t="shared" si="0"/>
        <v>#REF!</v>
      </c>
      <c r="N37" s="533" t="e">
        <f t="shared" si="1"/>
        <v>#REF!</v>
      </c>
      <c r="O37" s="479"/>
      <c r="P37" s="479"/>
      <c r="Q37" s="479"/>
    </row>
    <row r="38" spans="1:17" s="497" customFormat="1" ht="22.5" customHeight="1">
      <c r="A38" s="492" t="s">
        <v>145</v>
      </c>
      <c r="B38" s="493" t="s">
        <v>334</v>
      </c>
      <c r="C38" s="494">
        <f t="shared" si="5"/>
        <v>0</v>
      </c>
      <c r="D38" s="494"/>
      <c r="E38" s="494"/>
      <c r="F38" s="534" t="e">
        <f t="shared" si="2"/>
        <v>#REF!</v>
      </c>
      <c r="G38" s="698" t="e">
        <f>#REF!</f>
        <v>#REF!</v>
      </c>
      <c r="H38" s="698" t="e">
        <f>#REF!</f>
        <v>#REF!</v>
      </c>
      <c r="I38" s="534" t="e">
        <f t="shared" si="3"/>
        <v>#REF!</v>
      </c>
      <c r="J38" s="698" t="e">
        <f>#REF!</f>
        <v>#REF!</v>
      </c>
      <c r="K38" s="698" t="e">
        <f>#REF!</f>
        <v>#REF!</v>
      </c>
      <c r="L38" s="534" t="e">
        <f t="shared" si="4"/>
        <v>#REF!</v>
      </c>
      <c r="M38" s="534" t="e">
        <f t="shared" si="0"/>
        <v>#REF!</v>
      </c>
      <c r="N38" s="534" t="e">
        <f t="shared" si="1"/>
        <v>#REF!</v>
      </c>
      <c r="O38" s="479"/>
      <c r="P38" s="479"/>
      <c r="Q38" s="479"/>
    </row>
    <row r="39" spans="1:17" s="497" customFormat="1" ht="20.25">
      <c r="A39" s="492" t="s">
        <v>146</v>
      </c>
      <c r="B39" s="493" t="s">
        <v>323</v>
      </c>
      <c r="C39" s="494">
        <f t="shared" si="5"/>
        <v>0</v>
      </c>
      <c r="D39" s="494"/>
      <c r="E39" s="494"/>
      <c r="F39" s="534" t="e">
        <f t="shared" si="2"/>
        <v>#REF!</v>
      </c>
      <c r="G39" s="698" t="e">
        <f>#REF!</f>
        <v>#REF!</v>
      </c>
      <c r="H39" s="698" t="e">
        <f>#REF!</f>
        <v>#REF!</v>
      </c>
      <c r="I39" s="534" t="e">
        <f t="shared" si="3"/>
        <v>#REF!</v>
      </c>
      <c r="J39" s="698" t="e">
        <f>#REF!</f>
        <v>#REF!</v>
      </c>
      <c r="K39" s="698" t="e">
        <f>#REF!</f>
        <v>#REF!</v>
      </c>
      <c r="L39" s="534" t="e">
        <f t="shared" si="4"/>
        <v>#REF!</v>
      </c>
      <c r="M39" s="534" t="e">
        <f t="shared" si="0"/>
        <v>#REF!</v>
      </c>
      <c r="N39" s="534" t="e">
        <f t="shared" si="1"/>
        <v>#REF!</v>
      </c>
      <c r="O39" s="479"/>
      <c r="P39" s="479"/>
      <c r="Q39" s="479"/>
    </row>
    <row r="40" spans="1:17" s="497" customFormat="1" ht="20.25">
      <c r="A40" s="492" t="s">
        <v>147</v>
      </c>
      <c r="B40" s="493" t="s">
        <v>335</v>
      </c>
      <c r="C40" s="494">
        <f t="shared" si="5"/>
        <v>0</v>
      </c>
      <c r="D40" s="494"/>
      <c r="E40" s="494"/>
      <c r="F40" s="534" t="e">
        <f t="shared" si="2"/>
        <v>#REF!</v>
      </c>
      <c r="G40" s="698" t="e">
        <f>#REF!</f>
        <v>#REF!</v>
      </c>
      <c r="H40" s="698" t="e">
        <f>#REF!</f>
        <v>#REF!</v>
      </c>
      <c r="I40" s="534" t="e">
        <f t="shared" si="3"/>
        <v>#REF!</v>
      </c>
      <c r="J40" s="698" t="e">
        <f>#REF!</f>
        <v>#REF!</v>
      </c>
      <c r="K40" s="698" t="e">
        <f>#REF!</f>
        <v>#REF!</v>
      </c>
      <c r="L40" s="534" t="e">
        <f t="shared" si="4"/>
        <v>#REF!</v>
      </c>
      <c r="M40" s="534" t="e">
        <f t="shared" si="0"/>
        <v>#REF!</v>
      </c>
      <c r="N40" s="534" t="e">
        <f t="shared" si="1"/>
        <v>#REF!</v>
      </c>
      <c r="O40" s="479"/>
      <c r="P40" s="479"/>
      <c r="Q40" s="479"/>
    </row>
    <row r="41" spans="1:17" s="497" customFormat="1" ht="37.5" hidden="1">
      <c r="A41" s="505" t="s">
        <v>38</v>
      </c>
      <c r="B41" s="506" t="s">
        <v>39</v>
      </c>
      <c r="C41" s="494">
        <f t="shared" si="5"/>
        <v>0</v>
      </c>
      <c r="D41" s="494"/>
      <c r="E41" s="494"/>
      <c r="F41" s="534" t="e">
        <f t="shared" si="2"/>
        <v>#REF!</v>
      </c>
      <c r="G41" s="698" t="e">
        <f>SUM(G42,G65:G68)</f>
        <v>#REF!</v>
      </c>
      <c r="H41" s="698" t="e">
        <f>SUM(H42,H65:H68)</f>
        <v>#REF!</v>
      </c>
      <c r="I41" s="534" t="e">
        <f t="shared" si="3"/>
        <v>#REF!</v>
      </c>
      <c r="J41" s="698" t="e">
        <f>SUM(J42,J65:J68)</f>
        <v>#REF!</v>
      </c>
      <c r="K41" s="698" t="e">
        <f>SUM(K42,K65:K68)</f>
        <v>#REF!</v>
      </c>
      <c r="L41" s="534" t="e">
        <f t="shared" si="4"/>
        <v>#REF!</v>
      </c>
      <c r="M41" s="534" t="e">
        <f t="shared" si="0"/>
        <v>#REF!</v>
      </c>
      <c r="N41" s="534" t="e">
        <f t="shared" si="1"/>
        <v>#REF!</v>
      </c>
      <c r="O41" s="479"/>
      <c r="P41" s="479"/>
      <c r="Q41" s="479"/>
    </row>
    <row r="42" spans="1:17" s="497" customFormat="1" ht="20.25">
      <c r="A42" s="492" t="s">
        <v>148</v>
      </c>
      <c r="B42" s="516" t="s">
        <v>336</v>
      </c>
      <c r="C42" s="494">
        <f t="shared" si="5"/>
        <v>0</v>
      </c>
      <c r="D42" s="517"/>
      <c r="E42" s="517"/>
      <c r="F42" s="534" t="e">
        <f t="shared" si="2"/>
        <v>#REF!</v>
      </c>
      <c r="G42" s="701" t="e">
        <f>SUM(#REF!)</f>
        <v>#REF!</v>
      </c>
      <c r="H42" s="701" t="e">
        <f>SUM(#REF!)</f>
        <v>#REF!</v>
      </c>
      <c r="I42" s="534" t="e">
        <f t="shared" si="3"/>
        <v>#REF!</v>
      </c>
      <c r="J42" s="701" t="e">
        <f>SUM(#REF!)</f>
        <v>#REF!</v>
      </c>
      <c r="K42" s="701" t="e">
        <f>SUM(#REF!)</f>
        <v>#REF!</v>
      </c>
      <c r="L42" s="534" t="e">
        <f t="shared" si="4"/>
        <v>#REF!</v>
      </c>
      <c r="M42" s="541" t="e">
        <f t="shared" si="0"/>
        <v>#REF!</v>
      </c>
      <c r="N42" s="541" t="e">
        <f t="shared" si="1"/>
        <v>#REF!</v>
      </c>
      <c r="O42" s="479"/>
      <c r="P42" s="479"/>
      <c r="Q42" s="479"/>
    </row>
    <row r="43" spans="1:17" s="515" customFormat="1" ht="37.5" hidden="1">
      <c r="A43" s="498" t="s">
        <v>50</v>
      </c>
      <c r="B43" s="518" t="s">
        <v>285</v>
      </c>
      <c r="C43" s="513">
        <f t="shared" si="5"/>
        <v>0</v>
      </c>
      <c r="D43" s="519"/>
      <c r="E43" s="519"/>
      <c r="F43" s="542">
        <f t="shared" si="2"/>
        <v>17250</v>
      </c>
      <c r="G43" s="543"/>
      <c r="H43" s="543">
        <v>17250</v>
      </c>
      <c r="I43" s="542">
        <f t="shared" si="3"/>
        <v>0</v>
      </c>
      <c r="J43" s="543"/>
      <c r="K43" s="543"/>
      <c r="L43" s="542">
        <f t="shared" si="4"/>
        <v>-17250</v>
      </c>
      <c r="M43" s="543">
        <f t="shared" si="0"/>
        <v>0</v>
      </c>
      <c r="N43" s="543">
        <f t="shared" si="1"/>
        <v>-17250</v>
      </c>
      <c r="O43" s="479"/>
      <c r="P43" s="479"/>
      <c r="Q43" s="479"/>
    </row>
    <row r="44" spans="1:17" s="515" customFormat="1" ht="56.25" hidden="1">
      <c r="A44" s="511" t="s">
        <v>4</v>
      </c>
      <c r="B44" s="518" t="s">
        <v>286</v>
      </c>
      <c r="C44" s="513">
        <f t="shared" si="5"/>
        <v>0</v>
      </c>
      <c r="D44" s="519"/>
      <c r="E44" s="519"/>
      <c r="F44" s="542">
        <f t="shared" si="2"/>
        <v>5300</v>
      </c>
      <c r="G44" s="543"/>
      <c r="H44" s="543">
        <v>5300</v>
      </c>
      <c r="I44" s="542">
        <f t="shared" si="3"/>
        <v>0</v>
      </c>
      <c r="J44" s="543"/>
      <c r="K44" s="543"/>
      <c r="L44" s="542">
        <f t="shared" si="4"/>
        <v>-5300</v>
      </c>
      <c r="M44" s="543">
        <f t="shared" si="0"/>
        <v>0</v>
      </c>
      <c r="N44" s="543">
        <f t="shared" si="1"/>
        <v>-5300</v>
      </c>
      <c r="O44" s="479"/>
      <c r="P44" s="479"/>
      <c r="Q44" s="479"/>
    </row>
    <row r="45" spans="1:17" s="515" customFormat="1" ht="66.75" hidden="1" customHeight="1">
      <c r="A45" s="511" t="s">
        <v>35</v>
      </c>
      <c r="B45" s="512" t="s">
        <v>287</v>
      </c>
      <c r="C45" s="513">
        <f t="shared" si="5"/>
        <v>0</v>
      </c>
      <c r="D45" s="514"/>
      <c r="E45" s="514"/>
      <c r="F45" s="542">
        <f t="shared" si="2"/>
        <v>5700</v>
      </c>
      <c r="G45" s="544"/>
      <c r="H45" s="544">
        <v>5700</v>
      </c>
      <c r="I45" s="542">
        <f t="shared" si="3"/>
        <v>0</v>
      </c>
      <c r="J45" s="544"/>
      <c r="K45" s="544"/>
      <c r="L45" s="542">
        <f t="shared" si="4"/>
        <v>-5700</v>
      </c>
      <c r="M45" s="544">
        <f t="shared" si="0"/>
        <v>0</v>
      </c>
      <c r="N45" s="544">
        <f t="shared" si="1"/>
        <v>-5700</v>
      </c>
      <c r="O45" s="479"/>
      <c r="P45" s="479"/>
      <c r="Q45" s="479"/>
    </row>
    <row r="46" spans="1:17" s="515" customFormat="1" ht="66.75" hidden="1" customHeight="1">
      <c r="A46" s="511" t="s">
        <v>140</v>
      </c>
      <c r="B46" s="512" t="s">
        <v>288</v>
      </c>
      <c r="C46" s="513">
        <f t="shared" si="5"/>
        <v>0</v>
      </c>
      <c r="D46" s="514"/>
      <c r="E46" s="514"/>
      <c r="F46" s="542">
        <f t="shared" si="2"/>
        <v>8457</v>
      </c>
      <c r="G46" s="544"/>
      <c r="H46" s="544">
        <v>8457</v>
      </c>
      <c r="I46" s="542">
        <f t="shared" si="3"/>
        <v>0</v>
      </c>
      <c r="J46" s="544"/>
      <c r="K46" s="544"/>
      <c r="L46" s="542">
        <f t="shared" si="4"/>
        <v>-8457</v>
      </c>
      <c r="M46" s="544">
        <f t="shared" si="0"/>
        <v>0</v>
      </c>
      <c r="N46" s="544">
        <f t="shared" si="1"/>
        <v>-8457</v>
      </c>
      <c r="O46" s="479"/>
      <c r="P46" s="479"/>
      <c r="Q46" s="479"/>
    </row>
    <row r="47" spans="1:17" s="515" customFormat="1" ht="66.75" hidden="1" customHeight="1">
      <c r="A47" s="511" t="s">
        <v>141</v>
      </c>
      <c r="B47" s="512" t="s">
        <v>289</v>
      </c>
      <c r="C47" s="513">
        <f t="shared" si="5"/>
        <v>0</v>
      </c>
      <c r="D47" s="514"/>
      <c r="E47" s="514"/>
      <c r="F47" s="542">
        <f t="shared" si="2"/>
        <v>9650</v>
      </c>
      <c r="G47" s="544"/>
      <c r="H47" s="544">
        <v>9650</v>
      </c>
      <c r="I47" s="542">
        <f t="shared" si="3"/>
        <v>0</v>
      </c>
      <c r="J47" s="544"/>
      <c r="K47" s="544"/>
      <c r="L47" s="542">
        <f t="shared" si="4"/>
        <v>-9650</v>
      </c>
      <c r="M47" s="544">
        <f t="shared" ref="M47:M80" si="6">J47-G47</f>
        <v>0</v>
      </c>
      <c r="N47" s="544">
        <f t="shared" ref="N47:N80" si="7">K47-H47</f>
        <v>-9650</v>
      </c>
      <c r="O47" s="479"/>
      <c r="P47" s="479"/>
      <c r="Q47" s="479"/>
    </row>
    <row r="48" spans="1:17" s="515" customFormat="1" ht="57" hidden="1" customHeight="1">
      <c r="A48" s="511" t="s">
        <v>145</v>
      </c>
      <c r="B48" s="512" t="s">
        <v>290</v>
      </c>
      <c r="C48" s="513">
        <f t="shared" si="5"/>
        <v>0</v>
      </c>
      <c r="D48" s="514"/>
      <c r="E48" s="514"/>
      <c r="F48" s="542">
        <f t="shared" si="2"/>
        <v>7300</v>
      </c>
      <c r="G48" s="544"/>
      <c r="H48" s="544">
        <v>7300</v>
      </c>
      <c r="I48" s="542">
        <f t="shared" si="3"/>
        <v>0</v>
      </c>
      <c r="J48" s="544"/>
      <c r="K48" s="544"/>
      <c r="L48" s="542">
        <f t="shared" si="4"/>
        <v>-7300</v>
      </c>
      <c r="M48" s="544">
        <f t="shared" si="6"/>
        <v>0</v>
      </c>
      <c r="N48" s="544">
        <f t="shared" si="7"/>
        <v>-7300</v>
      </c>
      <c r="O48" s="479"/>
      <c r="P48" s="479"/>
      <c r="Q48" s="479"/>
    </row>
    <row r="49" spans="1:17" s="515" customFormat="1" ht="66.75" hidden="1" customHeight="1">
      <c r="A49" s="511" t="s">
        <v>146</v>
      </c>
      <c r="B49" s="512" t="s">
        <v>291</v>
      </c>
      <c r="C49" s="513">
        <f t="shared" si="5"/>
        <v>0</v>
      </c>
      <c r="D49" s="514"/>
      <c r="E49" s="514"/>
      <c r="F49" s="542">
        <f t="shared" si="2"/>
        <v>8800</v>
      </c>
      <c r="G49" s="544"/>
      <c r="H49" s="544">
        <v>8800</v>
      </c>
      <c r="I49" s="542">
        <f t="shared" si="3"/>
        <v>0</v>
      </c>
      <c r="J49" s="544"/>
      <c r="K49" s="544"/>
      <c r="L49" s="542">
        <f t="shared" si="4"/>
        <v>-8800</v>
      </c>
      <c r="M49" s="544">
        <f t="shared" si="6"/>
        <v>0</v>
      </c>
      <c r="N49" s="544">
        <f t="shared" si="7"/>
        <v>-8800</v>
      </c>
      <c r="O49" s="479"/>
      <c r="P49" s="479"/>
      <c r="Q49" s="479"/>
    </row>
    <row r="50" spans="1:17" s="515" customFormat="1" ht="66.75" hidden="1" customHeight="1">
      <c r="A50" s="511" t="s">
        <v>147</v>
      </c>
      <c r="B50" s="512" t="s">
        <v>292</v>
      </c>
      <c r="C50" s="513">
        <f t="shared" si="5"/>
        <v>0</v>
      </c>
      <c r="D50" s="514"/>
      <c r="E50" s="514"/>
      <c r="F50" s="542">
        <f t="shared" si="2"/>
        <v>6600</v>
      </c>
      <c r="G50" s="544"/>
      <c r="H50" s="544">
        <v>6600</v>
      </c>
      <c r="I50" s="542">
        <f t="shared" si="3"/>
        <v>0</v>
      </c>
      <c r="J50" s="544"/>
      <c r="K50" s="544"/>
      <c r="L50" s="542">
        <f t="shared" si="4"/>
        <v>-6600</v>
      </c>
      <c r="M50" s="544">
        <f t="shared" si="6"/>
        <v>0</v>
      </c>
      <c r="N50" s="544">
        <f t="shared" si="7"/>
        <v>-6600</v>
      </c>
      <c r="O50" s="479"/>
      <c r="P50" s="479"/>
      <c r="Q50" s="479"/>
    </row>
    <row r="51" spans="1:17" s="515" customFormat="1" ht="53.25" hidden="1" customHeight="1">
      <c r="A51" s="511" t="s">
        <v>148</v>
      </c>
      <c r="B51" s="518" t="s">
        <v>293</v>
      </c>
      <c r="C51" s="513">
        <f t="shared" si="5"/>
        <v>0</v>
      </c>
      <c r="D51" s="519"/>
      <c r="E51" s="519"/>
      <c r="F51" s="542">
        <f t="shared" si="2"/>
        <v>35972</v>
      </c>
      <c r="G51" s="543"/>
      <c r="H51" s="543">
        <v>35972</v>
      </c>
      <c r="I51" s="542">
        <f t="shared" si="3"/>
        <v>0</v>
      </c>
      <c r="J51" s="543"/>
      <c r="K51" s="543"/>
      <c r="L51" s="542">
        <f t="shared" si="4"/>
        <v>-35972</v>
      </c>
      <c r="M51" s="543">
        <f t="shared" si="6"/>
        <v>0</v>
      </c>
      <c r="N51" s="543">
        <f t="shared" si="7"/>
        <v>-35972</v>
      </c>
      <c r="O51" s="479"/>
      <c r="P51" s="479"/>
      <c r="Q51" s="479"/>
    </row>
    <row r="52" spans="1:17" s="515" customFormat="1" ht="59.25" hidden="1" customHeight="1">
      <c r="A52" s="511" t="s">
        <v>175</v>
      </c>
      <c r="B52" s="518" t="s">
        <v>294</v>
      </c>
      <c r="C52" s="513">
        <f t="shared" si="5"/>
        <v>0</v>
      </c>
      <c r="D52" s="519"/>
      <c r="E52" s="519"/>
      <c r="F52" s="542">
        <f t="shared" si="2"/>
        <v>4727</v>
      </c>
      <c r="G52" s="543"/>
      <c r="H52" s="543">
        <v>4727</v>
      </c>
      <c r="I52" s="542">
        <f t="shared" si="3"/>
        <v>0</v>
      </c>
      <c r="J52" s="543"/>
      <c r="K52" s="543"/>
      <c r="L52" s="542">
        <f t="shared" si="4"/>
        <v>-4727</v>
      </c>
      <c r="M52" s="543">
        <f t="shared" si="6"/>
        <v>0</v>
      </c>
      <c r="N52" s="543">
        <f t="shared" si="7"/>
        <v>-4727</v>
      </c>
      <c r="O52" s="479"/>
      <c r="P52" s="479"/>
      <c r="Q52" s="479"/>
    </row>
    <row r="53" spans="1:17" s="515" customFormat="1" ht="59.25" hidden="1" customHeight="1">
      <c r="A53" s="511" t="s">
        <v>179</v>
      </c>
      <c r="B53" s="518" t="s">
        <v>295</v>
      </c>
      <c r="C53" s="513">
        <f t="shared" si="5"/>
        <v>0</v>
      </c>
      <c r="D53" s="519"/>
      <c r="E53" s="519"/>
      <c r="F53" s="542">
        <f t="shared" si="2"/>
        <v>3408</v>
      </c>
      <c r="G53" s="543"/>
      <c r="H53" s="543">
        <v>3408</v>
      </c>
      <c r="I53" s="542">
        <f t="shared" si="3"/>
        <v>0</v>
      </c>
      <c r="J53" s="543"/>
      <c r="K53" s="543"/>
      <c r="L53" s="542">
        <f t="shared" si="4"/>
        <v>-3408</v>
      </c>
      <c r="M53" s="543">
        <f t="shared" si="6"/>
        <v>0</v>
      </c>
      <c r="N53" s="543">
        <f t="shared" si="7"/>
        <v>-3408</v>
      </c>
      <c r="O53" s="479"/>
      <c r="P53" s="479"/>
      <c r="Q53" s="479"/>
    </row>
    <row r="54" spans="1:17" s="515" customFormat="1" ht="37.5" hidden="1">
      <c r="A54" s="511" t="s">
        <v>180</v>
      </c>
      <c r="B54" s="518" t="s">
        <v>337</v>
      </c>
      <c r="C54" s="513">
        <f t="shared" si="5"/>
        <v>0</v>
      </c>
      <c r="D54" s="519"/>
      <c r="E54" s="519"/>
      <c r="F54" s="542">
        <f t="shared" si="2"/>
        <v>0</v>
      </c>
      <c r="G54" s="543"/>
      <c r="H54" s="543"/>
      <c r="I54" s="542">
        <f t="shared" si="3"/>
        <v>0</v>
      </c>
      <c r="J54" s="543"/>
      <c r="K54" s="543"/>
      <c r="L54" s="542">
        <f t="shared" si="4"/>
        <v>0</v>
      </c>
      <c r="M54" s="543">
        <f t="shared" si="6"/>
        <v>0</v>
      </c>
      <c r="N54" s="543">
        <f t="shared" si="7"/>
        <v>0</v>
      </c>
      <c r="O54" s="479"/>
      <c r="P54" s="479"/>
      <c r="Q54" s="479"/>
    </row>
    <row r="55" spans="1:17" s="515" customFormat="1" ht="37.5" hidden="1">
      <c r="A55" s="511" t="s">
        <v>181</v>
      </c>
      <c r="B55" s="518" t="s">
        <v>338</v>
      </c>
      <c r="C55" s="513">
        <f t="shared" si="5"/>
        <v>0</v>
      </c>
      <c r="D55" s="519"/>
      <c r="E55" s="519"/>
      <c r="F55" s="542">
        <f t="shared" si="2"/>
        <v>0</v>
      </c>
      <c r="G55" s="543"/>
      <c r="H55" s="543"/>
      <c r="I55" s="542">
        <f t="shared" si="3"/>
        <v>0</v>
      </c>
      <c r="J55" s="543"/>
      <c r="K55" s="543"/>
      <c r="L55" s="542">
        <f t="shared" si="4"/>
        <v>0</v>
      </c>
      <c r="M55" s="543">
        <f t="shared" si="6"/>
        <v>0</v>
      </c>
      <c r="N55" s="543">
        <f t="shared" si="7"/>
        <v>0</v>
      </c>
      <c r="O55" s="479"/>
      <c r="P55" s="479"/>
      <c r="Q55" s="479"/>
    </row>
    <row r="56" spans="1:17" s="515" customFormat="1" ht="37.5" hidden="1">
      <c r="A56" s="511" t="s">
        <v>182</v>
      </c>
      <c r="B56" s="518" t="s">
        <v>296</v>
      </c>
      <c r="C56" s="513">
        <f t="shared" si="5"/>
        <v>0</v>
      </c>
      <c r="D56" s="519"/>
      <c r="E56" s="519"/>
      <c r="F56" s="542">
        <f t="shared" si="2"/>
        <v>11052</v>
      </c>
      <c r="G56" s="543"/>
      <c r="H56" s="543">
        <v>11052</v>
      </c>
      <c r="I56" s="542">
        <f t="shared" si="3"/>
        <v>0</v>
      </c>
      <c r="J56" s="543"/>
      <c r="K56" s="543"/>
      <c r="L56" s="542">
        <f t="shared" si="4"/>
        <v>-11052</v>
      </c>
      <c r="M56" s="543">
        <f t="shared" si="6"/>
        <v>0</v>
      </c>
      <c r="N56" s="543">
        <f t="shared" si="7"/>
        <v>-11052</v>
      </c>
      <c r="O56" s="479"/>
      <c r="P56" s="479"/>
      <c r="Q56" s="479"/>
    </row>
    <row r="57" spans="1:17" s="515" customFormat="1" ht="37.5" hidden="1">
      <c r="A57" s="511" t="s">
        <v>183</v>
      </c>
      <c r="B57" s="518" t="s">
        <v>297</v>
      </c>
      <c r="C57" s="513">
        <f t="shared" si="5"/>
        <v>0</v>
      </c>
      <c r="D57" s="519"/>
      <c r="E57" s="519"/>
      <c r="F57" s="542">
        <f t="shared" si="2"/>
        <v>1000</v>
      </c>
      <c r="G57" s="543"/>
      <c r="H57" s="543">
        <v>1000</v>
      </c>
      <c r="I57" s="542">
        <f t="shared" si="3"/>
        <v>0</v>
      </c>
      <c r="J57" s="543"/>
      <c r="K57" s="543"/>
      <c r="L57" s="542">
        <f t="shared" si="4"/>
        <v>-1000</v>
      </c>
      <c r="M57" s="543">
        <f t="shared" si="6"/>
        <v>0</v>
      </c>
      <c r="N57" s="543">
        <f t="shared" si="7"/>
        <v>-1000</v>
      </c>
      <c r="O57" s="479"/>
      <c r="P57" s="479"/>
      <c r="Q57" s="479"/>
    </row>
    <row r="58" spans="1:17" s="515" customFormat="1" ht="37.5" hidden="1">
      <c r="A58" s="511" t="s">
        <v>188</v>
      </c>
      <c r="B58" s="518" t="s">
        <v>299</v>
      </c>
      <c r="C58" s="513">
        <f t="shared" si="5"/>
        <v>0</v>
      </c>
      <c r="D58" s="519"/>
      <c r="E58" s="519"/>
      <c r="F58" s="542">
        <f t="shared" si="2"/>
        <v>650</v>
      </c>
      <c r="G58" s="543"/>
      <c r="H58" s="543">
        <v>650</v>
      </c>
      <c r="I58" s="542">
        <f t="shared" si="3"/>
        <v>0</v>
      </c>
      <c r="J58" s="543"/>
      <c r="K58" s="543"/>
      <c r="L58" s="542">
        <f t="shared" si="4"/>
        <v>-650</v>
      </c>
      <c r="M58" s="543">
        <f t="shared" si="6"/>
        <v>0</v>
      </c>
      <c r="N58" s="543">
        <f t="shared" si="7"/>
        <v>-650</v>
      </c>
      <c r="O58" s="479"/>
      <c r="P58" s="479"/>
      <c r="Q58" s="479"/>
    </row>
    <row r="59" spans="1:17" s="515" customFormat="1" ht="37.5" hidden="1">
      <c r="A59" s="511" t="s">
        <v>189</v>
      </c>
      <c r="B59" s="518" t="s">
        <v>300</v>
      </c>
      <c r="C59" s="513">
        <f t="shared" si="5"/>
        <v>0</v>
      </c>
      <c r="D59" s="519"/>
      <c r="E59" s="519"/>
      <c r="F59" s="542">
        <f t="shared" si="2"/>
        <v>350</v>
      </c>
      <c r="G59" s="543"/>
      <c r="H59" s="543">
        <v>350</v>
      </c>
      <c r="I59" s="542">
        <f t="shared" si="3"/>
        <v>0</v>
      </c>
      <c r="J59" s="543"/>
      <c r="K59" s="543"/>
      <c r="L59" s="542">
        <f t="shared" si="4"/>
        <v>-350</v>
      </c>
      <c r="M59" s="543">
        <f t="shared" si="6"/>
        <v>0</v>
      </c>
      <c r="N59" s="543">
        <f t="shared" si="7"/>
        <v>-350</v>
      </c>
      <c r="O59" s="479"/>
      <c r="P59" s="479"/>
      <c r="Q59" s="479"/>
    </row>
    <row r="60" spans="1:17" s="515" customFormat="1" ht="37.5" hidden="1">
      <c r="A60" s="511" t="s">
        <v>190</v>
      </c>
      <c r="B60" s="518" t="s">
        <v>301</v>
      </c>
      <c r="C60" s="513">
        <f t="shared" si="5"/>
        <v>0</v>
      </c>
      <c r="D60" s="519"/>
      <c r="E60" s="519"/>
      <c r="F60" s="542">
        <f t="shared" si="2"/>
        <v>260</v>
      </c>
      <c r="G60" s="543"/>
      <c r="H60" s="543">
        <v>260</v>
      </c>
      <c r="I60" s="542">
        <f t="shared" si="3"/>
        <v>0</v>
      </c>
      <c r="J60" s="543"/>
      <c r="K60" s="543"/>
      <c r="L60" s="542">
        <f t="shared" si="4"/>
        <v>-260</v>
      </c>
      <c r="M60" s="543">
        <f t="shared" si="6"/>
        <v>0</v>
      </c>
      <c r="N60" s="543">
        <f t="shared" si="7"/>
        <v>-260</v>
      </c>
      <c r="O60" s="479"/>
      <c r="P60" s="479"/>
      <c r="Q60" s="479"/>
    </row>
    <row r="61" spans="1:17" s="515" customFormat="1" ht="37.5" hidden="1">
      <c r="A61" s="511" t="s">
        <v>191</v>
      </c>
      <c r="B61" s="518" t="s">
        <v>339</v>
      </c>
      <c r="C61" s="513">
        <f t="shared" si="5"/>
        <v>0</v>
      </c>
      <c r="D61" s="519"/>
      <c r="E61" s="519"/>
      <c r="F61" s="542">
        <f t="shared" si="2"/>
        <v>0</v>
      </c>
      <c r="G61" s="543"/>
      <c r="H61" s="543"/>
      <c r="I61" s="542">
        <f t="shared" si="3"/>
        <v>0</v>
      </c>
      <c r="J61" s="543"/>
      <c r="K61" s="543"/>
      <c r="L61" s="542">
        <f t="shared" si="4"/>
        <v>0</v>
      </c>
      <c r="M61" s="543">
        <f t="shared" si="6"/>
        <v>0</v>
      </c>
      <c r="N61" s="543">
        <f t="shared" si="7"/>
        <v>0</v>
      </c>
      <c r="O61" s="479"/>
      <c r="P61" s="479"/>
      <c r="Q61" s="479"/>
    </row>
    <row r="62" spans="1:17" s="515" customFormat="1" ht="37.5" hidden="1">
      <c r="A62" s="511" t="s">
        <v>192</v>
      </c>
      <c r="B62" s="518" t="s">
        <v>340</v>
      </c>
      <c r="C62" s="513">
        <f t="shared" si="5"/>
        <v>0</v>
      </c>
      <c r="D62" s="519"/>
      <c r="E62" s="519"/>
      <c r="F62" s="542">
        <f t="shared" si="2"/>
        <v>0</v>
      </c>
      <c r="G62" s="543"/>
      <c r="H62" s="543"/>
      <c r="I62" s="542">
        <f t="shared" si="3"/>
        <v>0</v>
      </c>
      <c r="J62" s="543"/>
      <c r="K62" s="543"/>
      <c r="L62" s="542">
        <f t="shared" si="4"/>
        <v>0</v>
      </c>
      <c r="M62" s="543">
        <f t="shared" si="6"/>
        <v>0</v>
      </c>
      <c r="N62" s="543">
        <f t="shared" si="7"/>
        <v>0</v>
      </c>
      <c r="O62" s="479"/>
      <c r="P62" s="479"/>
      <c r="Q62" s="479"/>
    </row>
    <row r="63" spans="1:17" s="515" customFormat="1" ht="56.25" hidden="1">
      <c r="A63" s="511" t="s">
        <v>195</v>
      </c>
      <c r="B63" s="518" t="s">
        <v>341</v>
      </c>
      <c r="C63" s="513">
        <f t="shared" si="5"/>
        <v>0</v>
      </c>
      <c r="D63" s="519"/>
      <c r="E63" s="519"/>
      <c r="F63" s="542">
        <f t="shared" si="2"/>
        <v>0</v>
      </c>
      <c r="G63" s="543"/>
      <c r="H63" s="543"/>
      <c r="I63" s="542">
        <f t="shared" si="3"/>
        <v>0</v>
      </c>
      <c r="J63" s="543"/>
      <c r="K63" s="543"/>
      <c r="L63" s="542">
        <f t="shared" si="4"/>
        <v>0</v>
      </c>
      <c r="M63" s="543">
        <f t="shared" si="6"/>
        <v>0</v>
      </c>
      <c r="N63" s="543">
        <f t="shared" si="7"/>
        <v>0</v>
      </c>
      <c r="O63" s="479"/>
      <c r="P63" s="479"/>
      <c r="Q63" s="479"/>
    </row>
    <row r="64" spans="1:17" s="515" customFormat="1" ht="60.75" hidden="1" customHeight="1">
      <c r="A64" s="511" t="s">
        <v>196</v>
      </c>
      <c r="B64" s="518" t="s">
        <v>342</v>
      </c>
      <c r="C64" s="513">
        <f t="shared" si="5"/>
        <v>0</v>
      </c>
      <c r="D64" s="519"/>
      <c r="E64" s="519"/>
      <c r="F64" s="542">
        <f t="shared" si="2"/>
        <v>0</v>
      </c>
      <c r="G64" s="543"/>
      <c r="H64" s="543"/>
      <c r="I64" s="542">
        <f t="shared" si="3"/>
        <v>0</v>
      </c>
      <c r="J64" s="543"/>
      <c r="K64" s="543"/>
      <c r="L64" s="542">
        <f t="shared" si="4"/>
        <v>0</v>
      </c>
      <c r="M64" s="543">
        <f t="shared" si="6"/>
        <v>0</v>
      </c>
      <c r="N64" s="543">
        <f t="shared" si="7"/>
        <v>0</v>
      </c>
      <c r="O64" s="479"/>
      <c r="P64" s="479"/>
      <c r="Q64" s="479"/>
    </row>
    <row r="65" spans="1:17" s="497" customFormat="1" ht="37.5">
      <c r="A65" s="507" t="s">
        <v>175</v>
      </c>
      <c r="B65" s="516" t="s">
        <v>303</v>
      </c>
      <c r="C65" s="494">
        <f t="shared" si="5"/>
        <v>0</v>
      </c>
      <c r="D65" s="520"/>
      <c r="E65" s="520"/>
      <c r="F65" s="534" t="e">
        <f t="shared" si="2"/>
        <v>#REF!</v>
      </c>
      <c r="G65" s="545" t="e">
        <f>#REF!</f>
        <v>#REF!</v>
      </c>
      <c r="H65" s="545" t="e">
        <f>#REF!</f>
        <v>#REF!</v>
      </c>
      <c r="I65" s="534" t="e">
        <f t="shared" si="3"/>
        <v>#REF!</v>
      </c>
      <c r="J65" s="545" t="e">
        <f>#REF!</f>
        <v>#REF!</v>
      </c>
      <c r="K65" s="545" t="e">
        <f>#REF!</f>
        <v>#REF!</v>
      </c>
      <c r="L65" s="534" t="e">
        <f t="shared" si="4"/>
        <v>#REF!</v>
      </c>
      <c r="M65" s="545" t="e">
        <f t="shared" si="6"/>
        <v>#REF!</v>
      </c>
      <c r="N65" s="545" t="e">
        <f t="shared" si="7"/>
        <v>#REF!</v>
      </c>
      <c r="O65" s="479"/>
      <c r="P65" s="479"/>
      <c r="Q65" s="479"/>
    </row>
    <row r="66" spans="1:17" s="497" customFormat="1" ht="20.25">
      <c r="A66" s="507" t="s">
        <v>179</v>
      </c>
      <c r="B66" s="521" t="s">
        <v>284</v>
      </c>
      <c r="C66" s="494">
        <f t="shared" si="5"/>
        <v>0</v>
      </c>
      <c r="D66" s="520"/>
      <c r="E66" s="520"/>
      <c r="F66" s="534" t="e">
        <f t="shared" si="2"/>
        <v>#REF!</v>
      </c>
      <c r="G66" s="545" t="e">
        <f>#REF!</f>
        <v>#REF!</v>
      </c>
      <c r="H66" s="545" t="e">
        <f>#REF!</f>
        <v>#REF!</v>
      </c>
      <c r="I66" s="534" t="e">
        <f t="shared" si="3"/>
        <v>#REF!</v>
      </c>
      <c r="J66" s="545" t="e">
        <f>#REF!</f>
        <v>#REF!</v>
      </c>
      <c r="K66" s="545" t="e">
        <f>#REF!</f>
        <v>#REF!</v>
      </c>
      <c r="L66" s="534" t="e">
        <f t="shared" si="4"/>
        <v>#REF!</v>
      </c>
      <c r="M66" s="545" t="e">
        <f t="shared" si="6"/>
        <v>#REF!</v>
      </c>
      <c r="N66" s="545" t="e">
        <f t="shared" si="7"/>
        <v>#REF!</v>
      </c>
      <c r="O66" s="479"/>
      <c r="P66" s="479"/>
      <c r="Q66" s="479"/>
    </row>
    <row r="67" spans="1:17" s="497" customFormat="1" ht="21.75" customHeight="1">
      <c r="A67" s="507" t="s">
        <v>180</v>
      </c>
      <c r="B67" s="521" t="s">
        <v>304</v>
      </c>
      <c r="C67" s="494">
        <f t="shared" si="5"/>
        <v>0</v>
      </c>
      <c r="D67" s="520"/>
      <c r="E67" s="520"/>
      <c r="F67" s="534" t="e">
        <f t="shared" si="2"/>
        <v>#REF!</v>
      </c>
      <c r="G67" s="545" t="e">
        <f>#REF!</f>
        <v>#REF!</v>
      </c>
      <c r="H67" s="545" t="e">
        <f>#REF!</f>
        <v>#REF!</v>
      </c>
      <c r="I67" s="534" t="e">
        <f t="shared" si="3"/>
        <v>#REF!</v>
      </c>
      <c r="J67" s="545" t="e">
        <f>#REF!</f>
        <v>#REF!</v>
      </c>
      <c r="K67" s="545" t="e">
        <f>#REF!</f>
        <v>#REF!</v>
      </c>
      <c r="L67" s="534" t="e">
        <f t="shared" si="4"/>
        <v>#REF!</v>
      </c>
      <c r="M67" s="545" t="e">
        <f t="shared" si="6"/>
        <v>#REF!</v>
      </c>
      <c r="N67" s="545" t="e">
        <f t="shared" si="7"/>
        <v>#REF!</v>
      </c>
      <c r="O67" s="479"/>
      <c r="P67" s="479"/>
      <c r="Q67" s="479"/>
    </row>
    <row r="68" spans="1:17" s="497" customFormat="1" ht="24" customHeight="1">
      <c r="A68" s="507" t="s">
        <v>181</v>
      </c>
      <c r="B68" s="516" t="s">
        <v>343</v>
      </c>
      <c r="C68" s="494">
        <f t="shared" si="5"/>
        <v>0</v>
      </c>
      <c r="D68" s="520"/>
      <c r="E68" s="520"/>
      <c r="F68" s="534" t="e">
        <f t="shared" si="2"/>
        <v>#REF!</v>
      </c>
      <c r="G68" s="545" t="e">
        <f>#REF!</f>
        <v>#REF!</v>
      </c>
      <c r="H68" s="545" t="e">
        <f>#REF!</f>
        <v>#REF!</v>
      </c>
      <c r="I68" s="534" t="e">
        <f t="shared" si="3"/>
        <v>#REF!</v>
      </c>
      <c r="J68" s="545" t="e">
        <f>#REF!</f>
        <v>#REF!</v>
      </c>
      <c r="K68" s="545" t="e">
        <f>#REF!</f>
        <v>#REF!</v>
      </c>
      <c r="L68" s="534" t="e">
        <f t="shared" si="4"/>
        <v>#REF!</v>
      </c>
      <c r="M68" s="545" t="e">
        <f t="shared" si="6"/>
        <v>#REF!</v>
      </c>
      <c r="N68" s="545" t="e">
        <f t="shared" si="7"/>
        <v>#REF!</v>
      </c>
      <c r="O68" s="479"/>
      <c r="P68" s="479"/>
      <c r="Q68" s="479"/>
    </row>
    <row r="69" spans="1:17" s="485" customFormat="1" ht="20.25">
      <c r="A69" s="2357" t="s">
        <v>347</v>
      </c>
      <c r="B69" s="2358"/>
      <c r="C69" s="478">
        <f t="shared" si="5"/>
        <v>0</v>
      </c>
      <c r="D69" s="478"/>
      <c r="E69" s="478"/>
      <c r="F69" s="528" t="e">
        <f t="shared" si="2"/>
        <v>#REF!</v>
      </c>
      <c r="G69" s="528" t="e">
        <f>SUM(G70,G74)</f>
        <v>#REF!</v>
      </c>
      <c r="H69" s="530" t="e">
        <f>SUM(H70,H74)</f>
        <v>#REF!</v>
      </c>
      <c r="I69" s="528" t="e">
        <f t="shared" si="3"/>
        <v>#REF!</v>
      </c>
      <c r="J69" s="528" t="e">
        <f>SUM(J70,J74)</f>
        <v>#REF!</v>
      </c>
      <c r="K69" s="530" t="e">
        <f>SUM(K70,K74)</f>
        <v>#REF!</v>
      </c>
      <c r="L69" s="528" t="e">
        <f t="shared" si="4"/>
        <v>#REF!</v>
      </c>
      <c r="M69" s="528" t="e">
        <f t="shared" si="6"/>
        <v>#REF!</v>
      </c>
      <c r="N69" s="530" t="e">
        <f t="shared" si="7"/>
        <v>#REF!</v>
      </c>
      <c r="O69" s="479"/>
      <c r="P69" s="479"/>
      <c r="Q69" s="479"/>
    </row>
    <row r="70" spans="1:17" ht="26.25" hidden="1" customHeight="1">
      <c r="A70" s="489" t="s">
        <v>42</v>
      </c>
      <c r="B70" s="490" t="s">
        <v>41</v>
      </c>
      <c r="C70" s="491">
        <f t="shared" si="5"/>
        <v>0</v>
      </c>
      <c r="D70" s="491"/>
      <c r="E70" s="491"/>
      <c r="F70" s="533" t="e">
        <f t="shared" si="2"/>
        <v>#REF!</v>
      </c>
      <c r="G70" s="533" t="e">
        <f>SUM(G71:G73)</f>
        <v>#REF!</v>
      </c>
      <c r="H70" s="533" t="e">
        <f>SUM(H71:H73)</f>
        <v>#REF!</v>
      </c>
      <c r="I70" s="533" t="e">
        <f t="shared" si="3"/>
        <v>#REF!</v>
      </c>
      <c r="J70" s="533" t="e">
        <f>SUM(J71:J73)</f>
        <v>#REF!</v>
      </c>
      <c r="K70" s="533" t="e">
        <f>SUM(K71:K73)</f>
        <v>#REF!</v>
      </c>
      <c r="L70" s="533" t="e">
        <f t="shared" si="4"/>
        <v>#REF!</v>
      </c>
      <c r="M70" s="533" t="e">
        <f t="shared" si="6"/>
        <v>#REF!</v>
      </c>
      <c r="N70" s="533" t="e">
        <f t="shared" si="7"/>
        <v>#REF!</v>
      </c>
      <c r="O70" s="479"/>
      <c r="P70" s="479"/>
      <c r="Q70" s="479"/>
    </row>
    <row r="71" spans="1:17" s="497" customFormat="1" ht="20.25">
      <c r="A71" s="507" t="s">
        <v>182</v>
      </c>
      <c r="B71" s="522" t="s">
        <v>270</v>
      </c>
      <c r="C71" s="494"/>
      <c r="D71" s="523"/>
      <c r="E71" s="523"/>
      <c r="F71" s="534" t="e">
        <f t="shared" si="2"/>
        <v>#REF!</v>
      </c>
      <c r="G71" s="546" t="e">
        <f>#REF!</f>
        <v>#REF!</v>
      </c>
      <c r="H71" s="546" t="e">
        <f>#REF!</f>
        <v>#REF!</v>
      </c>
      <c r="I71" s="534" t="e">
        <f t="shared" si="3"/>
        <v>#REF!</v>
      </c>
      <c r="J71" s="546" t="e">
        <f>#REF!</f>
        <v>#REF!</v>
      </c>
      <c r="K71" s="546" t="e">
        <f>#REF!</f>
        <v>#REF!</v>
      </c>
      <c r="L71" s="534" t="e">
        <f t="shared" si="4"/>
        <v>#REF!</v>
      </c>
      <c r="M71" s="546" t="e">
        <f t="shared" si="6"/>
        <v>#REF!</v>
      </c>
      <c r="N71" s="546" t="e">
        <f t="shared" si="7"/>
        <v>#REF!</v>
      </c>
      <c r="O71" s="479"/>
      <c r="P71" s="479"/>
      <c r="Q71" s="479"/>
    </row>
    <row r="72" spans="1:17" s="497" customFormat="1" ht="20.25">
      <c r="A72" s="507" t="s">
        <v>183</v>
      </c>
      <c r="B72" s="524" t="s">
        <v>344</v>
      </c>
      <c r="C72" s="494">
        <f>D72+E72</f>
        <v>0</v>
      </c>
      <c r="D72" s="523"/>
      <c r="E72" s="523"/>
      <c r="F72" s="534" t="e">
        <f t="shared" si="2"/>
        <v>#REF!</v>
      </c>
      <c r="G72" s="546" t="e">
        <f>#REF!</f>
        <v>#REF!</v>
      </c>
      <c r="H72" s="546" t="e">
        <f>#REF!</f>
        <v>#REF!</v>
      </c>
      <c r="I72" s="534" t="e">
        <f t="shared" si="3"/>
        <v>#REF!</v>
      </c>
      <c r="J72" s="546" t="e">
        <f>#REF!</f>
        <v>#REF!</v>
      </c>
      <c r="K72" s="546" t="e">
        <f>#REF!</f>
        <v>#REF!</v>
      </c>
      <c r="L72" s="534" t="e">
        <f t="shared" si="4"/>
        <v>#REF!</v>
      </c>
      <c r="M72" s="546" t="e">
        <f t="shared" si="6"/>
        <v>#REF!</v>
      </c>
      <c r="N72" s="546" t="e">
        <f t="shared" si="7"/>
        <v>#REF!</v>
      </c>
      <c r="O72" s="479"/>
      <c r="P72" s="479"/>
      <c r="Q72" s="479"/>
    </row>
    <row r="73" spans="1:17" s="497" customFormat="1" ht="20.25">
      <c r="A73" s="507" t="s">
        <v>188</v>
      </c>
      <c r="B73" s="524" t="s">
        <v>345</v>
      </c>
      <c r="C73" s="494">
        <f>D73+E73</f>
        <v>0</v>
      </c>
      <c r="D73" s="523"/>
      <c r="E73" s="523"/>
      <c r="F73" s="534" t="e">
        <f t="shared" si="2"/>
        <v>#REF!</v>
      </c>
      <c r="G73" s="546" t="e">
        <f>#REF!</f>
        <v>#REF!</v>
      </c>
      <c r="H73" s="546" t="e">
        <f>#REF!</f>
        <v>#REF!</v>
      </c>
      <c r="I73" s="534" t="e">
        <f t="shared" si="3"/>
        <v>#REF!</v>
      </c>
      <c r="J73" s="546" t="e">
        <f>#REF!</f>
        <v>#REF!</v>
      </c>
      <c r="K73" s="546" t="e">
        <f>#REF!</f>
        <v>#REF!</v>
      </c>
      <c r="L73" s="534" t="e">
        <f t="shared" si="4"/>
        <v>#REF!</v>
      </c>
      <c r="M73" s="546" t="e">
        <f t="shared" si="6"/>
        <v>#REF!</v>
      </c>
      <c r="N73" s="546" t="e">
        <f t="shared" si="7"/>
        <v>#REF!</v>
      </c>
      <c r="O73" s="479"/>
      <c r="P73" s="479"/>
      <c r="Q73" s="479"/>
    </row>
    <row r="74" spans="1:17" s="497" customFormat="1" ht="21.75" hidden="1" customHeight="1">
      <c r="A74" s="505" t="s">
        <v>42</v>
      </c>
      <c r="B74" s="506" t="s">
        <v>39</v>
      </c>
      <c r="C74" s="494">
        <f t="shared" si="5"/>
        <v>0</v>
      </c>
      <c r="D74" s="494"/>
      <c r="E74" s="494"/>
      <c r="F74" s="534" t="e">
        <f t="shared" si="2"/>
        <v>#REF!</v>
      </c>
      <c r="G74" s="542" t="e">
        <f>SUM(G75:G80)</f>
        <v>#REF!</v>
      </c>
      <c r="H74" s="542" t="e">
        <f>SUM(H75:H80)</f>
        <v>#REF!</v>
      </c>
      <c r="I74" s="534" t="e">
        <f t="shared" si="3"/>
        <v>#REF!</v>
      </c>
      <c r="J74" s="542" t="e">
        <f>SUM(J75:J80)</f>
        <v>#REF!</v>
      </c>
      <c r="K74" s="542" t="e">
        <f>SUM(K75:K80)</f>
        <v>#REF!</v>
      </c>
      <c r="L74" s="534" t="e">
        <f t="shared" si="4"/>
        <v>#REF!</v>
      </c>
      <c r="M74" s="542" t="e">
        <f t="shared" si="6"/>
        <v>#REF!</v>
      </c>
      <c r="N74" s="542" t="e">
        <f t="shared" si="7"/>
        <v>#REF!</v>
      </c>
      <c r="O74" s="479"/>
      <c r="P74" s="479"/>
      <c r="Q74" s="479"/>
    </row>
    <row r="75" spans="1:17" s="497" customFormat="1" ht="20.25">
      <c r="A75" s="507" t="s">
        <v>189</v>
      </c>
      <c r="B75" s="524" t="s">
        <v>263</v>
      </c>
      <c r="C75" s="494">
        <f t="shared" si="5"/>
        <v>0</v>
      </c>
      <c r="D75" s="523"/>
      <c r="E75" s="523"/>
      <c r="F75" s="534" t="e">
        <f t="shared" si="2"/>
        <v>#REF!</v>
      </c>
      <c r="G75" s="546" t="e">
        <f>#REF!</f>
        <v>#REF!</v>
      </c>
      <c r="H75" s="546" t="e">
        <f>#REF!</f>
        <v>#REF!</v>
      </c>
      <c r="I75" s="534" t="e">
        <f t="shared" si="3"/>
        <v>#REF!</v>
      </c>
      <c r="J75" s="546" t="e">
        <f>#REF!</f>
        <v>#REF!</v>
      </c>
      <c r="K75" s="546" t="e">
        <f>#REF!</f>
        <v>#REF!</v>
      </c>
      <c r="L75" s="534" t="e">
        <f t="shared" si="4"/>
        <v>#REF!</v>
      </c>
      <c r="M75" s="546" t="e">
        <f t="shared" si="6"/>
        <v>#REF!</v>
      </c>
      <c r="N75" s="546" t="e">
        <f t="shared" si="7"/>
        <v>#REF!</v>
      </c>
      <c r="O75" s="479"/>
      <c r="P75" s="479"/>
      <c r="Q75" s="479"/>
    </row>
    <row r="76" spans="1:17" s="497" customFormat="1" ht="18" customHeight="1">
      <c r="A76" s="507" t="s">
        <v>190</v>
      </c>
      <c r="B76" s="524" t="s">
        <v>264</v>
      </c>
      <c r="C76" s="494">
        <f t="shared" si="5"/>
        <v>0</v>
      </c>
      <c r="D76" s="523"/>
      <c r="E76" s="523"/>
      <c r="F76" s="534" t="e">
        <f t="shared" si="2"/>
        <v>#REF!</v>
      </c>
      <c r="G76" s="546" t="e">
        <f>#REF!</f>
        <v>#REF!</v>
      </c>
      <c r="H76" s="546" t="e">
        <f>#REF!</f>
        <v>#REF!</v>
      </c>
      <c r="I76" s="534" t="e">
        <f t="shared" si="3"/>
        <v>#REF!</v>
      </c>
      <c r="J76" s="546" t="e">
        <f>#REF!</f>
        <v>#REF!</v>
      </c>
      <c r="K76" s="546" t="e">
        <f>#REF!</f>
        <v>#REF!</v>
      </c>
      <c r="L76" s="534" t="e">
        <f t="shared" si="4"/>
        <v>#REF!</v>
      </c>
      <c r="M76" s="546" t="e">
        <f t="shared" si="6"/>
        <v>#REF!</v>
      </c>
      <c r="N76" s="546" t="e">
        <f t="shared" si="7"/>
        <v>#REF!</v>
      </c>
      <c r="O76" s="479"/>
      <c r="P76" s="479"/>
      <c r="Q76" s="479"/>
    </row>
    <row r="77" spans="1:17" s="497" customFormat="1" ht="18" customHeight="1">
      <c r="A77" s="507" t="s">
        <v>191</v>
      </c>
      <c r="B77" s="524" t="s">
        <v>265</v>
      </c>
      <c r="C77" s="494">
        <f t="shared" si="5"/>
        <v>0</v>
      </c>
      <c r="D77" s="523"/>
      <c r="E77" s="523"/>
      <c r="F77" s="534" t="e">
        <f t="shared" si="2"/>
        <v>#REF!</v>
      </c>
      <c r="G77" s="546" t="e">
        <f>#REF!</f>
        <v>#REF!</v>
      </c>
      <c r="H77" s="546" t="e">
        <f>#REF!</f>
        <v>#REF!</v>
      </c>
      <c r="I77" s="534" t="e">
        <f t="shared" si="3"/>
        <v>#REF!</v>
      </c>
      <c r="J77" s="546" t="e">
        <f>-#REF!</f>
        <v>#REF!</v>
      </c>
      <c r="K77" s="546" t="e">
        <f>-#REF!</f>
        <v>#REF!</v>
      </c>
      <c r="L77" s="534" t="e">
        <f t="shared" si="4"/>
        <v>#REF!</v>
      </c>
      <c r="M77" s="546" t="e">
        <f t="shared" si="6"/>
        <v>#REF!</v>
      </c>
      <c r="N77" s="546" t="e">
        <f t="shared" si="7"/>
        <v>#REF!</v>
      </c>
      <c r="O77" s="479"/>
      <c r="P77" s="479"/>
      <c r="Q77" s="479"/>
    </row>
    <row r="78" spans="1:17" s="497" customFormat="1" ht="37.5">
      <c r="A78" s="507" t="s">
        <v>192</v>
      </c>
      <c r="B78" s="522" t="s">
        <v>266</v>
      </c>
      <c r="C78" s="494"/>
      <c r="D78" s="523"/>
      <c r="E78" s="523"/>
      <c r="F78" s="534" t="e">
        <f t="shared" si="2"/>
        <v>#REF!</v>
      </c>
      <c r="G78" s="546" t="e">
        <f>#REF!</f>
        <v>#REF!</v>
      </c>
      <c r="H78" s="546" t="e">
        <f>#REF!</f>
        <v>#REF!</v>
      </c>
      <c r="I78" s="534" t="e">
        <f t="shared" si="3"/>
        <v>#REF!</v>
      </c>
      <c r="J78" s="546" t="e">
        <f>-#REF!</f>
        <v>#REF!</v>
      </c>
      <c r="K78" s="546" t="e">
        <f>-#REF!</f>
        <v>#REF!</v>
      </c>
      <c r="L78" s="534" t="e">
        <f>SUM(M78:N78)</f>
        <v>#REF!</v>
      </c>
      <c r="M78" s="546" t="e">
        <f t="shared" si="6"/>
        <v>#REF!</v>
      </c>
      <c r="N78" s="546" t="e">
        <f t="shared" si="7"/>
        <v>#REF!</v>
      </c>
      <c r="O78" s="479"/>
      <c r="P78" s="479"/>
      <c r="Q78" s="479"/>
    </row>
    <row r="79" spans="1:17" s="497" customFormat="1" ht="22.5" customHeight="1">
      <c r="A79" s="507" t="s">
        <v>195</v>
      </c>
      <c r="B79" s="522" t="s">
        <v>268</v>
      </c>
      <c r="C79" s="494"/>
      <c r="D79" s="523"/>
      <c r="E79" s="523"/>
      <c r="F79" s="534" t="e">
        <f t="shared" si="2"/>
        <v>#REF!</v>
      </c>
      <c r="G79" s="546" t="e">
        <f>#REF!</f>
        <v>#REF!</v>
      </c>
      <c r="H79" s="546" t="e">
        <f>#REF!</f>
        <v>#REF!</v>
      </c>
      <c r="I79" s="534" t="e">
        <f t="shared" si="3"/>
        <v>#REF!</v>
      </c>
      <c r="J79" s="546" t="e">
        <f>#REF!</f>
        <v>#REF!</v>
      </c>
      <c r="K79" s="546" t="e">
        <f>#REF!</f>
        <v>#REF!</v>
      </c>
      <c r="L79" s="534" t="e">
        <f>SUM(M79:N79)</f>
        <v>#REF!</v>
      </c>
      <c r="M79" s="546" t="e">
        <f t="shared" si="6"/>
        <v>#REF!</v>
      </c>
      <c r="N79" s="546" t="e">
        <f t="shared" si="7"/>
        <v>#REF!</v>
      </c>
      <c r="O79" s="479"/>
      <c r="P79" s="479"/>
      <c r="Q79" s="479"/>
    </row>
    <row r="80" spans="1:17" s="497" customFormat="1" ht="37.5">
      <c r="A80" s="507" t="s">
        <v>196</v>
      </c>
      <c r="B80" s="525" t="s">
        <v>275</v>
      </c>
      <c r="C80" s="494"/>
      <c r="D80" s="523"/>
      <c r="E80" s="523"/>
      <c r="F80" s="534" t="e">
        <f>SUM(G80:H80)</f>
        <v>#REF!</v>
      </c>
      <c r="G80" s="546" t="e">
        <f>#REF!</f>
        <v>#REF!</v>
      </c>
      <c r="H80" s="546" t="e">
        <f>#REF!</f>
        <v>#REF!</v>
      </c>
      <c r="I80" s="534" t="e">
        <f>SUM(J80:K80)</f>
        <v>#REF!</v>
      </c>
      <c r="J80" s="546" t="e">
        <f>#REF!</f>
        <v>#REF!</v>
      </c>
      <c r="K80" s="546" t="e">
        <f>#REF!</f>
        <v>#REF!</v>
      </c>
      <c r="L80" s="534" t="e">
        <f>SUM(M80:N80)</f>
        <v>#REF!</v>
      </c>
      <c r="M80" s="546" t="e">
        <f t="shared" si="6"/>
        <v>#REF!</v>
      </c>
      <c r="N80" s="546" t="e">
        <f t="shared" si="7"/>
        <v>#REF!</v>
      </c>
      <c r="O80" s="479"/>
      <c r="P80" s="479"/>
      <c r="Q80" s="479"/>
    </row>
    <row r="81" spans="1:17" s="467" customFormat="1" ht="15" customHeight="1">
      <c r="B81" s="526" t="s">
        <v>311</v>
      </c>
      <c r="C81" s="469"/>
      <c r="D81" s="469"/>
      <c r="E81" s="469"/>
      <c r="F81" s="469"/>
      <c r="G81" s="469"/>
      <c r="H81" s="469"/>
      <c r="I81" s="469"/>
      <c r="J81" s="469"/>
      <c r="K81" s="469"/>
      <c r="L81" s="469"/>
      <c r="M81" s="469"/>
      <c r="N81" s="469"/>
      <c r="O81" s="479"/>
      <c r="P81" s="479"/>
      <c r="Q81" s="479"/>
    </row>
    <row r="82" spans="1:17" ht="15.75" customHeight="1">
      <c r="A82" s="697"/>
      <c r="B82" s="527" t="s">
        <v>346</v>
      </c>
      <c r="O82" s="479"/>
      <c r="P82" s="479"/>
      <c r="Q82" s="479"/>
    </row>
    <row r="83" spans="1:17" ht="15.75" customHeight="1">
      <c r="A83" s="697"/>
      <c r="B83" s="527"/>
    </row>
    <row r="84" spans="1:17" ht="15" customHeight="1">
      <c r="A84" s="697"/>
      <c r="B84" s="527"/>
    </row>
  </sheetData>
  <mergeCells count="16">
    <mergeCell ref="A69:B69"/>
    <mergeCell ref="A1:B1"/>
    <mergeCell ref="A6:O6"/>
    <mergeCell ref="A8:O8"/>
    <mergeCell ref="A9:O9"/>
    <mergeCell ref="A12:A13"/>
    <mergeCell ref="B12:B13"/>
    <mergeCell ref="C12:C13"/>
    <mergeCell ref="D12:E12"/>
    <mergeCell ref="F12:F13"/>
    <mergeCell ref="G12:H12"/>
    <mergeCell ref="I12:I13"/>
    <mergeCell ref="J12:K12"/>
    <mergeCell ref="L12:L13"/>
    <mergeCell ref="M12:N12"/>
    <mergeCell ref="A17:B17"/>
  </mergeCells>
  <printOptions horizontalCentered="1"/>
  <pageMargins left="0.22" right="0.31496062992125984" top="0.78" bottom="0.23622047244094491" header="0" footer="0"/>
  <pageSetup paperSize="9" scale="46" orientation="landscape" r:id="rId1"/>
  <headerFooter alignWithMargins="0"/>
  <customProperties>
    <customPr name="krista_fm_consts" r:id="rId2"/>
  </customProperties>
</worksheet>
</file>

<file path=xl/worksheets/sheet14.xml><?xml version="1.0" encoding="utf-8"?>
<worksheet xmlns="http://schemas.openxmlformats.org/spreadsheetml/2006/main" xmlns:r="http://schemas.openxmlformats.org/officeDocument/2006/relationships">
  <sheetPr>
    <tabColor rgb="FF00B0F0"/>
    <pageSetUpPr fitToPage="1"/>
  </sheetPr>
  <dimension ref="A1:M97"/>
  <sheetViews>
    <sheetView view="pageBreakPreview" zoomScale="110" zoomScaleSheetLayoutView="110" workbookViewId="0">
      <selection activeCell="F60" sqref="F60"/>
    </sheetView>
  </sheetViews>
  <sheetFormatPr defaultColWidth="9.140625" defaultRowHeight="15.75"/>
  <cols>
    <col min="1" max="1" width="8.7109375" style="365" customWidth="1"/>
    <col min="2" max="2" width="65.5703125" style="297" customWidth="1"/>
    <col min="3" max="5" width="15.5703125" style="361" customWidth="1"/>
    <col min="6" max="7" width="17.42578125" style="361" customWidth="1"/>
    <col min="8" max="9" width="32.140625" style="565" customWidth="1"/>
    <col min="10" max="10" width="15.7109375" style="297" customWidth="1"/>
    <col min="11" max="12" width="9.140625" style="297"/>
    <col min="13" max="13" width="14.7109375" style="297" bestFit="1" customWidth="1"/>
    <col min="14" max="16384" width="9.140625" style="297"/>
  </cols>
  <sheetData>
    <row r="1" spans="1:13">
      <c r="A1" s="2317"/>
      <c r="B1" s="2317"/>
      <c r="C1" s="548"/>
      <c r="D1" s="548"/>
      <c r="E1" s="564"/>
      <c r="F1" s="548"/>
      <c r="G1" s="548"/>
    </row>
    <row r="2" spans="1:13" s="321" customFormat="1">
      <c r="C2" s="322"/>
      <c r="D2" s="322"/>
      <c r="E2" s="322"/>
      <c r="F2" s="322"/>
      <c r="G2" s="322"/>
      <c r="H2" s="566"/>
      <c r="I2" s="566"/>
    </row>
    <row r="3" spans="1:13" s="321" customFormat="1" ht="18.75">
      <c r="A3" s="2320" t="s">
        <v>369</v>
      </c>
      <c r="B3" s="2320"/>
      <c r="C3" s="2320"/>
      <c r="D3" s="2320"/>
      <c r="E3" s="2320"/>
      <c r="F3" s="2320"/>
      <c r="G3" s="2320"/>
      <c r="H3" s="2320"/>
      <c r="I3" s="561"/>
    </row>
    <row r="4" spans="1:13" s="321" customFormat="1" ht="18.75">
      <c r="A4" s="2320" t="s">
        <v>367</v>
      </c>
      <c r="B4" s="2320"/>
      <c r="C4" s="2320"/>
      <c r="D4" s="2320"/>
      <c r="E4" s="2320"/>
      <c r="F4" s="2320"/>
      <c r="G4" s="2320"/>
      <c r="H4" s="2320"/>
      <c r="I4" s="561"/>
    </row>
    <row r="5" spans="1:13" s="321" customFormat="1" ht="18.75">
      <c r="A5" s="2320" t="s">
        <v>368</v>
      </c>
      <c r="B5" s="2320"/>
      <c r="C5" s="2320"/>
      <c r="D5" s="2320"/>
      <c r="E5" s="2320"/>
      <c r="F5" s="2320"/>
      <c r="G5" s="2320"/>
      <c r="H5" s="2320"/>
      <c r="I5" s="561"/>
    </row>
    <row r="6" spans="1:13" s="321" customFormat="1">
      <c r="A6" s="327"/>
      <c r="B6" s="327"/>
      <c r="C6" s="327"/>
      <c r="D6" s="327"/>
      <c r="E6" s="327"/>
      <c r="F6" s="327"/>
      <c r="G6" s="327"/>
      <c r="H6" s="566" t="s">
        <v>377</v>
      </c>
      <c r="I6" s="566"/>
    </row>
    <row r="7" spans="1:13" ht="42.75" customHeight="1">
      <c r="A7" s="2325" t="s">
        <v>18</v>
      </c>
      <c r="B7" s="2325" t="s">
        <v>0</v>
      </c>
      <c r="C7" s="2321" t="s">
        <v>260</v>
      </c>
      <c r="D7" s="2321" t="s">
        <v>366</v>
      </c>
      <c r="E7" s="2321" t="s">
        <v>370</v>
      </c>
      <c r="F7" s="2367" t="s">
        <v>1</v>
      </c>
      <c r="G7" s="2368"/>
      <c r="H7" s="2369" t="s">
        <v>354</v>
      </c>
      <c r="I7" s="575"/>
    </row>
    <row r="8" spans="1:13" s="238" customFormat="1" ht="67.5" customHeight="1">
      <c r="A8" s="2325"/>
      <c r="B8" s="2325"/>
      <c r="C8" s="2322"/>
      <c r="D8" s="2322"/>
      <c r="E8" s="2322"/>
      <c r="F8" s="562" t="s">
        <v>378</v>
      </c>
      <c r="G8" s="562" t="s">
        <v>376</v>
      </c>
      <c r="H8" s="2370"/>
      <c r="I8" s="575"/>
    </row>
    <row r="9" spans="1:13">
      <c r="A9" s="328">
        <v>1</v>
      </c>
      <c r="B9" s="558">
        <v>2</v>
      </c>
      <c r="C9" s="329">
        <v>3</v>
      </c>
      <c r="D9" s="329">
        <v>4</v>
      </c>
      <c r="E9" s="549">
        <v>5</v>
      </c>
      <c r="F9" s="549">
        <v>6</v>
      </c>
      <c r="G9" s="549">
        <v>7</v>
      </c>
      <c r="H9" s="558">
        <v>8</v>
      </c>
      <c r="I9" s="576"/>
    </row>
    <row r="10" spans="1:13" s="418" customFormat="1" ht="30">
      <c r="A10" s="417"/>
      <c r="B10" s="373" t="s">
        <v>10</v>
      </c>
      <c r="C10" s="413">
        <f>SUM(C13,C63)</f>
        <v>1412303</v>
      </c>
      <c r="D10" s="413">
        <f>SUM(D13,D63)</f>
        <v>1200457.8999999999</v>
      </c>
      <c r="E10" s="413">
        <f>SUM(F10:G10)</f>
        <v>1280413.8999999999</v>
      </c>
      <c r="F10" s="413">
        <f>SUM(F13,F63)</f>
        <v>856090.9</v>
      </c>
      <c r="G10" s="413">
        <f>SUM(G13,G63)</f>
        <v>424323</v>
      </c>
      <c r="H10" s="584" t="s">
        <v>379</v>
      </c>
      <c r="I10" s="585">
        <f>F10/C10</f>
        <v>0.60599999999999998</v>
      </c>
      <c r="J10" s="560"/>
      <c r="K10" s="559"/>
      <c r="M10" s="559"/>
    </row>
    <row r="11" spans="1:13" s="394" customFormat="1">
      <c r="A11" s="392"/>
      <c r="B11" s="390" t="s">
        <v>351</v>
      </c>
      <c r="C11" s="27">
        <f>C17+C35</f>
        <v>297193</v>
      </c>
      <c r="D11" s="27">
        <f>D17+D35</f>
        <v>252614.1</v>
      </c>
      <c r="E11" s="27">
        <f t="shared" ref="E11:E74" si="0">SUM(F11:G11)</f>
        <v>297193</v>
      </c>
      <c r="F11" s="27">
        <f>F17+F35</f>
        <v>297193</v>
      </c>
      <c r="G11" s="27">
        <f>G17+G35</f>
        <v>0</v>
      </c>
      <c r="H11" s="567" t="s">
        <v>353</v>
      </c>
      <c r="I11" s="577"/>
      <c r="J11" s="385"/>
    </row>
    <row r="12" spans="1:13" s="394" customFormat="1">
      <c r="A12" s="392"/>
      <c r="B12" s="390" t="s">
        <v>352</v>
      </c>
      <c r="C12" s="27">
        <f>C10-C11</f>
        <v>1115110</v>
      </c>
      <c r="D12" s="27">
        <f>D10-D11</f>
        <v>947843.8</v>
      </c>
      <c r="E12" s="27">
        <f t="shared" si="0"/>
        <v>983220.9</v>
      </c>
      <c r="F12" s="27">
        <f>F10-F11</f>
        <v>558897.9</v>
      </c>
      <c r="G12" s="27">
        <f>G10-G11</f>
        <v>424323</v>
      </c>
      <c r="H12" s="567" t="s">
        <v>353</v>
      </c>
      <c r="I12" s="577"/>
      <c r="J12" s="385"/>
    </row>
    <row r="13" spans="1:13" s="376" customFormat="1" ht="18.75">
      <c r="A13" s="2354" t="s">
        <v>261</v>
      </c>
      <c r="B13" s="2354"/>
      <c r="C13" s="413">
        <f>SUM(C14,C31)</f>
        <v>1412303</v>
      </c>
      <c r="D13" s="413">
        <f>SUM(D14,D31)</f>
        <v>1200457.8999999999</v>
      </c>
      <c r="E13" s="550">
        <f t="shared" si="0"/>
        <v>1280413.8999999999</v>
      </c>
      <c r="F13" s="550">
        <f>SUM(F14,F31)</f>
        <v>856090.9</v>
      </c>
      <c r="G13" s="550">
        <f>SUM(G14,G31)</f>
        <v>424323</v>
      </c>
      <c r="H13" s="567" t="s">
        <v>353</v>
      </c>
      <c r="I13" s="577"/>
    </row>
    <row r="14" spans="1:13" ht="69.75" customHeight="1">
      <c r="A14" s="335" t="s">
        <v>6</v>
      </c>
      <c r="B14" s="319" t="s">
        <v>244</v>
      </c>
      <c r="C14" s="414">
        <f>SUM(C15,C26)</f>
        <v>240331</v>
      </c>
      <c r="D14" s="414">
        <f>SUM(D15,D26)</f>
        <v>204281.5</v>
      </c>
      <c r="E14" s="551">
        <f t="shared" si="0"/>
        <v>240331</v>
      </c>
      <c r="F14" s="551">
        <f>SUM(F15,F26)</f>
        <v>199405</v>
      </c>
      <c r="G14" s="551">
        <f>SUM(G15,G26)</f>
        <v>40926</v>
      </c>
      <c r="H14" s="567" t="s">
        <v>353</v>
      </c>
      <c r="I14" s="577"/>
      <c r="J14" s="574"/>
      <c r="K14" s="574"/>
    </row>
    <row r="15" spans="1:13" s="361" customFormat="1" ht="36.75" customHeight="1">
      <c r="A15" s="386" t="s">
        <v>30</v>
      </c>
      <c r="B15" s="387" t="s">
        <v>41</v>
      </c>
      <c r="C15" s="403">
        <f>SUM(C16,C19,C21,C24)</f>
        <v>223846</v>
      </c>
      <c r="D15" s="403">
        <f>SUM(D16,D19,D21,D24)</f>
        <v>190269.2</v>
      </c>
      <c r="E15" s="552">
        <f t="shared" si="0"/>
        <v>223846</v>
      </c>
      <c r="F15" s="552">
        <f>SUM(F16,F19,F21,F24)</f>
        <v>182920</v>
      </c>
      <c r="G15" s="552">
        <f>SUM(G16,G19,G21,G24)</f>
        <v>40926</v>
      </c>
      <c r="H15" s="568" t="s">
        <v>353</v>
      </c>
      <c r="I15" s="577"/>
      <c r="J15" s="385"/>
    </row>
    <row r="16" spans="1:13" s="394" customFormat="1" ht="49.5" customHeight="1">
      <c r="A16" s="392" t="s">
        <v>50</v>
      </c>
      <c r="B16" s="390" t="s">
        <v>87</v>
      </c>
      <c r="C16" s="28">
        <f>SUM(C17:C18)</f>
        <v>182920</v>
      </c>
      <c r="D16" s="28">
        <f>SUM(D17:D18)</f>
        <v>155482.1</v>
      </c>
      <c r="E16" s="28">
        <f t="shared" si="0"/>
        <v>182920</v>
      </c>
      <c r="F16" s="28">
        <f>SUM(F17:F18)</f>
        <v>182920</v>
      </c>
      <c r="G16" s="28">
        <f>SUM(G17:G18)</f>
        <v>0</v>
      </c>
      <c r="H16" s="2362" t="s">
        <v>375</v>
      </c>
      <c r="I16" s="577"/>
      <c r="J16" s="385"/>
    </row>
    <row r="17" spans="1:11" s="394" customFormat="1">
      <c r="A17" s="392"/>
      <c r="B17" s="390" t="s">
        <v>351</v>
      </c>
      <c r="C17" s="27">
        <v>128659</v>
      </c>
      <c r="D17" s="28">
        <f>C17*0.85</f>
        <v>109360.2</v>
      </c>
      <c r="E17" s="553">
        <f t="shared" si="0"/>
        <v>128659</v>
      </c>
      <c r="F17" s="553">
        <f>C17</f>
        <v>128659</v>
      </c>
      <c r="G17" s="553"/>
      <c r="H17" s="2363"/>
      <c r="I17" s="577"/>
      <c r="J17" s="385"/>
    </row>
    <row r="18" spans="1:11" s="394" customFormat="1">
      <c r="A18" s="392"/>
      <c r="B18" s="390" t="s">
        <v>352</v>
      </c>
      <c r="C18" s="27">
        <v>54261</v>
      </c>
      <c r="D18" s="28">
        <f>C18*0.85</f>
        <v>46121.9</v>
      </c>
      <c r="E18" s="553">
        <f t="shared" si="0"/>
        <v>54261</v>
      </c>
      <c r="F18" s="553">
        <f>C18</f>
        <v>54261</v>
      </c>
      <c r="G18" s="553"/>
      <c r="H18" s="2364"/>
      <c r="I18" s="577"/>
      <c r="J18" s="385"/>
    </row>
    <row r="19" spans="1:11" s="361" customFormat="1">
      <c r="A19" s="381"/>
      <c r="B19" s="399" t="s">
        <v>283</v>
      </c>
      <c r="C19" s="400">
        <f>C20</f>
        <v>18266</v>
      </c>
      <c r="D19" s="400">
        <f>D20</f>
        <v>15526.1</v>
      </c>
      <c r="E19" s="554">
        <f t="shared" si="0"/>
        <v>18266</v>
      </c>
      <c r="F19" s="554">
        <f>F20</f>
        <v>0</v>
      </c>
      <c r="G19" s="554">
        <f>G20</f>
        <v>18266</v>
      </c>
      <c r="H19" s="2362" t="s">
        <v>355</v>
      </c>
      <c r="I19" s="577"/>
      <c r="J19" s="385"/>
    </row>
    <row r="20" spans="1:11" s="394" customFormat="1" ht="65.25" customHeight="1">
      <c r="A20" s="392" t="s">
        <v>4</v>
      </c>
      <c r="B20" s="390" t="s">
        <v>276</v>
      </c>
      <c r="C20" s="28">
        <v>18266</v>
      </c>
      <c r="D20" s="28">
        <f>C20*0.85</f>
        <v>15526.1</v>
      </c>
      <c r="E20" s="553">
        <f t="shared" si="0"/>
        <v>18266</v>
      </c>
      <c r="F20" s="553">
        <v>0</v>
      </c>
      <c r="G20" s="553">
        <f>C20</f>
        <v>18266</v>
      </c>
      <c r="H20" s="2364"/>
      <c r="I20" s="577"/>
      <c r="J20" s="385"/>
    </row>
    <row r="21" spans="1:11" s="361" customFormat="1">
      <c r="A21" s="381"/>
      <c r="B21" s="399" t="s">
        <v>90</v>
      </c>
      <c r="C21" s="400">
        <f>SUM(C22:C23)</f>
        <v>9960</v>
      </c>
      <c r="D21" s="400">
        <f>SUM(D22:D23)</f>
        <v>8466</v>
      </c>
      <c r="E21" s="554">
        <f t="shared" si="0"/>
        <v>9960</v>
      </c>
      <c r="F21" s="554">
        <f>SUM(F22:F23)</f>
        <v>0</v>
      </c>
      <c r="G21" s="554">
        <f>SUM(G22:G23)</f>
        <v>9960</v>
      </c>
      <c r="H21" s="2362" t="s">
        <v>356</v>
      </c>
      <c r="I21" s="577"/>
      <c r="J21" s="385"/>
    </row>
    <row r="22" spans="1:11" s="394" customFormat="1" ht="81" customHeight="1">
      <c r="A22" s="397" t="s">
        <v>35</v>
      </c>
      <c r="B22" s="390" t="s">
        <v>277</v>
      </c>
      <c r="C22" s="28">
        <v>5078</v>
      </c>
      <c r="D22" s="28">
        <f>C22*0.85</f>
        <v>4316.3</v>
      </c>
      <c r="E22" s="553">
        <f t="shared" si="0"/>
        <v>5078</v>
      </c>
      <c r="F22" s="553">
        <v>0</v>
      </c>
      <c r="G22" s="553">
        <f>C22</f>
        <v>5078</v>
      </c>
      <c r="H22" s="2364"/>
      <c r="I22" s="577"/>
      <c r="J22" s="385"/>
    </row>
    <row r="23" spans="1:11" s="394" customFormat="1" ht="90">
      <c r="A23" s="397" t="s">
        <v>140</v>
      </c>
      <c r="B23" s="390" t="s">
        <v>278</v>
      </c>
      <c r="C23" s="28">
        <v>4882</v>
      </c>
      <c r="D23" s="28">
        <f>C23*0.85</f>
        <v>4149.7</v>
      </c>
      <c r="E23" s="553">
        <f t="shared" si="0"/>
        <v>4882</v>
      </c>
      <c r="F23" s="553">
        <v>0</v>
      </c>
      <c r="G23" s="553">
        <f>C23</f>
        <v>4882</v>
      </c>
      <c r="H23" s="569" t="s">
        <v>356</v>
      </c>
      <c r="I23" s="577"/>
      <c r="J23" s="385"/>
    </row>
    <row r="24" spans="1:11" s="361" customFormat="1">
      <c r="A24" s="381"/>
      <c r="B24" s="399" t="s">
        <v>12</v>
      </c>
      <c r="C24" s="400">
        <f>C25</f>
        <v>12700</v>
      </c>
      <c r="D24" s="400">
        <f>D25</f>
        <v>10795</v>
      </c>
      <c r="E24" s="554">
        <f t="shared" si="0"/>
        <v>12700</v>
      </c>
      <c r="F24" s="554">
        <f>F25</f>
        <v>0</v>
      </c>
      <c r="G24" s="554">
        <f>G25</f>
        <v>12700</v>
      </c>
      <c r="H24" s="2362" t="s">
        <v>382</v>
      </c>
      <c r="I24" s="577"/>
      <c r="J24" s="385"/>
    </row>
    <row r="25" spans="1:11" s="394" customFormat="1" ht="62.25" customHeight="1">
      <c r="A25" s="397" t="s">
        <v>141</v>
      </c>
      <c r="B25" s="390" t="s">
        <v>279</v>
      </c>
      <c r="C25" s="28">
        <v>12700</v>
      </c>
      <c r="D25" s="28">
        <f>C25*0.85</f>
        <v>10795</v>
      </c>
      <c r="E25" s="553">
        <f t="shared" si="0"/>
        <v>12700</v>
      </c>
      <c r="F25" s="553"/>
      <c r="G25" s="553">
        <v>12700</v>
      </c>
      <c r="H25" s="2364"/>
      <c r="I25" s="577"/>
      <c r="J25" s="385"/>
      <c r="K25" s="398"/>
    </row>
    <row r="26" spans="1:11" s="361" customFormat="1" ht="31.5">
      <c r="A26" s="386" t="s">
        <v>31</v>
      </c>
      <c r="B26" s="387" t="s">
        <v>39</v>
      </c>
      <c r="C26" s="403">
        <f>SUM(C27,C29)</f>
        <v>16485</v>
      </c>
      <c r="D26" s="403">
        <f>SUM(D27,D29)</f>
        <v>14012.3</v>
      </c>
      <c r="E26" s="552">
        <f t="shared" si="0"/>
        <v>16485</v>
      </c>
      <c r="F26" s="552">
        <f>SUM(F27,F29)</f>
        <v>16485</v>
      </c>
      <c r="G26" s="552">
        <f>SUM(G27,G29)</f>
        <v>0</v>
      </c>
      <c r="H26" s="572" t="s">
        <v>353</v>
      </c>
      <c r="I26" s="577"/>
      <c r="J26" s="385"/>
    </row>
    <row r="27" spans="1:11" s="361" customFormat="1">
      <c r="A27" s="381"/>
      <c r="B27" s="399" t="s">
        <v>12</v>
      </c>
      <c r="C27" s="400">
        <f>C28</f>
        <v>4125</v>
      </c>
      <c r="D27" s="400">
        <f>D28</f>
        <v>3506.3</v>
      </c>
      <c r="E27" s="554">
        <f t="shared" si="0"/>
        <v>4125</v>
      </c>
      <c r="F27" s="554">
        <f>F28</f>
        <v>4125</v>
      </c>
      <c r="G27" s="554">
        <f>G28</f>
        <v>0</v>
      </c>
      <c r="H27" s="2365" t="s">
        <v>357</v>
      </c>
      <c r="I27" s="577"/>
      <c r="J27" s="385"/>
    </row>
    <row r="28" spans="1:11" s="361" customFormat="1" ht="48.75" customHeight="1">
      <c r="A28" s="381" t="s">
        <v>145</v>
      </c>
      <c r="B28" s="401" t="s">
        <v>280</v>
      </c>
      <c r="C28" s="402">
        <v>4125</v>
      </c>
      <c r="D28" s="28">
        <f>C28*0.85</f>
        <v>3506.3</v>
      </c>
      <c r="E28" s="553">
        <f t="shared" si="0"/>
        <v>4125</v>
      </c>
      <c r="F28" s="553">
        <v>4125</v>
      </c>
      <c r="G28" s="553"/>
      <c r="H28" s="2366"/>
      <c r="I28" s="577"/>
      <c r="J28" s="385"/>
    </row>
    <row r="29" spans="1:11" s="361" customFormat="1">
      <c r="A29" s="395"/>
      <c r="B29" s="399" t="s">
        <v>281</v>
      </c>
      <c r="C29" s="404">
        <f>C30</f>
        <v>12360</v>
      </c>
      <c r="D29" s="404">
        <f>D30</f>
        <v>10506</v>
      </c>
      <c r="E29" s="555">
        <f t="shared" si="0"/>
        <v>12360</v>
      </c>
      <c r="F29" s="555">
        <f>F30</f>
        <v>12360</v>
      </c>
      <c r="G29" s="555">
        <f>G30</f>
        <v>0</v>
      </c>
      <c r="H29" s="2365" t="s">
        <v>358</v>
      </c>
      <c r="I29" s="577"/>
      <c r="J29" s="385"/>
    </row>
    <row r="30" spans="1:11" s="361" customFormat="1" ht="47.25">
      <c r="A30" s="381" t="s">
        <v>146</v>
      </c>
      <c r="B30" s="401" t="s">
        <v>282</v>
      </c>
      <c r="C30" s="402">
        <v>12360</v>
      </c>
      <c r="D30" s="28">
        <f>C30*0.85</f>
        <v>10506</v>
      </c>
      <c r="E30" s="553">
        <f t="shared" si="0"/>
        <v>12360</v>
      </c>
      <c r="F30" s="553">
        <f>C30</f>
        <v>12360</v>
      </c>
      <c r="G30" s="553"/>
      <c r="H30" s="2366"/>
      <c r="I30" s="577"/>
      <c r="J30" s="385"/>
    </row>
    <row r="31" spans="1:11" ht="63">
      <c r="A31" s="348" t="s">
        <v>2</v>
      </c>
      <c r="B31" s="349" t="s">
        <v>313</v>
      </c>
      <c r="C31" s="414">
        <f>SUM(C32,C57)</f>
        <v>1171972</v>
      </c>
      <c r="D31" s="414">
        <f>SUM(D32,D57)</f>
        <v>996176.4</v>
      </c>
      <c r="E31" s="414">
        <f t="shared" si="0"/>
        <v>1040082.9</v>
      </c>
      <c r="F31" s="414">
        <f>SUM(F32,F57)</f>
        <v>656685.9</v>
      </c>
      <c r="G31" s="414">
        <f>SUM(G32,G57)</f>
        <v>383397</v>
      </c>
      <c r="H31" s="573" t="s">
        <v>353</v>
      </c>
      <c r="I31" s="577"/>
    </row>
    <row r="32" spans="1:11" ht="63">
      <c r="A32" s="348" t="s">
        <v>246</v>
      </c>
      <c r="B32" s="319" t="s">
        <v>314</v>
      </c>
      <c r="C32" s="414">
        <f>SUM(C33,C37)</f>
        <v>770986</v>
      </c>
      <c r="D32" s="414">
        <f>SUM(D33,D37)</f>
        <v>655338.19999999995</v>
      </c>
      <c r="E32" s="414">
        <f t="shared" si="0"/>
        <v>639096.9</v>
      </c>
      <c r="F32" s="414">
        <f>SUM(F33,F37)</f>
        <v>639096.9</v>
      </c>
      <c r="G32" s="414">
        <f>SUM(G33,G37)</f>
        <v>0</v>
      </c>
      <c r="H32" s="573" t="s">
        <v>353</v>
      </c>
      <c r="I32" s="577"/>
    </row>
    <row r="33" spans="1:10" s="361" customFormat="1" ht="31.5">
      <c r="A33" s="386" t="s">
        <v>247</v>
      </c>
      <c r="B33" s="387" t="s">
        <v>41</v>
      </c>
      <c r="C33" s="388">
        <f>C34</f>
        <v>595306</v>
      </c>
      <c r="D33" s="388">
        <f>D34</f>
        <v>506010.1</v>
      </c>
      <c r="E33" s="556">
        <f t="shared" si="0"/>
        <v>595306</v>
      </c>
      <c r="F33" s="556">
        <f>F34</f>
        <v>595306</v>
      </c>
      <c r="G33" s="556">
        <f>G34</f>
        <v>0</v>
      </c>
      <c r="H33" s="572" t="s">
        <v>353</v>
      </c>
      <c r="I33" s="577"/>
      <c r="J33" s="385"/>
    </row>
    <row r="34" spans="1:10" s="394" customFormat="1" ht="47.25">
      <c r="A34" s="392" t="s">
        <v>147</v>
      </c>
      <c r="B34" s="390" t="s">
        <v>87</v>
      </c>
      <c r="C34" s="27">
        <f>SUM(C35:C36)</f>
        <v>595306</v>
      </c>
      <c r="D34" s="27">
        <f>SUM(D35:D36)</f>
        <v>506010.1</v>
      </c>
      <c r="E34" s="27">
        <f t="shared" si="0"/>
        <v>595306</v>
      </c>
      <c r="F34" s="27">
        <f>SUM(F35:F36)</f>
        <v>595306</v>
      </c>
      <c r="G34" s="27">
        <f>SUM(G35:G36)</f>
        <v>0</v>
      </c>
      <c r="H34" s="2362" t="s">
        <v>359</v>
      </c>
      <c r="I34" s="577"/>
      <c r="J34" s="385"/>
    </row>
    <row r="35" spans="1:10" s="394" customFormat="1">
      <c r="A35" s="392"/>
      <c r="B35" s="390" t="s">
        <v>351</v>
      </c>
      <c r="C35" s="27">
        <v>168534</v>
      </c>
      <c r="D35" s="28">
        <f>C35*0.85</f>
        <v>143253.9</v>
      </c>
      <c r="E35" s="553">
        <f t="shared" si="0"/>
        <v>168534</v>
      </c>
      <c r="F35" s="553">
        <f>C35</f>
        <v>168534</v>
      </c>
      <c r="G35" s="553"/>
      <c r="H35" s="2363"/>
      <c r="I35" s="577"/>
      <c r="J35" s="385"/>
    </row>
    <row r="36" spans="1:10" s="394" customFormat="1">
      <c r="A36" s="392"/>
      <c r="B36" s="390" t="s">
        <v>352</v>
      </c>
      <c r="C36" s="27">
        <f>405433.4+21338.6</f>
        <v>426772</v>
      </c>
      <c r="D36" s="28">
        <f>C36*0.85</f>
        <v>362756.2</v>
      </c>
      <c r="E36" s="553">
        <f t="shared" si="0"/>
        <v>426772</v>
      </c>
      <c r="F36" s="553">
        <f>C36</f>
        <v>426772</v>
      </c>
      <c r="G36" s="553"/>
      <c r="H36" s="2364"/>
      <c r="I36" s="577"/>
      <c r="J36" s="385"/>
    </row>
    <row r="37" spans="1:10" s="361" customFormat="1" ht="31.5">
      <c r="A37" s="386" t="s">
        <v>248</v>
      </c>
      <c r="B37" s="387" t="s">
        <v>39</v>
      </c>
      <c r="C37" s="388">
        <f>SUM(C38:C56)</f>
        <v>175680</v>
      </c>
      <c r="D37" s="388">
        <f>SUM(D38:D56)</f>
        <v>149328.1</v>
      </c>
      <c r="E37" s="556">
        <f t="shared" si="0"/>
        <v>43790.9</v>
      </c>
      <c r="F37" s="556">
        <f>SUM(F38:F56)</f>
        <v>43790.9</v>
      </c>
      <c r="G37" s="556">
        <f>SUM(G38:G56)</f>
        <v>0</v>
      </c>
      <c r="H37" s="572" t="s">
        <v>353</v>
      </c>
      <c r="I37" s="577"/>
      <c r="J37" s="385"/>
    </row>
    <row r="38" spans="1:10" s="361" customFormat="1" ht="60">
      <c r="A38" s="405" t="s">
        <v>148</v>
      </c>
      <c r="B38" s="406" t="s">
        <v>284</v>
      </c>
      <c r="C38" s="407">
        <v>25000</v>
      </c>
      <c r="D38" s="28">
        <f t="shared" ref="D38:D56" si="1">C38*0.85</f>
        <v>21250</v>
      </c>
      <c r="E38" s="553">
        <f t="shared" si="0"/>
        <v>0</v>
      </c>
      <c r="F38" s="553">
        <v>0</v>
      </c>
      <c r="G38" s="553"/>
      <c r="H38" s="568" t="s">
        <v>360</v>
      </c>
      <c r="I38" s="577"/>
      <c r="J38" s="385"/>
    </row>
    <row r="39" spans="1:10" s="394" customFormat="1" ht="63">
      <c r="A39" s="397" t="s">
        <v>175</v>
      </c>
      <c r="B39" s="408" t="s">
        <v>285</v>
      </c>
      <c r="C39" s="407">
        <v>17250</v>
      </c>
      <c r="D39" s="28">
        <f t="shared" si="1"/>
        <v>14662.5</v>
      </c>
      <c r="E39" s="553">
        <f t="shared" si="0"/>
        <v>0</v>
      </c>
      <c r="F39" s="553">
        <v>0</v>
      </c>
      <c r="G39" s="553"/>
      <c r="H39" s="568" t="s">
        <v>361</v>
      </c>
      <c r="I39" s="577"/>
      <c r="J39" s="385"/>
    </row>
    <row r="40" spans="1:10" s="361" customFormat="1" ht="78.75">
      <c r="A40" s="405" t="s">
        <v>179</v>
      </c>
      <c r="B40" s="408" t="s">
        <v>286</v>
      </c>
      <c r="C40" s="407">
        <v>5300</v>
      </c>
      <c r="D40" s="28">
        <f t="shared" si="1"/>
        <v>4505</v>
      </c>
      <c r="E40" s="553">
        <f t="shared" si="0"/>
        <v>0</v>
      </c>
      <c r="F40" s="553">
        <v>0</v>
      </c>
      <c r="G40" s="553"/>
      <c r="H40" s="568" t="s">
        <v>361</v>
      </c>
      <c r="I40" s="577"/>
      <c r="J40" s="385"/>
    </row>
    <row r="41" spans="1:10" s="361" customFormat="1" ht="63">
      <c r="A41" s="405" t="s">
        <v>180</v>
      </c>
      <c r="B41" s="409" t="s">
        <v>287</v>
      </c>
      <c r="C41" s="410">
        <v>5700</v>
      </c>
      <c r="D41" s="28">
        <f t="shared" si="1"/>
        <v>4845</v>
      </c>
      <c r="E41" s="553">
        <f t="shared" si="0"/>
        <v>0</v>
      </c>
      <c r="F41" s="553">
        <v>0</v>
      </c>
      <c r="G41" s="553"/>
      <c r="H41" s="568" t="s">
        <v>361</v>
      </c>
      <c r="I41" s="577"/>
      <c r="J41" s="385"/>
    </row>
    <row r="42" spans="1:10" s="361" customFormat="1" ht="94.5">
      <c r="A42" s="405" t="s">
        <v>181</v>
      </c>
      <c r="B42" s="409" t="s">
        <v>288</v>
      </c>
      <c r="C42" s="410">
        <v>8457</v>
      </c>
      <c r="D42" s="28">
        <f t="shared" si="1"/>
        <v>7188.5</v>
      </c>
      <c r="E42" s="553">
        <f t="shared" si="0"/>
        <v>0</v>
      </c>
      <c r="F42" s="553">
        <v>0</v>
      </c>
      <c r="G42" s="553"/>
      <c r="H42" s="568" t="s">
        <v>361</v>
      </c>
      <c r="I42" s="577"/>
      <c r="J42" s="385"/>
    </row>
    <row r="43" spans="1:10" s="361" customFormat="1" ht="78.75">
      <c r="A43" s="405" t="s">
        <v>182</v>
      </c>
      <c r="B43" s="409" t="s">
        <v>289</v>
      </c>
      <c r="C43" s="410">
        <v>9650</v>
      </c>
      <c r="D43" s="28">
        <f t="shared" si="1"/>
        <v>8202.5</v>
      </c>
      <c r="E43" s="553">
        <f t="shared" si="0"/>
        <v>0</v>
      </c>
      <c r="F43" s="553">
        <v>0</v>
      </c>
      <c r="G43" s="553"/>
      <c r="H43" s="568" t="s">
        <v>361</v>
      </c>
      <c r="I43" s="577"/>
      <c r="J43" s="385"/>
    </row>
    <row r="44" spans="1:10" s="361" customFormat="1" ht="63">
      <c r="A44" s="405" t="s">
        <v>183</v>
      </c>
      <c r="B44" s="409" t="s">
        <v>290</v>
      </c>
      <c r="C44" s="410">
        <v>7300</v>
      </c>
      <c r="D44" s="28">
        <f t="shared" si="1"/>
        <v>6205</v>
      </c>
      <c r="E44" s="553">
        <f t="shared" si="0"/>
        <v>0</v>
      </c>
      <c r="F44" s="553">
        <v>0</v>
      </c>
      <c r="G44" s="553"/>
      <c r="H44" s="568" t="s">
        <v>361</v>
      </c>
      <c r="I44" s="577"/>
      <c r="J44" s="385"/>
    </row>
    <row r="45" spans="1:10" s="361" customFormat="1" ht="63">
      <c r="A45" s="405" t="s">
        <v>188</v>
      </c>
      <c r="B45" s="409" t="s">
        <v>291</v>
      </c>
      <c r="C45" s="410">
        <v>8800</v>
      </c>
      <c r="D45" s="28">
        <f t="shared" si="1"/>
        <v>7480</v>
      </c>
      <c r="E45" s="553">
        <f t="shared" si="0"/>
        <v>0</v>
      </c>
      <c r="F45" s="553">
        <v>0</v>
      </c>
      <c r="G45" s="553"/>
      <c r="H45" s="568" t="s">
        <v>361</v>
      </c>
      <c r="I45" s="577"/>
      <c r="J45" s="385"/>
    </row>
    <row r="46" spans="1:10" s="361" customFormat="1" ht="78.75">
      <c r="A46" s="405" t="s">
        <v>189</v>
      </c>
      <c r="B46" s="409" t="s">
        <v>292</v>
      </c>
      <c r="C46" s="410">
        <v>6600</v>
      </c>
      <c r="D46" s="28">
        <f t="shared" si="1"/>
        <v>5610</v>
      </c>
      <c r="E46" s="553">
        <f t="shared" si="0"/>
        <v>0</v>
      </c>
      <c r="F46" s="553">
        <v>0</v>
      </c>
      <c r="G46" s="553"/>
      <c r="H46" s="568" t="s">
        <v>361</v>
      </c>
      <c r="I46" s="577"/>
      <c r="J46" s="385"/>
    </row>
    <row r="47" spans="1:10" s="361" customFormat="1" ht="75">
      <c r="A47" s="405" t="s">
        <v>190</v>
      </c>
      <c r="B47" s="408" t="s">
        <v>293</v>
      </c>
      <c r="C47" s="407">
        <v>35972</v>
      </c>
      <c r="D47" s="28">
        <f t="shared" si="1"/>
        <v>30576.2</v>
      </c>
      <c r="E47" s="553">
        <f t="shared" si="0"/>
        <v>35972</v>
      </c>
      <c r="F47" s="553">
        <f>C47</f>
        <v>35972</v>
      </c>
      <c r="G47" s="553"/>
      <c r="H47" s="571" t="s">
        <v>362</v>
      </c>
      <c r="I47" s="577"/>
      <c r="J47" s="385"/>
    </row>
    <row r="48" spans="1:10" s="361" customFormat="1" ht="120">
      <c r="A48" s="405" t="s">
        <v>191</v>
      </c>
      <c r="B48" s="408" t="s">
        <v>294</v>
      </c>
      <c r="C48" s="407">
        <v>4727</v>
      </c>
      <c r="D48" s="28">
        <f>C48*0.85</f>
        <v>4018</v>
      </c>
      <c r="E48" s="553">
        <f t="shared" si="0"/>
        <v>4410.8999999999996</v>
      </c>
      <c r="F48" s="553">
        <v>4410.8999999999996</v>
      </c>
      <c r="G48" s="553"/>
      <c r="H48" s="571" t="s">
        <v>380</v>
      </c>
      <c r="I48" s="577"/>
      <c r="J48" s="385"/>
    </row>
    <row r="49" spans="1:10" s="361" customFormat="1" ht="135">
      <c r="A49" s="405" t="s">
        <v>192</v>
      </c>
      <c r="B49" s="408" t="s">
        <v>295</v>
      </c>
      <c r="C49" s="407">
        <v>3408</v>
      </c>
      <c r="D49" s="28">
        <f t="shared" si="1"/>
        <v>2896.8</v>
      </c>
      <c r="E49" s="553">
        <f t="shared" si="0"/>
        <v>3408</v>
      </c>
      <c r="F49" s="553">
        <f>C49</f>
        <v>3408</v>
      </c>
      <c r="G49" s="553"/>
      <c r="H49" s="571" t="s">
        <v>363</v>
      </c>
      <c r="I49" s="577"/>
      <c r="J49" s="385"/>
    </row>
    <row r="50" spans="1:10" s="361" customFormat="1" ht="63">
      <c r="A50" s="405" t="s">
        <v>195</v>
      </c>
      <c r="B50" s="408" t="s">
        <v>296</v>
      </c>
      <c r="C50" s="407">
        <v>11052</v>
      </c>
      <c r="D50" s="28">
        <f t="shared" si="1"/>
        <v>9394.2000000000007</v>
      </c>
      <c r="E50" s="553">
        <f t="shared" si="0"/>
        <v>0</v>
      </c>
      <c r="F50" s="553">
        <v>0</v>
      </c>
      <c r="G50" s="553"/>
      <c r="H50" s="568" t="s">
        <v>361</v>
      </c>
      <c r="I50" s="577"/>
      <c r="J50" s="385"/>
    </row>
    <row r="51" spans="1:10" s="361" customFormat="1" ht="63">
      <c r="A51" s="405" t="s">
        <v>196</v>
      </c>
      <c r="B51" s="408" t="s">
        <v>297</v>
      </c>
      <c r="C51" s="407">
        <v>1000</v>
      </c>
      <c r="D51" s="28">
        <f t="shared" si="1"/>
        <v>850</v>
      </c>
      <c r="E51" s="553">
        <f t="shared" si="0"/>
        <v>0</v>
      </c>
      <c r="F51" s="553">
        <v>0</v>
      </c>
      <c r="G51" s="553"/>
      <c r="H51" s="568" t="s">
        <v>361</v>
      </c>
      <c r="I51" s="577"/>
      <c r="J51" s="385"/>
    </row>
    <row r="52" spans="1:10" s="361" customFormat="1" ht="63">
      <c r="A52" s="405" t="s">
        <v>198</v>
      </c>
      <c r="B52" s="408" t="s">
        <v>299</v>
      </c>
      <c r="C52" s="407">
        <v>650</v>
      </c>
      <c r="D52" s="28">
        <f t="shared" si="1"/>
        <v>552.5</v>
      </c>
      <c r="E52" s="553">
        <f t="shared" si="0"/>
        <v>0</v>
      </c>
      <c r="F52" s="553">
        <v>0</v>
      </c>
      <c r="G52" s="553"/>
      <c r="H52" s="568" t="s">
        <v>361</v>
      </c>
      <c r="I52" s="577"/>
      <c r="J52" s="385"/>
    </row>
    <row r="53" spans="1:10" s="361" customFormat="1" ht="63">
      <c r="A53" s="405" t="s">
        <v>298</v>
      </c>
      <c r="B53" s="408" t="s">
        <v>300</v>
      </c>
      <c r="C53" s="407">
        <v>350</v>
      </c>
      <c r="D53" s="28">
        <f t="shared" si="1"/>
        <v>297.5</v>
      </c>
      <c r="E53" s="553">
        <f t="shared" si="0"/>
        <v>0</v>
      </c>
      <c r="F53" s="553">
        <v>0</v>
      </c>
      <c r="G53" s="553"/>
      <c r="H53" s="568" t="s">
        <v>361</v>
      </c>
      <c r="I53" s="577"/>
      <c r="J53" s="385"/>
    </row>
    <row r="54" spans="1:10" s="361" customFormat="1" ht="63">
      <c r="A54" s="405" t="s">
        <v>204</v>
      </c>
      <c r="B54" s="408" t="s">
        <v>301</v>
      </c>
      <c r="C54" s="407">
        <v>260</v>
      </c>
      <c r="D54" s="28">
        <f t="shared" si="1"/>
        <v>221</v>
      </c>
      <c r="E54" s="553">
        <f t="shared" si="0"/>
        <v>0</v>
      </c>
      <c r="F54" s="553">
        <v>0</v>
      </c>
      <c r="G54" s="553"/>
      <c r="H54" s="568" t="s">
        <v>361</v>
      </c>
      <c r="I54" s="577"/>
      <c r="J54" s="385"/>
    </row>
    <row r="55" spans="1:10" s="361" customFormat="1" ht="90">
      <c r="A55" s="405" t="s">
        <v>205</v>
      </c>
      <c r="B55" s="408" t="s">
        <v>303</v>
      </c>
      <c r="C55" s="407">
        <v>13524</v>
      </c>
      <c r="D55" s="28">
        <f t="shared" si="1"/>
        <v>11495.4</v>
      </c>
      <c r="E55" s="553">
        <f t="shared" si="0"/>
        <v>0</v>
      </c>
      <c r="F55" s="553">
        <v>0</v>
      </c>
      <c r="G55" s="553"/>
      <c r="H55" s="568" t="s">
        <v>364</v>
      </c>
      <c r="I55" s="577"/>
      <c r="J55" s="385"/>
    </row>
    <row r="56" spans="1:10" s="361" customFormat="1" ht="60">
      <c r="A56" s="405" t="s">
        <v>302</v>
      </c>
      <c r="B56" s="406" t="s">
        <v>304</v>
      </c>
      <c r="C56" s="407">
        <v>10680</v>
      </c>
      <c r="D56" s="28">
        <f t="shared" si="1"/>
        <v>9078</v>
      </c>
      <c r="E56" s="553">
        <f t="shared" si="0"/>
        <v>0</v>
      </c>
      <c r="F56" s="553">
        <v>0</v>
      </c>
      <c r="G56" s="553"/>
      <c r="H56" s="568" t="s">
        <v>365</v>
      </c>
      <c r="I56" s="577"/>
      <c r="J56" s="385"/>
    </row>
    <row r="57" spans="1:10" ht="63">
      <c r="A57" s="348" t="s">
        <v>249</v>
      </c>
      <c r="B57" s="319" t="s">
        <v>315</v>
      </c>
      <c r="C57" s="414">
        <f>SUM(C58,C61)</f>
        <v>400986</v>
      </c>
      <c r="D57" s="414">
        <f>SUM(D58,D61)</f>
        <v>340838.2</v>
      </c>
      <c r="E57" s="551">
        <f t="shared" si="0"/>
        <v>400986</v>
      </c>
      <c r="F57" s="551">
        <f>SUM(F58,F61)</f>
        <v>17589</v>
      </c>
      <c r="G57" s="551">
        <f>SUM(G58,G61)</f>
        <v>383397</v>
      </c>
      <c r="H57" s="573" t="s">
        <v>353</v>
      </c>
      <c r="I57" s="577"/>
    </row>
    <row r="58" spans="1:10" s="361" customFormat="1" ht="31.5">
      <c r="A58" s="386" t="s">
        <v>250</v>
      </c>
      <c r="B58" s="387" t="s">
        <v>41</v>
      </c>
      <c r="C58" s="388">
        <f>SUM(C59:C60)</f>
        <v>367273</v>
      </c>
      <c r="D58" s="388">
        <f>SUM(D59:D60)</f>
        <v>312182.09999999998</v>
      </c>
      <c r="E58" s="556">
        <f t="shared" si="0"/>
        <v>367273</v>
      </c>
      <c r="F58" s="556">
        <f>SUM(F59:F60)</f>
        <v>5200</v>
      </c>
      <c r="G58" s="556">
        <f>SUM(G59:G60)</f>
        <v>362073</v>
      </c>
      <c r="H58" s="572" t="s">
        <v>353</v>
      </c>
      <c r="I58" s="577"/>
      <c r="J58" s="385"/>
    </row>
    <row r="59" spans="1:10" s="394" customFormat="1" ht="31.5">
      <c r="A59" s="392" t="s">
        <v>210</v>
      </c>
      <c r="B59" s="390" t="s">
        <v>305</v>
      </c>
      <c r="C59" s="27">
        <v>5200</v>
      </c>
      <c r="D59" s="28">
        <f>C59*0.85</f>
        <v>4420</v>
      </c>
      <c r="E59" s="553">
        <f t="shared" si="0"/>
        <v>5200</v>
      </c>
      <c r="F59" s="553">
        <v>5200</v>
      </c>
      <c r="G59" s="553"/>
      <c r="H59" s="569" t="s">
        <v>375</v>
      </c>
      <c r="I59" s="577"/>
      <c r="J59" s="385"/>
    </row>
    <row r="60" spans="1:10" s="394" customFormat="1" ht="75">
      <c r="A60" s="397" t="s">
        <v>207</v>
      </c>
      <c r="B60" s="390" t="s">
        <v>306</v>
      </c>
      <c r="C60" s="27">
        <f>49320+312753</f>
        <v>362073</v>
      </c>
      <c r="D60" s="28">
        <f>C60*0.85</f>
        <v>307762.09999999998</v>
      </c>
      <c r="E60" s="553">
        <f t="shared" si="0"/>
        <v>362073</v>
      </c>
      <c r="F60" s="553">
        <v>0</v>
      </c>
      <c r="G60" s="553">
        <f>C60-F60</f>
        <v>362073</v>
      </c>
      <c r="H60" s="569" t="s">
        <v>383</v>
      </c>
      <c r="I60" s="577"/>
      <c r="J60" s="385"/>
    </row>
    <row r="61" spans="1:10" s="361" customFormat="1" ht="31.5">
      <c r="A61" s="386" t="s">
        <v>251</v>
      </c>
      <c r="B61" s="387" t="s">
        <v>39</v>
      </c>
      <c r="C61" s="388">
        <f>SUM(C62)</f>
        <v>33713</v>
      </c>
      <c r="D61" s="388">
        <f>SUM(D62)</f>
        <v>28656.1</v>
      </c>
      <c r="E61" s="556">
        <f t="shared" si="0"/>
        <v>33713</v>
      </c>
      <c r="F61" s="556">
        <f>SUM(F62)</f>
        <v>12389</v>
      </c>
      <c r="G61" s="556">
        <f>SUM(G62)</f>
        <v>21324</v>
      </c>
      <c r="H61" s="572" t="s">
        <v>353</v>
      </c>
      <c r="I61" s="577"/>
      <c r="J61" s="385"/>
    </row>
    <row r="62" spans="1:10" s="361" customFormat="1" ht="105">
      <c r="A62" s="405" t="s">
        <v>208</v>
      </c>
      <c r="B62" s="408" t="s">
        <v>307</v>
      </c>
      <c r="C62" s="407">
        <v>33713</v>
      </c>
      <c r="D62" s="28">
        <f>C62*0.85</f>
        <v>28656.1</v>
      </c>
      <c r="E62" s="553">
        <f t="shared" si="0"/>
        <v>33713</v>
      </c>
      <c r="F62" s="553">
        <v>12389</v>
      </c>
      <c r="G62" s="553">
        <f>C62-F62</f>
        <v>21324</v>
      </c>
      <c r="H62" s="568" t="s">
        <v>381</v>
      </c>
      <c r="I62" s="577"/>
      <c r="J62" s="385"/>
    </row>
    <row r="63" spans="1:10" s="376" customFormat="1" ht="18.75" hidden="1">
      <c r="A63" s="2354"/>
      <c r="B63" s="2354"/>
      <c r="C63" s="412"/>
      <c r="D63" s="412"/>
      <c r="E63" s="557">
        <f t="shared" si="0"/>
        <v>0</v>
      </c>
      <c r="F63" s="557"/>
      <c r="G63" s="557"/>
      <c r="H63" s="567"/>
      <c r="I63" s="577"/>
    </row>
    <row r="64" spans="1:10" hidden="1">
      <c r="A64" s="348"/>
      <c r="B64" s="349"/>
      <c r="C64" s="414"/>
      <c r="D64" s="414"/>
      <c r="E64" s="551">
        <f t="shared" si="0"/>
        <v>0</v>
      </c>
      <c r="F64" s="551"/>
      <c r="G64" s="551"/>
      <c r="H64" s="567"/>
      <c r="I64" s="577"/>
    </row>
    <row r="65" spans="1:10" hidden="1">
      <c r="A65" s="415"/>
      <c r="B65" s="416"/>
      <c r="C65" s="403"/>
      <c r="D65" s="403"/>
      <c r="E65" s="552">
        <f t="shared" si="0"/>
        <v>0</v>
      </c>
      <c r="F65" s="552"/>
      <c r="G65" s="552"/>
      <c r="H65" s="567"/>
      <c r="I65" s="577"/>
    </row>
    <row r="66" spans="1:10" s="361" customFormat="1" hidden="1">
      <c r="A66" s="381"/>
      <c r="B66" s="382"/>
      <c r="C66" s="411"/>
      <c r="D66" s="28"/>
      <c r="E66" s="553">
        <f t="shared" si="0"/>
        <v>0</v>
      </c>
      <c r="F66" s="553"/>
      <c r="G66" s="553"/>
      <c r="H66" s="568"/>
      <c r="I66" s="577"/>
      <c r="J66" s="385"/>
    </row>
    <row r="67" spans="1:10" s="361" customFormat="1" hidden="1">
      <c r="A67" s="381"/>
      <c r="B67" s="382"/>
      <c r="C67" s="411"/>
      <c r="D67" s="28"/>
      <c r="E67" s="553">
        <f t="shared" si="0"/>
        <v>0</v>
      </c>
      <c r="F67" s="553"/>
      <c r="G67" s="553"/>
      <c r="H67" s="568"/>
      <c r="I67" s="577"/>
      <c r="J67" s="385"/>
    </row>
    <row r="68" spans="1:10" s="361" customFormat="1" hidden="1">
      <c r="A68" s="381"/>
      <c r="B68" s="382"/>
      <c r="C68" s="411"/>
      <c r="D68" s="28"/>
      <c r="E68" s="553">
        <f t="shared" si="0"/>
        <v>0</v>
      </c>
      <c r="F68" s="553"/>
      <c r="G68" s="553"/>
      <c r="H68" s="568"/>
      <c r="I68" s="577"/>
      <c r="J68" s="385"/>
    </row>
    <row r="69" spans="1:10" hidden="1">
      <c r="A69" s="415"/>
      <c r="B69" s="416"/>
      <c r="C69" s="403"/>
      <c r="D69" s="403"/>
      <c r="E69" s="552">
        <f t="shared" si="0"/>
        <v>0</v>
      </c>
      <c r="F69" s="552"/>
      <c r="G69" s="552"/>
      <c r="H69" s="567"/>
      <c r="I69" s="577"/>
    </row>
    <row r="70" spans="1:10" s="361" customFormat="1" hidden="1">
      <c r="A70" s="381"/>
      <c r="B70" s="382"/>
      <c r="C70" s="411"/>
      <c r="D70" s="28"/>
      <c r="E70" s="553">
        <f t="shared" si="0"/>
        <v>0</v>
      </c>
      <c r="F70" s="553"/>
      <c r="G70" s="553"/>
      <c r="H70" s="568"/>
      <c r="I70" s="577"/>
      <c r="J70" s="385"/>
    </row>
    <row r="71" spans="1:10" s="361" customFormat="1" hidden="1">
      <c r="A71" s="381"/>
      <c r="B71" s="382"/>
      <c r="C71" s="411"/>
      <c r="D71" s="28"/>
      <c r="E71" s="553">
        <f t="shared" si="0"/>
        <v>0</v>
      </c>
      <c r="F71" s="553"/>
      <c r="G71" s="553"/>
      <c r="H71" s="568"/>
      <c r="I71" s="577"/>
      <c r="J71" s="385"/>
    </row>
    <row r="72" spans="1:10" s="361" customFormat="1" hidden="1">
      <c r="A72" s="381"/>
      <c r="B72" s="382"/>
      <c r="C72" s="411"/>
      <c r="D72" s="28"/>
      <c r="E72" s="553">
        <f t="shared" si="0"/>
        <v>0</v>
      </c>
      <c r="F72" s="553"/>
      <c r="G72" s="553"/>
      <c r="H72" s="568"/>
      <c r="I72" s="577"/>
      <c r="J72" s="385"/>
    </row>
    <row r="73" spans="1:10" s="361" customFormat="1" hidden="1">
      <c r="A73" s="381"/>
      <c r="B73" s="382"/>
      <c r="C73" s="411"/>
      <c r="D73" s="28"/>
      <c r="E73" s="553">
        <f t="shared" si="0"/>
        <v>0</v>
      </c>
      <c r="F73" s="553"/>
      <c r="G73" s="553"/>
      <c r="H73" s="568"/>
      <c r="I73" s="577"/>
      <c r="J73" s="385"/>
    </row>
    <row r="74" spans="1:10" s="361" customFormat="1" hidden="1">
      <c r="A74" s="381"/>
      <c r="B74" s="382"/>
      <c r="C74" s="411"/>
      <c r="D74" s="28"/>
      <c r="E74" s="553">
        <f t="shared" si="0"/>
        <v>0</v>
      </c>
      <c r="F74" s="553"/>
      <c r="G74" s="553"/>
      <c r="H74" s="568"/>
      <c r="I74" s="577"/>
      <c r="J74" s="385"/>
    </row>
    <row r="75" spans="1:10" s="361" customFormat="1" hidden="1">
      <c r="A75" s="381"/>
      <c r="B75" s="383"/>
      <c r="C75" s="411"/>
      <c r="D75" s="28"/>
      <c r="E75" s="553">
        <f t="shared" ref="E75:E80" si="2">SUM(F75:G75)</f>
        <v>0</v>
      </c>
      <c r="F75" s="553"/>
      <c r="G75" s="580"/>
      <c r="H75" s="570"/>
      <c r="I75" s="577"/>
    </row>
    <row r="76" spans="1:10">
      <c r="A76" s="359"/>
      <c r="B76" s="363" t="s">
        <v>309</v>
      </c>
      <c r="C76" s="364"/>
      <c r="D76" s="364"/>
      <c r="E76" s="364"/>
      <c r="F76" s="364"/>
      <c r="G76" s="582"/>
      <c r="H76" s="583"/>
      <c r="I76" s="577"/>
    </row>
    <row r="77" spans="1:10" s="427" customFormat="1">
      <c r="A77" s="2371" t="s">
        <v>373</v>
      </c>
      <c r="B77" s="2371"/>
      <c r="C77" s="578">
        <f>C78+C79+C80+C87+C88+C89</f>
        <v>1412303</v>
      </c>
      <c r="D77" s="578">
        <f>D78+D79+D80+D87+D88+D89</f>
        <v>1200457.8999999999</v>
      </c>
      <c r="E77" s="578">
        <f>E78+E79+E80+E87+E88+E89</f>
        <v>1280413.8999999999</v>
      </c>
      <c r="F77" s="578">
        <f>F78+F79+F80+F87+F88+F89</f>
        <v>856090.9</v>
      </c>
      <c r="G77" s="581">
        <f>G78+G79+G80+G87+G88+G89</f>
        <v>424323</v>
      </c>
      <c r="H77" s="563"/>
      <c r="I77" s="579"/>
    </row>
    <row r="78" spans="1:10" ht="49.5" customHeight="1">
      <c r="A78" s="2352" t="s">
        <v>87</v>
      </c>
      <c r="B78" s="2353"/>
      <c r="C78" s="384">
        <f>SUM(C34,C16)</f>
        <v>778226</v>
      </c>
      <c r="D78" s="384">
        <f>SUM(D34,D16)</f>
        <v>661492.19999999995</v>
      </c>
      <c r="E78" s="384">
        <f t="shared" si="2"/>
        <v>778226</v>
      </c>
      <c r="F78" s="384">
        <f>SUM(F34,F16)</f>
        <v>778226</v>
      </c>
      <c r="G78" s="384">
        <f>SUM(G34,G16)</f>
        <v>0</v>
      </c>
      <c r="H78" s="567"/>
      <c r="I78" s="577"/>
    </row>
    <row r="79" spans="1:10" ht="34.5" customHeight="1">
      <c r="A79" s="2352" t="s">
        <v>308</v>
      </c>
      <c r="B79" s="2353"/>
      <c r="C79" s="421">
        <f>SUM(C21,C24)</f>
        <v>22660</v>
      </c>
      <c r="D79" s="421">
        <f>SUM(D21,D24)</f>
        <v>19261</v>
      </c>
      <c r="E79" s="421">
        <f t="shared" si="2"/>
        <v>22660</v>
      </c>
      <c r="F79" s="421">
        <f>SUM(F21,F24)</f>
        <v>0</v>
      </c>
      <c r="G79" s="421">
        <f>SUM(G21,G24)</f>
        <v>22660</v>
      </c>
      <c r="H79" s="567"/>
      <c r="I79" s="577"/>
    </row>
    <row r="80" spans="1:10">
      <c r="A80" s="2355" t="s">
        <v>312</v>
      </c>
      <c r="B80" s="2356"/>
      <c r="C80" s="384">
        <f>SUM(C39:C56)</f>
        <v>150680</v>
      </c>
      <c r="D80" s="384">
        <f>SUM(D39:D56)</f>
        <v>128078.1</v>
      </c>
      <c r="E80" s="384">
        <f t="shared" si="2"/>
        <v>43790.9</v>
      </c>
      <c r="F80" s="384">
        <f>SUM(F39:F56)</f>
        <v>43790.9</v>
      </c>
      <c r="G80" s="384">
        <f>SUM(G39:G56)</f>
        <v>0</v>
      </c>
      <c r="H80" s="567"/>
      <c r="I80" s="577"/>
    </row>
    <row r="81" spans="1:9" hidden="1">
      <c r="C81" s="370"/>
      <c r="D81" s="370"/>
      <c r="E81" s="370"/>
      <c r="F81" s="370"/>
      <c r="G81" s="370"/>
      <c r="I81" s="577"/>
    </row>
    <row r="82" spans="1:9" hidden="1">
      <c r="B82" s="369"/>
      <c r="C82" s="370"/>
      <c r="D82" s="370"/>
      <c r="E82" s="370"/>
      <c r="F82" s="370"/>
      <c r="G82" s="370"/>
      <c r="I82" s="577"/>
    </row>
    <row r="83" spans="1:9" hidden="1">
      <c r="B83" s="452" t="s">
        <v>310</v>
      </c>
      <c r="C83" s="454"/>
      <c r="D83" s="454"/>
      <c r="E83" s="454"/>
      <c r="F83" s="454"/>
      <c r="G83" s="454"/>
      <c r="I83" s="577"/>
    </row>
    <row r="84" spans="1:9" hidden="1">
      <c r="B84" s="353"/>
      <c r="C84" s="353"/>
      <c r="D84" s="353"/>
      <c r="E84" s="353"/>
      <c r="F84" s="353"/>
      <c r="G84" s="353"/>
      <c r="I84" s="577"/>
    </row>
    <row r="85" spans="1:9" hidden="1">
      <c r="B85" s="353"/>
      <c r="C85" s="353"/>
      <c r="D85" s="353"/>
      <c r="E85" s="353"/>
      <c r="F85" s="353"/>
      <c r="G85" s="353"/>
      <c r="I85" s="577"/>
    </row>
    <row r="86" spans="1:9" hidden="1">
      <c r="B86" s="353"/>
      <c r="C86" s="353"/>
      <c r="D86" s="353"/>
      <c r="E86" s="353"/>
      <c r="F86" s="353"/>
      <c r="G86" s="353"/>
      <c r="I86" s="577"/>
    </row>
    <row r="87" spans="1:9">
      <c r="A87" s="2355" t="s">
        <v>372</v>
      </c>
      <c r="B87" s="2356"/>
      <c r="C87" s="384">
        <f>C60+C62</f>
        <v>395786</v>
      </c>
      <c r="D87" s="384">
        <f>D60+D62</f>
        <v>336418.2</v>
      </c>
      <c r="E87" s="384">
        <f>E60+E62</f>
        <v>395786</v>
      </c>
      <c r="F87" s="384">
        <f>F60+F62</f>
        <v>12389</v>
      </c>
      <c r="G87" s="384">
        <f>G60+G62</f>
        <v>383397</v>
      </c>
      <c r="H87" s="567"/>
      <c r="I87" s="577"/>
    </row>
    <row r="88" spans="1:9">
      <c r="A88" s="2355" t="s">
        <v>371</v>
      </c>
      <c r="B88" s="2356"/>
      <c r="C88" s="384">
        <f>C59</f>
        <v>5200</v>
      </c>
      <c r="D88" s="384">
        <f>D59</f>
        <v>4420</v>
      </c>
      <c r="E88" s="384">
        <f>E59</f>
        <v>5200</v>
      </c>
      <c r="F88" s="384">
        <f>F59</f>
        <v>5200</v>
      </c>
      <c r="G88" s="384">
        <f>G59</f>
        <v>0</v>
      </c>
      <c r="H88" s="567"/>
      <c r="I88" s="577"/>
    </row>
    <row r="89" spans="1:9" ht="31.5" customHeight="1">
      <c r="A89" s="2355" t="s">
        <v>374</v>
      </c>
      <c r="B89" s="2356"/>
      <c r="C89" s="384">
        <f>SUM(C28,C30,C38,C20)</f>
        <v>59751</v>
      </c>
      <c r="D89" s="384">
        <f>SUM(D28,D30,D38,D20)</f>
        <v>50788.4</v>
      </c>
      <c r="E89" s="384">
        <f>SUM(E28,E30,E38,E20)</f>
        <v>34751</v>
      </c>
      <c r="F89" s="384">
        <f>SUM(F28,F30,F38,F20)</f>
        <v>16485</v>
      </c>
      <c r="G89" s="384">
        <f>SUM(G28,G30,G38,G20)</f>
        <v>18266</v>
      </c>
      <c r="H89" s="567"/>
      <c r="I89" s="577"/>
    </row>
    <row r="90" spans="1:9" ht="31.5" customHeight="1">
      <c r="A90" s="586"/>
      <c r="B90" s="586"/>
      <c r="C90" s="587"/>
      <c r="D90" s="587"/>
      <c r="E90" s="587"/>
      <c r="F90" s="587"/>
      <c r="G90" s="587"/>
      <c r="H90" s="575"/>
      <c r="I90" s="577"/>
    </row>
    <row r="91" spans="1:9" ht="31.5" customHeight="1">
      <c r="A91" s="586"/>
      <c r="B91" s="586"/>
      <c r="C91" s="587"/>
      <c r="D91" s="587"/>
      <c r="E91" s="587"/>
      <c r="F91" s="587">
        <f>F80+F87+F88+F89</f>
        <v>77864.899999999994</v>
      </c>
      <c r="G91" s="587"/>
      <c r="H91" s="575"/>
      <c r="I91" s="577"/>
    </row>
    <row r="92" spans="1:9" ht="31.5" customHeight="1">
      <c r="A92" s="586"/>
      <c r="B92" s="586"/>
      <c r="C92" s="587"/>
      <c r="D92" s="587"/>
      <c r="E92" s="587"/>
      <c r="F92" s="587"/>
      <c r="G92" s="587"/>
      <c r="H92" s="575"/>
      <c r="I92" s="577"/>
    </row>
    <row r="93" spans="1:9" ht="31.5" customHeight="1">
      <c r="A93" s="586"/>
      <c r="B93" s="586"/>
      <c r="C93" s="587"/>
      <c r="D93" s="587"/>
      <c r="E93" s="587"/>
      <c r="F93" s="587"/>
      <c r="G93" s="587"/>
      <c r="H93" s="575"/>
      <c r="I93" s="577"/>
    </row>
    <row r="94" spans="1:9">
      <c r="B94" s="456" t="s">
        <v>311</v>
      </c>
      <c r="C94" s="356"/>
      <c r="D94" s="356"/>
      <c r="E94" s="356"/>
      <c r="F94" s="356"/>
      <c r="G94" s="356"/>
      <c r="I94" s="577"/>
    </row>
    <row r="95" spans="1:9">
      <c r="B95" s="459"/>
      <c r="I95" s="577"/>
    </row>
    <row r="97" spans="3:7">
      <c r="C97" s="385"/>
      <c r="D97" s="385"/>
      <c r="E97" s="385"/>
      <c r="F97" s="385"/>
      <c r="G97" s="385"/>
    </row>
  </sheetData>
  <mergeCells count="27">
    <mergeCell ref="A88:B88"/>
    <mergeCell ref="A79:B79"/>
    <mergeCell ref="A80:B80"/>
    <mergeCell ref="A89:B89"/>
    <mergeCell ref="A77:B77"/>
    <mergeCell ref="A63:B63"/>
    <mergeCell ref="A78:B78"/>
    <mergeCell ref="H34:H36"/>
    <mergeCell ref="E7:E8"/>
    <mergeCell ref="A87:B87"/>
    <mergeCell ref="A13:B13"/>
    <mergeCell ref="C7:C8"/>
    <mergeCell ref="D7:D8"/>
    <mergeCell ref="H19:H20"/>
    <mergeCell ref="H29:H30"/>
    <mergeCell ref="H24:H25"/>
    <mergeCell ref="H7:H8"/>
    <mergeCell ref="A1:B1"/>
    <mergeCell ref="A7:A8"/>
    <mergeCell ref="B7:B8"/>
    <mergeCell ref="H16:H18"/>
    <mergeCell ref="H27:H28"/>
    <mergeCell ref="F7:G7"/>
    <mergeCell ref="H21:H22"/>
    <mergeCell ref="A4:H4"/>
    <mergeCell ref="A3:H3"/>
    <mergeCell ref="A5:H5"/>
  </mergeCells>
  <pageMargins left="0.55118110236220474" right="0.31496062992125984" top="0.23622047244094491" bottom="0.23622047244094491" header="0" footer="0"/>
  <pageSetup paperSize="9" scale="45" fitToHeight="2" orientation="portrait" r:id="rId1"/>
  <headerFooter alignWithMargins="0">
    <oddFooter>&amp;C&amp;Z&amp;F</oddFooter>
  </headerFooter>
  <customProperties>
    <customPr name="krista_fm_consts" r:id="rId2"/>
  </customProperties>
</worksheet>
</file>

<file path=xl/worksheets/sheet15.xml><?xml version="1.0" encoding="utf-8"?>
<worksheet xmlns="http://schemas.openxmlformats.org/spreadsheetml/2006/main" xmlns:r="http://schemas.openxmlformats.org/officeDocument/2006/relationships">
  <sheetPr>
    <pageSetUpPr fitToPage="1"/>
  </sheetPr>
  <dimension ref="A1:Q84"/>
  <sheetViews>
    <sheetView view="pageBreakPreview" topLeftCell="A6" zoomScale="87" zoomScaleSheetLayoutView="87" workbookViewId="0">
      <pane xSplit="2" ySplit="8" topLeftCell="H20" activePane="bottomRight" state="frozen"/>
      <selection activeCell="A6" sqref="A6"/>
      <selection pane="topRight" activeCell="C6" sqref="C6"/>
      <selection pane="bottomLeft" activeCell="A14" sqref="A14"/>
      <selection pane="bottomRight" activeCell="N68" sqref="N68"/>
    </sheetView>
  </sheetViews>
  <sheetFormatPr defaultColWidth="9.140625" defaultRowHeight="15.75"/>
  <cols>
    <col min="1" max="1" width="5.42578125" style="466" customWidth="1"/>
    <col min="2" max="2" width="149.5703125" style="466" customWidth="1"/>
    <col min="3" max="3" width="14" style="466" hidden="1" customWidth="1"/>
    <col min="4" max="4" width="14.42578125" style="466" hidden="1" customWidth="1"/>
    <col min="5" max="5" width="12.140625" style="466" hidden="1" customWidth="1"/>
    <col min="6" max="6" width="16.85546875" style="466" customWidth="1"/>
    <col min="7" max="7" width="15.42578125" style="466" customWidth="1"/>
    <col min="8" max="8" width="17.7109375" style="466" customWidth="1"/>
    <col min="9" max="9" width="16.85546875" style="466" customWidth="1"/>
    <col min="10" max="10" width="15.42578125" style="466" customWidth="1"/>
    <col min="11" max="11" width="17.7109375" style="466" customWidth="1"/>
    <col min="12" max="12" width="17.85546875" style="466" customWidth="1"/>
    <col min="13" max="13" width="15.42578125" style="466" customWidth="1"/>
    <col min="14" max="14" width="17.7109375" style="466" customWidth="1"/>
    <col min="15" max="16" width="13.28515625" style="588" customWidth="1"/>
    <col min="17" max="17" width="13.28515625" style="466" customWidth="1"/>
    <col min="18" max="16384" width="9.140625" style="466"/>
  </cols>
  <sheetData>
    <row r="1" spans="1:17" hidden="1">
      <c r="A1" s="2359" t="s">
        <v>78</v>
      </c>
      <c r="B1" s="2359"/>
    </row>
    <row r="2" spans="1:17" s="467" customFormat="1" hidden="1">
      <c r="C2" s="380"/>
      <c r="D2" s="380"/>
      <c r="E2" s="380"/>
      <c r="F2" s="380"/>
      <c r="G2" s="380"/>
      <c r="H2" s="380"/>
      <c r="I2" s="380"/>
      <c r="J2" s="380"/>
      <c r="K2" s="380"/>
      <c r="L2" s="380"/>
      <c r="M2" s="380"/>
      <c r="N2" s="380"/>
      <c r="O2" s="380"/>
      <c r="P2" s="380"/>
    </row>
    <row r="3" spans="1:17" s="467" customFormat="1" hidden="1">
      <c r="C3" s="380"/>
      <c r="D3" s="380"/>
      <c r="E3" s="380"/>
      <c r="F3" s="380"/>
      <c r="G3" s="380"/>
      <c r="H3" s="380"/>
      <c r="I3" s="380"/>
      <c r="J3" s="380"/>
      <c r="K3" s="380"/>
      <c r="L3" s="380"/>
      <c r="M3" s="380"/>
      <c r="N3" s="380"/>
      <c r="O3" s="468"/>
      <c r="P3" s="468"/>
    </row>
    <row r="4" spans="1:17" s="467" customFormat="1" hidden="1">
      <c r="C4" s="380"/>
      <c r="D4" s="380"/>
      <c r="E4" s="380"/>
      <c r="F4" s="380"/>
      <c r="G4" s="380"/>
      <c r="H4" s="380"/>
      <c r="I4" s="380"/>
      <c r="J4" s="380"/>
      <c r="K4" s="380"/>
      <c r="L4" s="380"/>
      <c r="M4" s="380"/>
      <c r="N4" s="380"/>
      <c r="O4" s="468"/>
      <c r="P4" s="468"/>
    </row>
    <row r="5" spans="1:17" s="467" customFormat="1" hidden="1">
      <c r="C5" s="469"/>
      <c r="D5" s="469"/>
      <c r="E5" s="469"/>
      <c r="F5" s="469"/>
      <c r="G5" s="469"/>
      <c r="H5" s="469"/>
      <c r="I5" s="469"/>
      <c r="J5" s="469"/>
      <c r="K5" s="469"/>
      <c r="L5" s="469"/>
      <c r="M5" s="469"/>
      <c r="N5" s="469"/>
      <c r="O5" s="470"/>
      <c r="P5" s="470"/>
    </row>
    <row r="6" spans="1:17" s="467" customFormat="1" hidden="1">
      <c r="A6" s="2360"/>
      <c r="B6" s="2360"/>
      <c r="C6" s="2360"/>
      <c r="D6" s="2360"/>
      <c r="E6" s="2360"/>
      <c r="F6" s="2360"/>
      <c r="G6" s="2360"/>
      <c r="H6" s="2360"/>
      <c r="I6" s="2360"/>
      <c r="J6" s="2360"/>
      <c r="K6" s="2360"/>
      <c r="L6" s="2360"/>
      <c r="M6" s="2360"/>
      <c r="N6" s="2360"/>
      <c r="O6" s="2360"/>
      <c r="P6" s="471"/>
    </row>
    <row r="7" spans="1:17" s="467" customFormat="1" ht="15.75" hidden="1" customHeight="1">
      <c r="C7" s="472"/>
      <c r="D7" s="472"/>
      <c r="E7" s="472"/>
      <c r="F7" s="472"/>
      <c r="G7" s="472"/>
      <c r="H7" s="472"/>
      <c r="I7" s="472"/>
      <c r="J7" s="472"/>
      <c r="K7" s="472"/>
      <c r="L7" s="472"/>
      <c r="M7" s="472"/>
      <c r="N7" s="472"/>
      <c r="O7" s="473"/>
      <c r="P7" s="473"/>
    </row>
    <row r="8" spans="1:17" s="467" customFormat="1" ht="35.25" customHeight="1">
      <c r="A8" s="2361" t="s">
        <v>317</v>
      </c>
      <c r="B8" s="2361"/>
      <c r="C8" s="2361"/>
      <c r="D8" s="2361"/>
      <c r="E8" s="2361"/>
      <c r="F8" s="2361"/>
      <c r="G8" s="2361"/>
      <c r="H8" s="2361"/>
      <c r="I8" s="2361"/>
      <c r="J8" s="2361"/>
      <c r="K8" s="2361"/>
      <c r="L8" s="2361"/>
      <c r="M8" s="2361"/>
      <c r="N8" s="2361"/>
      <c r="O8" s="2361"/>
      <c r="P8" s="471"/>
    </row>
    <row r="9" spans="1:17" s="467" customFormat="1" ht="25.5">
      <c r="A9" s="2361" t="s">
        <v>348</v>
      </c>
      <c r="B9" s="2361"/>
      <c r="C9" s="2361"/>
      <c r="D9" s="2361"/>
      <c r="E9" s="2361"/>
      <c r="F9" s="2361"/>
      <c r="G9" s="2361"/>
      <c r="H9" s="2361"/>
      <c r="I9" s="2361"/>
      <c r="J9" s="2361"/>
      <c r="K9" s="2361"/>
      <c r="L9" s="2361"/>
      <c r="M9" s="2361"/>
      <c r="N9" s="2361"/>
      <c r="O9" s="2361"/>
      <c r="P9" s="471"/>
    </row>
    <row r="10" spans="1:17" s="467" customFormat="1" hidden="1">
      <c r="A10" s="474"/>
      <c r="B10" s="474"/>
      <c r="C10" s="474"/>
      <c r="D10" s="474"/>
      <c r="E10" s="474"/>
      <c r="F10" s="474"/>
      <c r="G10" s="474"/>
      <c r="H10" s="474"/>
      <c r="I10" s="474"/>
      <c r="J10" s="474"/>
      <c r="K10" s="474"/>
      <c r="L10" s="474"/>
      <c r="M10" s="474"/>
      <c r="N10" s="474"/>
      <c r="O10" s="473"/>
      <c r="P10" s="473"/>
    </row>
    <row r="11" spans="1:17" s="467" customFormat="1">
      <c r="A11" s="474"/>
      <c r="B11" s="474"/>
      <c r="C11" s="474"/>
      <c r="D11" s="474"/>
      <c r="E11" s="474"/>
      <c r="F11" s="473"/>
      <c r="G11" s="473"/>
      <c r="H11" s="473"/>
      <c r="I11" s="473"/>
      <c r="J11" s="473"/>
      <c r="K11" s="473"/>
      <c r="L11" s="473"/>
      <c r="M11" s="473"/>
      <c r="N11" s="473" t="s">
        <v>230</v>
      </c>
      <c r="O11" s="473"/>
      <c r="P11" s="473"/>
    </row>
    <row r="12" spans="1:17" s="467" customFormat="1" ht="15.75" customHeight="1">
      <c r="A12" s="2342" t="s">
        <v>18</v>
      </c>
      <c r="B12" s="2342" t="s">
        <v>0</v>
      </c>
      <c r="C12" s="2343" t="s">
        <v>318</v>
      </c>
      <c r="D12" s="2351" t="s">
        <v>257</v>
      </c>
      <c r="E12" s="2351"/>
      <c r="F12" s="2316" t="s">
        <v>386</v>
      </c>
      <c r="G12" s="2323" t="s">
        <v>257</v>
      </c>
      <c r="H12" s="2324"/>
      <c r="I12" s="2316" t="s">
        <v>384</v>
      </c>
      <c r="J12" s="2351" t="s">
        <v>257</v>
      </c>
      <c r="K12" s="2351"/>
      <c r="L12" s="2316" t="s">
        <v>385</v>
      </c>
      <c r="M12" s="2351" t="s">
        <v>257</v>
      </c>
      <c r="N12" s="2351"/>
      <c r="P12" s="475"/>
    </row>
    <row r="13" spans="1:17" ht="76.5" customHeight="1">
      <c r="A13" s="2342"/>
      <c r="B13" s="2342"/>
      <c r="C13" s="2343"/>
      <c r="D13" s="378" t="s">
        <v>259</v>
      </c>
      <c r="E13" s="378" t="s">
        <v>258</v>
      </c>
      <c r="F13" s="2316"/>
      <c r="G13" s="378" t="s">
        <v>259</v>
      </c>
      <c r="H13" s="378" t="s">
        <v>258</v>
      </c>
      <c r="I13" s="2316"/>
      <c r="J13" s="378" t="s">
        <v>259</v>
      </c>
      <c r="K13" s="378" t="s">
        <v>258</v>
      </c>
      <c r="L13" s="2316"/>
      <c r="M13" s="378" t="s">
        <v>259</v>
      </c>
      <c r="N13" s="378" t="s">
        <v>258</v>
      </c>
      <c r="O13" s="466"/>
      <c r="P13" s="475"/>
    </row>
    <row r="14" spans="1:17">
      <c r="A14" s="476">
        <v>1</v>
      </c>
      <c r="B14" s="476">
        <v>2</v>
      </c>
      <c r="C14" s="476" t="e">
        <f>#REF!+1</f>
        <v>#REF!</v>
      </c>
      <c r="D14" s="476" t="e">
        <f>C14+1</f>
        <v>#REF!</v>
      </c>
      <c r="E14" s="476" t="e">
        <f>D14+1</f>
        <v>#REF!</v>
      </c>
      <c r="F14" s="476">
        <v>3</v>
      </c>
      <c r="G14" s="476">
        <v>4</v>
      </c>
      <c r="H14" s="476">
        <v>5</v>
      </c>
      <c r="I14" s="476">
        <v>3</v>
      </c>
      <c r="J14" s="476">
        <v>4</v>
      </c>
      <c r="K14" s="476">
        <v>5</v>
      </c>
      <c r="L14" s="476">
        <v>3</v>
      </c>
      <c r="M14" s="476">
        <v>4</v>
      </c>
      <c r="N14" s="476">
        <v>5</v>
      </c>
      <c r="O14" s="466"/>
      <c r="P14" s="477"/>
    </row>
    <row r="15" spans="1:17" s="480" customFormat="1" ht="32.25" customHeight="1">
      <c r="A15" s="547"/>
      <c r="B15" s="547" t="s">
        <v>10</v>
      </c>
      <c r="C15" s="528" t="e">
        <f>D15+E15</f>
        <v>#REF!</v>
      </c>
      <c r="D15" s="528" t="e">
        <f>D17+D69+#REF!</f>
        <v>#REF!</v>
      </c>
      <c r="E15" s="528" t="e">
        <f>E17+E69+#REF!</f>
        <v>#REF!</v>
      </c>
      <c r="F15" s="528">
        <f>SUM(G15:H15)</f>
        <v>2024356</v>
      </c>
      <c r="G15" s="528">
        <f>G17+G69</f>
        <v>297193</v>
      </c>
      <c r="H15" s="528">
        <f>H17+H69</f>
        <v>1727163</v>
      </c>
      <c r="I15" s="528">
        <f>SUM(J15:K15)</f>
        <v>1358983.9</v>
      </c>
      <c r="J15" s="528">
        <f>J17+J69</f>
        <v>297193</v>
      </c>
      <c r="K15" s="528">
        <f>K17+K69</f>
        <v>1061790.8999999999</v>
      </c>
      <c r="L15" s="528">
        <f>SUM(M15:N15)</f>
        <v>-665372.1</v>
      </c>
      <c r="M15" s="528">
        <f>J15-G15</f>
        <v>0</v>
      </c>
      <c r="N15" s="528">
        <f>K15-H15</f>
        <v>-665372.1</v>
      </c>
      <c r="O15" s="479"/>
      <c r="P15" s="479"/>
      <c r="Q15" s="479"/>
    </row>
    <row r="16" spans="1:17" s="484" customFormat="1" ht="30.75" hidden="1" customHeight="1">
      <c r="A16" s="481"/>
      <c r="B16" s="482" t="s">
        <v>319</v>
      </c>
      <c r="C16" s="483" t="e">
        <f>C19+C37</f>
        <v>#REF!</v>
      </c>
      <c r="D16" s="483" t="e">
        <f>D19+D37</f>
        <v>#REF!</v>
      </c>
      <c r="E16" s="483" t="e">
        <f>E19+E37</f>
        <v>#REF!</v>
      </c>
      <c r="F16" s="529">
        <f>SUM(G16:H16)</f>
        <v>1486673</v>
      </c>
      <c r="G16" s="529">
        <f>G19+G37+G70</f>
        <v>297193</v>
      </c>
      <c r="H16" s="529">
        <f>H19+H37+H70</f>
        <v>1189480</v>
      </c>
      <c r="I16" s="529">
        <f t="shared" ref="I16:I77" si="0">SUM(J16:K16)</f>
        <v>1264995</v>
      </c>
      <c r="J16" s="529">
        <f>J19+J37+J70</f>
        <v>297193</v>
      </c>
      <c r="K16" s="529">
        <f>K19+K37+K70</f>
        <v>967802</v>
      </c>
      <c r="L16" s="529">
        <f t="shared" ref="L16:L77" si="1">SUM(M16:N16)</f>
        <v>-221678</v>
      </c>
      <c r="M16" s="529">
        <f t="shared" ref="M16:N77" si="2">J16-G16</f>
        <v>0</v>
      </c>
      <c r="N16" s="529">
        <f t="shared" si="2"/>
        <v>-221678</v>
      </c>
      <c r="O16" s="479"/>
      <c r="P16" s="479"/>
      <c r="Q16" s="479"/>
    </row>
    <row r="17" spans="1:17" s="485" customFormat="1" ht="20.25" customHeight="1">
      <c r="A17" s="2357" t="s">
        <v>320</v>
      </c>
      <c r="B17" s="2358"/>
      <c r="C17" s="478" t="e">
        <f t="shared" ref="C17:C77" si="3">D17+E17</f>
        <v>#REF!</v>
      </c>
      <c r="D17" s="478" t="e">
        <f>D18+D36</f>
        <v>#REF!</v>
      </c>
      <c r="E17" s="478" t="e">
        <f>E18+E36</f>
        <v>#REF!</v>
      </c>
      <c r="F17" s="528">
        <f t="shared" ref="F17:F79" si="4">SUM(G17:H17)</f>
        <v>1490873</v>
      </c>
      <c r="G17" s="530">
        <f>G18+G36</f>
        <v>297193</v>
      </c>
      <c r="H17" s="530">
        <f>H18+H36</f>
        <v>1193680</v>
      </c>
      <c r="I17" s="528">
        <f t="shared" si="0"/>
        <v>1358983.9</v>
      </c>
      <c r="J17" s="530">
        <f>J18+J36</f>
        <v>297193</v>
      </c>
      <c r="K17" s="530">
        <f>K18+K36</f>
        <v>1061790.8999999999</v>
      </c>
      <c r="L17" s="528">
        <f t="shared" si="1"/>
        <v>-131889.1</v>
      </c>
      <c r="M17" s="530">
        <f t="shared" si="2"/>
        <v>0</v>
      </c>
      <c r="N17" s="530">
        <f t="shared" si="2"/>
        <v>-131889.1</v>
      </c>
      <c r="O17" s="479"/>
      <c r="P17" s="479"/>
      <c r="Q17" s="479"/>
    </row>
    <row r="18" spans="1:17" s="485" customFormat="1" ht="20.25">
      <c r="A18" s="486" t="s">
        <v>6</v>
      </c>
      <c r="B18" s="487" t="s">
        <v>321</v>
      </c>
      <c r="C18" s="488" t="e">
        <f t="shared" si="3"/>
        <v>#REF!</v>
      </c>
      <c r="D18" s="488" t="e">
        <f>D19+D30</f>
        <v>#REF!</v>
      </c>
      <c r="E18" s="488" t="e">
        <f>E19+E30</f>
        <v>#REF!</v>
      </c>
      <c r="F18" s="531">
        <f t="shared" si="4"/>
        <v>240331</v>
      </c>
      <c r="G18" s="532">
        <f>G19+G30</f>
        <v>128659</v>
      </c>
      <c r="H18" s="532">
        <f>H19+H30</f>
        <v>111672</v>
      </c>
      <c r="I18" s="531">
        <f t="shared" si="0"/>
        <v>240331</v>
      </c>
      <c r="J18" s="532">
        <f>J19+J30</f>
        <v>128659</v>
      </c>
      <c r="K18" s="532">
        <f>K19+K30</f>
        <v>111672</v>
      </c>
      <c r="L18" s="531">
        <f t="shared" si="1"/>
        <v>0</v>
      </c>
      <c r="M18" s="532">
        <f t="shared" si="2"/>
        <v>0</v>
      </c>
      <c r="N18" s="532">
        <f t="shared" si="2"/>
        <v>0</v>
      </c>
      <c r="O18" s="479"/>
      <c r="P18" s="479"/>
      <c r="Q18" s="479"/>
    </row>
    <row r="19" spans="1:17" ht="25.5" hidden="1" customHeight="1">
      <c r="A19" s="489" t="s">
        <v>30</v>
      </c>
      <c r="B19" s="490" t="s">
        <v>322</v>
      </c>
      <c r="C19" s="491" t="e">
        <f t="shared" si="3"/>
        <v>#REF!</v>
      </c>
      <c r="D19" s="491" t="e">
        <f>D20+D21+#REF!+#REF!+#REF!+#REF!+D22</f>
        <v>#REF!</v>
      </c>
      <c r="E19" s="491" t="e">
        <f>E20+E21+#REF!+#REF!+#REF!+#REF!+E22</f>
        <v>#REF!</v>
      </c>
      <c r="F19" s="533">
        <f t="shared" si="4"/>
        <v>223846</v>
      </c>
      <c r="G19" s="533">
        <f>SUM(G20:G22)</f>
        <v>128659</v>
      </c>
      <c r="H19" s="533">
        <f>SUM(H20:H22)</f>
        <v>95187</v>
      </c>
      <c r="I19" s="533">
        <f t="shared" si="0"/>
        <v>223846</v>
      </c>
      <c r="J19" s="533">
        <f>SUM(J20:J22)</f>
        <v>128659</v>
      </c>
      <c r="K19" s="533">
        <f>SUM(K20:K22)</f>
        <v>95187</v>
      </c>
      <c r="L19" s="533">
        <f t="shared" si="1"/>
        <v>0</v>
      </c>
      <c r="M19" s="533">
        <f t="shared" si="2"/>
        <v>0</v>
      </c>
      <c r="N19" s="533">
        <f t="shared" si="2"/>
        <v>0</v>
      </c>
      <c r="O19" s="479"/>
      <c r="P19" s="479"/>
      <c r="Q19" s="479"/>
    </row>
    <row r="20" spans="1:17" s="497" customFormat="1" ht="25.5" customHeight="1">
      <c r="A20" s="492" t="s">
        <v>50</v>
      </c>
      <c r="B20" s="493" t="s">
        <v>323</v>
      </c>
      <c r="C20" s="494" t="e">
        <f t="shared" si="3"/>
        <v>#REF!</v>
      </c>
      <c r="D20" s="495" t="e">
        <f>#REF!</f>
        <v>#REF!</v>
      </c>
      <c r="E20" s="496" t="e">
        <f>#REF!</f>
        <v>#REF!</v>
      </c>
      <c r="F20" s="534">
        <f t="shared" si="4"/>
        <v>182920</v>
      </c>
      <c r="G20" s="535">
        <v>128659</v>
      </c>
      <c r="H20" s="536">
        <v>54261</v>
      </c>
      <c r="I20" s="534">
        <f t="shared" si="0"/>
        <v>182920</v>
      </c>
      <c r="J20" s="535">
        <v>128659</v>
      </c>
      <c r="K20" s="536">
        <v>54261</v>
      </c>
      <c r="L20" s="534">
        <f t="shared" si="1"/>
        <v>0</v>
      </c>
      <c r="M20" s="535">
        <f t="shared" si="2"/>
        <v>0</v>
      </c>
      <c r="N20" s="536">
        <f t="shared" si="2"/>
        <v>0</v>
      </c>
      <c r="O20" s="479"/>
      <c r="P20" s="479"/>
      <c r="Q20" s="479"/>
    </row>
    <row r="21" spans="1:17" s="497" customFormat="1" ht="24.75" customHeight="1">
      <c r="A21" s="492" t="s">
        <v>4</v>
      </c>
      <c r="B21" s="493" t="s">
        <v>324</v>
      </c>
      <c r="C21" s="494">
        <f t="shared" si="3"/>
        <v>0</v>
      </c>
      <c r="D21" s="496"/>
      <c r="E21" s="496"/>
      <c r="F21" s="534">
        <f t="shared" si="4"/>
        <v>18266</v>
      </c>
      <c r="G21" s="536"/>
      <c r="H21" s="534">
        <v>18266</v>
      </c>
      <c r="I21" s="534">
        <f t="shared" si="0"/>
        <v>18266</v>
      </c>
      <c r="J21" s="536"/>
      <c r="K21" s="534">
        <v>18266</v>
      </c>
      <c r="L21" s="534">
        <f t="shared" si="1"/>
        <v>0</v>
      </c>
      <c r="M21" s="536">
        <f t="shared" si="2"/>
        <v>0</v>
      </c>
      <c r="N21" s="534">
        <f t="shared" si="2"/>
        <v>0</v>
      </c>
      <c r="O21" s="479"/>
      <c r="P21" s="479"/>
      <c r="Q21" s="479"/>
    </row>
    <row r="22" spans="1:17" s="497" customFormat="1" ht="27" customHeight="1">
      <c r="A22" s="492" t="s">
        <v>35</v>
      </c>
      <c r="B22" s="493" t="s">
        <v>325</v>
      </c>
      <c r="C22" s="494" t="e">
        <f t="shared" si="3"/>
        <v>#REF!</v>
      </c>
      <c r="D22" s="494" t="e">
        <f>D23+D24+D25+D26+D27+D28</f>
        <v>#REF!</v>
      </c>
      <c r="E22" s="494">
        <f>E23+E24+E25+E26+E27+E28</f>
        <v>0</v>
      </c>
      <c r="F22" s="534">
        <f t="shared" si="4"/>
        <v>22660</v>
      </c>
      <c r="G22" s="534">
        <f>G23+G24+G25+G26+G27+G28+G29</f>
        <v>0</v>
      </c>
      <c r="H22" s="534">
        <f>H23+H24+H25+H26+H27+H28+H29</f>
        <v>22660</v>
      </c>
      <c r="I22" s="534">
        <f t="shared" si="0"/>
        <v>22660</v>
      </c>
      <c r="J22" s="534">
        <f>J23+J24+J25+J26+J27+J28+J29</f>
        <v>0</v>
      </c>
      <c r="K22" s="534">
        <v>22660</v>
      </c>
      <c r="L22" s="534">
        <f t="shared" si="1"/>
        <v>0</v>
      </c>
      <c r="M22" s="534">
        <f t="shared" si="2"/>
        <v>0</v>
      </c>
      <c r="N22" s="534">
        <f t="shared" si="2"/>
        <v>0</v>
      </c>
      <c r="O22" s="479"/>
      <c r="P22" s="479"/>
      <c r="Q22" s="479"/>
    </row>
    <row r="23" spans="1:17" s="502" customFormat="1" ht="20.25" hidden="1">
      <c r="A23" s="498" t="s">
        <v>50</v>
      </c>
      <c r="B23" s="499" t="s">
        <v>326</v>
      </c>
      <c r="C23" s="494" t="e">
        <f t="shared" si="3"/>
        <v>#REF!</v>
      </c>
      <c r="D23" s="501" t="e">
        <f>#REF!</f>
        <v>#REF!</v>
      </c>
      <c r="E23" s="500"/>
      <c r="F23" s="534">
        <f t="shared" si="4"/>
        <v>0</v>
      </c>
      <c r="G23" s="537"/>
      <c r="H23" s="537"/>
      <c r="I23" s="534">
        <f t="shared" si="0"/>
        <v>0</v>
      </c>
      <c r="J23" s="537"/>
      <c r="K23" s="537"/>
      <c r="L23" s="534">
        <f t="shared" si="1"/>
        <v>0</v>
      </c>
      <c r="M23" s="537">
        <f t="shared" si="2"/>
        <v>0</v>
      </c>
      <c r="N23" s="537">
        <f t="shared" si="2"/>
        <v>0</v>
      </c>
      <c r="O23" s="479"/>
      <c r="P23" s="479"/>
      <c r="Q23" s="479"/>
    </row>
    <row r="24" spans="1:17" s="502" customFormat="1" ht="20.25" hidden="1">
      <c r="A24" s="498" t="s">
        <v>4</v>
      </c>
      <c r="B24" s="499" t="s">
        <v>278</v>
      </c>
      <c r="C24" s="494">
        <f t="shared" si="3"/>
        <v>0</v>
      </c>
      <c r="D24" s="500"/>
      <c r="E24" s="500"/>
      <c r="F24" s="534">
        <f t="shared" si="4"/>
        <v>4882</v>
      </c>
      <c r="G24" s="538"/>
      <c r="H24" s="538">
        <v>4882</v>
      </c>
      <c r="I24" s="534">
        <f t="shared" si="0"/>
        <v>0</v>
      </c>
      <c r="J24" s="538"/>
      <c r="K24" s="538"/>
      <c r="L24" s="534">
        <f t="shared" si="1"/>
        <v>-4882</v>
      </c>
      <c r="M24" s="538">
        <f t="shared" si="2"/>
        <v>0</v>
      </c>
      <c r="N24" s="538">
        <f t="shared" si="2"/>
        <v>-4882</v>
      </c>
      <c r="O24" s="479"/>
      <c r="P24" s="479"/>
      <c r="Q24" s="479"/>
    </row>
    <row r="25" spans="1:17" s="502" customFormat="1" ht="20.25" hidden="1">
      <c r="A25" s="498" t="s">
        <v>35</v>
      </c>
      <c r="B25" s="499" t="s">
        <v>279</v>
      </c>
      <c r="C25" s="494">
        <f t="shared" si="3"/>
        <v>0</v>
      </c>
      <c r="D25" s="500"/>
      <c r="E25" s="500"/>
      <c r="F25" s="534">
        <f t="shared" si="4"/>
        <v>12700</v>
      </c>
      <c r="G25" s="537"/>
      <c r="H25" s="537">
        <v>12700</v>
      </c>
      <c r="I25" s="534">
        <f t="shared" si="0"/>
        <v>0</v>
      </c>
      <c r="J25" s="537"/>
      <c r="K25" s="537"/>
      <c r="L25" s="534">
        <f t="shared" si="1"/>
        <v>-12700</v>
      </c>
      <c r="M25" s="537">
        <f t="shared" si="2"/>
        <v>0</v>
      </c>
      <c r="N25" s="537">
        <f t="shared" si="2"/>
        <v>-12700</v>
      </c>
      <c r="O25" s="479"/>
      <c r="P25" s="479"/>
      <c r="Q25" s="479"/>
    </row>
    <row r="26" spans="1:17" s="502" customFormat="1" ht="20.25" hidden="1">
      <c r="A26" s="498" t="s">
        <v>140</v>
      </c>
      <c r="B26" s="499" t="s">
        <v>327</v>
      </c>
      <c r="C26" s="494">
        <f t="shared" si="3"/>
        <v>0</v>
      </c>
      <c r="D26" s="500"/>
      <c r="E26" s="500"/>
      <c r="F26" s="534">
        <f t="shared" si="4"/>
        <v>0</v>
      </c>
      <c r="G26" s="538"/>
      <c r="H26" s="538"/>
      <c r="I26" s="534">
        <f t="shared" si="0"/>
        <v>0</v>
      </c>
      <c r="J26" s="538"/>
      <c r="K26" s="538"/>
      <c r="L26" s="534">
        <f t="shared" si="1"/>
        <v>0</v>
      </c>
      <c r="M26" s="538">
        <f t="shared" si="2"/>
        <v>0</v>
      </c>
      <c r="N26" s="538">
        <f t="shared" si="2"/>
        <v>0</v>
      </c>
      <c r="O26" s="479"/>
      <c r="P26" s="479"/>
      <c r="Q26" s="479"/>
    </row>
    <row r="27" spans="1:17" s="502" customFormat="1" ht="21" hidden="1" customHeight="1">
      <c r="A27" s="498" t="s">
        <v>141</v>
      </c>
      <c r="B27" s="503" t="s">
        <v>328</v>
      </c>
      <c r="C27" s="494">
        <f t="shared" si="3"/>
        <v>0</v>
      </c>
      <c r="D27" s="500"/>
      <c r="E27" s="500"/>
      <c r="F27" s="534">
        <f t="shared" si="4"/>
        <v>0</v>
      </c>
      <c r="G27" s="538"/>
      <c r="H27" s="538"/>
      <c r="I27" s="534">
        <f t="shared" si="0"/>
        <v>0</v>
      </c>
      <c r="J27" s="538"/>
      <c r="K27" s="538"/>
      <c r="L27" s="534">
        <f t="shared" si="1"/>
        <v>0</v>
      </c>
      <c r="M27" s="538">
        <f t="shared" si="2"/>
        <v>0</v>
      </c>
      <c r="N27" s="538">
        <f t="shared" si="2"/>
        <v>0</v>
      </c>
      <c r="O27" s="479"/>
      <c r="P27" s="479"/>
      <c r="Q27" s="479"/>
    </row>
    <row r="28" spans="1:17" s="502" customFormat="1" ht="21" hidden="1" customHeight="1">
      <c r="A28" s="498" t="s">
        <v>145</v>
      </c>
      <c r="B28" s="504" t="s">
        <v>329</v>
      </c>
      <c r="C28" s="494">
        <f t="shared" si="3"/>
        <v>0</v>
      </c>
      <c r="D28" s="500"/>
      <c r="E28" s="500"/>
      <c r="F28" s="534">
        <f t="shared" si="4"/>
        <v>0</v>
      </c>
      <c r="G28" s="538"/>
      <c r="H28" s="538"/>
      <c r="I28" s="534">
        <f t="shared" si="0"/>
        <v>0</v>
      </c>
      <c r="J28" s="538"/>
      <c r="K28" s="538"/>
      <c r="L28" s="534">
        <f t="shared" si="1"/>
        <v>0</v>
      </c>
      <c r="M28" s="538">
        <f t="shared" si="2"/>
        <v>0</v>
      </c>
      <c r="N28" s="538">
        <f t="shared" si="2"/>
        <v>0</v>
      </c>
      <c r="O28" s="479"/>
      <c r="P28" s="479"/>
      <c r="Q28" s="479"/>
    </row>
    <row r="29" spans="1:17" s="502" customFormat="1" ht="21" hidden="1" customHeight="1">
      <c r="A29" s="498" t="s">
        <v>146</v>
      </c>
      <c r="B29" s="504" t="s">
        <v>330</v>
      </c>
      <c r="C29" s="494"/>
      <c r="D29" s="500"/>
      <c r="E29" s="500"/>
      <c r="F29" s="534">
        <f t="shared" si="4"/>
        <v>5078</v>
      </c>
      <c r="G29" s="538"/>
      <c r="H29" s="538">
        <v>5078</v>
      </c>
      <c r="I29" s="534">
        <f t="shared" si="0"/>
        <v>0</v>
      </c>
      <c r="J29" s="538"/>
      <c r="K29" s="538"/>
      <c r="L29" s="534">
        <f t="shared" si="1"/>
        <v>-5078</v>
      </c>
      <c r="M29" s="538">
        <f t="shared" si="2"/>
        <v>0</v>
      </c>
      <c r="N29" s="538">
        <f t="shared" si="2"/>
        <v>-5078</v>
      </c>
      <c r="O29" s="479"/>
      <c r="P29" s="479"/>
      <c r="Q29" s="479"/>
    </row>
    <row r="30" spans="1:17" s="497" customFormat="1" ht="18.75" customHeight="1">
      <c r="A30" s="505" t="s">
        <v>31</v>
      </c>
      <c r="B30" s="506" t="s">
        <v>39</v>
      </c>
      <c r="C30" s="494">
        <f t="shared" si="3"/>
        <v>0</v>
      </c>
      <c r="D30" s="494"/>
      <c r="E30" s="494"/>
      <c r="F30" s="534">
        <f t="shared" si="4"/>
        <v>16485</v>
      </c>
      <c r="G30" s="534">
        <f>SUM(G31:G34)</f>
        <v>0</v>
      </c>
      <c r="H30" s="534">
        <f>SUM(H31:H34)</f>
        <v>16485</v>
      </c>
      <c r="I30" s="534">
        <f t="shared" si="0"/>
        <v>16485</v>
      </c>
      <c r="J30" s="534">
        <f>SUM(J31:J34)</f>
        <v>0</v>
      </c>
      <c r="K30" s="534">
        <f>SUM(K31:K34)</f>
        <v>16485</v>
      </c>
      <c r="L30" s="534">
        <f t="shared" si="1"/>
        <v>0</v>
      </c>
      <c r="M30" s="534">
        <f t="shared" si="2"/>
        <v>0</v>
      </c>
      <c r="N30" s="534">
        <f t="shared" si="2"/>
        <v>0</v>
      </c>
      <c r="O30" s="479"/>
      <c r="P30" s="479"/>
      <c r="Q30" s="479"/>
    </row>
    <row r="31" spans="1:17" s="497" customFormat="1" ht="20.25" hidden="1">
      <c r="A31" s="507"/>
      <c r="B31" s="506" t="s">
        <v>12</v>
      </c>
      <c r="C31" s="494"/>
      <c r="D31" s="510"/>
      <c r="E31" s="510"/>
      <c r="F31" s="534"/>
      <c r="G31" s="539"/>
      <c r="H31" s="539"/>
      <c r="I31" s="534">
        <f t="shared" si="0"/>
        <v>0</v>
      </c>
      <c r="J31" s="539"/>
      <c r="K31" s="539"/>
      <c r="L31" s="534">
        <f t="shared" si="1"/>
        <v>0</v>
      </c>
      <c r="M31" s="539">
        <f t="shared" si="2"/>
        <v>0</v>
      </c>
      <c r="N31" s="539">
        <f t="shared" si="2"/>
        <v>0</v>
      </c>
      <c r="O31" s="479"/>
      <c r="P31" s="479"/>
      <c r="Q31" s="479"/>
    </row>
    <row r="32" spans="1:17" s="497" customFormat="1" ht="27.75" customHeight="1">
      <c r="A32" s="507" t="s">
        <v>140</v>
      </c>
      <c r="B32" s="508" t="s">
        <v>280</v>
      </c>
      <c r="C32" s="494">
        <f t="shared" si="3"/>
        <v>0</v>
      </c>
      <c r="D32" s="509"/>
      <c r="E32" s="509"/>
      <c r="F32" s="534">
        <f t="shared" si="4"/>
        <v>4125</v>
      </c>
      <c r="G32" s="540"/>
      <c r="H32" s="540">
        <v>4125</v>
      </c>
      <c r="I32" s="534">
        <f t="shared" si="0"/>
        <v>4125</v>
      </c>
      <c r="J32" s="540"/>
      <c r="K32" s="540">
        <v>4125</v>
      </c>
      <c r="L32" s="534">
        <f t="shared" si="1"/>
        <v>0</v>
      </c>
      <c r="M32" s="540">
        <f t="shared" si="2"/>
        <v>0</v>
      </c>
      <c r="N32" s="540">
        <f t="shared" si="2"/>
        <v>0</v>
      </c>
      <c r="O32" s="479"/>
      <c r="P32" s="479"/>
      <c r="Q32" s="479"/>
    </row>
    <row r="33" spans="1:17" s="497" customFormat="1" ht="20.25" hidden="1">
      <c r="A33" s="505"/>
      <c r="B33" s="506" t="s">
        <v>281</v>
      </c>
      <c r="C33" s="494"/>
      <c r="D33" s="494"/>
      <c r="E33" s="494"/>
      <c r="F33" s="534">
        <f t="shared" si="4"/>
        <v>0</v>
      </c>
      <c r="G33" s="534"/>
      <c r="H33" s="534"/>
      <c r="I33" s="534">
        <f t="shared" si="0"/>
        <v>0</v>
      </c>
      <c r="J33" s="534"/>
      <c r="K33" s="534"/>
      <c r="L33" s="534">
        <f t="shared" si="1"/>
        <v>0</v>
      </c>
      <c r="M33" s="534">
        <f t="shared" si="2"/>
        <v>0</v>
      </c>
      <c r="N33" s="534">
        <f t="shared" si="2"/>
        <v>0</v>
      </c>
      <c r="O33" s="479"/>
      <c r="P33" s="479"/>
      <c r="Q33" s="479"/>
    </row>
    <row r="34" spans="1:17" s="497" customFormat="1" ht="27" customHeight="1">
      <c r="A34" s="507" t="s">
        <v>141</v>
      </c>
      <c r="B34" s="508" t="s">
        <v>331</v>
      </c>
      <c r="C34" s="494">
        <f t="shared" si="3"/>
        <v>0</v>
      </c>
      <c r="D34" s="509"/>
      <c r="E34" s="509"/>
      <c r="F34" s="534">
        <f t="shared" si="4"/>
        <v>12360</v>
      </c>
      <c r="G34" s="540"/>
      <c r="H34" s="540">
        <v>12360</v>
      </c>
      <c r="I34" s="534">
        <f t="shared" si="0"/>
        <v>12360</v>
      </c>
      <c r="J34" s="540"/>
      <c r="K34" s="540">
        <v>12360</v>
      </c>
      <c r="L34" s="534">
        <f t="shared" si="1"/>
        <v>0</v>
      </c>
      <c r="M34" s="540">
        <f t="shared" si="2"/>
        <v>0</v>
      </c>
      <c r="N34" s="540">
        <f t="shared" si="2"/>
        <v>0</v>
      </c>
      <c r="O34" s="479"/>
      <c r="P34" s="479"/>
      <c r="Q34" s="479"/>
    </row>
    <row r="35" spans="1:17" s="497" customFormat="1" ht="20.25" hidden="1">
      <c r="A35" s="507" t="s">
        <v>332</v>
      </c>
      <c r="B35" s="506" t="s">
        <v>333</v>
      </c>
      <c r="C35" s="494"/>
      <c r="D35" s="510"/>
      <c r="E35" s="510"/>
      <c r="F35" s="534">
        <f t="shared" si="4"/>
        <v>0</v>
      </c>
      <c r="G35" s="539"/>
      <c r="H35" s="539"/>
      <c r="I35" s="534">
        <f t="shared" si="0"/>
        <v>0</v>
      </c>
      <c r="J35" s="539"/>
      <c r="K35" s="539"/>
      <c r="L35" s="534">
        <f t="shared" si="1"/>
        <v>0</v>
      </c>
      <c r="M35" s="539">
        <f t="shared" si="2"/>
        <v>0</v>
      </c>
      <c r="N35" s="539">
        <f t="shared" si="2"/>
        <v>0</v>
      </c>
      <c r="O35" s="479"/>
      <c r="P35" s="479"/>
      <c r="Q35" s="479"/>
    </row>
    <row r="36" spans="1:17" s="485" customFormat="1" ht="20.25">
      <c r="A36" s="486" t="s">
        <v>2</v>
      </c>
      <c r="B36" s="487" t="s">
        <v>221</v>
      </c>
      <c r="C36" s="488">
        <f t="shared" si="3"/>
        <v>0</v>
      </c>
      <c r="D36" s="488"/>
      <c r="E36" s="488"/>
      <c r="F36" s="531">
        <f t="shared" si="4"/>
        <v>1250542</v>
      </c>
      <c r="G36" s="532">
        <f>G37+G41</f>
        <v>168534</v>
      </c>
      <c r="H36" s="532">
        <f>H37+H41</f>
        <v>1082008</v>
      </c>
      <c r="I36" s="531">
        <f t="shared" si="0"/>
        <v>1118652.8999999999</v>
      </c>
      <c r="J36" s="532">
        <f>J37+J41</f>
        <v>168534</v>
      </c>
      <c r="K36" s="532">
        <f>K37+K41</f>
        <v>950118.9</v>
      </c>
      <c r="L36" s="531">
        <f t="shared" si="1"/>
        <v>-131889.1</v>
      </c>
      <c r="M36" s="532">
        <f t="shared" si="2"/>
        <v>0</v>
      </c>
      <c r="N36" s="532">
        <f t="shared" si="2"/>
        <v>-131889.1</v>
      </c>
      <c r="O36" s="479"/>
      <c r="P36" s="479"/>
      <c r="Q36" s="479"/>
    </row>
    <row r="37" spans="1:17" ht="19.5" hidden="1" customHeight="1">
      <c r="A37" s="489" t="s">
        <v>37</v>
      </c>
      <c r="B37" s="490" t="s">
        <v>41</v>
      </c>
      <c r="C37" s="491">
        <f t="shared" si="3"/>
        <v>0</v>
      </c>
      <c r="D37" s="491">
        <f>D38+D39+D40</f>
        <v>0</v>
      </c>
      <c r="E37" s="491">
        <f>E38+E39+E40</f>
        <v>0</v>
      </c>
      <c r="F37" s="533">
        <f t="shared" si="4"/>
        <v>1041149</v>
      </c>
      <c r="G37" s="533">
        <f>SUM(G38:G40)</f>
        <v>168534</v>
      </c>
      <c r="H37" s="533">
        <f>SUM(H38:H40)</f>
        <v>872615</v>
      </c>
      <c r="I37" s="533">
        <f t="shared" si="0"/>
        <v>1041149</v>
      </c>
      <c r="J37" s="533">
        <f>SUM(J38:J40)</f>
        <v>168534</v>
      </c>
      <c r="K37" s="533">
        <f>SUM(K38:K40)</f>
        <v>872615</v>
      </c>
      <c r="L37" s="533">
        <f t="shared" si="1"/>
        <v>0</v>
      </c>
      <c r="M37" s="533">
        <f t="shared" si="2"/>
        <v>0</v>
      </c>
      <c r="N37" s="533">
        <f t="shared" si="2"/>
        <v>0</v>
      </c>
      <c r="O37" s="479"/>
      <c r="P37" s="479"/>
      <c r="Q37" s="479"/>
    </row>
    <row r="38" spans="1:17" s="497" customFormat="1" ht="22.5" customHeight="1">
      <c r="A38" s="492" t="s">
        <v>145</v>
      </c>
      <c r="B38" s="493" t="s">
        <v>334</v>
      </c>
      <c r="C38" s="494">
        <f t="shared" si="3"/>
        <v>0</v>
      </c>
      <c r="D38" s="494"/>
      <c r="E38" s="494"/>
      <c r="F38" s="534">
        <f t="shared" si="4"/>
        <v>5200</v>
      </c>
      <c r="G38" s="534"/>
      <c r="H38" s="534">
        <v>5200</v>
      </c>
      <c r="I38" s="534">
        <f t="shared" si="0"/>
        <v>5200</v>
      </c>
      <c r="J38" s="534"/>
      <c r="K38" s="534">
        <v>5200</v>
      </c>
      <c r="L38" s="534">
        <f t="shared" si="1"/>
        <v>0</v>
      </c>
      <c r="M38" s="534">
        <f t="shared" si="2"/>
        <v>0</v>
      </c>
      <c r="N38" s="534">
        <f t="shared" si="2"/>
        <v>0</v>
      </c>
      <c r="O38" s="479"/>
      <c r="P38" s="479"/>
      <c r="Q38" s="479"/>
    </row>
    <row r="39" spans="1:17" s="497" customFormat="1" ht="20.25">
      <c r="A39" s="492" t="s">
        <v>146</v>
      </c>
      <c r="B39" s="493" t="s">
        <v>323</v>
      </c>
      <c r="C39" s="494">
        <f t="shared" si="3"/>
        <v>0</v>
      </c>
      <c r="D39" s="494"/>
      <c r="E39" s="494"/>
      <c r="F39" s="534">
        <f t="shared" si="4"/>
        <v>595306</v>
      </c>
      <c r="G39" s="534">
        <v>168534</v>
      </c>
      <c r="H39" s="534">
        <f>405433.4+21338.6</f>
        <v>426772</v>
      </c>
      <c r="I39" s="534">
        <f t="shared" si="0"/>
        <v>595306</v>
      </c>
      <c r="J39" s="534">
        <v>168534</v>
      </c>
      <c r="K39" s="534">
        <v>426772</v>
      </c>
      <c r="L39" s="534">
        <f t="shared" si="1"/>
        <v>0</v>
      </c>
      <c r="M39" s="534">
        <f t="shared" si="2"/>
        <v>0</v>
      </c>
      <c r="N39" s="534">
        <f t="shared" si="2"/>
        <v>0</v>
      </c>
      <c r="O39" s="479"/>
      <c r="P39" s="479"/>
      <c r="Q39" s="479"/>
    </row>
    <row r="40" spans="1:17" s="497" customFormat="1" ht="20.25">
      <c r="A40" s="492" t="s">
        <v>147</v>
      </c>
      <c r="B40" s="493" t="s">
        <v>335</v>
      </c>
      <c r="C40" s="494">
        <f t="shared" si="3"/>
        <v>0</v>
      </c>
      <c r="D40" s="494"/>
      <c r="E40" s="494"/>
      <c r="F40" s="534">
        <f t="shared" si="4"/>
        <v>440643</v>
      </c>
      <c r="G40" s="534"/>
      <c r="H40" s="534">
        <v>440643</v>
      </c>
      <c r="I40" s="534">
        <f t="shared" si="0"/>
        <v>440643</v>
      </c>
      <c r="J40" s="534"/>
      <c r="K40" s="534">
        <v>440643</v>
      </c>
      <c r="L40" s="534">
        <f t="shared" si="1"/>
        <v>0</v>
      </c>
      <c r="M40" s="534">
        <f t="shared" si="2"/>
        <v>0</v>
      </c>
      <c r="N40" s="534">
        <f t="shared" si="2"/>
        <v>0</v>
      </c>
      <c r="O40" s="479"/>
      <c r="P40" s="479"/>
      <c r="Q40" s="479"/>
    </row>
    <row r="41" spans="1:17" s="497" customFormat="1" ht="37.5" hidden="1">
      <c r="A41" s="505" t="s">
        <v>38</v>
      </c>
      <c r="B41" s="506" t="s">
        <v>39</v>
      </c>
      <c r="C41" s="494">
        <f t="shared" si="3"/>
        <v>0</v>
      </c>
      <c r="D41" s="494"/>
      <c r="E41" s="494"/>
      <c r="F41" s="534">
        <f t="shared" si="4"/>
        <v>209393</v>
      </c>
      <c r="G41" s="534">
        <f>SUM(G42,G65:G68)</f>
        <v>0</v>
      </c>
      <c r="H41" s="534">
        <f>SUM(H42,H65:H68)</f>
        <v>209393</v>
      </c>
      <c r="I41" s="534">
        <f t="shared" si="0"/>
        <v>77503.899999999994</v>
      </c>
      <c r="J41" s="534">
        <f>SUM(J42,J65:J68)</f>
        <v>0</v>
      </c>
      <c r="K41" s="534">
        <f>SUM(K42,K65:K68)</f>
        <v>77503.899999999994</v>
      </c>
      <c r="L41" s="534">
        <f t="shared" si="1"/>
        <v>-131889.1</v>
      </c>
      <c r="M41" s="534">
        <f t="shared" si="2"/>
        <v>0</v>
      </c>
      <c r="N41" s="534">
        <f t="shared" si="2"/>
        <v>-131889.1</v>
      </c>
      <c r="O41" s="479"/>
      <c r="P41" s="479"/>
      <c r="Q41" s="479"/>
    </row>
    <row r="42" spans="1:17" s="497" customFormat="1" ht="20.25">
      <c r="A42" s="492" t="s">
        <v>148</v>
      </c>
      <c r="B42" s="516" t="s">
        <v>336</v>
      </c>
      <c r="C42" s="494">
        <f t="shared" si="3"/>
        <v>0</v>
      </c>
      <c r="D42" s="517"/>
      <c r="E42" s="517"/>
      <c r="F42" s="534">
        <f t="shared" si="4"/>
        <v>126476</v>
      </c>
      <c r="G42" s="541">
        <f>SUM(G43:G64)</f>
        <v>0</v>
      </c>
      <c r="H42" s="541">
        <f>SUM(H43:H64)</f>
        <v>126476</v>
      </c>
      <c r="I42" s="534">
        <f t="shared" si="0"/>
        <v>43790.9</v>
      </c>
      <c r="J42" s="541">
        <f>SUM(J43:J64)</f>
        <v>0</v>
      </c>
      <c r="K42" s="541">
        <f>35972+4410.9+3408</f>
        <v>43790.9</v>
      </c>
      <c r="L42" s="534">
        <f t="shared" si="1"/>
        <v>-82685.100000000006</v>
      </c>
      <c r="M42" s="541">
        <f t="shared" si="2"/>
        <v>0</v>
      </c>
      <c r="N42" s="541">
        <f t="shared" si="2"/>
        <v>-82685.100000000006</v>
      </c>
      <c r="O42" s="479"/>
      <c r="P42" s="479"/>
      <c r="Q42" s="479"/>
    </row>
    <row r="43" spans="1:17" s="515" customFormat="1" ht="37.5" hidden="1">
      <c r="A43" s="498" t="s">
        <v>50</v>
      </c>
      <c r="B43" s="518" t="s">
        <v>285</v>
      </c>
      <c r="C43" s="513">
        <f t="shared" si="3"/>
        <v>0</v>
      </c>
      <c r="D43" s="519"/>
      <c r="E43" s="519"/>
      <c r="F43" s="542">
        <f t="shared" si="4"/>
        <v>17250</v>
      </c>
      <c r="G43" s="543"/>
      <c r="H43" s="543">
        <v>17250</v>
      </c>
      <c r="I43" s="542">
        <f t="shared" si="0"/>
        <v>0</v>
      </c>
      <c r="J43" s="543"/>
      <c r="K43" s="543"/>
      <c r="L43" s="542">
        <f t="shared" si="1"/>
        <v>-17250</v>
      </c>
      <c r="M43" s="543">
        <f t="shared" si="2"/>
        <v>0</v>
      </c>
      <c r="N43" s="543">
        <f t="shared" si="2"/>
        <v>-17250</v>
      </c>
      <c r="O43" s="479"/>
      <c r="P43" s="479"/>
      <c r="Q43" s="479"/>
    </row>
    <row r="44" spans="1:17" s="515" customFormat="1" ht="56.25" hidden="1">
      <c r="A44" s="511" t="s">
        <v>4</v>
      </c>
      <c r="B44" s="518" t="s">
        <v>286</v>
      </c>
      <c r="C44" s="513">
        <f t="shared" si="3"/>
        <v>0</v>
      </c>
      <c r="D44" s="519"/>
      <c r="E44" s="519"/>
      <c r="F44" s="542">
        <f t="shared" si="4"/>
        <v>5300</v>
      </c>
      <c r="G44" s="543"/>
      <c r="H44" s="543">
        <v>5300</v>
      </c>
      <c r="I44" s="542">
        <f t="shared" si="0"/>
        <v>0</v>
      </c>
      <c r="J44" s="543"/>
      <c r="K44" s="543"/>
      <c r="L44" s="542">
        <f t="shared" si="1"/>
        <v>-5300</v>
      </c>
      <c r="M44" s="543">
        <f t="shared" si="2"/>
        <v>0</v>
      </c>
      <c r="N44" s="543">
        <f t="shared" si="2"/>
        <v>-5300</v>
      </c>
      <c r="O44" s="479"/>
      <c r="P44" s="479"/>
      <c r="Q44" s="479"/>
    </row>
    <row r="45" spans="1:17" s="515" customFormat="1" ht="66.75" hidden="1" customHeight="1">
      <c r="A45" s="511" t="s">
        <v>35</v>
      </c>
      <c r="B45" s="512" t="s">
        <v>287</v>
      </c>
      <c r="C45" s="513">
        <f t="shared" si="3"/>
        <v>0</v>
      </c>
      <c r="D45" s="514"/>
      <c r="E45" s="514"/>
      <c r="F45" s="542">
        <f t="shared" si="4"/>
        <v>5700</v>
      </c>
      <c r="G45" s="544"/>
      <c r="H45" s="544">
        <v>5700</v>
      </c>
      <c r="I45" s="542">
        <f t="shared" si="0"/>
        <v>0</v>
      </c>
      <c r="J45" s="544"/>
      <c r="K45" s="544"/>
      <c r="L45" s="542">
        <f t="shared" si="1"/>
        <v>-5700</v>
      </c>
      <c r="M45" s="544">
        <f t="shared" si="2"/>
        <v>0</v>
      </c>
      <c r="N45" s="544">
        <f t="shared" si="2"/>
        <v>-5700</v>
      </c>
      <c r="O45" s="479"/>
      <c r="P45" s="479"/>
      <c r="Q45" s="479"/>
    </row>
    <row r="46" spans="1:17" s="515" customFormat="1" ht="66.75" hidden="1" customHeight="1">
      <c r="A46" s="511" t="s">
        <v>140</v>
      </c>
      <c r="B46" s="512" t="s">
        <v>288</v>
      </c>
      <c r="C46" s="513">
        <f t="shared" si="3"/>
        <v>0</v>
      </c>
      <c r="D46" s="514"/>
      <c r="E46" s="514"/>
      <c r="F46" s="542">
        <f t="shared" si="4"/>
        <v>8457</v>
      </c>
      <c r="G46" s="544"/>
      <c r="H46" s="544">
        <v>8457</v>
      </c>
      <c r="I46" s="542">
        <f t="shared" si="0"/>
        <v>0</v>
      </c>
      <c r="J46" s="544"/>
      <c r="K46" s="544"/>
      <c r="L46" s="542">
        <f t="shared" si="1"/>
        <v>-8457</v>
      </c>
      <c r="M46" s="544">
        <f t="shared" si="2"/>
        <v>0</v>
      </c>
      <c r="N46" s="544">
        <f t="shared" si="2"/>
        <v>-8457</v>
      </c>
      <c r="O46" s="479"/>
      <c r="P46" s="479"/>
      <c r="Q46" s="479"/>
    </row>
    <row r="47" spans="1:17" s="515" customFormat="1" ht="66.75" hidden="1" customHeight="1">
      <c r="A47" s="511" t="s">
        <v>141</v>
      </c>
      <c r="B47" s="512" t="s">
        <v>289</v>
      </c>
      <c r="C47" s="513">
        <f t="shared" si="3"/>
        <v>0</v>
      </c>
      <c r="D47" s="514"/>
      <c r="E47" s="514"/>
      <c r="F47" s="542">
        <f t="shared" si="4"/>
        <v>9650</v>
      </c>
      <c r="G47" s="544"/>
      <c r="H47" s="544">
        <v>9650</v>
      </c>
      <c r="I47" s="542">
        <f t="shared" si="0"/>
        <v>0</v>
      </c>
      <c r="J47" s="544"/>
      <c r="K47" s="544"/>
      <c r="L47" s="542">
        <f t="shared" si="1"/>
        <v>-9650</v>
      </c>
      <c r="M47" s="544">
        <f t="shared" si="2"/>
        <v>0</v>
      </c>
      <c r="N47" s="544">
        <f t="shared" si="2"/>
        <v>-9650</v>
      </c>
      <c r="O47" s="479"/>
      <c r="P47" s="479"/>
      <c r="Q47" s="479"/>
    </row>
    <row r="48" spans="1:17" s="515" customFormat="1" ht="57" hidden="1" customHeight="1">
      <c r="A48" s="511" t="s">
        <v>145</v>
      </c>
      <c r="B48" s="512" t="s">
        <v>290</v>
      </c>
      <c r="C48" s="513">
        <f t="shared" si="3"/>
        <v>0</v>
      </c>
      <c r="D48" s="514"/>
      <c r="E48" s="514"/>
      <c r="F48" s="542">
        <f t="shared" si="4"/>
        <v>7300</v>
      </c>
      <c r="G48" s="544"/>
      <c r="H48" s="544">
        <v>7300</v>
      </c>
      <c r="I48" s="542">
        <f t="shared" si="0"/>
        <v>0</v>
      </c>
      <c r="J48" s="544"/>
      <c r="K48" s="544"/>
      <c r="L48" s="542">
        <f t="shared" si="1"/>
        <v>-7300</v>
      </c>
      <c r="M48" s="544">
        <f t="shared" si="2"/>
        <v>0</v>
      </c>
      <c r="N48" s="544">
        <f t="shared" si="2"/>
        <v>-7300</v>
      </c>
      <c r="O48" s="479"/>
      <c r="P48" s="479"/>
      <c r="Q48" s="479"/>
    </row>
    <row r="49" spans="1:17" s="515" customFormat="1" ht="66.75" hidden="1" customHeight="1">
      <c r="A49" s="511" t="s">
        <v>146</v>
      </c>
      <c r="B49" s="512" t="s">
        <v>291</v>
      </c>
      <c r="C49" s="513">
        <f t="shared" si="3"/>
        <v>0</v>
      </c>
      <c r="D49" s="514"/>
      <c r="E49" s="514"/>
      <c r="F49" s="542">
        <f t="shared" si="4"/>
        <v>8800</v>
      </c>
      <c r="G49" s="544"/>
      <c r="H49" s="544">
        <v>8800</v>
      </c>
      <c r="I49" s="542">
        <f t="shared" si="0"/>
        <v>0</v>
      </c>
      <c r="J49" s="544"/>
      <c r="K49" s="544"/>
      <c r="L49" s="542">
        <f t="shared" si="1"/>
        <v>-8800</v>
      </c>
      <c r="M49" s="544">
        <f t="shared" si="2"/>
        <v>0</v>
      </c>
      <c r="N49" s="544">
        <f t="shared" si="2"/>
        <v>-8800</v>
      </c>
      <c r="O49" s="479"/>
      <c r="P49" s="479"/>
      <c r="Q49" s="479"/>
    </row>
    <row r="50" spans="1:17" s="515" customFormat="1" ht="66.75" hidden="1" customHeight="1">
      <c r="A50" s="511" t="s">
        <v>147</v>
      </c>
      <c r="B50" s="512" t="s">
        <v>292</v>
      </c>
      <c r="C50" s="513">
        <f t="shared" si="3"/>
        <v>0</v>
      </c>
      <c r="D50" s="514"/>
      <c r="E50" s="514"/>
      <c r="F50" s="542">
        <f t="shared" si="4"/>
        <v>6600</v>
      </c>
      <c r="G50" s="544"/>
      <c r="H50" s="544">
        <v>6600</v>
      </c>
      <c r="I50" s="542">
        <f t="shared" si="0"/>
        <v>0</v>
      </c>
      <c r="J50" s="544"/>
      <c r="K50" s="544"/>
      <c r="L50" s="542">
        <f t="shared" si="1"/>
        <v>-6600</v>
      </c>
      <c r="M50" s="544">
        <f t="shared" si="2"/>
        <v>0</v>
      </c>
      <c r="N50" s="544">
        <f t="shared" si="2"/>
        <v>-6600</v>
      </c>
      <c r="O50" s="479"/>
      <c r="P50" s="479"/>
      <c r="Q50" s="479"/>
    </row>
    <row r="51" spans="1:17" s="515" customFormat="1" ht="53.25" hidden="1" customHeight="1">
      <c r="A51" s="511" t="s">
        <v>148</v>
      </c>
      <c r="B51" s="518" t="s">
        <v>293</v>
      </c>
      <c r="C51" s="513">
        <f t="shared" si="3"/>
        <v>0</v>
      </c>
      <c r="D51" s="519"/>
      <c r="E51" s="519"/>
      <c r="F51" s="542">
        <f t="shared" si="4"/>
        <v>35972</v>
      </c>
      <c r="G51" s="543"/>
      <c r="H51" s="543">
        <v>35972</v>
      </c>
      <c r="I51" s="542">
        <f t="shared" si="0"/>
        <v>0</v>
      </c>
      <c r="J51" s="543"/>
      <c r="K51" s="543"/>
      <c r="L51" s="542">
        <f t="shared" si="1"/>
        <v>-35972</v>
      </c>
      <c r="M51" s="543">
        <f t="shared" si="2"/>
        <v>0</v>
      </c>
      <c r="N51" s="543">
        <f t="shared" si="2"/>
        <v>-35972</v>
      </c>
      <c r="O51" s="479"/>
      <c r="P51" s="479"/>
      <c r="Q51" s="479"/>
    </row>
    <row r="52" spans="1:17" s="515" customFormat="1" ht="59.25" hidden="1" customHeight="1">
      <c r="A52" s="511" t="s">
        <v>175</v>
      </c>
      <c r="B52" s="518" t="s">
        <v>294</v>
      </c>
      <c r="C52" s="513">
        <f t="shared" si="3"/>
        <v>0</v>
      </c>
      <c r="D52" s="519"/>
      <c r="E52" s="519"/>
      <c r="F52" s="542">
        <f t="shared" si="4"/>
        <v>4727</v>
      </c>
      <c r="G52" s="543"/>
      <c r="H52" s="543">
        <v>4727</v>
      </c>
      <c r="I52" s="542">
        <f t="shared" si="0"/>
        <v>0</v>
      </c>
      <c r="J52" s="543"/>
      <c r="K52" s="543"/>
      <c r="L52" s="542">
        <f t="shared" si="1"/>
        <v>-4727</v>
      </c>
      <c r="M52" s="543">
        <f t="shared" si="2"/>
        <v>0</v>
      </c>
      <c r="N52" s="543">
        <f t="shared" si="2"/>
        <v>-4727</v>
      </c>
      <c r="O52" s="479"/>
      <c r="P52" s="479"/>
      <c r="Q52" s="479"/>
    </row>
    <row r="53" spans="1:17" s="515" customFormat="1" ht="59.25" hidden="1" customHeight="1">
      <c r="A53" s="511" t="s">
        <v>179</v>
      </c>
      <c r="B53" s="518" t="s">
        <v>295</v>
      </c>
      <c r="C53" s="513">
        <f t="shared" si="3"/>
        <v>0</v>
      </c>
      <c r="D53" s="519"/>
      <c r="E53" s="519"/>
      <c r="F53" s="542">
        <f t="shared" si="4"/>
        <v>3408</v>
      </c>
      <c r="G53" s="543"/>
      <c r="H53" s="543">
        <v>3408</v>
      </c>
      <c r="I53" s="542">
        <f t="shared" si="0"/>
        <v>0</v>
      </c>
      <c r="J53" s="543"/>
      <c r="K53" s="543"/>
      <c r="L53" s="542">
        <f t="shared" si="1"/>
        <v>-3408</v>
      </c>
      <c r="M53" s="543">
        <f t="shared" si="2"/>
        <v>0</v>
      </c>
      <c r="N53" s="543">
        <f t="shared" si="2"/>
        <v>-3408</v>
      </c>
      <c r="O53" s="479"/>
      <c r="P53" s="479"/>
      <c r="Q53" s="479"/>
    </row>
    <row r="54" spans="1:17" s="515" customFormat="1" ht="37.5" hidden="1">
      <c r="A54" s="511" t="s">
        <v>180</v>
      </c>
      <c r="B54" s="518" t="s">
        <v>337</v>
      </c>
      <c r="C54" s="513">
        <f t="shared" si="3"/>
        <v>0</v>
      </c>
      <c r="D54" s="519"/>
      <c r="E54" s="519"/>
      <c r="F54" s="542">
        <f t="shared" si="4"/>
        <v>0</v>
      </c>
      <c r="G54" s="543"/>
      <c r="H54" s="543"/>
      <c r="I54" s="542">
        <f t="shared" si="0"/>
        <v>0</v>
      </c>
      <c r="J54" s="543"/>
      <c r="K54" s="543"/>
      <c r="L54" s="542">
        <f t="shared" si="1"/>
        <v>0</v>
      </c>
      <c r="M54" s="543">
        <f t="shared" si="2"/>
        <v>0</v>
      </c>
      <c r="N54" s="543">
        <f t="shared" si="2"/>
        <v>0</v>
      </c>
      <c r="O54" s="479"/>
      <c r="P54" s="479"/>
      <c r="Q54" s="479"/>
    </row>
    <row r="55" spans="1:17" s="515" customFormat="1" ht="37.5" hidden="1">
      <c r="A55" s="511" t="s">
        <v>181</v>
      </c>
      <c r="B55" s="518" t="s">
        <v>338</v>
      </c>
      <c r="C55" s="513">
        <f t="shared" si="3"/>
        <v>0</v>
      </c>
      <c r="D55" s="519"/>
      <c r="E55" s="519"/>
      <c r="F55" s="542">
        <f t="shared" si="4"/>
        <v>0</v>
      </c>
      <c r="G55" s="543"/>
      <c r="H55" s="543"/>
      <c r="I55" s="542">
        <f t="shared" si="0"/>
        <v>0</v>
      </c>
      <c r="J55" s="543"/>
      <c r="K55" s="543"/>
      <c r="L55" s="542">
        <f t="shared" si="1"/>
        <v>0</v>
      </c>
      <c r="M55" s="543">
        <f t="shared" si="2"/>
        <v>0</v>
      </c>
      <c r="N55" s="543">
        <f t="shared" si="2"/>
        <v>0</v>
      </c>
      <c r="O55" s="479"/>
      <c r="P55" s="479"/>
      <c r="Q55" s="479"/>
    </row>
    <row r="56" spans="1:17" s="515" customFormat="1" ht="37.5" hidden="1">
      <c r="A56" s="511" t="s">
        <v>182</v>
      </c>
      <c r="B56" s="518" t="s">
        <v>296</v>
      </c>
      <c r="C56" s="513">
        <f t="shared" si="3"/>
        <v>0</v>
      </c>
      <c r="D56" s="519"/>
      <c r="E56" s="519"/>
      <c r="F56" s="542">
        <f t="shared" si="4"/>
        <v>11052</v>
      </c>
      <c r="G56" s="543"/>
      <c r="H56" s="543">
        <v>11052</v>
      </c>
      <c r="I56" s="542">
        <f t="shared" si="0"/>
        <v>0</v>
      </c>
      <c r="J56" s="543"/>
      <c r="K56" s="543"/>
      <c r="L56" s="542">
        <f t="shared" si="1"/>
        <v>-11052</v>
      </c>
      <c r="M56" s="543">
        <f t="shared" si="2"/>
        <v>0</v>
      </c>
      <c r="N56" s="543">
        <f t="shared" si="2"/>
        <v>-11052</v>
      </c>
      <c r="O56" s="479"/>
      <c r="P56" s="479"/>
      <c r="Q56" s="479"/>
    </row>
    <row r="57" spans="1:17" s="515" customFormat="1" ht="37.5" hidden="1">
      <c r="A57" s="511" t="s">
        <v>183</v>
      </c>
      <c r="B57" s="518" t="s">
        <v>297</v>
      </c>
      <c r="C57" s="513">
        <f t="shared" si="3"/>
        <v>0</v>
      </c>
      <c r="D57" s="519"/>
      <c r="E57" s="519"/>
      <c r="F57" s="542">
        <f t="shared" si="4"/>
        <v>1000</v>
      </c>
      <c r="G57" s="543"/>
      <c r="H57" s="543">
        <v>1000</v>
      </c>
      <c r="I57" s="542">
        <f t="shared" si="0"/>
        <v>0</v>
      </c>
      <c r="J57" s="543"/>
      <c r="K57" s="543"/>
      <c r="L57" s="542">
        <f t="shared" si="1"/>
        <v>-1000</v>
      </c>
      <c r="M57" s="543">
        <f t="shared" si="2"/>
        <v>0</v>
      </c>
      <c r="N57" s="543">
        <f t="shared" si="2"/>
        <v>-1000</v>
      </c>
      <c r="O57" s="479"/>
      <c r="P57" s="479"/>
      <c r="Q57" s="479"/>
    </row>
    <row r="58" spans="1:17" s="515" customFormat="1" ht="37.5" hidden="1">
      <c r="A58" s="511" t="s">
        <v>188</v>
      </c>
      <c r="B58" s="518" t="s">
        <v>299</v>
      </c>
      <c r="C58" s="513">
        <f t="shared" si="3"/>
        <v>0</v>
      </c>
      <c r="D58" s="519"/>
      <c r="E58" s="519"/>
      <c r="F58" s="542">
        <f t="shared" si="4"/>
        <v>650</v>
      </c>
      <c r="G58" s="543"/>
      <c r="H58" s="543">
        <v>650</v>
      </c>
      <c r="I58" s="542">
        <f t="shared" si="0"/>
        <v>0</v>
      </c>
      <c r="J58" s="543"/>
      <c r="K58" s="543"/>
      <c r="L58" s="542">
        <f t="shared" si="1"/>
        <v>-650</v>
      </c>
      <c r="M58" s="543">
        <f t="shared" si="2"/>
        <v>0</v>
      </c>
      <c r="N58" s="543">
        <f t="shared" si="2"/>
        <v>-650</v>
      </c>
      <c r="O58" s="479"/>
      <c r="P58" s="479"/>
      <c r="Q58" s="479"/>
    </row>
    <row r="59" spans="1:17" s="515" customFormat="1" ht="37.5" hidden="1">
      <c r="A59" s="511" t="s">
        <v>189</v>
      </c>
      <c r="B59" s="518" t="s">
        <v>300</v>
      </c>
      <c r="C59" s="513">
        <f t="shared" si="3"/>
        <v>0</v>
      </c>
      <c r="D59" s="519"/>
      <c r="E59" s="519"/>
      <c r="F59" s="542">
        <f t="shared" si="4"/>
        <v>350</v>
      </c>
      <c r="G59" s="543"/>
      <c r="H59" s="543">
        <v>350</v>
      </c>
      <c r="I59" s="542">
        <f t="shared" si="0"/>
        <v>0</v>
      </c>
      <c r="J59" s="543"/>
      <c r="K59" s="543"/>
      <c r="L59" s="542">
        <f t="shared" si="1"/>
        <v>-350</v>
      </c>
      <c r="M59" s="543">
        <f t="shared" si="2"/>
        <v>0</v>
      </c>
      <c r="N59" s="543">
        <f t="shared" si="2"/>
        <v>-350</v>
      </c>
      <c r="O59" s="479"/>
      <c r="P59" s="479"/>
      <c r="Q59" s="479"/>
    </row>
    <row r="60" spans="1:17" s="515" customFormat="1" ht="37.5" hidden="1">
      <c r="A60" s="511" t="s">
        <v>190</v>
      </c>
      <c r="B60" s="518" t="s">
        <v>301</v>
      </c>
      <c r="C60" s="513">
        <f t="shared" si="3"/>
        <v>0</v>
      </c>
      <c r="D60" s="519"/>
      <c r="E60" s="519"/>
      <c r="F60" s="542">
        <f t="shared" si="4"/>
        <v>260</v>
      </c>
      <c r="G60" s="543"/>
      <c r="H60" s="543">
        <v>260</v>
      </c>
      <c r="I60" s="542">
        <f t="shared" si="0"/>
        <v>0</v>
      </c>
      <c r="J60" s="543"/>
      <c r="K60" s="543"/>
      <c r="L60" s="542">
        <f t="shared" si="1"/>
        <v>-260</v>
      </c>
      <c r="M60" s="543">
        <f t="shared" si="2"/>
        <v>0</v>
      </c>
      <c r="N60" s="543">
        <f t="shared" si="2"/>
        <v>-260</v>
      </c>
      <c r="O60" s="479"/>
      <c r="P60" s="479"/>
      <c r="Q60" s="479"/>
    </row>
    <row r="61" spans="1:17" s="515" customFormat="1" ht="37.5" hidden="1">
      <c r="A61" s="511" t="s">
        <v>191</v>
      </c>
      <c r="B61" s="518" t="s">
        <v>339</v>
      </c>
      <c r="C61" s="513">
        <f t="shared" si="3"/>
        <v>0</v>
      </c>
      <c r="D61" s="519"/>
      <c r="E61" s="519"/>
      <c r="F61" s="542">
        <f t="shared" si="4"/>
        <v>0</v>
      </c>
      <c r="G61" s="543"/>
      <c r="H61" s="543"/>
      <c r="I61" s="542">
        <f t="shared" si="0"/>
        <v>0</v>
      </c>
      <c r="J61" s="543"/>
      <c r="K61" s="543"/>
      <c r="L61" s="542">
        <f t="shared" si="1"/>
        <v>0</v>
      </c>
      <c r="M61" s="543">
        <f t="shared" si="2"/>
        <v>0</v>
      </c>
      <c r="N61" s="543">
        <f t="shared" si="2"/>
        <v>0</v>
      </c>
      <c r="O61" s="479"/>
      <c r="P61" s="479"/>
      <c r="Q61" s="479"/>
    </row>
    <row r="62" spans="1:17" s="515" customFormat="1" ht="37.5" hidden="1">
      <c r="A62" s="511" t="s">
        <v>192</v>
      </c>
      <c r="B62" s="518" t="s">
        <v>340</v>
      </c>
      <c r="C62" s="513">
        <f t="shared" si="3"/>
        <v>0</v>
      </c>
      <c r="D62" s="519"/>
      <c r="E62" s="519"/>
      <c r="F62" s="542">
        <f t="shared" si="4"/>
        <v>0</v>
      </c>
      <c r="G62" s="543"/>
      <c r="H62" s="543"/>
      <c r="I62" s="542">
        <f t="shared" si="0"/>
        <v>0</v>
      </c>
      <c r="J62" s="543"/>
      <c r="K62" s="543"/>
      <c r="L62" s="542">
        <f t="shared" si="1"/>
        <v>0</v>
      </c>
      <c r="M62" s="543">
        <f t="shared" si="2"/>
        <v>0</v>
      </c>
      <c r="N62" s="543">
        <f t="shared" si="2"/>
        <v>0</v>
      </c>
      <c r="O62" s="479"/>
      <c r="P62" s="479"/>
      <c r="Q62" s="479"/>
    </row>
    <row r="63" spans="1:17" s="515" customFormat="1" ht="56.25" hidden="1">
      <c r="A63" s="511" t="s">
        <v>195</v>
      </c>
      <c r="B63" s="518" t="s">
        <v>341</v>
      </c>
      <c r="C63" s="513">
        <f t="shared" si="3"/>
        <v>0</v>
      </c>
      <c r="D63" s="519"/>
      <c r="E63" s="519"/>
      <c r="F63" s="542">
        <f t="shared" si="4"/>
        <v>0</v>
      </c>
      <c r="G63" s="543"/>
      <c r="H63" s="543"/>
      <c r="I63" s="542">
        <f t="shared" si="0"/>
        <v>0</v>
      </c>
      <c r="J63" s="543"/>
      <c r="K63" s="543"/>
      <c r="L63" s="542">
        <f t="shared" si="1"/>
        <v>0</v>
      </c>
      <c r="M63" s="543">
        <f t="shared" si="2"/>
        <v>0</v>
      </c>
      <c r="N63" s="543">
        <f t="shared" si="2"/>
        <v>0</v>
      </c>
      <c r="O63" s="479"/>
      <c r="P63" s="479"/>
      <c r="Q63" s="479"/>
    </row>
    <row r="64" spans="1:17" s="515" customFormat="1" ht="60.75" hidden="1" customHeight="1">
      <c r="A64" s="511" t="s">
        <v>196</v>
      </c>
      <c r="B64" s="518" t="s">
        <v>342</v>
      </c>
      <c r="C64" s="513">
        <f t="shared" si="3"/>
        <v>0</v>
      </c>
      <c r="D64" s="519"/>
      <c r="E64" s="519"/>
      <c r="F64" s="542">
        <f t="shared" si="4"/>
        <v>0</v>
      </c>
      <c r="G64" s="543"/>
      <c r="H64" s="543"/>
      <c r="I64" s="542">
        <f t="shared" si="0"/>
        <v>0</v>
      </c>
      <c r="J64" s="543"/>
      <c r="K64" s="543"/>
      <c r="L64" s="542">
        <f t="shared" si="1"/>
        <v>0</v>
      </c>
      <c r="M64" s="543">
        <f t="shared" si="2"/>
        <v>0</v>
      </c>
      <c r="N64" s="543">
        <f t="shared" si="2"/>
        <v>0</v>
      </c>
      <c r="O64" s="479"/>
      <c r="P64" s="479"/>
      <c r="Q64" s="479"/>
    </row>
    <row r="65" spans="1:17" s="497" customFormat="1" ht="37.5">
      <c r="A65" s="507" t="s">
        <v>175</v>
      </c>
      <c r="B65" s="516" t="s">
        <v>303</v>
      </c>
      <c r="C65" s="494">
        <f t="shared" si="3"/>
        <v>0</v>
      </c>
      <c r="D65" s="520"/>
      <c r="E65" s="520"/>
      <c r="F65" s="534">
        <f t="shared" si="4"/>
        <v>13524</v>
      </c>
      <c r="G65" s="545"/>
      <c r="H65" s="545">
        <v>13524</v>
      </c>
      <c r="I65" s="534">
        <f t="shared" si="0"/>
        <v>0</v>
      </c>
      <c r="J65" s="545"/>
      <c r="K65" s="545">
        <v>0</v>
      </c>
      <c r="L65" s="534">
        <f t="shared" si="1"/>
        <v>-13524</v>
      </c>
      <c r="M65" s="545">
        <f t="shared" si="2"/>
        <v>0</v>
      </c>
      <c r="N65" s="545">
        <f t="shared" si="2"/>
        <v>-13524</v>
      </c>
      <c r="O65" s="479"/>
      <c r="P65" s="479"/>
      <c r="Q65" s="479"/>
    </row>
    <row r="66" spans="1:17" s="497" customFormat="1" ht="20.25">
      <c r="A66" s="507" t="s">
        <v>179</v>
      </c>
      <c r="B66" s="521" t="s">
        <v>284</v>
      </c>
      <c r="C66" s="494">
        <f t="shared" si="3"/>
        <v>0</v>
      </c>
      <c r="D66" s="520"/>
      <c r="E66" s="520"/>
      <c r="F66" s="534">
        <f t="shared" si="4"/>
        <v>25000</v>
      </c>
      <c r="G66" s="545"/>
      <c r="H66" s="545">
        <v>25000</v>
      </c>
      <c r="I66" s="534">
        <f t="shared" si="0"/>
        <v>0</v>
      </c>
      <c r="J66" s="545"/>
      <c r="K66" s="545">
        <v>0</v>
      </c>
      <c r="L66" s="534">
        <f t="shared" si="1"/>
        <v>-25000</v>
      </c>
      <c r="M66" s="545">
        <f t="shared" si="2"/>
        <v>0</v>
      </c>
      <c r="N66" s="545">
        <f t="shared" si="2"/>
        <v>-25000</v>
      </c>
      <c r="O66" s="479"/>
      <c r="P66" s="479"/>
      <c r="Q66" s="479"/>
    </row>
    <row r="67" spans="1:17" s="497" customFormat="1" ht="21.75" customHeight="1">
      <c r="A67" s="507" t="s">
        <v>180</v>
      </c>
      <c r="B67" s="521" t="s">
        <v>304</v>
      </c>
      <c r="C67" s="494">
        <f t="shared" si="3"/>
        <v>0</v>
      </c>
      <c r="D67" s="520"/>
      <c r="E67" s="520"/>
      <c r="F67" s="534">
        <f t="shared" si="4"/>
        <v>10680</v>
      </c>
      <c r="G67" s="545"/>
      <c r="H67" s="545">
        <v>10680</v>
      </c>
      <c r="I67" s="534">
        <f t="shared" si="0"/>
        <v>0</v>
      </c>
      <c r="J67" s="545"/>
      <c r="K67" s="545">
        <v>0</v>
      </c>
      <c r="L67" s="534">
        <f t="shared" si="1"/>
        <v>-10680</v>
      </c>
      <c r="M67" s="545">
        <f t="shared" si="2"/>
        <v>0</v>
      </c>
      <c r="N67" s="545">
        <f t="shared" si="2"/>
        <v>-10680</v>
      </c>
      <c r="O67" s="479"/>
      <c r="P67" s="479"/>
      <c r="Q67" s="479"/>
    </row>
    <row r="68" spans="1:17" s="497" customFormat="1" ht="24" customHeight="1">
      <c r="A68" s="507" t="s">
        <v>181</v>
      </c>
      <c r="B68" s="516" t="s">
        <v>343</v>
      </c>
      <c r="C68" s="494">
        <f t="shared" si="3"/>
        <v>0</v>
      </c>
      <c r="D68" s="520"/>
      <c r="E68" s="520"/>
      <c r="F68" s="534">
        <f t="shared" si="4"/>
        <v>33713</v>
      </c>
      <c r="G68" s="545"/>
      <c r="H68" s="545">
        <v>33713</v>
      </c>
      <c r="I68" s="534">
        <f t="shared" si="0"/>
        <v>33713</v>
      </c>
      <c r="J68" s="545"/>
      <c r="K68" s="545">
        <v>33713</v>
      </c>
      <c r="L68" s="534">
        <f t="shared" si="1"/>
        <v>0</v>
      </c>
      <c r="M68" s="545">
        <f t="shared" si="2"/>
        <v>0</v>
      </c>
      <c r="N68" s="545">
        <f t="shared" si="2"/>
        <v>0</v>
      </c>
      <c r="O68" s="479"/>
      <c r="P68" s="479"/>
      <c r="Q68" s="479"/>
    </row>
    <row r="69" spans="1:17" s="485" customFormat="1" ht="20.25">
      <c r="A69" s="2357" t="s">
        <v>347</v>
      </c>
      <c r="B69" s="2358"/>
      <c r="C69" s="478">
        <f t="shared" si="3"/>
        <v>0</v>
      </c>
      <c r="D69" s="478"/>
      <c r="E69" s="478"/>
      <c r="F69" s="528">
        <f t="shared" si="4"/>
        <v>533483</v>
      </c>
      <c r="G69" s="528">
        <f>SUM(G70,G74)</f>
        <v>0</v>
      </c>
      <c r="H69" s="530">
        <f>SUM(H70,H74)</f>
        <v>533483</v>
      </c>
      <c r="I69" s="528">
        <f t="shared" si="0"/>
        <v>0</v>
      </c>
      <c r="J69" s="528">
        <f>SUM(J70,J74)</f>
        <v>0</v>
      </c>
      <c r="K69" s="530">
        <f>SUM(K70,K74)</f>
        <v>0</v>
      </c>
      <c r="L69" s="528">
        <f t="shared" si="1"/>
        <v>-533483</v>
      </c>
      <c r="M69" s="528">
        <f t="shared" si="2"/>
        <v>0</v>
      </c>
      <c r="N69" s="530">
        <f t="shared" si="2"/>
        <v>-533483</v>
      </c>
      <c r="O69" s="479"/>
      <c r="P69" s="479"/>
      <c r="Q69" s="479"/>
    </row>
    <row r="70" spans="1:17" ht="26.25" hidden="1" customHeight="1">
      <c r="A70" s="489" t="s">
        <v>42</v>
      </c>
      <c r="B70" s="490" t="s">
        <v>41</v>
      </c>
      <c r="C70" s="491">
        <f t="shared" si="3"/>
        <v>0</v>
      </c>
      <c r="D70" s="491"/>
      <c r="E70" s="491"/>
      <c r="F70" s="533">
        <f t="shared" si="4"/>
        <v>221678</v>
      </c>
      <c r="G70" s="533">
        <f>SUM(G71:G73)</f>
        <v>0</v>
      </c>
      <c r="H70" s="533">
        <f>SUM(H71:H73)</f>
        <v>221678</v>
      </c>
      <c r="I70" s="533">
        <f t="shared" si="0"/>
        <v>0</v>
      </c>
      <c r="J70" s="533">
        <f>SUM(J71:J73)</f>
        <v>0</v>
      </c>
      <c r="K70" s="533">
        <f>SUM(K71:K73)</f>
        <v>0</v>
      </c>
      <c r="L70" s="533">
        <f t="shared" si="1"/>
        <v>-221678</v>
      </c>
      <c r="M70" s="533">
        <f t="shared" si="2"/>
        <v>0</v>
      </c>
      <c r="N70" s="533">
        <f t="shared" si="2"/>
        <v>-221678</v>
      </c>
      <c r="O70" s="479"/>
      <c r="P70" s="479"/>
      <c r="Q70" s="479"/>
    </row>
    <row r="71" spans="1:17" s="497" customFormat="1" ht="20.25">
      <c r="A71" s="507" t="s">
        <v>182</v>
      </c>
      <c r="B71" s="522" t="s">
        <v>270</v>
      </c>
      <c r="C71" s="494"/>
      <c r="D71" s="523"/>
      <c r="E71" s="523"/>
      <c r="F71" s="534">
        <f t="shared" si="4"/>
        <v>34000</v>
      </c>
      <c r="G71" s="546"/>
      <c r="H71" s="546">
        <v>34000</v>
      </c>
      <c r="I71" s="534">
        <f t="shared" si="0"/>
        <v>0</v>
      </c>
      <c r="J71" s="546"/>
      <c r="K71" s="546"/>
      <c r="L71" s="534">
        <f t="shared" si="1"/>
        <v>-34000</v>
      </c>
      <c r="M71" s="546">
        <f t="shared" si="2"/>
        <v>0</v>
      </c>
      <c r="N71" s="546">
        <f t="shared" si="2"/>
        <v>-34000</v>
      </c>
      <c r="O71" s="479"/>
      <c r="P71" s="479"/>
      <c r="Q71" s="479"/>
    </row>
    <row r="72" spans="1:17" s="497" customFormat="1" ht="20.25">
      <c r="A72" s="507" t="s">
        <v>183</v>
      </c>
      <c r="B72" s="524" t="s">
        <v>344</v>
      </c>
      <c r="C72" s="494">
        <f>D72+E72</f>
        <v>0</v>
      </c>
      <c r="D72" s="523"/>
      <c r="E72" s="523"/>
      <c r="F72" s="534">
        <f t="shared" si="4"/>
        <v>28810</v>
      </c>
      <c r="G72" s="546"/>
      <c r="H72" s="546">
        <v>28810</v>
      </c>
      <c r="I72" s="534">
        <f t="shared" si="0"/>
        <v>0</v>
      </c>
      <c r="J72" s="546"/>
      <c r="K72" s="546"/>
      <c r="L72" s="534">
        <f t="shared" si="1"/>
        <v>-28810</v>
      </c>
      <c r="M72" s="546">
        <f t="shared" si="2"/>
        <v>0</v>
      </c>
      <c r="N72" s="546">
        <f t="shared" si="2"/>
        <v>-28810</v>
      </c>
      <c r="O72" s="479"/>
      <c r="P72" s="479"/>
      <c r="Q72" s="479"/>
    </row>
    <row r="73" spans="1:17" s="497" customFormat="1" ht="20.25">
      <c r="A73" s="507" t="s">
        <v>188</v>
      </c>
      <c r="B73" s="524" t="s">
        <v>345</v>
      </c>
      <c r="C73" s="494">
        <f>D73+E73</f>
        <v>0</v>
      </c>
      <c r="D73" s="523"/>
      <c r="E73" s="523"/>
      <c r="F73" s="534">
        <f t="shared" si="4"/>
        <v>158868</v>
      </c>
      <c r="G73" s="546"/>
      <c r="H73" s="546">
        <v>158868</v>
      </c>
      <c r="I73" s="534">
        <f t="shared" si="0"/>
        <v>0</v>
      </c>
      <c r="J73" s="546"/>
      <c r="K73" s="546"/>
      <c r="L73" s="534">
        <f t="shared" si="1"/>
        <v>-158868</v>
      </c>
      <c r="M73" s="546">
        <f t="shared" si="2"/>
        <v>0</v>
      </c>
      <c r="N73" s="546">
        <f t="shared" si="2"/>
        <v>-158868</v>
      </c>
      <c r="O73" s="479"/>
      <c r="P73" s="479"/>
      <c r="Q73" s="479"/>
    </row>
    <row r="74" spans="1:17" s="497" customFormat="1" ht="21.75" hidden="1" customHeight="1">
      <c r="A74" s="505" t="s">
        <v>42</v>
      </c>
      <c r="B74" s="506" t="s">
        <v>39</v>
      </c>
      <c r="C74" s="494">
        <f t="shared" si="3"/>
        <v>0</v>
      </c>
      <c r="D74" s="494"/>
      <c r="E74" s="494"/>
      <c r="F74" s="534">
        <f t="shared" si="4"/>
        <v>311805</v>
      </c>
      <c r="G74" s="542">
        <f>SUM(G75:G80)</f>
        <v>0</v>
      </c>
      <c r="H74" s="542">
        <f>SUM(H75:H80)</f>
        <v>311805</v>
      </c>
      <c r="I74" s="534">
        <f t="shared" si="0"/>
        <v>0</v>
      </c>
      <c r="J74" s="542">
        <f>SUM(J75:J80)</f>
        <v>0</v>
      </c>
      <c r="K74" s="542"/>
      <c r="L74" s="534">
        <f t="shared" si="1"/>
        <v>-311805</v>
      </c>
      <c r="M74" s="542">
        <f t="shared" si="2"/>
        <v>0</v>
      </c>
      <c r="N74" s="542">
        <f t="shared" si="2"/>
        <v>-311805</v>
      </c>
      <c r="O74" s="479"/>
      <c r="P74" s="479"/>
      <c r="Q74" s="479"/>
    </row>
    <row r="75" spans="1:17" s="497" customFormat="1" ht="20.25">
      <c r="A75" s="507" t="s">
        <v>189</v>
      </c>
      <c r="B75" s="524" t="s">
        <v>263</v>
      </c>
      <c r="C75" s="494">
        <f t="shared" si="3"/>
        <v>0</v>
      </c>
      <c r="D75" s="523"/>
      <c r="E75" s="523"/>
      <c r="F75" s="534">
        <f t="shared" si="4"/>
        <v>20000</v>
      </c>
      <c r="G75" s="546"/>
      <c r="H75" s="546">
        <v>20000</v>
      </c>
      <c r="I75" s="534">
        <f t="shared" si="0"/>
        <v>0</v>
      </c>
      <c r="J75" s="546"/>
      <c r="K75" s="546"/>
      <c r="L75" s="534">
        <f t="shared" si="1"/>
        <v>-20000</v>
      </c>
      <c r="M75" s="546">
        <f t="shared" si="2"/>
        <v>0</v>
      </c>
      <c r="N75" s="546">
        <f t="shared" si="2"/>
        <v>-20000</v>
      </c>
      <c r="O75" s="479"/>
      <c r="P75" s="479"/>
      <c r="Q75" s="479"/>
    </row>
    <row r="76" spans="1:17" s="497" customFormat="1" ht="18" customHeight="1">
      <c r="A76" s="507" t="s">
        <v>190</v>
      </c>
      <c r="B76" s="524" t="s">
        <v>264</v>
      </c>
      <c r="C76" s="494">
        <f t="shared" si="3"/>
        <v>0</v>
      </c>
      <c r="D76" s="523"/>
      <c r="E76" s="523"/>
      <c r="F76" s="534">
        <f t="shared" si="4"/>
        <v>31605</v>
      </c>
      <c r="G76" s="546"/>
      <c r="H76" s="546">
        <v>31605</v>
      </c>
      <c r="I76" s="534">
        <f t="shared" si="0"/>
        <v>0</v>
      </c>
      <c r="J76" s="546"/>
      <c r="K76" s="546"/>
      <c r="L76" s="534">
        <f t="shared" si="1"/>
        <v>-31605</v>
      </c>
      <c r="M76" s="546">
        <f t="shared" si="2"/>
        <v>0</v>
      </c>
      <c r="N76" s="546">
        <f t="shared" si="2"/>
        <v>-31605</v>
      </c>
      <c r="O76" s="479"/>
      <c r="P76" s="479"/>
      <c r="Q76" s="479"/>
    </row>
    <row r="77" spans="1:17" s="497" customFormat="1" ht="18" customHeight="1">
      <c r="A77" s="507" t="s">
        <v>191</v>
      </c>
      <c r="B77" s="524" t="s">
        <v>265</v>
      </c>
      <c r="C77" s="494">
        <f t="shared" si="3"/>
        <v>0</v>
      </c>
      <c r="D77" s="523"/>
      <c r="E77" s="523"/>
      <c r="F77" s="534">
        <f t="shared" si="4"/>
        <v>167000</v>
      </c>
      <c r="G77" s="546"/>
      <c r="H77" s="546">
        <v>167000</v>
      </c>
      <c r="I77" s="534">
        <f t="shared" si="0"/>
        <v>0</v>
      </c>
      <c r="J77" s="546"/>
      <c r="K77" s="546"/>
      <c r="L77" s="534">
        <f t="shared" si="1"/>
        <v>-167000</v>
      </c>
      <c r="M77" s="546">
        <f t="shared" si="2"/>
        <v>0</v>
      </c>
      <c r="N77" s="546">
        <f t="shared" si="2"/>
        <v>-167000</v>
      </c>
      <c r="O77" s="479"/>
      <c r="P77" s="479"/>
      <c r="Q77" s="479"/>
    </row>
    <row r="78" spans="1:17" s="497" customFormat="1" ht="37.5">
      <c r="A78" s="507" t="s">
        <v>192</v>
      </c>
      <c r="B78" s="522" t="s">
        <v>266</v>
      </c>
      <c r="C78" s="494"/>
      <c r="D78" s="523"/>
      <c r="E78" s="523"/>
      <c r="F78" s="534">
        <f t="shared" si="4"/>
        <v>22000</v>
      </c>
      <c r="G78" s="546"/>
      <c r="H78" s="546">
        <v>22000</v>
      </c>
      <c r="I78" s="534">
        <f>SUM(J78:K78)</f>
        <v>0</v>
      </c>
      <c r="J78" s="546"/>
      <c r="K78" s="546"/>
      <c r="L78" s="534">
        <f>SUM(M78:N78)</f>
        <v>-22000</v>
      </c>
      <c r="M78" s="546">
        <f t="shared" ref="M78:N80" si="5">J78-G78</f>
        <v>0</v>
      </c>
      <c r="N78" s="546">
        <f t="shared" si="5"/>
        <v>-22000</v>
      </c>
      <c r="O78" s="479"/>
      <c r="P78" s="479"/>
      <c r="Q78" s="479"/>
    </row>
    <row r="79" spans="1:17" s="497" customFormat="1" ht="22.5" customHeight="1">
      <c r="A79" s="507" t="s">
        <v>195</v>
      </c>
      <c r="B79" s="522" t="s">
        <v>268</v>
      </c>
      <c r="C79" s="494"/>
      <c r="D79" s="523"/>
      <c r="E79" s="523"/>
      <c r="F79" s="534">
        <f t="shared" si="4"/>
        <v>1200</v>
      </c>
      <c r="G79" s="546"/>
      <c r="H79" s="546">
        <v>1200</v>
      </c>
      <c r="I79" s="534">
        <f>SUM(J79:K79)</f>
        <v>0</v>
      </c>
      <c r="J79" s="546"/>
      <c r="K79" s="546"/>
      <c r="L79" s="534">
        <f>SUM(M79:N79)</f>
        <v>-1200</v>
      </c>
      <c r="M79" s="546">
        <f t="shared" si="5"/>
        <v>0</v>
      </c>
      <c r="N79" s="546">
        <f t="shared" si="5"/>
        <v>-1200</v>
      </c>
      <c r="O79" s="479"/>
      <c r="P79" s="479"/>
      <c r="Q79" s="479"/>
    </row>
    <row r="80" spans="1:17" s="497" customFormat="1" ht="37.5">
      <c r="A80" s="507" t="s">
        <v>196</v>
      </c>
      <c r="B80" s="525" t="s">
        <v>275</v>
      </c>
      <c r="C80" s="494"/>
      <c r="D80" s="523"/>
      <c r="E80" s="523"/>
      <c r="F80" s="534">
        <f>SUM(G80:H80)</f>
        <v>70000</v>
      </c>
      <c r="G80" s="546"/>
      <c r="H80" s="546">
        <v>70000</v>
      </c>
      <c r="I80" s="534">
        <f>SUM(J80:K80)</f>
        <v>0</v>
      </c>
      <c r="J80" s="546"/>
      <c r="K80" s="546"/>
      <c r="L80" s="534">
        <f>SUM(M80:N80)</f>
        <v>-70000</v>
      </c>
      <c r="M80" s="546">
        <f t="shared" si="5"/>
        <v>0</v>
      </c>
      <c r="N80" s="546">
        <f t="shared" si="5"/>
        <v>-70000</v>
      </c>
      <c r="O80" s="479"/>
      <c r="P80" s="479"/>
      <c r="Q80" s="479"/>
    </row>
    <row r="81" spans="1:17" s="467" customFormat="1" ht="15" customHeight="1">
      <c r="B81" s="526" t="s">
        <v>311</v>
      </c>
      <c r="C81" s="469"/>
      <c r="D81" s="469"/>
      <c r="E81" s="469"/>
      <c r="F81" s="469"/>
      <c r="G81" s="469"/>
      <c r="H81" s="469"/>
      <c r="I81" s="469"/>
      <c r="J81" s="469"/>
      <c r="K81" s="469"/>
      <c r="L81" s="469"/>
      <c r="M81" s="469"/>
      <c r="N81" s="469"/>
      <c r="O81" s="479"/>
      <c r="P81" s="479"/>
      <c r="Q81" s="479"/>
    </row>
    <row r="82" spans="1:17" ht="15.75" customHeight="1">
      <c r="A82" s="588"/>
      <c r="B82" s="527" t="s">
        <v>346</v>
      </c>
      <c r="O82" s="479"/>
      <c r="P82" s="479"/>
      <c r="Q82" s="479"/>
    </row>
    <row r="83" spans="1:17" ht="15.75" customHeight="1">
      <c r="A83" s="588"/>
      <c r="B83" s="527"/>
      <c r="F83" s="589">
        <f>F15-F69</f>
        <v>1490873</v>
      </c>
      <c r="G83" s="589">
        <f t="shared" ref="G83:N83" si="6">G15-G69</f>
        <v>297193</v>
      </c>
      <c r="H83" s="589">
        <f t="shared" si="6"/>
        <v>1193680</v>
      </c>
      <c r="I83" s="589">
        <f t="shared" si="6"/>
        <v>1358983.9</v>
      </c>
      <c r="J83" s="589">
        <f t="shared" si="6"/>
        <v>297193</v>
      </c>
      <c r="K83" s="589">
        <f t="shared" si="6"/>
        <v>1061790.8999999999</v>
      </c>
      <c r="L83" s="589">
        <f t="shared" si="6"/>
        <v>-131889.1</v>
      </c>
      <c r="M83" s="589">
        <f t="shared" si="6"/>
        <v>0</v>
      </c>
      <c r="N83" s="589">
        <f t="shared" si="6"/>
        <v>-131889.1</v>
      </c>
    </row>
    <row r="84" spans="1:17" ht="15" customHeight="1">
      <c r="A84" s="588"/>
      <c r="B84" s="527"/>
      <c r="F84" s="589"/>
      <c r="K84" s="589"/>
    </row>
  </sheetData>
  <mergeCells count="16">
    <mergeCell ref="A17:B17"/>
    <mergeCell ref="A69:B69"/>
    <mergeCell ref="A1:B1"/>
    <mergeCell ref="A6:O6"/>
    <mergeCell ref="A8:O8"/>
    <mergeCell ref="A9:O9"/>
    <mergeCell ref="A12:A13"/>
    <mergeCell ref="B12:B13"/>
    <mergeCell ref="C12:C13"/>
    <mergeCell ref="D12:E12"/>
    <mergeCell ref="F12:F13"/>
    <mergeCell ref="G12:H12"/>
    <mergeCell ref="I12:I13"/>
    <mergeCell ref="J12:K12"/>
    <mergeCell ref="L12:L13"/>
    <mergeCell ref="M12:N12"/>
  </mergeCells>
  <printOptions horizontalCentered="1"/>
  <pageMargins left="0.55118110236220474" right="0.31496062992125984" top="0.23622047244094491" bottom="0.23622047244094491" header="0" footer="0"/>
  <pageSetup paperSize="9" scale="46" orientation="landscape" r:id="rId1"/>
  <headerFooter alignWithMargins="0"/>
  <customProperties>
    <customPr name="krista_fm_consts" r:id="rId2"/>
  </customProperties>
</worksheet>
</file>

<file path=xl/worksheets/sheet16.xml><?xml version="1.0" encoding="utf-8"?>
<worksheet xmlns="http://schemas.openxmlformats.org/spreadsheetml/2006/main" xmlns:r="http://schemas.openxmlformats.org/officeDocument/2006/relationships">
  <dimension ref="A1"/>
  <sheetViews>
    <sheetView workbookViewId="0">
      <selection sqref="A1:O73"/>
    </sheetView>
  </sheetViews>
  <sheetFormatPr defaultRowHeight="12.75"/>
  <sheetData/>
  <pageMargins left="0.7" right="0.7" top="0.75" bottom="0.75" header="0.3" footer="0.3"/>
  <customProperties>
    <customPr name="krista_fm_consts" r:id="rId1"/>
  </customProperties>
</worksheet>
</file>

<file path=xl/worksheets/sheet17.xml><?xml version="1.0" encoding="utf-8"?>
<worksheet xmlns="http://schemas.openxmlformats.org/spreadsheetml/2006/main" xmlns:r="http://schemas.openxmlformats.org/officeDocument/2006/relationships">
  <dimension ref="A1:S171"/>
  <sheetViews>
    <sheetView zoomScale="60" zoomScaleNormal="60" zoomScaleSheetLayoutView="50" workbookViewId="0">
      <pane xSplit="2" ySplit="11" topLeftCell="C12" activePane="bottomRight" state="frozen"/>
      <selection pane="topRight" activeCell="C1" sqref="C1"/>
      <selection pane="bottomLeft" activeCell="A12" sqref="A12"/>
      <selection pane="bottomRight" activeCell="A14" sqref="A14:IV14"/>
    </sheetView>
  </sheetViews>
  <sheetFormatPr defaultColWidth="9.140625" defaultRowHeight="15.75"/>
  <cols>
    <col min="1" max="1" width="12.7109375" style="497" customWidth="1"/>
    <col min="2" max="2" width="125.140625" style="497" customWidth="1"/>
    <col min="3" max="3" width="24.140625" style="700" customWidth="1"/>
    <col min="4" max="4" width="19.140625" style="497" customWidth="1"/>
    <col min="5" max="5" width="20.140625" style="497" customWidth="1"/>
    <col min="6" max="6" width="21.85546875" style="700" customWidth="1"/>
    <col min="7" max="7" width="20.5703125" style="497" customWidth="1"/>
    <col min="8" max="8" width="18.5703125" style="497" customWidth="1"/>
    <col min="9" max="9" width="20.28515625" style="700" customWidth="1"/>
    <col min="10" max="10" width="20" style="497" customWidth="1"/>
    <col min="11" max="11" width="19.42578125" style="497" customWidth="1"/>
    <col min="12" max="12" width="15.85546875" style="700" customWidth="1"/>
    <col min="13" max="13" width="14.28515625" style="497" customWidth="1"/>
    <col min="14" max="14" width="15.28515625" style="497" customWidth="1"/>
    <col min="15" max="15" width="15.7109375" style="497" hidden="1" customWidth="1"/>
    <col min="16" max="16" width="16.7109375" style="497" hidden="1" customWidth="1"/>
    <col min="17" max="17" width="34.28515625" style="497" customWidth="1"/>
    <col min="18" max="16384" width="9.140625" style="497"/>
  </cols>
  <sheetData>
    <row r="1" spans="1:17" ht="20.25">
      <c r="A1" s="2359"/>
      <c r="B1" s="2359"/>
      <c r="C1" s="817"/>
      <c r="D1" s="817"/>
      <c r="E1" s="817"/>
      <c r="F1" s="817"/>
      <c r="G1" s="817"/>
      <c r="H1" s="817"/>
      <c r="I1" s="817"/>
      <c r="K1" s="2384" t="s">
        <v>513</v>
      </c>
      <c r="L1" s="2384"/>
      <c r="M1" s="2384"/>
      <c r="N1" s="2384"/>
      <c r="O1" s="2384"/>
      <c r="P1" s="2384"/>
    </row>
    <row r="2" spans="1:17" hidden="1">
      <c r="A2" s="857"/>
      <c r="B2" s="809"/>
      <c r="C2" s="714"/>
      <c r="D2" s="809"/>
      <c r="E2" s="809"/>
      <c r="L2" s="714"/>
    </row>
    <row r="3" spans="1:17" s="467" customFormat="1" hidden="1">
      <c r="A3" s="859"/>
      <c r="C3" s="715"/>
      <c r="D3" s="716"/>
      <c r="E3" s="716"/>
      <c r="F3" s="715"/>
      <c r="G3" s="716"/>
      <c r="H3" s="716"/>
      <c r="I3" s="2312"/>
      <c r="J3" s="2312"/>
      <c r="K3" s="2312"/>
      <c r="L3" s="2312"/>
      <c r="N3" s="717"/>
    </row>
    <row r="4" spans="1:17" s="467" customFormat="1" ht="43.5" hidden="1" customHeight="1">
      <c r="A4" s="859"/>
      <c r="C4" s="815">
        <f>6162009.6</f>
        <v>6162009.5999999996</v>
      </c>
      <c r="D4" s="716"/>
      <c r="E4" s="716"/>
      <c r="F4" s="815">
        <v>5873905</v>
      </c>
      <c r="G4" s="469"/>
      <c r="H4" s="469"/>
      <c r="I4" s="816">
        <v>2407625.6</v>
      </c>
      <c r="J4" s="469"/>
      <c r="K4" s="469"/>
      <c r="L4" s="718"/>
      <c r="N4" s="717"/>
      <c r="Q4" s="467" t="s">
        <v>332</v>
      </c>
    </row>
    <row r="5" spans="1:17" s="467" customFormat="1" ht="25.5">
      <c r="A5" s="2361" t="s">
        <v>5</v>
      </c>
      <c r="B5" s="2361"/>
      <c r="C5" s="2361"/>
      <c r="D5" s="2361"/>
      <c r="E5" s="2361"/>
      <c r="F5" s="2361"/>
      <c r="G5" s="2361"/>
      <c r="H5" s="2361"/>
      <c r="I5" s="2361"/>
      <c r="J5" s="2361"/>
      <c r="K5" s="2361"/>
      <c r="L5" s="2361"/>
      <c r="M5" s="2361"/>
      <c r="N5" s="2361"/>
    </row>
    <row r="6" spans="1:17" s="467" customFormat="1" ht="25.5">
      <c r="A6" s="2361" t="s">
        <v>236</v>
      </c>
      <c r="B6" s="2361"/>
      <c r="C6" s="2361"/>
      <c r="D6" s="2361"/>
      <c r="E6" s="2361"/>
      <c r="F6" s="2361"/>
      <c r="G6" s="2361"/>
      <c r="H6" s="2361"/>
      <c r="I6" s="2361"/>
      <c r="J6" s="2361"/>
      <c r="K6" s="2361"/>
      <c r="L6" s="2361"/>
      <c r="M6" s="2361"/>
      <c r="N6" s="2361"/>
    </row>
    <row r="7" spans="1:17" s="467" customFormat="1" ht="30.75">
      <c r="A7" s="2361" t="s">
        <v>609</v>
      </c>
      <c r="B7" s="2361"/>
      <c r="C7" s="2361"/>
      <c r="D7" s="2361"/>
      <c r="E7" s="2361"/>
      <c r="F7" s="2361"/>
      <c r="G7" s="2361"/>
      <c r="H7" s="2361"/>
      <c r="I7" s="2361"/>
      <c r="J7" s="2361"/>
      <c r="K7" s="2361"/>
      <c r="L7" s="2361"/>
      <c r="M7" s="2361"/>
      <c r="N7" s="2361"/>
      <c r="Q7" s="858"/>
    </row>
    <row r="8" spans="1:17" s="467" customFormat="1" ht="20.25" customHeight="1">
      <c r="A8" s="860"/>
      <c r="B8" s="474"/>
      <c r="C8" s="471"/>
      <c r="D8" s="474"/>
      <c r="E8" s="474"/>
      <c r="F8" s="471"/>
      <c r="G8" s="474"/>
      <c r="H8" s="800"/>
      <c r="I8" s="719"/>
      <c r="J8" s="2385" t="s">
        <v>377</v>
      </c>
      <c r="K8" s="2385"/>
      <c r="L8" s="2385"/>
      <c r="M8" s="2385"/>
      <c r="N8" s="2385"/>
    </row>
    <row r="9" spans="1:17" ht="70.5" customHeight="1">
      <c r="A9" s="2380" t="s">
        <v>18</v>
      </c>
      <c r="B9" s="2380" t="s">
        <v>0</v>
      </c>
      <c r="C9" s="2374" t="s">
        <v>477</v>
      </c>
      <c r="D9" s="2375" t="s">
        <v>257</v>
      </c>
      <c r="E9" s="2376"/>
      <c r="F9" s="2387" t="s">
        <v>442</v>
      </c>
      <c r="G9" s="2375" t="s">
        <v>257</v>
      </c>
      <c r="H9" s="2376"/>
      <c r="I9" s="2374" t="s">
        <v>237</v>
      </c>
      <c r="J9" s="2375" t="s">
        <v>257</v>
      </c>
      <c r="K9" s="2376"/>
      <c r="L9" s="2374" t="s">
        <v>574</v>
      </c>
      <c r="M9" s="2375" t="s">
        <v>448</v>
      </c>
      <c r="N9" s="2376"/>
    </row>
    <row r="10" spans="1:17" s="720" customFormat="1" ht="103.5" customHeight="1">
      <c r="A10" s="2380"/>
      <c r="B10" s="2380"/>
      <c r="C10" s="2374"/>
      <c r="D10" s="709" t="s">
        <v>259</v>
      </c>
      <c r="E10" s="709" t="s">
        <v>258</v>
      </c>
      <c r="F10" s="2388"/>
      <c r="G10" s="709" t="s">
        <v>259</v>
      </c>
      <c r="H10" s="709" t="s">
        <v>258</v>
      </c>
      <c r="I10" s="2374"/>
      <c r="J10" s="709" t="s">
        <v>259</v>
      </c>
      <c r="K10" s="709" t="s">
        <v>258</v>
      </c>
      <c r="L10" s="2374"/>
      <c r="M10" s="709" t="s">
        <v>259</v>
      </c>
      <c r="N10" s="709" t="s">
        <v>258</v>
      </c>
    </row>
    <row r="11" spans="1:17" s="720" customFormat="1" ht="12.75">
      <c r="A11" s="263">
        <v>1</v>
      </c>
      <c r="B11" s="263">
        <v>2</v>
      </c>
      <c r="C11" s="263">
        <v>3</v>
      </c>
      <c r="D11" s="263">
        <v>4</v>
      </c>
      <c r="E11" s="263">
        <v>5</v>
      </c>
      <c r="F11" s="721">
        <v>6</v>
      </c>
      <c r="G11" s="721">
        <v>7</v>
      </c>
      <c r="H11" s="721">
        <v>8</v>
      </c>
      <c r="I11" s="721">
        <v>9</v>
      </c>
      <c r="J11" s="721">
        <v>10</v>
      </c>
      <c r="K11" s="721">
        <v>11</v>
      </c>
      <c r="L11" s="721">
        <v>12</v>
      </c>
      <c r="M11" s="721">
        <v>13</v>
      </c>
      <c r="N11" s="721">
        <v>14</v>
      </c>
    </row>
    <row r="12" spans="1:17" s="712" customFormat="1" ht="27.75" customHeight="1">
      <c r="A12" s="745"/>
      <c r="B12" s="710" t="s">
        <v>10</v>
      </c>
      <c r="C12" s="722">
        <f>SUM(D12:E12)</f>
        <v>6173594.2000000002</v>
      </c>
      <c r="D12" s="722">
        <f>SUM(D13,D138)</f>
        <v>4945515.5999999996</v>
      </c>
      <c r="E12" s="722">
        <f>SUM(E13,E138)</f>
        <v>1228078.6000000001</v>
      </c>
      <c r="F12" s="722">
        <f>G12+H12</f>
        <v>6089133.4000000004</v>
      </c>
      <c r="G12" s="722">
        <f>G13+G138</f>
        <v>4861160.5999999996</v>
      </c>
      <c r="H12" s="722">
        <f>H13+H138</f>
        <v>1227972.8</v>
      </c>
      <c r="I12" s="722">
        <f t="shared" ref="I12:I46" si="0">SUM(J12:K12)</f>
        <v>4386288.5999999996</v>
      </c>
      <c r="J12" s="722">
        <f>SUM(J13,J138)</f>
        <v>3458959.8</v>
      </c>
      <c r="K12" s="722">
        <f>SUM(K13,K138)</f>
        <v>927328.8</v>
      </c>
      <c r="L12" s="723">
        <f>IF(I12=0,0,I12/F12*100)</f>
        <v>72</v>
      </c>
      <c r="M12" s="723">
        <f>IF(J12=0,0,J12/G12*100)</f>
        <v>71.2</v>
      </c>
      <c r="N12" s="723">
        <f>IF(K12=0,0,K12/H12*100)</f>
        <v>75.5</v>
      </c>
      <c r="O12" s="711"/>
      <c r="Q12" s="484"/>
    </row>
    <row r="13" spans="1:17" s="712" customFormat="1" ht="51" customHeight="1">
      <c r="A13" s="2377" t="s">
        <v>453</v>
      </c>
      <c r="B13" s="2377"/>
      <c r="C13" s="722">
        <f>D13+E13</f>
        <v>4836431.3</v>
      </c>
      <c r="D13" s="722">
        <f>D14+D44</f>
        <v>3883215.6</v>
      </c>
      <c r="E13" s="722">
        <f>E14+E44</f>
        <v>953215.7</v>
      </c>
      <c r="F13" s="722">
        <f>G13+H13</f>
        <v>4751970.5</v>
      </c>
      <c r="G13" s="722">
        <f>G14+G44</f>
        <v>3798860.6</v>
      </c>
      <c r="H13" s="722">
        <f>H14+H44</f>
        <v>953109.9</v>
      </c>
      <c r="I13" s="722">
        <f t="shared" si="0"/>
        <v>3346561.9</v>
      </c>
      <c r="J13" s="722">
        <f>J14+J44</f>
        <v>2620171.2999999998</v>
      </c>
      <c r="K13" s="722">
        <f>K14+K44</f>
        <v>726390.6</v>
      </c>
      <c r="L13" s="723">
        <f t="shared" ref="L13:L37" si="1">IF(I13=0,0,I13/F13*100)</f>
        <v>70.400000000000006</v>
      </c>
      <c r="M13" s="724">
        <f t="shared" ref="M13:N48" si="2">IF(J13=0,0,J13/G13*100)</f>
        <v>69</v>
      </c>
      <c r="N13" s="724">
        <f t="shared" si="2"/>
        <v>76.2</v>
      </c>
      <c r="O13" s="725">
        <f>D13-G13</f>
        <v>84355</v>
      </c>
      <c r="P13" s="725">
        <f>E13-H13</f>
        <v>105.8</v>
      </c>
      <c r="Q13" s="484"/>
    </row>
    <row r="14" spans="1:17" ht="61.5" customHeight="1">
      <c r="A14" s="861" t="s">
        <v>6</v>
      </c>
      <c r="B14" s="704" t="s">
        <v>437</v>
      </c>
      <c r="C14" s="726">
        <f t="shared" ref="C14:C24" si="3">SUM(D14:E14)</f>
        <v>2114622.2999999998</v>
      </c>
      <c r="D14" s="726">
        <f>D15+D18</f>
        <v>1469303</v>
      </c>
      <c r="E14" s="726">
        <f>E15+E18</f>
        <v>645319.30000000005</v>
      </c>
      <c r="F14" s="726">
        <f>G14+H14</f>
        <v>2093188.7</v>
      </c>
      <c r="G14" s="726">
        <f>G15+G18</f>
        <v>1447916.9</v>
      </c>
      <c r="H14" s="726">
        <f>H15+H18</f>
        <v>645271.80000000005</v>
      </c>
      <c r="I14" s="726">
        <f t="shared" si="0"/>
        <v>1673865.9</v>
      </c>
      <c r="J14" s="726">
        <f>J15+J18</f>
        <v>1111724.8</v>
      </c>
      <c r="K14" s="726">
        <f>K15+K18</f>
        <v>562141.1</v>
      </c>
      <c r="L14" s="727">
        <f t="shared" si="1"/>
        <v>80</v>
      </c>
      <c r="M14" s="728">
        <f t="shared" si="2"/>
        <v>76.8</v>
      </c>
      <c r="N14" s="728">
        <f t="shared" si="2"/>
        <v>87.1</v>
      </c>
      <c r="O14" s="725">
        <f>D14-G14</f>
        <v>21386.1</v>
      </c>
      <c r="P14" s="725">
        <f>E14-H14</f>
        <v>47.5</v>
      </c>
      <c r="Q14" s="736"/>
    </row>
    <row r="15" spans="1:17" ht="77.25" customHeight="1">
      <c r="A15" s="861" t="s">
        <v>30</v>
      </c>
      <c r="B15" s="704" t="s">
        <v>438</v>
      </c>
      <c r="C15" s="726">
        <f t="shared" si="3"/>
        <v>358292.9</v>
      </c>
      <c r="D15" s="726">
        <f>SUM(D16)</f>
        <v>0</v>
      </c>
      <c r="E15" s="726">
        <f>SUM(E16)</f>
        <v>358292.9</v>
      </c>
      <c r="F15" s="726">
        <f t="shared" ref="F15:F46" si="4">SUM(G15:H15)</f>
        <v>358292.9</v>
      </c>
      <c r="G15" s="726">
        <f>SUM(G16)</f>
        <v>0</v>
      </c>
      <c r="H15" s="726">
        <f>SUM(H16)</f>
        <v>358292.9</v>
      </c>
      <c r="I15" s="726">
        <f t="shared" si="0"/>
        <v>355715</v>
      </c>
      <c r="J15" s="726">
        <f>SUM(J16)</f>
        <v>0</v>
      </c>
      <c r="K15" s="726">
        <f>SUM(K16)</f>
        <v>355715</v>
      </c>
      <c r="L15" s="727">
        <f t="shared" si="1"/>
        <v>99.3</v>
      </c>
      <c r="M15" s="728">
        <f t="shared" ref="M15:N18" si="5">IF(J15=0,0,J15/G15*100)</f>
        <v>0</v>
      </c>
      <c r="N15" s="728">
        <f t="shared" si="5"/>
        <v>99.3</v>
      </c>
      <c r="O15" s="725">
        <f t="shared" ref="O15:P18" si="6">D15-G15</f>
        <v>0</v>
      </c>
      <c r="P15" s="725">
        <f t="shared" si="6"/>
        <v>0</v>
      </c>
      <c r="Q15" s="736"/>
    </row>
    <row r="16" spans="1:17" ht="29.25" customHeight="1">
      <c r="A16" s="861" t="s">
        <v>440</v>
      </c>
      <c r="B16" s="705" t="s">
        <v>41</v>
      </c>
      <c r="C16" s="729">
        <f t="shared" si="3"/>
        <v>358292.9</v>
      </c>
      <c r="D16" s="729">
        <f>SUM(D17)</f>
        <v>0</v>
      </c>
      <c r="E16" s="729">
        <f>E17</f>
        <v>358292.9</v>
      </c>
      <c r="F16" s="729">
        <f t="shared" si="4"/>
        <v>358292.9</v>
      </c>
      <c r="G16" s="729">
        <f>SUM(G17)</f>
        <v>0</v>
      </c>
      <c r="H16" s="729">
        <f>SUM(H17)</f>
        <v>358292.9</v>
      </c>
      <c r="I16" s="729">
        <f t="shared" si="0"/>
        <v>355715</v>
      </c>
      <c r="J16" s="729">
        <f>SUM(J17)</f>
        <v>0</v>
      </c>
      <c r="K16" s="729">
        <f>SUM(K17)</f>
        <v>355715</v>
      </c>
      <c r="L16" s="730">
        <f t="shared" si="1"/>
        <v>99.3</v>
      </c>
      <c r="M16" s="731">
        <f t="shared" si="5"/>
        <v>0</v>
      </c>
      <c r="N16" s="731">
        <f t="shared" si="5"/>
        <v>99.3</v>
      </c>
      <c r="O16" s="725">
        <f t="shared" si="6"/>
        <v>0</v>
      </c>
      <c r="P16" s="725">
        <f t="shared" si="6"/>
        <v>0</v>
      </c>
      <c r="Q16" s="736"/>
    </row>
    <row r="17" spans="1:18" ht="41.25" customHeight="1">
      <c r="A17" s="744" t="s">
        <v>50</v>
      </c>
      <c r="B17" s="745" t="s">
        <v>445</v>
      </c>
      <c r="C17" s="771">
        <f t="shared" si="3"/>
        <v>358292.9</v>
      </c>
      <c r="D17" s="818">
        <v>0</v>
      </c>
      <c r="E17" s="818">
        <v>358292.9</v>
      </c>
      <c r="F17" s="771">
        <f t="shared" si="4"/>
        <v>358292.9</v>
      </c>
      <c r="G17" s="818">
        <v>0</v>
      </c>
      <c r="H17" s="818">
        <v>358292.9</v>
      </c>
      <c r="I17" s="771">
        <f>SUM(J17:K17)</f>
        <v>355715</v>
      </c>
      <c r="J17" s="818">
        <v>0</v>
      </c>
      <c r="K17" s="818">
        <v>355715</v>
      </c>
      <c r="L17" s="777">
        <f t="shared" si="1"/>
        <v>99.3</v>
      </c>
      <c r="M17" s="778">
        <f t="shared" si="5"/>
        <v>0</v>
      </c>
      <c r="N17" s="778">
        <f t="shared" si="5"/>
        <v>99.3</v>
      </c>
      <c r="O17" s="725">
        <f t="shared" si="6"/>
        <v>0</v>
      </c>
      <c r="P17" s="725">
        <f t="shared" si="6"/>
        <v>0</v>
      </c>
      <c r="Q17" s="736"/>
    </row>
    <row r="18" spans="1:18" ht="100.5" customHeight="1">
      <c r="A18" s="861" t="s">
        <v>31</v>
      </c>
      <c r="B18" s="704" t="s">
        <v>439</v>
      </c>
      <c r="C18" s="726">
        <f t="shared" si="3"/>
        <v>1756329.4</v>
      </c>
      <c r="D18" s="726">
        <f>SUM(D19)</f>
        <v>1469303</v>
      </c>
      <c r="E18" s="726">
        <f>SUM(E19)</f>
        <v>287026.40000000002</v>
      </c>
      <c r="F18" s="726">
        <f t="shared" si="4"/>
        <v>1734895.8</v>
      </c>
      <c r="G18" s="726">
        <f>SUM(G19)</f>
        <v>1447916.9</v>
      </c>
      <c r="H18" s="726">
        <f>SUM(H19)</f>
        <v>286978.90000000002</v>
      </c>
      <c r="I18" s="726">
        <f t="shared" si="0"/>
        <v>1318150.8999999999</v>
      </c>
      <c r="J18" s="726">
        <f>SUM(J19)</f>
        <v>1111724.8</v>
      </c>
      <c r="K18" s="726">
        <f>SUM(K19)</f>
        <v>206426.1</v>
      </c>
      <c r="L18" s="727">
        <f t="shared" si="1"/>
        <v>76</v>
      </c>
      <c r="M18" s="728">
        <f t="shared" si="5"/>
        <v>76.8</v>
      </c>
      <c r="N18" s="728">
        <f t="shared" si="5"/>
        <v>71.900000000000006</v>
      </c>
      <c r="O18" s="725">
        <f t="shared" si="6"/>
        <v>21386.1</v>
      </c>
      <c r="P18" s="725">
        <f t="shared" si="6"/>
        <v>47.5</v>
      </c>
      <c r="Q18" s="736"/>
    </row>
    <row r="19" spans="1:18" ht="42" customHeight="1">
      <c r="A19" s="861" t="s">
        <v>441</v>
      </c>
      <c r="B19" s="705" t="s">
        <v>41</v>
      </c>
      <c r="C19" s="763">
        <f t="shared" si="3"/>
        <v>1756329.4</v>
      </c>
      <c r="D19" s="763">
        <f>D20+D21+D23+D25</f>
        <v>1469303</v>
      </c>
      <c r="E19" s="763">
        <f>E20+E21+E23+E25</f>
        <v>287026.40000000002</v>
      </c>
      <c r="F19" s="763">
        <f t="shared" si="4"/>
        <v>1734895.8</v>
      </c>
      <c r="G19" s="763">
        <f>G20+G21+G23+G25</f>
        <v>1447916.9</v>
      </c>
      <c r="H19" s="763">
        <f>H20+H21+H23+H25</f>
        <v>286978.90000000002</v>
      </c>
      <c r="I19" s="763">
        <f t="shared" si="0"/>
        <v>1318150.8999999999</v>
      </c>
      <c r="J19" s="763">
        <f>J20+J21+J23+J25</f>
        <v>1111724.8</v>
      </c>
      <c r="K19" s="763">
        <f>K20+K21+K23+K25</f>
        <v>206426.1</v>
      </c>
      <c r="L19" s="767">
        <f t="shared" si="1"/>
        <v>76</v>
      </c>
      <c r="M19" s="768">
        <f t="shared" si="2"/>
        <v>76.8</v>
      </c>
      <c r="N19" s="768">
        <f t="shared" si="2"/>
        <v>71.900000000000006</v>
      </c>
      <c r="O19" s="725">
        <f>D19-G19</f>
        <v>21386.1</v>
      </c>
      <c r="P19" s="725">
        <f>E19-H19</f>
        <v>47.5</v>
      </c>
      <c r="Q19" s="736"/>
    </row>
    <row r="20" spans="1:18" ht="89.25" customHeight="1">
      <c r="A20" s="744" t="s">
        <v>4</v>
      </c>
      <c r="B20" s="747" t="s">
        <v>434</v>
      </c>
      <c r="C20" s="771">
        <f t="shared" si="3"/>
        <v>1495335.5</v>
      </c>
      <c r="D20" s="778">
        <v>1228350.8999999999</v>
      </c>
      <c r="E20" s="778">
        <v>266984.59999999998</v>
      </c>
      <c r="F20" s="773">
        <f t="shared" si="4"/>
        <v>1473994.9</v>
      </c>
      <c r="G20" s="778">
        <v>1207010.3</v>
      </c>
      <c r="H20" s="778">
        <v>266984.59999999998</v>
      </c>
      <c r="I20" s="773">
        <f t="shared" si="0"/>
        <v>1293042.1000000001</v>
      </c>
      <c r="J20" s="778">
        <v>1092112.8999999999</v>
      </c>
      <c r="K20" s="778">
        <v>200929.2</v>
      </c>
      <c r="L20" s="777">
        <f t="shared" si="1"/>
        <v>87.7</v>
      </c>
      <c r="M20" s="778">
        <f t="shared" si="2"/>
        <v>90.5</v>
      </c>
      <c r="N20" s="778">
        <f t="shared" si="2"/>
        <v>75.3</v>
      </c>
      <c r="O20" s="725">
        <f>D20-G20</f>
        <v>21340.6</v>
      </c>
      <c r="P20" s="725">
        <f>E20-H20</f>
        <v>0</v>
      </c>
      <c r="Q20" s="736"/>
    </row>
    <row r="21" spans="1:18" ht="55.5" hidden="1" customHeight="1">
      <c r="A21" s="744"/>
      <c r="B21" s="784" t="s">
        <v>12</v>
      </c>
      <c r="C21" s="771">
        <f t="shared" si="3"/>
        <v>0</v>
      </c>
      <c r="D21" s="818">
        <v>0</v>
      </c>
      <c r="E21" s="818">
        <f>E22</f>
        <v>0</v>
      </c>
      <c r="F21" s="771">
        <f>SUM(G21:H21)</f>
        <v>0</v>
      </c>
      <c r="G21" s="818">
        <v>0</v>
      </c>
      <c r="H21" s="818">
        <f>H22</f>
        <v>0</v>
      </c>
      <c r="I21" s="771">
        <f>SUM(J21:K21)</f>
        <v>0</v>
      </c>
      <c r="J21" s="818">
        <v>0</v>
      </c>
      <c r="K21" s="818">
        <v>0</v>
      </c>
      <c r="L21" s="777">
        <f t="shared" si="1"/>
        <v>0</v>
      </c>
      <c r="M21" s="778">
        <f>IF(J21=0,0,J21/G21*100)</f>
        <v>0</v>
      </c>
      <c r="N21" s="778">
        <f>IF(K21=0,0,K21/H21*100)</f>
        <v>0</v>
      </c>
      <c r="O21" s="725"/>
      <c r="P21" s="725"/>
      <c r="Q21" s="736"/>
    </row>
    <row r="22" spans="1:18" ht="36" hidden="1" customHeight="1">
      <c r="A22" s="744" t="s">
        <v>526</v>
      </c>
      <c r="B22" s="795" t="s">
        <v>514</v>
      </c>
      <c r="C22" s="771">
        <f t="shared" si="3"/>
        <v>0</v>
      </c>
      <c r="D22" s="818">
        <v>0</v>
      </c>
      <c r="E22" s="818">
        <v>0</v>
      </c>
      <c r="F22" s="771">
        <f>SUM(G22:H22)</f>
        <v>0</v>
      </c>
      <c r="G22" s="818">
        <v>0</v>
      </c>
      <c r="H22" s="818">
        <v>0</v>
      </c>
      <c r="I22" s="771">
        <f>SUM(J22:K22)</f>
        <v>0</v>
      </c>
      <c r="J22" s="818">
        <v>0</v>
      </c>
      <c r="K22" s="818">
        <v>0</v>
      </c>
      <c r="L22" s="777">
        <f t="shared" si="1"/>
        <v>0</v>
      </c>
      <c r="M22" s="778">
        <f t="shared" si="2"/>
        <v>0</v>
      </c>
      <c r="N22" s="778">
        <f t="shared" si="2"/>
        <v>0</v>
      </c>
      <c r="O22" s="725"/>
      <c r="P22" s="725"/>
      <c r="Q22" s="736"/>
    </row>
    <row r="23" spans="1:18" ht="34.5" customHeight="1">
      <c r="A23" s="744"/>
      <c r="B23" s="707" t="s">
        <v>68</v>
      </c>
      <c r="C23" s="771">
        <f t="shared" si="3"/>
        <v>4572</v>
      </c>
      <c r="D23" s="774">
        <f>D24</f>
        <v>0</v>
      </c>
      <c r="E23" s="774">
        <f>E24</f>
        <v>4572</v>
      </c>
      <c r="F23" s="771">
        <f>SUM(G23:H23)</f>
        <v>4572</v>
      </c>
      <c r="G23" s="774">
        <f>G24</f>
        <v>0</v>
      </c>
      <c r="H23" s="774">
        <f>H24</f>
        <v>4572</v>
      </c>
      <c r="I23" s="771">
        <f>SUM(J23:K23)</f>
        <v>4200</v>
      </c>
      <c r="J23" s="774">
        <f>J24</f>
        <v>0</v>
      </c>
      <c r="K23" s="774">
        <f>K24</f>
        <v>4200</v>
      </c>
      <c r="L23" s="777">
        <f t="shared" si="1"/>
        <v>91.9</v>
      </c>
      <c r="M23" s="778">
        <f t="shared" si="2"/>
        <v>0</v>
      </c>
      <c r="N23" s="778">
        <f t="shared" si="2"/>
        <v>91.9</v>
      </c>
      <c r="O23" s="725"/>
      <c r="P23" s="725"/>
      <c r="Q23" s="736"/>
    </row>
    <row r="24" spans="1:18" ht="132" customHeight="1">
      <c r="A24" s="744" t="s">
        <v>35</v>
      </c>
      <c r="B24" s="769" t="s">
        <v>564</v>
      </c>
      <c r="C24" s="779">
        <f t="shared" si="3"/>
        <v>4572</v>
      </c>
      <c r="D24" s="776">
        <v>0</v>
      </c>
      <c r="E24" s="776">
        <f>4200+372</f>
        <v>4572</v>
      </c>
      <c r="F24" s="779">
        <f>SUM(G24:H24)</f>
        <v>4572</v>
      </c>
      <c r="G24" s="776">
        <v>0</v>
      </c>
      <c r="H24" s="776">
        <f>E24</f>
        <v>4572</v>
      </c>
      <c r="I24" s="779">
        <f>SUM(J24:K24)</f>
        <v>4200</v>
      </c>
      <c r="J24" s="779">
        <v>0</v>
      </c>
      <c r="K24" s="779">
        <v>4200</v>
      </c>
      <c r="L24" s="778">
        <f t="shared" si="1"/>
        <v>91.9</v>
      </c>
      <c r="M24" s="778">
        <f t="shared" si="2"/>
        <v>0</v>
      </c>
      <c r="N24" s="778">
        <f t="shared" si="2"/>
        <v>91.9</v>
      </c>
      <c r="O24" s="725"/>
      <c r="P24" s="725"/>
      <c r="Q24" s="736"/>
    </row>
    <row r="25" spans="1:18" ht="51.75" customHeight="1">
      <c r="A25" s="744" t="s">
        <v>20</v>
      </c>
      <c r="B25" s="781" t="s">
        <v>444</v>
      </c>
      <c r="C25" s="771">
        <f>D25+E25</f>
        <v>256421.9</v>
      </c>
      <c r="D25" s="819">
        <f>D26+D29+D32+D34+D36+D38+D42</f>
        <v>240952.1</v>
      </c>
      <c r="E25" s="819">
        <f>E26+E29+E32+E34+E36+E38+E42</f>
        <v>15469.8</v>
      </c>
      <c r="F25" s="771">
        <f>G25+H25</f>
        <v>256328.9</v>
      </c>
      <c r="G25" s="819">
        <f>G26+G29+G32+G34+G36+G38+G42</f>
        <v>240906.6</v>
      </c>
      <c r="H25" s="819">
        <f>H26+H29+H32+H34+H36+H38+H42</f>
        <v>15422.3</v>
      </c>
      <c r="I25" s="771">
        <f>J25+K25</f>
        <v>20908.8</v>
      </c>
      <c r="J25" s="819">
        <f>J26+J29+J32+J34+J36+J38+J42</f>
        <v>19611.900000000001</v>
      </c>
      <c r="K25" s="819">
        <f>K26+K29+K32+K34+K36+K38+K42</f>
        <v>1296.9000000000001</v>
      </c>
      <c r="L25" s="777">
        <f t="shared" si="1"/>
        <v>8.1999999999999993</v>
      </c>
      <c r="M25" s="778">
        <f t="shared" si="2"/>
        <v>8.1</v>
      </c>
      <c r="N25" s="778">
        <f t="shared" si="2"/>
        <v>8.4</v>
      </c>
      <c r="O25" s="725"/>
      <c r="P25" s="725"/>
      <c r="Q25" s="736"/>
    </row>
    <row r="26" spans="1:18" ht="38.25" customHeight="1">
      <c r="A26" s="744"/>
      <c r="B26" s="787" t="s">
        <v>431</v>
      </c>
      <c r="C26" s="771">
        <f t="shared" ref="C26:C46" si="7">SUM(D26:E26)</f>
        <v>36565.800000000003</v>
      </c>
      <c r="D26" s="819">
        <f>D27+D28</f>
        <v>34371.599999999999</v>
      </c>
      <c r="E26" s="819">
        <f>E27+E28</f>
        <v>2194.1999999999998</v>
      </c>
      <c r="F26" s="771">
        <f>SUM(G26:H26)</f>
        <v>36565.800000000003</v>
      </c>
      <c r="G26" s="819">
        <f>G27+G28</f>
        <v>34371.599999999999</v>
      </c>
      <c r="H26" s="819">
        <f>H27+H28</f>
        <v>2194.1999999999998</v>
      </c>
      <c r="I26" s="771">
        <f>SUM(J26:K26)</f>
        <v>2658.7</v>
      </c>
      <c r="J26" s="819">
        <f>J27+J28</f>
        <v>2498.9</v>
      </c>
      <c r="K26" s="819">
        <f>K27+K28</f>
        <v>159.80000000000001</v>
      </c>
      <c r="L26" s="778">
        <f>IF(I26=0,0,I26/F26*100)</f>
        <v>7.3</v>
      </c>
      <c r="M26" s="778">
        <f>IF(J26=0,0,J26/G26*100)</f>
        <v>7.3</v>
      </c>
      <c r="N26" s="778">
        <f>IF(K26=0,0,K26/H26*100)</f>
        <v>7.3</v>
      </c>
      <c r="O26" s="725"/>
      <c r="P26" s="725"/>
      <c r="Q26" s="736"/>
    </row>
    <row r="27" spans="1:18" ht="107.25" customHeight="1">
      <c r="A27" s="744" t="s">
        <v>490</v>
      </c>
      <c r="B27" s="788" t="s">
        <v>515</v>
      </c>
      <c r="C27" s="779">
        <f t="shared" si="7"/>
        <v>2744.4</v>
      </c>
      <c r="D27" s="818">
        <v>2579.5</v>
      </c>
      <c r="E27" s="818">
        <v>164.9</v>
      </c>
      <c r="F27" s="779">
        <f>SUM(G27:H27)</f>
        <v>2744.4</v>
      </c>
      <c r="G27" s="818">
        <v>2579.5</v>
      </c>
      <c r="H27" s="818">
        <v>164.9</v>
      </c>
      <c r="I27" s="779">
        <f>SUM(J27:K27)</f>
        <v>2658.7</v>
      </c>
      <c r="J27" s="818">
        <v>2498.9</v>
      </c>
      <c r="K27" s="818">
        <v>159.80000000000001</v>
      </c>
      <c r="L27" s="778">
        <f t="shared" si="1"/>
        <v>96.9</v>
      </c>
      <c r="M27" s="778">
        <f t="shared" si="2"/>
        <v>96.9</v>
      </c>
      <c r="N27" s="778">
        <f t="shared" si="2"/>
        <v>96.9</v>
      </c>
      <c r="O27" s="725"/>
      <c r="P27" s="725"/>
      <c r="Q27" s="736"/>
    </row>
    <row r="28" spans="1:18" ht="65.25" customHeight="1">
      <c r="A28" s="744" t="s">
        <v>565</v>
      </c>
      <c r="B28" s="788" t="s">
        <v>567</v>
      </c>
      <c r="C28" s="779">
        <f t="shared" si="7"/>
        <v>33821.4</v>
      </c>
      <c r="D28" s="818">
        <v>31792.1</v>
      </c>
      <c r="E28" s="818">
        <v>2029.3</v>
      </c>
      <c r="F28" s="779">
        <f>SUM(G28:H28)</f>
        <v>33821.4</v>
      </c>
      <c r="G28" s="818">
        <v>31792.1</v>
      </c>
      <c r="H28" s="818">
        <v>2029.3</v>
      </c>
      <c r="I28" s="779">
        <f>SUM(J28:K28)</f>
        <v>0</v>
      </c>
      <c r="J28" s="818">
        <v>0</v>
      </c>
      <c r="K28" s="818">
        <v>0</v>
      </c>
      <c r="L28" s="778">
        <f>IF(I28=0,0,I28/F28*100)</f>
        <v>0</v>
      </c>
      <c r="M28" s="778">
        <f>IF(J28=0,0,J28/G28*100)</f>
        <v>0</v>
      </c>
      <c r="N28" s="778">
        <f>IF(K28=0,0,K28/H28*100)</f>
        <v>0</v>
      </c>
      <c r="O28" s="725"/>
      <c r="P28" s="725"/>
      <c r="Q28" s="736"/>
      <c r="R28" s="736"/>
    </row>
    <row r="29" spans="1:18" ht="39" customHeight="1">
      <c r="A29" s="708"/>
      <c r="B29" s="707" t="s">
        <v>457</v>
      </c>
      <c r="C29" s="771">
        <f t="shared" si="7"/>
        <v>25998</v>
      </c>
      <c r="D29" s="772">
        <f>SUM(D30:D31)</f>
        <v>24438</v>
      </c>
      <c r="E29" s="772">
        <f>SUM(E30:E31)</f>
        <v>1560</v>
      </c>
      <c r="F29" s="771">
        <f t="shared" si="4"/>
        <v>25998</v>
      </c>
      <c r="G29" s="772">
        <f>SUM(G30:G31)</f>
        <v>24438</v>
      </c>
      <c r="H29" s="772">
        <f>SUM(H30:H31)</f>
        <v>1560</v>
      </c>
      <c r="I29" s="771">
        <f t="shared" si="0"/>
        <v>875.7</v>
      </c>
      <c r="J29" s="772">
        <f>SUM(J30:J31)</f>
        <v>823.1</v>
      </c>
      <c r="K29" s="772">
        <f>SUM(K30:K31)</f>
        <v>52.6</v>
      </c>
      <c r="L29" s="773">
        <f t="shared" si="1"/>
        <v>3.4</v>
      </c>
      <c r="M29" s="774">
        <f t="shared" si="2"/>
        <v>3.4</v>
      </c>
      <c r="N29" s="774">
        <f t="shared" si="2"/>
        <v>3.4</v>
      </c>
      <c r="O29" s="725">
        <f t="shared" ref="O29:P35" si="8">D29-G29</f>
        <v>0</v>
      </c>
      <c r="P29" s="725">
        <f t="shared" si="8"/>
        <v>0</v>
      </c>
      <c r="Q29" s="736"/>
    </row>
    <row r="30" spans="1:18" ht="135" customHeight="1">
      <c r="A30" s="744" t="s">
        <v>491</v>
      </c>
      <c r="B30" s="745" t="s">
        <v>484</v>
      </c>
      <c r="C30" s="779">
        <f t="shared" si="7"/>
        <v>895.2</v>
      </c>
      <c r="D30" s="818">
        <v>841.4</v>
      </c>
      <c r="E30" s="818">
        <v>53.8</v>
      </c>
      <c r="F30" s="779">
        <f t="shared" si="4"/>
        <v>895.2</v>
      </c>
      <c r="G30" s="818">
        <v>841.4</v>
      </c>
      <c r="H30" s="818">
        <v>53.8</v>
      </c>
      <c r="I30" s="779">
        <f>SUM(J30:K30)</f>
        <v>875.7</v>
      </c>
      <c r="J30" s="818">
        <v>823.1</v>
      </c>
      <c r="K30" s="818">
        <v>52.6</v>
      </c>
      <c r="L30" s="778">
        <f t="shared" si="1"/>
        <v>97.8</v>
      </c>
      <c r="M30" s="778">
        <f>IF(J30=0,0,J30/G30*100)</f>
        <v>97.8</v>
      </c>
      <c r="N30" s="778">
        <f t="shared" si="2"/>
        <v>97.8</v>
      </c>
      <c r="O30" s="725">
        <f t="shared" si="8"/>
        <v>0</v>
      </c>
      <c r="P30" s="725">
        <f t="shared" si="8"/>
        <v>0</v>
      </c>
      <c r="Q30" s="736"/>
    </row>
    <row r="31" spans="1:18" ht="65.25" customHeight="1">
      <c r="A31" s="744" t="s">
        <v>492</v>
      </c>
      <c r="B31" s="788" t="s">
        <v>581</v>
      </c>
      <c r="C31" s="779">
        <f t="shared" si="7"/>
        <v>25102.799999999999</v>
      </c>
      <c r="D31" s="818">
        <v>23596.6</v>
      </c>
      <c r="E31" s="818">
        <v>1506.2</v>
      </c>
      <c r="F31" s="779">
        <f>SUM(G31:H31)</f>
        <v>25102.799999999999</v>
      </c>
      <c r="G31" s="818">
        <v>23596.6</v>
      </c>
      <c r="H31" s="818">
        <v>1506.2</v>
      </c>
      <c r="I31" s="779">
        <f>SUM(J31:K31)</f>
        <v>0</v>
      </c>
      <c r="J31" s="818">
        <v>0</v>
      </c>
      <c r="K31" s="818">
        <v>0</v>
      </c>
      <c r="L31" s="778">
        <f>IF(I31=0,0,I31/F31*100)</f>
        <v>0</v>
      </c>
      <c r="M31" s="778">
        <f>IF(J31=0,0,J31/G31*100)</f>
        <v>0</v>
      </c>
      <c r="N31" s="778">
        <f>IF(K31=0,0,K31/H31*100)</f>
        <v>0</v>
      </c>
      <c r="O31" s="725"/>
      <c r="P31" s="725"/>
      <c r="Q31" s="736"/>
      <c r="R31" s="736"/>
    </row>
    <row r="32" spans="1:18" ht="33" customHeight="1">
      <c r="A32" s="708"/>
      <c r="B32" s="707" t="s">
        <v>433</v>
      </c>
      <c r="C32" s="771">
        <f t="shared" si="7"/>
        <v>286.7</v>
      </c>
      <c r="D32" s="774">
        <f>D33</f>
        <v>269.5</v>
      </c>
      <c r="E32" s="774">
        <f>E33</f>
        <v>17.2</v>
      </c>
      <c r="F32" s="771">
        <f t="shared" si="4"/>
        <v>286.7</v>
      </c>
      <c r="G32" s="774">
        <f>G33</f>
        <v>269.5</v>
      </c>
      <c r="H32" s="774">
        <f>H33</f>
        <v>17.2</v>
      </c>
      <c r="I32" s="771">
        <f t="shared" si="0"/>
        <v>286.7</v>
      </c>
      <c r="J32" s="774">
        <f>J33</f>
        <v>269.5</v>
      </c>
      <c r="K32" s="774">
        <f>K33</f>
        <v>17.2</v>
      </c>
      <c r="L32" s="773">
        <f t="shared" si="1"/>
        <v>100</v>
      </c>
      <c r="M32" s="775">
        <f t="shared" si="2"/>
        <v>100</v>
      </c>
      <c r="N32" s="775">
        <f t="shared" si="2"/>
        <v>100</v>
      </c>
      <c r="O32" s="725">
        <f t="shared" si="8"/>
        <v>0</v>
      </c>
      <c r="P32" s="725">
        <f t="shared" si="8"/>
        <v>0</v>
      </c>
      <c r="Q32" s="736"/>
    </row>
    <row r="33" spans="1:17" ht="105.75" customHeight="1">
      <c r="A33" s="744" t="s">
        <v>493</v>
      </c>
      <c r="B33" s="748" t="s">
        <v>485</v>
      </c>
      <c r="C33" s="779">
        <f t="shared" si="7"/>
        <v>286.7</v>
      </c>
      <c r="D33" s="776">
        <v>269.5</v>
      </c>
      <c r="E33" s="776">
        <v>17.2</v>
      </c>
      <c r="F33" s="779">
        <f t="shared" si="4"/>
        <v>286.7</v>
      </c>
      <c r="G33" s="776">
        <v>269.5</v>
      </c>
      <c r="H33" s="776">
        <v>17.2</v>
      </c>
      <c r="I33" s="779">
        <f t="shared" si="0"/>
        <v>286.7</v>
      </c>
      <c r="J33" s="776">
        <v>269.5</v>
      </c>
      <c r="K33" s="776">
        <v>17.2</v>
      </c>
      <c r="L33" s="778">
        <f t="shared" si="1"/>
        <v>100</v>
      </c>
      <c r="M33" s="778">
        <f t="shared" si="2"/>
        <v>100</v>
      </c>
      <c r="N33" s="778">
        <f t="shared" si="2"/>
        <v>100</v>
      </c>
      <c r="O33" s="725">
        <f t="shared" si="8"/>
        <v>0</v>
      </c>
      <c r="P33" s="725">
        <f t="shared" si="8"/>
        <v>0</v>
      </c>
      <c r="Q33" s="736"/>
    </row>
    <row r="34" spans="1:17" ht="33.75" customHeight="1">
      <c r="A34" s="708"/>
      <c r="B34" s="707" t="s">
        <v>458</v>
      </c>
      <c r="C34" s="771">
        <f t="shared" si="7"/>
        <v>11408.6</v>
      </c>
      <c r="D34" s="774">
        <f>D35</f>
        <v>10722.9</v>
      </c>
      <c r="E34" s="774">
        <f>E35</f>
        <v>685.7</v>
      </c>
      <c r="F34" s="771">
        <f t="shared" si="4"/>
        <v>11408.6</v>
      </c>
      <c r="G34" s="774">
        <f>G35</f>
        <v>10722.9</v>
      </c>
      <c r="H34" s="774">
        <f>H35</f>
        <v>685.7</v>
      </c>
      <c r="I34" s="771">
        <f t="shared" si="0"/>
        <v>11408.6</v>
      </c>
      <c r="J34" s="774">
        <f>J35</f>
        <v>10722.8</v>
      </c>
      <c r="K34" s="774">
        <f>K35</f>
        <v>685.8</v>
      </c>
      <c r="L34" s="773">
        <f t="shared" si="1"/>
        <v>100</v>
      </c>
      <c r="M34" s="775">
        <f t="shared" si="2"/>
        <v>100</v>
      </c>
      <c r="N34" s="775">
        <f t="shared" si="2"/>
        <v>100</v>
      </c>
      <c r="O34" s="725">
        <f t="shared" si="8"/>
        <v>0</v>
      </c>
      <c r="P34" s="725">
        <f t="shared" si="8"/>
        <v>0</v>
      </c>
      <c r="Q34" s="736"/>
    </row>
    <row r="35" spans="1:17" ht="149.25" customHeight="1">
      <c r="A35" s="744" t="s">
        <v>494</v>
      </c>
      <c r="B35" s="748" t="s">
        <v>486</v>
      </c>
      <c r="C35" s="779">
        <f t="shared" si="7"/>
        <v>11408.6</v>
      </c>
      <c r="D35" s="776">
        <v>10722.9</v>
      </c>
      <c r="E35" s="776">
        <v>685.7</v>
      </c>
      <c r="F35" s="779">
        <f t="shared" si="4"/>
        <v>11408.6</v>
      </c>
      <c r="G35" s="776">
        <v>10722.9</v>
      </c>
      <c r="H35" s="776">
        <v>685.7</v>
      </c>
      <c r="I35" s="779">
        <f t="shared" si="0"/>
        <v>11408.6</v>
      </c>
      <c r="J35" s="779">
        <v>10722.8</v>
      </c>
      <c r="K35" s="779">
        <v>685.8</v>
      </c>
      <c r="L35" s="778">
        <f t="shared" si="1"/>
        <v>100</v>
      </c>
      <c r="M35" s="778">
        <f t="shared" si="2"/>
        <v>100</v>
      </c>
      <c r="N35" s="778">
        <f t="shared" si="2"/>
        <v>100</v>
      </c>
      <c r="O35" s="725">
        <f t="shared" si="8"/>
        <v>0</v>
      </c>
      <c r="P35" s="725">
        <f t="shared" si="8"/>
        <v>0</v>
      </c>
      <c r="Q35" s="736"/>
    </row>
    <row r="36" spans="1:17" ht="36" customHeight="1">
      <c r="A36" s="708"/>
      <c r="B36" s="707" t="s">
        <v>443</v>
      </c>
      <c r="C36" s="771">
        <f t="shared" si="7"/>
        <v>5681.7</v>
      </c>
      <c r="D36" s="774">
        <f>D37</f>
        <v>5300</v>
      </c>
      <c r="E36" s="774">
        <f>E37</f>
        <v>381.7</v>
      </c>
      <c r="F36" s="771">
        <f t="shared" si="4"/>
        <v>5681.7</v>
      </c>
      <c r="G36" s="774">
        <f>G37</f>
        <v>5300</v>
      </c>
      <c r="H36" s="774">
        <f>H37</f>
        <v>381.7</v>
      </c>
      <c r="I36" s="771">
        <f t="shared" si="0"/>
        <v>5679.1</v>
      </c>
      <c r="J36" s="774">
        <f>J37</f>
        <v>5297.6</v>
      </c>
      <c r="K36" s="774">
        <f>K37</f>
        <v>381.5</v>
      </c>
      <c r="L36" s="777">
        <f t="shared" si="1"/>
        <v>100</v>
      </c>
      <c r="M36" s="778">
        <f t="shared" si="2"/>
        <v>100</v>
      </c>
      <c r="N36" s="778">
        <f t="shared" si="2"/>
        <v>99.9</v>
      </c>
      <c r="O36" s="725"/>
      <c r="P36" s="725"/>
      <c r="Q36" s="736"/>
    </row>
    <row r="37" spans="1:17" ht="135" customHeight="1">
      <c r="A37" s="744" t="s">
        <v>495</v>
      </c>
      <c r="B37" s="748" t="s">
        <v>487</v>
      </c>
      <c r="C37" s="779">
        <f t="shared" si="7"/>
        <v>5681.7</v>
      </c>
      <c r="D37" s="776">
        <v>5300</v>
      </c>
      <c r="E37" s="776">
        <v>381.7</v>
      </c>
      <c r="F37" s="779">
        <f t="shared" si="4"/>
        <v>5681.7</v>
      </c>
      <c r="G37" s="776">
        <v>5300</v>
      </c>
      <c r="H37" s="776">
        <v>381.7</v>
      </c>
      <c r="I37" s="779">
        <f t="shared" si="0"/>
        <v>5679.1</v>
      </c>
      <c r="J37" s="779">
        <v>5297.6</v>
      </c>
      <c r="K37" s="780">
        <v>381.5</v>
      </c>
      <c r="L37" s="778">
        <f t="shared" si="1"/>
        <v>100</v>
      </c>
      <c r="M37" s="778">
        <f t="shared" si="2"/>
        <v>100</v>
      </c>
      <c r="N37" s="778">
        <f t="shared" si="2"/>
        <v>99.9</v>
      </c>
      <c r="O37" s="725"/>
      <c r="P37" s="725"/>
      <c r="Q37" s="736"/>
    </row>
    <row r="38" spans="1:17" ht="31.5" customHeight="1">
      <c r="A38" s="744"/>
      <c r="B38" s="707" t="s">
        <v>281</v>
      </c>
      <c r="C38" s="771">
        <f t="shared" si="7"/>
        <v>4930.3999999999996</v>
      </c>
      <c r="D38" s="774">
        <f>SUM(D39:D41)</f>
        <v>4592.5</v>
      </c>
      <c r="E38" s="774">
        <f>SUM(E39:E41)</f>
        <v>337.9</v>
      </c>
      <c r="F38" s="771">
        <f t="shared" ref="F38:F43" si="9">SUM(G38:H38)</f>
        <v>4837.3999999999996</v>
      </c>
      <c r="G38" s="774">
        <f>SUM(G39:G41)</f>
        <v>4547</v>
      </c>
      <c r="H38" s="774">
        <f>SUM(H39:H41)</f>
        <v>290.39999999999998</v>
      </c>
      <c r="I38" s="771">
        <f t="shared" ref="I38:I43" si="10">SUM(J38:K38)</f>
        <v>0</v>
      </c>
      <c r="J38" s="774">
        <f>SUM(J39:J41)</f>
        <v>0</v>
      </c>
      <c r="K38" s="774">
        <f>SUM(K39:K41)</f>
        <v>0</v>
      </c>
      <c r="L38" s="777">
        <f t="shared" ref="L38:N41" si="11">IF(I38=0,0,I38/F38*100)</f>
        <v>0</v>
      </c>
      <c r="M38" s="778">
        <f t="shared" si="11"/>
        <v>0</v>
      </c>
      <c r="N38" s="778">
        <f t="shared" si="11"/>
        <v>0</v>
      </c>
      <c r="O38" s="725"/>
      <c r="P38" s="725"/>
      <c r="Q38" s="736"/>
    </row>
    <row r="39" spans="1:17" ht="106.5" customHeight="1">
      <c r="A39" s="744" t="s">
        <v>566</v>
      </c>
      <c r="B39" s="748" t="s">
        <v>488</v>
      </c>
      <c r="C39" s="779">
        <f t="shared" si="7"/>
        <v>4207</v>
      </c>
      <c r="D39" s="776">
        <v>3954.5</v>
      </c>
      <c r="E39" s="776">
        <v>252.5</v>
      </c>
      <c r="F39" s="779">
        <f t="shared" si="9"/>
        <v>4207</v>
      </c>
      <c r="G39" s="776">
        <v>3954.5</v>
      </c>
      <c r="H39" s="776">
        <v>252.5</v>
      </c>
      <c r="I39" s="779">
        <f t="shared" si="10"/>
        <v>0</v>
      </c>
      <c r="J39" s="779">
        <v>0</v>
      </c>
      <c r="K39" s="780">
        <v>0</v>
      </c>
      <c r="L39" s="778">
        <f t="shared" si="11"/>
        <v>0</v>
      </c>
      <c r="M39" s="778">
        <f t="shared" si="11"/>
        <v>0</v>
      </c>
      <c r="N39" s="778">
        <f t="shared" si="11"/>
        <v>0</v>
      </c>
      <c r="O39" s="725"/>
      <c r="P39" s="725"/>
      <c r="Q39" s="736"/>
    </row>
    <row r="40" spans="1:17" ht="36" customHeight="1">
      <c r="A40" s="744"/>
      <c r="B40" s="769" t="s">
        <v>610</v>
      </c>
      <c r="C40" s="779">
        <f>SUM(D40:E40)</f>
        <v>93</v>
      </c>
      <c r="D40" s="776">
        <v>45.5</v>
      </c>
      <c r="E40" s="776">
        <v>47.5</v>
      </c>
      <c r="F40" s="779">
        <f t="shared" si="9"/>
        <v>0</v>
      </c>
      <c r="G40" s="776">
        <v>0</v>
      </c>
      <c r="H40" s="776">
        <v>0</v>
      </c>
      <c r="I40" s="779">
        <f t="shared" si="10"/>
        <v>0</v>
      </c>
      <c r="J40" s="779">
        <v>0</v>
      </c>
      <c r="K40" s="780">
        <v>0</v>
      </c>
      <c r="L40" s="778">
        <f>IF(I40=0,0,I40/F40*100)</f>
        <v>0</v>
      </c>
      <c r="M40" s="778">
        <f>IF(J40=0,0,J40/G40*100)</f>
        <v>0</v>
      </c>
      <c r="N40" s="778">
        <f>IF(K40=0,0,K40/H40*100)</f>
        <v>0</v>
      </c>
      <c r="O40" s="725"/>
      <c r="P40" s="725"/>
      <c r="Q40" s="736"/>
    </row>
    <row r="41" spans="1:17" ht="106.5" customHeight="1">
      <c r="A41" s="744" t="s">
        <v>582</v>
      </c>
      <c r="B41" s="769" t="s">
        <v>489</v>
      </c>
      <c r="C41" s="779">
        <f t="shared" si="7"/>
        <v>630.4</v>
      </c>
      <c r="D41" s="776">
        <v>592.5</v>
      </c>
      <c r="E41" s="776">
        <v>37.9</v>
      </c>
      <c r="F41" s="779">
        <f t="shared" si="9"/>
        <v>630.4</v>
      </c>
      <c r="G41" s="776">
        <v>592.5</v>
      </c>
      <c r="H41" s="776">
        <v>37.9</v>
      </c>
      <c r="I41" s="779">
        <f t="shared" si="10"/>
        <v>0</v>
      </c>
      <c r="J41" s="779">
        <v>0</v>
      </c>
      <c r="K41" s="779">
        <v>0</v>
      </c>
      <c r="L41" s="778">
        <f t="shared" si="11"/>
        <v>0</v>
      </c>
      <c r="M41" s="778">
        <f t="shared" si="11"/>
        <v>0</v>
      </c>
      <c r="N41" s="778">
        <f t="shared" si="11"/>
        <v>0</v>
      </c>
      <c r="O41" s="725"/>
      <c r="P41" s="725"/>
      <c r="Q41" s="736"/>
    </row>
    <row r="42" spans="1:17" ht="31.5" customHeight="1">
      <c r="A42" s="744"/>
      <c r="B42" s="707" t="s">
        <v>583</v>
      </c>
      <c r="C42" s="771">
        <f t="shared" si="7"/>
        <v>171550.7</v>
      </c>
      <c r="D42" s="774">
        <f>SUM(D43:D43)</f>
        <v>161257.60000000001</v>
      </c>
      <c r="E42" s="774">
        <f>SUM(E43:E43)</f>
        <v>10293.1</v>
      </c>
      <c r="F42" s="771">
        <f t="shared" si="9"/>
        <v>171550.7</v>
      </c>
      <c r="G42" s="774">
        <f>SUM(G43:G43)</f>
        <v>161257.60000000001</v>
      </c>
      <c r="H42" s="774">
        <f>SUM(H43:H43)</f>
        <v>10293.1</v>
      </c>
      <c r="I42" s="771">
        <f t="shared" si="10"/>
        <v>0</v>
      </c>
      <c r="J42" s="774">
        <f>SUM(J43:J43)</f>
        <v>0</v>
      </c>
      <c r="K42" s="774">
        <f>SUM(K43:K43)</f>
        <v>0</v>
      </c>
      <c r="L42" s="777">
        <f t="shared" ref="L42:N43" si="12">IF(I42=0,0,I42/F42*100)</f>
        <v>0</v>
      </c>
      <c r="M42" s="778">
        <f t="shared" si="12"/>
        <v>0</v>
      </c>
      <c r="N42" s="778">
        <f t="shared" si="12"/>
        <v>0</v>
      </c>
      <c r="O42" s="725"/>
      <c r="P42" s="725"/>
      <c r="Q42" s="736"/>
    </row>
    <row r="43" spans="1:17" ht="69.75">
      <c r="A43" s="744" t="s">
        <v>584</v>
      </c>
      <c r="B43" s="788" t="s">
        <v>585</v>
      </c>
      <c r="C43" s="779">
        <f t="shared" si="7"/>
        <v>171550.7</v>
      </c>
      <c r="D43" s="776">
        <v>161257.60000000001</v>
      </c>
      <c r="E43" s="776">
        <v>10293.1</v>
      </c>
      <c r="F43" s="779">
        <f t="shared" si="9"/>
        <v>171550.7</v>
      </c>
      <c r="G43" s="776">
        <v>161257.60000000001</v>
      </c>
      <c r="H43" s="776">
        <v>10293.1</v>
      </c>
      <c r="I43" s="779">
        <f t="shared" si="10"/>
        <v>0</v>
      </c>
      <c r="J43" s="779">
        <v>0</v>
      </c>
      <c r="K43" s="780">
        <v>0</v>
      </c>
      <c r="L43" s="778">
        <f t="shared" si="12"/>
        <v>0</v>
      </c>
      <c r="M43" s="778">
        <f t="shared" si="12"/>
        <v>0</v>
      </c>
      <c r="N43" s="778">
        <f t="shared" si="12"/>
        <v>0</v>
      </c>
      <c r="O43" s="725"/>
      <c r="P43" s="725"/>
      <c r="Q43" s="736"/>
    </row>
    <row r="44" spans="1:17" ht="77.25" customHeight="1">
      <c r="A44" s="862" t="s">
        <v>2</v>
      </c>
      <c r="B44" s="704" t="s">
        <v>313</v>
      </c>
      <c r="C44" s="764">
        <f t="shared" si="7"/>
        <v>2721809</v>
      </c>
      <c r="D44" s="764">
        <f>D45</f>
        <v>2413912.6</v>
      </c>
      <c r="E44" s="764">
        <f>E45</f>
        <v>307896.40000000002</v>
      </c>
      <c r="F44" s="764">
        <f t="shared" si="4"/>
        <v>2658781.7999999998</v>
      </c>
      <c r="G44" s="764">
        <f>G45</f>
        <v>2350943.7000000002</v>
      </c>
      <c r="H44" s="764">
        <f>H45</f>
        <v>307838.09999999998</v>
      </c>
      <c r="I44" s="764">
        <f t="shared" si="0"/>
        <v>1672696</v>
      </c>
      <c r="J44" s="764">
        <f>J45</f>
        <v>1508446.5</v>
      </c>
      <c r="K44" s="764">
        <f>K45</f>
        <v>164249.5</v>
      </c>
      <c r="L44" s="765">
        <f t="shared" ref="L44:L53" si="13">IF(I44=0,0,I44/F44*100)</f>
        <v>62.9</v>
      </c>
      <c r="M44" s="766">
        <f t="shared" si="2"/>
        <v>64.2</v>
      </c>
      <c r="N44" s="766">
        <f t="shared" si="2"/>
        <v>53.4</v>
      </c>
      <c r="O44" s="725">
        <f t="shared" ref="O44:P53" si="14">D44-G44</f>
        <v>62968.9</v>
      </c>
      <c r="P44" s="725">
        <f t="shared" si="14"/>
        <v>58.3</v>
      </c>
      <c r="Q44" s="736"/>
    </row>
    <row r="45" spans="1:17" ht="28.5" customHeight="1">
      <c r="A45" s="861" t="s">
        <v>246</v>
      </c>
      <c r="B45" s="705" t="s">
        <v>41</v>
      </c>
      <c r="C45" s="729">
        <f>SUM(D45:E45)</f>
        <v>2721809</v>
      </c>
      <c r="D45" s="820">
        <f>D46+D47+D48+D49+D50+D51+D52+D53+D54+D55+D56+D57+D58+D59+D60+D61+D62+D64+D65+D66+D67+D103+D104+D105+D106+D107+D108+D109+D110+D111+D112+D113+D114+D115+D116+D117+D118+D120+D121+D122+D123+D127+D129+D130+D131+D132+D133+D134+D135+D136+D137</f>
        <v>2413912.6</v>
      </c>
      <c r="E45" s="820">
        <f>E46+E47+E48+E49+E50+E51+E52+E53+E54+E55+E56+E57+E58+E59+E60+E61+E62+E64+E65+E66+E67+E103+E104+E105+E106+E107+E108+E109+E110+E111+E112+E113+E114+E115+E116+E117+E118+E120+E121+E122+E123+E127+E129+E130+E131+E132+E133+E134+E135+E136+E137</f>
        <v>307896.40000000002</v>
      </c>
      <c r="F45" s="729">
        <f t="shared" si="4"/>
        <v>2658781.7999999998</v>
      </c>
      <c r="G45" s="820">
        <f>G46+G47+G48+G49+G50+G51+G52+G53+G54+G55+G56+G57+G58+G59+G60+G61+G62+G64+G65+G66+G67+G103+G104+G105+G106+G107+G108+G109+G110+G111+G112+G113+G114+G115+G116+G117+G118+G120+G121+G122+G123+G127+G129+G130+G131+G132+G133+G134+G135+G136+G137</f>
        <v>2350943.7000000002</v>
      </c>
      <c r="H45" s="820">
        <f>H46+H47+H48+H49+H50+H51+H52+H53+H54+H55+H56+H57+H58+H59+H60+H61+H62+H64+H65+H66+H67+H103+H104+H105+H106+H107+H108+H109+H110+H111+H112+H113+H114+H115+H116+H117+H118+H120+H121+H122+H123+H127+H129+H130+H131+H132+H133+H134+H135+H136+H137</f>
        <v>307838.09999999998</v>
      </c>
      <c r="I45" s="729">
        <f t="shared" si="0"/>
        <v>1672696</v>
      </c>
      <c r="J45" s="820">
        <f>J46+J47+J48+J49+J50+J51+J52+J53+J54+J55+J56+J57+J58+J59+J60+J61+J62+J64+J65+J66+J67+J103+J104+J105+J106+J107+J108+J109+J110+J111+J112+J113+J114+J115+J116+J117+J118+J120+J121+J122+J123+J127+J129+J130+J131+J132+J133+J134+J135+J136+J137</f>
        <v>1508446.5</v>
      </c>
      <c r="K45" s="820">
        <f>K46+K47+K48+K49+K50+K51+K52+K53+K54+K55+K56+K57+K58+K59+K60+K61+K62+K64+K65+K66+K67+K103+K104+K105+K106+K107+K108+K109+K110+K111+K112+K113+K114+K115+K116+K117+K118+K120+K121+K122+K123+K127+K129+K130+K131+K132+K133+K134+K135+K136+K137</f>
        <v>164249.5</v>
      </c>
      <c r="L45" s="737">
        <f t="shared" si="13"/>
        <v>62.9</v>
      </c>
      <c r="M45" s="738">
        <f t="shared" si="2"/>
        <v>64.2</v>
      </c>
      <c r="N45" s="738">
        <f t="shared" si="2"/>
        <v>53.4</v>
      </c>
      <c r="O45" s="725">
        <f t="shared" si="14"/>
        <v>62968.9</v>
      </c>
      <c r="P45" s="725">
        <f t="shared" si="14"/>
        <v>58.3</v>
      </c>
      <c r="Q45" s="736"/>
    </row>
    <row r="46" spans="1:17" s="736" customFormat="1" ht="40.5" customHeight="1">
      <c r="A46" s="744" t="s">
        <v>467</v>
      </c>
      <c r="B46" s="706" t="s">
        <v>447</v>
      </c>
      <c r="C46" s="821">
        <f t="shared" si="7"/>
        <v>301827.8</v>
      </c>
      <c r="D46" s="822">
        <v>301636.09999999998</v>
      </c>
      <c r="E46" s="822">
        <v>191.7</v>
      </c>
      <c r="F46" s="821">
        <f t="shared" si="4"/>
        <v>301827.8</v>
      </c>
      <c r="G46" s="822">
        <f>D46</f>
        <v>301636.09999999998</v>
      </c>
      <c r="H46" s="822">
        <v>191.7</v>
      </c>
      <c r="I46" s="821">
        <f t="shared" si="0"/>
        <v>170165.4</v>
      </c>
      <c r="J46" s="822">
        <v>170165.4</v>
      </c>
      <c r="K46" s="822">
        <v>0</v>
      </c>
      <c r="L46" s="823">
        <f t="shared" si="13"/>
        <v>56.4</v>
      </c>
      <c r="M46" s="807">
        <f t="shared" si="2"/>
        <v>56.4</v>
      </c>
      <c r="N46" s="807">
        <f t="shared" si="2"/>
        <v>0</v>
      </c>
      <c r="O46" s="735">
        <f t="shared" si="14"/>
        <v>0</v>
      </c>
      <c r="P46" s="735">
        <f t="shared" si="14"/>
        <v>0</v>
      </c>
    </row>
    <row r="47" spans="1:17" ht="85.5" customHeight="1">
      <c r="A47" s="744" t="s">
        <v>468</v>
      </c>
      <c r="B47" s="749" t="s">
        <v>508</v>
      </c>
      <c r="C47" s="771">
        <f t="shared" ref="C47:C53" si="15">SUM(D47:E47)</f>
        <v>2800</v>
      </c>
      <c r="D47" s="776">
        <v>0</v>
      </c>
      <c r="E47" s="776">
        <v>2800</v>
      </c>
      <c r="F47" s="771">
        <f t="shared" ref="F47:F67" si="16">SUM(G47:H47)</f>
        <v>2800</v>
      </c>
      <c r="G47" s="776">
        <v>0</v>
      </c>
      <c r="H47" s="776">
        <v>2800</v>
      </c>
      <c r="I47" s="771">
        <f t="shared" ref="I47:I67" si="17">SUM(J47:K47)</f>
        <v>2800</v>
      </c>
      <c r="J47" s="776">
        <v>0</v>
      </c>
      <c r="K47" s="776">
        <v>2800</v>
      </c>
      <c r="L47" s="777">
        <f t="shared" si="13"/>
        <v>100</v>
      </c>
      <c r="M47" s="778">
        <f>IF(J47=0,0,J47/G47*100)</f>
        <v>0</v>
      </c>
      <c r="N47" s="778">
        <f>IF(K47=0,0,K47/H47*100)</f>
        <v>100</v>
      </c>
      <c r="O47" s="725"/>
      <c r="P47" s="725"/>
      <c r="Q47" s="824"/>
    </row>
    <row r="48" spans="1:17" ht="129.75" customHeight="1">
      <c r="A48" s="708">
        <v>7</v>
      </c>
      <c r="B48" s="749" t="s">
        <v>509</v>
      </c>
      <c r="C48" s="771">
        <f t="shared" si="15"/>
        <v>3500</v>
      </c>
      <c r="D48" s="776">
        <v>0</v>
      </c>
      <c r="E48" s="776">
        <v>3500</v>
      </c>
      <c r="F48" s="771">
        <f t="shared" si="16"/>
        <v>3500</v>
      </c>
      <c r="G48" s="776">
        <v>0</v>
      </c>
      <c r="H48" s="776">
        <v>3500</v>
      </c>
      <c r="I48" s="771">
        <f t="shared" si="17"/>
        <v>3500</v>
      </c>
      <c r="J48" s="776">
        <v>0</v>
      </c>
      <c r="K48" s="776">
        <v>3500</v>
      </c>
      <c r="L48" s="777">
        <f t="shared" si="13"/>
        <v>100</v>
      </c>
      <c r="M48" s="778">
        <f t="shared" si="2"/>
        <v>0</v>
      </c>
      <c r="N48" s="778">
        <f t="shared" si="2"/>
        <v>100</v>
      </c>
      <c r="O48" s="725">
        <f t="shared" si="14"/>
        <v>0</v>
      </c>
      <c r="P48" s="725">
        <f t="shared" si="14"/>
        <v>0</v>
      </c>
    </row>
    <row r="49" spans="1:17" ht="103.5" customHeight="1">
      <c r="A49" s="708">
        <v>8</v>
      </c>
      <c r="B49" s="749" t="s">
        <v>510</v>
      </c>
      <c r="C49" s="771">
        <f t="shared" si="15"/>
        <v>3900</v>
      </c>
      <c r="D49" s="776">
        <v>0</v>
      </c>
      <c r="E49" s="776">
        <v>3900</v>
      </c>
      <c r="F49" s="771">
        <f t="shared" si="16"/>
        <v>3900</v>
      </c>
      <c r="G49" s="776">
        <v>0</v>
      </c>
      <c r="H49" s="776">
        <v>3900</v>
      </c>
      <c r="I49" s="771">
        <f t="shared" si="17"/>
        <v>3900</v>
      </c>
      <c r="J49" s="776">
        <v>0</v>
      </c>
      <c r="K49" s="776">
        <v>3900</v>
      </c>
      <c r="L49" s="777">
        <f t="shared" si="13"/>
        <v>100</v>
      </c>
      <c r="M49" s="778">
        <f t="shared" ref="M49:M63" si="18">IF(J49=0,0,J49/G49*100)</f>
        <v>0</v>
      </c>
      <c r="N49" s="778">
        <f t="shared" ref="N49:N63" si="19">IF(K49=0,0,K49/H49*100)</f>
        <v>100</v>
      </c>
      <c r="O49" s="725"/>
      <c r="P49" s="725"/>
    </row>
    <row r="50" spans="1:17" ht="102" customHeight="1">
      <c r="A50" s="708">
        <v>9</v>
      </c>
      <c r="B50" s="749" t="s">
        <v>479</v>
      </c>
      <c r="C50" s="771">
        <f t="shared" si="15"/>
        <v>5200</v>
      </c>
      <c r="D50" s="776">
        <v>0</v>
      </c>
      <c r="E50" s="776">
        <v>5200</v>
      </c>
      <c r="F50" s="771">
        <f t="shared" si="16"/>
        <v>5200</v>
      </c>
      <c r="G50" s="776">
        <v>0</v>
      </c>
      <c r="H50" s="776">
        <v>5200</v>
      </c>
      <c r="I50" s="771">
        <f t="shared" si="17"/>
        <v>5200</v>
      </c>
      <c r="J50" s="776">
        <v>0</v>
      </c>
      <c r="K50" s="776">
        <v>5200</v>
      </c>
      <c r="L50" s="777">
        <f t="shared" si="13"/>
        <v>100</v>
      </c>
      <c r="M50" s="778">
        <f t="shared" si="18"/>
        <v>0</v>
      </c>
      <c r="N50" s="778">
        <f t="shared" si="19"/>
        <v>100</v>
      </c>
      <c r="O50" s="725"/>
      <c r="P50" s="725"/>
    </row>
    <row r="51" spans="1:17" ht="108.75" customHeight="1">
      <c r="A51" s="708">
        <v>10</v>
      </c>
      <c r="B51" s="749" t="s">
        <v>480</v>
      </c>
      <c r="C51" s="771">
        <f t="shared" si="15"/>
        <v>4650</v>
      </c>
      <c r="D51" s="776">
        <v>0</v>
      </c>
      <c r="E51" s="776">
        <v>4650</v>
      </c>
      <c r="F51" s="771">
        <f t="shared" si="16"/>
        <v>4650</v>
      </c>
      <c r="G51" s="776">
        <v>0</v>
      </c>
      <c r="H51" s="776">
        <v>4650</v>
      </c>
      <c r="I51" s="771">
        <f t="shared" si="17"/>
        <v>4650</v>
      </c>
      <c r="J51" s="776">
        <v>0</v>
      </c>
      <c r="K51" s="776">
        <v>4650</v>
      </c>
      <c r="L51" s="777">
        <f t="shared" si="13"/>
        <v>100</v>
      </c>
      <c r="M51" s="778">
        <f t="shared" si="18"/>
        <v>0</v>
      </c>
      <c r="N51" s="778">
        <f t="shared" si="19"/>
        <v>100</v>
      </c>
      <c r="O51" s="725"/>
      <c r="P51" s="725"/>
    </row>
    <row r="52" spans="1:17" ht="83.25" customHeight="1">
      <c r="A52" s="708">
        <v>11</v>
      </c>
      <c r="B52" s="749" t="s">
        <v>507</v>
      </c>
      <c r="C52" s="771">
        <f t="shared" si="15"/>
        <v>980</v>
      </c>
      <c r="D52" s="776">
        <v>0</v>
      </c>
      <c r="E52" s="776">
        <v>980</v>
      </c>
      <c r="F52" s="771">
        <f t="shared" si="16"/>
        <v>980</v>
      </c>
      <c r="G52" s="776">
        <v>0</v>
      </c>
      <c r="H52" s="776">
        <v>980</v>
      </c>
      <c r="I52" s="771">
        <f t="shared" si="17"/>
        <v>880</v>
      </c>
      <c r="J52" s="776">
        <v>0</v>
      </c>
      <c r="K52" s="776">
        <v>880</v>
      </c>
      <c r="L52" s="777">
        <f t="shared" si="13"/>
        <v>89.8</v>
      </c>
      <c r="M52" s="778">
        <f t="shared" si="18"/>
        <v>0</v>
      </c>
      <c r="N52" s="778">
        <f t="shared" si="19"/>
        <v>89.8</v>
      </c>
      <c r="O52" s="725">
        <f>D52-G52</f>
        <v>0</v>
      </c>
      <c r="P52" s="725">
        <f>E52-H52</f>
        <v>0</v>
      </c>
    </row>
    <row r="53" spans="1:17" ht="72.75" customHeight="1">
      <c r="A53" s="744" t="s">
        <v>99</v>
      </c>
      <c r="B53" s="750" t="s">
        <v>496</v>
      </c>
      <c r="C53" s="771">
        <f t="shared" si="15"/>
        <v>28133.200000000001</v>
      </c>
      <c r="D53" s="818">
        <v>28133.200000000001</v>
      </c>
      <c r="E53" s="818">
        <v>0</v>
      </c>
      <c r="F53" s="771">
        <f t="shared" si="16"/>
        <v>28133.200000000001</v>
      </c>
      <c r="G53" s="818">
        <f t="shared" ref="G53:G61" si="20">D53</f>
        <v>28133.200000000001</v>
      </c>
      <c r="H53" s="818">
        <f t="shared" ref="H53:H61" si="21">E53</f>
        <v>0</v>
      </c>
      <c r="I53" s="771">
        <f t="shared" si="17"/>
        <v>28133.200000000001</v>
      </c>
      <c r="J53" s="818">
        <v>28133.200000000001</v>
      </c>
      <c r="K53" s="818">
        <v>0</v>
      </c>
      <c r="L53" s="777">
        <f t="shared" si="13"/>
        <v>100</v>
      </c>
      <c r="M53" s="778">
        <f t="shared" si="18"/>
        <v>100</v>
      </c>
      <c r="N53" s="778">
        <f t="shared" si="19"/>
        <v>0</v>
      </c>
      <c r="O53" s="725">
        <f t="shared" si="14"/>
        <v>0</v>
      </c>
      <c r="P53" s="725">
        <f t="shared" si="14"/>
        <v>0</v>
      </c>
    </row>
    <row r="54" spans="1:17" ht="60.75" customHeight="1">
      <c r="A54" s="744" t="s">
        <v>100</v>
      </c>
      <c r="B54" s="750" t="s">
        <v>546</v>
      </c>
      <c r="C54" s="771">
        <f t="shared" ref="C54:C61" si="22">SUM(D54:E54)</f>
        <v>7875</v>
      </c>
      <c r="D54" s="818">
        <v>0</v>
      </c>
      <c r="E54" s="818">
        <v>7875</v>
      </c>
      <c r="F54" s="771">
        <f t="shared" ref="F54:F61" si="23">SUM(G54:H54)</f>
        <v>7875</v>
      </c>
      <c r="G54" s="818">
        <f t="shared" si="20"/>
        <v>0</v>
      </c>
      <c r="H54" s="818">
        <f t="shared" si="21"/>
        <v>7875</v>
      </c>
      <c r="I54" s="771">
        <f t="shared" si="17"/>
        <v>0</v>
      </c>
      <c r="J54" s="818">
        <v>0</v>
      </c>
      <c r="K54" s="818">
        <v>0</v>
      </c>
      <c r="L54" s="777">
        <v>0</v>
      </c>
      <c r="M54" s="778">
        <f t="shared" si="18"/>
        <v>0</v>
      </c>
      <c r="N54" s="778">
        <f t="shared" si="19"/>
        <v>0</v>
      </c>
      <c r="O54" s="725"/>
      <c r="P54" s="725"/>
    </row>
    <row r="55" spans="1:17" ht="59.25" customHeight="1">
      <c r="A55" s="744" t="s">
        <v>101</v>
      </c>
      <c r="B55" s="750" t="s">
        <v>547</v>
      </c>
      <c r="C55" s="771">
        <f t="shared" si="22"/>
        <v>1800</v>
      </c>
      <c r="D55" s="818">
        <v>0</v>
      </c>
      <c r="E55" s="818">
        <v>1800</v>
      </c>
      <c r="F55" s="771">
        <f t="shared" si="23"/>
        <v>1800</v>
      </c>
      <c r="G55" s="818">
        <f t="shared" si="20"/>
        <v>0</v>
      </c>
      <c r="H55" s="818">
        <f t="shared" si="21"/>
        <v>1800</v>
      </c>
      <c r="I55" s="771">
        <f t="shared" si="17"/>
        <v>1017</v>
      </c>
      <c r="J55" s="818">
        <v>0</v>
      </c>
      <c r="K55" s="818">
        <v>1017</v>
      </c>
      <c r="L55" s="777">
        <v>0</v>
      </c>
      <c r="M55" s="778">
        <f t="shared" si="18"/>
        <v>0</v>
      </c>
      <c r="N55" s="778">
        <f t="shared" si="19"/>
        <v>56.5</v>
      </c>
      <c r="O55" s="725"/>
      <c r="P55" s="725"/>
    </row>
    <row r="56" spans="1:17" ht="72.75" customHeight="1">
      <c r="A56" s="744" t="s">
        <v>102</v>
      </c>
      <c r="B56" s="750" t="s">
        <v>548</v>
      </c>
      <c r="C56" s="771">
        <f t="shared" si="22"/>
        <v>5823</v>
      </c>
      <c r="D56" s="818">
        <v>0</v>
      </c>
      <c r="E56" s="818">
        <v>5823</v>
      </c>
      <c r="F56" s="771">
        <f t="shared" si="23"/>
        <v>5823</v>
      </c>
      <c r="G56" s="818">
        <f t="shared" si="20"/>
        <v>0</v>
      </c>
      <c r="H56" s="818">
        <f t="shared" si="21"/>
        <v>5823</v>
      </c>
      <c r="I56" s="771">
        <f t="shared" si="17"/>
        <v>0</v>
      </c>
      <c r="J56" s="818">
        <v>0</v>
      </c>
      <c r="K56" s="818">
        <v>0</v>
      </c>
      <c r="L56" s="777">
        <v>0</v>
      </c>
      <c r="M56" s="778">
        <f t="shared" si="18"/>
        <v>0</v>
      </c>
      <c r="N56" s="778">
        <f t="shared" si="19"/>
        <v>0</v>
      </c>
      <c r="O56" s="725"/>
      <c r="P56" s="725"/>
    </row>
    <row r="57" spans="1:17" ht="96.75" customHeight="1">
      <c r="A57" s="744" t="s">
        <v>103</v>
      </c>
      <c r="B57" s="750" t="s">
        <v>549</v>
      </c>
      <c r="C57" s="771">
        <f t="shared" si="22"/>
        <v>1200</v>
      </c>
      <c r="D57" s="818">
        <v>0</v>
      </c>
      <c r="E57" s="818">
        <v>1200</v>
      </c>
      <c r="F57" s="771">
        <f t="shared" si="23"/>
        <v>1200</v>
      </c>
      <c r="G57" s="818">
        <f t="shared" si="20"/>
        <v>0</v>
      </c>
      <c r="H57" s="818">
        <f t="shared" si="21"/>
        <v>1200</v>
      </c>
      <c r="I57" s="771">
        <f t="shared" si="17"/>
        <v>651</v>
      </c>
      <c r="J57" s="818">
        <v>0</v>
      </c>
      <c r="K57" s="818">
        <v>651</v>
      </c>
      <c r="L57" s="777">
        <v>0</v>
      </c>
      <c r="M57" s="778">
        <f t="shared" si="18"/>
        <v>0</v>
      </c>
      <c r="N57" s="778">
        <f t="shared" si="19"/>
        <v>54.3</v>
      </c>
      <c r="O57" s="725"/>
      <c r="P57" s="725"/>
    </row>
    <row r="58" spans="1:17" ht="87.75" customHeight="1">
      <c r="A58" s="744" t="s">
        <v>107</v>
      </c>
      <c r="B58" s="750" t="s">
        <v>550</v>
      </c>
      <c r="C58" s="771">
        <f t="shared" si="22"/>
        <v>1200</v>
      </c>
      <c r="D58" s="818">
        <v>0</v>
      </c>
      <c r="E58" s="818">
        <v>1200</v>
      </c>
      <c r="F58" s="771">
        <f t="shared" si="23"/>
        <v>1200</v>
      </c>
      <c r="G58" s="818">
        <f t="shared" si="20"/>
        <v>0</v>
      </c>
      <c r="H58" s="818">
        <f t="shared" si="21"/>
        <v>1200</v>
      </c>
      <c r="I58" s="771">
        <f t="shared" si="17"/>
        <v>651</v>
      </c>
      <c r="J58" s="818">
        <v>0</v>
      </c>
      <c r="K58" s="818">
        <v>651</v>
      </c>
      <c r="L58" s="777">
        <v>0</v>
      </c>
      <c r="M58" s="778">
        <f t="shared" si="18"/>
        <v>0</v>
      </c>
      <c r="N58" s="778">
        <f t="shared" si="19"/>
        <v>54.3</v>
      </c>
      <c r="O58" s="725"/>
      <c r="P58" s="725"/>
    </row>
    <row r="59" spans="1:17" ht="84.75" customHeight="1">
      <c r="A59" s="744" t="s">
        <v>108</v>
      </c>
      <c r="B59" s="750" t="s">
        <v>551</v>
      </c>
      <c r="C59" s="771">
        <f t="shared" si="22"/>
        <v>600</v>
      </c>
      <c r="D59" s="818">
        <v>0</v>
      </c>
      <c r="E59" s="818">
        <v>600</v>
      </c>
      <c r="F59" s="771">
        <f t="shared" si="23"/>
        <v>600</v>
      </c>
      <c r="G59" s="818">
        <f t="shared" si="20"/>
        <v>0</v>
      </c>
      <c r="H59" s="818">
        <f t="shared" si="21"/>
        <v>600</v>
      </c>
      <c r="I59" s="771">
        <f t="shared" si="17"/>
        <v>597</v>
      </c>
      <c r="J59" s="818">
        <v>0</v>
      </c>
      <c r="K59" s="818">
        <v>597</v>
      </c>
      <c r="L59" s="777">
        <v>0</v>
      </c>
      <c r="M59" s="778">
        <f t="shared" si="18"/>
        <v>0</v>
      </c>
      <c r="N59" s="778">
        <f t="shared" si="19"/>
        <v>99.5</v>
      </c>
      <c r="O59" s="725"/>
      <c r="P59" s="725"/>
    </row>
    <row r="60" spans="1:17" ht="72.75" customHeight="1">
      <c r="A60" s="744" t="s">
        <v>109</v>
      </c>
      <c r="B60" s="750" t="s">
        <v>552</v>
      </c>
      <c r="C60" s="771">
        <f t="shared" si="22"/>
        <v>12000</v>
      </c>
      <c r="D60" s="818">
        <v>0</v>
      </c>
      <c r="E60" s="818">
        <v>12000</v>
      </c>
      <c r="F60" s="771">
        <f t="shared" si="23"/>
        <v>12000</v>
      </c>
      <c r="G60" s="818">
        <f t="shared" si="20"/>
        <v>0</v>
      </c>
      <c r="H60" s="818">
        <f t="shared" si="21"/>
        <v>12000</v>
      </c>
      <c r="I60" s="771">
        <f t="shared" si="17"/>
        <v>0</v>
      </c>
      <c r="J60" s="818">
        <v>0</v>
      </c>
      <c r="K60" s="818">
        <v>0</v>
      </c>
      <c r="L60" s="777">
        <v>0</v>
      </c>
      <c r="M60" s="778">
        <f t="shared" si="18"/>
        <v>0</v>
      </c>
      <c r="N60" s="778">
        <f t="shared" si="19"/>
        <v>0</v>
      </c>
      <c r="O60" s="725"/>
      <c r="P60" s="725"/>
    </row>
    <row r="61" spans="1:17" ht="51.75" hidden="1" customHeight="1">
      <c r="A61" s="744" t="s">
        <v>117</v>
      </c>
      <c r="B61" s="750" t="s">
        <v>553</v>
      </c>
      <c r="C61" s="821">
        <f t="shared" si="22"/>
        <v>0</v>
      </c>
      <c r="D61" s="818">
        <v>0</v>
      </c>
      <c r="E61" s="822">
        <f>180-180</f>
        <v>0</v>
      </c>
      <c r="F61" s="771">
        <f t="shared" si="23"/>
        <v>0</v>
      </c>
      <c r="G61" s="818">
        <f t="shared" si="20"/>
        <v>0</v>
      </c>
      <c r="H61" s="818">
        <f t="shared" si="21"/>
        <v>0</v>
      </c>
      <c r="I61" s="771">
        <f t="shared" si="17"/>
        <v>0</v>
      </c>
      <c r="J61" s="818">
        <v>0</v>
      </c>
      <c r="K61" s="818">
        <v>0</v>
      </c>
      <c r="L61" s="777">
        <v>0</v>
      </c>
      <c r="M61" s="778">
        <f t="shared" si="18"/>
        <v>0</v>
      </c>
      <c r="N61" s="778">
        <f t="shared" si="19"/>
        <v>0</v>
      </c>
      <c r="O61" s="725"/>
      <c r="P61" s="725"/>
      <c r="Q61" s="736"/>
    </row>
    <row r="62" spans="1:17" ht="39" customHeight="1">
      <c r="A62" s="744" t="s">
        <v>117</v>
      </c>
      <c r="B62" s="745" t="s">
        <v>460</v>
      </c>
      <c r="C62" s="771">
        <f t="shared" ref="C62:C67" si="24">SUM(D62:E62)</f>
        <v>29086.6</v>
      </c>
      <c r="D62" s="818">
        <v>27326.6</v>
      </c>
      <c r="E62" s="818">
        <v>1760</v>
      </c>
      <c r="F62" s="771">
        <f t="shared" si="16"/>
        <v>29086.6</v>
      </c>
      <c r="G62" s="818">
        <v>27326.6</v>
      </c>
      <c r="H62" s="818">
        <v>1760</v>
      </c>
      <c r="I62" s="771">
        <f t="shared" si="17"/>
        <v>8271.7000000000007</v>
      </c>
      <c r="J62" s="818">
        <v>7771.2</v>
      </c>
      <c r="K62" s="818">
        <v>500.5</v>
      </c>
      <c r="L62" s="777">
        <f>IF(I62=0,0,I62/F62*100)</f>
        <v>28.4</v>
      </c>
      <c r="M62" s="778">
        <f t="shared" si="18"/>
        <v>28.4</v>
      </c>
      <c r="N62" s="778">
        <f t="shared" si="19"/>
        <v>28.4</v>
      </c>
      <c r="O62" s="725"/>
      <c r="P62" s="725"/>
    </row>
    <row r="63" spans="1:17" ht="46.5" hidden="1" customHeight="1">
      <c r="A63" s="744" t="s">
        <v>101</v>
      </c>
      <c r="B63" s="755" t="s">
        <v>497</v>
      </c>
      <c r="C63" s="821">
        <f t="shared" si="24"/>
        <v>0</v>
      </c>
      <c r="D63" s="818">
        <v>0</v>
      </c>
      <c r="E63" s="818">
        <v>0</v>
      </c>
      <c r="F63" s="771">
        <f t="shared" si="16"/>
        <v>0</v>
      </c>
      <c r="G63" s="818">
        <v>0</v>
      </c>
      <c r="H63" s="818">
        <v>0</v>
      </c>
      <c r="I63" s="771">
        <f t="shared" si="17"/>
        <v>0</v>
      </c>
      <c r="J63" s="818">
        <v>0</v>
      </c>
      <c r="K63" s="818">
        <v>0</v>
      </c>
      <c r="L63" s="777">
        <f>IF(I63=0,0,I63/F63*100)</f>
        <v>0</v>
      </c>
      <c r="M63" s="778">
        <f t="shared" si="18"/>
        <v>0</v>
      </c>
      <c r="N63" s="778">
        <f t="shared" si="19"/>
        <v>0</v>
      </c>
      <c r="O63" s="725"/>
      <c r="P63" s="725"/>
      <c r="Q63" s="736"/>
    </row>
    <row r="64" spans="1:17" ht="53.25" customHeight="1">
      <c r="A64" s="744" t="s">
        <v>118</v>
      </c>
      <c r="B64" s="755" t="s">
        <v>535</v>
      </c>
      <c r="C64" s="771">
        <f t="shared" si="24"/>
        <v>83200</v>
      </c>
      <c r="D64" s="818">
        <v>83200</v>
      </c>
      <c r="E64" s="818">
        <v>0</v>
      </c>
      <c r="F64" s="771">
        <f t="shared" si="16"/>
        <v>83200</v>
      </c>
      <c r="G64" s="818">
        <v>83200</v>
      </c>
      <c r="H64" s="818">
        <v>0</v>
      </c>
      <c r="I64" s="771">
        <f t="shared" si="17"/>
        <v>58437.1</v>
      </c>
      <c r="J64" s="818">
        <v>58437.1</v>
      </c>
      <c r="K64" s="818">
        <v>0</v>
      </c>
      <c r="L64" s="777">
        <f t="shared" ref="L64:N65" si="25">IF(I64=0,0,I64/F64*100)</f>
        <v>70.2</v>
      </c>
      <c r="M64" s="778">
        <f t="shared" si="25"/>
        <v>70.2</v>
      </c>
      <c r="N64" s="778">
        <f t="shared" si="25"/>
        <v>0</v>
      </c>
      <c r="O64" s="725"/>
      <c r="P64" s="725"/>
    </row>
    <row r="65" spans="1:19" ht="48.75" customHeight="1">
      <c r="A65" s="744" t="s">
        <v>154</v>
      </c>
      <c r="B65" s="755" t="s">
        <v>534</v>
      </c>
      <c r="C65" s="771">
        <f t="shared" si="24"/>
        <v>21700.799999999999</v>
      </c>
      <c r="D65" s="818">
        <v>20288.099999999999</v>
      </c>
      <c r="E65" s="818">
        <f>1412.7</f>
        <v>1412.7</v>
      </c>
      <c r="F65" s="771">
        <f t="shared" si="16"/>
        <v>21700.799999999999</v>
      </c>
      <c r="G65" s="818">
        <v>20288.099999999999</v>
      </c>
      <c r="H65" s="818">
        <f>1412.7</f>
        <v>1412.7</v>
      </c>
      <c r="I65" s="771">
        <f t="shared" si="17"/>
        <v>0</v>
      </c>
      <c r="J65" s="818">
        <v>0</v>
      </c>
      <c r="K65" s="818">
        <v>0</v>
      </c>
      <c r="L65" s="777">
        <f t="shared" si="25"/>
        <v>0</v>
      </c>
      <c r="M65" s="778">
        <f t="shared" si="25"/>
        <v>0</v>
      </c>
      <c r="N65" s="778">
        <f t="shared" si="25"/>
        <v>0</v>
      </c>
      <c r="O65" s="725"/>
      <c r="P65" s="725"/>
    </row>
    <row r="66" spans="1:19" ht="51.75" customHeight="1">
      <c r="A66" s="744" t="s">
        <v>155</v>
      </c>
      <c r="B66" s="758" t="s">
        <v>454</v>
      </c>
      <c r="C66" s="771">
        <f t="shared" si="24"/>
        <v>2013.2</v>
      </c>
      <c r="D66" s="813">
        <v>0</v>
      </c>
      <c r="E66" s="813">
        <v>2013.2</v>
      </c>
      <c r="F66" s="771">
        <f t="shared" si="16"/>
        <v>2013.2</v>
      </c>
      <c r="G66" s="813">
        <v>0</v>
      </c>
      <c r="H66" s="813">
        <f>E66</f>
        <v>2013.2</v>
      </c>
      <c r="I66" s="814">
        <f t="shared" si="17"/>
        <v>1554.5</v>
      </c>
      <c r="J66" s="813">
        <v>0</v>
      </c>
      <c r="K66" s="813">
        <v>1554.5</v>
      </c>
      <c r="L66" s="746">
        <f t="shared" ref="L66:N67" si="26">IF(I66=0,0,I66/F66*100)</f>
        <v>77.2</v>
      </c>
      <c r="M66" s="536">
        <f t="shared" si="26"/>
        <v>0</v>
      </c>
      <c r="N66" s="536">
        <f t="shared" si="26"/>
        <v>77.2</v>
      </c>
      <c r="O66" s="725"/>
      <c r="P66" s="725"/>
    </row>
    <row r="67" spans="1:19" ht="51" customHeight="1">
      <c r="A67" s="862" t="s">
        <v>156</v>
      </c>
      <c r="B67" s="781" t="s">
        <v>444</v>
      </c>
      <c r="C67" s="821">
        <f t="shared" si="24"/>
        <v>1788465.5</v>
      </c>
      <c r="D67" s="819">
        <f>SUM(D68:D102)</f>
        <v>1681428.6</v>
      </c>
      <c r="E67" s="819">
        <f>SUM(E68:E102)</f>
        <v>107036.9</v>
      </c>
      <c r="F67" s="771">
        <f t="shared" si="16"/>
        <v>1725438.3</v>
      </c>
      <c r="G67" s="819">
        <f>SUM(G68:G102)</f>
        <v>1618459.7</v>
      </c>
      <c r="H67" s="819">
        <f>SUM(H68:H102)</f>
        <v>106978.6</v>
      </c>
      <c r="I67" s="771">
        <f t="shared" si="17"/>
        <v>1208799.3</v>
      </c>
      <c r="J67" s="819">
        <f>SUM(J68:J102)</f>
        <v>1136311.5</v>
      </c>
      <c r="K67" s="819">
        <f>SUM(K68:K102)</f>
        <v>72487.8</v>
      </c>
      <c r="L67" s="777">
        <f t="shared" si="26"/>
        <v>70.099999999999994</v>
      </c>
      <c r="M67" s="777">
        <f t="shared" si="26"/>
        <v>70.2</v>
      </c>
      <c r="N67" s="777">
        <f t="shared" si="26"/>
        <v>67.8</v>
      </c>
      <c r="O67" s="725">
        <f>D67-G67</f>
        <v>62968.9</v>
      </c>
      <c r="P67" s="725">
        <f>E67-H67</f>
        <v>58.3</v>
      </c>
      <c r="Q67" s="736"/>
    </row>
    <row r="68" spans="1:19" ht="79.5" customHeight="1">
      <c r="A68" s="751" t="s">
        <v>576</v>
      </c>
      <c r="B68" s="754" t="s">
        <v>462</v>
      </c>
      <c r="C68" s="771">
        <f t="shared" ref="C68:C77" si="27">SUM(D68:E68)</f>
        <v>57717.7</v>
      </c>
      <c r="D68" s="818">
        <v>54200</v>
      </c>
      <c r="E68" s="818">
        <v>3517.7</v>
      </c>
      <c r="F68" s="771">
        <f t="shared" ref="F68:F77" si="28">SUM(G68:H68)</f>
        <v>57717</v>
      </c>
      <c r="G68" s="818">
        <v>54200</v>
      </c>
      <c r="H68" s="818">
        <v>3517</v>
      </c>
      <c r="I68" s="771">
        <f t="shared" ref="I68:I76" si="29">SUM(J68:K68)</f>
        <v>54055.5</v>
      </c>
      <c r="J68" s="818">
        <v>50761</v>
      </c>
      <c r="K68" s="818">
        <v>3294.5</v>
      </c>
      <c r="L68" s="777">
        <f t="shared" ref="L68:N69" si="30">IF(I68=0,0,I68/F68*100)</f>
        <v>93.7</v>
      </c>
      <c r="M68" s="778">
        <f t="shared" si="30"/>
        <v>93.7</v>
      </c>
      <c r="N68" s="778">
        <f t="shared" si="30"/>
        <v>93.7</v>
      </c>
      <c r="O68" s="725"/>
      <c r="P68" s="725"/>
    </row>
    <row r="69" spans="1:19" ht="40.5" hidden="1" customHeight="1">
      <c r="A69" s="751"/>
      <c r="B69" s="754" t="s">
        <v>540</v>
      </c>
      <c r="C69" s="821">
        <f t="shared" si="27"/>
        <v>0</v>
      </c>
      <c r="D69" s="825">
        <v>0</v>
      </c>
      <c r="E69" s="825"/>
      <c r="F69" s="771">
        <f t="shared" si="28"/>
        <v>0</v>
      </c>
      <c r="G69" s="776">
        <v>0</v>
      </c>
      <c r="H69" s="776"/>
      <c r="I69" s="771">
        <f t="shared" si="29"/>
        <v>0</v>
      </c>
      <c r="J69" s="776">
        <v>0</v>
      </c>
      <c r="K69" s="776">
        <v>0</v>
      </c>
      <c r="L69" s="777">
        <f t="shared" si="30"/>
        <v>0</v>
      </c>
      <c r="M69" s="778">
        <f t="shared" si="30"/>
        <v>0</v>
      </c>
      <c r="N69" s="778">
        <f t="shared" si="30"/>
        <v>0</v>
      </c>
      <c r="O69" s="725"/>
      <c r="P69" s="725"/>
      <c r="Q69" s="736"/>
    </row>
    <row r="70" spans="1:19" ht="51" customHeight="1">
      <c r="A70" s="751" t="s">
        <v>577</v>
      </c>
      <c r="B70" s="755" t="s">
        <v>463</v>
      </c>
      <c r="C70" s="771">
        <f t="shared" si="27"/>
        <v>96877.9</v>
      </c>
      <c r="D70" s="818">
        <v>91064.3</v>
      </c>
      <c r="E70" s="818">
        <v>5813.6</v>
      </c>
      <c r="F70" s="771">
        <f t="shared" si="28"/>
        <v>96877.9</v>
      </c>
      <c r="G70" s="818">
        <v>91064.3</v>
      </c>
      <c r="H70" s="818">
        <v>5813.6</v>
      </c>
      <c r="I70" s="771">
        <f t="shared" si="29"/>
        <v>96874.7</v>
      </c>
      <c r="J70" s="818">
        <v>91059.8</v>
      </c>
      <c r="K70" s="818">
        <v>5814.9</v>
      </c>
      <c r="L70" s="777">
        <f t="shared" ref="L70:N72" si="31">IF(I70=0,0,I70/F70*100)</f>
        <v>100</v>
      </c>
      <c r="M70" s="778">
        <f t="shared" si="31"/>
        <v>100</v>
      </c>
      <c r="N70" s="778">
        <f t="shared" si="31"/>
        <v>100</v>
      </c>
      <c r="O70" s="725"/>
      <c r="P70" s="725"/>
    </row>
    <row r="71" spans="1:19" ht="51" customHeight="1">
      <c r="A71" s="751" t="s">
        <v>577</v>
      </c>
      <c r="B71" s="755" t="s">
        <v>592</v>
      </c>
      <c r="C71" s="771">
        <f>SUM(D71:E71)</f>
        <v>113446.9</v>
      </c>
      <c r="D71" s="818">
        <v>106600</v>
      </c>
      <c r="E71" s="818">
        <v>6846.9</v>
      </c>
      <c r="F71" s="771">
        <f>SUM(G71:H71)</f>
        <v>113446.9</v>
      </c>
      <c r="G71" s="818">
        <v>106600</v>
      </c>
      <c r="H71" s="818">
        <v>6846.9</v>
      </c>
      <c r="I71" s="771">
        <f>SUM(J71:K71)</f>
        <v>97653.6</v>
      </c>
      <c r="J71" s="818">
        <v>91791.9</v>
      </c>
      <c r="K71" s="818">
        <v>5861.7</v>
      </c>
      <c r="L71" s="777">
        <f t="shared" si="31"/>
        <v>86.1</v>
      </c>
      <c r="M71" s="778">
        <f t="shared" si="31"/>
        <v>86.1</v>
      </c>
      <c r="N71" s="778">
        <f t="shared" si="31"/>
        <v>85.6</v>
      </c>
      <c r="O71" s="725"/>
      <c r="P71" s="725"/>
    </row>
    <row r="72" spans="1:19" ht="51" customHeight="1">
      <c r="A72" s="751"/>
      <c r="B72" s="755" t="s">
        <v>593</v>
      </c>
      <c r="C72" s="771">
        <f>SUM(D72:E72)</f>
        <v>35.700000000000003</v>
      </c>
      <c r="D72" s="818">
        <v>0</v>
      </c>
      <c r="E72" s="818">
        <v>35.700000000000003</v>
      </c>
      <c r="F72" s="771">
        <f>SUM(G72:H72)</f>
        <v>0</v>
      </c>
      <c r="G72" s="818">
        <v>0</v>
      </c>
      <c r="H72" s="818">
        <v>0</v>
      </c>
      <c r="I72" s="771">
        <f>SUM(J72:K72)</f>
        <v>0</v>
      </c>
      <c r="J72" s="818">
        <v>0</v>
      </c>
      <c r="K72" s="818">
        <v>0</v>
      </c>
      <c r="L72" s="777">
        <f t="shared" si="31"/>
        <v>0</v>
      </c>
      <c r="M72" s="778">
        <f t="shared" si="31"/>
        <v>0</v>
      </c>
      <c r="N72" s="778">
        <f t="shared" si="31"/>
        <v>0</v>
      </c>
      <c r="O72" s="725"/>
      <c r="P72" s="725"/>
    </row>
    <row r="73" spans="1:19" ht="51" customHeight="1">
      <c r="A73" s="751" t="s">
        <v>578</v>
      </c>
      <c r="B73" s="755" t="s">
        <v>461</v>
      </c>
      <c r="C73" s="771">
        <f t="shared" si="27"/>
        <v>107346.3</v>
      </c>
      <c r="D73" s="818">
        <v>100893.2</v>
      </c>
      <c r="E73" s="818">
        <v>6453.1</v>
      </c>
      <c r="F73" s="771">
        <f t="shared" si="28"/>
        <v>107346.3</v>
      </c>
      <c r="G73" s="818">
        <v>100893.2</v>
      </c>
      <c r="H73" s="818">
        <v>6453.1</v>
      </c>
      <c r="I73" s="771">
        <f t="shared" si="29"/>
        <v>97911.2</v>
      </c>
      <c r="J73" s="818">
        <v>92025.5</v>
      </c>
      <c r="K73" s="818">
        <v>5885.7</v>
      </c>
      <c r="L73" s="777">
        <f t="shared" ref="L73:N76" si="32">IF(I73=0,0,I73/F73*100)</f>
        <v>91.2</v>
      </c>
      <c r="M73" s="778">
        <f t="shared" si="32"/>
        <v>91.2</v>
      </c>
      <c r="N73" s="778">
        <f t="shared" si="32"/>
        <v>91.2</v>
      </c>
      <c r="O73" s="725"/>
      <c r="P73" s="725"/>
    </row>
    <row r="74" spans="1:19" ht="51" customHeight="1">
      <c r="A74" s="751"/>
      <c r="B74" s="755" t="s">
        <v>611</v>
      </c>
      <c r="C74" s="771">
        <f>SUM(D74:E74)</f>
        <v>1020</v>
      </c>
      <c r="D74" s="818">
        <v>1020</v>
      </c>
      <c r="E74" s="818">
        <v>0</v>
      </c>
      <c r="F74" s="771">
        <f>SUM(G74:H74)</f>
        <v>0</v>
      </c>
      <c r="G74" s="818">
        <v>0</v>
      </c>
      <c r="H74" s="818">
        <v>0</v>
      </c>
      <c r="I74" s="771">
        <f>SUM(J74:K74)</f>
        <v>0</v>
      </c>
      <c r="J74" s="818">
        <v>0</v>
      </c>
      <c r="K74" s="818">
        <v>0</v>
      </c>
      <c r="L74" s="777">
        <f t="shared" si="32"/>
        <v>0</v>
      </c>
      <c r="M74" s="778">
        <f t="shared" si="32"/>
        <v>0</v>
      </c>
      <c r="N74" s="778">
        <f t="shared" si="32"/>
        <v>0</v>
      </c>
      <c r="O74" s="725"/>
      <c r="P74" s="725"/>
    </row>
    <row r="75" spans="1:19" ht="51" customHeight="1">
      <c r="A75" s="751" t="s">
        <v>579</v>
      </c>
      <c r="B75" s="748" t="s">
        <v>464</v>
      </c>
      <c r="C75" s="771">
        <f t="shared" si="27"/>
        <v>58673.5</v>
      </c>
      <c r="D75" s="776">
        <v>55153.5</v>
      </c>
      <c r="E75" s="776">
        <v>3520</v>
      </c>
      <c r="F75" s="771">
        <f t="shared" si="28"/>
        <v>58674</v>
      </c>
      <c r="G75" s="776">
        <v>55153.5</v>
      </c>
      <c r="H75" s="776">
        <v>3520.5</v>
      </c>
      <c r="I75" s="771">
        <f t="shared" si="29"/>
        <v>50682.6</v>
      </c>
      <c r="J75" s="776">
        <f>43631.8+4363.7-98</f>
        <v>47897.5</v>
      </c>
      <c r="K75" s="776">
        <f>2785.1</f>
        <v>2785.1</v>
      </c>
      <c r="L75" s="777">
        <f t="shared" si="32"/>
        <v>86.4</v>
      </c>
      <c r="M75" s="778">
        <f t="shared" si="32"/>
        <v>86.8</v>
      </c>
      <c r="N75" s="778">
        <f t="shared" si="32"/>
        <v>79.099999999999994</v>
      </c>
      <c r="O75" s="725"/>
      <c r="P75" s="725"/>
    </row>
    <row r="76" spans="1:19" ht="34.5" customHeight="1">
      <c r="A76" s="751"/>
      <c r="B76" s="754" t="s">
        <v>541</v>
      </c>
      <c r="C76" s="821">
        <f t="shared" si="27"/>
        <v>54131</v>
      </c>
      <c r="D76" s="825">
        <v>50934</v>
      </c>
      <c r="E76" s="825">
        <v>3197</v>
      </c>
      <c r="F76" s="821">
        <f t="shared" si="28"/>
        <v>3197</v>
      </c>
      <c r="G76" s="825">
        <v>0</v>
      </c>
      <c r="H76" s="825">
        <v>3197</v>
      </c>
      <c r="I76" s="771">
        <f t="shared" si="29"/>
        <v>0</v>
      </c>
      <c r="J76" s="776">
        <v>0</v>
      </c>
      <c r="K76" s="776">
        <v>0</v>
      </c>
      <c r="L76" s="777">
        <f t="shared" si="32"/>
        <v>0</v>
      </c>
      <c r="M76" s="778">
        <f t="shared" si="32"/>
        <v>0</v>
      </c>
      <c r="N76" s="778">
        <f t="shared" si="32"/>
        <v>0</v>
      </c>
      <c r="O76" s="725"/>
      <c r="P76" s="725"/>
      <c r="S76" s="736"/>
    </row>
    <row r="77" spans="1:19" ht="78" customHeight="1">
      <c r="A77" s="863" t="s">
        <v>594</v>
      </c>
      <c r="B77" s="754" t="s">
        <v>465</v>
      </c>
      <c r="C77" s="771">
        <f t="shared" si="27"/>
        <v>70835.899999999994</v>
      </c>
      <c r="D77" s="776">
        <v>66585.7</v>
      </c>
      <c r="E77" s="776">
        <v>4250.2</v>
      </c>
      <c r="F77" s="771">
        <f t="shared" si="28"/>
        <v>70835.899999999994</v>
      </c>
      <c r="G77" s="776">
        <v>66585.7</v>
      </c>
      <c r="H77" s="776">
        <v>4250.2</v>
      </c>
      <c r="I77" s="771">
        <f>SUM(J77:K77)</f>
        <v>60367.3</v>
      </c>
      <c r="J77" s="776">
        <v>56745.1</v>
      </c>
      <c r="K77" s="776">
        <v>3622.2</v>
      </c>
      <c r="L77" s="777">
        <f>IF(I77=0,0,I77/F77*100)</f>
        <v>85.2</v>
      </c>
      <c r="M77" s="778">
        <f>IF(J77=0,0,J77/G77*100)</f>
        <v>85.2</v>
      </c>
      <c r="N77" s="778">
        <f>IF(K77=0,0,K77/H77*100)</f>
        <v>85.2</v>
      </c>
      <c r="O77" s="725"/>
      <c r="P77" s="725"/>
    </row>
    <row r="78" spans="1:19" ht="72" hidden="1" customHeight="1">
      <c r="A78" s="864"/>
      <c r="B78" s="748"/>
      <c r="C78" s="821"/>
      <c r="D78" s="825"/>
      <c r="E78" s="825"/>
      <c r="F78" s="771"/>
      <c r="G78" s="776"/>
      <c r="H78" s="776"/>
      <c r="I78" s="771"/>
      <c r="J78" s="776"/>
      <c r="K78" s="776"/>
      <c r="L78" s="777"/>
      <c r="M78" s="778"/>
      <c r="N78" s="778"/>
      <c r="O78" s="725"/>
      <c r="P78" s="725"/>
      <c r="Q78" s="736"/>
    </row>
    <row r="79" spans="1:19" ht="67.5" hidden="1" customHeight="1">
      <c r="A79" s="751"/>
      <c r="B79" s="748"/>
      <c r="C79" s="821"/>
      <c r="D79" s="776"/>
      <c r="E79" s="776"/>
      <c r="F79" s="771"/>
      <c r="G79" s="776"/>
      <c r="H79" s="776"/>
      <c r="I79" s="771"/>
      <c r="J79" s="776"/>
      <c r="K79" s="776"/>
      <c r="L79" s="777"/>
      <c r="M79" s="778"/>
      <c r="N79" s="778"/>
      <c r="O79" s="725"/>
      <c r="P79" s="725"/>
      <c r="Q79" s="736"/>
    </row>
    <row r="80" spans="1:19" ht="87" customHeight="1">
      <c r="A80" s="751" t="s">
        <v>595</v>
      </c>
      <c r="B80" s="748" t="s">
        <v>537</v>
      </c>
      <c r="C80" s="771">
        <f t="shared" ref="C80:C85" si="33">SUM(D80:E80)</f>
        <v>36231.5</v>
      </c>
      <c r="D80" s="776">
        <v>34057.599999999999</v>
      </c>
      <c r="E80" s="776">
        <v>2173.9</v>
      </c>
      <c r="F80" s="771">
        <f t="shared" ref="F80:F116" si="34">SUM(G80:H80)</f>
        <v>36231.5</v>
      </c>
      <c r="G80" s="776">
        <v>34057.599999999999</v>
      </c>
      <c r="H80" s="776">
        <v>2173.9</v>
      </c>
      <c r="I80" s="771">
        <f t="shared" ref="I80:I116" si="35">SUM(J80:K80)</f>
        <v>34175.300000000003</v>
      </c>
      <c r="J80" s="776">
        <v>32124.7</v>
      </c>
      <c r="K80" s="776">
        <v>2050.6</v>
      </c>
      <c r="L80" s="777">
        <f>IF(I80=0,0,I80/F80*100)</f>
        <v>94.3</v>
      </c>
      <c r="M80" s="778">
        <f>IF(J80=0,0,J80/G80*100)</f>
        <v>94.3</v>
      </c>
      <c r="N80" s="778">
        <f>IF(K80=0,0,K80/H80*100)</f>
        <v>94.3</v>
      </c>
      <c r="O80" s="725"/>
      <c r="P80" s="725"/>
    </row>
    <row r="81" spans="1:17" ht="87" customHeight="1">
      <c r="A81" s="751" t="s">
        <v>596</v>
      </c>
      <c r="B81" s="748" t="s">
        <v>587</v>
      </c>
      <c r="C81" s="771">
        <f t="shared" si="33"/>
        <v>103650.8</v>
      </c>
      <c r="D81" s="776">
        <v>97431.7</v>
      </c>
      <c r="E81" s="776">
        <v>6219.1</v>
      </c>
      <c r="F81" s="771">
        <f>SUM(G81:H81)</f>
        <v>103650.8</v>
      </c>
      <c r="G81" s="776">
        <v>97431.7</v>
      </c>
      <c r="H81" s="776">
        <v>6219.1</v>
      </c>
      <c r="I81" s="771">
        <f>SUM(J81:K81)</f>
        <v>100324.2</v>
      </c>
      <c r="J81" s="776">
        <v>94304.4</v>
      </c>
      <c r="K81" s="776">
        <v>6019.8</v>
      </c>
      <c r="L81" s="777">
        <f t="shared" ref="L81:N85" si="36">IF(I81=0,0,I81/F81*100)</f>
        <v>96.8</v>
      </c>
      <c r="M81" s="778">
        <f t="shared" si="36"/>
        <v>96.8</v>
      </c>
      <c r="N81" s="778">
        <f t="shared" si="36"/>
        <v>96.8</v>
      </c>
      <c r="O81" s="725"/>
      <c r="P81" s="725"/>
    </row>
    <row r="82" spans="1:17" ht="108.75" customHeight="1">
      <c r="A82" s="708" t="s">
        <v>597</v>
      </c>
      <c r="B82" s="749" t="s">
        <v>588</v>
      </c>
      <c r="C82" s="771">
        <f t="shared" si="33"/>
        <v>80369.8</v>
      </c>
      <c r="D82" s="776">
        <v>75547.600000000006</v>
      </c>
      <c r="E82" s="776">
        <v>4822.2</v>
      </c>
      <c r="F82" s="771">
        <f>SUM(G82:H82)</f>
        <v>80369.8</v>
      </c>
      <c r="G82" s="776">
        <v>75547.600000000006</v>
      </c>
      <c r="H82" s="776">
        <v>4822.2</v>
      </c>
      <c r="I82" s="771">
        <f>SUM(J82:K82)</f>
        <v>77513.3</v>
      </c>
      <c r="J82" s="776">
        <v>72862.3</v>
      </c>
      <c r="K82" s="776">
        <v>4651</v>
      </c>
      <c r="L82" s="777">
        <f t="shared" si="36"/>
        <v>96.4</v>
      </c>
      <c r="M82" s="778">
        <f t="shared" si="36"/>
        <v>96.4</v>
      </c>
      <c r="N82" s="778">
        <f t="shared" si="36"/>
        <v>96.4</v>
      </c>
      <c r="O82" s="725"/>
      <c r="P82" s="725"/>
    </row>
    <row r="83" spans="1:17" ht="103.5" customHeight="1">
      <c r="A83" s="708" t="s">
        <v>598</v>
      </c>
      <c r="B83" s="749" t="s">
        <v>589</v>
      </c>
      <c r="C83" s="771">
        <f t="shared" si="33"/>
        <v>36777</v>
      </c>
      <c r="D83" s="776">
        <v>34570.300000000003</v>
      </c>
      <c r="E83" s="776">
        <v>2206.6999999999998</v>
      </c>
      <c r="F83" s="771">
        <f>SUM(G83:H83)</f>
        <v>36777</v>
      </c>
      <c r="G83" s="776">
        <v>34570.300000000003</v>
      </c>
      <c r="H83" s="776">
        <v>2206.6999999999998</v>
      </c>
      <c r="I83" s="771">
        <f>SUM(J83:K83)</f>
        <v>35343.4</v>
      </c>
      <c r="J83" s="776">
        <v>33222.699999999997</v>
      </c>
      <c r="K83" s="776">
        <v>2120.6999999999998</v>
      </c>
      <c r="L83" s="777">
        <f t="shared" si="36"/>
        <v>96.1</v>
      </c>
      <c r="M83" s="778">
        <f t="shared" si="36"/>
        <v>96.1</v>
      </c>
      <c r="N83" s="778">
        <f t="shared" si="36"/>
        <v>96.1</v>
      </c>
      <c r="O83" s="725"/>
      <c r="P83" s="725"/>
    </row>
    <row r="84" spans="1:17" ht="103.5" customHeight="1">
      <c r="A84" s="865" t="s">
        <v>600</v>
      </c>
      <c r="B84" s="749" t="s">
        <v>590</v>
      </c>
      <c r="C84" s="771">
        <f t="shared" si="33"/>
        <v>336283.4</v>
      </c>
      <c r="D84" s="776">
        <v>316103.40000000002</v>
      </c>
      <c r="E84" s="776">
        <v>20180</v>
      </c>
      <c r="F84" s="771">
        <f>SUM(G84:H84)</f>
        <v>336283.4</v>
      </c>
      <c r="G84" s="776">
        <v>316103.40000000002</v>
      </c>
      <c r="H84" s="776">
        <v>20180</v>
      </c>
      <c r="I84" s="771">
        <f>SUM(J84:K84)</f>
        <v>0</v>
      </c>
      <c r="J84" s="776">
        <v>0</v>
      </c>
      <c r="K84" s="776">
        <v>0</v>
      </c>
      <c r="L84" s="777">
        <f t="shared" si="36"/>
        <v>0</v>
      </c>
      <c r="M84" s="778">
        <f t="shared" si="36"/>
        <v>0</v>
      </c>
      <c r="N84" s="778">
        <f t="shared" si="36"/>
        <v>0</v>
      </c>
      <c r="O84" s="725"/>
      <c r="P84" s="725"/>
    </row>
    <row r="85" spans="1:17" ht="102" customHeight="1">
      <c r="A85" s="708" t="s">
        <v>599</v>
      </c>
      <c r="B85" s="749" t="s">
        <v>591</v>
      </c>
      <c r="C85" s="771">
        <f t="shared" si="33"/>
        <v>125636.6</v>
      </c>
      <c r="D85" s="776">
        <v>118098.4</v>
      </c>
      <c r="E85" s="776">
        <v>7538.2</v>
      </c>
      <c r="F85" s="771">
        <f>SUM(G85:H85)</f>
        <v>125636.6</v>
      </c>
      <c r="G85" s="776">
        <v>118098.4</v>
      </c>
      <c r="H85" s="776">
        <v>7538.2</v>
      </c>
      <c r="I85" s="771">
        <f>SUM(J85:K85)</f>
        <v>123284.7</v>
      </c>
      <c r="J85" s="776">
        <v>115887.2</v>
      </c>
      <c r="K85" s="776">
        <v>7397.5</v>
      </c>
      <c r="L85" s="777">
        <f t="shared" si="36"/>
        <v>98.1</v>
      </c>
      <c r="M85" s="778">
        <f t="shared" si="36"/>
        <v>98.1</v>
      </c>
      <c r="N85" s="778">
        <f t="shared" si="36"/>
        <v>98.1</v>
      </c>
      <c r="O85" s="725"/>
      <c r="P85" s="725"/>
    </row>
    <row r="86" spans="1:17" ht="51" hidden="1" customHeight="1">
      <c r="A86" s="751"/>
      <c r="B86" s="748"/>
      <c r="C86" s="821"/>
      <c r="D86" s="776"/>
      <c r="E86" s="776"/>
      <c r="F86" s="771"/>
      <c r="G86" s="776"/>
      <c r="H86" s="776"/>
      <c r="I86" s="771"/>
      <c r="J86" s="776"/>
      <c r="K86" s="776"/>
      <c r="L86" s="777"/>
      <c r="M86" s="778"/>
      <c r="N86" s="778"/>
      <c r="O86" s="725"/>
      <c r="P86" s="725"/>
      <c r="Q86" s="736"/>
    </row>
    <row r="87" spans="1:17" ht="51" customHeight="1">
      <c r="A87" s="751" t="s">
        <v>601</v>
      </c>
      <c r="B87" s="748" t="s">
        <v>478</v>
      </c>
      <c r="C87" s="771">
        <f>SUM(D87:E87)</f>
        <v>116730.2</v>
      </c>
      <c r="D87" s="776">
        <v>109726.3</v>
      </c>
      <c r="E87" s="776">
        <v>7003.9</v>
      </c>
      <c r="F87" s="771">
        <f t="shared" si="34"/>
        <v>116730.2</v>
      </c>
      <c r="G87" s="776">
        <v>109726.3</v>
      </c>
      <c r="H87" s="776">
        <v>7003.9</v>
      </c>
      <c r="I87" s="771">
        <f t="shared" si="35"/>
        <v>111454.5</v>
      </c>
      <c r="J87" s="776">
        <v>104767.1</v>
      </c>
      <c r="K87" s="776">
        <v>6687.4</v>
      </c>
      <c r="L87" s="777">
        <f t="shared" ref="L87:N88" si="37">IF(I87=0,0,I87/F87*100)</f>
        <v>95.5</v>
      </c>
      <c r="M87" s="778">
        <f t="shared" si="37"/>
        <v>95.5</v>
      </c>
      <c r="N87" s="778">
        <f t="shared" si="37"/>
        <v>95.5</v>
      </c>
      <c r="O87" s="725"/>
      <c r="P87" s="725"/>
    </row>
    <row r="88" spans="1:17" ht="51" customHeight="1">
      <c r="A88" s="751" t="s">
        <v>602</v>
      </c>
      <c r="B88" s="748" t="s">
        <v>466</v>
      </c>
      <c r="C88" s="771">
        <f>SUM(D88:E88)</f>
        <v>46328.2</v>
      </c>
      <c r="D88" s="776">
        <v>43548.4</v>
      </c>
      <c r="E88" s="776">
        <v>2779.8</v>
      </c>
      <c r="F88" s="771">
        <f t="shared" si="34"/>
        <v>46328.2</v>
      </c>
      <c r="G88" s="776">
        <v>43548.4</v>
      </c>
      <c r="H88" s="776">
        <v>2779.8</v>
      </c>
      <c r="I88" s="771">
        <f t="shared" si="35"/>
        <v>45264.1</v>
      </c>
      <c r="J88" s="776">
        <v>42548.1</v>
      </c>
      <c r="K88" s="776">
        <v>2716</v>
      </c>
      <c r="L88" s="777">
        <f t="shared" si="37"/>
        <v>97.7</v>
      </c>
      <c r="M88" s="778">
        <f t="shared" si="37"/>
        <v>97.7</v>
      </c>
      <c r="N88" s="778">
        <f t="shared" si="37"/>
        <v>97.7</v>
      </c>
      <c r="O88" s="725"/>
      <c r="P88" s="725"/>
    </row>
    <row r="89" spans="1:17" ht="51" hidden="1" customHeight="1">
      <c r="A89" s="751"/>
      <c r="B89" s="748"/>
      <c r="C89" s="821"/>
      <c r="D89" s="776"/>
      <c r="E89" s="776"/>
      <c r="F89" s="771"/>
      <c r="G89" s="776"/>
      <c r="H89" s="776"/>
      <c r="I89" s="771"/>
      <c r="J89" s="776"/>
      <c r="K89" s="776"/>
      <c r="L89" s="777"/>
      <c r="M89" s="778"/>
      <c r="N89" s="778"/>
      <c r="O89" s="725"/>
      <c r="P89" s="725"/>
      <c r="Q89" s="736"/>
    </row>
    <row r="90" spans="1:17" ht="49.5" hidden="1" customHeight="1">
      <c r="A90" s="751"/>
      <c r="B90" s="755"/>
      <c r="C90" s="821"/>
      <c r="D90" s="818"/>
      <c r="E90" s="822"/>
      <c r="F90" s="771"/>
      <c r="G90" s="818"/>
      <c r="H90" s="818"/>
      <c r="I90" s="771"/>
      <c r="J90" s="818"/>
      <c r="K90" s="818"/>
      <c r="L90" s="777"/>
      <c r="M90" s="778"/>
      <c r="N90" s="778"/>
      <c r="O90" s="725"/>
      <c r="P90" s="725"/>
      <c r="Q90" s="736"/>
    </row>
    <row r="91" spans="1:17" ht="70.5" customHeight="1">
      <c r="A91" s="751" t="s">
        <v>603</v>
      </c>
      <c r="B91" s="745" t="s">
        <v>459</v>
      </c>
      <c r="C91" s="771">
        <f>SUM(D91:E91)</f>
        <v>11107.3</v>
      </c>
      <c r="D91" s="818">
        <v>10429.799999999999</v>
      </c>
      <c r="E91" s="818">
        <v>677.5</v>
      </c>
      <c r="F91" s="771">
        <f t="shared" si="34"/>
        <v>11107.3</v>
      </c>
      <c r="G91" s="818">
        <v>10429.799999999999</v>
      </c>
      <c r="H91" s="818">
        <v>677.5</v>
      </c>
      <c r="I91" s="771">
        <f t="shared" si="35"/>
        <v>7990.4</v>
      </c>
      <c r="J91" s="818">
        <v>7511</v>
      </c>
      <c r="K91" s="818">
        <v>479.4</v>
      </c>
      <c r="L91" s="777">
        <f t="shared" ref="L91:N92" si="38">IF(I91=0,0,I91/F91*100)</f>
        <v>71.900000000000006</v>
      </c>
      <c r="M91" s="778">
        <f t="shared" si="38"/>
        <v>72</v>
      </c>
      <c r="N91" s="778">
        <f t="shared" si="38"/>
        <v>70.8</v>
      </c>
      <c r="O91" s="725"/>
      <c r="P91" s="725"/>
    </row>
    <row r="92" spans="1:17" s="515" customFormat="1" ht="61.5" customHeight="1">
      <c r="A92" s="751" t="s">
        <v>604</v>
      </c>
      <c r="B92" s="755" t="s">
        <v>498</v>
      </c>
      <c r="C92" s="771">
        <f>SUM(D92:E92)</f>
        <v>78982.7</v>
      </c>
      <c r="D92" s="818">
        <v>74243.7</v>
      </c>
      <c r="E92" s="818">
        <v>4739</v>
      </c>
      <c r="F92" s="771">
        <f t="shared" si="34"/>
        <v>78983.399999999994</v>
      </c>
      <c r="G92" s="818">
        <v>74243.7</v>
      </c>
      <c r="H92" s="818">
        <v>4739.7</v>
      </c>
      <c r="I92" s="771">
        <f t="shared" si="35"/>
        <v>74727.399999999994</v>
      </c>
      <c r="J92" s="818">
        <v>70243.7</v>
      </c>
      <c r="K92" s="818">
        <f>4483.7</f>
        <v>4483.7</v>
      </c>
      <c r="L92" s="777">
        <f t="shared" si="38"/>
        <v>94.6</v>
      </c>
      <c r="M92" s="778">
        <f t="shared" si="38"/>
        <v>94.6</v>
      </c>
      <c r="N92" s="778">
        <f t="shared" si="38"/>
        <v>94.6</v>
      </c>
      <c r="O92" s="740"/>
      <c r="P92" s="740"/>
    </row>
    <row r="93" spans="1:17" s="515" customFormat="1" ht="61.5" hidden="1" customHeight="1">
      <c r="A93" s="751"/>
      <c r="B93" s="755"/>
      <c r="C93" s="821"/>
      <c r="D93" s="818"/>
      <c r="E93" s="818"/>
      <c r="F93" s="771"/>
      <c r="G93" s="818"/>
      <c r="H93" s="818"/>
      <c r="I93" s="771"/>
      <c r="J93" s="818"/>
      <c r="K93" s="818"/>
      <c r="L93" s="777"/>
      <c r="M93" s="778"/>
      <c r="N93" s="778"/>
      <c r="O93" s="740"/>
      <c r="P93" s="740"/>
      <c r="Q93" s="783"/>
    </row>
    <row r="94" spans="1:17" s="515" customFormat="1" ht="39" customHeight="1">
      <c r="A94" s="751" t="s">
        <v>605</v>
      </c>
      <c r="B94" s="755" t="s">
        <v>499</v>
      </c>
      <c r="C94" s="771">
        <f>SUM(D94:E94)</f>
        <v>36258.199999999997</v>
      </c>
      <c r="D94" s="818">
        <v>34082.300000000003</v>
      </c>
      <c r="E94" s="818">
        <v>2175.9</v>
      </c>
      <c r="F94" s="771">
        <f t="shared" si="34"/>
        <v>36258.199999999997</v>
      </c>
      <c r="G94" s="818">
        <v>34082.300000000003</v>
      </c>
      <c r="H94" s="818">
        <v>2175.9</v>
      </c>
      <c r="I94" s="771">
        <f t="shared" si="35"/>
        <v>29783.200000000001</v>
      </c>
      <c r="J94" s="818">
        <v>27995.9</v>
      </c>
      <c r="K94" s="818">
        <v>1787.3</v>
      </c>
      <c r="L94" s="777">
        <f t="shared" ref="L94:N95" si="39">IF(I94=0,0,I94/F94*100)</f>
        <v>82.1</v>
      </c>
      <c r="M94" s="778">
        <f t="shared" si="39"/>
        <v>82.1</v>
      </c>
      <c r="N94" s="778">
        <f t="shared" si="39"/>
        <v>82.1</v>
      </c>
      <c r="O94" s="740"/>
      <c r="P94" s="740"/>
    </row>
    <row r="95" spans="1:17" s="515" customFormat="1" ht="39" customHeight="1">
      <c r="A95" s="751"/>
      <c r="B95" s="755" t="s">
        <v>586</v>
      </c>
      <c r="C95" s="771">
        <f>SUM(D95:E95)</f>
        <v>11038</v>
      </c>
      <c r="D95" s="818">
        <f>12032.9-1018</f>
        <v>11014.9</v>
      </c>
      <c r="E95" s="818">
        <v>23.1</v>
      </c>
      <c r="F95" s="771">
        <f>SUM(G95:H95)</f>
        <v>0</v>
      </c>
      <c r="G95" s="818">
        <v>0</v>
      </c>
      <c r="H95" s="818">
        <v>0</v>
      </c>
      <c r="I95" s="771">
        <f>SUM(J95:K95)</f>
        <v>0</v>
      </c>
      <c r="J95" s="818">
        <v>0</v>
      </c>
      <c r="K95" s="818">
        <v>0</v>
      </c>
      <c r="L95" s="777">
        <f t="shared" si="39"/>
        <v>0</v>
      </c>
      <c r="M95" s="778">
        <f t="shared" si="39"/>
        <v>0</v>
      </c>
      <c r="N95" s="778">
        <f t="shared" si="39"/>
        <v>0</v>
      </c>
      <c r="O95" s="740"/>
      <c r="P95" s="740"/>
    </row>
    <row r="96" spans="1:17" s="515" customFormat="1" ht="52.5" hidden="1" customHeight="1">
      <c r="A96" s="751"/>
      <c r="B96" s="755"/>
      <c r="C96" s="821"/>
      <c r="D96" s="818"/>
      <c r="E96" s="818"/>
      <c r="F96" s="771"/>
      <c r="G96" s="818"/>
      <c r="H96" s="818"/>
      <c r="I96" s="771"/>
      <c r="J96" s="818"/>
      <c r="K96" s="818"/>
      <c r="L96" s="777"/>
      <c r="M96" s="778"/>
      <c r="N96" s="778"/>
      <c r="O96" s="740"/>
      <c r="P96" s="740"/>
      <c r="Q96" s="783"/>
    </row>
    <row r="97" spans="1:19" s="515" customFormat="1" ht="36" hidden="1" customHeight="1">
      <c r="A97" s="751"/>
      <c r="B97" s="755"/>
      <c r="C97" s="821"/>
      <c r="D97" s="818"/>
      <c r="E97" s="818"/>
      <c r="F97" s="771"/>
      <c r="G97" s="818"/>
      <c r="H97" s="818"/>
      <c r="I97" s="771"/>
      <c r="J97" s="818"/>
      <c r="K97" s="818"/>
      <c r="L97" s="777"/>
      <c r="M97" s="778"/>
      <c r="N97" s="778"/>
      <c r="O97" s="740"/>
      <c r="P97" s="740"/>
      <c r="Q97" s="783"/>
    </row>
    <row r="98" spans="1:19" s="515" customFormat="1" ht="49.5" customHeight="1">
      <c r="A98" s="751" t="s">
        <v>606</v>
      </c>
      <c r="B98" s="826" t="s">
        <v>568</v>
      </c>
      <c r="C98" s="771">
        <f>SUM(D98:E98)</f>
        <v>15637.5</v>
      </c>
      <c r="D98" s="818">
        <v>14699.2</v>
      </c>
      <c r="E98" s="818">
        <v>938.3</v>
      </c>
      <c r="F98" s="771">
        <f>SUM(G98:H98)</f>
        <v>15637.5</v>
      </c>
      <c r="G98" s="818">
        <v>14699.2</v>
      </c>
      <c r="H98" s="818">
        <v>938.3</v>
      </c>
      <c r="I98" s="771">
        <f>SUM(J98:K98)</f>
        <v>15075.3</v>
      </c>
      <c r="J98" s="818">
        <v>14170.7</v>
      </c>
      <c r="K98" s="818">
        <v>904.6</v>
      </c>
      <c r="L98" s="777">
        <f t="shared" ref="L98:N99" si="40">IF(I98=0,0,I98/F98*100)</f>
        <v>96.4</v>
      </c>
      <c r="M98" s="778">
        <f t="shared" si="40"/>
        <v>96.4</v>
      </c>
      <c r="N98" s="778">
        <f t="shared" si="40"/>
        <v>96.4</v>
      </c>
      <c r="O98" s="740"/>
      <c r="P98" s="740"/>
    </row>
    <row r="99" spans="1:19" s="515" customFormat="1" ht="52.5" customHeight="1">
      <c r="A99" s="751" t="s">
        <v>607</v>
      </c>
      <c r="B99" s="785" t="s">
        <v>501</v>
      </c>
      <c r="C99" s="771">
        <f>SUM(D99:E99)</f>
        <v>171265.1</v>
      </c>
      <c r="D99" s="818">
        <v>160665.1</v>
      </c>
      <c r="E99" s="827">
        <v>10600</v>
      </c>
      <c r="F99" s="771">
        <f t="shared" si="34"/>
        <v>171265.1</v>
      </c>
      <c r="G99" s="818">
        <v>160665.1</v>
      </c>
      <c r="H99" s="827">
        <v>10600</v>
      </c>
      <c r="I99" s="771">
        <f t="shared" si="35"/>
        <v>77428.899999999994</v>
      </c>
      <c r="J99" s="818">
        <v>72636.600000000006</v>
      </c>
      <c r="K99" s="818">
        <v>4792.3</v>
      </c>
      <c r="L99" s="777">
        <f t="shared" si="40"/>
        <v>45.2</v>
      </c>
      <c r="M99" s="778">
        <f t="shared" si="40"/>
        <v>45.2</v>
      </c>
      <c r="N99" s="778">
        <f t="shared" si="40"/>
        <v>45.2</v>
      </c>
      <c r="O99" s="740"/>
      <c r="P99" s="740"/>
    </row>
    <row r="100" spans="1:19" ht="50.25" hidden="1" customHeight="1">
      <c r="A100" s="751"/>
      <c r="B100" s="796"/>
      <c r="C100" s="821"/>
      <c r="D100" s="776"/>
      <c r="E100" s="776"/>
      <c r="F100" s="771"/>
      <c r="G100" s="776"/>
      <c r="H100" s="776"/>
      <c r="I100" s="771"/>
      <c r="J100" s="776"/>
      <c r="K100" s="776"/>
      <c r="L100" s="777"/>
      <c r="M100" s="778"/>
      <c r="N100" s="778"/>
      <c r="O100" s="756"/>
      <c r="P100" s="756"/>
      <c r="Q100" s="736"/>
      <c r="R100" s="736"/>
      <c r="S100" s="736"/>
    </row>
    <row r="101" spans="1:19" ht="53.25" hidden="1" customHeight="1">
      <c r="A101" s="751"/>
      <c r="B101" s="748"/>
      <c r="C101" s="821"/>
      <c r="D101" s="776"/>
      <c r="E101" s="776"/>
      <c r="F101" s="771"/>
      <c r="G101" s="776"/>
      <c r="H101" s="776"/>
      <c r="I101" s="771"/>
      <c r="J101" s="776"/>
      <c r="K101" s="776"/>
      <c r="L101" s="777"/>
      <c r="M101" s="778"/>
      <c r="N101" s="778"/>
      <c r="O101" s="756"/>
      <c r="P101" s="756"/>
      <c r="Q101" s="736"/>
      <c r="R101" s="736"/>
      <c r="S101" s="736"/>
    </row>
    <row r="102" spans="1:19" ht="53.25" customHeight="1">
      <c r="A102" s="751" t="s">
        <v>608</v>
      </c>
      <c r="B102" s="748" t="s">
        <v>575</v>
      </c>
      <c r="C102" s="771">
        <f t="shared" ref="C102:C109" si="41">SUM(D102:E102)</f>
        <v>22084.3</v>
      </c>
      <c r="D102" s="776">
        <v>20759.2</v>
      </c>
      <c r="E102" s="776">
        <v>1325.1</v>
      </c>
      <c r="F102" s="771">
        <f t="shared" si="34"/>
        <v>22084.3</v>
      </c>
      <c r="G102" s="776">
        <v>20759.2</v>
      </c>
      <c r="H102" s="776">
        <v>1325.1</v>
      </c>
      <c r="I102" s="771">
        <f>SUM(J102:K102)</f>
        <v>18889.7</v>
      </c>
      <c r="J102" s="776">
        <v>17756.3</v>
      </c>
      <c r="K102" s="776">
        <v>1133.4000000000001</v>
      </c>
      <c r="L102" s="777">
        <f t="shared" ref="L102:N103" si="42">IF(I102=0,0,I102/F102*100)</f>
        <v>85.5</v>
      </c>
      <c r="M102" s="778">
        <f t="shared" si="42"/>
        <v>85.5</v>
      </c>
      <c r="N102" s="778">
        <f t="shared" si="42"/>
        <v>85.5</v>
      </c>
      <c r="O102" s="756"/>
      <c r="P102" s="756"/>
    </row>
    <row r="103" spans="1:19" ht="63.75" customHeight="1">
      <c r="A103" s="751" t="s">
        <v>122</v>
      </c>
      <c r="B103" s="770" t="s">
        <v>455</v>
      </c>
      <c r="C103" s="771">
        <f t="shared" si="41"/>
        <v>2400</v>
      </c>
      <c r="D103" s="818">
        <v>0</v>
      </c>
      <c r="E103" s="818">
        <v>2400</v>
      </c>
      <c r="F103" s="771">
        <f>SUM(G103:H103)</f>
        <v>2400</v>
      </c>
      <c r="G103" s="818">
        <v>0</v>
      </c>
      <c r="H103" s="818">
        <v>2400</v>
      </c>
      <c r="I103" s="771">
        <f>SUM(J103:K103)</f>
        <v>0</v>
      </c>
      <c r="J103" s="818">
        <v>0</v>
      </c>
      <c r="K103" s="818">
        <v>0</v>
      </c>
      <c r="L103" s="777">
        <f t="shared" si="42"/>
        <v>0</v>
      </c>
      <c r="M103" s="778">
        <f t="shared" si="42"/>
        <v>0</v>
      </c>
      <c r="N103" s="778">
        <f t="shared" si="42"/>
        <v>0</v>
      </c>
      <c r="O103" s="756"/>
      <c r="P103" s="756"/>
    </row>
    <row r="104" spans="1:19" ht="67.5" customHeight="1">
      <c r="A104" s="708">
        <v>26</v>
      </c>
      <c r="B104" s="755" t="s">
        <v>516</v>
      </c>
      <c r="C104" s="771">
        <f t="shared" si="41"/>
        <v>1497</v>
      </c>
      <c r="D104" s="818">
        <v>0</v>
      </c>
      <c r="E104" s="818">
        <v>1497</v>
      </c>
      <c r="F104" s="771">
        <f t="shared" si="34"/>
        <v>1497</v>
      </c>
      <c r="G104" s="818">
        <v>0</v>
      </c>
      <c r="H104" s="818">
        <v>1497</v>
      </c>
      <c r="I104" s="771">
        <f t="shared" si="35"/>
        <v>449.1</v>
      </c>
      <c r="J104" s="818">
        <v>0</v>
      </c>
      <c r="K104" s="818">
        <v>449.1</v>
      </c>
      <c r="L104" s="777">
        <f t="shared" ref="L104:N106" si="43">IF(I104=0,0,I104/F104*100)</f>
        <v>30</v>
      </c>
      <c r="M104" s="778">
        <f t="shared" si="43"/>
        <v>0</v>
      </c>
      <c r="N104" s="778">
        <f t="shared" si="43"/>
        <v>30</v>
      </c>
      <c r="O104" s="725"/>
      <c r="P104" s="725"/>
    </row>
    <row r="105" spans="1:19" ht="85.5" customHeight="1">
      <c r="A105" s="708">
        <v>27</v>
      </c>
      <c r="B105" s="755" t="s">
        <v>500</v>
      </c>
      <c r="C105" s="771">
        <f t="shared" si="41"/>
        <v>4878</v>
      </c>
      <c r="D105" s="818">
        <v>0</v>
      </c>
      <c r="E105" s="818">
        <v>4878</v>
      </c>
      <c r="F105" s="771">
        <f t="shared" si="34"/>
        <v>4878</v>
      </c>
      <c r="G105" s="818">
        <v>0</v>
      </c>
      <c r="H105" s="818">
        <v>4878</v>
      </c>
      <c r="I105" s="771">
        <f t="shared" si="35"/>
        <v>1113.8</v>
      </c>
      <c r="J105" s="818">
        <v>0</v>
      </c>
      <c r="K105" s="818">
        <v>1113.8</v>
      </c>
      <c r="L105" s="777">
        <f t="shared" si="43"/>
        <v>22.8</v>
      </c>
      <c r="M105" s="778">
        <f t="shared" si="43"/>
        <v>0</v>
      </c>
      <c r="N105" s="778">
        <f t="shared" si="43"/>
        <v>22.8</v>
      </c>
      <c r="O105" s="725"/>
      <c r="P105" s="725"/>
    </row>
    <row r="106" spans="1:19" ht="57" customHeight="1">
      <c r="A106" s="708">
        <v>28</v>
      </c>
      <c r="B106" s="749" t="s">
        <v>506</v>
      </c>
      <c r="C106" s="771">
        <f t="shared" si="41"/>
        <v>11000</v>
      </c>
      <c r="D106" s="776">
        <v>0</v>
      </c>
      <c r="E106" s="776">
        <v>11000</v>
      </c>
      <c r="F106" s="771">
        <f t="shared" si="34"/>
        <v>11000</v>
      </c>
      <c r="G106" s="776">
        <v>0</v>
      </c>
      <c r="H106" s="776">
        <v>11000</v>
      </c>
      <c r="I106" s="771">
        <f t="shared" si="35"/>
        <v>2495.9</v>
      </c>
      <c r="J106" s="776">
        <v>0</v>
      </c>
      <c r="K106" s="776">
        <v>2495.9</v>
      </c>
      <c r="L106" s="777">
        <f t="shared" si="43"/>
        <v>22.7</v>
      </c>
      <c r="M106" s="778">
        <f t="shared" si="43"/>
        <v>0</v>
      </c>
      <c r="N106" s="778">
        <f t="shared" si="43"/>
        <v>22.7</v>
      </c>
      <c r="O106" s="725"/>
      <c r="P106" s="725"/>
    </row>
    <row r="107" spans="1:19" ht="60.75" customHeight="1">
      <c r="A107" s="708">
        <v>29</v>
      </c>
      <c r="B107" s="754" t="s">
        <v>503</v>
      </c>
      <c r="C107" s="771">
        <f t="shared" si="41"/>
        <v>2516.6999999999998</v>
      </c>
      <c r="D107" s="818">
        <v>0</v>
      </c>
      <c r="E107" s="818">
        <v>2516.6999999999998</v>
      </c>
      <c r="F107" s="771">
        <f t="shared" si="34"/>
        <v>2516.6999999999998</v>
      </c>
      <c r="G107" s="818">
        <v>0</v>
      </c>
      <c r="H107" s="818">
        <v>2516.6999999999998</v>
      </c>
      <c r="I107" s="771">
        <f t="shared" si="35"/>
        <v>0</v>
      </c>
      <c r="J107" s="818">
        <v>0</v>
      </c>
      <c r="K107" s="818">
        <v>0</v>
      </c>
      <c r="L107" s="777">
        <f t="shared" ref="L107:N109" si="44">IF(I107=0,0,I107/F107*100)</f>
        <v>0</v>
      </c>
      <c r="M107" s="778">
        <f t="shared" si="44"/>
        <v>0</v>
      </c>
      <c r="N107" s="778">
        <f t="shared" si="44"/>
        <v>0</v>
      </c>
      <c r="O107" s="725"/>
      <c r="P107" s="725"/>
    </row>
    <row r="108" spans="1:19" ht="71.25" customHeight="1">
      <c r="A108" s="744" t="s">
        <v>126</v>
      </c>
      <c r="B108" s="754" t="s">
        <v>502</v>
      </c>
      <c r="C108" s="771">
        <f t="shared" si="41"/>
        <v>1100</v>
      </c>
      <c r="D108" s="818">
        <v>0</v>
      </c>
      <c r="E108" s="818">
        <v>1100</v>
      </c>
      <c r="F108" s="771">
        <f t="shared" si="34"/>
        <v>1100</v>
      </c>
      <c r="G108" s="818">
        <v>0</v>
      </c>
      <c r="H108" s="818">
        <v>1100</v>
      </c>
      <c r="I108" s="771">
        <f t="shared" si="35"/>
        <v>1100</v>
      </c>
      <c r="J108" s="818">
        <v>0</v>
      </c>
      <c r="K108" s="818">
        <v>1100</v>
      </c>
      <c r="L108" s="777">
        <f t="shared" si="44"/>
        <v>100</v>
      </c>
      <c r="M108" s="778">
        <f t="shared" si="44"/>
        <v>0</v>
      </c>
      <c r="N108" s="778">
        <f t="shared" si="44"/>
        <v>100</v>
      </c>
      <c r="O108" s="725"/>
      <c r="P108" s="725"/>
    </row>
    <row r="109" spans="1:19" ht="81" customHeight="1">
      <c r="A109" s="744" t="s">
        <v>127</v>
      </c>
      <c r="B109" s="754" t="s">
        <v>505</v>
      </c>
      <c r="C109" s="771">
        <f t="shared" si="41"/>
        <v>10192.6</v>
      </c>
      <c r="D109" s="818">
        <v>0</v>
      </c>
      <c r="E109" s="818">
        <v>10192.6</v>
      </c>
      <c r="F109" s="771">
        <f t="shared" si="34"/>
        <v>10192.6</v>
      </c>
      <c r="G109" s="818">
        <v>0</v>
      </c>
      <c r="H109" s="818">
        <v>10192.6</v>
      </c>
      <c r="I109" s="771">
        <f t="shared" si="35"/>
        <v>1000</v>
      </c>
      <c r="J109" s="818">
        <v>0</v>
      </c>
      <c r="K109" s="818">
        <v>1000</v>
      </c>
      <c r="L109" s="777">
        <f t="shared" si="44"/>
        <v>9.8000000000000007</v>
      </c>
      <c r="M109" s="778">
        <f t="shared" si="44"/>
        <v>0</v>
      </c>
      <c r="N109" s="778">
        <f t="shared" si="44"/>
        <v>9.8000000000000007</v>
      </c>
      <c r="O109" s="725"/>
      <c r="P109" s="725"/>
    </row>
    <row r="110" spans="1:19" ht="63" customHeight="1">
      <c r="A110" s="744" t="s">
        <v>128</v>
      </c>
      <c r="B110" s="754" t="s">
        <v>483</v>
      </c>
      <c r="C110" s="771">
        <f t="shared" ref="C110:C115" si="45">SUM(D110:E110)</f>
        <v>1200</v>
      </c>
      <c r="D110" s="818">
        <v>0</v>
      </c>
      <c r="E110" s="818">
        <v>1200</v>
      </c>
      <c r="F110" s="771">
        <f t="shared" si="34"/>
        <v>1200</v>
      </c>
      <c r="G110" s="818">
        <v>0</v>
      </c>
      <c r="H110" s="818">
        <v>1200</v>
      </c>
      <c r="I110" s="771">
        <f t="shared" si="35"/>
        <v>834</v>
      </c>
      <c r="J110" s="818">
        <v>0</v>
      </c>
      <c r="K110" s="818">
        <v>834</v>
      </c>
      <c r="L110" s="777">
        <f t="shared" ref="L110:N111" si="46">IF(I110=0,0,I110/F110*100)</f>
        <v>69.5</v>
      </c>
      <c r="M110" s="778">
        <f t="shared" si="46"/>
        <v>0</v>
      </c>
      <c r="N110" s="778">
        <f t="shared" si="46"/>
        <v>69.5</v>
      </c>
      <c r="O110" s="725"/>
      <c r="P110" s="725"/>
    </row>
    <row r="111" spans="1:19" ht="87" customHeight="1">
      <c r="A111" s="744" t="s">
        <v>158</v>
      </c>
      <c r="B111" s="755" t="s">
        <v>517</v>
      </c>
      <c r="C111" s="771">
        <f t="shared" si="45"/>
        <v>600</v>
      </c>
      <c r="D111" s="818">
        <v>0</v>
      </c>
      <c r="E111" s="818">
        <v>600</v>
      </c>
      <c r="F111" s="771">
        <f t="shared" si="34"/>
        <v>600</v>
      </c>
      <c r="G111" s="818">
        <v>0</v>
      </c>
      <c r="H111" s="818">
        <v>600</v>
      </c>
      <c r="I111" s="771">
        <f t="shared" si="35"/>
        <v>0</v>
      </c>
      <c r="J111" s="818">
        <v>0</v>
      </c>
      <c r="K111" s="818">
        <v>0</v>
      </c>
      <c r="L111" s="777">
        <f t="shared" si="46"/>
        <v>0</v>
      </c>
      <c r="M111" s="778">
        <f t="shared" si="46"/>
        <v>0</v>
      </c>
      <c r="N111" s="778">
        <f t="shared" si="46"/>
        <v>0</v>
      </c>
      <c r="O111" s="756"/>
      <c r="P111" s="756"/>
    </row>
    <row r="112" spans="1:19" ht="78.75" customHeight="1">
      <c r="A112" s="744" t="s">
        <v>129</v>
      </c>
      <c r="B112" s="770" t="s">
        <v>481</v>
      </c>
      <c r="C112" s="771">
        <f t="shared" si="45"/>
        <v>1500</v>
      </c>
      <c r="D112" s="818">
        <v>0</v>
      </c>
      <c r="E112" s="818">
        <v>1500</v>
      </c>
      <c r="F112" s="771">
        <f t="shared" si="34"/>
        <v>1500</v>
      </c>
      <c r="G112" s="818">
        <v>0</v>
      </c>
      <c r="H112" s="818">
        <v>1500</v>
      </c>
      <c r="I112" s="771">
        <f t="shared" si="35"/>
        <v>1500</v>
      </c>
      <c r="J112" s="818">
        <v>0</v>
      </c>
      <c r="K112" s="818">
        <v>1500</v>
      </c>
      <c r="L112" s="777">
        <f t="shared" ref="L112:N116" si="47">IF(I112=0,0,I112/F112*100)</f>
        <v>100</v>
      </c>
      <c r="M112" s="778">
        <f t="shared" si="47"/>
        <v>0</v>
      </c>
      <c r="N112" s="778">
        <f t="shared" si="47"/>
        <v>100</v>
      </c>
      <c r="O112" s="756"/>
      <c r="P112" s="756"/>
    </row>
    <row r="113" spans="1:17" ht="63.75" hidden="1" customHeight="1">
      <c r="A113" s="744" t="s">
        <v>159</v>
      </c>
      <c r="B113" s="770" t="s">
        <v>455</v>
      </c>
      <c r="C113" s="821">
        <f t="shared" si="45"/>
        <v>0</v>
      </c>
      <c r="D113" s="818">
        <v>0</v>
      </c>
      <c r="E113" s="822">
        <f>2400-2400</f>
        <v>0</v>
      </c>
      <c r="F113" s="771">
        <f t="shared" si="34"/>
        <v>0</v>
      </c>
      <c r="G113" s="818">
        <v>0</v>
      </c>
      <c r="H113" s="818">
        <f>2400-2400</f>
        <v>0</v>
      </c>
      <c r="I113" s="771">
        <f t="shared" si="35"/>
        <v>0</v>
      </c>
      <c r="J113" s="818">
        <v>0</v>
      </c>
      <c r="K113" s="818">
        <v>0</v>
      </c>
      <c r="L113" s="777">
        <f t="shared" si="47"/>
        <v>0</v>
      </c>
      <c r="M113" s="778">
        <f t="shared" si="47"/>
        <v>0</v>
      </c>
      <c r="N113" s="778">
        <f t="shared" si="47"/>
        <v>0</v>
      </c>
      <c r="O113" s="756"/>
      <c r="P113" s="756"/>
      <c r="Q113" s="736"/>
    </row>
    <row r="114" spans="1:17" ht="60.75" customHeight="1">
      <c r="A114" s="744" t="s">
        <v>159</v>
      </c>
      <c r="B114" s="770" t="s">
        <v>482</v>
      </c>
      <c r="C114" s="771">
        <f t="shared" si="45"/>
        <v>4500</v>
      </c>
      <c r="D114" s="818">
        <v>0</v>
      </c>
      <c r="E114" s="818">
        <v>4500</v>
      </c>
      <c r="F114" s="771">
        <f t="shared" si="34"/>
        <v>4500</v>
      </c>
      <c r="G114" s="818">
        <v>0</v>
      </c>
      <c r="H114" s="818">
        <v>4500</v>
      </c>
      <c r="I114" s="771">
        <f t="shared" si="35"/>
        <v>4500</v>
      </c>
      <c r="J114" s="818">
        <v>0</v>
      </c>
      <c r="K114" s="818">
        <v>4500</v>
      </c>
      <c r="L114" s="777">
        <f t="shared" si="47"/>
        <v>100</v>
      </c>
      <c r="M114" s="778">
        <f t="shared" si="47"/>
        <v>0</v>
      </c>
      <c r="N114" s="778">
        <f t="shared" si="47"/>
        <v>100</v>
      </c>
      <c r="O114" s="756"/>
      <c r="P114" s="756"/>
    </row>
    <row r="115" spans="1:17" ht="88.5" customHeight="1">
      <c r="A115" s="744" t="s">
        <v>130</v>
      </c>
      <c r="B115" s="770" t="s">
        <v>518</v>
      </c>
      <c r="C115" s="771">
        <f t="shared" si="45"/>
        <v>5500</v>
      </c>
      <c r="D115" s="818">
        <v>0</v>
      </c>
      <c r="E115" s="818">
        <v>5500</v>
      </c>
      <c r="F115" s="771">
        <f t="shared" si="34"/>
        <v>5500</v>
      </c>
      <c r="G115" s="818">
        <v>0</v>
      </c>
      <c r="H115" s="818">
        <v>5500</v>
      </c>
      <c r="I115" s="771">
        <f t="shared" si="35"/>
        <v>5400</v>
      </c>
      <c r="J115" s="818">
        <v>0</v>
      </c>
      <c r="K115" s="818">
        <v>5400</v>
      </c>
      <c r="L115" s="777">
        <f t="shared" si="47"/>
        <v>98.2</v>
      </c>
      <c r="M115" s="778">
        <f t="shared" si="47"/>
        <v>0</v>
      </c>
      <c r="N115" s="778">
        <f t="shared" si="47"/>
        <v>98.2</v>
      </c>
      <c r="O115" s="756"/>
      <c r="P115" s="756"/>
    </row>
    <row r="116" spans="1:17" ht="85.5" customHeight="1">
      <c r="A116" s="744" t="s">
        <v>160</v>
      </c>
      <c r="B116" s="828" t="s">
        <v>504</v>
      </c>
      <c r="C116" s="771">
        <f>SUM(D116:E116)</f>
        <v>2820</v>
      </c>
      <c r="D116" s="818">
        <v>0</v>
      </c>
      <c r="E116" s="818">
        <v>2820</v>
      </c>
      <c r="F116" s="771">
        <f t="shared" si="34"/>
        <v>2820</v>
      </c>
      <c r="G116" s="818">
        <v>0</v>
      </c>
      <c r="H116" s="818">
        <v>2820</v>
      </c>
      <c r="I116" s="771">
        <f t="shared" si="35"/>
        <v>2793.6</v>
      </c>
      <c r="J116" s="818">
        <v>0</v>
      </c>
      <c r="K116" s="818">
        <v>2793.6</v>
      </c>
      <c r="L116" s="777">
        <f t="shared" si="47"/>
        <v>99.1</v>
      </c>
      <c r="M116" s="778">
        <f t="shared" si="47"/>
        <v>0</v>
      </c>
      <c r="N116" s="778">
        <f t="shared" si="47"/>
        <v>99.1</v>
      </c>
      <c r="O116" s="756"/>
      <c r="P116" s="756"/>
    </row>
    <row r="117" spans="1:17" ht="52.5" customHeight="1">
      <c r="A117" s="744" t="s">
        <v>532</v>
      </c>
      <c r="B117" s="770" t="s">
        <v>519</v>
      </c>
      <c r="C117" s="771">
        <f t="shared" ref="C117:C125" si="48">SUM(D117:E117)</f>
        <v>1950</v>
      </c>
      <c r="D117" s="818">
        <v>0</v>
      </c>
      <c r="E117" s="818">
        <v>1950</v>
      </c>
      <c r="F117" s="771">
        <f t="shared" ref="F117:F125" si="49">SUM(G117:H117)</f>
        <v>1950</v>
      </c>
      <c r="G117" s="818">
        <v>0</v>
      </c>
      <c r="H117" s="818">
        <v>1950</v>
      </c>
      <c r="I117" s="771">
        <f t="shared" ref="I117:I125" si="50">SUM(J117:K117)</f>
        <v>0</v>
      </c>
      <c r="J117" s="818">
        <v>0</v>
      </c>
      <c r="K117" s="818">
        <v>0</v>
      </c>
      <c r="L117" s="777">
        <f t="shared" ref="L117:N119" si="51">IF(I117=0,0,I117/F117*100)</f>
        <v>0</v>
      </c>
      <c r="M117" s="778">
        <f t="shared" si="51"/>
        <v>0</v>
      </c>
      <c r="N117" s="778">
        <f t="shared" si="51"/>
        <v>0</v>
      </c>
      <c r="O117" s="756"/>
      <c r="P117" s="756"/>
    </row>
    <row r="118" spans="1:17" ht="51" customHeight="1">
      <c r="A118" s="744" t="s">
        <v>161</v>
      </c>
      <c r="B118" s="748" t="s">
        <v>544</v>
      </c>
      <c r="C118" s="771">
        <f t="shared" si="48"/>
        <v>43430</v>
      </c>
      <c r="D118" s="776">
        <v>0</v>
      </c>
      <c r="E118" s="776">
        <v>43430</v>
      </c>
      <c r="F118" s="771">
        <f t="shared" si="49"/>
        <v>43430</v>
      </c>
      <c r="G118" s="776">
        <v>0</v>
      </c>
      <c r="H118" s="776">
        <v>43430</v>
      </c>
      <c r="I118" s="771">
        <f t="shared" si="50"/>
        <v>30042.400000000001</v>
      </c>
      <c r="J118" s="776">
        <v>0</v>
      </c>
      <c r="K118" s="776">
        <v>30042.400000000001</v>
      </c>
      <c r="L118" s="777">
        <f t="shared" si="51"/>
        <v>69.2</v>
      </c>
      <c r="M118" s="778">
        <f t="shared" si="51"/>
        <v>0</v>
      </c>
      <c r="N118" s="778">
        <f t="shared" si="51"/>
        <v>69.2</v>
      </c>
      <c r="O118" s="725"/>
      <c r="P118" s="725"/>
    </row>
    <row r="119" spans="1:17" ht="43.5" hidden="1" customHeight="1">
      <c r="A119" s="744" t="s">
        <v>159</v>
      </c>
      <c r="B119" s="748" t="s">
        <v>527</v>
      </c>
      <c r="C119" s="821">
        <f t="shared" si="48"/>
        <v>0</v>
      </c>
      <c r="D119" s="776">
        <v>0</v>
      </c>
      <c r="E119" s="825">
        <v>0</v>
      </c>
      <c r="F119" s="771">
        <f t="shared" si="49"/>
        <v>0</v>
      </c>
      <c r="G119" s="776">
        <v>0</v>
      </c>
      <c r="H119" s="776">
        <v>0</v>
      </c>
      <c r="I119" s="771">
        <f t="shared" si="50"/>
        <v>0</v>
      </c>
      <c r="J119" s="776">
        <v>0</v>
      </c>
      <c r="K119" s="776">
        <v>0</v>
      </c>
      <c r="L119" s="777">
        <f t="shared" si="51"/>
        <v>0</v>
      </c>
      <c r="M119" s="778">
        <f t="shared" si="51"/>
        <v>0</v>
      </c>
      <c r="N119" s="778">
        <f t="shared" si="51"/>
        <v>0</v>
      </c>
      <c r="O119" s="725"/>
      <c r="P119" s="725"/>
      <c r="Q119" s="736"/>
    </row>
    <row r="120" spans="1:17" ht="75" customHeight="1">
      <c r="A120" s="744" t="s">
        <v>536</v>
      </c>
      <c r="B120" s="748" t="s">
        <v>542</v>
      </c>
      <c r="C120" s="771">
        <f>SUM(D120:E120)</f>
        <v>60</v>
      </c>
      <c r="D120" s="776">
        <v>0</v>
      </c>
      <c r="E120" s="776">
        <v>60</v>
      </c>
      <c r="F120" s="771">
        <f>SUM(G120:H120)</f>
        <v>60</v>
      </c>
      <c r="G120" s="776">
        <v>0</v>
      </c>
      <c r="H120" s="776">
        <v>60</v>
      </c>
      <c r="I120" s="771">
        <f>SUM(J120:K120)</f>
        <v>60</v>
      </c>
      <c r="J120" s="776">
        <v>0</v>
      </c>
      <c r="K120" s="776">
        <v>60</v>
      </c>
      <c r="L120" s="777">
        <f t="shared" ref="L120:N121" si="52">IF(I120=0,0,I120/F120*100)</f>
        <v>100</v>
      </c>
      <c r="M120" s="778">
        <f t="shared" si="52"/>
        <v>0</v>
      </c>
      <c r="N120" s="778">
        <f t="shared" si="52"/>
        <v>100</v>
      </c>
      <c r="O120" s="725"/>
      <c r="P120" s="725"/>
    </row>
    <row r="121" spans="1:17" ht="81" customHeight="1">
      <c r="A121" s="744" t="s">
        <v>131</v>
      </c>
      <c r="B121" s="748" t="s">
        <v>543</v>
      </c>
      <c r="C121" s="771">
        <f>SUM(D121:E121)</f>
        <v>60</v>
      </c>
      <c r="D121" s="776">
        <v>0</v>
      </c>
      <c r="E121" s="776">
        <v>60</v>
      </c>
      <c r="F121" s="771">
        <f>SUM(G121:H121)</f>
        <v>60</v>
      </c>
      <c r="G121" s="776">
        <v>0</v>
      </c>
      <c r="H121" s="776">
        <v>60</v>
      </c>
      <c r="I121" s="771">
        <f>SUM(J121:K121)</f>
        <v>60</v>
      </c>
      <c r="J121" s="776">
        <v>0</v>
      </c>
      <c r="K121" s="776">
        <v>60</v>
      </c>
      <c r="L121" s="777">
        <f t="shared" si="52"/>
        <v>100</v>
      </c>
      <c r="M121" s="778">
        <f t="shared" si="52"/>
        <v>0</v>
      </c>
      <c r="N121" s="778">
        <f t="shared" si="52"/>
        <v>100</v>
      </c>
      <c r="O121" s="725"/>
      <c r="P121" s="725"/>
    </row>
    <row r="122" spans="1:17" ht="61.5" customHeight="1">
      <c r="A122" s="744" t="s">
        <v>555</v>
      </c>
      <c r="B122" s="748" t="s">
        <v>520</v>
      </c>
      <c r="C122" s="771">
        <f t="shared" si="48"/>
        <v>10895.7</v>
      </c>
      <c r="D122" s="776">
        <v>0</v>
      </c>
      <c r="E122" s="776">
        <v>10895.7</v>
      </c>
      <c r="F122" s="771">
        <f t="shared" si="49"/>
        <v>10895.7</v>
      </c>
      <c r="G122" s="776">
        <v>0</v>
      </c>
      <c r="H122" s="776">
        <v>10895.7</v>
      </c>
      <c r="I122" s="771">
        <f t="shared" si="50"/>
        <v>1000</v>
      </c>
      <c r="J122" s="776">
        <v>0</v>
      </c>
      <c r="K122" s="776">
        <v>1000</v>
      </c>
      <c r="L122" s="777">
        <f t="shared" ref="L122:N125" si="53">IF(I122=0,0,I122/F122*100)</f>
        <v>9.1999999999999993</v>
      </c>
      <c r="M122" s="778">
        <f t="shared" si="53"/>
        <v>0</v>
      </c>
      <c r="N122" s="778">
        <f t="shared" si="53"/>
        <v>9.1999999999999993</v>
      </c>
      <c r="O122" s="725"/>
      <c r="P122" s="725"/>
    </row>
    <row r="123" spans="1:17" ht="76.5" customHeight="1">
      <c r="A123" s="744" t="s">
        <v>556</v>
      </c>
      <c r="B123" s="789" t="s">
        <v>521</v>
      </c>
      <c r="C123" s="821">
        <f t="shared" si="48"/>
        <v>292400</v>
      </c>
      <c r="D123" s="776">
        <f>SUM(D124:D126)</f>
        <v>271900</v>
      </c>
      <c r="E123" s="776">
        <f>SUM(E124:E126)</f>
        <v>20500</v>
      </c>
      <c r="F123" s="821">
        <f t="shared" si="49"/>
        <v>292400</v>
      </c>
      <c r="G123" s="776">
        <f>SUM(G124:G126)</f>
        <v>271900</v>
      </c>
      <c r="H123" s="776">
        <f>SUM(H124:H126)</f>
        <v>20500</v>
      </c>
      <c r="I123" s="821">
        <f t="shared" si="50"/>
        <v>115742.7</v>
      </c>
      <c r="J123" s="776">
        <f>SUM(J124:J126)</f>
        <v>107628.1</v>
      </c>
      <c r="K123" s="776">
        <f>SUM(K124:K126)</f>
        <v>8114.6</v>
      </c>
      <c r="L123" s="777">
        <f t="shared" si="53"/>
        <v>39.6</v>
      </c>
      <c r="M123" s="778">
        <f t="shared" si="53"/>
        <v>39.6</v>
      </c>
      <c r="N123" s="778">
        <f t="shared" si="53"/>
        <v>39.6</v>
      </c>
      <c r="O123" s="725"/>
      <c r="P123" s="725"/>
      <c r="Q123" s="736"/>
    </row>
    <row r="124" spans="1:17" ht="49.5" customHeight="1">
      <c r="A124" s="866" t="s">
        <v>538</v>
      </c>
      <c r="B124" s="829" t="s">
        <v>522</v>
      </c>
      <c r="C124" s="830">
        <f t="shared" si="48"/>
        <v>98377.600000000006</v>
      </c>
      <c r="D124" s="831">
        <v>91480.4</v>
      </c>
      <c r="E124" s="831">
        <v>6897.2</v>
      </c>
      <c r="F124" s="830">
        <f t="shared" si="49"/>
        <v>98377.600000000006</v>
      </c>
      <c r="G124" s="831">
        <v>91480.4</v>
      </c>
      <c r="H124" s="831">
        <v>6897.2</v>
      </c>
      <c r="I124" s="830">
        <f t="shared" si="50"/>
        <v>32548</v>
      </c>
      <c r="J124" s="831">
        <v>30266.1</v>
      </c>
      <c r="K124" s="831">
        <v>2281.9</v>
      </c>
      <c r="L124" s="832">
        <f t="shared" si="53"/>
        <v>33.1</v>
      </c>
      <c r="M124" s="833">
        <f t="shared" si="53"/>
        <v>33.1</v>
      </c>
      <c r="N124" s="833">
        <f t="shared" si="53"/>
        <v>33.1</v>
      </c>
      <c r="O124" s="725"/>
      <c r="P124" s="725"/>
    </row>
    <row r="125" spans="1:17" ht="72" customHeight="1">
      <c r="A125" s="866" t="s">
        <v>539</v>
      </c>
      <c r="B125" s="829" t="s">
        <v>523</v>
      </c>
      <c r="C125" s="830">
        <f t="shared" si="48"/>
        <v>8781.4</v>
      </c>
      <c r="D125" s="831">
        <v>8165.7</v>
      </c>
      <c r="E125" s="831">
        <v>615.70000000000005</v>
      </c>
      <c r="F125" s="830">
        <f t="shared" si="49"/>
        <v>8781.4</v>
      </c>
      <c r="G125" s="831">
        <v>8165.7</v>
      </c>
      <c r="H125" s="831">
        <v>615.70000000000005</v>
      </c>
      <c r="I125" s="830">
        <f t="shared" si="50"/>
        <v>8417</v>
      </c>
      <c r="J125" s="831">
        <v>7826.9</v>
      </c>
      <c r="K125" s="831">
        <v>590.1</v>
      </c>
      <c r="L125" s="832">
        <f t="shared" si="53"/>
        <v>95.9</v>
      </c>
      <c r="M125" s="833">
        <f t="shared" si="53"/>
        <v>95.9</v>
      </c>
      <c r="N125" s="833">
        <f t="shared" si="53"/>
        <v>95.8</v>
      </c>
      <c r="O125" s="725"/>
      <c r="P125" s="725"/>
    </row>
    <row r="126" spans="1:17" ht="54" customHeight="1">
      <c r="A126" s="866" t="s">
        <v>19</v>
      </c>
      <c r="B126" s="829" t="s">
        <v>524</v>
      </c>
      <c r="C126" s="830">
        <f t="shared" ref="C126:C139" si="54">SUM(D126:E126)</f>
        <v>185241</v>
      </c>
      <c r="D126" s="831">
        <v>172253.9</v>
      </c>
      <c r="E126" s="831">
        <v>12987.1</v>
      </c>
      <c r="F126" s="830">
        <f t="shared" ref="F126:F137" si="55">SUM(G126:H126)</f>
        <v>185241</v>
      </c>
      <c r="G126" s="831">
        <v>172253.9</v>
      </c>
      <c r="H126" s="831">
        <v>12987.1</v>
      </c>
      <c r="I126" s="830">
        <f t="shared" ref="I126:I137" si="56">SUM(J126:K126)</f>
        <v>74777.7</v>
      </c>
      <c r="J126" s="831">
        <v>69535.100000000006</v>
      </c>
      <c r="K126" s="831">
        <v>5242.6000000000004</v>
      </c>
      <c r="L126" s="832">
        <f t="shared" ref="L126:N128" si="57">IF(I126=0,0,I126/F126*100)</f>
        <v>40.4</v>
      </c>
      <c r="M126" s="833">
        <f t="shared" si="57"/>
        <v>40.4</v>
      </c>
      <c r="N126" s="833">
        <f t="shared" si="57"/>
        <v>40.4</v>
      </c>
      <c r="O126" s="725"/>
      <c r="P126" s="725"/>
    </row>
    <row r="127" spans="1:17" ht="54" customHeight="1">
      <c r="A127" s="790" t="s">
        <v>162</v>
      </c>
      <c r="B127" s="834" t="s">
        <v>525</v>
      </c>
      <c r="C127" s="771">
        <f t="shared" si="54"/>
        <v>1074</v>
      </c>
      <c r="D127" s="776">
        <v>0</v>
      </c>
      <c r="E127" s="776">
        <v>1074</v>
      </c>
      <c r="F127" s="771">
        <f t="shared" si="55"/>
        <v>1074</v>
      </c>
      <c r="G127" s="776">
        <v>0</v>
      </c>
      <c r="H127" s="776">
        <v>1074</v>
      </c>
      <c r="I127" s="771">
        <f t="shared" si="56"/>
        <v>827</v>
      </c>
      <c r="J127" s="776">
        <v>0</v>
      </c>
      <c r="K127" s="776">
        <v>827</v>
      </c>
      <c r="L127" s="777">
        <f t="shared" si="57"/>
        <v>77</v>
      </c>
      <c r="M127" s="778">
        <f t="shared" si="57"/>
        <v>0</v>
      </c>
      <c r="N127" s="778">
        <f t="shared" si="57"/>
        <v>77</v>
      </c>
      <c r="O127" s="725"/>
      <c r="P127" s="725"/>
    </row>
    <row r="128" spans="1:17" ht="52.5" hidden="1" customHeight="1">
      <c r="A128" s="744" t="s">
        <v>128</v>
      </c>
      <c r="B128" s="755" t="s">
        <v>450</v>
      </c>
      <c r="C128" s="821">
        <f t="shared" si="54"/>
        <v>0</v>
      </c>
      <c r="D128" s="818"/>
      <c r="E128" s="818">
        <v>0</v>
      </c>
      <c r="F128" s="771">
        <f t="shared" si="55"/>
        <v>0</v>
      </c>
      <c r="G128" s="818"/>
      <c r="H128" s="818">
        <v>0</v>
      </c>
      <c r="I128" s="771">
        <f t="shared" si="56"/>
        <v>0</v>
      </c>
      <c r="J128" s="818"/>
      <c r="K128" s="835">
        <v>0</v>
      </c>
      <c r="L128" s="777">
        <f t="shared" si="57"/>
        <v>0</v>
      </c>
      <c r="M128" s="778">
        <f t="shared" si="57"/>
        <v>0</v>
      </c>
      <c r="N128" s="778">
        <f t="shared" si="57"/>
        <v>0</v>
      </c>
      <c r="O128" s="756"/>
      <c r="P128" s="756"/>
      <c r="Q128" s="736"/>
    </row>
    <row r="129" spans="1:17" ht="50.25" customHeight="1">
      <c r="A129" s="744" t="s">
        <v>545</v>
      </c>
      <c r="B129" s="755" t="s">
        <v>533</v>
      </c>
      <c r="C129" s="771">
        <f t="shared" ref="C129:C134" si="58">SUM(D129:E129)</f>
        <v>2754.9</v>
      </c>
      <c r="D129" s="776">
        <v>0</v>
      </c>
      <c r="E129" s="776">
        <v>2754.9</v>
      </c>
      <c r="F129" s="771">
        <f t="shared" ref="F129:F134" si="59">SUM(G129:H129)</f>
        <v>2754.9</v>
      </c>
      <c r="G129" s="776">
        <v>0</v>
      </c>
      <c r="H129" s="776">
        <v>2754.9</v>
      </c>
      <c r="I129" s="771">
        <f t="shared" ref="I129:I134" si="60">SUM(J129:K129)</f>
        <v>0</v>
      </c>
      <c r="J129" s="776">
        <v>0</v>
      </c>
      <c r="K129" s="776">
        <v>0</v>
      </c>
      <c r="L129" s="777">
        <f t="shared" ref="L129:N130" si="61">IF(I129=0,0,I129/F129*100)</f>
        <v>0</v>
      </c>
      <c r="M129" s="778">
        <f t="shared" si="61"/>
        <v>0</v>
      </c>
      <c r="N129" s="778">
        <f t="shared" si="61"/>
        <v>0</v>
      </c>
      <c r="O129" s="756"/>
      <c r="P129" s="756"/>
    </row>
    <row r="130" spans="1:17" ht="50.25" hidden="1" customHeight="1">
      <c r="A130" s="744" t="s">
        <v>559</v>
      </c>
      <c r="B130" s="796" t="s">
        <v>562</v>
      </c>
      <c r="C130" s="810">
        <f t="shared" si="58"/>
        <v>0</v>
      </c>
      <c r="D130" s="836">
        <v>0</v>
      </c>
      <c r="E130" s="836">
        <f>180-180</f>
        <v>0</v>
      </c>
      <c r="F130" s="810">
        <f t="shared" si="59"/>
        <v>0</v>
      </c>
      <c r="G130" s="836">
        <v>0</v>
      </c>
      <c r="H130" s="836">
        <f>180-180</f>
        <v>0</v>
      </c>
      <c r="I130" s="810">
        <f t="shared" si="60"/>
        <v>0</v>
      </c>
      <c r="J130" s="836">
        <v>0</v>
      </c>
      <c r="K130" s="836">
        <v>0</v>
      </c>
      <c r="L130" s="777">
        <f t="shared" si="61"/>
        <v>0</v>
      </c>
      <c r="M130" s="778">
        <f t="shared" si="61"/>
        <v>0</v>
      </c>
      <c r="N130" s="778">
        <f t="shared" si="61"/>
        <v>0</v>
      </c>
      <c r="O130" s="756"/>
      <c r="P130" s="756"/>
      <c r="Q130" s="736"/>
    </row>
    <row r="131" spans="1:17" ht="78.75" customHeight="1">
      <c r="A131" s="744" t="s">
        <v>557</v>
      </c>
      <c r="B131" s="796" t="s">
        <v>569</v>
      </c>
      <c r="C131" s="771">
        <f t="shared" si="58"/>
        <v>1900</v>
      </c>
      <c r="D131" s="776">
        <v>0</v>
      </c>
      <c r="E131" s="776">
        <v>1900</v>
      </c>
      <c r="F131" s="771">
        <f t="shared" si="59"/>
        <v>1900</v>
      </c>
      <c r="G131" s="776">
        <v>0</v>
      </c>
      <c r="H131" s="776">
        <v>1900</v>
      </c>
      <c r="I131" s="771">
        <f t="shared" si="60"/>
        <v>0</v>
      </c>
      <c r="J131" s="776">
        <v>0</v>
      </c>
      <c r="K131" s="776">
        <v>0</v>
      </c>
      <c r="L131" s="777">
        <f t="shared" ref="L131:N137" si="62">IF(I131=0,0,I131/F131*100)</f>
        <v>0</v>
      </c>
      <c r="M131" s="778">
        <f t="shared" si="62"/>
        <v>0</v>
      </c>
      <c r="N131" s="778">
        <f t="shared" si="62"/>
        <v>0</v>
      </c>
      <c r="O131" s="756"/>
      <c r="P131" s="756"/>
    </row>
    <row r="132" spans="1:17" ht="62.25" customHeight="1">
      <c r="A132" s="744" t="s">
        <v>558</v>
      </c>
      <c r="B132" s="796" t="s">
        <v>570</v>
      </c>
      <c r="C132" s="771">
        <f t="shared" si="58"/>
        <v>2720</v>
      </c>
      <c r="D132" s="776">
        <v>0</v>
      </c>
      <c r="E132" s="776">
        <v>2720</v>
      </c>
      <c r="F132" s="771">
        <f t="shared" si="59"/>
        <v>2720</v>
      </c>
      <c r="G132" s="776">
        <v>0</v>
      </c>
      <c r="H132" s="776">
        <v>2720</v>
      </c>
      <c r="I132" s="771">
        <f t="shared" si="60"/>
        <v>0</v>
      </c>
      <c r="J132" s="776">
        <v>0</v>
      </c>
      <c r="K132" s="776">
        <v>0</v>
      </c>
      <c r="L132" s="777">
        <f t="shared" si="62"/>
        <v>0</v>
      </c>
      <c r="M132" s="778">
        <f t="shared" si="62"/>
        <v>0</v>
      </c>
      <c r="N132" s="778">
        <f t="shared" si="62"/>
        <v>0</v>
      </c>
      <c r="O132" s="756"/>
      <c r="P132" s="756"/>
    </row>
    <row r="133" spans="1:17" ht="63.75" customHeight="1">
      <c r="A133" s="744" t="s">
        <v>559</v>
      </c>
      <c r="B133" s="796" t="s">
        <v>571</v>
      </c>
      <c r="C133" s="771">
        <f t="shared" si="58"/>
        <v>2380</v>
      </c>
      <c r="D133" s="776">
        <v>0</v>
      </c>
      <c r="E133" s="776">
        <v>2380</v>
      </c>
      <c r="F133" s="771">
        <f t="shared" si="59"/>
        <v>2380</v>
      </c>
      <c r="G133" s="776">
        <v>0</v>
      </c>
      <c r="H133" s="776">
        <v>2380</v>
      </c>
      <c r="I133" s="771">
        <f t="shared" si="60"/>
        <v>0</v>
      </c>
      <c r="J133" s="776">
        <v>0</v>
      </c>
      <c r="K133" s="776">
        <v>0</v>
      </c>
      <c r="L133" s="777">
        <f t="shared" si="62"/>
        <v>0</v>
      </c>
      <c r="M133" s="778">
        <f t="shared" si="62"/>
        <v>0</v>
      </c>
      <c r="N133" s="778">
        <f t="shared" si="62"/>
        <v>0</v>
      </c>
      <c r="O133" s="756"/>
      <c r="P133" s="756"/>
    </row>
    <row r="134" spans="1:17" ht="81.75" customHeight="1">
      <c r="A134" s="744" t="s">
        <v>560</v>
      </c>
      <c r="B134" s="796" t="s">
        <v>572</v>
      </c>
      <c r="C134" s="771">
        <f t="shared" si="58"/>
        <v>100</v>
      </c>
      <c r="D134" s="776">
        <v>0</v>
      </c>
      <c r="E134" s="776">
        <v>100</v>
      </c>
      <c r="F134" s="771">
        <f t="shared" si="59"/>
        <v>100</v>
      </c>
      <c r="G134" s="776">
        <v>0</v>
      </c>
      <c r="H134" s="776">
        <v>100</v>
      </c>
      <c r="I134" s="771">
        <f t="shared" si="60"/>
        <v>95</v>
      </c>
      <c r="J134" s="776">
        <v>0</v>
      </c>
      <c r="K134" s="776">
        <v>95</v>
      </c>
      <c r="L134" s="777">
        <f t="shared" si="62"/>
        <v>95</v>
      </c>
      <c r="M134" s="778">
        <f t="shared" si="62"/>
        <v>0</v>
      </c>
      <c r="N134" s="778">
        <f t="shared" si="62"/>
        <v>95</v>
      </c>
      <c r="O134" s="756"/>
      <c r="P134" s="756"/>
    </row>
    <row r="135" spans="1:17" s="838" customFormat="1" ht="75.75" customHeight="1">
      <c r="A135" s="744" t="s">
        <v>561</v>
      </c>
      <c r="B135" s="794" t="s">
        <v>530</v>
      </c>
      <c r="C135" s="771">
        <f t="shared" si="54"/>
        <v>1875</v>
      </c>
      <c r="D135" s="818">
        <v>0</v>
      </c>
      <c r="E135" s="818">
        <v>1875</v>
      </c>
      <c r="F135" s="771">
        <f t="shared" si="55"/>
        <v>1875</v>
      </c>
      <c r="G135" s="818">
        <v>0</v>
      </c>
      <c r="H135" s="818">
        <v>1875</v>
      </c>
      <c r="I135" s="771">
        <f t="shared" si="56"/>
        <v>1793.3</v>
      </c>
      <c r="J135" s="818">
        <v>0</v>
      </c>
      <c r="K135" s="835">
        <v>1793.3</v>
      </c>
      <c r="L135" s="777">
        <f t="shared" si="62"/>
        <v>95.6</v>
      </c>
      <c r="M135" s="778">
        <f t="shared" si="62"/>
        <v>0</v>
      </c>
      <c r="N135" s="778">
        <f t="shared" si="62"/>
        <v>95.6</v>
      </c>
      <c r="O135" s="837"/>
      <c r="P135" s="837"/>
    </row>
    <row r="136" spans="1:17" ht="56.25" customHeight="1">
      <c r="A136" s="811" t="s">
        <v>563</v>
      </c>
      <c r="B136" s="812" t="s">
        <v>531</v>
      </c>
      <c r="C136" s="839">
        <f t="shared" si="54"/>
        <v>3600</v>
      </c>
      <c r="D136" s="840">
        <v>0</v>
      </c>
      <c r="E136" s="840">
        <v>3600</v>
      </c>
      <c r="F136" s="839">
        <f t="shared" si="55"/>
        <v>3600</v>
      </c>
      <c r="G136" s="840">
        <v>0</v>
      </c>
      <c r="H136" s="840">
        <v>3600</v>
      </c>
      <c r="I136" s="839">
        <f t="shared" si="56"/>
        <v>2682</v>
      </c>
      <c r="J136" s="840">
        <v>0</v>
      </c>
      <c r="K136" s="841">
        <v>2682</v>
      </c>
      <c r="L136" s="842">
        <f t="shared" si="62"/>
        <v>74.5</v>
      </c>
      <c r="M136" s="843">
        <f t="shared" si="62"/>
        <v>0</v>
      </c>
      <c r="N136" s="843">
        <f t="shared" si="62"/>
        <v>74.5</v>
      </c>
      <c r="O136" s="756"/>
      <c r="P136" s="756"/>
    </row>
    <row r="137" spans="1:17" ht="45.75" customHeight="1">
      <c r="A137" s="744" t="s">
        <v>573</v>
      </c>
      <c r="B137" s="794" t="s">
        <v>554</v>
      </c>
      <c r="C137" s="771">
        <f t="shared" si="54"/>
        <v>950</v>
      </c>
      <c r="D137" s="818">
        <v>0</v>
      </c>
      <c r="E137" s="818">
        <v>950</v>
      </c>
      <c r="F137" s="771">
        <f t="shared" si="55"/>
        <v>950</v>
      </c>
      <c r="G137" s="818">
        <v>0</v>
      </c>
      <c r="H137" s="818">
        <v>950</v>
      </c>
      <c r="I137" s="771">
        <f t="shared" si="56"/>
        <v>0</v>
      </c>
      <c r="J137" s="818">
        <v>0</v>
      </c>
      <c r="K137" s="835">
        <v>0</v>
      </c>
      <c r="L137" s="777">
        <f t="shared" si="62"/>
        <v>0</v>
      </c>
      <c r="M137" s="778">
        <f t="shared" si="62"/>
        <v>0</v>
      </c>
      <c r="N137" s="778">
        <f t="shared" si="62"/>
        <v>0</v>
      </c>
      <c r="O137" s="756"/>
      <c r="P137" s="756"/>
    </row>
    <row r="138" spans="1:17" s="712" customFormat="1" ht="51.75" customHeight="1">
      <c r="A138" s="2377" t="s">
        <v>456</v>
      </c>
      <c r="B138" s="2377"/>
      <c r="C138" s="722">
        <f t="shared" si="54"/>
        <v>1337162.8999999999</v>
      </c>
      <c r="D138" s="722">
        <f>D139</f>
        <v>1062300</v>
      </c>
      <c r="E138" s="722">
        <f>E139</f>
        <v>274862.90000000002</v>
      </c>
      <c r="F138" s="722">
        <f>SUM(G138:H138)</f>
        <v>1337162.8999999999</v>
      </c>
      <c r="G138" s="743">
        <f>G139</f>
        <v>1062300</v>
      </c>
      <c r="H138" s="722">
        <f>H139</f>
        <v>274862.90000000002</v>
      </c>
      <c r="I138" s="722">
        <f>SUM(J138:K138)</f>
        <v>1039726.7</v>
      </c>
      <c r="J138" s="722">
        <f>J139</f>
        <v>838788.5</v>
      </c>
      <c r="K138" s="722">
        <f>K139</f>
        <v>200938.2</v>
      </c>
      <c r="L138" s="723">
        <f t="shared" ref="L138:N140" si="63">IF(I138=0,0,I138/F138*100)</f>
        <v>77.8</v>
      </c>
      <c r="M138" s="724">
        <f t="shared" si="63"/>
        <v>79</v>
      </c>
      <c r="N138" s="724">
        <f t="shared" si="63"/>
        <v>73.099999999999994</v>
      </c>
      <c r="O138" s="725">
        <f t="shared" ref="O138:P144" si="64">D138-G138</f>
        <v>0</v>
      </c>
      <c r="P138" s="725">
        <f t="shared" si="64"/>
        <v>0</v>
      </c>
      <c r="Q138" s="484"/>
    </row>
    <row r="139" spans="1:17" ht="48.75" customHeight="1">
      <c r="A139" s="862" t="s">
        <v>6</v>
      </c>
      <c r="B139" s="704" t="s">
        <v>222</v>
      </c>
      <c r="C139" s="726">
        <f t="shared" si="54"/>
        <v>1337162.8999999999</v>
      </c>
      <c r="D139" s="726">
        <f>SUM(D140,D157)</f>
        <v>1062300</v>
      </c>
      <c r="E139" s="726">
        <f>E140+E157</f>
        <v>274862.90000000002</v>
      </c>
      <c r="F139" s="726">
        <f>SUM(G139:H139)</f>
        <v>1337162.8999999999</v>
      </c>
      <c r="G139" s="726">
        <f>SUM(G140,G157)</f>
        <v>1062300</v>
      </c>
      <c r="H139" s="726">
        <f>SUM(H140,H157)</f>
        <v>274862.90000000002</v>
      </c>
      <c r="I139" s="726">
        <f>SUM(J139:K139)</f>
        <v>1039726.7</v>
      </c>
      <c r="J139" s="726">
        <f>SUM(J140,J157)</f>
        <v>838788.5</v>
      </c>
      <c r="K139" s="726">
        <f>K140+K157</f>
        <v>200938.2</v>
      </c>
      <c r="L139" s="727">
        <f t="shared" si="63"/>
        <v>77.8</v>
      </c>
      <c r="M139" s="728">
        <f t="shared" si="63"/>
        <v>79</v>
      </c>
      <c r="N139" s="728">
        <f t="shared" si="63"/>
        <v>73.099999999999994</v>
      </c>
      <c r="O139" s="725">
        <f t="shared" si="64"/>
        <v>0</v>
      </c>
      <c r="P139" s="725">
        <f t="shared" si="64"/>
        <v>0</v>
      </c>
      <c r="Q139" s="736"/>
    </row>
    <row r="140" spans="1:17" ht="37.5" customHeight="1">
      <c r="A140" s="861" t="s">
        <v>253</v>
      </c>
      <c r="B140" s="705" t="s">
        <v>41</v>
      </c>
      <c r="C140" s="729">
        <f>D140+E140</f>
        <v>1291732.8</v>
      </c>
      <c r="D140" s="729">
        <f>D141+D142+D143+D144+D145</f>
        <v>1062300</v>
      </c>
      <c r="E140" s="729">
        <f>E141+E142+E143+E144+E145</f>
        <v>229432.8</v>
      </c>
      <c r="F140" s="729">
        <f>G140+H140</f>
        <v>1291732.8</v>
      </c>
      <c r="G140" s="729">
        <f>G141+G142+G143+G144+G145</f>
        <v>1062300</v>
      </c>
      <c r="H140" s="729">
        <f>H141+H142+H143+H144+H145</f>
        <v>229432.8</v>
      </c>
      <c r="I140" s="729">
        <f>I144+I145</f>
        <v>982103.4</v>
      </c>
      <c r="J140" s="729">
        <f>J141+J142+J143+J144+J145</f>
        <v>838788.5</v>
      </c>
      <c r="K140" s="729">
        <f>K141+K142+K143+K144+K145</f>
        <v>171554.9</v>
      </c>
      <c r="L140" s="737">
        <f t="shared" si="63"/>
        <v>76</v>
      </c>
      <c r="M140" s="738">
        <f t="shared" si="63"/>
        <v>79</v>
      </c>
      <c r="N140" s="738">
        <f t="shared" si="63"/>
        <v>74.8</v>
      </c>
      <c r="O140" s="725">
        <f t="shared" si="64"/>
        <v>0</v>
      </c>
      <c r="P140" s="725">
        <f t="shared" si="64"/>
        <v>0</v>
      </c>
      <c r="Q140" s="736"/>
    </row>
    <row r="141" spans="1:17" ht="37.5" hidden="1" customHeight="1">
      <c r="A141" s="708">
        <v>1</v>
      </c>
      <c r="B141" s="786" t="s">
        <v>511</v>
      </c>
      <c r="C141" s="844">
        <f t="shared" ref="C141:C146" si="65">SUM(D141:E141)</f>
        <v>0</v>
      </c>
      <c r="D141" s="845">
        <v>0</v>
      </c>
      <c r="E141" s="845">
        <v>0</v>
      </c>
      <c r="F141" s="814">
        <f t="shared" ref="F141:F146" si="66">SUM(G141:H141)</f>
        <v>0</v>
      </c>
      <c r="G141" s="846">
        <v>0</v>
      </c>
      <c r="H141" s="845">
        <v>0</v>
      </c>
      <c r="I141" s="814">
        <f t="shared" ref="I141:I147" si="67">SUM(J141:K141)</f>
        <v>0</v>
      </c>
      <c r="J141" s="845">
        <v>0</v>
      </c>
      <c r="K141" s="846">
        <v>0</v>
      </c>
      <c r="L141" s="746">
        <f t="shared" ref="L141:N142" si="68">IF(I141=0,0,I141/F141*100)</f>
        <v>0</v>
      </c>
      <c r="M141" s="536">
        <f t="shared" si="68"/>
        <v>0</v>
      </c>
      <c r="N141" s="536">
        <f t="shared" si="68"/>
        <v>0</v>
      </c>
      <c r="O141" s="725"/>
      <c r="P141" s="725"/>
    </row>
    <row r="142" spans="1:17" ht="85.5" customHeight="1">
      <c r="A142" s="708">
        <v>1</v>
      </c>
      <c r="B142" s="786" t="s">
        <v>512</v>
      </c>
      <c r="C142" s="844">
        <f t="shared" si="65"/>
        <v>30982</v>
      </c>
      <c r="D142" s="845">
        <v>0</v>
      </c>
      <c r="E142" s="845">
        <v>30982</v>
      </c>
      <c r="F142" s="814">
        <f t="shared" si="66"/>
        <v>30982</v>
      </c>
      <c r="G142" s="846">
        <v>0</v>
      </c>
      <c r="H142" s="845">
        <f>E142</f>
        <v>30982</v>
      </c>
      <c r="I142" s="814">
        <f t="shared" si="67"/>
        <v>28240</v>
      </c>
      <c r="J142" s="845">
        <v>0</v>
      </c>
      <c r="K142" s="846">
        <v>28240</v>
      </c>
      <c r="L142" s="746">
        <f t="shared" si="68"/>
        <v>91.1</v>
      </c>
      <c r="M142" s="536">
        <f t="shared" si="68"/>
        <v>0</v>
      </c>
      <c r="N142" s="536">
        <f t="shared" si="68"/>
        <v>91.1</v>
      </c>
      <c r="O142" s="725"/>
      <c r="P142" s="725"/>
    </row>
    <row r="143" spans="1:17" ht="48" customHeight="1">
      <c r="A143" s="708"/>
      <c r="B143" s="786" t="s">
        <v>511</v>
      </c>
      <c r="C143" s="844">
        <f t="shared" si="65"/>
        <v>29990.799999999999</v>
      </c>
      <c r="D143" s="845">
        <v>0</v>
      </c>
      <c r="E143" s="845">
        <v>29990.799999999999</v>
      </c>
      <c r="F143" s="814">
        <f t="shared" si="66"/>
        <v>29990.799999999999</v>
      </c>
      <c r="G143" s="846">
        <v>0</v>
      </c>
      <c r="H143" s="845">
        <f>E143</f>
        <v>29990.799999999999</v>
      </c>
      <c r="I143" s="814">
        <f>SUM(J143:K143)</f>
        <v>0</v>
      </c>
      <c r="J143" s="845">
        <v>0</v>
      </c>
      <c r="K143" s="846">
        <v>0</v>
      </c>
      <c r="L143" s="746">
        <f>IF(I143=0,0,I143/F143*100)</f>
        <v>0</v>
      </c>
      <c r="M143" s="536">
        <f>IF(J143=0,0,J143/G143*100)</f>
        <v>0</v>
      </c>
      <c r="N143" s="536">
        <f>IF(K143=0,0,K143/H143*100)</f>
        <v>0</v>
      </c>
      <c r="O143" s="725"/>
      <c r="P143" s="725"/>
    </row>
    <row r="144" spans="1:17" ht="57.75" customHeight="1">
      <c r="A144" s="708">
        <v>2</v>
      </c>
      <c r="B144" s="757" t="s">
        <v>469</v>
      </c>
      <c r="C144" s="844">
        <f t="shared" si="65"/>
        <v>100560</v>
      </c>
      <c r="D144" s="845">
        <v>0</v>
      </c>
      <c r="E144" s="845">
        <v>100560</v>
      </c>
      <c r="F144" s="814">
        <f t="shared" si="66"/>
        <v>100560</v>
      </c>
      <c r="G144" s="846">
        <v>0</v>
      </c>
      <c r="H144" s="845">
        <v>100560</v>
      </c>
      <c r="I144" s="814">
        <f t="shared" si="67"/>
        <v>89744.5</v>
      </c>
      <c r="J144" s="845">
        <v>0</v>
      </c>
      <c r="K144" s="846">
        <v>89744.5</v>
      </c>
      <c r="L144" s="746">
        <f t="shared" ref="L144:N148" si="69">IF(I144=0,0,I144/F144*100)</f>
        <v>89.2</v>
      </c>
      <c r="M144" s="536">
        <f t="shared" si="69"/>
        <v>0</v>
      </c>
      <c r="N144" s="536">
        <f t="shared" si="69"/>
        <v>89.2</v>
      </c>
      <c r="O144" s="725">
        <f t="shared" si="64"/>
        <v>0</v>
      </c>
      <c r="P144" s="725">
        <f t="shared" si="64"/>
        <v>0</v>
      </c>
      <c r="Q144" s="736"/>
    </row>
    <row r="145" spans="1:17" ht="57.75" customHeight="1">
      <c r="A145" s="708">
        <v>3</v>
      </c>
      <c r="B145" s="781" t="s">
        <v>446</v>
      </c>
      <c r="C145" s="760">
        <f t="shared" si="65"/>
        <v>1130200</v>
      </c>
      <c r="D145" s="761">
        <f>SUM(D146:D151)</f>
        <v>1062300</v>
      </c>
      <c r="E145" s="761">
        <f>SUM(E146:E151)</f>
        <v>67900</v>
      </c>
      <c r="F145" s="752">
        <f t="shared" si="66"/>
        <v>1130200</v>
      </c>
      <c r="G145" s="761">
        <f>SUM(G146:G151)</f>
        <v>1062300</v>
      </c>
      <c r="H145" s="761">
        <f>SUM(H146:H151)</f>
        <v>67900</v>
      </c>
      <c r="I145" s="752">
        <f t="shared" si="67"/>
        <v>892358.9</v>
      </c>
      <c r="J145" s="761">
        <f>SUM(J146:J151)</f>
        <v>838788.5</v>
      </c>
      <c r="K145" s="761">
        <f>SUM(K146:K151)</f>
        <v>53570.400000000001</v>
      </c>
      <c r="L145" s="753">
        <f t="shared" si="69"/>
        <v>79</v>
      </c>
      <c r="M145" s="537">
        <f t="shared" si="69"/>
        <v>79</v>
      </c>
      <c r="N145" s="537">
        <f t="shared" si="69"/>
        <v>78.900000000000006</v>
      </c>
      <c r="O145" s="725"/>
      <c r="P145" s="725"/>
      <c r="Q145" s="736"/>
    </row>
    <row r="146" spans="1:17" ht="72.75" customHeight="1">
      <c r="A146" s="867"/>
      <c r="B146" s="870" t="s">
        <v>612</v>
      </c>
      <c r="C146" s="732">
        <f t="shared" si="65"/>
        <v>341500</v>
      </c>
      <c r="D146" s="761">
        <v>321000</v>
      </c>
      <c r="E146" s="808">
        <v>20500</v>
      </c>
      <c r="F146" s="732">
        <f t="shared" si="66"/>
        <v>341500</v>
      </c>
      <c r="G146" s="761">
        <v>321000</v>
      </c>
      <c r="H146" s="808">
        <v>20500</v>
      </c>
      <c r="I146" s="752">
        <f>SUM(J146:K146)</f>
        <v>341500</v>
      </c>
      <c r="J146" s="761">
        <v>321000</v>
      </c>
      <c r="K146" s="808">
        <v>20500</v>
      </c>
      <c r="L146" s="753">
        <f>IF(I146=0,0,I146/F146*100)</f>
        <v>100</v>
      </c>
      <c r="M146" s="537">
        <f>IF(J146=0,0,J146/G146*100)</f>
        <v>100</v>
      </c>
      <c r="N146" s="537">
        <f>IF(K146=0,0,K146/H146*100)</f>
        <v>100</v>
      </c>
      <c r="O146" s="725"/>
      <c r="P146" s="725"/>
      <c r="Q146" s="736"/>
    </row>
    <row r="147" spans="1:17" ht="50.25" customHeight="1">
      <c r="A147" s="867"/>
      <c r="B147" s="782" t="s">
        <v>470</v>
      </c>
      <c r="C147" s="732">
        <f t="shared" ref="C147:C159" si="70">SUM(D147:E147)</f>
        <v>472700</v>
      </c>
      <c r="D147" s="739">
        <v>444300</v>
      </c>
      <c r="E147" s="739">
        <v>28400</v>
      </c>
      <c r="F147" s="732">
        <f t="shared" ref="F147:F159" si="71">SUM(G147:H147)</f>
        <v>472700</v>
      </c>
      <c r="G147" s="739">
        <v>444300</v>
      </c>
      <c r="H147" s="739">
        <v>28400</v>
      </c>
      <c r="I147" s="732">
        <f t="shared" si="67"/>
        <v>234998.7</v>
      </c>
      <c r="J147" s="739">
        <v>220879.9</v>
      </c>
      <c r="K147" s="739">
        <v>14118.8</v>
      </c>
      <c r="L147" s="733">
        <f t="shared" si="69"/>
        <v>49.7</v>
      </c>
      <c r="M147" s="734">
        <f t="shared" si="69"/>
        <v>49.7</v>
      </c>
      <c r="N147" s="734">
        <f t="shared" si="69"/>
        <v>49.7</v>
      </c>
      <c r="O147" s="725"/>
      <c r="P147" s="725"/>
      <c r="Q147" s="736"/>
    </row>
    <row r="148" spans="1:17" ht="50.25" customHeight="1">
      <c r="A148" s="867"/>
      <c r="B148" s="782" t="s">
        <v>471</v>
      </c>
      <c r="C148" s="732">
        <f t="shared" si="70"/>
        <v>60950</v>
      </c>
      <c r="D148" s="739">
        <v>57290.2</v>
      </c>
      <c r="E148" s="739">
        <v>3659.8</v>
      </c>
      <c r="F148" s="732">
        <f t="shared" si="71"/>
        <v>60950</v>
      </c>
      <c r="G148" s="739">
        <v>57290.2</v>
      </c>
      <c r="H148" s="739">
        <v>3659.8</v>
      </c>
      <c r="I148" s="732">
        <f t="shared" ref="I148:I159" si="72">SUM(J148:K148)</f>
        <v>60947</v>
      </c>
      <c r="J148" s="739">
        <f>39490.9+17799.3</f>
        <v>57290.2</v>
      </c>
      <c r="K148" s="739">
        <f>2520.7+1136.1</f>
        <v>3656.8</v>
      </c>
      <c r="L148" s="733">
        <f t="shared" si="69"/>
        <v>100</v>
      </c>
      <c r="M148" s="734">
        <f t="shared" si="69"/>
        <v>100</v>
      </c>
      <c r="N148" s="734">
        <f t="shared" si="69"/>
        <v>99.9</v>
      </c>
      <c r="O148" s="725"/>
      <c r="P148" s="725"/>
      <c r="Q148" s="736"/>
    </row>
    <row r="149" spans="1:17" ht="50.25" customHeight="1">
      <c r="A149" s="867"/>
      <c r="B149" s="782" t="s">
        <v>472</v>
      </c>
      <c r="C149" s="732">
        <f t="shared" si="70"/>
        <v>109180</v>
      </c>
      <c r="D149" s="739">
        <v>102629.2</v>
      </c>
      <c r="E149" s="739">
        <v>6550.8</v>
      </c>
      <c r="F149" s="732">
        <f t="shared" si="71"/>
        <v>109180</v>
      </c>
      <c r="G149" s="739">
        <v>102629.2</v>
      </c>
      <c r="H149" s="739">
        <v>6550.8</v>
      </c>
      <c r="I149" s="732">
        <f t="shared" si="72"/>
        <v>109180</v>
      </c>
      <c r="J149" s="739">
        <f>61686.9+40942.3</f>
        <v>102629.2</v>
      </c>
      <c r="K149" s="739">
        <f>3937.5+2613.3</f>
        <v>6550.8</v>
      </c>
      <c r="L149" s="733">
        <f t="shared" ref="L149:N159" si="73">IF(I149=0,0,I149/F149*100)</f>
        <v>100</v>
      </c>
      <c r="M149" s="734">
        <f t="shared" si="73"/>
        <v>100</v>
      </c>
      <c r="N149" s="734">
        <f t="shared" si="73"/>
        <v>100</v>
      </c>
      <c r="O149" s="725"/>
      <c r="P149" s="725"/>
      <c r="Q149" s="736"/>
    </row>
    <row r="150" spans="1:17" ht="50.25" customHeight="1">
      <c r="A150" s="867"/>
      <c r="B150" s="782" t="s">
        <v>473</v>
      </c>
      <c r="C150" s="732">
        <f t="shared" si="70"/>
        <v>43031</v>
      </c>
      <c r="D150" s="739">
        <v>40448.6</v>
      </c>
      <c r="E150" s="739">
        <v>2582.4</v>
      </c>
      <c r="F150" s="732">
        <f t="shared" si="71"/>
        <v>43031</v>
      </c>
      <c r="G150" s="739">
        <v>40448.6</v>
      </c>
      <c r="H150" s="739">
        <v>2582.4</v>
      </c>
      <c r="I150" s="732">
        <f t="shared" si="72"/>
        <v>43030.5</v>
      </c>
      <c r="J150" s="739">
        <f>22379.4+18069.2</f>
        <v>40448.6</v>
      </c>
      <c r="K150" s="739">
        <f>1428.5+1153.4</f>
        <v>2581.9</v>
      </c>
      <c r="L150" s="733">
        <f t="shared" si="73"/>
        <v>100</v>
      </c>
      <c r="M150" s="734">
        <f t="shared" si="73"/>
        <v>100</v>
      </c>
      <c r="N150" s="734">
        <f t="shared" si="73"/>
        <v>100</v>
      </c>
      <c r="O150" s="725"/>
      <c r="P150" s="725"/>
      <c r="Q150" s="736"/>
    </row>
    <row r="151" spans="1:17" ht="50.25" customHeight="1">
      <c r="A151" s="867"/>
      <c r="B151" s="782" t="s">
        <v>474</v>
      </c>
      <c r="C151" s="732">
        <f t="shared" si="70"/>
        <v>102839</v>
      </c>
      <c r="D151" s="739">
        <v>96632</v>
      </c>
      <c r="E151" s="739">
        <v>6207</v>
      </c>
      <c r="F151" s="732">
        <f t="shared" si="71"/>
        <v>102839</v>
      </c>
      <c r="G151" s="739">
        <v>96632</v>
      </c>
      <c r="H151" s="739">
        <v>6207</v>
      </c>
      <c r="I151" s="732">
        <f t="shared" si="72"/>
        <v>102702.7</v>
      </c>
      <c r="J151" s="739">
        <f>38460.5+58080.1</f>
        <v>96540.6</v>
      </c>
      <c r="K151" s="739">
        <f>2454.9+3707.2</f>
        <v>6162.1</v>
      </c>
      <c r="L151" s="733">
        <f t="shared" si="73"/>
        <v>99.9</v>
      </c>
      <c r="M151" s="734">
        <f t="shared" si="73"/>
        <v>99.9</v>
      </c>
      <c r="N151" s="734">
        <f t="shared" si="73"/>
        <v>99.3</v>
      </c>
      <c r="O151" s="725"/>
      <c r="P151" s="725"/>
      <c r="Q151" s="736"/>
    </row>
    <row r="152" spans="1:17" ht="36" hidden="1" customHeight="1">
      <c r="A152" s="708">
        <v>5</v>
      </c>
      <c r="B152" s="745" t="s">
        <v>475</v>
      </c>
      <c r="C152" s="732">
        <f t="shared" si="70"/>
        <v>0</v>
      </c>
      <c r="D152" s="739">
        <f>188200-188200</f>
        <v>0</v>
      </c>
      <c r="E152" s="739">
        <f>14200-14200</f>
        <v>0</v>
      </c>
      <c r="F152" s="732">
        <f t="shared" si="71"/>
        <v>0</v>
      </c>
      <c r="G152" s="739">
        <f>188200-188200</f>
        <v>0</v>
      </c>
      <c r="H152" s="739">
        <f>14200-14200</f>
        <v>0</v>
      </c>
      <c r="I152" s="732">
        <f t="shared" si="72"/>
        <v>0</v>
      </c>
      <c r="J152" s="739">
        <v>0</v>
      </c>
      <c r="K152" s="739">
        <v>0</v>
      </c>
      <c r="L152" s="733">
        <f t="shared" si="73"/>
        <v>0</v>
      </c>
      <c r="M152" s="734">
        <f t="shared" si="73"/>
        <v>0</v>
      </c>
      <c r="N152" s="734">
        <f t="shared" si="73"/>
        <v>0</v>
      </c>
      <c r="O152" s="725"/>
      <c r="P152" s="725"/>
      <c r="Q152" s="736"/>
    </row>
    <row r="153" spans="1:17" s="515" customFormat="1" ht="43.5" hidden="1" customHeight="1">
      <c r="A153" s="751" t="s">
        <v>468</v>
      </c>
      <c r="B153" s="757" t="s">
        <v>476</v>
      </c>
      <c r="C153" s="732">
        <f t="shared" si="70"/>
        <v>0</v>
      </c>
      <c r="D153" s="739">
        <f>46500-46500</f>
        <v>0</v>
      </c>
      <c r="E153" s="739">
        <f>3500-3500</f>
        <v>0</v>
      </c>
      <c r="F153" s="732">
        <f t="shared" si="71"/>
        <v>0</v>
      </c>
      <c r="G153" s="739">
        <f>46500-46500</f>
        <v>0</v>
      </c>
      <c r="H153" s="739">
        <f>3500-3500</f>
        <v>0</v>
      </c>
      <c r="I153" s="732">
        <f t="shared" si="72"/>
        <v>0</v>
      </c>
      <c r="J153" s="739">
        <v>0</v>
      </c>
      <c r="K153" s="739">
        <v>0</v>
      </c>
      <c r="L153" s="733">
        <f t="shared" si="73"/>
        <v>0</v>
      </c>
      <c r="M153" s="734">
        <f t="shared" si="73"/>
        <v>0</v>
      </c>
      <c r="N153" s="734">
        <f t="shared" si="73"/>
        <v>0</v>
      </c>
      <c r="O153" s="740">
        <f t="shared" ref="O153:P162" si="74">D153-G153</f>
        <v>0</v>
      </c>
      <c r="P153" s="740">
        <f t="shared" si="74"/>
        <v>0</v>
      </c>
      <c r="Q153" s="783"/>
    </row>
    <row r="154" spans="1:17" s="515" customFormat="1" ht="46.5" hidden="1" customHeight="1">
      <c r="A154" s="751" t="s">
        <v>451</v>
      </c>
      <c r="B154" s="759" t="s">
        <v>435</v>
      </c>
      <c r="C154" s="760">
        <f t="shared" si="70"/>
        <v>0</v>
      </c>
      <c r="D154" s="762"/>
      <c r="E154" s="762"/>
      <c r="F154" s="752">
        <f t="shared" si="71"/>
        <v>0</v>
      </c>
      <c r="G154" s="762"/>
      <c r="H154" s="762"/>
      <c r="I154" s="752">
        <f t="shared" si="72"/>
        <v>0</v>
      </c>
      <c r="J154" s="761"/>
      <c r="K154" s="761"/>
      <c r="L154" s="753">
        <f t="shared" si="73"/>
        <v>0</v>
      </c>
      <c r="M154" s="537">
        <f t="shared" si="73"/>
        <v>0</v>
      </c>
      <c r="N154" s="537">
        <f t="shared" si="73"/>
        <v>0</v>
      </c>
      <c r="O154" s="740">
        <f t="shared" si="74"/>
        <v>0</v>
      </c>
      <c r="P154" s="740">
        <f t="shared" si="74"/>
        <v>0</v>
      </c>
      <c r="Q154" s="783"/>
    </row>
    <row r="155" spans="1:17" s="515" customFormat="1" ht="43.5" hidden="1" customHeight="1">
      <c r="A155" s="751" t="s">
        <v>452</v>
      </c>
      <c r="B155" s="759" t="s">
        <v>436</v>
      </c>
      <c r="C155" s="760">
        <f t="shared" si="70"/>
        <v>0</v>
      </c>
      <c r="D155" s="762"/>
      <c r="E155" s="762"/>
      <c r="F155" s="752">
        <f t="shared" si="71"/>
        <v>0</v>
      </c>
      <c r="G155" s="762"/>
      <c r="H155" s="762"/>
      <c r="I155" s="752">
        <f t="shared" si="72"/>
        <v>0</v>
      </c>
      <c r="J155" s="761"/>
      <c r="K155" s="761"/>
      <c r="L155" s="753">
        <f t="shared" si="73"/>
        <v>0</v>
      </c>
      <c r="M155" s="537">
        <f t="shared" si="73"/>
        <v>0</v>
      </c>
      <c r="N155" s="537">
        <f t="shared" si="73"/>
        <v>0</v>
      </c>
      <c r="O155" s="740">
        <f t="shared" si="74"/>
        <v>0</v>
      </c>
      <c r="P155" s="740">
        <f t="shared" si="74"/>
        <v>0</v>
      </c>
      <c r="Q155" s="783"/>
    </row>
    <row r="156" spans="1:17" s="515" customFormat="1" ht="40.5" hidden="1" customHeight="1">
      <c r="A156" s="751" t="s">
        <v>449</v>
      </c>
      <c r="B156" s="703" t="s">
        <v>263</v>
      </c>
      <c r="C156" s="847">
        <f t="shared" si="70"/>
        <v>0</v>
      </c>
      <c r="D156" s="808">
        <v>0</v>
      </c>
      <c r="E156" s="808"/>
      <c r="F156" s="847">
        <f t="shared" si="71"/>
        <v>0</v>
      </c>
      <c r="G156" s="808">
        <v>0</v>
      </c>
      <c r="H156" s="808"/>
      <c r="I156" s="847">
        <f t="shared" si="72"/>
        <v>0</v>
      </c>
      <c r="J156" s="808">
        <v>0</v>
      </c>
      <c r="K156" s="808"/>
      <c r="L156" s="848">
        <f t="shared" si="73"/>
        <v>0</v>
      </c>
      <c r="M156" s="849">
        <f t="shared" si="73"/>
        <v>0</v>
      </c>
      <c r="N156" s="849">
        <f t="shared" si="73"/>
        <v>0</v>
      </c>
      <c r="O156" s="740">
        <f t="shared" si="74"/>
        <v>0</v>
      </c>
      <c r="P156" s="740">
        <f t="shared" si="74"/>
        <v>0</v>
      </c>
      <c r="Q156" s="783"/>
    </row>
    <row r="157" spans="1:17" ht="62.25" customHeight="1">
      <c r="A157" s="861" t="s">
        <v>254</v>
      </c>
      <c r="B157" s="705" t="s">
        <v>39</v>
      </c>
      <c r="C157" s="729">
        <f t="shared" si="70"/>
        <v>45430.1</v>
      </c>
      <c r="D157" s="729">
        <f>SUM(D158:D159)</f>
        <v>0</v>
      </c>
      <c r="E157" s="729">
        <f>SUM(E158:E159)</f>
        <v>45430.1</v>
      </c>
      <c r="F157" s="729">
        <f t="shared" si="71"/>
        <v>45430.1</v>
      </c>
      <c r="G157" s="729">
        <f>SUM(G158:G159)</f>
        <v>0</v>
      </c>
      <c r="H157" s="729">
        <f>SUM(H158:H159)</f>
        <v>45430.1</v>
      </c>
      <c r="I157" s="729">
        <f t="shared" si="72"/>
        <v>29383.3</v>
      </c>
      <c r="J157" s="729">
        <f>SUM(J158:J159)</f>
        <v>0</v>
      </c>
      <c r="K157" s="729">
        <f>SUM(K158:K159)</f>
        <v>29383.3</v>
      </c>
      <c r="L157" s="737">
        <f t="shared" si="73"/>
        <v>64.7</v>
      </c>
      <c r="M157" s="738">
        <f t="shared" si="73"/>
        <v>0</v>
      </c>
      <c r="N157" s="738">
        <f t="shared" si="73"/>
        <v>64.7</v>
      </c>
      <c r="O157" s="725">
        <f t="shared" si="74"/>
        <v>0</v>
      </c>
      <c r="P157" s="725">
        <f t="shared" si="74"/>
        <v>0</v>
      </c>
      <c r="Q157" s="736"/>
    </row>
    <row r="158" spans="1:17" ht="58.5" customHeight="1">
      <c r="A158" s="708">
        <v>4</v>
      </c>
      <c r="B158" s="758" t="s">
        <v>268</v>
      </c>
      <c r="C158" s="732">
        <f>SUM(D158:E158)</f>
        <v>700</v>
      </c>
      <c r="D158" s="739">
        <v>0</v>
      </c>
      <c r="E158" s="739">
        <v>700</v>
      </c>
      <c r="F158" s="732">
        <f>SUM(G158:H158)</f>
        <v>700</v>
      </c>
      <c r="G158" s="739">
        <v>0</v>
      </c>
      <c r="H158" s="739">
        <v>700</v>
      </c>
      <c r="I158" s="732">
        <f>SUM(J158:K158)</f>
        <v>208.8</v>
      </c>
      <c r="J158" s="739">
        <v>0</v>
      </c>
      <c r="K158" s="739">
        <v>208.8</v>
      </c>
      <c r="L158" s="733">
        <f>IF(I158=0,0,I158/F158*100)</f>
        <v>29.8</v>
      </c>
      <c r="M158" s="734">
        <f>IF(J158=0,0,J158/G158*100)</f>
        <v>0</v>
      </c>
      <c r="N158" s="734">
        <f>IF(K158=0,0,K158/H158*100)</f>
        <v>29.8</v>
      </c>
      <c r="O158" s="725"/>
      <c r="P158" s="725"/>
      <c r="Q158" s="736"/>
    </row>
    <row r="159" spans="1:17" s="736" customFormat="1" ht="36" customHeight="1">
      <c r="A159" s="708">
        <v>5</v>
      </c>
      <c r="B159" s="702" t="s">
        <v>263</v>
      </c>
      <c r="C159" s="732">
        <f t="shared" si="70"/>
        <v>44730.1</v>
      </c>
      <c r="D159" s="739">
        <v>0</v>
      </c>
      <c r="E159" s="739">
        <v>44730.1</v>
      </c>
      <c r="F159" s="732">
        <f t="shared" si="71"/>
        <v>44730.1</v>
      </c>
      <c r="G159" s="739">
        <v>0</v>
      </c>
      <c r="H159" s="739">
        <v>44730.1</v>
      </c>
      <c r="I159" s="732">
        <f t="shared" si="72"/>
        <v>29174.5</v>
      </c>
      <c r="J159" s="739">
        <v>0</v>
      </c>
      <c r="K159" s="739">
        <v>29174.5</v>
      </c>
      <c r="L159" s="733">
        <f t="shared" si="73"/>
        <v>65.2</v>
      </c>
      <c r="M159" s="734">
        <f t="shared" si="73"/>
        <v>0</v>
      </c>
      <c r="N159" s="734">
        <f t="shared" si="73"/>
        <v>65.2</v>
      </c>
      <c r="O159" s="735"/>
      <c r="P159" s="735"/>
    </row>
    <row r="160" spans="1:17" ht="23.25" customHeight="1">
      <c r="A160" s="868"/>
      <c r="B160" s="713" t="s">
        <v>432</v>
      </c>
      <c r="C160" s="850"/>
      <c r="D160" s="851"/>
      <c r="E160" s="851"/>
      <c r="F160" s="850"/>
      <c r="G160" s="851"/>
      <c r="H160" s="851"/>
      <c r="I160" s="852"/>
      <c r="J160" s="853"/>
      <c r="K160" s="853"/>
      <c r="L160" s="852"/>
      <c r="M160" s="853"/>
      <c r="N160" s="853"/>
      <c r="O160" s="725">
        <f t="shared" si="74"/>
        <v>0</v>
      </c>
      <c r="P160" s="725">
        <f t="shared" si="74"/>
        <v>0</v>
      </c>
      <c r="Q160" s="736"/>
    </row>
    <row r="161" spans="1:17" ht="56.25" customHeight="1">
      <c r="A161" s="2378" t="s">
        <v>87</v>
      </c>
      <c r="B161" s="2379"/>
      <c r="C161" s="741">
        <f>SUM(D161:E161)</f>
        <v>1797163.3</v>
      </c>
      <c r="D161" s="535">
        <f>D20+D46</f>
        <v>1529987</v>
      </c>
      <c r="E161" s="535">
        <f>E20+E46</f>
        <v>267176.3</v>
      </c>
      <c r="F161" s="741">
        <f>SUM(G161:H161)</f>
        <v>1775822.7</v>
      </c>
      <c r="G161" s="535">
        <f>G20+G46</f>
        <v>1508646.4</v>
      </c>
      <c r="H161" s="535">
        <f>H20+H46</f>
        <v>267176.3</v>
      </c>
      <c r="I161" s="741">
        <f>SUM(J161:K161)</f>
        <v>1463207.5</v>
      </c>
      <c r="J161" s="535">
        <f>J20+J46</f>
        <v>1262278.3</v>
      </c>
      <c r="K161" s="535">
        <f>K20+K46</f>
        <v>200929.2</v>
      </c>
      <c r="L161" s="746">
        <f t="shared" ref="L161:N162" si="75">IF(I161=0,0,I161/C161*100)</f>
        <v>81.400000000000006</v>
      </c>
      <c r="M161" s="536">
        <f t="shared" si="75"/>
        <v>82.5</v>
      </c>
      <c r="N161" s="536">
        <f t="shared" si="75"/>
        <v>75.2</v>
      </c>
      <c r="O161" s="725">
        <f t="shared" si="74"/>
        <v>21340.6</v>
      </c>
      <c r="P161" s="725">
        <f t="shared" si="74"/>
        <v>0</v>
      </c>
      <c r="Q161" s="736"/>
    </row>
    <row r="162" spans="1:17" ht="56.25" customHeight="1">
      <c r="A162" s="2378" t="s">
        <v>580</v>
      </c>
      <c r="B162" s="2383"/>
      <c r="C162" s="801">
        <f>SUM(D162:E162)</f>
        <v>3175087.4</v>
      </c>
      <c r="D162" s="802">
        <f>D25+D67+D145</f>
        <v>2984680.7</v>
      </c>
      <c r="E162" s="802">
        <f>E25+E67+E145</f>
        <v>190406.7</v>
      </c>
      <c r="F162" s="801">
        <f>SUM(G162:H162)</f>
        <v>3111967.2</v>
      </c>
      <c r="G162" s="802">
        <f>G25+G67+G145</f>
        <v>2921666.3</v>
      </c>
      <c r="H162" s="802">
        <f>H25+H67+H145</f>
        <v>190300.9</v>
      </c>
      <c r="I162" s="801">
        <f>SUM(J162:K162)</f>
        <v>2122067</v>
      </c>
      <c r="J162" s="802">
        <f>J25+J67+J145</f>
        <v>1994711.9</v>
      </c>
      <c r="K162" s="802">
        <f>K25+K67+K145</f>
        <v>127355.1</v>
      </c>
      <c r="L162" s="733">
        <f t="shared" si="75"/>
        <v>66.8</v>
      </c>
      <c r="M162" s="536">
        <f t="shared" si="75"/>
        <v>66.8</v>
      </c>
      <c r="N162" s="536">
        <f t="shared" si="75"/>
        <v>66.900000000000006</v>
      </c>
      <c r="O162" s="725">
        <f t="shared" si="74"/>
        <v>63014.400000000001</v>
      </c>
      <c r="P162" s="725">
        <f t="shared" si="74"/>
        <v>105.8</v>
      </c>
    </row>
    <row r="163" spans="1:17" ht="38.25" customHeight="1">
      <c r="A163" s="2381" t="s">
        <v>445</v>
      </c>
      <c r="B163" s="2386"/>
      <c r="C163" s="732">
        <f>SUM(D163:E163)</f>
        <v>358292.9</v>
      </c>
      <c r="D163" s="854">
        <v>0</v>
      </c>
      <c r="E163" s="854">
        <f>E17</f>
        <v>358292.9</v>
      </c>
      <c r="F163" s="732">
        <f>SUM(G163:H163)</f>
        <v>358292.9</v>
      </c>
      <c r="G163" s="854">
        <v>0</v>
      </c>
      <c r="H163" s="854">
        <f>H17</f>
        <v>358292.9</v>
      </c>
      <c r="I163" s="732">
        <f>SUM(J163:K163)</f>
        <v>355715</v>
      </c>
      <c r="J163" s="854">
        <v>0</v>
      </c>
      <c r="K163" s="854">
        <f>K17</f>
        <v>355715</v>
      </c>
      <c r="L163" s="733">
        <f>IF(I163=0,0,I163/F163*100)</f>
        <v>99.3</v>
      </c>
      <c r="M163" s="536">
        <f>IF(J163=0,0,J163/G163*100)</f>
        <v>0</v>
      </c>
      <c r="N163" s="536">
        <f>IF(K163=0,0,K163/H163*100)</f>
        <v>99.3</v>
      </c>
      <c r="O163" s="725"/>
      <c r="P163" s="725"/>
    </row>
    <row r="164" spans="1:17" ht="23.25" hidden="1">
      <c r="A164" s="869"/>
      <c r="B164" s="786"/>
      <c r="C164" s="803"/>
      <c r="D164" s="804"/>
      <c r="E164" s="804"/>
      <c r="F164" s="804"/>
      <c r="G164" s="805"/>
      <c r="H164" s="804"/>
      <c r="I164" s="806"/>
      <c r="J164" s="804"/>
      <c r="K164" s="804"/>
      <c r="L164" s="806"/>
      <c r="M164" s="792"/>
      <c r="N164" s="792"/>
    </row>
    <row r="165" spans="1:17" ht="50.25" customHeight="1">
      <c r="A165" s="2381" t="s">
        <v>528</v>
      </c>
      <c r="B165" s="2382"/>
      <c r="C165" s="733">
        <f>D165+E165</f>
        <v>64345</v>
      </c>
      <c r="D165" s="807">
        <f>D104+D105+D106+D111+D116+D118+D120+D121</f>
        <v>0</v>
      </c>
      <c r="E165" s="807">
        <f>E104+E105+E106+E111+E116+E118+E120+E121</f>
        <v>64345</v>
      </c>
      <c r="F165" s="733">
        <f>G165+H165</f>
        <v>64345</v>
      </c>
      <c r="G165" s="807">
        <f>G104+G105+G106+G111+G116+G118+G120+G121</f>
        <v>0</v>
      </c>
      <c r="H165" s="807">
        <f>H104+H105+H106+H111+H116+H118+H120+H121</f>
        <v>64345</v>
      </c>
      <c r="I165" s="733">
        <f>J165+K165</f>
        <v>37014.800000000003</v>
      </c>
      <c r="J165" s="807">
        <f>J104+J105+J106+J111+J116+J118+J120+J121</f>
        <v>0</v>
      </c>
      <c r="K165" s="807">
        <f>K104+K105+K106+K111+K116+K118+K120+K121</f>
        <v>37014.800000000003</v>
      </c>
      <c r="L165" s="823">
        <f t="shared" ref="L165:N166" si="76">IF(I165=0,0,I165/F165*100)</f>
        <v>57.5</v>
      </c>
      <c r="M165" s="778">
        <f t="shared" si="76"/>
        <v>0</v>
      </c>
      <c r="N165" s="778">
        <f t="shared" si="76"/>
        <v>57.5</v>
      </c>
    </row>
    <row r="166" spans="1:17" ht="38.25" customHeight="1">
      <c r="A166" s="2381" t="s">
        <v>529</v>
      </c>
      <c r="B166" s="2382"/>
      <c r="C166" s="746">
        <f>D166+E166</f>
        <v>778705.6</v>
      </c>
      <c r="D166" s="698">
        <f>D12-D161-D162-D163-D165</f>
        <v>430847.9</v>
      </c>
      <c r="E166" s="698">
        <f>E12-E161-E162-E163-E165</f>
        <v>347857.7</v>
      </c>
      <c r="F166" s="746">
        <f>G166+H166</f>
        <v>778705.6</v>
      </c>
      <c r="G166" s="698">
        <f>G12-G161-G162-G163-G165</f>
        <v>430847.9</v>
      </c>
      <c r="H166" s="698">
        <f>H12-H161-H162-H163-H165</f>
        <v>347857.7</v>
      </c>
      <c r="I166" s="746">
        <f>J166+K166</f>
        <v>408284.3</v>
      </c>
      <c r="J166" s="698">
        <f>J12-J161-J162-J163-J165</f>
        <v>201969.6</v>
      </c>
      <c r="K166" s="698">
        <f>K12-K161-K162-K163-K165</f>
        <v>206314.7</v>
      </c>
      <c r="L166" s="777">
        <f t="shared" si="76"/>
        <v>52.4</v>
      </c>
      <c r="M166" s="778">
        <f t="shared" si="76"/>
        <v>46.9</v>
      </c>
      <c r="N166" s="778">
        <f t="shared" si="76"/>
        <v>59.3</v>
      </c>
    </row>
    <row r="167" spans="1:17" ht="38.25" customHeight="1">
      <c r="A167" s="797"/>
      <c r="B167" s="797"/>
      <c r="C167" s="799"/>
      <c r="D167" s="799"/>
      <c r="E167" s="799"/>
      <c r="F167" s="799"/>
      <c r="G167" s="799"/>
      <c r="H167" s="799"/>
      <c r="I167" s="799"/>
      <c r="J167" s="799"/>
      <c r="K167" s="799"/>
      <c r="L167" s="799"/>
      <c r="M167" s="799"/>
      <c r="N167" s="799"/>
      <c r="O167" s="799">
        <f>SUM(O161:O166)-O12</f>
        <v>84355</v>
      </c>
      <c r="P167" s="799">
        <f>SUM(P161:P166)-P12</f>
        <v>105.8</v>
      </c>
    </row>
    <row r="168" spans="1:17" ht="38.25" customHeight="1">
      <c r="A168" s="797"/>
      <c r="B168" s="791" t="s">
        <v>310</v>
      </c>
      <c r="C168" s="793"/>
      <c r="E168" s="2372" t="s">
        <v>613</v>
      </c>
      <c r="F168" s="2373"/>
      <c r="G168" s="799"/>
      <c r="H168" s="799"/>
      <c r="I168" s="798"/>
      <c r="J168" s="799"/>
      <c r="K168" s="799"/>
      <c r="L168" s="855"/>
      <c r="M168" s="856"/>
      <c r="N168" s="856"/>
    </row>
    <row r="169" spans="1:17" ht="53.25" customHeight="1">
      <c r="A169" s="791"/>
      <c r="B169" s="791"/>
      <c r="C169" s="793"/>
      <c r="E169" s="2372"/>
      <c r="F169" s="2373"/>
    </row>
    <row r="170" spans="1:17">
      <c r="E170" s="742"/>
    </row>
    <row r="171" spans="1:17">
      <c r="E171" s="742"/>
    </row>
  </sheetData>
  <mergeCells count="27">
    <mergeCell ref="J8:K8"/>
    <mergeCell ref="L8:N8"/>
    <mergeCell ref="A163:B163"/>
    <mergeCell ref="B9:B10"/>
    <mergeCell ref="C9:C10"/>
    <mergeCell ref="D9:E9"/>
    <mergeCell ref="F9:F10"/>
    <mergeCell ref="G9:H9"/>
    <mergeCell ref="A7:N7"/>
    <mergeCell ref="A1:B1"/>
    <mergeCell ref="K1:P1"/>
    <mergeCell ref="I3:L3"/>
    <mergeCell ref="A5:N5"/>
    <mergeCell ref="A6:N6"/>
    <mergeCell ref="E169:F169"/>
    <mergeCell ref="E168:F168"/>
    <mergeCell ref="L9:L10"/>
    <mergeCell ref="M9:N9"/>
    <mergeCell ref="A13:B13"/>
    <mergeCell ref="A138:B138"/>
    <mergeCell ref="A161:B161"/>
    <mergeCell ref="A9:A10"/>
    <mergeCell ref="J9:K9"/>
    <mergeCell ref="A166:B166"/>
    <mergeCell ref="A165:B165"/>
    <mergeCell ref="A162:B162"/>
    <mergeCell ref="I9:I10"/>
  </mergeCells>
  <pageMargins left="0.19685039370078741" right="0.19685039370078741" top="0.23622047244094491" bottom="0.23622047244094491" header="0.15748031496062992" footer="0.19685039370078741"/>
  <pageSetup paperSize="9" scale="39" orientation="landscape" r:id="rId1"/>
  <rowBreaks count="3" manualBreakCount="3">
    <brk id="29" max="15" man="1"/>
    <brk id="135" max="15" man="1"/>
    <brk id="168" max="15" man="1"/>
  </rowBreaks>
  <colBreaks count="1" manualBreakCount="1">
    <brk id="14" max="1048575" man="1"/>
  </colBreaks>
  <customProperties>
    <customPr name="krista_fm_consts" r:id="rId2"/>
  </customProperties>
</worksheet>
</file>

<file path=xl/worksheets/sheet18.xml><?xml version="1.0" encoding="utf-8"?>
<worksheet xmlns="http://schemas.openxmlformats.org/spreadsheetml/2006/main" xmlns:r="http://schemas.openxmlformats.org/officeDocument/2006/relationships">
  <sheetPr>
    <pageSetUpPr fitToPage="1"/>
  </sheetPr>
  <dimension ref="A1:R188"/>
  <sheetViews>
    <sheetView zoomScale="60" zoomScaleNormal="60" zoomScaleSheetLayoutView="50" workbookViewId="0">
      <pane xSplit="2" ySplit="11" topLeftCell="C174" activePane="bottomRight" state="frozen"/>
      <selection pane="topRight" activeCell="C1" sqref="C1"/>
      <selection pane="bottomLeft" activeCell="A12" sqref="A12"/>
      <selection pane="bottomRight" activeCell="H183" sqref="H183"/>
    </sheetView>
  </sheetViews>
  <sheetFormatPr defaultColWidth="9.140625" defaultRowHeight="15.75"/>
  <cols>
    <col min="1" max="1" width="12.7109375" style="497" customWidth="1"/>
    <col min="2" max="2" width="125.140625" style="497" customWidth="1"/>
    <col min="3" max="3" width="24.140625" style="700" customWidth="1"/>
    <col min="4" max="4" width="24.28515625" style="497" customWidth="1"/>
    <col min="5" max="5" width="20.140625" style="497" customWidth="1"/>
    <col min="6" max="6" width="23.28515625" style="700" customWidth="1"/>
    <col min="7" max="7" width="22.42578125" style="497" customWidth="1"/>
    <col min="8" max="8" width="19.5703125" style="497" customWidth="1"/>
    <col min="9" max="9" width="20.28515625" style="700" customWidth="1"/>
    <col min="10" max="10" width="20" style="497" customWidth="1"/>
    <col min="11" max="11" width="19.42578125" style="497" customWidth="1"/>
    <col min="12" max="12" width="20.7109375" style="700" bestFit="1" customWidth="1"/>
    <col min="13" max="14" width="16" style="497" customWidth="1"/>
    <col min="15" max="15" width="15.7109375" style="497" hidden="1" customWidth="1"/>
    <col min="16" max="16" width="16.7109375" style="497" hidden="1" customWidth="1"/>
    <col min="17" max="17" width="34.28515625" style="497" customWidth="1"/>
    <col min="18" max="18" width="16.5703125" style="497" customWidth="1"/>
    <col min="19" max="16384" width="9.140625" style="497"/>
  </cols>
  <sheetData>
    <row r="1" spans="1:17" ht="20.25">
      <c r="A1" s="2359"/>
      <c r="B1" s="2359"/>
      <c r="C1" s="817"/>
      <c r="D1" s="817"/>
      <c r="E1" s="817"/>
      <c r="F1" s="817"/>
      <c r="G1" s="817"/>
      <c r="H1" s="817"/>
      <c r="I1" s="817"/>
      <c r="K1" s="2384" t="s">
        <v>513</v>
      </c>
      <c r="L1" s="2384"/>
      <c r="M1" s="2384"/>
      <c r="N1" s="2384"/>
      <c r="O1" s="2384"/>
      <c r="P1" s="2384"/>
    </row>
    <row r="2" spans="1:17" hidden="1">
      <c r="A2" s="953"/>
      <c r="B2" s="953"/>
      <c r="C2" s="714"/>
      <c r="D2" s="953"/>
      <c r="E2" s="953"/>
      <c r="L2" s="714"/>
    </row>
    <row r="3" spans="1:17" s="467" customFormat="1" hidden="1">
      <c r="A3" s="859"/>
      <c r="C3" s="715"/>
      <c r="D3" s="716"/>
      <c r="E3" s="716"/>
      <c r="F3" s="715"/>
      <c r="G3" s="716"/>
      <c r="H3" s="716"/>
      <c r="I3" s="2312"/>
      <c r="J3" s="2312"/>
      <c r="K3" s="2312"/>
      <c r="L3" s="2312"/>
      <c r="N3" s="717"/>
    </row>
    <row r="4" spans="1:17" s="467" customFormat="1" ht="43.5" hidden="1" customHeight="1">
      <c r="A4" s="859"/>
      <c r="C4" s="815">
        <f>6162009.6</f>
        <v>6162009.5999999996</v>
      </c>
      <c r="D4" s="716"/>
      <c r="E4" s="716"/>
      <c r="F4" s="815">
        <v>5873905</v>
      </c>
      <c r="G4" s="469"/>
      <c r="H4" s="469"/>
      <c r="I4" s="816">
        <v>2407625.6</v>
      </c>
      <c r="J4" s="469"/>
      <c r="K4" s="469"/>
      <c r="L4" s="718"/>
      <c r="N4" s="717"/>
    </row>
    <row r="5" spans="1:17" s="467" customFormat="1" ht="30.75" customHeight="1">
      <c r="A5" s="2389" t="s">
        <v>5</v>
      </c>
      <c r="B5" s="2389"/>
      <c r="C5" s="2389"/>
      <c r="D5" s="2389"/>
      <c r="E5" s="2389"/>
      <c r="F5" s="2389"/>
      <c r="G5" s="2389"/>
      <c r="H5" s="2389"/>
      <c r="I5" s="2389"/>
      <c r="J5" s="2389"/>
      <c r="K5" s="2389"/>
      <c r="L5" s="2389"/>
      <c r="M5" s="2389"/>
      <c r="N5" s="2389"/>
    </row>
    <row r="6" spans="1:17" s="467" customFormat="1" ht="30.75" customHeight="1">
      <c r="A6" s="2389" t="s">
        <v>236</v>
      </c>
      <c r="B6" s="2389"/>
      <c r="C6" s="2389"/>
      <c r="D6" s="2389"/>
      <c r="E6" s="2389"/>
      <c r="F6" s="2389"/>
      <c r="G6" s="2389"/>
      <c r="H6" s="2389"/>
      <c r="I6" s="2389"/>
      <c r="J6" s="2389"/>
      <c r="K6" s="2389"/>
      <c r="L6" s="2389"/>
      <c r="M6" s="2389"/>
      <c r="N6" s="2389"/>
    </row>
    <row r="7" spans="1:17" s="467" customFormat="1" ht="30.75">
      <c r="A7" s="2389" t="s">
        <v>671</v>
      </c>
      <c r="B7" s="2389"/>
      <c r="C7" s="2389"/>
      <c r="D7" s="2389"/>
      <c r="E7" s="2389"/>
      <c r="F7" s="2389"/>
      <c r="G7" s="2389"/>
      <c r="H7" s="2389"/>
      <c r="I7" s="2389"/>
      <c r="J7" s="2389"/>
      <c r="K7" s="2389"/>
      <c r="L7" s="2389"/>
      <c r="M7" s="2389"/>
      <c r="N7" s="2389"/>
      <c r="Q7" s="858"/>
    </row>
    <row r="8" spans="1:17" s="467" customFormat="1" ht="20.25" customHeight="1">
      <c r="A8" s="860"/>
      <c r="B8" s="474"/>
      <c r="C8" s="471"/>
      <c r="D8" s="474"/>
      <c r="E8" s="474"/>
      <c r="F8" s="471"/>
      <c r="G8" s="474"/>
      <c r="H8" s="800"/>
      <c r="I8" s="719"/>
      <c r="J8" s="2385"/>
      <c r="K8" s="2385"/>
      <c r="L8" s="2385" t="s">
        <v>377</v>
      </c>
      <c r="M8" s="2385"/>
      <c r="N8" s="906"/>
    </row>
    <row r="9" spans="1:17" s="791" customFormat="1" ht="70.5" customHeight="1">
      <c r="A9" s="2394" t="s">
        <v>18</v>
      </c>
      <c r="B9" s="2395" t="s">
        <v>0</v>
      </c>
      <c r="C9" s="2396" t="s">
        <v>614</v>
      </c>
      <c r="D9" s="2390" t="s">
        <v>257</v>
      </c>
      <c r="E9" s="2391"/>
      <c r="F9" s="2407" t="s">
        <v>442</v>
      </c>
      <c r="G9" s="2390" t="s">
        <v>257</v>
      </c>
      <c r="H9" s="2391"/>
      <c r="I9" s="2396" t="s">
        <v>237</v>
      </c>
      <c r="J9" s="2390" t="s">
        <v>257</v>
      </c>
      <c r="K9" s="2391"/>
      <c r="L9" s="2396" t="s">
        <v>574</v>
      </c>
      <c r="M9" s="2390" t="s">
        <v>448</v>
      </c>
      <c r="N9" s="2391"/>
    </row>
    <row r="10" spans="1:17" s="791" customFormat="1" ht="150" customHeight="1">
      <c r="A10" s="2394"/>
      <c r="B10" s="2395"/>
      <c r="C10" s="2396"/>
      <c r="D10" s="905" t="s">
        <v>259</v>
      </c>
      <c r="E10" s="905" t="s">
        <v>258</v>
      </c>
      <c r="F10" s="2408"/>
      <c r="G10" s="905" t="s">
        <v>259</v>
      </c>
      <c r="H10" s="905" t="s">
        <v>258</v>
      </c>
      <c r="I10" s="2396"/>
      <c r="J10" s="905" t="s">
        <v>259</v>
      </c>
      <c r="K10" s="905" t="s">
        <v>258</v>
      </c>
      <c r="L10" s="2396"/>
      <c r="M10" s="905" t="s">
        <v>259</v>
      </c>
      <c r="N10" s="905" t="s">
        <v>258</v>
      </c>
    </row>
    <row r="11" spans="1:17" s="720" customFormat="1" ht="26.25">
      <c r="A11" s="895">
        <v>1</v>
      </c>
      <c r="B11" s="895">
        <v>2</v>
      </c>
      <c r="C11" s="263">
        <v>3</v>
      </c>
      <c r="D11" s="263">
        <v>4</v>
      </c>
      <c r="E11" s="263">
        <v>5</v>
      </c>
      <c r="F11" s="721">
        <v>6</v>
      </c>
      <c r="G11" s="721">
        <v>7</v>
      </c>
      <c r="H11" s="721">
        <v>8</v>
      </c>
      <c r="I11" s="721">
        <v>9</v>
      </c>
      <c r="J11" s="721">
        <v>10</v>
      </c>
      <c r="K11" s="721">
        <v>11</v>
      </c>
      <c r="L11" s="721">
        <v>12</v>
      </c>
      <c r="M11" s="721">
        <v>13</v>
      </c>
      <c r="N11" s="721">
        <v>14</v>
      </c>
    </row>
    <row r="12" spans="1:17" s="914" customFormat="1" ht="48.75" customHeight="1">
      <c r="A12" s="915"/>
      <c r="B12" s="916" t="s">
        <v>10</v>
      </c>
      <c r="C12" s="917">
        <f>SUM(D12:E12)</f>
        <v>4727440.3</v>
      </c>
      <c r="D12" s="917">
        <f>SUM(D13,D155)</f>
        <v>3732997.1</v>
      </c>
      <c r="E12" s="917">
        <f>SUM(E13,E155)</f>
        <v>994443.2</v>
      </c>
      <c r="F12" s="917">
        <f>G12+H12</f>
        <v>4393045.4000000004</v>
      </c>
      <c r="G12" s="917">
        <f>SUM(G13,G155)</f>
        <v>3469143</v>
      </c>
      <c r="H12" s="917">
        <f>SUM(H13,H155)</f>
        <v>923902.4</v>
      </c>
      <c r="I12" s="917">
        <f>SUM(J12:K12)</f>
        <v>0</v>
      </c>
      <c r="J12" s="917">
        <f>SUM(J13,J155)</f>
        <v>0</v>
      </c>
      <c r="K12" s="917">
        <f>SUM(K13,K155)</f>
        <v>0</v>
      </c>
      <c r="L12" s="918">
        <f t="shared" ref="L12:N13" si="0">IF(I12=0,0,I12/F12*100)</f>
        <v>0</v>
      </c>
      <c r="M12" s="918">
        <f t="shared" si="0"/>
        <v>0</v>
      </c>
      <c r="N12" s="918">
        <f t="shared" si="0"/>
        <v>0</v>
      </c>
      <c r="O12" s="919"/>
      <c r="Q12" s="913"/>
    </row>
    <row r="13" spans="1:17" s="914" customFormat="1" ht="81" customHeight="1">
      <c r="A13" s="2401" t="s">
        <v>453</v>
      </c>
      <c r="B13" s="2401"/>
      <c r="C13" s="917">
        <f>D13+E13</f>
        <v>3509917.9</v>
      </c>
      <c r="D13" s="917">
        <f>SUM(D15,D77)</f>
        <v>2823497.1</v>
      </c>
      <c r="E13" s="917">
        <f>SUM(E15,E77)</f>
        <v>686420.8</v>
      </c>
      <c r="F13" s="917">
        <f>G13+H13</f>
        <v>3178283</v>
      </c>
      <c r="G13" s="917">
        <f>SUM(G15,G77)</f>
        <v>2559643</v>
      </c>
      <c r="H13" s="917">
        <f>SUM(H15,H77)</f>
        <v>618640</v>
      </c>
      <c r="I13" s="917">
        <f>SUM(J13:K13)</f>
        <v>0</v>
      </c>
      <c r="J13" s="917">
        <f>SUM(J14,J78)</f>
        <v>0</v>
      </c>
      <c r="K13" s="917">
        <f>SUM(K14,K78)</f>
        <v>0</v>
      </c>
      <c r="L13" s="918">
        <f t="shared" si="0"/>
        <v>0</v>
      </c>
      <c r="M13" s="920">
        <f t="shared" si="0"/>
        <v>0</v>
      </c>
      <c r="N13" s="920">
        <f t="shared" si="0"/>
        <v>0</v>
      </c>
      <c r="O13" s="912">
        <f t="shared" ref="O13:P16" si="1">D13-G13</f>
        <v>263854.09999999998</v>
      </c>
      <c r="P13" s="912">
        <f t="shared" si="1"/>
        <v>67780.800000000003</v>
      </c>
      <c r="Q13" s="913"/>
    </row>
    <row r="14" spans="1:17" s="914" customFormat="1" ht="72.75" hidden="1" customHeight="1">
      <c r="A14" s="944" t="s">
        <v>6</v>
      </c>
      <c r="B14" s="921" t="s">
        <v>437</v>
      </c>
      <c r="C14" s="922"/>
      <c r="D14" s="922"/>
      <c r="E14" s="922"/>
      <c r="F14" s="922"/>
      <c r="G14" s="922"/>
      <c r="H14" s="922"/>
      <c r="I14" s="922"/>
      <c r="J14" s="922"/>
      <c r="K14" s="922"/>
      <c r="L14" s="923"/>
      <c r="M14" s="924"/>
      <c r="N14" s="924"/>
      <c r="O14" s="912">
        <f t="shared" si="1"/>
        <v>0</v>
      </c>
      <c r="P14" s="912">
        <f t="shared" si="1"/>
        <v>0</v>
      </c>
      <c r="Q14" s="913"/>
    </row>
    <row r="15" spans="1:17" s="914" customFormat="1" ht="121.5" customHeight="1">
      <c r="A15" s="944" t="s">
        <v>6</v>
      </c>
      <c r="B15" s="925" t="s">
        <v>439</v>
      </c>
      <c r="C15" s="926">
        <f t="shared" ref="C15:C58" si="2">SUM(D15:E15)</f>
        <v>442074.9</v>
      </c>
      <c r="D15" s="926">
        <f>SUM(D16)</f>
        <v>263854.09999999998</v>
      </c>
      <c r="E15" s="926">
        <f>SUM(E16)</f>
        <v>178220.79999999999</v>
      </c>
      <c r="F15" s="926">
        <f t="shared" ref="F15:F58" si="3">SUM(G15:H15)</f>
        <v>140440</v>
      </c>
      <c r="G15" s="926">
        <f>SUM(G16)</f>
        <v>0</v>
      </c>
      <c r="H15" s="926">
        <f>SUM(H16)</f>
        <v>140440</v>
      </c>
      <c r="I15" s="926">
        <f>SUM(J15:K15)</f>
        <v>0</v>
      </c>
      <c r="J15" s="926">
        <f>SUM(J16)</f>
        <v>0</v>
      </c>
      <c r="K15" s="926">
        <f>SUM(K16)</f>
        <v>0</v>
      </c>
      <c r="L15" s="927">
        <f t="shared" ref="L15:N18" si="4">IF(I15=0,0,I15/F15*100)</f>
        <v>0</v>
      </c>
      <c r="M15" s="928">
        <f t="shared" si="4"/>
        <v>0</v>
      </c>
      <c r="N15" s="928">
        <f t="shared" si="4"/>
        <v>0</v>
      </c>
      <c r="O15" s="912">
        <f t="shared" si="1"/>
        <v>263854.09999999998</v>
      </c>
      <c r="P15" s="912">
        <f t="shared" si="1"/>
        <v>37780.800000000003</v>
      </c>
      <c r="Q15" s="913"/>
    </row>
    <row r="16" spans="1:17" s="914" customFormat="1" ht="51" customHeight="1">
      <c r="A16" s="944" t="s">
        <v>253</v>
      </c>
      <c r="B16" s="962" t="s">
        <v>41</v>
      </c>
      <c r="C16" s="929">
        <f t="shared" si="2"/>
        <v>442074.9</v>
      </c>
      <c r="D16" s="929">
        <f>SUM(D17:D18,D19,D21,D25,D27,D30,D32,D36,D39,D41,D43,D45,D47,D49,D51,D59,D53)</f>
        <v>263854.09999999998</v>
      </c>
      <c r="E16" s="929">
        <f>SUM(E17:E18,E19,E21,E25,E27,E30,E32,E36,E39,E41,E43,E45,E47,E49,E51,E59,E53)</f>
        <v>178220.79999999999</v>
      </c>
      <c r="F16" s="929">
        <f t="shared" si="3"/>
        <v>140440</v>
      </c>
      <c r="G16" s="929">
        <f>SUM(G17:G18,G19,G21,G25,G27,G30,G32,G36,G39,G41,G43,G45,G47,G49,G51,G59,G53)</f>
        <v>0</v>
      </c>
      <c r="H16" s="929">
        <f>SUM(H17:H18,H19,H21,H25,H27,H30,H32,H36,H39,H41,H43,H45,H47,H49,H51,H59,H53)</f>
        <v>140440</v>
      </c>
      <c r="I16" s="929">
        <f>SUM(J16:K16)</f>
        <v>0</v>
      </c>
      <c r="J16" s="929">
        <f>SUM(J17:J18,J19,J21,J25,J27,J30,J32,J36,J39,J41,J43,J45,J47,J49,J51,J59,J53)</f>
        <v>0</v>
      </c>
      <c r="K16" s="929">
        <f>SUM(K17:K18,K19,K21,K25,K27,K30,K32,K36,K39,K41,K43,K45,K47,K49,K51,K59,K53)</f>
        <v>0</v>
      </c>
      <c r="L16" s="930">
        <f t="shared" si="4"/>
        <v>0</v>
      </c>
      <c r="M16" s="931">
        <f t="shared" si="4"/>
        <v>0</v>
      </c>
      <c r="N16" s="931">
        <f t="shared" si="4"/>
        <v>0</v>
      </c>
      <c r="O16" s="912">
        <f t="shared" si="1"/>
        <v>263854.09999999998</v>
      </c>
      <c r="P16" s="912">
        <f t="shared" si="1"/>
        <v>37780.800000000003</v>
      </c>
      <c r="Q16" s="913"/>
    </row>
    <row r="17" spans="1:17" s="736" customFormat="1" ht="105" hidden="1">
      <c r="A17" s="897" t="s">
        <v>538</v>
      </c>
      <c r="B17" s="971" t="s">
        <v>434</v>
      </c>
      <c r="C17" s="871">
        <f t="shared" si="2"/>
        <v>0</v>
      </c>
      <c r="D17" s="972"/>
      <c r="E17" s="972"/>
      <c r="F17" s="871">
        <f t="shared" si="3"/>
        <v>0</v>
      </c>
      <c r="G17" s="972"/>
      <c r="H17" s="972"/>
      <c r="I17" s="871">
        <f>SUM(J17:K17)</f>
        <v>0</v>
      </c>
      <c r="J17" s="972"/>
      <c r="K17" s="972"/>
      <c r="L17" s="872">
        <f t="shared" si="4"/>
        <v>0</v>
      </c>
      <c r="M17" s="873">
        <f t="shared" si="4"/>
        <v>0</v>
      </c>
      <c r="N17" s="873">
        <f t="shared" si="4"/>
        <v>0</v>
      </c>
      <c r="O17" s="735">
        <f>D17-G17</f>
        <v>0</v>
      </c>
      <c r="P17" s="735">
        <f>E17-H17</f>
        <v>0</v>
      </c>
    </row>
    <row r="18" spans="1:17" s="736" customFormat="1" ht="52.5">
      <c r="A18" s="897" t="s">
        <v>538</v>
      </c>
      <c r="B18" s="971" t="s">
        <v>672</v>
      </c>
      <c r="C18" s="871">
        <f t="shared" si="2"/>
        <v>43468.4</v>
      </c>
      <c r="D18" s="972">
        <v>43033.7</v>
      </c>
      <c r="E18" s="972">
        <v>434.7</v>
      </c>
      <c r="F18" s="871">
        <f t="shared" si="3"/>
        <v>0</v>
      </c>
      <c r="G18" s="972"/>
      <c r="H18" s="972"/>
      <c r="I18" s="871">
        <f>SUM(J18:K18)</f>
        <v>0</v>
      </c>
      <c r="J18" s="972"/>
      <c r="K18" s="972"/>
      <c r="L18" s="872">
        <f t="shared" si="4"/>
        <v>0</v>
      </c>
      <c r="M18" s="873">
        <f t="shared" si="4"/>
        <v>0</v>
      </c>
      <c r="N18" s="873">
        <f t="shared" si="4"/>
        <v>0</v>
      </c>
      <c r="O18" s="735">
        <f>D18-G18</f>
        <v>43033.7</v>
      </c>
      <c r="P18" s="735">
        <f>E18-H18</f>
        <v>434.7</v>
      </c>
    </row>
    <row r="19" spans="1:17" ht="26.25">
      <c r="A19" s="897"/>
      <c r="B19" s="898" t="s">
        <v>283</v>
      </c>
      <c r="C19" s="874">
        <f t="shared" si="2"/>
        <v>8886.4</v>
      </c>
      <c r="D19" s="875">
        <f>D20</f>
        <v>0</v>
      </c>
      <c r="E19" s="875">
        <f>E20</f>
        <v>8886.4</v>
      </c>
      <c r="F19" s="874">
        <f t="shared" si="3"/>
        <v>0</v>
      </c>
      <c r="G19" s="875">
        <f>G20</f>
        <v>0</v>
      </c>
      <c r="H19" s="875">
        <f>H20</f>
        <v>0</v>
      </c>
      <c r="I19" s="874">
        <f t="shared" ref="I19:I40" si="5">SUM(J19:K19)</f>
        <v>0</v>
      </c>
      <c r="J19" s="875">
        <f>J20</f>
        <v>0</v>
      </c>
      <c r="K19" s="875">
        <f>K20</f>
        <v>0</v>
      </c>
      <c r="L19" s="876">
        <f t="shared" ref="L19:N31" si="6">IF(I19=0,0,I19/F19*100)</f>
        <v>0</v>
      </c>
      <c r="M19" s="877">
        <f t="shared" si="6"/>
        <v>0</v>
      </c>
      <c r="N19" s="877">
        <f t="shared" si="6"/>
        <v>0</v>
      </c>
      <c r="O19" s="725"/>
      <c r="P19" s="725"/>
      <c r="Q19" s="736"/>
    </row>
    <row r="20" spans="1:17" ht="78.75">
      <c r="A20" s="897" t="s">
        <v>539</v>
      </c>
      <c r="B20" s="963" t="s">
        <v>770</v>
      </c>
      <c r="C20" s="874">
        <f t="shared" si="2"/>
        <v>8886.4</v>
      </c>
      <c r="D20" s="878">
        <v>0</v>
      </c>
      <c r="E20" s="878">
        <v>8886.4</v>
      </c>
      <c r="F20" s="874">
        <f t="shared" si="3"/>
        <v>0</v>
      </c>
      <c r="G20" s="878">
        <v>0</v>
      </c>
      <c r="H20" s="878">
        <v>0</v>
      </c>
      <c r="I20" s="964">
        <f t="shared" si="5"/>
        <v>0</v>
      </c>
      <c r="J20" s="964">
        <v>0</v>
      </c>
      <c r="K20" s="964">
        <v>0</v>
      </c>
      <c r="L20" s="877">
        <f t="shared" si="6"/>
        <v>0</v>
      </c>
      <c r="M20" s="877">
        <f t="shared" si="6"/>
        <v>0</v>
      </c>
      <c r="N20" s="877">
        <f t="shared" si="6"/>
        <v>0</v>
      </c>
      <c r="O20" s="725"/>
      <c r="P20" s="725"/>
      <c r="Q20" s="736"/>
    </row>
    <row r="21" spans="1:17" ht="34.5" customHeight="1">
      <c r="A21" s="897"/>
      <c r="B21" s="898" t="s">
        <v>724</v>
      </c>
      <c r="C21" s="874">
        <f t="shared" si="2"/>
        <v>8700</v>
      </c>
      <c r="D21" s="875">
        <f>SUM(D22:D24)</f>
        <v>0</v>
      </c>
      <c r="E21" s="875">
        <f>SUM(E22:E24)</f>
        <v>8700</v>
      </c>
      <c r="F21" s="874">
        <f t="shared" si="3"/>
        <v>8700</v>
      </c>
      <c r="G21" s="875">
        <f>SUM(G22:G24)</f>
        <v>0</v>
      </c>
      <c r="H21" s="875">
        <f>SUM(H22:H24)</f>
        <v>8700</v>
      </c>
      <c r="I21" s="874">
        <f t="shared" si="5"/>
        <v>0</v>
      </c>
      <c r="J21" s="875">
        <f>J22</f>
        <v>0</v>
      </c>
      <c r="K21" s="875">
        <f>K22</f>
        <v>0</v>
      </c>
      <c r="L21" s="876">
        <f t="shared" si="6"/>
        <v>0</v>
      </c>
      <c r="M21" s="877">
        <f t="shared" si="6"/>
        <v>0</v>
      </c>
      <c r="N21" s="877">
        <f t="shared" si="6"/>
        <v>0</v>
      </c>
      <c r="O21" s="725"/>
      <c r="P21" s="725"/>
      <c r="Q21" s="736"/>
    </row>
    <row r="22" spans="1:17" ht="131.25">
      <c r="A22" s="897" t="s">
        <v>19</v>
      </c>
      <c r="B22" s="963" t="s">
        <v>725</v>
      </c>
      <c r="C22" s="964">
        <f t="shared" si="2"/>
        <v>3600</v>
      </c>
      <c r="D22" s="878">
        <v>0</v>
      </c>
      <c r="E22" s="878">
        <v>3600</v>
      </c>
      <c r="F22" s="964">
        <f t="shared" si="3"/>
        <v>3600</v>
      </c>
      <c r="G22" s="878">
        <v>0</v>
      </c>
      <c r="H22" s="878">
        <v>3600</v>
      </c>
      <c r="I22" s="964"/>
      <c r="J22" s="964">
        <v>0</v>
      </c>
      <c r="K22" s="964">
        <v>0</v>
      </c>
      <c r="L22" s="877">
        <f t="shared" si="6"/>
        <v>0</v>
      </c>
      <c r="M22" s="877">
        <f t="shared" si="6"/>
        <v>0</v>
      </c>
      <c r="N22" s="877">
        <f t="shared" si="6"/>
        <v>0</v>
      </c>
      <c r="O22" s="725"/>
      <c r="P22" s="725"/>
      <c r="Q22" s="736"/>
    </row>
    <row r="23" spans="1:17" ht="131.25">
      <c r="A23" s="897" t="s">
        <v>20</v>
      </c>
      <c r="B23" s="963" t="s">
        <v>726</v>
      </c>
      <c r="C23" s="964">
        <f t="shared" si="2"/>
        <v>3600</v>
      </c>
      <c r="D23" s="878">
        <v>0</v>
      </c>
      <c r="E23" s="878">
        <v>3600</v>
      </c>
      <c r="F23" s="964">
        <f t="shared" si="3"/>
        <v>3600</v>
      </c>
      <c r="G23" s="878">
        <v>0</v>
      </c>
      <c r="H23" s="878">
        <v>3600</v>
      </c>
      <c r="I23" s="964"/>
      <c r="J23" s="964">
        <v>0</v>
      </c>
      <c r="K23" s="964">
        <v>0</v>
      </c>
      <c r="L23" s="877">
        <f t="shared" si="6"/>
        <v>0</v>
      </c>
      <c r="M23" s="877">
        <f t="shared" si="6"/>
        <v>0</v>
      </c>
      <c r="N23" s="877">
        <f t="shared" si="6"/>
        <v>0</v>
      </c>
      <c r="O23" s="725"/>
      <c r="P23" s="725"/>
      <c r="Q23" s="736"/>
    </row>
    <row r="24" spans="1:17" ht="131.25">
      <c r="A24" s="897" t="s">
        <v>467</v>
      </c>
      <c r="B24" s="963" t="s">
        <v>727</v>
      </c>
      <c r="C24" s="964">
        <f t="shared" si="2"/>
        <v>1500</v>
      </c>
      <c r="D24" s="878">
        <v>0</v>
      </c>
      <c r="E24" s="878">
        <v>1500</v>
      </c>
      <c r="F24" s="964">
        <f t="shared" si="3"/>
        <v>1500</v>
      </c>
      <c r="G24" s="878">
        <v>0</v>
      </c>
      <c r="H24" s="878">
        <v>1500</v>
      </c>
      <c r="I24" s="964"/>
      <c r="J24" s="964">
        <v>0</v>
      </c>
      <c r="K24" s="964">
        <v>0</v>
      </c>
      <c r="L24" s="877">
        <f t="shared" si="6"/>
        <v>0</v>
      </c>
      <c r="M24" s="877">
        <f t="shared" si="6"/>
        <v>0</v>
      </c>
      <c r="N24" s="877">
        <f t="shared" si="6"/>
        <v>0</v>
      </c>
      <c r="O24" s="725"/>
      <c r="P24" s="725"/>
      <c r="Q24" s="736"/>
    </row>
    <row r="25" spans="1:17" s="700" customFormat="1" ht="25.5">
      <c r="A25" s="991"/>
      <c r="B25" s="965" t="s">
        <v>12</v>
      </c>
      <c r="C25" s="874">
        <f t="shared" si="2"/>
        <v>7000</v>
      </c>
      <c r="D25" s="880">
        <f>D26</f>
        <v>0</v>
      </c>
      <c r="E25" s="880">
        <f>E26</f>
        <v>7000</v>
      </c>
      <c r="F25" s="874">
        <f t="shared" si="3"/>
        <v>7000</v>
      </c>
      <c r="G25" s="880">
        <f>G26</f>
        <v>0</v>
      </c>
      <c r="H25" s="880">
        <f>H26</f>
        <v>7000</v>
      </c>
      <c r="I25" s="874">
        <f>SUM(J25:K25)</f>
        <v>0</v>
      </c>
      <c r="J25" s="880">
        <f>J26</f>
        <v>0</v>
      </c>
      <c r="K25" s="880">
        <f>K26</f>
        <v>0</v>
      </c>
      <c r="L25" s="876">
        <f t="shared" ref="L25:N29" si="7">IF(I25=0,0,I25/F25*100)</f>
        <v>0</v>
      </c>
      <c r="M25" s="876">
        <f t="shared" si="7"/>
        <v>0</v>
      </c>
      <c r="N25" s="876">
        <f t="shared" si="7"/>
        <v>0</v>
      </c>
      <c r="O25" s="992"/>
      <c r="P25" s="992"/>
      <c r="Q25" s="993"/>
    </row>
    <row r="26" spans="1:17" ht="63.75" customHeight="1">
      <c r="A26" s="897" t="s">
        <v>468</v>
      </c>
      <c r="B26" s="966" t="s">
        <v>728</v>
      </c>
      <c r="C26" s="874">
        <f t="shared" si="2"/>
        <v>7000</v>
      </c>
      <c r="D26" s="879">
        <v>0</v>
      </c>
      <c r="E26" s="879">
        <v>7000</v>
      </c>
      <c r="F26" s="874">
        <f t="shared" si="3"/>
        <v>7000</v>
      </c>
      <c r="G26" s="879">
        <v>0</v>
      </c>
      <c r="H26" s="879">
        <v>7000</v>
      </c>
      <c r="I26" s="874">
        <f>SUM(J26:K26)</f>
        <v>0</v>
      </c>
      <c r="J26" s="879">
        <v>0</v>
      </c>
      <c r="K26" s="879">
        <v>0</v>
      </c>
      <c r="L26" s="876">
        <f t="shared" si="7"/>
        <v>0</v>
      </c>
      <c r="M26" s="877">
        <f t="shared" si="7"/>
        <v>0</v>
      </c>
      <c r="N26" s="877">
        <f t="shared" si="7"/>
        <v>0</v>
      </c>
      <c r="O26" s="725"/>
      <c r="P26" s="725"/>
      <c r="Q26" s="736"/>
    </row>
    <row r="27" spans="1:17" s="700" customFormat="1" ht="25.5">
      <c r="A27" s="991"/>
      <c r="B27" s="965" t="s">
        <v>729</v>
      </c>
      <c r="C27" s="874">
        <f t="shared" si="2"/>
        <v>8500</v>
      </c>
      <c r="D27" s="880">
        <f>SUM(D28:D29)</f>
        <v>0</v>
      </c>
      <c r="E27" s="880">
        <f>SUM(E28:E29)</f>
        <v>8500</v>
      </c>
      <c r="F27" s="874">
        <f t="shared" si="3"/>
        <v>8500</v>
      </c>
      <c r="G27" s="880">
        <f>SUM(G28:G29)</f>
        <v>0</v>
      </c>
      <c r="H27" s="880">
        <f>SUM(H28:H29)</f>
        <v>8500</v>
      </c>
      <c r="I27" s="874">
        <f>SUM(J27:K27)</f>
        <v>0</v>
      </c>
      <c r="J27" s="880">
        <f>SUM(J28:J29)</f>
        <v>0</v>
      </c>
      <c r="K27" s="880">
        <f>SUM(K28:K29)</f>
        <v>0</v>
      </c>
      <c r="L27" s="876">
        <f t="shared" si="7"/>
        <v>0</v>
      </c>
      <c r="M27" s="876">
        <f t="shared" si="7"/>
        <v>0</v>
      </c>
      <c r="N27" s="876">
        <f t="shared" si="7"/>
        <v>0</v>
      </c>
      <c r="O27" s="992"/>
      <c r="P27" s="992"/>
      <c r="Q27" s="993"/>
    </row>
    <row r="28" spans="1:17" ht="63.75" customHeight="1">
      <c r="A28" s="897" t="s">
        <v>685</v>
      </c>
      <c r="B28" s="966" t="s">
        <v>730</v>
      </c>
      <c r="C28" s="874">
        <f t="shared" si="2"/>
        <v>7000</v>
      </c>
      <c r="D28" s="879">
        <v>0</v>
      </c>
      <c r="E28" s="879">
        <v>7000</v>
      </c>
      <c r="F28" s="874">
        <f t="shared" si="3"/>
        <v>7000</v>
      </c>
      <c r="G28" s="879">
        <v>0</v>
      </c>
      <c r="H28" s="879">
        <v>7000</v>
      </c>
      <c r="I28" s="874">
        <f>SUM(J28:K28)</f>
        <v>0</v>
      </c>
      <c r="J28" s="879">
        <v>0</v>
      </c>
      <c r="K28" s="879">
        <v>0</v>
      </c>
      <c r="L28" s="876">
        <f t="shared" si="7"/>
        <v>0</v>
      </c>
      <c r="M28" s="877">
        <f t="shared" si="7"/>
        <v>0</v>
      </c>
      <c r="N28" s="877">
        <f t="shared" si="7"/>
        <v>0</v>
      </c>
      <c r="O28" s="725"/>
      <c r="P28" s="725"/>
      <c r="Q28" s="736"/>
    </row>
    <row r="29" spans="1:17" ht="63.75" customHeight="1">
      <c r="A29" s="897" t="s">
        <v>687</v>
      </c>
      <c r="B29" s="966" t="s">
        <v>731</v>
      </c>
      <c r="C29" s="874">
        <f t="shared" si="2"/>
        <v>1500</v>
      </c>
      <c r="D29" s="879">
        <v>0</v>
      </c>
      <c r="E29" s="879">
        <v>1500</v>
      </c>
      <c r="F29" s="874">
        <f t="shared" si="3"/>
        <v>1500</v>
      </c>
      <c r="G29" s="879">
        <v>0</v>
      </c>
      <c r="H29" s="879">
        <v>1500</v>
      </c>
      <c r="I29" s="874">
        <f>SUM(J29:K29)</f>
        <v>0</v>
      </c>
      <c r="J29" s="879">
        <v>0</v>
      </c>
      <c r="K29" s="879">
        <v>0</v>
      </c>
      <c r="L29" s="876">
        <f t="shared" si="7"/>
        <v>0</v>
      </c>
      <c r="M29" s="877">
        <f t="shared" si="7"/>
        <v>0</v>
      </c>
      <c r="N29" s="877">
        <f t="shared" si="7"/>
        <v>0</v>
      </c>
      <c r="O29" s="725"/>
      <c r="P29" s="725"/>
      <c r="Q29" s="736"/>
    </row>
    <row r="30" spans="1:17" s="700" customFormat="1" ht="25.5">
      <c r="A30" s="991"/>
      <c r="B30" s="965" t="s">
        <v>615</v>
      </c>
      <c r="C30" s="874">
        <f t="shared" si="2"/>
        <v>10156</v>
      </c>
      <c r="D30" s="880">
        <f>D31</f>
        <v>0</v>
      </c>
      <c r="E30" s="880">
        <f>E31</f>
        <v>10156</v>
      </c>
      <c r="F30" s="874">
        <f t="shared" si="3"/>
        <v>0</v>
      </c>
      <c r="G30" s="880">
        <f>G31</f>
        <v>0</v>
      </c>
      <c r="H30" s="880">
        <f>H31</f>
        <v>0</v>
      </c>
      <c r="I30" s="874">
        <f t="shared" si="5"/>
        <v>0</v>
      </c>
      <c r="J30" s="880">
        <f>J31</f>
        <v>0</v>
      </c>
      <c r="K30" s="880">
        <f>K31</f>
        <v>0</v>
      </c>
      <c r="L30" s="876">
        <f t="shared" si="6"/>
        <v>0</v>
      </c>
      <c r="M30" s="876">
        <f t="shared" si="6"/>
        <v>0</v>
      </c>
      <c r="N30" s="876">
        <f t="shared" si="6"/>
        <v>0</v>
      </c>
      <c r="O30" s="992"/>
      <c r="P30" s="992"/>
      <c r="Q30" s="993"/>
    </row>
    <row r="31" spans="1:17" ht="63.75" customHeight="1">
      <c r="A31" s="897" t="s">
        <v>686</v>
      </c>
      <c r="B31" s="966" t="s">
        <v>673</v>
      </c>
      <c r="C31" s="874">
        <f t="shared" si="2"/>
        <v>10156</v>
      </c>
      <c r="D31" s="879">
        <v>0</v>
      </c>
      <c r="E31" s="879">
        <v>10156</v>
      </c>
      <c r="F31" s="874">
        <f t="shared" si="3"/>
        <v>0</v>
      </c>
      <c r="G31" s="879">
        <v>0</v>
      </c>
      <c r="H31" s="879">
        <v>0</v>
      </c>
      <c r="I31" s="874">
        <f t="shared" si="5"/>
        <v>0</v>
      </c>
      <c r="J31" s="879">
        <v>0</v>
      </c>
      <c r="K31" s="879">
        <v>0</v>
      </c>
      <c r="L31" s="876">
        <f t="shared" si="6"/>
        <v>0</v>
      </c>
      <c r="M31" s="877">
        <f t="shared" si="6"/>
        <v>0</v>
      </c>
      <c r="N31" s="877">
        <f t="shared" si="6"/>
        <v>0</v>
      </c>
      <c r="O31" s="725"/>
      <c r="P31" s="725"/>
      <c r="Q31" s="736"/>
    </row>
    <row r="32" spans="1:17" ht="34.5" customHeight="1">
      <c r="A32" s="897"/>
      <c r="B32" s="898" t="s">
        <v>68</v>
      </c>
      <c r="C32" s="874">
        <f t="shared" si="2"/>
        <v>17240</v>
      </c>
      <c r="D32" s="875">
        <f>SUM(D33:D35)</f>
        <v>0</v>
      </c>
      <c r="E32" s="875">
        <f>SUM(E33:E35)</f>
        <v>17240</v>
      </c>
      <c r="F32" s="874">
        <f t="shared" si="3"/>
        <v>17240</v>
      </c>
      <c r="G32" s="875">
        <f>SUM(G33:G35)</f>
        <v>0</v>
      </c>
      <c r="H32" s="875">
        <f>SUM(H33:H35)</f>
        <v>17240</v>
      </c>
      <c r="I32" s="874">
        <f t="shared" si="5"/>
        <v>0</v>
      </c>
      <c r="J32" s="875">
        <f>SUM(J33:J35)</f>
        <v>0</v>
      </c>
      <c r="K32" s="875">
        <f>SUM(K33:K35)</f>
        <v>0</v>
      </c>
      <c r="L32" s="876">
        <f t="shared" ref="L32:N35" si="8">IF(I32=0,0,I32/F32*100)</f>
        <v>0</v>
      </c>
      <c r="M32" s="877">
        <f t="shared" si="8"/>
        <v>0</v>
      </c>
      <c r="N32" s="877">
        <f t="shared" si="8"/>
        <v>0</v>
      </c>
      <c r="O32" s="725"/>
      <c r="P32" s="725"/>
      <c r="Q32" s="736"/>
    </row>
    <row r="33" spans="1:17" ht="82.5" customHeight="1">
      <c r="A33" s="897" t="s">
        <v>688</v>
      </c>
      <c r="B33" s="963" t="s">
        <v>674</v>
      </c>
      <c r="C33" s="964">
        <f t="shared" si="2"/>
        <v>1240</v>
      </c>
      <c r="D33" s="878">
        <v>0</v>
      </c>
      <c r="E33" s="878">
        <v>1240</v>
      </c>
      <c r="F33" s="964">
        <f t="shared" si="3"/>
        <v>1240</v>
      </c>
      <c r="G33" s="878">
        <v>0</v>
      </c>
      <c r="H33" s="878">
        <v>1240</v>
      </c>
      <c r="I33" s="964">
        <f t="shared" si="5"/>
        <v>0</v>
      </c>
      <c r="J33" s="964">
        <v>0</v>
      </c>
      <c r="K33" s="964">
        <v>0</v>
      </c>
      <c r="L33" s="877">
        <f t="shared" si="8"/>
        <v>0</v>
      </c>
      <c r="M33" s="877">
        <f t="shared" si="8"/>
        <v>0</v>
      </c>
      <c r="N33" s="877">
        <f t="shared" si="8"/>
        <v>0</v>
      </c>
      <c r="O33" s="725"/>
      <c r="P33" s="725"/>
      <c r="Q33" s="736"/>
    </row>
    <row r="34" spans="1:17" ht="157.5">
      <c r="A34" s="897" t="s">
        <v>98</v>
      </c>
      <c r="B34" s="963" t="s">
        <v>721</v>
      </c>
      <c r="C34" s="964">
        <f t="shared" si="2"/>
        <v>6000</v>
      </c>
      <c r="D34" s="878">
        <v>0</v>
      </c>
      <c r="E34" s="878">
        <v>6000</v>
      </c>
      <c r="F34" s="964">
        <f t="shared" si="3"/>
        <v>6000</v>
      </c>
      <c r="G34" s="878">
        <v>0</v>
      </c>
      <c r="H34" s="878">
        <v>6000</v>
      </c>
      <c r="I34" s="964">
        <f t="shared" si="5"/>
        <v>0</v>
      </c>
      <c r="J34" s="964">
        <v>0</v>
      </c>
      <c r="K34" s="964">
        <v>0</v>
      </c>
      <c r="L34" s="877">
        <f t="shared" si="8"/>
        <v>0</v>
      </c>
      <c r="M34" s="877">
        <f t="shared" si="8"/>
        <v>0</v>
      </c>
      <c r="N34" s="877">
        <f t="shared" si="8"/>
        <v>0</v>
      </c>
      <c r="O34" s="725"/>
      <c r="P34" s="725"/>
      <c r="Q34" s="736"/>
    </row>
    <row r="35" spans="1:17" ht="183.75">
      <c r="A35" s="897" t="s">
        <v>99</v>
      </c>
      <c r="B35" s="963" t="s">
        <v>722</v>
      </c>
      <c r="C35" s="964">
        <f t="shared" si="2"/>
        <v>10000</v>
      </c>
      <c r="D35" s="878">
        <v>0</v>
      </c>
      <c r="E35" s="878">
        <v>10000</v>
      </c>
      <c r="F35" s="964">
        <f t="shared" si="3"/>
        <v>10000</v>
      </c>
      <c r="G35" s="878">
        <v>0</v>
      </c>
      <c r="H35" s="878">
        <v>10000</v>
      </c>
      <c r="I35" s="964">
        <f>SUM(J35:K35)</f>
        <v>0</v>
      </c>
      <c r="J35" s="964">
        <v>0</v>
      </c>
      <c r="K35" s="964">
        <v>0</v>
      </c>
      <c r="L35" s="877">
        <f t="shared" si="8"/>
        <v>0</v>
      </c>
      <c r="M35" s="877">
        <f t="shared" si="8"/>
        <v>0</v>
      </c>
      <c r="N35" s="877">
        <f t="shared" si="8"/>
        <v>0</v>
      </c>
      <c r="O35" s="725"/>
      <c r="P35" s="725"/>
      <c r="Q35" s="736"/>
    </row>
    <row r="36" spans="1:17" ht="34.5" customHeight="1">
      <c r="A36" s="897"/>
      <c r="B36" s="898" t="s">
        <v>281</v>
      </c>
      <c r="C36" s="874">
        <f t="shared" si="2"/>
        <v>17000</v>
      </c>
      <c r="D36" s="875">
        <f>SUM(D37:D38)</f>
        <v>0</v>
      </c>
      <c r="E36" s="875">
        <f>SUM(E37:E38)</f>
        <v>17000</v>
      </c>
      <c r="F36" s="874">
        <f t="shared" si="3"/>
        <v>17000</v>
      </c>
      <c r="G36" s="875">
        <f>SUM(G37:G38)</f>
        <v>0</v>
      </c>
      <c r="H36" s="875">
        <f>SUM(H37:H38)</f>
        <v>17000</v>
      </c>
      <c r="I36" s="874">
        <f t="shared" si="5"/>
        <v>0</v>
      </c>
      <c r="J36" s="875">
        <f>SUM(J37:J38)</f>
        <v>0</v>
      </c>
      <c r="K36" s="875">
        <f>SUM(K37:K38)</f>
        <v>0</v>
      </c>
      <c r="L36" s="876">
        <f t="shared" ref="L36:N40" si="9">IF(I36=0,0,I36/F36*100)</f>
        <v>0</v>
      </c>
      <c r="M36" s="877">
        <f t="shared" si="9"/>
        <v>0</v>
      </c>
      <c r="N36" s="877">
        <f t="shared" si="9"/>
        <v>0</v>
      </c>
      <c r="O36" s="725"/>
      <c r="P36" s="725"/>
      <c r="Q36" s="736"/>
    </row>
    <row r="37" spans="1:17" ht="52.5">
      <c r="A37" s="897" t="s">
        <v>100</v>
      </c>
      <c r="B37" s="963" t="s">
        <v>675</v>
      </c>
      <c r="C37" s="964">
        <f t="shared" si="2"/>
        <v>13000</v>
      </c>
      <c r="D37" s="878">
        <v>0</v>
      </c>
      <c r="E37" s="878">
        <v>13000</v>
      </c>
      <c r="F37" s="964">
        <f t="shared" si="3"/>
        <v>13000</v>
      </c>
      <c r="G37" s="878">
        <v>0</v>
      </c>
      <c r="H37" s="878">
        <v>13000</v>
      </c>
      <c r="I37" s="964">
        <f>SUM(J37:K37)</f>
        <v>0</v>
      </c>
      <c r="J37" s="964">
        <v>0</v>
      </c>
      <c r="K37" s="964">
        <v>0</v>
      </c>
      <c r="L37" s="877">
        <f>IF(I37=0,0,I37/F37*100)</f>
        <v>0</v>
      </c>
      <c r="M37" s="877">
        <f>IF(J37=0,0,J37/G37*100)</f>
        <v>0</v>
      </c>
      <c r="N37" s="877">
        <f>IF(K37=0,0,K37/H37*100)</f>
        <v>0</v>
      </c>
      <c r="O37" s="725"/>
      <c r="P37" s="725"/>
      <c r="Q37" s="736"/>
    </row>
    <row r="38" spans="1:17" ht="105">
      <c r="A38" s="897" t="s">
        <v>101</v>
      </c>
      <c r="B38" s="963" t="s">
        <v>723</v>
      </c>
      <c r="C38" s="964">
        <f t="shared" si="2"/>
        <v>4000</v>
      </c>
      <c r="D38" s="878">
        <v>0</v>
      </c>
      <c r="E38" s="878">
        <v>4000</v>
      </c>
      <c r="F38" s="964">
        <f t="shared" si="3"/>
        <v>4000</v>
      </c>
      <c r="G38" s="878">
        <v>0</v>
      </c>
      <c r="H38" s="878">
        <v>4000</v>
      </c>
      <c r="I38" s="964">
        <f t="shared" si="5"/>
        <v>0</v>
      </c>
      <c r="J38" s="964">
        <v>0</v>
      </c>
      <c r="K38" s="964">
        <v>0</v>
      </c>
      <c r="L38" s="877">
        <f t="shared" si="9"/>
        <v>0</v>
      </c>
      <c r="M38" s="877">
        <f t="shared" si="9"/>
        <v>0</v>
      </c>
      <c r="N38" s="877">
        <f t="shared" si="9"/>
        <v>0</v>
      </c>
      <c r="O38" s="725"/>
      <c r="P38" s="725"/>
      <c r="Q38" s="736"/>
    </row>
    <row r="39" spans="1:17" ht="34.5" customHeight="1">
      <c r="A39" s="897"/>
      <c r="B39" s="898" t="s">
        <v>431</v>
      </c>
      <c r="C39" s="874">
        <f t="shared" si="2"/>
        <v>4400</v>
      </c>
      <c r="D39" s="875">
        <f>D40</f>
        <v>0</v>
      </c>
      <c r="E39" s="875">
        <f>E40</f>
        <v>4400</v>
      </c>
      <c r="F39" s="874">
        <f t="shared" si="3"/>
        <v>4400</v>
      </c>
      <c r="G39" s="875">
        <f>G40</f>
        <v>0</v>
      </c>
      <c r="H39" s="875">
        <f>H40</f>
        <v>4400</v>
      </c>
      <c r="I39" s="874">
        <f t="shared" si="5"/>
        <v>0</v>
      </c>
      <c r="J39" s="875">
        <f>J40</f>
        <v>0</v>
      </c>
      <c r="K39" s="875">
        <f>K40</f>
        <v>0</v>
      </c>
      <c r="L39" s="876">
        <f t="shared" si="9"/>
        <v>0</v>
      </c>
      <c r="M39" s="877">
        <f t="shared" si="9"/>
        <v>0</v>
      </c>
      <c r="N39" s="877">
        <f t="shared" si="9"/>
        <v>0</v>
      </c>
      <c r="O39" s="725"/>
      <c r="P39" s="725"/>
      <c r="Q39" s="736"/>
    </row>
    <row r="40" spans="1:17" ht="78.75">
      <c r="A40" s="897" t="s">
        <v>102</v>
      </c>
      <c r="B40" s="963" t="s">
        <v>676</v>
      </c>
      <c r="C40" s="964">
        <f t="shared" si="2"/>
        <v>4400</v>
      </c>
      <c r="D40" s="878">
        <v>0</v>
      </c>
      <c r="E40" s="878">
        <v>4400</v>
      </c>
      <c r="F40" s="964">
        <f t="shared" si="3"/>
        <v>4400</v>
      </c>
      <c r="G40" s="878">
        <v>0</v>
      </c>
      <c r="H40" s="878">
        <v>4400</v>
      </c>
      <c r="I40" s="964">
        <f t="shared" si="5"/>
        <v>0</v>
      </c>
      <c r="J40" s="964">
        <v>0</v>
      </c>
      <c r="K40" s="964">
        <v>0</v>
      </c>
      <c r="L40" s="877">
        <f t="shared" si="9"/>
        <v>0</v>
      </c>
      <c r="M40" s="877">
        <f t="shared" si="9"/>
        <v>0</v>
      </c>
      <c r="N40" s="877">
        <f t="shared" si="9"/>
        <v>0</v>
      </c>
      <c r="O40" s="725"/>
      <c r="P40" s="725"/>
      <c r="Q40" s="736"/>
    </row>
    <row r="41" spans="1:17" ht="34.5" customHeight="1">
      <c r="A41" s="897"/>
      <c r="B41" s="898" t="s">
        <v>583</v>
      </c>
      <c r="C41" s="874">
        <f t="shared" si="2"/>
        <v>2500</v>
      </c>
      <c r="D41" s="875">
        <f>D42</f>
        <v>0</v>
      </c>
      <c r="E41" s="875">
        <f>E42</f>
        <v>2500</v>
      </c>
      <c r="F41" s="874">
        <f t="shared" si="3"/>
        <v>2500</v>
      </c>
      <c r="G41" s="875">
        <f>G42</f>
        <v>0</v>
      </c>
      <c r="H41" s="875">
        <f>H42</f>
        <v>2500</v>
      </c>
      <c r="I41" s="874">
        <f>SUM(J41:K41)</f>
        <v>0</v>
      </c>
      <c r="J41" s="875">
        <f>J42</f>
        <v>0</v>
      </c>
      <c r="K41" s="875">
        <f>K42</f>
        <v>0</v>
      </c>
      <c r="L41" s="876">
        <f t="shared" ref="L41:L71" si="10">IF(I41=0,0,I41/F41*100)</f>
        <v>0</v>
      </c>
      <c r="M41" s="877">
        <f t="shared" ref="M41:M71" si="11">IF(J41=0,0,J41/G41*100)</f>
        <v>0</v>
      </c>
      <c r="N41" s="877">
        <f t="shared" ref="N41:N71" si="12">IF(K41=0,0,K41/H41*100)</f>
        <v>0</v>
      </c>
      <c r="O41" s="725"/>
      <c r="P41" s="725"/>
      <c r="Q41" s="736"/>
    </row>
    <row r="42" spans="1:17" ht="105">
      <c r="A42" s="897" t="s">
        <v>103</v>
      </c>
      <c r="B42" s="963" t="s">
        <v>708</v>
      </c>
      <c r="C42" s="964">
        <f t="shared" si="2"/>
        <v>2500</v>
      </c>
      <c r="D42" s="878">
        <v>0</v>
      </c>
      <c r="E42" s="878">
        <v>2500</v>
      </c>
      <c r="F42" s="964">
        <f t="shared" si="3"/>
        <v>2500</v>
      </c>
      <c r="G42" s="878">
        <v>0</v>
      </c>
      <c r="H42" s="878">
        <v>2500</v>
      </c>
      <c r="I42" s="964"/>
      <c r="J42" s="964">
        <v>0</v>
      </c>
      <c r="K42" s="964">
        <v>0</v>
      </c>
      <c r="L42" s="877">
        <f t="shared" si="10"/>
        <v>0</v>
      </c>
      <c r="M42" s="877">
        <f t="shared" si="11"/>
        <v>0</v>
      </c>
      <c r="N42" s="877">
        <f t="shared" si="12"/>
        <v>0</v>
      </c>
      <c r="O42" s="725"/>
      <c r="P42" s="725"/>
      <c r="Q42" s="736"/>
    </row>
    <row r="43" spans="1:17" ht="34.5" customHeight="1">
      <c r="A43" s="897"/>
      <c r="B43" s="898" t="s">
        <v>709</v>
      </c>
      <c r="C43" s="874">
        <f t="shared" si="2"/>
        <v>15000</v>
      </c>
      <c r="D43" s="875">
        <f>D44</f>
        <v>0</v>
      </c>
      <c r="E43" s="875">
        <f>E44</f>
        <v>15000</v>
      </c>
      <c r="F43" s="874">
        <f t="shared" si="3"/>
        <v>15000</v>
      </c>
      <c r="G43" s="875">
        <f>G44</f>
        <v>0</v>
      </c>
      <c r="H43" s="875">
        <f>H44</f>
        <v>15000</v>
      </c>
      <c r="I43" s="874">
        <f>SUM(J43:K43)</f>
        <v>0</v>
      </c>
      <c r="J43" s="875">
        <f>J44</f>
        <v>0</v>
      </c>
      <c r="K43" s="875">
        <f>K44</f>
        <v>0</v>
      </c>
      <c r="L43" s="876">
        <f t="shared" si="10"/>
        <v>0</v>
      </c>
      <c r="M43" s="877">
        <f t="shared" si="11"/>
        <v>0</v>
      </c>
      <c r="N43" s="877">
        <f t="shared" si="12"/>
        <v>0</v>
      </c>
      <c r="O43" s="725"/>
      <c r="P43" s="725"/>
      <c r="Q43" s="736"/>
    </row>
    <row r="44" spans="1:17" ht="52.5">
      <c r="A44" s="897" t="s">
        <v>107</v>
      </c>
      <c r="B44" s="963" t="s">
        <v>710</v>
      </c>
      <c r="C44" s="964">
        <f t="shared" si="2"/>
        <v>15000</v>
      </c>
      <c r="D44" s="878">
        <v>0</v>
      </c>
      <c r="E44" s="878">
        <v>15000</v>
      </c>
      <c r="F44" s="964">
        <f t="shared" si="3"/>
        <v>15000</v>
      </c>
      <c r="G44" s="878">
        <v>0</v>
      </c>
      <c r="H44" s="878">
        <v>15000</v>
      </c>
      <c r="I44" s="964"/>
      <c r="J44" s="964">
        <v>0</v>
      </c>
      <c r="K44" s="964">
        <v>0</v>
      </c>
      <c r="L44" s="877">
        <f t="shared" si="10"/>
        <v>0</v>
      </c>
      <c r="M44" s="877">
        <f t="shared" si="11"/>
        <v>0</v>
      </c>
      <c r="N44" s="877">
        <f t="shared" si="12"/>
        <v>0</v>
      </c>
      <c r="O44" s="725"/>
      <c r="P44" s="725"/>
      <c r="Q44" s="736"/>
    </row>
    <row r="45" spans="1:17" ht="34.5" customHeight="1">
      <c r="A45" s="897"/>
      <c r="B45" s="898" t="s">
        <v>333</v>
      </c>
      <c r="C45" s="874">
        <f t="shared" si="2"/>
        <v>10000</v>
      </c>
      <c r="D45" s="875">
        <f>D46</f>
        <v>0</v>
      </c>
      <c r="E45" s="875">
        <f>E46</f>
        <v>10000</v>
      </c>
      <c r="F45" s="874">
        <f t="shared" si="3"/>
        <v>10000</v>
      </c>
      <c r="G45" s="875">
        <f>G46</f>
        <v>0</v>
      </c>
      <c r="H45" s="875">
        <f>H46</f>
        <v>10000</v>
      </c>
      <c r="I45" s="874">
        <f>SUM(J45:K45)</f>
        <v>0</v>
      </c>
      <c r="J45" s="875">
        <f>J46</f>
        <v>0</v>
      </c>
      <c r="K45" s="875">
        <f>K46</f>
        <v>0</v>
      </c>
      <c r="L45" s="876">
        <f t="shared" si="10"/>
        <v>0</v>
      </c>
      <c r="M45" s="877">
        <f t="shared" si="11"/>
        <v>0</v>
      </c>
      <c r="N45" s="877">
        <f t="shared" si="12"/>
        <v>0</v>
      </c>
      <c r="O45" s="725"/>
      <c r="P45" s="725"/>
      <c r="Q45" s="736"/>
    </row>
    <row r="46" spans="1:17" ht="26.25">
      <c r="A46" s="897" t="s">
        <v>108</v>
      </c>
      <c r="B46" s="963" t="s">
        <v>711</v>
      </c>
      <c r="C46" s="964">
        <f t="shared" si="2"/>
        <v>10000</v>
      </c>
      <c r="D46" s="878">
        <v>0</v>
      </c>
      <c r="E46" s="878">
        <v>10000</v>
      </c>
      <c r="F46" s="964">
        <f t="shared" si="3"/>
        <v>10000</v>
      </c>
      <c r="G46" s="878">
        <v>0</v>
      </c>
      <c r="H46" s="878">
        <v>10000</v>
      </c>
      <c r="I46" s="964"/>
      <c r="J46" s="964">
        <v>0</v>
      </c>
      <c r="K46" s="964">
        <v>0</v>
      </c>
      <c r="L46" s="877">
        <f t="shared" si="10"/>
        <v>0</v>
      </c>
      <c r="M46" s="877">
        <f t="shared" si="11"/>
        <v>0</v>
      </c>
      <c r="N46" s="877">
        <f t="shared" si="12"/>
        <v>0</v>
      </c>
      <c r="O46" s="725"/>
      <c r="P46" s="725"/>
      <c r="Q46" s="736"/>
    </row>
    <row r="47" spans="1:17" ht="34.5" customHeight="1">
      <c r="A47" s="897"/>
      <c r="B47" s="898" t="s">
        <v>90</v>
      </c>
      <c r="C47" s="874">
        <f t="shared" si="2"/>
        <v>1300</v>
      </c>
      <c r="D47" s="875">
        <f>D48</f>
        <v>0</v>
      </c>
      <c r="E47" s="875">
        <f>E48</f>
        <v>1300</v>
      </c>
      <c r="F47" s="874">
        <f t="shared" si="3"/>
        <v>1300</v>
      </c>
      <c r="G47" s="875">
        <f>G48</f>
        <v>0</v>
      </c>
      <c r="H47" s="875">
        <f>H48</f>
        <v>1300</v>
      </c>
      <c r="I47" s="874">
        <f>SUM(J47:K47)</f>
        <v>0</v>
      </c>
      <c r="J47" s="875">
        <f>J48</f>
        <v>0</v>
      </c>
      <c r="K47" s="875">
        <f>K48</f>
        <v>0</v>
      </c>
      <c r="L47" s="876">
        <f t="shared" si="10"/>
        <v>0</v>
      </c>
      <c r="M47" s="877">
        <f t="shared" si="11"/>
        <v>0</v>
      </c>
      <c r="N47" s="877">
        <f t="shared" si="12"/>
        <v>0</v>
      </c>
      <c r="O47" s="725"/>
      <c r="P47" s="725"/>
      <c r="Q47" s="736"/>
    </row>
    <row r="48" spans="1:17" ht="26.25">
      <c r="A48" s="897" t="s">
        <v>109</v>
      </c>
      <c r="B48" s="963" t="s">
        <v>714</v>
      </c>
      <c r="C48" s="964">
        <f t="shared" si="2"/>
        <v>1300</v>
      </c>
      <c r="D48" s="878">
        <v>0</v>
      </c>
      <c r="E48" s="878">
        <v>1300</v>
      </c>
      <c r="F48" s="964">
        <f t="shared" si="3"/>
        <v>1300</v>
      </c>
      <c r="G48" s="878">
        <v>0</v>
      </c>
      <c r="H48" s="878">
        <v>1300</v>
      </c>
      <c r="I48" s="964"/>
      <c r="J48" s="964">
        <v>0</v>
      </c>
      <c r="K48" s="964">
        <v>0</v>
      </c>
      <c r="L48" s="877">
        <f t="shared" si="10"/>
        <v>0</v>
      </c>
      <c r="M48" s="877">
        <f t="shared" si="11"/>
        <v>0</v>
      </c>
      <c r="N48" s="877">
        <f t="shared" si="12"/>
        <v>0</v>
      </c>
      <c r="O48" s="725"/>
      <c r="P48" s="725"/>
      <c r="Q48" s="736"/>
    </row>
    <row r="49" spans="1:18" ht="34.5" customHeight="1">
      <c r="A49" s="897"/>
      <c r="B49" s="898" t="s">
        <v>712</v>
      </c>
      <c r="C49" s="874">
        <f t="shared" si="2"/>
        <v>2300</v>
      </c>
      <c r="D49" s="875">
        <f>D50</f>
        <v>0</v>
      </c>
      <c r="E49" s="875">
        <f>E50</f>
        <v>2300</v>
      </c>
      <c r="F49" s="874">
        <f t="shared" si="3"/>
        <v>2300</v>
      </c>
      <c r="G49" s="875">
        <f>G50</f>
        <v>0</v>
      </c>
      <c r="H49" s="875">
        <f>H50</f>
        <v>2300</v>
      </c>
      <c r="I49" s="874">
        <f>SUM(J49:K49)</f>
        <v>0</v>
      </c>
      <c r="J49" s="875">
        <f>J50</f>
        <v>0</v>
      </c>
      <c r="K49" s="875">
        <f>K50</f>
        <v>0</v>
      </c>
      <c r="L49" s="876">
        <f t="shared" si="10"/>
        <v>0</v>
      </c>
      <c r="M49" s="877">
        <f t="shared" si="11"/>
        <v>0</v>
      </c>
      <c r="N49" s="877">
        <f t="shared" si="12"/>
        <v>0</v>
      </c>
      <c r="O49" s="725"/>
      <c r="P49" s="725"/>
      <c r="Q49" s="736"/>
    </row>
    <row r="50" spans="1:18" ht="26.25">
      <c r="A50" s="897" t="s">
        <v>117</v>
      </c>
      <c r="B50" s="963" t="s">
        <v>713</v>
      </c>
      <c r="C50" s="964">
        <f t="shared" si="2"/>
        <v>2300</v>
      </c>
      <c r="D50" s="878">
        <v>0</v>
      </c>
      <c r="E50" s="878">
        <v>2300</v>
      </c>
      <c r="F50" s="964">
        <f t="shared" si="3"/>
        <v>2300</v>
      </c>
      <c r="G50" s="878">
        <v>0</v>
      </c>
      <c r="H50" s="878">
        <v>2300</v>
      </c>
      <c r="I50" s="964"/>
      <c r="J50" s="964">
        <v>0</v>
      </c>
      <c r="K50" s="964">
        <v>0</v>
      </c>
      <c r="L50" s="877">
        <f t="shared" si="10"/>
        <v>0</v>
      </c>
      <c r="M50" s="877">
        <f t="shared" si="11"/>
        <v>0</v>
      </c>
      <c r="N50" s="877">
        <f t="shared" si="12"/>
        <v>0</v>
      </c>
      <c r="O50" s="725"/>
      <c r="P50" s="725"/>
      <c r="Q50" s="736"/>
    </row>
    <row r="51" spans="1:18" ht="34.5" customHeight="1">
      <c r="A51" s="897"/>
      <c r="B51" s="898" t="s">
        <v>46</v>
      </c>
      <c r="C51" s="874">
        <f t="shared" si="2"/>
        <v>12500</v>
      </c>
      <c r="D51" s="875">
        <f>D52</f>
        <v>0</v>
      </c>
      <c r="E51" s="875">
        <f>E52</f>
        <v>12500</v>
      </c>
      <c r="F51" s="874">
        <f t="shared" si="3"/>
        <v>12500</v>
      </c>
      <c r="G51" s="875">
        <f>G52</f>
        <v>0</v>
      </c>
      <c r="H51" s="875">
        <f>H52</f>
        <v>12500</v>
      </c>
      <c r="I51" s="874">
        <f>SUM(J51:K51)</f>
        <v>0</v>
      </c>
      <c r="J51" s="875">
        <f>J52</f>
        <v>0</v>
      </c>
      <c r="K51" s="875">
        <f>K52</f>
        <v>0</v>
      </c>
      <c r="L51" s="876">
        <f t="shared" si="10"/>
        <v>0</v>
      </c>
      <c r="M51" s="877">
        <f t="shared" si="11"/>
        <v>0</v>
      </c>
      <c r="N51" s="877">
        <f t="shared" si="12"/>
        <v>0</v>
      </c>
      <c r="O51" s="725"/>
      <c r="P51" s="725"/>
      <c r="Q51" s="736"/>
    </row>
    <row r="52" spans="1:18" ht="105">
      <c r="A52" s="897" t="s">
        <v>118</v>
      </c>
      <c r="B52" s="963" t="s">
        <v>715</v>
      </c>
      <c r="C52" s="964">
        <f t="shared" si="2"/>
        <v>12500</v>
      </c>
      <c r="D52" s="878">
        <v>0</v>
      </c>
      <c r="E52" s="878">
        <v>12500</v>
      </c>
      <c r="F52" s="964">
        <f t="shared" si="3"/>
        <v>12500</v>
      </c>
      <c r="G52" s="878">
        <v>0</v>
      </c>
      <c r="H52" s="878">
        <v>12500</v>
      </c>
      <c r="I52" s="964"/>
      <c r="J52" s="964">
        <v>0</v>
      </c>
      <c r="K52" s="964">
        <v>0</v>
      </c>
      <c r="L52" s="877">
        <f t="shared" si="10"/>
        <v>0</v>
      </c>
      <c r="M52" s="877">
        <f t="shared" si="11"/>
        <v>0</v>
      </c>
      <c r="N52" s="877">
        <f t="shared" si="12"/>
        <v>0</v>
      </c>
      <c r="O52" s="725"/>
      <c r="P52" s="725"/>
      <c r="Q52" s="736"/>
    </row>
    <row r="53" spans="1:18" ht="34.5" customHeight="1">
      <c r="A53" s="897"/>
      <c r="B53" s="898" t="s">
        <v>457</v>
      </c>
      <c r="C53" s="874">
        <f t="shared" si="2"/>
        <v>34000</v>
      </c>
      <c r="D53" s="875">
        <f>SUM(D54:D58)</f>
        <v>0</v>
      </c>
      <c r="E53" s="875">
        <f>SUM(E54:E58)</f>
        <v>34000</v>
      </c>
      <c r="F53" s="874">
        <f t="shared" si="3"/>
        <v>34000</v>
      </c>
      <c r="G53" s="875">
        <f>SUM(G54:G58)</f>
        <v>0</v>
      </c>
      <c r="H53" s="875">
        <f>SUM(H54:H58)</f>
        <v>34000</v>
      </c>
      <c r="I53" s="874">
        <f>SUM(J53:K53)</f>
        <v>0</v>
      </c>
      <c r="J53" s="875">
        <f>SUM(J54:J58)</f>
        <v>0</v>
      </c>
      <c r="K53" s="875">
        <f>SUM(K54:K58)</f>
        <v>0</v>
      </c>
      <c r="L53" s="876">
        <f t="shared" si="10"/>
        <v>0</v>
      </c>
      <c r="M53" s="877">
        <f t="shared" si="11"/>
        <v>0</v>
      </c>
      <c r="N53" s="877">
        <f t="shared" si="12"/>
        <v>0</v>
      </c>
      <c r="O53" s="725"/>
      <c r="P53" s="725"/>
      <c r="Q53" s="736"/>
    </row>
    <row r="54" spans="1:18" ht="78.75">
      <c r="A54" s="897" t="s">
        <v>154</v>
      </c>
      <c r="B54" s="963" t="s">
        <v>716</v>
      </c>
      <c r="C54" s="964">
        <f t="shared" si="2"/>
        <v>10000</v>
      </c>
      <c r="D54" s="878">
        <v>0</v>
      </c>
      <c r="E54" s="878">
        <v>10000</v>
      </c>
      <c r="F54" s="964">
        <f t="shared" si="3"/>
        <v>10000</v>
      </c>
      <c r="G54" s="878">
        <v>0</v>
      </c>
      <c r="H54" s="878">
        <v>10000</v>
      </c>
      <c r="I54" s="964"/>
      <c r="J54" s="964">
        <v>0</v>
      </c>
      <c r="K54" s="964">
        <v>0</v>
      </c>
      <c r="L54" s="877">
        <f t="shared" si="10"/>
        <v>0</v>
      </c>
      <c r="M54" s="877">
        <f t="shared" si="11"/>
        <v>0</v>
      </c>
      <c r="N54" s="877">
        <f t="shared" si="12"/>
        <v>0</v>
      </c>
      <c r="O54" s="725"/>
      <c r="P54" s="725"/>
      <c r="Q54" s="736"/>
    </row>
    <row r="55" spans="1:18" ht="131.25">
      <c r="A55" s="897" t="s">
        <v>155</v>
      </c>
      <c r="B55" s="963" t="s">
        <v>717</v>
      </c>
      <c r="C55" s="964">
        <f t="shared" si="2"/>
        <v>6400</v>
      </c>
      <c r="D55" s="878">
        <v>0</v>
      </c>
      <c r="E55" s="878">
        <v>6400</v>
      </c>
      <c r="F55" s="964">
        <f t="shared" si="3"/>
        <v>6400</v>
      </c>
      <c r="G55" s="878">
        <v>0</v>
      </c>
      <c r="H55" s="878">
        <v>6400</v>
      </c>
      <c r="I55" s="964"/>
      <c r="J55" s="964">
        <v>0</v>
      </c>
      <c r="K55" s="964">
        <v>0</v>
      </c>
      <c r="L55" s="877">
        <f t="shared" si="10"/>
        <v>0</v>
      </c>
      <c r="M55" s="877">
        <f t="shared" si="11"/>
        <v>0</v>
      </c>
      <c r="N55" s="877">
        <f t="shared" si="12"/>
        <v>0</v>
      </c>
      <c r="O55" s="725"/>
      <c r="P55" s="725"/>
      <c r="Q55" s="736"/>
    </row>
    <row r="56" spans="1:18" ht="131.25">
      <c r="A56" s="897" t="s">
        <v>156</v>
      </c>
      <c r="B56" s="963" t="s">
        <v>718</v>
      </c>
      <c r="C56" s="964">
        <f t="shared" si="2"/>
        <v>4600</v>
      </c>
      <c r="D56" s="878">
        <v>0</v>
      </c>
      <c r="E56" s="878">
        <v>4600</v>
      </c>
      <c r="F56" s="964">
        <f t="shared" si="3"/>
        <v>4600</v>
      </c>
      <c r="G56" s="878">
        <v>0</v>
      </c>
      <c r="H56" s="878">
        <v>4600</v>
      </c>
      <c r="I56" s="964"/>
      <c r="J56" s="964">
        <v>0</v>
      </c>
      <c r="K56" s="964">
        <v>0</v>
      </c>
      <c r="L56" s="877">
        <f t="shared" si="10"/>
        <v>0</v>
      </c>
      <c r="M56" s="877">
        <f t="shared" si="11"/>
        <v>0</v>
      </c>
      <c r="N56" s="877">
        <f t="shared" si="12"/>
        <v>0</v>
      </c>
      <c r="O56" s="725"/>
      <c r="P56" s="725"/>
      <c r="Q56" s="736"/>
    </row>
    <row r="57" spans="1:18" ht="105">
      <c r="A57" s="897" t="s">
        <v>122</v>
      </c>
      <c r="B57" s="963" t="s">
        <v>719</v>
      </c>
      <c r="C57" s="964">
        <f t="shared" si="2"/>
        <v>10000</v>
      </c>
      <c r="D57" s="878">
        <v>0</v>
      </c>
      <c r="E57" s="878">
        <v>10000</v>
      </c>
      <c r="F57" s="964">
        <f t="shared" si="3"/>
        <v>10000</v>
      </c>
      <c r="G57" s="878">
        <v>0</v>
      </c>
      <c r="H57" s="878">
        <v>10000</v>
      </c>
      <c r="I57" s="964"/>
      <c r="J57" s="964">
        <v>0</v>
      </c>
      <c r="K57" s="964">
        <v>0</v>
      </c>
      <c r="L57" s="877">
        <f t="shared" si="10"/>
        <v>0</v>
      </c>
      <c r="M57" s="877">
        <f t="shared" si="11"/>
        <v>0</v>
      </c>
      <c r="N57" s="877">
        <f t="shared" si="12"/>
        <v>0</v>
      </c>
      <c r="O57" s="725"/>
      <c r="P57" s="725"/>
      <c r="Q57" s="736"/>
    </row>
    <row r="58" spans="1:18" ht="105">
      <c r="A58" s="897" t="s">
        <v>123</v>
      </c>
      <c r="B58" s="963" t="s">
        <v>720</v>
      </c>
      <c r="C58" s="964">
        <f t="shared" si="2"/>
        <v>3000</v>
      </c>
      <c r="D58" s="878">
        <v>0</v>
      </c>
      <c r="E58" s="878">
        <v>3000</v>
      </c>
      <c r="F58" s="964">
        <f t="shared" si="3"/>
        <v>3000</v>
      </c>
      <c r="G58" s="878">
        <v>0</v>
      </c>
      <c r="H58" s="878">
        <v>3000</v>
      </c>
      <c r="I58" s="964"/>
      <c r="J58" s="964">
        <v>0</v>
      </c>
      <c r="K58" s="964">
        <v>0</v>
      </c>
      <c r="L58" s="877">
        <f t="shared" si="10"/>
        <v>0</v>
      </c>
      <c r="M58" s="877">
        <f t="shared" si="11"/>
        <v>0</v>
      </c>
      <c r="N58" s="877">
        <f t="shared" si="12"/>
        <v>0</v>
      </c>
      <c r="O58" s="725"/>
      <c r="P58" s="725"/>
      <c r="Q58" s="736"/>
    </row>
    <row r="59" spans="1:18" s="914" customFormat="1" ht="60" customHeight="1">
      <c r="A59" s="944"/>
      <c r="B59" s="907" t="s">
        <v>444</v>
      </c>
      <c r="C59" s="908">
        <f>D59+E59</f>
        <v>239124.1</v>
      </c>
      <c r="D59" s="909">
        <f>SUM(D60,D63,D66,D68,D70,D72,D75)</f>
        <v>220820.4</v>
      </c>
      <c r="E59" s="909">
        <f>SUM(E60,E63,E66,E70,E68,E72,E75)</f>
        <v>18303.7</v>
      </c>
      <c r="F59" s="908">
        <f>G59+H59</f>
        <v>0</v>
      </c>
      <c r="G59" s="909">
        <f>SUM(G60,G63,G66,G68,G70,G72,G75)</f>
        <v>0</v>
      </c>
      <c r="H59" s="909">
        <f>SUM(H60,H63,H66,H70,H68,H72,H75)</f>
        <v>0</v>
      </c>
      <c r="I59" s="908">
        <f>J59+K59</f>
        <v>0</v>
      </c>
      <c r="J59" s="909">
        <f>SUM(J60,J63,J66,J68,J70,J72,J75)</f>
        <v>0</v>
      </c>
      <c r="K59" s="909">
        <f>SUM(K60,K63,K66,K70,K68,K72,K75)</f>
        <v>0</v>
      </c>
      <c r="L59" s="910">
        <f t="shared" si="10"/>
        <v>0</v>
      </c>
      <c r="M59" s="911">
        <f t="shared" si="11"/>
        <v>0</v>
      </c>
      <c r="N59" s="911">
        <f t="shared" si="12"/>
        <v>0</v>
      </c>
      <c r="O59" s="912"/>
      <c r="P59" s="912"/>
      <c r="Q59" s="913"/>
    </row>
    <row r="60" spans="1:18" ht="38.25" customHeight="1">
      <c r="A60" s="897"/>
      <c r="B60" s="899" t="s">
        <v>431</v>
      </c>
      <c r="C60" s="874">
        <f t="shared" ref="C60:C93" si="13">SUM(D60:E60)</f>
        <v>19433</v>
      </c>
      <c r="D60" s="880">
        <f>D61+D62</f>
        <v>18266.8</v>
      </c>
      <c r="E60" s="880">
        <f>E61+E62</f>
        <v>1166.2</v>
      </c>
      <c r="F60" s="874">
        <f t="shared" ref="F60:F76" si="14">SUM(G60:H60)</f>
        <v>0</v>
      </c>
      <c r="G60" s="880">
        <f>G61+G62</f>
        <v>0</v>
      </c>
      <c r="H60" s="880">
        <f>H61+H62</f>
        <v>0</v>
      </c>
      <c r="I60" s="874">
        <f t="shared" ref="I60:I93" si="15">SUM(J60:K60)</f>
        <v>0</v>
      </c>
      <c r="J60" s="880">
        <f>J61+J62</f>
        <v>0</v>
      </c>
      <c r="K60" s="880">
        <f>K61+K62</f>
        <v>0</v>
      </c>
      <c r="L60" s="877">
        <f t="shared" si="10"/>
        <v>0</v>
      </c>
      <c r="M60" s="877">
        <f t="shared" si="11"/>
        <v>0</v>
      </c>
      <c r="N60" s="877">
        <f t="shared" si="12"/>
        <v>0</v>
      </c>
      <c r="O60" s="725"/>
      <c r="P60" s="725"/>
      <c r="Q60" s="736"/>
    </row>
    <row r="61" spans="1:18" ht="26.25">
      <c r="A61" s="897" t="s">
        <v>124</v>
      </c>
      <c r="B61" s="967" t="s">
        <v>690</v>
      </c>
      <c r="C61" s="964">
        <f t="shared" si="13"/>
        <v>10977.6</v>
      </c>
      <c r="D61" s="879">
        <v>10318.799999999999</v>
      </c>
      <c r="E61" s="879">
        <v>658.8</v>
      </c>
      <c r="F61" s="964">
        <f t="shared" si="14"/>
        <v>0</v>
      </c>
      <c r="G61" s="879">
        <v>0</v>
      </c>
      <c r="H61" s="879">
        <v>0</v>
      </c>
      <c r="I61" s="964">
        <f t="shared" si="15"/>
        <v>0</v>
      </c>
      <c r="J61" s="879">
        <v>0</v>
      </c>
      <c r="K61" s="879">
        <v>0</v>
      </c>
      <c r="L61" s="877">
        <f t="shared" si="10"/>
        <v>0</v>
      </c>
      <c r="M61" s="877">
        <f t="shared" si="11"/>
        <v>0</v>
      </c>
      <c r="N61" s="877">
        <f t="shared" si="12"/>
        <v>0</v>
      </c>
      <c r="O61" s="725"/>
      <c r="P61" s="725"/>
      <c r="Q61" s="736"/>
    </row>
    <row r="62" spans="1:18" ht="26.25">
      <c r="A62" s="897" t="s">
        <v>125</v>
      </c>
      <c r="B62" s="967" t="s">
        <v>689</v>
      </c>
      <c r="C62" s="964">
        <f t="shared" si="13"/>
        <v>8455.4</v>
      </c>
      <c r="D62" s="879">
        <v>7948</v>
      </c>
      <c r="E62" s="879">
        <v>507.4</v>
      </c>
      <c r="F62" s="964">
        <f t="shared" si="14"/>
        <v>0</v>
      </c>
      <c r="G62" s="879">
        <v>0</v>
      </c>
      <c r="H62" s="879">
        <v>0</v>
      </c>
      <c r="I62" s="964">
        <f t="shared" si="15"/>
        <v>0</v>
      </c>
      <c r="J62" s="879">
        <v>0</v>
      </c>
      <c r="K62" s="879">
        <v>0</v>
      </c>
      <c r="L62" s="877">
        <f t="shared" si="10"/>
        <v>0</v>
      </c>
      <c r="M62" s="877">
        <f t="shared" si="11"/>
        <v>0</v>
      </c>
      <c r="N62" s="877">
        <f t="shared" si="12"/>
        <v>0</v>
      </c>
      <c r="O62" s="725"/>
      <c r="P62" s="725"/>
      <c r="Q62" s="736"/>
      <c r="R62" s="736"/>
    </row>
    <row r="63" spans="1:18" ht="37.5" customHeight="1">
      <c r="A63" s="895"/>
      <c r="B63" s="898" t="s">
        <v>457</v>
      </c>
      <c r="C63" s="874">
        <f t="shared" si="13"/>
        <v>14332.1</v>
      </c>
      <c r="D63" s="881">
        <f>SUM(D64:D65)</f>
        <v>13472</v>
      </c>
      <c r="E63" s="881">
        <f>SUM(E64:E65)</f>
        <v>860.1</v>
      </c>
      <c r="F63" s="874">
        <f t="shared" si="14"/>
        <v>0</v>
      </c>
      <c r="G63" s="881">
        <f>SUM(G64:G65)</f>
        <v>0</v>
      </c>
      <c r="H63" s="881">
        <f>SUM(H64:H65)</f>
        <v>0</v>
      </c>
      <c r="I63" s="874">
        <f t="shared" si="15"/>
        <v>0</v>
      </c>
      <c r="J63" s="881">
        <f>SUM(J64:J65)</f>
        <v>0</v>
      </c>
      <c r="K63" s="881">
        <f>SUM(K64:K65)</f>
        <v>0</v>
      </c>
      <c r="L63" s="882">
        <f t="shared" si="10"/>
        <v>0</v>
      </c>
      <c r="M63" s="875">
        <f t="shared" si="11"/>
        <v>0</v>
      </c>
      <c r="N63" s="875">
        <f t="shared" si="12"/>
        <v>0</v>
      </c>
      <c r="O63" s="725">
        <f t="shared" ref="O63:P69" si="16">D63-G63</f>
        <v>13472</v>
      </c>
      <c r="P63" s="725">
        <f t="shared" si="16"/>
        <v>860.1</v>
      </c>
      <c r="Q63" s="736"/>
    </row>
    <row r="64" spans="1:18" ht="105">
      <c r="A64" s="897" t="s">
        <v>126</v>
      </c>
      <c r="B64" s="896" t="s">
        <v>677</v>
      </c>
      <c r="C64" s="964">
        <f t="shared" si="13"/>
        <v>8056.3</v>
      </c>
      <c r="D64" s="879">
        <v>7572.8</v>
      </c>
      <c r="E64" s="879">
        <v>483.5</v>
      </c>
      <c r="F64" s="964">
        <f t="shared" si="14"/>
        <v>0</v>
      </c>
      <c r="G64" s="879">
        <v>0</v>
      </c>
      <c r="H64" s="879">
        <v>0</v>
      </c>
      <c r="I64" s="964">
        <f t="shared" si="15"/>
        <v>0</v>
      </c>
      <c r="J64" s="879">
        <v>0</v>
      </c>
      <c r="K64" s="879">
        <v>0</v>
      </c>
      <c r="L64" s="877">
        <f t="shared" si="10"/>
        <v>0</v>
      </c>
      <c r="M64" s="877">
        <f t="shared" si="11"/>
        <v>0</v>
      </c>
      <c r="N64" s="877">
        <f t="shared" si="12"/>
        <v>0</v>
      </c>
      <c r="O64" s="725">
        <f t="shared" si="16"/>
        <v>7572.8</v>
      </c>
      <c r="P64" s="725">
        <f t="shared" si="16"/>
        <v>483.5</v>
      </c>
      <c r="Q64" s="736"/>
    </row>
    <row r="65" spans="1:17" ht="26.25">
      <c r="A65" s="897" t="s">
        <v>127</v>
      </c>
      <c r="B65" s="968" t="s">
        <v>678</v>
      </c>
      <c r="C65" s="964">
        <f t="shared" si="13"/>
        <v>6275.8</v>
      </c>
      <c r="D65" s="879">
        <v>5899.2</v>
      </c>
      <c r="E65" s="879">
        <v>376.6</v>
      </c>
      <c r="F65" s="964">
        <f t="shared" si="14"/>
        <v>0</v>
      </c>
      <c r="G65" s="879">
        <v>0</v>
      </c>
      <c r="H65" s="879">
        <v>0</v>
      </c>
      <c r="I65" s="964">
        <f t="shared" si="15"/>
        <v>0</v>
      </c>
      <c r="J65" s="879">
        <v>0</v>
      </c>
      <c r="K65" s="879">
        <v>0</v>
      </c>
      <c r="L65" s="877">
        <f t="shared" si="10"/>
        <v>0</v>
      </c>
      <c r="M65" s="877">
        <f t="shared" si="11"/>
        <v>0</v>
      </c>
      <c r="N65" s="877">
        <f t="shared" si="12"/>
        <v>0</v>
      </c>
      <c r="O65" s="725"/>
      <c r="P65" s="725"/>
    </row>
    <row r="66" spans="1:17" ht="33" customHeight="1">
      <c r="A66" s="895"/>
      <c r="B66" s="898" t="s">
        <v>433</v>
      </c>
      <c r="C66" s="874">
        <f t="shared" si="13"/>
        <v>14049.3</v>
      </c>
      <c r="D66" s="875">
        <f>D67</f>
        <v>13206.2</v>
      </c>
      <c r="E66" s="875">
        <f>E67</f>
        <v>843.1</v>
      </c>
      <c r="F66" s="874">
        <f t="shared" si="14"/>
        <v>0</v>
      </c>
      <c r="G66" s="875">
        <f>G67</f>
        <v>0</v>
      </c>
      <c r="H66" s="875">
        <f>H67</f>
        <v>0</v>
      </c>
      <c r="I66" s="874">
        <f t="shared" si="15"/>
        <v>0</v>
      </c>
      <c r="J66" s="875">
        <f>J67</f>
        <v>0</v>
      </c>
      <c r="K66" s="875">
        <f>K67</f>
        <v>0</v>
      </c>
      <c r="L66" s="882">
        <f t="shared" si="10"/>
        <v>0</v>
      </c>
      <c r="M66" s="883">
        <f t="shared" si="11"/>
        <v>0</v>
      </c>
      <c r="N66" s="883">
        <f t="shared" si="12"/>
        <v>0</v>
      </c>
      <c r="O66" s="725">
        <f t="shared" si="16"/>
        <v>13206.2</v>
      </c>
      <c r="P66" s="725">
        <f t="shared" si="16"/>
        <v>843.1</v>
      </c>
      <c r="Q66" s="736"/>
    </row>
    <row r="67" spans="1:17" ht="26.25">
      <c r="A67" s="897" t="s">
        <v>128</v>
      </c>
      <c r="B67" s="969" t="s">
        <v>679</v>
      </c>
      <c r="C67" s="964">
        <f t="shared" si="13"/>
        <v>14049.3</v>
      </c>
      <c r="D67" s="878">
        <v>13206.2</v>
      </c>
      <c r="E67" s="878">
        <v>843.1</v>
      </c>
      <c r="F67" s="964">
        <f t="shared" si="14"/>
        <v>0</v>
      </c>
      <c r="G67" s="878">
        <v>0</v>
      </c>
      <c r="H67" s="878">
        <v>0</v>
      </c>
      <c r="I67" s="964">
        <f t="shared" si="15"/>
        <v>0</v>
      </c>
      <c r="J67" s="878">
        <v>0</v>
      </c>
      <c r="K67" s="878">
        <v>0</v>
      </c>
      <c r="L67" s="877">
        <f t="shared" si="10"/>
        <v>0</v>
      </c>
      <c r="M67" s="877">
        <f t="shared" si="11"/>
        <v>0</v>
      </c>
      <c r="N67" s="877">
        <f t="shared" si="12"/>
        <v>0</v>
      </c>
      <c r="O67" s="725">
        <f t="shared" si="16"/>
        <v>13206.2</v>
      </c>
      <c r="P67" s="725">
        <f t="shared" si="16"/>
        <v>843.1</v>
      </c>
      <c r="Q67" s="736"/>
    </row>
    <row r="68" spans="1:17" ht="33.75" customHeight="1">
      <c r="A68" s="895"/>
      <c r="B68" s="898" t="s">
        <v>458</v>
      </c>
      <c r="C68" s="874">
        <f t="shared" si="13"/>
        <v>11408.6</v>
      </c>
      <c r="D68" s="875">
        <f>D69</f>
        <v>10724</v>
      </c>
      <c r="E68" s="875">
        <f>E69</f>
        <v>684.6</v>
      </c>
      <c r="F68" s="874">
        <f t="shared" si="14"/>
        <v>0</v>
      </c>
      <c r="G68" s="875">
        <f>G69</f>
        <v>0</v>
      </c>
      <c r="H68" s="875">
        <f>H69</f>
        <v>0</v>
      </c>
      <c r="I68" s="874">
        <f t="shared" si="15"/>
        <v>0</v>
      </c>
      <c r="J68" s="875">
        <f>J69</f>
        <v>0</v>
      </c>
      <c r="K68" s="875">
        <f>K69</f>
        <v>0</v>
      </c>
      <c r="L68" s="882">
        <f t="shared" si="10"/>
        <v>0</v>
      </c>
      <c r="M68" s="883">
        <f t="shared" si="11"/>
        <v>0</v>
      </c>
      <c r="N68" s="883">
        <f t="shared" si="12"/>
        <v>0</v>
      </c>
      <c r="O68" s="725">
        <f t="shared" si="16"/>
        <v>10724</v>
      </c>
      <c r="P68" s="725">
        <f t="shared" si="16"/>
        <v>684.6</v>
      </c>
      <c r="Q68" s="736"/>
    </row>
    <row r="69" spans="1:17" ht="60" customHeight="1">
      <c r="A69" s="897" t="s">
        <v>158</v>
      </c>
      <c r="B69" s="969" t="s">
        <v>680</v>
      </c>
      <c r="C69" s="964">
        <f t="shared" si="13"/>
        <v>11408.6</v>
      </c>
      <c r="D69" s="878">
        <v>10724</v>
      </c>
      <c r="E69" s="878">
        <v>684.6</v>
      </c>
      <c r="F69" s="964">
        <f t="shared" si="14"/>
        <v>0</v>
      </c>
      <c r="G69" s="878">
        <v>0</v>
      </c>
      <c r="H69" s="878">
        <v>0</v>
      </c>
      <c r="I69" s="964">
        <f t="shared" si="15"/>
        <v>0</v>
      </c>
      <c r="J69" s="964">
        <v>0</v>
      </c>
      <c r="K69" s="964">
        <v>0</v>
      </c>
      <c r="L69" s="877">
        <f t="shared" si="10"/>
        <v>0</v>
      </c>
      <c r="M69" s="877">
        <f t="shared" si="11"/>
        <v>0</v>
      </c>
      <c r="N69" s="877">
        <f t="shared" si="12"/>
        <v>0</v>
      </c>
      <c r="O69" s="725">
        <f t="shared" si="16"/>
        <v>10724</v>
      </c>
      <c r="P69" s="725">
        <f t="shared" si="16"/>
        <v>684.6</v>
      </c>
      <c r="Q69" s="736"/>
    </row>
    <row r="70" spans="1:17" ht="36" customHeight="1">
      <c r="A70" s="895"/>
      <c r="B70" s="898" t="s">
        <v>443</v>
      </c>
      <c r="C70" s="874">
        <f t="shared" si="13"/>
        <v>55844.9</v>
      </c>
      <c r="D70" s="875">
        <f>D71</f>
        <v>52494.2</v>
      </c>
      <c r="E70" s="875">
        <f>E71</f>
        <v>3350.7</v>
      </c>
      <c r="F70" s="874">
        <f t="shared" si="14"/>
        <v>0</v>
      </c>
      <c r="G70" s="875">
        <f>G71</f>
        <v>0</v>
      </c>
      <c r="H70" s="875">
        <f>H71</f>
        <v>0</v>
      </c>
      <c r="I70" s="874">
        <f t="shared" si="15"/>
        <v>0</v>
      </c>
      <c r="J70" s="875">
        <f>J71</f>
        <v>0</v>
      </c>
      <c r="K70" s="875">
        <f>K71</f>
        <v>0</v>
      </c>
      <c r="L70" s="876">
        <f t="shared" si="10"/>
        <v>0</v>
      </c>
      <c r="M70" s="877">
        <f t="shared" si="11"/>
        <v>0</v>
      </c>
      <c r="N70" s="877">
        <f t="shared" si="12"/>
        <v>0</v>
      </c>
      <c r="O70" s="725"/>
      <c r="P70" s="725"/>
      <c r="Q70" s="736"/>
    </row>
    <row r="71" spans="1:17" ht="52.5">
      <c r="A71" s="897" t="s">
        <v>129</v>
      </c>
      <c r="B71" s="969" t="s">
        <v>681</v>
      </c>
      <c r="C71" s="964">
        <f t="shared" si="13"/>
        <v>55844.9</v>
      </c>
      <c r="D71" s="878">
        <v>52494.2</v>
      </c>
      <c r="E71" s="878">
        <v>3350.7</v>
      </c>
      <c r="F71" s="964">
        <f t="shared" si="14"/>
        <v>0</v>
      </c>
      <c r="G71" s="878">
        <v>0</v>
      </c>
      <c r="H71" s="878">
        <v>0</v>
      </c>
      <c r="I71" s="964">
        <f t="shared" si="15"/>
        <v>0</v>
      </c>
      <c r="J71" s="964">
        <v>0</v>
      </c>
      <c r="K71" s="970">
        <v>0</v>
      </c>
      <c r="L71" s="877">
        <f t="shared" si="10"/>
        <v>0</v>
      </c>
      <c r="M71" s="877">
        <f t="shared" si="11"/>
        <v>0</v>
      </c>
      <c r="N71" s="877">
        <f t="shared" si="12"/>
        <v>0</v>
      </c>
      <c r="O71" s="725"/>
      <c r="P71" s="725"/>
    </row>
    <row r="72" spans="1:17" ht="31.5" customHeight="1">
      <c r="A72" s="897"/>
      <c r="B72" s="898" t="s">
        <v>281</v>
      </c>
      <c r="C72" s="874">
        <f t="shared" si="13"/>
        <v>115027.3</v>
      </c>
      <c r="D72" s="875">
        <f>SUM(D73:D74)</f>
        <v>104170.1</v>
      </c>
      <c r="E72" s="875">
        <f>SUM(E73:E74)</f>
        <v>10857.2</v>
      </c>
      <c r="F72" s="874">
        <f t="shared" si="14"/>
        <v>0</v>
      </c>
      <c r="G72" s="875">
        <f>SUM(G73:G74)</f>
        <v>0</v>
      </c>
      <c r="H72" s="875">
        <f>SUM(H73:H74)</f>
        <v>0</v>
      </c>
      <c r="I72" s="874">
        <f t="shared" si="15"/>
        <v>0</v>
      </c>
      <c r="J72" s="875">
        <f>SUM(J73:J74)</f>
        <v>0</v>
      </c>
      <c r="K72" s="875">
        <f>SUM(K73:K74)</f>
        <v>0</v>
      </c>
      <c r="L72" s="876">
        <f t="shared" ref="L72:N78" si="17">IF(I72=0,0,I72/F72*100)</f>
        <v>0</v>
      </c>
      <c r="M72" s="877">
        <f t="shared" si="17"/>
        <v>0</v>
      </c>
      <c r="N72" s="877">
        <f t="shared" si="17"/>
        <v>0</v>
      </c>
      <c r="O72" s="725"/>
      <c r="P72" s="725"/>
      <c r="Q72" s="736"/>
    </row>
    <row r="73" spans="1:17" ht="52.5">
      <c r="A73" s="897" t="s">
        <v>159</v>
      </c>
      <c r="B73" s="969" t="s">
        <v>682</v>
      </c>
      <c r="C73" s="964">
        <f t="shared" si="13"/>
        <v>84139</v>
      </c>
      <c r="D73" s="878">
        <f>69176.7+5958.6</f>
        <v>75135.3</v>
      </c>
      <c r="E73" s="878">
        <v>9003.7000000000007</v>
      </c>
      <c r="F73" s="964">
        <f t="shared" si="14"/>
        <v>0</v>
      </c>
      <c r="G73" s="878">
        <v>0</v>
      </c>
      <c r="H73" s="878">
        <v>0</v>
      </c>
      <c r="I73" s="964">
        <f t="shared" si="15"/>
        <v>0</v>
      </c>
      <c r="J73" s="964">
        <v>0</v>
      </c>
      <c r="K73" s="970">
        <v>0</v>
      </c>
      <c r="L73" s="877">
        <f t="shared" si="17"/>
        <v>0</v>
      </c>
      <c r="M73" s="877">
        <f t="shared" si="17"/>
        <v>0</v>
      </c>
      <c r="N73" s="877">
        <f t="shared" si="17"/>
        <v>0</v>
      </c>
      <c r="O73" s="725"/>
      <c r="P73" s="725"/>
      <c r="Q73" s="736"/>
    </row>
    <row r="74" spans="1:17" ht="26.25">
      <c r="A74" s="897" t="s">
        <v>130</v>
      </c>
      <c r="B74" s="963" t="s">
        <v>683</v>
      </c>
      <c r="C74" s="964">
        <f t="shared" si="13"/>
        <v>30888.3</v>
      </c>
      <c r="D74" s="878">
        <v>29034.799999999999</v>
      </c>
      <c r="E74" s="878">
        <v>1853.5</v>
      </c>
      <c r="F74" s="964">
        <f t="shared" si="14"/>
        <v>0</v>
      </c>
      <c r="G74" s="878">
        <v>0</v>
      </c>
      <c r="H74" s="878">
        <v>0</v>
      </c>
      <c r="I74" s="964">
        <f t="shared" si="15"/>
        <v>0</v>
      </c>
      <c r="J74" s="964">
        <v>0</v>
      </c>
      <c r="K74" s="964">
        <v>0</v>
      </c>
      <c r="L74" s="877">
        <f t="shared" si="17"/>
        <v>0</v>
      </c>
      <c r="M74" s="877">
        <f t="shared" si="17"/>
        <v>0</v>
      </c>
      <c r="N74" s="877">
        <f t="shared" si="17"/>
        <v>0</v>
      </c>
      <c r="O74" s="725"/>
      <c r="P74" s="725"/>
      <c r="Q74" s="736"/>
    </row>
    <row r="75" spans="1:17" ht="31.5" customHeight="1">
      <c r="A75" s="897"/>
      <c r="B75" s="898" t="s">
        <v>583</v>
      </c>
      <c r="C75" s="874">
        <f t="shared" si="13"/>
        <v>9028.9</v>
      </c>
      <c r="D75" s="875">
        <f>SUM(D76:D76)</f>
        <v>8487.1</v>
      </c>
      <c r="E75" s="875">
        <f>SUM(E76:E76)</f>
        <v>541.79999999999995</v>
      </c>
      <c r="F75" s="874">
        <f t="shared" si="14"/>
        <v>0</v>
      </c>
      <c r="G75" s="875">
        <f>SUM(G76:G76)</f>
        <v>0</v>
      </c>
      <c r="H75" s="875">
        <f>SUM(H76:H76)</f>
        <v>0</v>
      </c>
      <c r="I75" s="874">
        <f t="shared" si="15"/>
        <v>0</v>
      </c>
      <c r="J75" s="875">
        <f>SUM(J76:J76)</f>
        <v>0</v>
      </c>
      <c r="K75" s="875">
        <f>SUM(K76:K76)</f>
        <v>0</v>
      </c>
      <c r="L75" s="876">
        <f t="shared" si="17"/>
        <v>0</v>
      </c>
      <c r="M75" s="877">
        <f t="shared" si="17"/>
        <v>0</v>
      </c>
      <c r="N75" s="877">
        <f t="shared" si="17"/>
        <v>0</v>
      </c>
      <c r="O75" s="725"/>
      <c r="P75" s="725"/>
      <c r="Q75" s="736"/>
    </row>
    <row r="76" spans="1:17" ht="24.75" customHeight="1">
      <c r="A76" s="897" t="s">
        <v>160</v>
      </c>
      <c r="B76" s="967" t="s">
        <v>684</v>
      </c>
      <c r="C76" s="964">
        <f t="shared" si="13"/>
        <v>9028.9</v>
      </c>
      <c r="D76" s="878">
        <v>8487.1</v>
      </c>
      <c r="E76" s="878">
        <v>541.79999999999995</v>
      </c>
      <c r="F76" s="964">
        <f t="shared" si="14"/>
        <v>0</v>
      </c>
      <c r="G76" s="878">
        <v>0</v>
      </c>
      <c r="H76" s="878">
        <v>0</v>
      </c>
      <c r="I76" s="964">
        <f t="shared" si="15"/>
        <v>0</v>
      </c>
      <c r="J76" s="964">
        <v>0</v>
      </c>
      <c r="K76" s="970">
        <v>0</v>
      </c>
      <c r="L76" s="877">
        <f t="shared" si="17"/>
        <v>0</v>
      </c>
      <c r="M76" s="877">
        <f t="shared" si="17"/>
        <v>0</v>
      </c>
      <c r="N76" s="877">
        <f t="shared" si="17"/>
        <v>0</v>
      </c>
      <c r="O76" s="725"/>
      <c r="P76" s="725"/>
      <c r="Q76" s="736"/>
    </row>
    <row r="77" spans="1:17" s="914" customFormat="1" ht="108.75" customHeight="1">
      <c r="A77" s="945" t="s">
        <v>2</v>
      </c>
      <c r="B77" s="921" t="s">
        <v>313</v>
      </c>
      <c r="C77" s="922">
        <f t="shared" si="13"/>
        <v>3067843</v>
      </c>
      <c r="D77" s="922">
        <f>D78</f>
        <v>2559643</v>
      </c>
      <c r="E77" s="922">
        <f>E78</f>
        <v>508200</v>
      </c>
      <c r="F77" s="922">
        <f t="shared" ref="F77:F85" si="18">SUM(G77:H77)</f>
        <v>3037843</v>
      </c>
      <c r="G77" s="922">
        <f>G78</f>
        <v>2559643</v>
      </c>
      <c r="H77" s="922">
        <f>H78</f>
        <v>478200</v>
      </c>
      <c r="I77" s="922">
        <f>SUM(J77:K77)</f>
        <v>0</v>
      </c>
      <c r="J77" s="922">
        <f>J78</f>
        <v>0</v>
      </c>
      <c r="K77" s="922">
        <f>K78</f>
        <v>0</v>
      </c>
      <c r="L77" s="923">
        <f t="shared" si="17"/>
        <v>0</v>
      </c>
      <c r="M77" s="924">
        <f t="shared" si="17"/>
        <v>0</v>
      </c>
      <c r="N77" s="924">
        <f t="shared" si="17"/>
        <v>0</v>
      </c>
      <c r="O77" s="912">
        <f>D77-G77</f>
        <v>0</v>
      </c>
      <c r="P77" s="912">
        <f>E77-H77</f>
        <v>30000</v>
      </c>
      <c r="Q77" s="913"/>
    </row>
    <row r="78" spans="1:17" s="914" customFormat="1" ht="67.5" customHeight="1">
      <c r="A78" s="944" t="s">
        <v>246</v>
      </c>
      <c r="B78" s="932" t="s">
        <v>41</v>
      </c>
      <c r="C78" s="933">
        <f t="shared" si="13"/>
        <v>3067843</v>
      </c>
      <c r="D78" s="934">
        <f>SUM(D79:D108)</f>
        <v>2559643</v>
      </c>
      <c r="E78" s="934">
        <f>SUM(E79:E108)</f>
        <v>508200</v>
      </c>
      <c r="F78" s="933">
        <f t="shared" si="18"/>
        <v>3037843</v>
      </c>
      <c r="G78" s="934">
        <f>SUM(G79:G108)</f>
        <v>2559643</v>
      </c>
      <c r="H78" s="934">
        <f>SUM(H79:H108)</f>
        <v>478200</v>
      </c>
      <c r="I78" s="933">
        <f>SUM(J78:K78)</f>
        <v>0</v>
      </c>
      <c r="J78" s="934">
        <f>SUM(J79:J108)</f>
        <v>0</v>
      </c>
      <c r="K78" s="934">
        <f>SUM(K79:K108)</f>
        <v>0</v>
      </c>
      <c r="L78" s="935">
        <f t="shared" si="17"/>
        <v>0</v>
      </c>
      <c r="M78" s="936">
        <f t="shared" si="17"/>
        <v>0</v>
      </c>
      <c r="N78" s="936">
        <f t="shared" si="17"/>
        <v>0</v>
      </c>
      <c r="O78" s="912">
        <f>D78-G78</f>
        <v>0</v>
      </c>
      <c r="P78" s="912">
        <f>E78-H78</f>
        <v>30000</v>
      </c>
      <c r="Q78" s="994"/>
    </row>
    <row r="79" spans="1:17" ht="52.5">
      <c r="A79" s="897" t="s">
        <v>532</v>
      </c>
      <c r="B79" s="973" t="s">
        <v>661</v>
      </c>
      <c r="C79" s="874">
        <f t="shared" si="13"/>
        <v>18375</v>
      </c>
      <c r="D79" s="879">
        <v>0</v>
      </c>
      <c r="E79" s="998">
        <v>18375</v>
      </c>
      <c r="F79" s="995">
        <f t="shared" si="18"/>
        <v>18375</v>
      </c>
      <c r="G79" s="879">
        <v>0</v>
      </c>
      <c r="H79" s="879">
        <v>18375</v>
      </c>
      <c r="I79" s="874">
        <f t="shared" si="15"/>
        <v>0</v>
      </c>
      <c r="J79" s="879"/>
      <c r="K79" s="879"/>
      <c r="L79" s="876">
        <v>0</v>
      </c>
      <c r="M79" s="877">
        <f t="shared" ref="M79:N89" si="19">IF(J79=0,0,J79/G79*100)</f>
        <v>0</v>
      </c>
      <c r="N79" s="877">
        <f t="shared" si="19"/>
        <v>0</v>
      </c>
      <c r="O79" s="725"/>
      <c r="P79" s="725"/>
      <c r="Q79" s="994"/>
    </row>
    <row r="80" spans="1:17" ht="60" customHeight="1">
      <c r="A80" s="897" t="s">
        <v>161</v>
      </c>
      <c r="B80" s="973" t="s">
        <v>662</v>
      </c>
      <c r="C80" s="874">
        <f t="shared" si="13"/>
        <v>4200</v>
      </c>
      <c r="D80" s="879">
        <v>0</v>
      </c>
      <c r="E80" s="998">
        <v>4200</v>
      </c>
      <c r="F80" s="995">
        <f t="shared" si="18"/>
        <v>4200</v>
      </c>
      <c r="G80" s="879">
        <v>0</v>
      </c>
      <c r="H80" s="879">
        <v>4200</v>
      </c>
      <c r="I80" s="874">
        <f t="shared" si="15"/>
        <v>0</v>
      </c>
      <c r="J80" s="879"/>
      <c r="K80" s="879"/>
      <c r="L80" s="876">
        <v>0</v>
      </c>
      <c r="M80" s="877">
        <f t="shared" si="19"/>
        <v>0</v>
      </c>
      <c r="N80" s="877">
        <f t="shared" si="19"/>
        <v>0</v>
      </c>
      <c r="O80" s="725"/>
      <c r="P80" s="725"/>
      <c r="Q80" s="994"/>
    </row>
    <row r="81" spans="1:17" ht="86.25" customHeight="1">
      <c r="A81" s="897" t="s">
        <v>536</v>
      </c>
      <c r="B81" s="973" t="s">
        <v>663</v>
      </c>
      <c r="C81" s="874">
        <f t="shared" si="13"/>
        <v>13587</v>
      </c>
      <c r="D81" s="879">
        <v>0</v>
      </c>
      <c r="E81" s="998">
        <v>13587</v>
      </c>
      <c r="F81" s="995">
        <f t="shared" si="18"/>
        <v>13587</v>
      </c>
      <c r="G81" s="879">
        <v>0</v>
      </c>
      <c r="H81" s="879">
        <v>13587</v>
      </c>
      <c r="I81" s="874">
        <f t="shared" si="15"/>
        <v>0</v>
      </c>
      <c r="J81" s="879"/>
      <c r="K81" s="879"/>
      <c r="L81" s="876">
        <v>0</v>
      </c>
      <c r="M81" s="877">
        <f t="shared" si="19"/>
        <v>0</v>
      </c>
      <c r="N81" s="877">
        <f t="shared" si="19"/>
        <v>0</v>
      </c>
      <c r="O81" s="725"/>
      <c r="P81" s="725"/>
      <c r="Q81" s="994"/>
    </row>
    <row r="82" spans="1:17" ht="109.5" customHeight="1">
      <c r="A82" s="897" t="s">
        <v>131</v>
      </c>
      <c r="B82" s="973" t="s">
        <v>664</v>
      </c>
      <c r="C82" s="874">
        <f t="shared" si="13"/>
        <v>2800</v>
      </c>
      <c r="D82" s="879">
        <v>0</v>
      </c>
      <c r="E82" s="998">
        <v>2800</v>
      </c>
      <c r="F82" s="995">
        <f t="shared" si="18"/>
        <v>2800</v>
      </c>
      <c r="G82" s="879">
        <v>0</v>
      </c>
      <c r="H82" s="879">
        <v>2800</v>
      </c>
      <c r="I82" s="874">
        <f t="shared" si="15"/>
        <v>0</v>
      </c>
      <c r="J82" s="879"/>
      <c r="K82" s="879"/>
      <c r="L82" s="876">
        <v>0</v>
      </c>
      <c r="M82" s="877">
        <f t="shared" si="19"/>
        <v>0</v>
      </c>
      <c r="N82" s="877">
        <f t="shared" si="19"/>
        <v>0</v>
      </c>
      <c r="O82" s="725"/>
      <c r="P82" s="725"/>
      <c r="Q82" s="994"/>
    </row>
    <row r="83" spans="1:17" ht="117" customHeight="1">
      <c r="A83" s="897" t="s">
        <v>555</v>
      </c>
      <c r="B83" s="973" t="s">
        <v>665</v>
      </c>
      <c r="C83" s="874">
        <f t="shared" si="13"/>
        <v>2800</v>
      </c>
      <c r="D83" s="879">
        <v>0</v>
      </c>
      <c r="E83" s="998">
        <v>2800</v>
      </c>
      <c r="F83" s="995">
        <f t="shared" si="18"/>
        <v>2800</v>
      </c>
      <c r="G83" s="879">
        <v>0</v>
      </c>
      <c r="H83" s="879">
        <v>2800</v>
      </c>
      <c r="I83" s="874">
        <f t="shared" si="15"/>
        <v>0</v>
      </c>
      <c r="J83" s="879"/>
      <c r="K83" s="879"/>
      <c r="L83" s="876">
        <v>0</v>
      </c>
      <c r="M83" s="877">
        <f t="shared" si="19"/>
        <v>0</v>
      </c>
      <c r="N83" s="877">
        <f t="shared" si="19"/>
        <v>0</v>
      </c>
      <c r="O83" s="725"/>
      <c r="P83" s="725"/>
      <c r="Q83" s="994"/>
    </row>
    <row r="84" spans="1:17" ht="90.75" customHeight="1">
      <c r="A84" s="897" t="s">
        <v>556</v>
      </c>
      <c r="B84" s="973" t="s">
        <v>666</v>
      </c>
      <c r="C84" s="874">
        <f t="shared" si="13"/>
        <v>1400</v>
      </c>
      <c r="D84" s="879">
        <v>0</v>
      </c>
      <c r="E84" s="998">
        <v>1400</v>
      </c>
      <c r="F84" s="995">
        <f t="shared" si="18"/>
        <v>1400</v>
      </c>
      <c r="G84" s="879">
        <v>0</v>
      </c>
      <c r="H84" s="879">
        <v>1400</v>
      </c>
      <c r="I84" s="874">
        <f t="shared" si="15"/>
        <v>0</v>
      </c>
      <c r="J84" s="879"/>
      <c r="K84" s="879"/>
      <c r="L84" s="876">
        <v>0</v>
      </c>
      <c r="M84" s="877">
        <f t="shared" si="19"/>
        <v>0</v>
      </c>
      <c r="N84" s="877">
        <f t="shared" si="19"/>
        <v>0</v>
      </c>
      <c r="O84" s="725"/>
      <c r="P84" s="725"/>
      <c r="Q84" s="994"/>
    </row>
    <row r="85" spans="1:17" ht="118.5" customHeight="1">
      <c r="A85" s="897" t="s">
        <v>162</v>
      </c>
      <c r="B85" s="973" t="s">
        <v>667</v>
      </c>
      <c r="C85" s="874">
        <f t="shared" si="13"/>
        <v>28000</v>
      </c>
      <c r="D85" s="879">
        <v>0</v>
      </c>
      <c r="E85" s="998">
        <v>28000</v>
      </c>
      <c r="F85" s="995">
        <f t="shared" si="18"/>
        <v>28000</v>
      </c>
      <c r="G85" s="879">
        <v>0</v>
      </c>
      <c r="H85" s="879">
        <v>28000</v>
      </c>
      <c r="I85" s="874">
        <f t="shared" si="15"/>
        <v>0</v>
      </c>
      <c r="J85" s="879"/>
      <c r="K85" s="879"/>
      <c r="L85" s="876">
        <v>0</v>
      </c>
      <c r="M85" s="877">
        <f t="shared" si="19"/>
        <v>0</v>
      </c>
      <c r="N85" s="877">
        <f t="shared" si="19"/>
        <v>0</v>
      </c>
      <c r="O85" s="725"/>
      <c r="P85" s="725"/>
      <c r="Q85" s="994"/>
    </row>
    <row r="86" spans="1:17" ht="52.5">
      <c r="A86" s="897" t="s">
        <v>545</v>
      </c>
      <c r="B86" s="966" t="s">
        <v>771</v>
      </c>
      <c r="C86" s="874">
        <f>SUM(D86:E86)</f>
        <v>319980.59999999998</v>
      </c>
      <c r="D86" s="879">
        <f>319980.6*0.90202494621</f>
        <v>288630.5</v>
      </c>
      <c r="E86" s="879">
        <f>319980.6*(1-0.90202494621)</f>
        <v>31350.1</v>
      </c>
      <c r="F86" s="874">
        <f>SUM(G86:H86)</f>
        <v>319980.59999999998</v>
      </c>
      <c r="G86" s="879">
        <f>319980.6*0.90202494621</f>
        <v>288630.5</v>
      </c>
      <c r="H86" s="879">
        <f>319980.6*(1-0.90202494621)</f>
        <v>31350.1</v>
      </c>
      <c r="I86" s="874">
        <f>SUM(J86:K86)</f>
        <v>0</v>
      </c>
      <c r="J86" s="879">
        <v>0</v>
      </c>
      <c r="K86" s="879">
        <v>0</v>
      </c>
      <c r="L86" s="876">
        <f>IF(I86=0,0,I86/F86*100)</f>
        <v>0</v>
      </c>
      <c r="M86" s="877">
        <f>IF(J86=0,0,J86/G86*100)</f>
        <v>0</v>
      </c>
      <c r="N86" s="877">
        <f>IF(K86=0,0,K86/H86*100)</f>
        <v>0</v>
      </c>
      <c r="O86" s="725"/>
      <c r="P86" s="725"/>
      <c r="Q86" s="994"/>
    </row>
    <row r="87" spans="1:17" ht="105">
      <c r="A87" s="897" t="s">
        <v>557</v>
      </c>
      <c r="B87" s="966" t="s">
        <v>772</v>
      </c>
      <c r="C87" s="874">
        <f t="shared" si="13"/>
        <v>359978.2</v>
      </c>
      <c r="D87" s="879">
        <f>359978.2*0.90202494621</f>
        <v>324709.3</v>
      </c>
      <c r="E87" s="879">
        <f>359978.2*(1-0.90202494621)</f>
        <v>35268.9</v>
      </c>
      <c r="F87" s="874">
        <f t="shared" ref="F87:F107" si="20">SUM(G87:H87)</f>
        <v>359978.2</v>
      </c>
      <c r="G87" s="879">
        <f>359978.2*0.90202494621</f>
        <v>324709.3</v>
      </c>
      <c r="H87" s="879">
        <f>359978.2*(1-0.90202494621)</f>
        <v>35268.9</v>
      </c>
      <c r="I87" s="874">
        <f t="shared" si="15"/>
        <v>0</v>
      </c>
      <c r="J87" s="879">
        <v>0</v>
      </c>
      <c r="K87" s="879">
        <v>0</v>
      </c>
      <c r="L87" s="876">
        <f t="shared" ref="L87:L98" si="21">IF(I87=0,0,I87/F87*100)</f>
        <v>0</v>
      </c>
      <c r="M87" s="877">
        <f t="shared" si="19"/>
        <v>0</v>
      </c>
      <c r="N87" s="877">
        <f t="shared" si="19"/>
        <v>0</v>
      </c>
      <c r="O87" s="725"/>
      <c r="P87" s="725"/>
      <c r="Q87" s="994"/>
    </row>
    <row r="88" spans="1:17" ht="52.5">
      <c r="A88" s="897" t="s">
        <v>558</v>
      </c>
      <c r="B88" s="896" t="s">
        <v>460</v>
      </c>
      <c r="C88" s="874">
        <f t="shared" si="13"/>
        <v>42728.6</v>
      </c>
      <c r="D88" s="879">
        <v>20123.599999999999</v>
      </c>
      <c r="E88" s="879">
        <v>22605</v>
      </c>
      <c r="F88" s="874">
        <f t="shared" si="20"/>
        <v>42728.6</v>
      </c>
      <c r="G88" s="879">
        <v>20123.599999999999</v>
      </c>
      <c r="H88" s="879">
        <v>22605</v>
      </c>
      <c r="I88" s="874">
        <f t="shared" si="15"/>
        <v>0</v>
      </c>
      <c r="J88" s="879"/>
      <c r="K88" s="879"/>
      <c r="L88" s="876">
        <f t="shared" si="21"/>
        <v>0</v>
      </c>
      <c r="M88" s="877">
        <f t="shared" si="19"/>
        <v>0</v>
      </c>
      <c r="N88" s="877">
        <f t="shared" si="19"/>
        <v>0</v>
      </c>
      <c r="O88" s="725"/>
      <c r="P88" s="725"/>
      <c r="Q88" s="994"/>
    </row>
    <row r="89" spans="1:17" ht="78.75">
      <c r="A89" s="974" t="s">
        <v>559</v>
      </c>
      <c r="B89" s="975" t="s">
        <v>707</v>
      </c>
      <c r="C89" s="874">
        <f>SUM(D89:E89)</f>
        <v>30000</v>
      </c>
      <c r="D89" s="878">
        <v>0</v>
      </c>
      <c r="E89" s="878">
        <v>30000</v>
      </c>
      <c r="F89" s="874">
        <f t="shared" si="20"/>
        <v>0</v>
      </c>
      <c r="G89" s="878">
        <v>0</v>
      </c>
      <c r="H89" s="878">
        <v>0</v>
      </c>
      <c r="I89" s="874">
        <f>SUM(J89:K89)</f>
        <v>0</v>
      </c>
      <c r="J89" s="878"/>
      <c r="K89" s="878"/>
      <c r="L89" s="876">
        <f>IF(I89=0,0,I89/F89*100)</f>
        <v>0</v>
      </c>
      <c r="M89" s="877">
        <f t="shared" si="19"/>
        <v>0</v>
      </c>
      <c r="N89" s="877">
        <f t="shared" si="19"/>
        <v>0</v>
      </c>
      <c r="O89" s="725"/>
      <c r="P89" s="725"/>
      <c r="Q89" s="994"/>
    </row>
    <row r="90" spans="1:17" ht="105">
      <c r="A90" s="974" t="s">
        <v>560</v>
      </c>
      <c r="B90" s="975" t="s">
        <v>645</v>
      </c>
      <c r="C90" s="874">
        <f t="shared" si="13"/>
        <v>2506</v>
      </c>
      <c r="D90" s="878">
        <v>0</v>
      </c>
      <c r="E90" s="999">
        <v>2506</v>
      </c>
      <c r="F90" s="1001">
        <f t="shared" si="20"/>
        <v>2506</v>
      </c>
      <c r="G90" s="878">
        <v>0</v>
      </c>
      <c r="H90" s="878">
        <v>2506</v>
      </c>
      <c r="I90" s="874">
        <f t="shared" si="15"/>
        <v>0</v>
      </c>
      <c r="J90" s="878"/>
      <c r="K90" s="878"/>
      <c r="L90" s="876">
        <f t="shared" si="21"/>
        <v>0</v>
      </c>
      <c r="M90" s="877">
        <f t="shared" ref="M90:M98" si="22">IF(J90=0,0,J90/G90*100)</f>
        <v>0</v>
      </c>
      <c r="N90" s="877">
        <f t="shared" ref="N90:N98" si="23">IF(K90=0,0,K90/H90*100)</f>
        <v>0</v>
      </c>
      <c r="O90" s="725"/>
      <c r="P90" s="725"/>
      <c r="Q90" s="994"/>
    </row>
    <row r="91" spans="1:17" s="838" customFormat="1" ht="78.75">
      <c r="A91" s="897" t="s">
        <v>561</v>
      </c>
      <c r="B91" s="976" t="s">
        <v>773</v>
      </c>
      <c r="C91" s="874">
        <f t="shared" si="13"/>
        <v>2857.6</v>
      </c>
      <c r="D91" s="879">
        <v>0</v>
      </c>
      <c r="E91" s="998">
        <v>2857.6</v>
      </c>
      <c r="F91" s="874">
        <f t="shared" si="20"/>
        <v>2857.6</v>
      </c>
      <c r="G91" s="879">
        <v>0</v>
      </c>
      <c r="H91" s="879">
        <v>2857.6</v>
      </c>
      <c r="I91" s="874">
        <f t="shared" si="15"/>
        <v>0</v>
      </c>
      <c r="J91" s="879"/>
      <c r="K91" s="885"/>
      <c r="L91" s="876">
        <f t="shared" si="21"/>
        <v>0</v>
      </c>
      <c r="M91" s="877">
        <f t="shared" si="22"/>
        <v>0</v>
      </c>
      <c r="N91" s="877">
        <f t="shared" si="23"/>
        <v>0</v>
      </c>
      <c r="O91" s="837"/>
      <c r="P91" s="837"/>
      <c r="Q91" s="994"/>
    </row>
    <row r="92" spans="1:17" ht="78.75">
      <c r="A92" s="977" t="s">
        <v>563</v>
      </c>
      <c r="B92" s="978" t="s">
        <v>653</v>
      </c>
      <c r="C92" s="979">
        <f t="shared" si="13"/>
        <v>2400</v>
      </c>
      <c r="D92" s="980">
        <v>0</v>
      </c>
      <c r="E92" s="1000">
        <v>2400</v>
      </c>
      <c r="F92" s="979">
        <f t="shared" si="20"/>
        <v>2400</v>
      </c>
      <c r="G92" s="980">
        <v>0</v>
      </c>
      <c r="H92" s="980">
        <v>2400</v>
      </c>
      <c r="I92" s="979">
        <f t="shared" si="15"/>
        <v>0</v>
      </c>
      <c r="J92" s="980"/>
      <c r="K92" s="981"/>
      <c r="L92" s="982">
        <f t="shared" si="21"/>
        <v>0</v>
      </c>
      <c r="M92" s="983">
        <f t="shared" si="22"/>
        <v>0</v>
      </c>
      <c r="N92" s="983">
        <f t="shared" si="23"/>
        <v>0</v>
      </c>
      <c r="O92" s="756"/>
      <c r="P92" s="756"/>
      <c r="Q92" s="994"/>
    </row>
    <row r="93" spans="1:17" ht="52.5">
      <c r="A93" s="897" t="s">
        <v>573</v>
      </c>
      <c r="B93" s="976" t="s">
        <v>654</v>
      </c>
      <c r="C93" s="874">
        <f t="shared" si="13"/>
        <v>2450</v>
      </c>
      <c r="D93" s="879">
        <v>0</v>
      </c>
      <c r="E93" s="998">
        <v>2450</v>
      </c>
      <c r="F93" s="874">
        <f t="shared" si="20"/>
        <v>2450</v>
      </c>
      <c r="G93" s="879">
        <v>0</v>
      </c>
      <c r="H93" s="879">
        <v>2450</v>
      </c>
      <c r="I93" s="874">
        <f t="shared" si="15"/>
        <v>0</v>
      </c>
      <c r="J93" s="879"/>
      <c r="K93" s="885"/>
      <c r="L93" s="876">
        <f t="shared" si="21"/>
        <v>0</v>
      </c>
      <c r="M93" s="877">
        <f t="shared" si="22"/>
        <v>0</v>
      </c>
      <c r="N93" s="877">
        <f t="shared" si="23"/>
        <v>0</v>
      </c>
      <c r="O93" s="756"/>
      <c r="P93" s="756"/>
      <c r="Q93" s="994"/>
    </row>
    <row r="94" spans="1:17" ht="52.5">
      <c r="A94" s="897" t="s">
        <v>624</v>
      </c>
      <c r="B94" s="984" t="s">
        <v>641</v>
      </c>
      <c r="C94" s="874">
        <f t="shared" ref="C94:C116" si="24">SUM(D94:E94)</f>
        <v>10500</v>
      </c>
      <c r="D94" s="879">
        <v>0</v>
      </c>
      <c r="E94" s="998">
        <v>10500</v>
      </c>
      <c r="F94" s="874">
        <f t="shared" si="20"/>
        <v>10500</v>
      </c>
      <c r="G94" s="879">
        <v>0</v>
      </c>
      <c r="H94" s="879">
        <v>10500</v>
      </c>
      <c r="I94" s="874">
        <f t="shared" ref="I94:I131" si="25">SUM(J94:K94)</f>
        <v>0</v>
      </c>
      <c r="J94" s="879"/>
      <c r="K94" s="879"/>
      <c r="L94" s="876">
        <f t="shared" si="21"/>
        <v>0</v>
      </c>
      <c r="M94" s="877">
        <f t="shared" si="22"/>
        <v>0</v>
      </c>
      <c r="N94" s="877">
        <f t="shared" si="23"/>
        <v>0</v>
      </c>
      <c r="O94" s="756"/>
      <c r="P94" s="756"/>
      <c r="Q94" s="994"/>
    </row>
    <row r="95" spans="1:17" ht="52.5">
      <c r="A95" s="897" t="s">
        <v>625</v>
      </c>
      <c r="B95" s="976" t="s">
        <v>647</v>
      </c>
      <c r="C95" s="874">
        <f t="shared" si="24"/>
        <v>39100</v>
      </c>
      <c r="D95" s="879">
        <v>0</v>
      </c>
      <c r="E95" s="998">
        <v>39100</v>
      </c>
      <c r="F95" s="874">
        <f t="shared" si="20"/>
        <v>39100</v>
      </c>
      <c r="G95" s="879">
        <v>0</v>
      </c>
      <c r="H95" s="879">
        <v>39100</v>
      </c>
      <c r="I95" s="874">
        <f t="shared" si="25"/>
        <v>0</v>
      </c>
      <c r="J95" s="879"/>
      <c r="K95" s="885"/>
      <c r="L95" s="876">
        <f t="shared" si="21"/>
        <v>0</v>
      </c>
      <c r="M95" s="877">
        <f t="shared" si="22"/>
        <v>0</v>
      </c>
      <c r="N95" s="877">
        <f t="shared" si="23"/>
        <v>0</v>
      </c>
      <c r="O95" s="756"/>
      <c r="P95" s="756"/>
      <c r="Q95" s="994"/>
    </row>
    <row r="96" spans="1:17" ht="78.75">
      <c r="A96" s="897" t="s">
        <v>626</v>
      </c>
      <c r="B96" s="984" t="s">
        <v>637</v>
      </c>
      <c r="C96" s="874">
        <f t="shared" si="24"/>
        <v>5600</v>
      </c>
      <c r="D96" s="879">
        <v>0</v>
      </c>
      <c r="E96" s="998">
        <v>5600</v>
      </c>
      <c r="F96" s="874">
        <f t="shared" si="20"/>
        <v>5600</v>
      </c>
      <c r="G96" s="879">
        <v>0</v>
      </c>
      <c r="H96" s="879">
        <v>5600</v>
      </c>
      <c r="I96" s="874">
        <f t="shared" si="25"/>
        <v>0</v>
      </c>
      <c r="J96" s="879"/>
      <c r="K96" s="879"/>
      <c r="L96" s="876">
        <f t="shared" si="21"/>
        <v>0</v>
      </c>
      <c r="M96" s="877">
        <f t="shared" si="22"/>
        <v>0</v>
      </c>
      <c r="N96" s="877">
        <f t="shared" si="23"/>
        <v>0</v>
      </c>
      <c r="O96" s="756"/>
      <c r="P96" s="756"/>
      <c r="Q96" s="994"/>
    </row>
    <row r="97" spans="1:17" ht="52.5">
      <c r="A97" s="897" t="s">
        <v>627</v>
      </c>
      <c r="B97" s="901" t="s">
        <v>639</v>
      </c>
      <c r="C97" s="874">
        <f t="shared" si="24"/>
        <v>2800</v>
      </c>
      <c r="D97" s="879">
        <v>0</v>
      </c>
      <c r="E97" s="998">
        <v>2800</v>
      </c>
      <c r="F97" s="874">
        <f t="shared" si="20"/>
        <v>2800</v>
      </c>
      <c r="G97" s="879">
        <v>0</v>
      </c>
      <c r="H97" s="879">
        <v>2800</v>
      </c>
      <c r="I97" s="874">
        <f t="shared" si="25"/>
        <v>0</v>
      </c>
      <c r="J97" s="879"/>
      <c r="K97" s="879"/>
      <c r="L97" s="876">
        <f t="shared" si="21"/>
        <v>0</v>
      </c>
      <c r="M97" s="877">
        <f t="shared" si="22"/>
        <v>0</v>
      </c>
      <c r="N97" s="877">
        <f t="shared" si="23"/>
        <v>0</v>
      </c>
      <c r="O97" s="725"/>
      <c r="P97" s="725"/>
      <c r="Q97" s="994"/>
    </row>
    <row r="98" spans="1:17" ht="57.75" customHeight="1">
      <c r="A98" s="897" t="s">
        <v>628</v>
      </c>
      <c r="B98" s="984" t="s">
        <v>643</v>
      </c>
      <c r="C98" s="874">
        <f t="shared" si="24"/>
        <v>4550</v>
      </c>
      <c r="D98" s="879">
        <v>0</v>
      </c>
      <c r="E98" s="998">
        <v>4550</v>
      </c>
      <c r="F98" s="874">
        <f t="shared" si="20"/>
        <v>4550</v>
      </c>
      <c r="G98" s="879">
        <v>0</v>
      </c>
      <c r="H98" s="879">
        <v>4550</v>
      </c>
      <c r="I98" s="874">
        <f t="shared" si="25"/>
        <v>0</v>
      </c>
      <c r="J98" s="879"/>
      <c r="K98" s="879"/>
      <c r="L98" s="876">
        <f t="shared" si="21"/>
        <v>0</v>
      </c>
      <c r="M98" s="877">
        <f t="shared" si="22"/>
        <v>0</v>
      </c>
      <c r="N98" s="877">
        <f t="shared" si="23"/>
        <v>0</v>
      </c>
      <c r="O98" s="756"/>
      <c r="P98" s="756"/>
      <c r="Q98" s="994"/>
    </row>
    <row r="99" spans="1:17" ht="105">
      <c r="A99" s="897" t="s">
        <v>629</v>
      </c>
      <c r="B99" s="955" t="s">
        <v>648</v>
      </c>
      <c r="C99" s="874">
        <f t="shared" si="24"/>
        <v>800</v>
      </c>
      <c r="D99" s="878">
        <v>0</v>
      </c>
      <c r="E99" s="996">
        <v>800</v>
      </c>
      <c r="F99" s="874">
        <f t="shared" si="20"/>
        <v>800</v>
      </c>
      <c r="G99" s="878">
        <v>0</v>
      </c>
      <c r="H99" s="878">
        <v>800</v>
      </c>
      <c r="I99" s="874">
        <f t="shared" si="25"/>
        <v>0</v>
      </c>
      <c r="J99" s="878"/>
      <c r="K99" s="878"/>
      <c r="L99" s="876">
        <f t="shared" ref="L99:N102" si="26">IF(I99=0,0,I99/F99*100)</f>
        <v>0</v>
      </c>
      <c r="M99" s="877">
        <f t="shared" si="26"/>
        <v>0</v>
      </c>
      <c r="N99" s="877">
        <f t="shared" si="26"/>
        <v>0</v>
      </c>
      <c r="O99" s="756"/>
      <c r="P99" s="756"/>
      <c r="Q99" s="994"/>
    </row>
    <row r="100" spans="1:17" ht="78.75">
      <c r="A100" s="897" t="s">
        <v>630</v>
      </c>
      <c r="B100" s="956" t="s">
        <v>649</v>
      </c>
      <c r="C100" s="874">
        <f t="shared" si="24"/>
        <v>100</v>
      </c>
      <c r="D100" s="878">
        <v>0</v>
      </c>
      <c r="E100" s="996">
        <v>100</v>
      </c>
      <c r="F100" s="874">
        <f t="shared" si="20"/>
        <v>100</v>
      </c>
      <c r="G100" s="878">
        <v>0</v>
      </c>
      <c r="H100" s="878">
        <v>100</v>
      </c>
      <c r="I100" s="874">
        <f t="shared" si="25"/>
        <v>0</v>
      </c>
      <c r="J100" s="878"/>
      <c r="K100" s="878"/>
      <c r="L100" s="876">
        <f t="shared" si="26"/>
        <v>0</v>
      </c>
      <c r="M100" s="877">
        <f t="shared" si="26"/>
        <v>0</v>
      </c>
      <c r="N100" s="877">
        <f t="shared" si="26"/>
        <v>0</v>
      </c>
      <c r="O100" s="756"/>
      <c r="P100" s="756"/>
      <c r="Q100" s="994"/>
    </row>
    <row r="101" spans="1:17" ht="78.75">
      <c r="A101" s="897" t="s">
        <v>732</v>
      </c>
      <c r="B101" s="956" t="s">
        <v>650</v>
      </c>
      <c r="C101" s="874">
        <f t="shared" si="24"/>
        <v>1500</v>
      </c>
      <c r="D101" s="878">
        <v>0</v>
      </c>
      <c r="E101" s="996">
        <v>1500</v>
      </c>
      <c r="F101" s="874">
        <f t="shared" si="20"/>
        <v>1500</v>
      </c>
      <c r="G101" s="878">
        <v>0</v>
      </c>
      <c r="H101" s="878">
        <v>1500</v>
      </c>
      <c r="I101" s="874">
        <f t="shared" si="25"/>
        <v>0</v>
      </c>
      <c r="J101" s="878"/>
      <c r="K101" s="878"/>
      <c r="L101" s="876">
        <f t="shared" si="26"/>
        <v>0</v>
      </c>
      <c r="M101" s="877">
        <f t="shared" si="26"/>
        <v>0</v>
      </c>
      <c r="N101" s="877">
        <f t="shared" si="26"/>
        <v>0</v>
      </c>
      <c r="O101" s="756"/>
      <c r="P101" s="756"/>
      <c r="Q101" s="994"/>
    </row>
    <row r="102" spans="1:17" ht="105">
      <c r="A102" s="897" t="s">
        <v>733</v>
      </c>
      <c r="B102" s="956" t="s">
        <v>651</v>
      </c>
      <c r="C102" s="874">
        <f t="shared" si="24"/>
        <v>100</v>
      </c>
      <c r="D102" s="878">
        <v>0</v>
      </c>
      <c r="E102" s="996">
        <v>100</v>
      </c>
      <c r="F102" s="874">
        <f t="shared" si="20"/>
        <v>100</v>
      </c>
      <c r="G102" s="878">
        <v>0</v>
      </c>
      <c r="H102" s="878">
        <v>100</v>
      </c>
      <c r="I102" s="874">
        <f t="shared" si="25"/>
        <v>0</v>
      </c>
      <c r="J102" s="878"/>
      <c r="K102" s="878"/>
      <c r="L102" s="876">
        <f t="shared" si="26"/>
        <v>0</v>
      </c>
      <c r="M102" s="877">
        <f t="shared" si="26"/>
        <v>0</v>
      </c>
      <c r="N102" s="877">
        <f t="shared" si="26"/>
        <v>0</v>
      </c>
      <c r="O102" s="756"/>
      <c r="P102" s="756"/>
      <c r="Q102" s="994"/>
    </row>
    <row r="103" spans="1:17" ht="111" customHeight="1">
      <c r="A103" s="897" t="s">
        <v>631</v>
      </c>
      <c r="B103" s="956" t="s">
        <v>652</v>
      </c>
      <c r="C103" s="874">
        <f t="shared" si="24"/>
        <v>100</v>
      </c>
      <c r="D103" s="878">
        <v>0</v>
      </c>
      <c r="E103" s="996">
        <v>100</v>
      </c>
      <c r="F103" s="874">
        <f t="shared" si="20"/>
        <v>100</v>
      </c>
      <c r="G103" s="878">
        <v>0</v>
      </c>
      <c r="H103" s="878">
        <v>100</v>
      </c>
      <c r="I103" s="874">
        <f t="shared" si="25"/>
        <v>0</v>
      </c>
      <c r="J103" s="878"/>
      <c r="K103" s="878"/>
      <c r="L103" s="876">
        <f t="shared" ref="L103:L117" si="27">IF(I103=0,0,I103/F103*100)</f>
        <v>0</v>
      </c>
      <c r="M103" s="877">
        <f t="shared" ref="M103:M117" si="28">IF(J103=0,0,J103/G103*100)</f>
        <v>0</v>
      </c>
      <c r="N103" s="877">
        <f t="shared" ref="N103:N117" si="29">IF(K103=0,0,K103/H103*100)</f>
        <v>0</v>
      </c>
      <c r="O103" s="756"/>
      <c r="P103" s="756"/>
      <c r="Q103" s="994"/>
    </row>
    <row r="104" spans="1:17" ht="105">
      <c r="A104" s="897" t="s">
        <v>632</v>
      </c>
      <c r="B104" s="956" t="s">
        <v>658</v>
      </c>
      <c r="C104" s="874">
        <f t="shared" si="24"/>
        <v>100</v>
      </c>
      <c r="D104" s="878">
        <v>0</v>
      </c>
      <c r="E104" s="996">
        <v>100</v>
      </c>
      <c r="F104" s="874">
        <f t="shared" si="20"/>
        <v>100</v>
      </c>
      <c r="G104" s="878">
        <v>0</v>
      </c>
      <c r="H104" s="878">
        <v>100</v>
      </c>
      <c r="I104" s="874">
        <f t="shared" si="25"/>
        <v>0</v>
      </c>
      <c r="J104" s="878"/>
      <c r="K104" s="878"/>
      <c r="L104" s="876">
        <f t="shared" si="27"/>
        <v>0</v>
      </c>
      <c r="M104" s="877">
        <f t="shared" si="28"/>
        <v>0</v>
      </c>
      <c r="N104" s="877">
        <f t="shared" si="29"/>
        <v>0</v>
      </c>
      <c r="O104" s="756"/>
      <c r="P104" s="756"/>
      <c r="Q104" s="994"/>
    </row>
    <row r="105" spans="1:17" ht="81.75" customHeight="1">
      <c r="A105" s="897" t="s">
        <v>633</v>
      </c>
      <c r="B105" s="901" t="s">
        <v>638</v>
      </c>
      <c r="C105" s="874">
        <f t="shared" si="24"/>
        <v>16000</v>
      </c>
      <c r="D105" s="879">
        <v>0</v>
      </c>
      <c r="E105" s="997">
        <f>2500+13500</f>
        <v>16000</v>
      </c>
      <c r="F105" s="874">
        <f t="shared" si="20"/>
        <v>16000</v>
      </c>
      <c r="G105" s="879">
        <v>0</v>
      </c>
      <c r="H105" s="879">
        <f>2500+13500</f>
        <v>16000</v>
      </c>
      <c r="I105" s="874">
        <f t="shared" si="25"/>
        <v>0</v>
      </c>
      <c r="J105" s="879"/>
      <c r="K105" s="879"/>
      <c r="L105" s="876">
        <f t="shared" si="27"/>
        <v>0</v>
      </c>
      <c r="M105" s="877">
        <f t="shared" si="28"/>
        <v>0</v>
      </c>
      <c r="N105" s="877">
        <f t="shared" si="29"/>
        <v>0</v>
      </c>
      <c r="O105" s="725"/>
      <c r="P105" s="725"/>
      <c r="Q105" s="994"/>
    </row>
    <row r="106" spans="1:17" ht="89.25" customHeight="1">
      <c r="A106" s="897" t="s">
        <v>634</v>
      </c>
      <c r="B106" s="900" t="s">
        <v>646</v>
      </c>
      <c r="C106" s="874">
        <f t="shared" si="24"/>
        <v>10000</v>
      </c>
      <c r="D106" s="878">
        <v>0</v>
      </c>
      <c r="E106" s="996">
        <f>4428.5+5571.5</f>
        <v>10000</v>
      </c>
      <c r="F106" s="874">
        <f t="shared" si="20"/>
        <v>10000</v>
      </c>
      <c r="G106" s="878">
        <v>0</v>
      </c>
      <c r="H106" s="878">
        <f>4428.5+5571.5</f>
        <v>10000</v>
      </c>
      <c r="I106" s="874">
        <f t="shared" si="25"/>
        <v>0</v>
      </c>
      <c r="J106" s="878"/>
      <c r="K106" s="878"/>
      <c r="L106" s="876">
        <f t="shared" si="27"/>
        <v>0</v>
      </c>
      <c r="M106" s="877">
        <f t="shared" si="28"/>
        <v>0</v>
      </c>
      <c r="N106" s="877">
        <f t="shared" si="29"/>
        <v>0</v>
      </c>
      <c r="O106" s="756"/>
      <c r="P106" s="756"/>
      <c r="Q106" s="994"/>
    </row>
    <row r="107" spans="1:17" ht="87.75" customHeight="1">
      <c r="A107" s="897" t="s">
        <v>635</v>
      </c>
      <c r="B107" s="985" t="s">
        <v>642</v>
      </c>
      <c r="C107" s="874">
        <f t="shared" si="24"/>
        <v>8400</v>
      </c>
      <c r="D107" s="879">
        <v>0</v>
      </c>
      <c r="E107" s="997">
        <v>8400</v>
      </c>
      <c r="F107" s="874">
        <f t="shared" si="20"/>
        <v>8400</v>
      </c>
      <c r="G107" s="879">
        <v>0</v>
      </c>
      <c r="H107" s="879">
        <v>8400</v>
      </c>
      <c r="I107" s="874">
        <f t="shared" si="25"/>
        <v>0</v>
      </c>
      <c r="J107" s="879"/>
      <c r="K107" s="879"/>
      <c r="L107" s="876">
        <f t="shared" si="27"/>
        <v>0</v>
      </c>
      <c r="M107" s="877">
        <f t="shared" si="28"/>
        <v>0</v>
      </c>
      <c r="N107" s="877">
        <f t="shared" si="29"/>
        <v>0</v>
      </c>
      <c r="O107" s="756"/>
      <c r="P107" s="756"/>
      <c r="Q107" s="994"/>
    </row>
    <row r="108" spans="1:17" s="914" customFormat="1" ht="67.5" customHeight="1">
      <c r="A108" s="945"/>
      <c r="B108" s="907" t="s">
        <v>444</v>
      </c>
      <c r="C108" s="908">
        <f>SUM(D108:E108)</f>
        <v>2134130</v>
      </c>
      <c r="D108" s="909">
        <f>SUM(D109:D154)</f>
        <v>1926179.6</v>
      </c>
      <c r="E108" s="909">
        <f>SUM(E109:E154)</f>
        <v>207950.4</v>
      </c>
      <c r="F108" s="908">
        <f t="shared" ref="F108:F115" si="30">SUM(G108:H108)</f>
        <v>2134130</v>
      </c>
      <c r="G108" s="909">
        <f>SUM(G109:G154)</f>
        <v>1926179.6</v>
      </c>
      <c r="H108" s="909">
        <f>SUM(H109:H154)</f>
        <v>207950.4</v>
      </c>
      <c r="I108" s="908">
        <f t="shared" si="25"/>
        <v>0</v>
      </c>
      <c r="J108" s="909">
        <f>SUM(J109:J154)</f>
        <v>0</v>
      </c>
      <c r="K108" s="909">
        <f>SUM(K109:K154)</f>
        <v>0</v>
      </c>
      <c r="L108" s="910">
        <f t="shared" si="27"/>
        <v>0</v>
      </c>
      <c r="M108" s="910">
        <f t="shared" si="28"/>
        <v>0</v>
      </c>
      <c r="N108" s="910">
        <f t="shared" si="29"/>
        <v>0</v>
      </c>
      <c r="O108" s="912">
        <f>D108-G108</f>
        <v>0</v>
      </c>
      <c r="P108" s="912">
        <f>E108-H108</f>
        <v>0</v>
      </c>
      <c r="Q108" s="994"/>
    </row>
    <row r="109" spans="1:17" ht="78.75">
      <c r="A109" s="897" t="s">
        <v>734</v>
      </c>
      <c r="B109" s="955" t="s">
        <v>705</v>
      </c>
      <c r="C109" s="874">
        <f>SUM(D109:E109)</f>
        <v>53700.2</v>
      </c>
      <c r="D109" s="878">
        <f>53700.2*0.93983159496</f>
        <v>50469.1</v>
      </c>
      <c r="E109" s="878">
        <f>53700.2*(1-0.93983159496)</f>
        <v>3231.1</v>
      </c>
      <c r="F109" s="874">
        <f t="shared" si="30"/>
        <v>53700.2</v>
      </c>
      <c r="G109" s="878">
        <f>53700.2*0.93983159496</f>
        <v>50469.1</v>
      </c>
      <c r="H109" s="878">
        <f>53700.2*(1-0.93983159496)</f>
        <v>3231.1</v>
      </c>
      <c r="I109" s="874">
        <f>SUM(J109:K109)</f>
        <v>0</v>
      </c>
      <c r="J109" s="878"/>
      <c r="K109" s="878"/>
      <c r="L109" s="876">
        <f t="shared" ref="L109:N112" si="31">IF(I109=0,0,I109/F109*100)</f>
        <v>0</v>
      </c>
      <c r="M109" s="877">
        <f t="shared" si="31"/>
        <v>0</v>
      </c>
      <c r="N109" s="877">
        <f t="shared" si="31"/>
        <v>0</v>
      </c>
      <c r="O109" s="725"/>
      <c r="P109" s="725"/>
      <c r="Q109" s="994">
        <f>C109-F109</f>
        <v>0</v>
      </c>
    </row>
    <row r="110" spans="1:17" ht="78.75">
      <c r="A110" s="897" t="s">
        <v>735</v>
      </c>
      <c r="B110" s="956" t="s">
        <v>704</v>
      </c>
      <c r="C110" s="874">
        <f>SUM(D110:E110)</f>
        <v>28400</v>
      </c>
      <c r="D110" s="878">
        <f>28400*0.93983159496</f>
        <v>26691.200000000001</v>
      </c>
      <c r="E110" s="878">
        <f>28400*(1-0.93983159496)</f>
        <v>1708.8</v>
      </c>
      <c r="F110" s="874">
        <f t="shared" si="30"/>
        <v>28400</v>
      </c>
      <c r="G110" s="878">
        <f>28400*0.93983159496</f>
        <v>26691.200000000001</v>
      </c>
      <c r="H110" s="878">
        <f>28400*(1-0.93983159496)</f>
        <v>1708.8</v>
      </c>
      <c r="I110" s="874">
        <f>SUM(J110:K110)</f>
        <v>0</v>
      </c>
      <c r="J110" s="878"/>
      <c r="K110" s="878"/>
      <c r="L110" s="876">
        <f t="shared" si="31"/>
        <v>0</v>
      </c>
      <c r="M110" s="877">
        <f t="shared" si="31"/>
        <v>0</v>
      </c>
      <c r="N110" s="877">
        <f t="shared" si="31"/>
        <v>0</v>
      </c>
      <c r="O110" s="725"/>
      <c r="P110" s="725"/>
      <c r="Q110" s="994">
        <f t="shared" ref="Q110:Q159" si="32">C110-F110</f>
        <v>0</v>
      </c>
    </row>
    <row r="111" spans="1:17" ht="78.75">
      <c r="A111" s="897" t="s">
        <v>636</v>
      </c>
      <c r="B111" s="956" t="s">
        <v>703</v>
      </c>
      <c r="C111" s="874">
        <f>SUM(D111:E111)</f>
        <v>54300</v>
      </c>
      <c r="D111" s="878">
        <f>54300*0.93983159496</f>
        <v>51032.9</v>
      </c>
      <c r="E111" s="878">
        <f>54300*(1-0.93983159496)</f>
        <v>3267.1</v>
      </c>
      <c r="F111" s="874">
        <f t="shared" si="30"/>
        <v>54300</v>
      </c>
      <c r="G111" s="878">
        <f>54300*0.93983159496</f>
        <v>51032.9</v>
      </c>
      <c r="H111" s="878">
        <f>54300*(1-0.93983159496)</f>
        <v>3267.1</v>
      </c>
      <c r="I111" s="874">
        <f>SUM(J111:K111)</f>
        <v>0</v>
      </c>
      <c r="J111" s="878"/>
      <c r="K111" s="878"/>
      <c r="L111" s="876">
        <f t="shared" si="31"/>
        <v>0</v>
      </c>
      <c r="M111" s="877">
        <f t="shared" si="31"/>
        <v>0</v>
      </c>
      <c r="N111" s="877">
        <f t="shared" si="31"/>
        <v>0</v>
      </c>
      <c r="O111" s="725"/>
      <c r="P111" s="725"/>
      <c r="Q111" s="994">
        <f t="shared" si="32"/>
        <v>0</v>
      </c>
    </row>
    <row r="112" spans="1:17" ht="78.75">
      <c r="A112" s="897" t="s">
        <v>736</v>
      </c>
      <c r="B112" s="956" t="s">
        <v>702</v>
      </c>
      <c r="C112" s="874">
        <f>SUM(D112:E112)</f>
        <v>56697.8</v>
      </c>
      <c r="D112" s="878">
        <f>56697.8*0.93983159496</f>
        <v>53286.400000000001</v>
      </c>
      <c r="E112" s="878">
        <f>56697.8*(1-0.93983159496)</f>
        <v>3411.4</v>
      </c>
      <c r="F112" s="874">
        <f t="shared" si="30"/>
        <v>56697.8</v>
      </c>
      <c r="G112" s="878">
        <f>56697.8*0.93983159496</f>
        <v>53286.400000000001</v>
      </c>
      <c r="H112" s="878">
        <f>56697.8*(1-0.93983159496)</f>
        <v>3411.4</v>
      </c>
      <c r="I112" s="874">
        <f>SUM(J112:K112)</f>
        <v>0</v>
      </c>
      <c r="J112" s="878"/>
      <c r="K112" s="878"/>
      <c r="L112" s="876">
        <f t="shared" si="31"/>
        <v>0</v>
      </c>
      <c r="M112" s="877">
        <f t="shared" si="31"/>
        <v>0</v>
      </c>
      <c r="N112" s="877">
        <f t="shared" si="31"/>
        <v>0</v>
      </c>
      <c r="O112" s="725"/>
      <c r="P112" s="725"/>
      <c r="Q112" s="994">
        <f t="shared" si="32"/>
        <v>0</v>
      </c>
    </row>
    <row r="113" spans="1:17" ht="78.75">
      <c r="A113" s="897" t="s">
        <v>737</v>
      </c>
      <c r="B113" s="956" t="s">
        <v>701</v>
      </c>
      <c r="C113" s="874">
        <f t="shared" si="24"/>
        <v>8000</v>
      </c>
      <c r="D113" s="878">
        <f>8000*0.93983159496</f>
        <v>7518.7</v>
      </c>
      <c r="E113" s="878">
        <f>8000*(1-0.93983159496)</f>
        <v>481.3</v>
      </c>
      <c r="F113" s="874">
        <f t="shared" si="30"/>
        <v>8000</v>
      </c>
      <c r="G113" s="878">
        <f>8000*0.93983159496</f>
        <v>7518.7</v>
      </c>
      <c r="H113" s="878">
        <f>8000*(1-0.93983159496)</f>
        <v>481.3</v>
      </c>
      <c r="I113" s="874">
        <f t="shared" si="25"/>
        <v>0</v>
      </c>
      <c r="J113" s="878"/>
      <c r="K113" s="878"/>
      <c r="L113" s="876">
        <f t="shared" si="27"/>
        <v>0</v>
      </c>
      <c r="M113" s="877">
        <f t="shared" si="28"/>
        <v>0</v>
      </c>
      <c r="N113" s="877">
        <f t="shared" si="29"/>
        <v>0</v>
      </c>
      <c r="O113" s="725"/>
      <c r="P113" s="725"/>
      <c r="Q113" s="994">
        <f t="shared" si="32"/>
        <v>0</v>
      </c>
    </row>
    <row r="114" spans="1:17" ht="52.5">
      <c r="A114" s="897" t="s">
        <v>738</v>
      </c>
      <c r="B114" s="956" t="s">
        <v>775</v>
      </c>
      <c r="C114" s="874">
        <f>SUM(D114:E114)</f>
        <v>20200</v>
      </c>
      <c r="D114" s="878">
        <f>20200*0.93983159496</f>
        <v>18984.599999999999</v>
      </c>
      <c r="E114" s="878">
        <f>20200*(1-0.93983159496)</f>
        <v>1215.4000000000001</v>
      </c>
      <c r="F114" s="874">
        <f t="shared" si="30"/>
        <v>20200</v>
      </c>
      <c r="G114" s="878">
        <f>20200*0.93983159496</f>
        <v>18984.599999999999</v>
      </c>
      <c r="H114" s="878">
        <f>20200*(1-0.93983159496)</f>
        <v>1215.4000000000001</v>
      </c>
      <c r="I114" s="874">
        <f>SUM(J114:K114)</f>
        <v>0</v>
      </c>
      <c r="J114" s="878"/>
      <c r="K114" s="878"/>
      <c r="L114" s="876">
        <f t="shared" si="27"/>
        <v>0</v>
      </c>
      <c r="M114" s="877">
        <f t="shared" si="28"/>
        <v>0</v>
      </c>
      <c r="N114" s="877">
        <f t="shared" si="29"/>
        <v>0</v>
      </c>
      <c r="O114" s="725"/>
      <c r="P114" s="725"/>
      <c r="Q114" s="994">
        <f t="shared" si="32"/>
        <v>0</v>
      </c>
    </row>
    <row r="115" spans="1:17" ht="52.5">
      <c r="A115" s="897" t="s">
        <v>739</v>
      </c>
      <c r="B115" s="956" t="s">
        <v>774</v>
      </c>
      <c r="C115" s="874">
        <f>SUM(D115:E115)</f>
        <v>20500</v>
      </c>
      <c r="D115" s="878">
        <f>20500*0.93983159496</f>
        <v>19266.5</v>
      </c>
      <c r="E115" s="878">
        <f>20500*(1-0.93983159496)</f>
        <v>1233.5</v>
      </c>
      <c r="F115" s="874">
        <f t="shared" si="30"/>
        <v>20500</v>
      </c>
      <c r="G115" s="878">
        <f>20500*0.93983159496</f>
        <v>19266.5</v>
      </c>
      <c r="H115" s="878">
        <f>20500*(1-0.93983159496)</f>
        <v>1233.5</v>
      </c>
      <c r="I115" s="874">
        <f>SUM(J115:K115)</f>
        <v>0</v>
      </c>
      <c r="J115" s="878"/>
      <c r="K115" s="878"/>
      <c r="L115" s="876">
        <f>IF(I115=0,0,I115/F115*100)</f>
        <v>0</v>
      </c>
      <c r="M115" s="877">
        <f>IF(J115=0,0,J115/G115*100)</f>
        <v>0</v>
      </c>
      <c r="N115" s="877">
        <f>IF(K115=0,0,K115/H115*100)</f>
        <v>0</v>
      </c>
      <c r="O115" s="725"/>
      <c r="P115" s="725"/>
      <c r="Q115" s="994">
        <f t="shared" si="32"/>
        <v>0</v>
      </c>
    </row>
    <row r="116" spans="1:17" ht="78.75">
      <c r="A116" s="986" t="s">
        <v>740</v>
      </c>
      <c r="B116" s="901" t="s">
        <v>465</v>
      </c>
      <c r="C116" s="874">
        <f t="shared" si="24"/>
        <v>7870.7</v>
      </c>
      <c r="D116" s="878">
        <v>7398.4</v>
      </c>
      <c r="E116" s="878">
        <v>472.3</v>
      </c>
      <c r="F116" s="874">
        <f t="shared" ref="F116:F133" si="33">SUM(G116:H116)</f>
        <v>7870.7</v>
      </c>
      <c r="G116" s="878">
        <v>7398.4</v>
      </c>
      <c r="H116" s="878">
        <v>472.3</v>
      </c>
      <c r="I116" s="874">
        <f t="shared" si="25"/>
        <v>0</v>
      </c>
      <c r="J116" s="878"/>
      <c r="K116" s="878"/>
      <c r="L116" s="876">
        <f t="shared" si="27"/>
        <v>0</v>
      </c>
      <c r="M116" s="877">
        <f t="shared" si="28"/>
        <v>0</v>
      </c>
      <c r="N116" s="877">
        <f t="shared" si="29"/>
        <v>0</v>
      </c>
      <c r="O116" s="725"/>
      <c r="P116" s="725"/>
      <c r="Q116" s="994">
        <f t="shared" si="32"/>
        <v>0</v>
      </c>
    </row>
    <row r="117" spans="1:17" ht="78.75">
      <c r="A117" s="897" t="s">
        <v>741</v>
      </c>
      <c r="B117" s="969" t="s">
        <v>537</v>
      </c>
      <c r="C117" s="874">
        <f t="shared" ref="C117:C122" si="34">SUM(D117:E117)</f>
        <v>9137.6</v>
      </c>
      <c r="D117" s="878">
        <v>8589.2999999999993</v>
      </c>
      <c r="E117" s="878">
        <v>548.29999999999995</v>
      </c>
      <c r="F117" s="874">
        <f t="shared" si="33"/>
        <v>9137.6</v>
      </c>
      <c r="G117" s="878">
        <v>8589.2999999999993</v>
      </c>
      <c r="H117" s="878">
        <v>548.29999999999995</v>
      </c>
      <c r="I117" s="874">
        <f t="shared" si="25"/>
        <v>0</v>
      </c>
      <c r="J117" s="878"/>
      <c r="K117" s="878"/>
      <c r="L117" s="876">
        <f t="shared" si="27"/>
        <v>0</v>
      </c>
      <c r="M117" s="877">
        <f t="shared" si="28"/>
        <v>0</v>
      </c>
      <c r="N117" s="877">
        <f t="shared" si="29"/>
        <v>0</v>
      </c>
      <c r="O117" s="725"/>
      <c r="P117" s="725"/>
      <c r="Q117" s="994">
        <f t="shared" si="32"/>
        <v>0</v>
      </c>
    </row>
    <row r="118" spans="1:17" ht="78.75">
      <c r="A118" s="897" t="s">
        <v>742</v>
      </c>
      <c r="B118" s="969" t="s">
        <v>587</v>
      </c>
      <c r="C118" s="874">
        <f t="shared" si="34"/>
        <v>12956.3</v>
      </c>
      <c r="D118" s="878">
        <v>12178.9</v>
      </c>
      <c r="E118" s="878">
        <v>777.4</v>
      </c>
      <c r="F118" s="874">
        <f t="shared" si="33"/>
        <v>12956.3</v>
      </c>
      <c r="G118" s="878">
        <v>12178.9</v>
      </c>
      <c r="H118" s="878">
        <v>777.4</v>
      </c>
      <c r="I118" s="874">
        <f t="shared" si="25"/>
        <v>0</v>
      </c>
      <c r="J118" s="878"/>
      <c r="K118" s="878"/>
      <c r="L118" s="876">
        <f t="shared" ref="L118:N122" si="35">IF(I118=0,0,I118/F118*100)</f>
        <v>0</v>
      </c>
      <c r="M118" s="877">
        <f t="shared" si="35"/>
        <v>0</v>
      </c>
      <c r="N118" s="877">
        <f t="shared" si="35"/>
        <v>0</v>
      </c>
      <c r="O118" s="725"/>
      <c r="P118" s="725"/>
      <c r="Q118" s="994">
        <f t="shared" si="32"/>
        <v>0</v>
      </c>
    </row>
    <row r="119" spans="1:17" ht="105">
      <c r="A119" s="895">
        <v>77</v>
      </c>
      <c r="B119" s="955" t="s">
        <v>588</v>
      </c>
      <c r="C119" s="874">
        <f t="shared" si="34"/>
        <v>20092.400000000001</v>
      </c>
      <c r="D119" s="878">
        <v>18886.8</v>
      </c>
      <c r="E119" s="878">
        <v>1205.5999999999999</v>
      </c>
      <c r="F119" s="874">
        <f t="shared" si="33"/>
        <v>20092.400000000001</v>
      </c>
      <c r="G119" s="878">
        <v>18886.8</v>
      </c>
      <c r="H119" s="878">
        <v>1205.5999999999999</v>
      </c>
      <c r="I119" s="874">
        <f t="shared" si="25"/>
        <v>0</v>
      </c>
      <c r="J119" s="878"/>
      <c r="K119" s="878"/>
      <c r="L119" s="876">
        <f t="shared" si="35"/>
        <v>0</v>
      </c>
      <c r="M119" s="877">
        <f t="shared" si="35"/>
        <v>0</v>
      </c>
      <c r="N119" s="877">
        <f t="shared" si="35"/>
        <v>0</v>
      </c>
      <c r="O119" s="725"/>
      <c r="P119" s="725"/>
      <c r="Q119" s="994">
        <f t="shared" si="32"/>
        <v>0</v>
      </c>
    </row>
    <row r="120" spans="1:17" ht="78.75">
      <c r="A120" s="895">
        <v>78</v>
      </c>
      <c r="B120" s="955" t="s">
        <v>589</v>
      </c>
      <c r="C120" s="874">
        <f t="shared" si="34"/>
        <v>9194.2000000000007</v>
      </c>
      <c r="D120" s="878">
        <v>8642.5</v>
      </c>
      <c r="E120" s="878">
        <v>551.70000000000005</v>
      </c>
      <c r="F120" s="874">
        <f t="shared" si="33"/>
        <v>9194.2000000000007</v>
      </c>
      <c r="G120" s="878">
        <v>8642.5</v>
      </c>
      <c r="H120" s="878">
        <v>551.70000000000005</v>
      </c>
      <c r="I120" s="874">
        <f t="shared" si="25"/>
        <v>0</v>
      </c>
      <c r="J120" s="878"/>
      <c r="K120" s="878"/>
      <c r="L120" s="876">
        <f t="shared" si="35"/>
        <v>0</v>
      </c>
      <c r="M120" s="877">
        <f t="shared" si="35"/>
        <v>0</v>
      </c>
      <c r="N120" s="877">
        <f t="shared" si="35"/>
        <v>0</v>
      </c>
      <c r="O120" s="725"/>
      <c r="P120" s="725"/>
      <c r="Q120" s="994">
        <f t="shared" si="32"/>
        <v>0</v>
      </c>
    </row>
    <row r="121" spans="1:17" ht="78.75">
      <c r="A121" s="895">
        <v>79</v>
      </c>
      <c r="B121" s="955" t="s">
        <v>616</v>
      </c>
      <c r="C121" s="874">
        <f t="shared" si="34"/>
        <v>18682.400000000001</v>
      </c>
      <c r="D121" s="878">
        <v>17561.3</v>
      </c>
      <c r="E121" s="878">
        <v>1121.0999999999999</v>
      </c>
      <c r="F121" s="874">
        <f t="shared" si="33"/>
        <v>18682.400000000001</v>
      </c>
      <c r="G121" s="878">
        <v>17561.3</v>
      </c>
      <c r="H121" s="878">
        <v>1121.0999999999999</v>
      </c>
      <c r="I121" s="874">
        <f t="shared" si="25"/>
        <v>0</v>
      </c>
      <c r="J121" s="878"/>
      <c r="K121" s="878"/>
      <c r="L121" s="876">
        <f t="shared" si="35"/>
        <v>0</v>
      </c>
      <c r="M121" s="877">
        <f t="shared" si="35"/>
        <v>0</v>
      </c>
      <c r="N121" s="877">
        <f t="shared" si="35"/>
        <v>0</v>
      </c>
      <c r="O121" s="725"/>
      <c r="P121" s="725"/>
      <c r="Q121" s="994">
        <f t="shared" si="32"/>
        <v>0</v>
      </c>
    </row>
    <row r="122" spans="1:17" ht="105">
      <c r="A122" s="895">
        <v>80</v>
      </c>
      <c r="B122" s="955" t="s">
        <v>591</v>
      </c>
      <c r="C122" s="874">
        <f t="shared" si="34"/>
        <v>34409.1</v>
      </c>
      <c r="D122" s="878">
        <v>32344.5</v>
      </c>
      <c r="E122" s="878">
        <v>2064.6</v>
      </c>
      <c r="F122" s="874">
        <f t="shared" si="33"/>
        <v>34409.1</v>
      </c>
      <c r="G122" s="878">
        <v>32344.5</v>
      </c>
      <c r="H122" s="878">
        <v>2064.6</v>
      </c>
      <c r="I122" s="874">
        <f t="shared" si="25"/>
        <v>0</v>
      </c>
      <c r="J122" s="878"/>
      <c r="K122" s="878"/>
      <c r="L122" s="876">
        <f t="shared" si="35"/>
        <v>0</v>
      </c>
      <c r="M122" s="877">
        <f t="shared" si="35"/>
        <v>0</v>
      </c>
      <c r="N122" s="877">
        <f t="shared" si="35"/>
        <v>0</v>
      </c>
      <c r="O122" s="725"/>
      <c r="P122" s="725"/>
      <c r="Q122" s="994">
        <f t="shared" si="32"/>
        <v>0</v>
      </c>
    </row>
    <row r="123" spans="1:17" ht="78.75">
      <c r="A123" s="897" t="s">
        <v>762</v>
      </c>
      <c r="B123" s="969" t="s">
        <v>575</v>
      </c>
      <c r="C123" s="874">
        <f t="shared" ref="C123:C158" si="36">SUM(D123:E123)</f>
        <v>2453.8000000000002</v>
      </c>
      <c r="D123" s="878">
        <v>2306.5</v>
      </c>
      <c r="E123" s="878">
        <v>147.30000000000001</v>
      </c>
      <c r="F123" s="874">
        <f t="shared" si="33"/>
        <v>2453.8000000000002</v>
      </c>
      <c r="G123" s="878">
        <v>2306.5</v>
      </c>
      <c r="H123" s="878">
        <v>147.30000000000001</v>
      </c>
      <c r="I123" s="874">
        <f t="shared" si="25"/>
        <v>0</v>
      </c>
      <c r="J123" s="878"/>
      <c r="K123" s="878"/>
      <c r="L123" s="876">
        <f t="shared" ref="L123:N125" si="37">IF(I123=0,0,I123/F123*100)</f>
        <v>0</v>
      </c>
      <c r="M123" s="877">
        <f t="shared" si="37"/>
        <v>0</v>
      </c>
      <c r="N123" s="877">
        <f t="shared" si="37"/>
        <v>0</v>
      </c>
      <c r="O123" s="756"/>
      <c r="P123" s="756"/>
      <c r="Q123" s="994">
        <f t="shared" si="32"/>
        <v>0</v>
      </c>
    </row>
    <row r="124" spans="1:17" ht="84.75" customHeight="1">
      <c r="A124" s="897" t="s">
        <v>743</v>
      </c>
      <c r="B124" s="969" t="s">
        <v>660</v>
      </c>
      <c r="C124" s="874">
        <f t="shared" si="36"/>
        <v>7347.6</v>
      </c>
      <c r="D124" s="878">
        <v>6906.1</v>
      </c>
      <c r="E124" s="878">
        <v>441.5</v>
      </c>
      <c r="F124" s="874">
        <f t="shared" si="33"/>
        <v>7347.6</v>
      </c>
      <c r="G124" s="878">
        <v>6906.1</v>
      </c>
      <c r="H124" s="878">
        <v>441.5</v>
      </c>
      <c r="I124" s="874">
        <f t="shared" si="25"/>
        <v>0</v>
      </c>
      <c r="J124" s="878"/>
      <c r="K124" s="878"/>
      <c r="L124" s="876">
        <f t="shared" si="37"/>
        <v>0</v>
      </c>
      <c r="M124" s="877">
        <f t="shared" si="37"/>
        <v>0</v>
      </c>
      <c r="N124" s="877">
        <f t="shared" si="37"/>
        <v>0</v>
      </c>
      <c r="O124" s="725"/>
      <c r="P124" s="725"/>
      <c r="Q124" s="994">
        <f t="shared" si="32"/>
        <v>0</v>
      </c>
    </row>
    <row r="125" spans="1:17" ht="52.5">
      <c r="A125" s="897" t="s">
        <v>744</v>
      </c>
      <c r="B125" s="969" t="s">
        <v>659</v>
      </c>
      <c r="C125" s="874">
        <f t="shared" si="36"/>
        <v>4366.3999999999996</v>
      </c>
      <c r="D125" s="878">
        <v>4104.3</v>
      </c>
      <c r="E125" s="878">
        <v>262.10000000000002</v>
      </c>
      <c r="F125" s="874">
        <f t="shared" si="33"/>
        <v>4366.3999999999996</v>
      </c>
      <c r="G125" s="878">
        <v>4104.3</v>
      </c>
      <c r="H125" s="878">
        <v>262.10000000000002</v>
      </c>
      <c r="I125" s="874">
        <f t="shared" si="25"/>
        <v>0</v>
      </c>
      <c r="J125" s="878"/>
      <c r="K125" s="878"/>
      <c r="L125" s="876">
        <f t="shared" si="37"/>
        <v>0</v>
      </c>
      <c r="M125" s="877">
        <f t="shared" si="37"/>
        <v>0</v>
      </c>
      <c r="N125" s="877">
        <f t="shared" si="37"/>
        <v>0</v>
      </c>
      <c r="O125" s="725"/>
      <c r="P125" s="725"/>
      <c r="Q125" s="994">
        <f t="shared" si="32"/>
        <v>0</v>
      </c>
    </row>
    <row r="126" spans="1:17" ht="78.75">
      <c r="A126" s="897" t="s">
        <v>745</v>
      </c>
      <c r="B126" s="896" t="s">
        <v>459</v>
      </c>
      <c r="C126" s="874">
        <f t="shared" si="36"/>
        <v>2776.8</v>
      </c>
      <c r="D126" s="879">
        <v>2610.1</v>
      </c>
      <c r="E126" s="879">
        <v>166.7</v>
      </c>
      <c r="F126" s="874">
        <f t="shared" si="33"/>
        <v>2776.8</v>
      </c>
      <c r="G126" s="879">
        <v>2610.1</v>
      </c>
      <c r="H126" s="879">
        <v>166.7</v>
      </c>
      <c r="I126" s="874">
        <f t="shared" si="25"/>
        <v>0</v>
      </c>
      <c r="J126" s="879"/>
      <c r="K126" s="879"/>
      <c r="L126" s="876">
        <f t="shared" ref="L126:N128" si="38">IF(I126=0,0,I126/F126*100)</f>
        <v>0</v>
      </c>
      <c r="M126" s="877">
        <f t="shared" si="38"/>
        <v>0</v>
      </c>
      <c r="N126" s="877">
        <f t="shared" si="38"/>
        <v>0</v>
      </c>
      <c r="O126" s="725"/>
      <c r="P126" s="725"/>
      <c r="Q126" s="994">
        <f t="shared" si="32"/>
        <v>0</v>
      </c>
    </row>
    <row r="127" spans="1:17" s="515" customFormat="1" ht="52.5">
      <c r="A127" s="897" t="s">
        <v>746</v>
      </c>
      <c r="B127" s="968" t="s">
        <v>568</v>
      </c>
      <c r="C127" s="874">
        <f t="shared" si="36"/>
        <v>3909.4</v>
      </c>
      <c r="D127" s="879">
        <v>3674.8</v>
      </c>
      <c r="E127" s="879">
        <v>234.6</v>
      </c>
      <c r="F127" s="874">
        <f t="shared" si="33"/>
        <v>3909.4</v>
      </c>
      <c r="G127" s="879">
        <v>3674.8</v>
      </c>
      <c r="H127" s="879">
        <v>234.6</v>
      </c>
      <c r="I127" s="874">
        <f t="shared" si="25"/>
        <v>0</v>
      </c>
      <c r="J127" s="879"/>
      <c r="K127" s="879"/>
      <c r="L127" s="876">
        <f>IF(I127=0,0,I127/F127*100)</f>
        <v>0</v>
      </c>
      <c r="M127" s="877">
        <f>IF(J127=0,0,J127/G127*100)</f>
        <v>0</v>
      </c>
      <c r="N127" s="877">
        <f>IF(K127=0,0,K127/H127*100)</f>
        <v>0</v>
      </c>
      <c r="O127" s="740"/>
      <c r="P127" s="740"/>
      <c r="Q127" s="994">
        <f t="shared" si="32"/>
        <v>0</v>
      </c>
    </row>
    <row r="128" spans="1:17" s="515" customFormat="1" ht="78.75">
      <c r="A128" s="897" t="s">
        <v>747</v>
      </c>
      <c r="B128" s="900" t="s">
        <v>693</v>
      </c>
      <c r="C128" s="874">
        <f t="shared" si="36"/>
        <v>19745.7</v>
      </c>
      <c r="D128" s="879">
        <v>18560.900000000001</v>
      </c>
      <c r="E128" s="879">
        <v>1184.8</v>
      </c>
      <c r="F128" s="874">
        <f t="shared" si="33"/>
        <v>19745.7</v>
      </c>
      <c r="G128" s="879">
        <v>18560.900000000001</v>
      </c>
      <c r="H128" s="879">
        <v>1184.8</v>
      </c>
      <c r="I128" s="874">
        <f t="shared" si="25"/>
        <v>0</v>
      </c>
      <c r="J128" s="879"/>
      <c r="K128" s="879"/>
      <c r="L128" s="876">
        <f t="shared" si="38"/>
        <v>0</v>
      </c>
      <c r="M128" s="877">
        <f t="shared" si="38"/>
        <v>0</v>
      </c>
      <c r="N128" s="877">
        <f t="shared" si="38"/>
        <v>0</v>
      </c>
      <c r="O128" s="740"/>
      <c r="P128" s="740"/>
      <c r="Q128" s="994">
        <f t="shared" si="32"/>
        <v>0</v>
      </c>
    </row>
    <row r="129" spans="1:17" s="515" customFormat="1" ht="52.5">
      <c r="A129" s="897" t="s">
        <v>748</v>
      </c>
      <c r="B129" s="987" t="s">
        <v>655</v>
      </c>
      <c r="C129" s="874">
        <f t="shared" si="36"/>
        <v>171200</v>
      </c>
      <c r="D129" s="879">
        <v>160400</v>
      </c>
      <c r="E129" s="988">
        <v>10800</v>
      </c>
      <c r="F129" s="874">
        <f t="shared" si="33"/>
        <v>171200</v>
      </c>
      <c r="G129" s="879">
        <v>160400</v>
      </c>
      <c r="H129" s="988">
        <v>10800</v>
      </c>
      <c r="I129" s="874">
        <f t="shared" si="25"/>
        <v>0</v>
      </c>
      <c r="J129" s="879"/>
      <c r="K129" s="879"/>
      <c r="L129" s="876">
        <f t="shared" ref="L129:L154" si="39">IF(I129=0,0,I129/F129*100)</f>
        <v>0</v>
      </c>
      <c r="M129" s="877">
        <f t="shared" ref="M129:M154" si="40">IF(J129=0,0,J129/G129*100)</f>
        <v>0</v>
      </c>
      <c r="N129" s="877">
        <f t="shared" ref="N129:N154" si="41">IF(K129=0,0,K129/H129*100)</f>
        <v>0</v>
      </c>
      <c r="O129" s="740"/>
      <c r="P129" s="740"/>
      <c r="Q129" s="994">
        <f t="shared" si="32"/>
        <v>0</v>
      </c>
    </row>
    <row r="130" spans="1:17" ht="78.75">
      <c r="A130" s="2404" t="s">
        <v>749</v>
      </c>
      <c r="B130" s="969" t="s">
        <v>644</v>
      </c>
      <c r="C130" s="874">
        <f t="shared" si="36"/>
        <v>20270</v>
      </c>
      <c r="D130" s="878">
        <v>0</v>
      </c>
      <c r="E130" s="996">
        <f>8390+11880</f>
        <v>20270</v>
      </c>
      <c r="F130" s="874">
        <f t="shared" si="33"/>
        <v>20270</v>
      </c>
      <c r="G130" s="878">
        <v>0</v>
      </c>
      <c r="H130" s="878">
        <f>8390+11880</f>
        <v>20270</v>
      </c>
      <c r="I130" s="874">
        <f t="shared" si="25"/>
        <v>0</v>
      </c>
      <c r="J130" s="878"/>
      <c r="K130" s="878"/>
      <c r="L130" s="876">
        <f t="shared" si="39"/>
        <v>0</v>
      </c>
      <c r="M130" s="877">
        <f t="shared" si="40"/>
        <v>0</v>
      </c>
      <c r="N130" s="877">
        <f t="shared" si="41"/>
        <v>0</v>
      </c>
      <c r="O130" s="725"/>
      <c r="P130" s="725"/>
      <c r="Q130" s="994">
        <f t="shared" si="32"/>
        <v>0</v>
      </c>
    </row>
    <row r="131" spans="1:17" ht="52.5">
      <c r="A131" s="2405"/>
      <c r="B131" s="969" t="s">
        <v>478</v>
      </c>
      <c r="C131" s="874">
        <f t="shared" si="36"/>
        <v>439000</v>
      </c>
      <c r="D131" s="878">
        <v>412700</v>
      </c>
      <c r="E131" s="878">
        <v>26300</v>
      </c>
      <c r="F131" s="874">
        <f t="shared" si="33"/>
        <v>439000</v>
      </c>
      <c r="G131" s="878">
        <v>412700</v>
      </c>
      <c r="H131" s="878">
        <v>26300</v>
      </c>
      <c r="I131" s="874">
        <f t="shared" si="25"/>
        <v>0</v>
      </c>
      <c r="J131" s="878"/>
      <c r="K131" s="878"/>
      <c r="L131" s="876">
        <f t="shared" si="39"/>
        <v>0</v>
      </c>
      <c r="M131" s="877">
        <f t="shared" si="40"/>
        <v>0</v>
      </c>
      <c r="N131" s="877">
        <f t="shared" si="41"/>
        <v>0</v>
      </c>
      <c r="O131" s="725"/>
      <c r="P131" s="725"/>
      <c r="Q131" s="994">
        <f t="shared" si="32"/>
        <v>0</v>
      </c>
    </row>
    <row r="132" spans="1:17" s="515" customFormat="1" ht="52.5">
      <c r="A132" s="897" t="s">
        <v>750</v>
      </c>
      <c r="B132" s="900" t="s">
        <v>499</v>
      </c>
      <c r="C132" s="874">
        <f t="shared" si="36"/>
        <v>9064.5</v>
      </c>
      <c r="D132" s="879">
        <v>8500</v>
      </c>
      <c r="E132" s="879">
        <v>564.5</v>
      </c>
      <c r="F132" s="874">
        <f t="shared" si="33"/>
        <v>9064.5</v>
      </c>
      <c r="G132" s="879">
        <v>8500</v>
      </c>
      <c r="H132" s="879">
        <v>564.5</v>
      </c>
      <c r="I132" s="874">
        <f t="shared" ref="I132:I158" si="42">SUM(J132:K132)</f>
        <v>0</v>
      </c>
      <c r="J132" s="879"/>
      <c r="K132" s="879"/>
      <c r="L132" s="876">
        <f t="shared" si="39"/>
        <v>0</v>
      </c>
      <c r="M132" s="877">
        <f t="shared" si="40"/>
        <v>0</v>
      </c>
      <c r="N132" s="877">
        <f t="shared" si="41"/>
        <v>0</v>
      </c>
      <c r="O132" s="740"/>
      <c r="P132" s="740"/>
      <c r="Q132" s="994">
        <f t="shared" si="32"/>
        <v>0</v>
      </c>
    </row>
    <row r="133" spans="1:17" ht="95.25" customHeight="1">
      <c r="A133" s="897" t="s">
        <v>751</v>
      </c>
      <c r="B133" s="900" t="s">
        <v>640</v>
      </c>
      <c r="C133" s="874">
        <f t="shared" si="36"/>
        <v>1400</v>
      </c>
      <c r="D133" s="879">
        <v>0</v>
      </c>
      <c r="E133" s="997">
        <v>1400</v>
      </c>
      <c r="F133" s="874">
        <f t="shared" si="33"/>
        <v>1400</v>
      </c>
      <c r="G133" s="879">
        <v>0</v>
      </c>
      <c r="H133" s="879">
        <v>1400</v>
      </c>
      <c r="I133" s="874">
        <f t="shared" si="42"/>
        <v>0</v>
      </c>
      <c r="J133" s="879"/>
      <c r="K133" s="879"/>
      <c r="L133" s="876">
        <f t="shared" si="39"/>
        <v>0</v>
      </c>
      <c r="M133" s="877">
        <f t="shared" si="40"/>
        <v>0</v>
      </c>
      <c r="N133" s="877">
        <f t="shared" si="41"/>
        <v>0</v>
      </c>
      <c r="O133" s="756"/>
      <c r="P133" s="756"/>
      <c r="Q133" s="994">
        <f t="shared" si="32"/>
        <v>0</v>
      </c>
    </row>
    <row r="134" spans="1:17" ht="27.75">
      <c r="A134" s="2392">
        <v>91</v>
      </c>
      <c r="B134" s="900" t="s">
        <v>692</v>
      </c>
      <c r="C134" s="874">
        <f>SUM(D134:E134)</f>
        <v>22300</v>
      </c>
      <c r="D134" s="879">
        <f>22300*0.9396914446</f>
        <v>20955.099999999999</v>
      </c>
      <c r="E134" s="879">
        <f>22300*(1-0.9396914446)</f>
        <v>1344.9</v>
      </c>
      <c r="F134" s="874">
        <f>SUM(G134:H134)</f>
        <v>22300</v>
      </c>
      <c r="G134" s="879">
        <f>22300*0.9396914446</f>
        <v>20955.099999999999</v>
      </c>
      <c r="H134" s="879">
        <f>22300*(1-0.9396914446)</f>
        <v>1344.9</v>
      </c>
      <c r="I134" s="874">
        <f>SUM(J134:K134)</f>
        <v>0</v>
      </c>
      <c r="J134" s="879"/>
      <c r="K134" s="879"/>
      <c r="L134" s="876">
        <f t="shared" ref="L134:N136" si="43">IF(I134=0,0,I134/F134*100)</f>
        <v>0</v>
      </c>
      <c r="M134" s="877">
        <f t="shared" si="43"/>
        <v>0</v>
      </c>
      <c r="N134" s="877">
        <f t="shared" si="43"/>
        <v>0</v>
      </c>
      <c r="O134" s="725"/>
      <c r="P134" s="725"/>
      <c r="Q134" s="994">
        <f t="shared" si="32"/>
        <v>0</v>
      </c>
    </row>
    <row r="135" spans="1:17" ht="52.5">
      <c r="A135" s="2393"/>
      <c r="B135" s="900" t="s">
        <v>768</v>
      </c>
      <c r="C135" s="874">
        <f>SUM(D135:E135)</f>
        <v>11700</v>
      </c>
      <c r="D135" s="879">
        <v>0</v>
      </c>
      <c r="E135" s="997">
        <v>11700</v>
      </c>
      <c r="F135" s="874">
        <f>SUM(G135:H135)</f>
        <v>11700</v>
      </c>
      <c r="G135" s="879">
        <v>0</v>
      </c>
      <c r="H135" s="879">
        <v>11700</v>
      </c>
      <c r="I135" s="874">
        <f>SUM(J135:K135)</f>
        <v>0</v>
      </c>
      <c r="J135" s="879"/>
      <c r="K135" s="879"/>
      <c r="L135" s="876">
        <f t="shared" si="43"/>
        <v>0</v>
      </c>
      <c r="M135" s="877">
        <f t="shared" si="43"/>
        <v>0</v>
      </c>
      <c r="N135" s="877">
        <f t="shared" si="43"/>
        <v>0</v>
      </c>
      <c r="O135" s="725"/>
      <c r="P135" s="725"/>
      <c r="Q135" s="994">
        <f t="shared" si="32"/>
        <v>0</v>
      </c>
    </row>
    <row r="136" spans="1:17" ht="27.75">
      <c r="A136" s="895">
        <v>92</v>
      </c>
      <c r="B136" s="900" t="s">
        <v>691</v>
      </c>
      <c r="C136" s="874">
        <f>SUM(D136:E136)</f>
        <v>49000</v>
      </c>
      <c r="D136" s="879">
        <f>49000*0.9396914446</f>
        <v>46044.9</v>
      </c>
      <c r="E136" s="879">
        <f>49000*(1-0.9396914446)</f>
        <v>2955.1</v>
      </c>
      <c r="F136" s="874">
        <f t="shared" ref="F136:F144" si="44">SUM(G136:H136)</f>
        <v>49000</v>
      </c>
      <c r="G136" s="879">
        <f>49000*0.9396914446</f>
        <v>46044.9</v>
      </c>
      <c r="H136" s="879">
        <f>49000*(1-0.9396914446)</f>
        <v>2955.1</v>
      </c>
      <c r="I136" s="874">
        <f>SUM(J136:K136)</f>
        <v>0</v>
      </c>
      <c r="J136" s="879"/>
      <c r="K136" s="879"/>
      <c r="L136" s="876">
        <f t="shared" si="43"/>
        <v>0</v>
      </c>
      <c r="M136" s="877">
        <f t="shared" si="43"/>
        <v>0</v>
      </c>
      <c r="N136" s="877">
        <f t="shared" si="43"/>
        <v>0</v>
      </c>
      <c r="O136" s="725"/>
      <c r="P136" s="725"/>
      <c r="Q136" s="994">
        <f t="shared" si="32"/>
        <v>0</v>
      </c>
    </row>
    <row r="137" spans="1:17" ht="52.5">
      <c r="A137" s="895">
        <v>92</v>
      </c>
      <c r="B137" s="900" t="s">
        <v>769</v>
      </c>
      <c r="C137" s="874">
        <f t="shared" si="36"/>
        <v>27300</v>
      </c>
      <c r="D137" s="879">
        <v>0</v>
      </c>
      <c r="E137" s="997">
        <v>27300</v>
      </c>
      <c r="F137" s="874">
        <f t="shared" si="44"/>
        <v>27300</v>
      </c>
      <c r="G137" s="879">
        <v>0</v>
      </c>
      <c r="H137" s="879">
        <v>27300</v>
      </c>
      <c r="I137" s="874">
        <f t="shared" si="42"/>
        <v>0</v>
      </c>
      <c r="J137" s="879"/>
      <c r="K137" s="879"/>
      <c r="L137" s="876">
        <f t="shared" si="39"/>
        <v>0</v>
      </c>
      <c r="M137" s="877">
        <f t="shared" si="40"/>
        <v>0</v>
      </c>
      <c r="N137" s="877">
        <f t="shared" si="41"/>
        <v>0</v>
      </c>
      <c r="O137" s="725"/>
      <c r="P137" s="725"/>
      <c r="Q137" s="994">
        <f t="shared" si="32"/>
        <v>0</v>
      </c>
    </row>
    <row r="138" spans="1:17" ht="27.75">
      <c r="A138" s="2392">
        <v>93</v>
      </c>
      <c r="B138" s="955" t="s">
        <v>763</v>
      </c>
      <c r="C138" s="874">
        <f t="shared" si="36"/>
        <v>32800</v>
      </c>
      <c r="D138" s="878">
        <f>32800*0.94084507042</f>
        <v>30859.7</v>
      </c>
      <c r="E138" s="878">
        <f>32800*(1-0.94084507042)</f>
        <v>1940.3</v>
      </c>
      <c r="F138" s="874">
        <f t="shared" si="44"/>
        <v>32800</v>
      </c>
      <c r="G138" s="878">
        <f>32800*0.94084507042</f>
        <v>30859.7</v>
      </c>
      <c r="H138" s="878">
        <f>32800*(1-0.94084507042)</f>
        <v>1940.3</v>
      </c>
      <c r="I138" s="874">
        <f t="shared" si="42"/>
        <v>0</v>
      </c>
      <c r="J138" s="878"/>
      <c r="K138" s="878"/>
      <c r="L138" s="876">
        <f t="shared" si="39"/>
        <v>0</v>
      </c>
      <c r="M138" s="877">
        <f t="shared" si="40"/>
        <v>0</v>
      </c>
      <c r="N138" s="877">
        <f t="shared" si="41"/>
        <v>0</v>
      </c>
      <c r="O138" s="725"/>
      <c r="P138" s="725"/>
      <c r="Q138" s="994">
        <f t="shared" si="32"/>
        <v>0</v>
      </c>
    </row>
    <row r="139" spans="1:17" ht="52.5">
      <c r="A139" s="2393"/>
      <c r="B139" s="955" t="s">
        <v>767</v>
      </c>
      <c r="C139" s="874">
        <f t="shared" si="36"/>
        <v>5777.1</v>
      </c>
      <c r="D139" s="878"/>
      <c r="E139" s="996">
        <v>5777.1</v>
      </c>
      <c r="F139" s="874">
        <f t="shared" si="44"/>
        <v>5777.1</v>
      </c>
      <c r="G139" s="878"/>
      <c r="H139" s="878">
        <v>5777.1</v>
      </c>
      <c r="I139" s="874">
        <f t="shared" si="42"/>
        <v>0</v>
      </c>
      <c r="J139" s="878"/>
      <c r="K139" s="878"/>
      <c r="L139" s="876">
        <f t="shared" ref="L139:N141" si="45">IF(I139=0,0,I139/F139*100)</f>
        <v>0</v>
      </c>
      <c r="M139" s="877">
        <f t="shared" si="45"/>
        <v>0</v>
      </c>
      <c r="N139" s="877">
        <f t="shared" si="45"/>
        <v>0</v>
      </c>
      <c r="O139" s="725"/>
      <c r="P139" s="725"/>
      <c r="Q139" s="994">
        <f t="shared" si="32"/>
        <v>0</v>
      </c>
    </row>
    <row r="140" spans="1:17" ht="27.75">
      <c r="A140" s="895">
        <v>94</v>
      </c>
      <c r="B140" s="955" t="s">
        <v>765</v>
      </c>
      <c r="C140" s="874">
        <f t="shared" si="36"/>
        <v>1200</v>
      </c>
      <c r="D140" s="878">
        <f>1200*0.94084507042</f>
        <v>1129</v>
      </c>
      <c r="E140" s="878">
        <f>1200*(1-0.94084507042)</f>
        <v>71</v>
      </c>
      <c r="F140" s="874">
        <f t="shared" si="44"/>
        <v>1200</v>
      </c>
      <c r="G140" s="878">
        <f>1200*0.94084507042</f>
        <v>1129</v>
      </c>
      <c r="H140" s="878">
        <f>1200*(1-0.94084507042)</f>
        <v>71</v>
      </c>
      <c r="I140" s="874">
        <f t="shared" si="42"/>
        <v>0</v>
      </c>
      <c r="J140" s="878"/>
      <c r="K140" s="878"/>
      <c r="L140" s="876">
        <f t="shared" si="45"/>
        <v>0</v>
      </c>
      <c r="M140" s="877">
        <f t="shared" si="45"/>
        <v>0</v>
      </c>
      <c r="N140" s="877">
        <f t="shared" si="45"/>
        <v>0</v>
      </c>
      <c r="O140" s="725"/>
      <c r="P140" s="725"/>
      <c r="Q140" s="994">
        <f t="shared" si="32"/>
        <v>0</v>
      </c>
    </row>
    <row r="141" spans="1:17" ht="27.75">
      <c r="A141" s="895">
        <v>95</v>
      </c>
      <c r="B141" s="955" t="s">
        <v>766</v>
      </c>
      <c r="C141" s="874">
        <f t="shared" si="36"/>
        <v>1500</v>
      </c>
      <c r="D141" s="878">
        <f>1500*0.94084507042</f>
        <v>1411.3</v>
      </c>
      <c r="E141" s="878">
        <f>1500*(1-0.94084507042)</f>
        <v>88.7</v>
      </c>
      <c r="F141" s="874">
        <f t="shared" si="44"/>
        <v>1500</v>
      </c>
      <c r="G141" s="878">
        <f>1500*0.94084507042</f>
        <v>1411.3</v>
      </c>
      <c r="H141" s="878">
        <f>1500*(1-0.94084507042)</f>
        <v>88.7</v>
      </c>
      <c r="I141" s="874">
        <f t="shared" si="42"/>
        <v>0</v>
      </c>
      <c r="J141" s="878"/>
      <c r="K141" s="878"/>
      <c r="L141" s="876">
        <f t="shared" si="45"/>
        <v>0</v>
      </c>
      <c r="M141" s="877">
        <f t="shared" si="45"/>
        <v>0</v>
      </c>
      <c r="N141" s="877">
        <f t="shared" si="45"/>
        <v>0</v>
      </c>
      <c r="O141" s="725"/>
      <c r="P141" s="725"/>
      <c r="Q141" s="994">
        <f t="shared" si="32"/>
        <v>0</v>
      </c>
    </row>
    <row r="142" spans="1:17" ht="60" customHeight="1">
      <c r="A142" s="897" t="s">
        <v>686</v>
      </c>
      <c r="B142" s="900" t="s">
        <v>463</v>
      </c>
      <c r="C142" s="874">
        <f t="shared" si="36"/>
        <v>19842.5</v>
      </c>
      <c r="D142" s="879">
        <v>18651.8</v>
      </c>
      <c r="E142" s="879">
        <v>1190.7</v>
      </c>
      <c r="F142" s="874">
        <f t="shared" si="44"/>
        <v>19842.5</v>
      </c>
      <c r="G142" s="879">
        <v>18651.8</v>
      </c>
      <c r="H142" s="879">
        <v>1190.7</v>
      </c>
      <c r="I142" s="874">
        <f t="shared" si="42"/>
        <v>0</v>
      </c>
      <c r="J142" s="879"/>
      <c r="K142" s="879"/>
      <c r="L142" s="876">
        <f t="shared" si="39"/>
        <v>0</v>
      </c>
      <c r="M142" s="877">
        <f t="shared" si="40"/>
        <v>0</v>
      </c>
      <c r="N142" s="877">
        <f t="shared" si="41"/>
        <v>0</v>
      </c>
      <c r="O142" s="725"/>
      <c r="P142" s="725"/>
      <c r="Q142" s="994">
        <f t="shared" si="32"/>
        <v>0</v>
      </c>
    </row>
    <row r="143" spans="1:17" ht="52.5">
      <c r="A143" s="897" t="s">
        <v>752</v>
      </c>
      <c r="B143" s="900" t="s">
        <v>592</v>
      </c>
      <c r="C143" s="874">
        <f t="shared" si="36"/>
        <v>12605.2</v>
      </c>
      <c r="D143" s="879">
        <v>11800</v>
      </c>
      <c r="E143" s="879">
        <v>805.2</v>
      </c>
      <c r="F143" s="874">
        <f t="shared" si="44"/>
        <v>12605.2</v>
      </c>
      <c r="G143" s="879">
        <v>11800</v>
      </c>
      <c r="H143" s="879">
        <v>805.2</v>
      </c>
      <c r="I143" s="874">
        <f t="shared" si="42"/>
        <v>0</v>
      </c>
      <c r="J143" s="879"/>
      <c r="K143" s="879"/>
      <c r="L143" s="876">
        <f t="shared" si="39"/>
        <v>0</v>
      </c>
      <c r="M143" s="877">
        <f t="shared" si="40"/>
        <v>0</v>
      </c>
      <c r="N143" s="877">
        <f t="shared" si="41"/>
        <v>0</v>
      </c>
      <c r="O143" s="725"/>
      <c r="P143" s="725"/>
      <c r="Q143" s="994">
        <f t="shared" si="32"/>
        <v>0</v>
      </c>
    </row>
    <row r="144" spans="1:17" ht="52.5">
      <c r="A144" s="897" t="s">
        <v>753</v>
      </c>
      <c r="B144" s="900" t="s">
        <v>776</v>
      </c>
      <c r="C144" s="874">
        <f t="shared" si="36"/>
        <v>29452.3</v>
      </c>
      <c r="D144" s="879">
        <v>27748.2</v>
      </c>
      <c r="E144" s="879">
        <v>1704.1</v>
      </c>
      <c r="F144" s="874">
        <f t="shared" si="44"/>
        <v>29452.3</v>
      </c>
      <c r="G144" s="879">
        <v>27748.2</v>
      </c>
      <c r="H144" s="879">
        <v>1704.1</v>
      </c>
      <c r="I144" s="874">
        <f t="shared" si="42"/>
        <v>0</v>
      </c>
      <c r="J144" s="879"/>
      <c r="K144" s="879"/>
      <c r="L144" s="876">
        <f t="shared" si="39"/>
        <v>0</v>
      </c>
      <c r="M144" s="877">
        <f t="shared" si="40"/>
        <v>0</v>
      </c>
      <c r="N144" s="877">
        <f t="shared" si="41"/>
        <v>0</v>
      </c>
      <c r="O144" s="725"/>
      <c r="P144" s="725"/>
      <c r="Q144" s="994">
        <f t="shared" si="32"/>
        <v>0</v>
      </c>
    </row>
    <row r="145" spans="1:17" ht="52.5">
      <c r="A145" s="897" t="s">
        <v>754</v>
      </c>
      <c r="B145" s="989" t="s">
        <v>694</v>
      </c>
      <c r="C145" s="874">
        <f>SUM(D145:E145)</f>
        <v>251200</v>
      </c>
      <c r="D145" s="879">
        <f>251200*0.94004262474</f>
        <v>236138.7</v>
      </c>
      <c r="E145" s="879">
        <f>251200*(1-0.94004262474)</f>
        <v>15061.3</v>
      </c>
      <c r="F145" s="874">
        <f t="shared" ref="F145:F158" si="46">SUM(G145:H145)</f>
        <v>251200</v>
      </c>
      <c r="G145" s="879">
        <f>251200*0.94004262474</f>
        <v>236138.7</v>
      </c>
      <c r="H145" s="879">
        <f>251200*(1-0.94004262474)</f>
        <v>15061.3</v>
      </c>
      <c r="I145" s="874">
        <f>SUM(J145:K145)</f>
        <v>0</v>
      </c>
      <c r="J145" s="879"/>
      <c r="K145" s="879"/>
      <c r="L145" s="876">
        <f>IF(I145=0,0,I145/F145*100)</f>
        <v>0</v>
      </c>
      <c r="M145" s="877">
        <f>IF(J145=0,0,J145/G145*100)</f>
        <v>0</v>
      </c>
      <c r="N145" s="877">
        <f>IF(K145=0,0,K145/H145*100)</f>
        <v>0</v>
      </c>
      <c r="O145" s="756"/>
      <c r="P145" s="756"/>
      <c r="Q145" s="994">
        <f t="shared" si="32"/>
        <v>0</v>
      </c>
    </row>
    <row r="146" spans="1:17" ht="52.5">
      <c r="A146" s="897" t="s">
        <v>755</v>
      </c>
      <c r="B146" s="989" t="s">
        <v>695</v>
      </c>
      <c r="C146" s="874">
        <f t="shared" si="36"/>
        <v>142468</v>
      </c>
      <c r="D146" s="879">
        <f>142468*0.94004262474</f>
        <v>133926</v>
      </c>
      <c r="E146" s="879">
        <f>142468*(1-0.94004262474)</f>
        <v>8542</v>
      </c>
      <c r="F146" s="874">
        <f t="shared" si="46"/>
        <v>142468</v>
      </c>
      <c r="G146" s="879">
        <f>142468*0.94004262474</f>
        <v>133926</v>
      </c>
      <c r="H146" s="879">
        <f>142468*(1-0.94004262474)</f>
        <v>8542</v>
      </c>
      <c r="I146" s="874">
        <f t="shared" si="42"/>
        <v>0</v>
      </c>
      <c r="J146" s="879"/>
      <c r="K146" s="879"/>
      <c r="L146" s="876">
        <f t="shared" si="39"/>
        <v>0</v>
      </c>
      <c r="M146" s="877">
        <f t="shared" si="40"/>
        <v>0</v>
      </c>
      <c r="N146" s="877">
        <f t="shared" si="41"/>
        <v>0</v>
      </c>
      <c r="O146" s="756"/>
      <c r="P146" s="756"/>
      <c r="Q146" s="994">
        <f t="shared" si="32"/>
        <v>0</v>
      </c>
    </row>
    <row r="147" spans="1:17" ht="61.5" customHeight="1">
      <c r="A147" s="897" t="s">
        <v>756</v>
      </c>
      <c r="B147" s="990" t="s">
        <v>698</v>
      </c>
      <c r="C147" s="874">
        <f t="shared" si="36"/>
        <v>96270.6</v>
      </c>
      <c r="D147" s="879">
        <f>96270.6*0.94005568959</f>
        <v>90499.7</v>
      </c>
      <c r="E147" s="879">
        <f>96270.6*(1-0.94005568959)</f>
        <v>5770.9</v>
      </c>
      <c r="F147" s="874">
        <f t="shared" si="46"/>
        <v>96270.6</v>
      </c>
      <c r="G147" s="879">
        <f>96270.6*0.94005568959</f>
        <v>90499.7</v>
      </c>
      <c r="H147" s="879">
        <f>96270.6*(1-0.94005568959)</f>
        <v>5770.9</v>
      </c>
      <c r="I147" s="874">
        <f t="shared" si="42"/>
        <v>0</v>
      </c>
      <c r="J147" s="879"/>
      <c r="K147" s="879"/>
      <c r="L147" s="876">
        <f t="shared" si="39"/>
        <v>0</v>
      </c>
      <c r="M147" s="877">
        <f t="shared" si="40"/>
        <v>0</v>
      </c>
      <c r="N147" s="877">
        <f t="shared" si="41"/>
        <v>0</v>
      </c>
      <c r="O147" s="725"/>
      <c r="P147" s="725"/>
      <c r="Q147" s="994">
        <f t="shared" si="32"/>
        <v>0</v>
      </c>
    </row>
    <row r="148" spans="1:17" ht="78.75">
      <c r="A148" s="897" t="s">
        <v>757</v>
      </c>
      <c r="B148" s="990" t="s">
        <v>697</v>
      </c>
      <c r="C148" s="874">
        <f>SUM(D148:E148)</f>
        <v>150000</v>
      </c>
      <c r="D148" s="879">
        <f>150000*0.94005568959</f>
        <v>141008.4</v>
      </c>
      <c r="E148" s="879">
        <f>150000*(1-0.94005568959)</f>
        <v>8991.6</v>
      </c>
      <c r="F148" s="874">
        <f t="shared" si="46"/>
        <v>150000</v>
      </c>
      <c r="G148" s="879">
        <f>150000*0.94005568959</f>
        <v>141008.4</v>
      </c>
      <c r="H148" s="879">
        <f>150000*(1-0.94005568959)</f>
        <v>8991.6</v>
      </c>
      <c r="I148" s="874">
        <f>SUM(J148:K148)</f>
        <v>0</v>
      </c>
      <c r="J148" s="879"/>
      <c r="K148" s="879"/>
      <c r="L148" s="876">
        <f>IF(I148=0,0,I148/F148*100)</f>
        <v>0</v>
      </c>
      <c r="M148" s="877">
        <f>IF(J148=0,0,J148/G148*100)</f>
        <v>0</v>
      </c>
      <c r="N148" s="877">
        <f>IF(K148=0,0,K148/H148*100)</f>
        <v>0</v>
      </c>
      <c r="O148" s="725"/>
      <c r="P148" s="725"/>
      <c r="Q148" s="994">
        <f t="shared" si="32"/>
        <v>0</v>
      </c>
    </row>
    <row r="149" spans="1:17" ht="78.75">
      <c r="A149" s="897" t="s">
        <v>758</v>
      </c>
      <c r="B149" s="990" t="s">
        <v>696</v>
      </c>
      <c r="C149" s="874">
        <f t="shared" si="36"/>
        <v>34500</v>
      </c>
      <c r="D149" s="879">
        <f>34500*0.94005568959</f>
        <v>32431.9</v>
      </c>
      <c r="E149" s="879">
        <f>34500*(1-0.94005568959)</f>
        <v>2068.1</v>
      </c>
      <c r="F149" s="874">
        <f t="shared" si="46"/>
        <v>34500</v>
      </c>
      <c r="G149" s="879">
        <f>34500*0.94005568959</f>
        <v>32431.9</v>
      </c>
      <c r="H149" s="879">
        <f>34500*(1-0.94005568959)</f>
        <v>2068.1</v>
      </c>
      <c r="I149" s="874">
        <f t="shared" si="42"/>
        <v>0</v>
      </c>
      <c r="J149" s="879"/>
      <c r="K149" s="879"/>
      <c r="L149" s="876">
        <f t="shared" si="39"/>
        <v>0</v>
      </c>
      <c r="M149" s="877">
        <f t="shared" si="40"/>
        <v>0</v>
      </c>
      <c r="N149" s="877">
        <f t="shared" si="41"/>
        <v>0</v>
      </c>
      <c r="O149" s="725"/>
      <c r="P149" s="725"/>
      <c r="Q149" s="994">
        <f t="shared" si="32"/>
        <v>0</v>
      </c>
    </row>
    <row r="150" spans="1:17" ht="78.75">
      <c r="A150" s="897" t="s">
        <v>759</v>
      </c>
      <c r="B150" s="901" t="s">
        <v>462</v>
      </c>
      <c r="C150" s="874">
        <f t="shared" si="36"/>
        <v>14429.4</v>
      </c>
      <c r="D150" s="879">
        <v>13560</v>
      </c>
      <c r="E150" s="879">
        <v>869.4</v>
      </c>
      <c r="F150" s="874">
        <f t="shared" si="46"/>
        <v>14429.4</v>
      </c>
      <c r="G150" s="879">
        <v>13560</v>
      </c>
      <c r="H150" s="879">
        <v>869.4</v>
      </c>
      <c r="I150" s="874">
        <f t="shared" si="42"/>
        <v>0</v>
      </c>
      <c r="J150" s="879"/>
      <c r="K150" s="879"/>
      <c r="L150" s="876">
        <f t="shared" si="39"/>
        <v>0</v>
      </c>
      <c r="M150" s="877">
        <f t="shared" si="40"/>
        <v>0</v>
      </c>
      <c r="N150" s="877">
        <f t="shared" si="41"/>
        <v>0</v>
      </c>
      <c r="O150" s="725"/>
      <c r="P150" s="725"/>
      <c r="Q150" s="994">
        <f t="shared" si="32"/>
        <v>0</v>
      </c>
    </row>
    <row r="151" spans="1:17" s="515" customFormat="1" ht="52.5">
      <c r="A151" s="897" t="s">
        <v>760</v>
      </c>
      <c r="B151" s="900" t="s">
        <v>700</v>
      </c>
      <c r="C151" s="874">
        <f t="shared" si="36"/>
        <v>18000</v>
      </c>
      <c r="D151" s="879"/>
      <c r="E151" s="997">
        <v>18000</v>
      </c>
      <c r="F151" s="874">
        <f t="shared" si="46"/>
        <v>18000</v>
      </c>
      <c r="G151" s="879"/>
      <c r="H151" s="879">
        <v>18000</v>
      </c>
      <c r="I151" s="874">
        <f t="shared" si="42"/>
        <v>0</v>
      </c>
      <c r="J151" s="879"/>
      <c r="K151" s="879"/>
      <c r="L151" s="876">
        <f t="shared" si="39"/>
        <v>0</v>
      </c>
      <c r="M151" s="877">
        <f t="shared" si="40"/>
        <v>0</v>
      </c>
      <c r="N151" s="877">
        <f t="shared" si="41"/>
        <v>0</v>
      </c>
      <c r="O151" s="740"/>
      <c r="P151" s="740"/>
      <c r="Q151" s="994">
        <f t="shared" si="32"/>
        <v>0</v>
      </c>
    </row>
    <row r="152" spans="1:17" s="515" customFormat="1" ht="52.5">
      <c r="A152" s="897" t="s">
        <v>761</v>
      </c>
      <c r="B152" s="900" t="s">
        <v>699</v>
      </c>
      <c r="C152" s="874">
        <f>SUM(D152:E152)</f>
        <v>151300</v>
      </c>
      <c r="D152" s="879">
        <v>142200</v>
      </c>
      <c r="E152" s="879">
        <v>9100</v>
      </c>
      <c r="F152" s="874">
        <f t="shared" si="46"/>
        <v>151300</v>
      </c>
      <c r="G152" s="879">
        <v>142200</v>
      </c>
      <c r="H152" s="879">
        <v>9100</v>
      </c>
      <c r="I152" s="874">
        <f>SUM(J152:K152)</f>
        <v>0</v>
      </c>
      <c r="J152" s="879"/>
      <c r="K152" s="879"/>
      <c r="L152" s="876">
        <f>IF(I152=0,0,I152/F152*100)</f>
        <v>0</v>
      </c>
      <c r="M152" s="877">
        <f>IF(J152=0,0,J152/G152*100)</f>
        <v>0</v>
      </c>
      <c r="N152" s="877">
        <f>IF(K152=0,0,K152/H152*100)</f>
        <v>0</v>
      </c>
      <c r="O152" s="740"/>
      <c r="P152" s="740"/>
      <c r="Q152" s="994">
        <f t="shared" si="32"/>
        <v>0</v>
      </c>
    </row>
    <row r="153" spans="1:17" ht="52.5">
      <c r="A153" s="897" t="s">
        <v>764</v>
      </c>
      <c r="B153" s="900" t="s">
        <v>461</v>
      </c>
      <c r="C153" s="874">
        <f t="shared" si="36"/>
        <v>26810</v>
      </c>
      <c r="D153" s="879">
        <v>25201.1</v>
      </c>
      <c r="E153" s="879">
        <v>1608.9</v>
      </c>
      <c r="F153" s="874">
        <f t="shared" si="46"/>
        <v>26810</v>
      </c>
      <c r="G153" s="879">
        <v>25201.1</v>
      </c>
      <c r="H153" s="879">
        <v>1608.9</v>
      </c>
      <c r="I153" s="874">
        <f t="shared" si="42"/>
        <v>0</v>
      </c>
      <c r="J153" s="879"/>
      <c r="K153" s="879"/>
      <c r="L153" s="876">
        <f t="shared" si="39"/>
        <v>0</v>
      </c>
      <c r="M153" s="877">
        <f t="shared" si="40"/>
        <v>0</v>
      </c>
      <c r="N153" s="877">
        <f t="shared" si="41"/>
        <v>0</v>
      </c>
      <c r="O153" s="725"/>
      <c r="P153" s="725"/>
      <c r="Q153" s="994">
        <f t="shared" si="32"/>
        <v>0</v>
      </c>
    </row>
    <row r="154" spans="1:17" ht="27.75" hidden="1">
      <c r="A154" s="897" t="s">
        <v>636</v>
      </c>
      <c r="B154" s="900" t="s">
        <v>450</v>
      </c>
      <c r="C154" s="871">
        <f t="shared" si="36"/>
        <v>0</v>
      </c>
      <c r="D154" s="879"/>
      <c r="E154" s="879">
        <v>0</v>
      </c>
      <c r="F154" s="874">
        <f t="shared" si="46"/>
        <v>0</v>
      </c>
      <c r="G154" s="879"/>
      <c r="H154" s="879"/>
      <c r="I154" s="874">
        <f t="shared" si="42"/>
        <v>0</v>
      </c>
      <c r="J154" s="879"/>
      <c r="K154" s="885"/>
      <c r="L154" s="876">
        <f t="shared" si="39"/>
        <v>0</v>
      </c>
      <c r="M154" s="877">
        <f t="shared" si="40"/>
        <v>0</v>
      </c>
      <c r="N154" s="877">
        <f t="shared" si="41"/>
        <v>0</v>
      </c>
      <c r="O154" s="756"/>
      <c r="P154" s="756"/>
      <c r="Q154" s="994">
        <f t="shared" si="32"/>
        <v>0</v>
      </c>
    </row>
    <row r="155" spans="1:17" s="914" customFormat="1" ht="75" customHeight="1">
      <c r="A155" s="2401" t="s">
        <v>456</v>
      </c>
      <c r="B155" s="2401"/>
      <c r="C155" s="917">
        <f>SUM(D155:E155)</f>
        <v>1217522.3999999999</v>
      </c>
      <c r="D155" s="917">
        <f>SUM(D156,D158)</f>
        <v>909500</v>
      </c>
      <c r="E155" s="917">
        <f>SUM(E156,E158)</f>
        <v>308022.40000000002</v>
      </c>
      <c r="F155" s="917">
        <f t="shared" si="46"/>
        <v>1214762.3999999999</v>
      </c>
      <c r="G155" s="917">
        <f>SUM(G156,G158)</f>
        <v>909500</v>
      </c>
      <c r="H155" s="917">
        <f>SUM(H156,H158)</f>
        <v>305262.40000000002</v>
      </c>
      <c r="I155" s="917">
        <f t="shared" si="42"/>
        <v>0</v>
      </c>
      <c r="J155" s="917">
        <f>SUM(J156,J158)</f>
        <v>0</v>
      </c>
      <c r="K155" s="917">
        <f>SUM(K156,K158)</f>
        <v>0</v>
      </c>
      <c r="L155" s="918">
        <f t="shared" ref="L155:N159" si="47">IF(I155=0,0,I155/F155*100)</f>
        <v>0</v>
      </c>
      <c r="M155" s="920">
        <f t="shared" si="47"/>
        <v>0</v>
      </c>
      <c r="N155" s="920">
        <f t="shared" si="47"/>
        <v>0</v>
      </c>
      <c r="O155" s="912">
        <f t="shared" ref="O155:P159" si="48">D155-G155</f>
        <v>0</v>
      </c>
      <c r="P155" s="912">
        <f t="shared" si="48"/>
        <v>2760</v>
      </c>
      <c r="Q155" s="994">
        <f t="shared" si="32"/>
        <v>2760</v>
      </c>
    </row>
    <row r="156" spans="1:17" s="914" customFormat="1" ht="121.5" customHeight="1">
      <c r="A156" s="944" t="s">
        <v>6</v>
      </c>
      <c r="B156" s="925" t="s">
        <v>439</v>
      </c>
      <c r="C156" s="926">
        <f>SUM(D156:E156)</f>
        <v>134856</v>
      </c>
      <c r="D156" s="926">
        <f>D157</f>
        <v>0</v>
      </c>
      <c r="E156" s="926">
        <f>E157</f>
        <v>134856</v>
      </c>
      <c r="F156" s="926">
        <f t="shared" si="46"/>
        <v>134856</v>
      </c>
      <c r="G156" s="926">
        <f>G157</f>
        <v>0</v>
      </c>
      <c r="H156" s="926">
        <f>H157</f>
        <v>134856</v>
      </c>
      <c r="I156" s="926">
        <f>SUM(J156:K156)</f>
        <v>0</v>
      </c>
      <c r="J156" s="926">
        <f>J157</f>
        <v>0</v>
      </c>
      <c r="K156" s="926">
        <f>K157</f>
        <v>0</v>
      </c>
      <c r="L156" s="927">
        <f t="shared" ref="L156:N157" si="49">IF(I156=0,0,I156/F156*100)</f>
        <v>0</v>
      </c>
      <c r="M156" s="928">
        <f t="shared" si="49"/>
        <v>0</v>
      </c>
      <c r="N156" s="928">
        <f t="shared" si="49"/>
        <v>0</v>
      </c>
      <c r="O156" s="912">
        <f>D156-G156</f>
        <v>0</v>
      </c>
      <c r="P156" s="912">
        <f>E156-H156</f>
        <v>0</v>
      </c>
      <c r="Q156" s="994">
        <f t="shared" si="32"/>
        <v>0</v>
      </c>
    </row>
    <row r="157" spans="1:17" ht="115.5" customHeight="1">
      <c r="A157" s="895">
        <v>1</v>
      </c>
      <c r="B157" s="902" t="s">
        <v>670</v>
      </c>
      <c r="C157" s="886">
        <f>SUM(D157:E157)</f>
        <v>134856</v>
      </c>
      <c r="D157" s="884">
        <v>0</v>
      </c>
      <c r="E157" s="884">
        <f>127656+1325+1341+4534</f>
        <v>134856</v>
      </c>
      <c r="F157" s="874">
        <f t="shared" si="46"/>
        <v>134856</v>
      </c>
      <c r="G157" s="888"/>
      <c r="H157" s="884">
        <f>127656+1325+1341+4534</f>
        <v>134856</v>
      </c>
      <c r="I157" s="874">
        <f>SUM(J157:K157)</f>
        <v>0</v>
      </c>
      <c r="J157" s="884"/>
      <c r="K157" s="888"/>
      <c r="L157" s="876">
        <f t="shared" si="49"/>
        <v>0</v>
      </c>
      <c r="M157" s="877">
        <f t="shared" si="49"/>
        <v>0</v>
      </c>
      <c r="N157" s="877">
        <f t="shared" si="49"/>
        <v>0</v>
      </c>
      <c r="O157" s="725"/>
      <c r="P157" s="725"/>
      <c r="Q157" s="994">
        <f t="shared" si="32"/>
        <v>0</v>
      </c>
    </row>
    <row r="158" spans="1:17" s="914" customFormat="1" ht="87.75" customHeight="1">
      <c r="A158" s="945" t="s">
        <v>2</v>
      </c>
      <c r="B158" s="925" t="s">
        <v>222</v>
      </c>
      <c r="C158" s="926">
        <f t="shared" si="36"/>
        <v>1082666.3999999999</v>
      </c>
      <c r="D158" s="926">
        <f>SUM(D159,D175)</f>
        <v>909500</v>
      </c>
      <c r="E158" s="926">
        <f>SUM(E159,E175)</f>
        <v>173166.4</v>
      </c>
      <c r="F158" s="926">
        <f t="shared" si="46"/>
        <v>1079906.3999999999</v>
      </c>
      <c r="G158" s="926">
        <f>SUM(G159,G175)</f>
        <v>909500</v>
      </c>
      <c r="H158" s="926">
        <f>SUM(H159,H175)</f>
        <v>170406.39999999999</v>
      </c>
      <c r="I158" s="926">
        <f t="shared" si="42"/>
        <v>0</v>
      </c>
      <c r="J158" s="926">
        <f>SUM(J159,J175)</f>
        <v>0</v>
      </c>
      <c r="K158" s="926">
        <f>SUM(K159,K175)</f>
        <v>0</v>
      </c>
      <c r="L158" s="927">
        <f t="shared" si="47"/>
        <v>0</v>
      </c>
      <c r="M158" s="928">
        <f t="shared" si="47"/>
        <v>0</v>
      </c>
      <c r="N158" s="928">
        <f t="shared" si="47"/>
        <v>0</v>
      </c>
      <c r="O158" s="912">
        <f t="shared" si="48"/>
        <v>0</v>
      </c>
      <c r="P158" s="912">
        <f t="shared" si="48"/>
        <v>2760</v>
      </c>
      <c r="Q158" s="994">
        <f t="shared" si="32"/>
        <v>2760</v>
      </c>
    </row>
    <row r="159" spans="1:17" s="914" customFormat="1" ht="63.75" customHeight="1">
      <c r="A159" s="944" t="s">
        <v>246</v>
      </c>
      <c r="B159" s="932" t="s">
        <v>41</v>
      </c>
      <c r="C159" s="933">
        <f>D159+E159</f>
        <v>967706.4</v>
      </c>
      <c r="D159" s="933">
        <f>SUM(D173,D160)</f>
        <v>909500</v>
      </c>
      <c r="E159" s="933">
        <f>SUM(E173,E160)</f>
        <v>58206.400000000001</v>
      </c>
      <c r="F159" s="933">
        <f>G159+H159</f>
        <v>967706.4</v>
      </c>
      <c r="G159" s="933">
        <f>SUM(G173,G160)</f>
        <v>909500</v>
      </c>
      <c r="H159" s="933">
        <f>SUM(H173,H160)</f>
        <v>58206.400000000001</v>
      </c>
      <c r="I159" s="933">
        <f>J159+K159</f>
        <v>0</v>
      </c>
      <c r="J159" s="933">
        <f>SUM(J173,J160)</f>
        <v>0</v>
      </c>
      <c r="K159" s="933">
        <f>SUM(K173,K160)</f>
        <v>0</v>
      </c>
      <c r="L159" s="935">
        <f t="shared" si="47"/>
        <v>0</v>
      </c>
      <c r="M159" s="936">
        <f t="shared" si="47"/>
        <v>0</v>
      </c>
      <c r="N159" s="936">
        <f t="shared" si="47"/>
        <v>0</v>
      </c>
      <c r="O159" s="912">
        <f t="shared" si="48"/>
        <v>0</v>
      </c>
      <c r="P159" s="912">
        <f t="shared" si="48"/>
        <v>0</v>
      </c>
      <c r="Q159" s="994">
        <f t="shared" si="32"/>
        <v>0</v>
      </c>
    </row>
    <row r="160" spans="1:17" s="959" customFormat="1" ht="59.25" customHeight="1">
      <c r="A160" s="957" t="s">
        <v>247</v>
      </c>
      <c r="B160" s="946" t="s">
        <v>446</v>
      </c>
      <c r="C160" s="960">
        <f t="shared" ref="C160:C177" si="50">SUM(D160:E160)</f>
        <v>907600</v>
      </c>
      <c r="D160" s="961">
        <f>SUM(D161:D172)</f>
        <v>853000</v>
      </c>
      <c r="E160" s="961">
        <f>SUM(E161:E172)</f>
        <v>54600</v>
      </c>
      <c r="F160" s="908">
        <f t="shared" ref="F160:F177" si="51">SUM(G160:H160)</f>
        <v>907600</v>
      </c>
      <c r="G160" s="961">
        <f>SUM(G161:G172)</f>
        <v>853000</v>
      </c>
      <c r="H160" s="961">
        <f>SUM(H161:H172)</f>
        <v>54600</v>
      </c>
      <c r="I160" s="908">
        <f t="shared" ref="I160:I177" si="52">SUM(J160:K160)</f>
        <v>0</v>
      </c>
      <c r="J160" s="961">
        <f>SUM(J161:J172)</f>
        <v>0</v>
      </c>
      <c r="K160" s="961">
        <f>SUM(K161:K172)</f>
        <v>0</v>
      </c>
      <c r="L160" s="910">
        <f t="shared" ref="L160:N177" si="53">IF(I160=0,0,I160/F160*100)</f>
        <v>0</v>
      </c>
      <c r="M160" s="910">
        <f t="shared" si="53"/>
        <v>0</v>
      </c>
      <c r="N160" s="910">
        <f t="shared" si="53"/>
        <v>0</v>
      </c>
      <c r="O160" s="958"/>
      <c r="P160" s="958"/>
      <c r="Q160" s="994"/>
    </row>
    <row r="161" spans="1:17" ht="52.5" customHeight="1">
      <c r="A161" s="895">
        <v>2</v>
      </c>
      <c r="B161" s="937" t="s">
        <v>668</v>
      </c>
      <c r="C161" s="871">
        <f t="shared" si="50"/>
        <v>452152</v>
      </c>
      <c r="D161" s="884">
        <v>425020</v>
      </c>
      <c r="E161" s="887">
        <v>27132</v>
      </c>
      <c r="F161" s="874">
        <f>G161+H161</f>
        <v>452152</v>
      </c>
      <c r="G161" s="884">
        <v>425020</v>
      </c>
      <c r="H161" s="887">
        <v>27132</v>
      </c>
      <c r="I161" s="874">
        <f>SUM(J161:K161)</f>
        <v>0</v>
      </c>
      <c r="J161" s="884"/>
      <c r="K161" s="887"/>
      <c r="L161" s="876">
        <f>IF(I161=0,0,I161/F161*100)</f>
        <v>0</v>
      </c>
      <c r="M161" s="877">
        <f>IF(J161=0,0,J161/G161*100)</f>
        <v>0</v>
      </c>
      <c r="N161" s="877">
        <f>IF(K161=0,0,K161/H161*100)</f>
        <v>0</v>
      </c>
      <c r="O161" s="725"/>
      <c r="P161" s="725"/>
      <c r="Q161" s="994"/>
    </row>
    <row r="162" spans="1:17" ht="52.5">
      <c r="A162" s="895">
        <v>3</v>
      </c>
      <c r="B162" s="896" t="s">
        <v>470</v>
      </c>
      <c r="C162" s="871">
        <f t="shared" si="50"/>
        <v>52000</v>
      </c>
      <c r="D162" s="887">
        <v>48800</v>
      </c>
      <c r="E162" s="887">
        <v>3200</v>
      </c>
      <c r="F162" s="871">
        <f t="shared" si="51"/>
        <v>52000</v>
      </c>
      <c r="G162" s="887">
        <v>48800</v>
      </c>
      <c r="H162" s="887">
        <v>3200</v>
      </c>
      <c r="I162" s="871">
        <f t="shared" si="52"/>
        <v>0</v>
      </c>
      <c r="J162" s="887"/>
      <c r="K162" s="887"/>
      <c r="L162" s="872">
        <f t="shared" si="53"/>
        <v>0</v>
      </c>
      <c r="M162" s="873">
        <f t="shared" si="53"/>
        <v>0</v>
      </c>
      <c r="N162" s="873">
        <f t="shared" si="53"/>
        <v>0</v>
      </c>
      <c r="O162" s="725"/>
      <c r="P162" s="725"/>
      <c r="Q162" s="994"/>
    </row>
    <row r="163" spans="1:17" ht="78.75">
      <c r="A163" s="895">
        <v>4</v>
      </c>
      <c r="B163" s="896" t="s">
        <v>622</v>
      </c>
      <c r="C163" s="871">
        <f>SUM(D163:E163)</f>
        <v>78829</v>
      </c>
      <c r="D163" s="887">
        <v>74099</v>
      </c>
      <c r="E163" s="887">
        <v>4730</v>
      </c>
      <c r="F163" s="871">
        <f>SUM(G163:H163)</f>
        <v>78829</v>
      </c>
      <c r="G163" s="887">
        <v>74099</v>
      </c>
      <c r="H163" s="887">
        <v>4730</v>
      </c>
      <c r="I163" s="871">
        <f>SUM(J163:K163)</f>
        <v>0</v>
      </c>
      <c r="J163" s="887"/>
      <c r="K163" s="887"/>
      <c r="L163" s="872">
        <f>IF(I163=0,0,I163/F163*100)</f>
        <v>0</v>
      </c>
      <c r="M163" s="873">
        <f>IF(J163=0,0,J163/G163*100)</f>
        <v>0</v>
      </c>
      <c r="N163" s="873">
        <f>IF(K163=0,0,K163/H163*100)</f>
        <v>0</v>
      </c>
      <c r="O163" s="725"/>
      <c r="P163" s="725"/>
      <c r="Q163" s="994"/>
    </row>
    <row r="164" spans="1:17" ht="78.75">
      <c r="A164" s="895">
        <v>5</v>
      </c>
      <c r="B164" s="896" t="s">
        <v>621</v>
      </c>
      <c r="C164" s="871">
        <f t="shared" si="50"/>
        <v>86915</v>
      </c>
      <c r="D164" s="887">
        <v>81700</v>
      </c>
      <c r="E164" s="887">
        <v>5215</v>
      </c>
      <c r="F164" s="871">
        <f t="shared" si="51"/>
        <v>86915</v>
      </c>
      <c r="G164" s="887">
        <v>81700</v>
      </c>
      <c r="H164" s="887">
        <v>5215</v>
      </c>
      <c r="I164" s="871">
        <f t="shared" si="52"/>
        <v>0</v>
      </c>
      <c r="J164" s="887"/>
      <c r="K164" s="887"/>
      <c r="L164" s="872">
        <f t="shared" si="53"/>
        <v>0</v>
      </c>
      <c r="M164" s="873">
        <f t="shared" si="53"/>
        <v>0</v>
      </c>
      <c r="N164" s="873">
        <f t="shared" si="53"/>
        <v>0</v>
      </c>
      <c r="O164" s="725"/>
      <c r="P164" s="725"/>
      <c r="Q164" s="994"/>
    </row>
    <row r="165" spans="1:17" ht="78.75">
      <c r="A165" s="895">
        <v>6</v>
      </c>
      <c r="B165" s="896" t="s">
        <v>620</v>
      </c>
      <c r="C165" s="871">
        <f>SUM(D165:E165)</f>
        <v>117051</v>
      </c>
      <c r="D165" s="887">
        <v>110027.9</v>
      </c>
      <c r="E165" s="887">
        <v>7023.1</v>
      </c>
      <c r="F165" s="871">
        <f>SUM(G165:H165)</f>
        <v>117051</v>
      </c>
      <c r="G165" s="887">
        <v>110027.9</v>
      </c>
      <c r="H165" s="887">
        <v>7023.1</v>
      </c>
      <c r="I165" s="871">
        <f>SUM(J165:K165)</f>
        <v>0</v>
      </c>
      <c r="J165" s="887"/>
      <c r="K165" s="887"/>
      <c r="L165" s="872">
        <f>IF(I165=0,0,I165/F165*100)</f>
        <v>0</v>
      </c>
      <c r="M165" s="873">
        <f>IF(J165=0,0,J165/G165*100)</f>
        <v>0</v>
      </c>
      <c r="N165" s="873">
        <f>IF(K165=0,0,K165/H165*100)</f>
        <v>0</v>
      </c>
      <c r="O165" s="725"/>
      <c r="P165" s="725"/>
      <c r="Q165" s="994"/>
    </row>
    <row r="166" spans="1:17" ht="52.5">
      <c r="A166" s="895">
        <v>7</v>
      </c>
      <c r="B166" s="896" t="s">
        <v>471</v>
      </c>
      <c r="C166" s="871">
        <f t="shared" si="50"/>
        <v>9500</v>
      </c>
      <c r="D166" s="887">
        <v>8930</v>
      </c>
      <c r="E166" s="887">
        <v>570</v>
      </c>
      <c r="F166" s="871">
        <f t="shared" si="51"/>
        <v>9500</v>
      </c>
      <c r="G166" s="887">
        <v>8930</v>
      </c>
      <c r="H166" s="887">
        <v>570</v>
      </c>
      <c r="I166" s="871">
        <f t="shared" si="52"/>
        <v>0</v>
      </c>
      <c r="J166" s="887"/>
      <c r="K166" s="887"/>
      <c r="L166" s="872">
        <f t="shared" si="53"/>
        <v>0</v>
      </c>
      <c r="M166" s="873">
        <f t="shared" si="53"/>
        <v>0</v>
      </c>
      <c r="N166" s="873">
        <f t="shared" si="53"/>
        <v>0</v>
      </c>
      <c r="O166" s="725"/>
      <c r="P166" s="725"/>
      <c r="Q166" s="994"/>
    </row>
    <row r="167" spans="1:17" ht="61.5" customHeight="1">
      <c r="A167" s="895">
        <v>8</v>
      </c>
      <c r="B167" s="896" t="s">
        <v>472</v>
      </c>
      <c r="C167" s="871">
        <f t="shared" si="50"/>
        <v>16500</v>
      </c>
      <c r="D167" s="887">
        <v>15510</v>
      </c>
      <c r="E167" s="887">
        <v>990</v>
      </c>
      <c r="F167" s="871">
        <f t="shared" si="51"/>
        <v>16500</v>
      </c>
      <c r="G167" s="887">
        <v>15510</v>
      </c>
      <c r="H167" s="887">
        <v>990</v>
      </c>
      <c r="I167" s="871">
        <f t="shared" si="52"/>
        <v>0</v>
      </c>
      <c r="J167" s="887"/>
      <c r="K167" s="887"/>
      <c r="L167" s="872">
        <f t="shared" si="53"/>
        <v>0</v>
      </c>
      <c r="M167" s="873">
        <f t="shared" si="53"/>
        <v>0</v>
      </c>
      <c r="N167" s="873">
        <f t="shared" si="53"/>
        <v>0</v>
      </c>
      <c r="O167" s="725"/>
      <c r="P167" s="725"/>
      <c r="Q167" s="994"/>
    </row>
    <row r="168" spans="1:17" ht="67.5" customHeight="1">
      <c r="A168" s="895">
        <v>9</v>
      </c>
      <c r="B168" s="896" t="s">
        <v>473</v>
      </c>
      <c r="C168" s="871">
        <f t="shared" si="50"/>
        <v>10550</v>
      </c>
      <c r="D168" s="887">
        <v>9916.1</v>
      </c>
      <c r="E168" s="887">
        <v>633.9</v>
      </c>
      <c r="F168" s="871">
        <f t="shared" si="51"/>
        <v>10550</v>
      </c>
      <c r="G168" s="887">
        <v>9916.1</v>
      </c>
      <c r="H168" s="887">
        <v>633.9</v>
      </c>
      <c r="I168" s="871">
        <f t="shared" si="52"/>
        <v>0</v>
      </c>
      <c r="J168" s="887"/>
      <c r="K168" s="887"/>
      <c r="L168" s="872">
        <f t="shared" si="53"/>
        <v>0</v>
      </c>
      <c r="M168" s="873">
        <f t="shared" si="53"/>
        <v>0</v>
      </c>
      <c r="N168" s="873">
        <f t="shared" si="53"/>
        <v>0</v>
      </c>
      <c r="O168" s="725"/>
      <c r="P168" s="725"/>
      <c r="Q168" s="994"/>
    </row>
    <row r="169" spans="1:17" ht="67.5" customHeight="1">
      <c r="A169" s="895">
        <v>10</v>
      </c>
      <c r="B169" s="896" t="s">
        <v>474</v>
      </c>
      <c r="C169" s="871">
        <f>SUM(D169:E169)</f>
        <v>26243.8</v>
      </c>
      <c r="D169" s="887">
        <v>24669.1</v>
      </c>
      <c r="E169" s="887">
        <v>1574.7</v>
      </c>
      <c r="F169" s="871">
        <f>SUM(G169:H169)</f>
        <v>26243.8</v>
      </c>
      <c r="G169" s="887">
        <v>24669.1</v>
      </c>
      <c r="H169" s="887">
        <v>1574.7</v>
      </c>
      <c r="I169" s="871">
        <f>SUM(J169:K169)</f>
        <v>0</v>
      </c>
      <c r="J169" s="887"/>
      <c r="K169" s="887"/>
      <c r="L169" s="872">
        <f>IF(I169=0,0,I169/F169*100)</f>
        <v>0</v>
      </c>
      <c r="M169" s="873">
        <f>IF(J169=0,0,J169/G169*100)</f>
        <v>0</v>
      </c>
      <c r="N169" s="873">
        <f>IF(K169=0,0,K169/H169*100)</f>
        <v>0</v>
      </c>
      <c r="O169" s="725"/>
      <c r="P169" s="725"/>
      <c r="Q169" s="994"/>
    </row>
    <row r="170" spans="1:17" ht="52.5">
      <c r="A170" s="895">
        <v>11</v>
      </c>
      <c r="B170" s="896" t="s">
        <v>617</v>
      </c>
      <c r="C170" s="871">
        <f t="shared" si="50"/>
        <v>18411.2</v>
      </c>
      <c r="D170" s="887">
        <v>17247.900000000001</v>
      </c>
      <c r="E170" s="887">
        <v>1163.3</v>
      </c>
      <c r="F170" s="871">
        <f t="shared" si="51"/>
        <v>18411.2</v>
      </c>
      <c r="G170" s="887">
        <v>17247.900000000001</v>
      </c>
      <c r="H170" s="887">
        <v>1163.3</v>
      </c>
      <c r="I170" s="871">
        <f t="shared" si="52"/>
        <v>0</v>
      </c>
      <c r="J170" s="887"/>
      <c r="K170" s="887"/>
      <c r="L170" s="872">
        <f t="shared" si="53"/>
        <v>0</v>
      </c>
      <c r="M170" s="873">
        <f t="shared" si="53"/>
        <v>0</v>
      </c>
      <c r="N170" s="873">
        <f t="shared" si="53"/>
        <v>0</v>
      </c>
      <c r="O170" s="725"/>
      <c r="P170" s="725"/>
      <c r="Q170" s="994"/>
    </row>
    <row r="171" spans="1:17" ht="52.5">
      <c r="A171" s="895">
        <v>12</v>
      </c>
      <c r="B171" s="896" t="s">
        <v>618</v>
      </c>
      <c r="C171" s="871">
        <f t="shared" si="50"/>
        <v>31788</v>
      </c>
      <c r="D171" s="887">
        <v>29880</v>
      </c>
      <c r="E171" s="887">
        <v>1908</v>
      </c>
      <c r="F171" s="871">
        <f t="shared" si="51"/>
        <v>31788</v>
      </c>
      <c r="G171" s="887">
        <v>29880</v>
      </c>
      <c r="H171" s="887">
        <v>1908</v>
      </c>
      <c r="I171" s="871">
        <f t="shared" si="52"/>
        <v>0</v>
      </c>
      <c r="J171" s="887"/>
      <c r="K171" s="887"/>
      <c r="L171" s="872">
        <f t="shared" si="53"/>
        <v>0</v>
      </c>
      <c r="M171" s="873">
        <f t="shared" si="53"/>
        <v>0</v>
      </c>
      <c r="N171" s="873">
        <f t="shared" si="53"/>
        <v>0</v>
      </c>
      <c r="O171" s="725"/>
      <c r="P171" s="725"/>
      <c r="Q171" s="994"/>
    </row>
    <row r="172" spans="1:17" ht="52.5">
      <c r="A172" s="895">
        <v>13</v>
      </c>
      <c r="B172" s="896" t="s">
        <v>619</v>
      </c>
      <c r="C172" s="871">
        <f>SUM(D172:E172)</f>
        <v>7660</v>
      </c>
      <c r="D172" s="887">
        <v>7200</v>
      </c>
      <c r="E172" s="887">
        <v>460</v>
      </c>
      <c r="F172" s="871">
        <f>SUM(G172:H172)</f>
        <v>7660</v>
      </c>
      <c r="G172" s="887">
        <v>7200</v>
      </c>
      <c r="H172" s="887">
        <v>460</v>
      </c>
      <c r="I172" s="871">
        <f>SUM(J172:K172)</f>
        <v>0</v>
      </c>
      <c r="J172" s="887"/>
      <c r="K172" s="887"/>
      <c r="L172" s="872">
        <f t="shared" ref="L172:N174" si="54">IF(I172=0,0,I172/F172*100)</f>
        <v>0</v>
      </c>
      <c r="M172" s="873">
        <f t="shared" si="54"/>
        <v>0</v>
      </c>
      <c r="N172" s="873">
        <f t="shared" si="54"/>
        <v>0</v>
      </c>
      <c r="O172" s="725"/>
      <c r="P172" s="725"/>
      <c r="Q172" s="994"/>
    </row>
    <row r="173" spans="1:17" s="914" customFormat="1" ht="81">
      <c r="A173" s="944" t="s">
        <v>248</v>
      </c>
      <c r="B173" s="947" t="s">
        <v>656</v>
      </c>
      <c r="C173" s="948">
        <f>SUM(D173:E173)</f>
        <v>60106.400000000001</v>
      </c>
      <c r="D173" s="949">
        <f>D174</f>
        <v>56500</v>
      </c>
      <c r="E173" s="949">
        <f>E174</f>
        <v>3606.4</v>
      </c>
      <c r="F173" s="950">
        <f>SUM(G173:H173)</f>
        <v>60106.400000000001</v>
      </c>
      <c r="G173" s="949">
        <f>G174</f>
        <v>56500</v>
      </c>
      <c r="H173" s="949">
        <f>H174</f>
        <v>3606.4</v>
      </c>
      <c r="I173" s="950">
        <f>SUM(J173:K173)</f>
        <v>0</v>
      </c>
      <c r="J173" s="949">
        <f>J174</f>
        <v>0</v>
      </c>
      <c r="K173" s="949">
        <f>K174</f>
        <v>0</v>
      </c>
      <c r="L173" s="951">
        <f t="shared" si="54"/>
        <v>0</v>
      </c>
      <c r="M173" s="952">
        <f t="shared" si="54"/>
        <v>0</v>
      </c>
      <c r="N173" s="952">
        <f t="shared" si="54"/>
        <v>0</v>
      </c>
      <c r="O173" s="912"/>
      <c r="P173" s="912"/>
      <c r="Q173" s="994"/>
    </row>
    <row r="174" spans="1:17" ht="67.5" customHeight="1">
      <c r="A174" s="895">
        <v>14</v>
      </c>
      <c r="B174" s="937" t="s">
        <v>623</v>
      </c>
      <c r="C174" s="871">
        <f>SUM(D174:E174)</f>
        <v>60106.400000000001</v>
      </c>
      <c r="D174" s="884">
        <v>56500</v>
      </c>
      <c r="E174" s="887">
        <v>3606.4</v>
      </c>
      <c r="F174" s="871">
        <f>SUM(G174:H174)</f>
        <v>60106.400000000001</v>
      </c>
      <c r="G174" s="884">
        <v>56500</v>
      </c>
      <c r="H174" s="887">
        <v>3606.4</v>
      </c>
      <c r="I174" s="874">
        <f>SUM(J174:K174)</f>
        <v>0</v>
      </c>
      <c r="J174" s="884"/>
      <c r="K174" s="887"/>
      <c r="L174" s="876">
        <f t="shared" si="54"/>
        <v>0</v>
      </c>
      <c r="M174" s="877">
        <f t="shared" si="54"/>
        <v>0</v>
      </c>
      <c r="N174" s="877">
        <f t="shared" si="54"/>
        <v>0</v>
      </c>
      <c r="O174" s="725"/>
      <c r="P174" s="725"/>
      <c r="Q174" s="994"/>
    </row>
    <row r="175" spans="1:17" s="914" customFormat="1" ht="69" customHeight="1">
      <c r="A175" s="944" t="s">
        <v>249</v>
      </c>
      <c r="B175" s="932" t="s">
        <v>39</v>
      </c>
      <c r="C175" s="933">
        <f t="shared" si="50"/>
        <v>114960</v>
      </c>
      <c r="D175" s="933">
        <f>SUM(D176:D177)</f>
        <v>0</v>
      </c>
      <c r="E175" s="933">
        <f>SUM(E176:E177)</f>
        <v>114960</v>
      </c>
      <c r="F175" s="933">
        <f t="shared" si="51"/>
        <v>112200</v>
      </c>
      <c r="G175" s="933">
        <f>SUM(G176:G177)</f>
        <v>0</v>
      </c>
      <c r="H175" s="933">
        <f>SUM(H176:H177)</f>
        <v>112200</v>
      </c>
      <c r="I175" s="933">
        <f t="shared" si="52"/>
        <v>0</v>
      </c>
      <c r="J175" s="933">
        <f>J177</f>
        <v>0</v>
      </c>
      <c r="K175" s="933">
        <f>K177</f>
        <v>0</v>
      </c>
      <c r="L175" s="935">
        <f t="shared" si="53"/>
        <v>0</v>
      </c>
      <c r="M175" s="936">
        <f t="shared" si="53"/>
        <v>0</v>
      </c>
      <c r="N175" s="936">
        <f t="shared" si="53"/>
        <v>0</v>
      </c>
      <c r="O175" s="912">
        <f t="shared" ref="O175:P179" si="55">D175-G175</f>
        <v>0</v>
      </c>
      <c r="P175" s="912">
        <f t="shared" si="55"/>
        <v>2760</v>
      </c>
      <c r="Q175" s="994"/>
    </row>
    <row r="176" spans="1:17" s="736" customFormat="1" ht="78.75">
      <c r="A176" s="895">
        <v>15</v>
      </c>
      <c r="B176" s="903" t="s">
        <v>706</v>
      </c>
      <c r="C176" s="871">
        <f>SUM(D176:E176)</f>
        <v>2760</v>
      </c>
      <c r="D176" s="887">
        <v>0</v>
      </c>
      <c r="E176" s="887">
        <v>2760</v>
      </c>
      <c r="F176" s="871">
        <f>SUM(G176:H176)</f>
        <v>0</v>
      </c>
      <c r="G176" s="887"/>
      <c r="H176" s="887">
        <v>0</v>
      </c>
      <c r="I176" s="871">
        <f>SUM(J176:K176)</f>
        <v>0</v>
      </c>
      <c r="J176" s="887"/>
      <c r="K176" s="887"/>
      <c r="L176" s="872">
        <f>IF(I176=0,0,I176/F176*100)</f>
        <v>0</v>
      </c>
      <c r="M176" s="873">
        <f>IF(J176=0,0,J176/G176*100)</f>
        <v>0</v>
      </c>
      <c r="N176" s="873">
        <f>IF(K176=0,0,K176/H176*100)</f>
        <v>0</v>
      </c>
      <c r="O176" s="735"/>
      <c r="P176" s="735"/>
    </row>
    <row r="177" spans="1:17" s="736" customFormat="1" ht="39.75" customHeight="1">
      <c r="A177" s="895">
        <v>16</v>
      </c>
      <c r="B177" s="903" t="s">
        <v>263</v>
      </c>
      <c r="C177" s="871">
        <f t="shared" si="50"/>
        <v>112200</v>
      </c>
      <c r="D177" s="887">
        <v>0</v>
      </c>
      <c r="E177" s="887">
        <v>112200</v>
      </c>
      <c r="F177" s="871">
        <f t="shared" si="51"/>
        <v>112200</v>
      </c>
      <c r="G177" s="887"/>
      <c r="H177" s="887">
        <v>112200</v>
      </c>
      <c r="I177" s="871">
        <f t="shared" si="52"/>
        <v>0</v>
      </c>
      <c r="J177" s="887"/>
      <c r="K177" s="887"/>
      <c r="L177" s="872">
        <f t="shared" si="53"/>
        <v>0</v>
      </c>
      <c r="M177" s="873">
        <f t="shared" si="53"/>
        <v>0</v>
      </c>
      <c r="N177" s="873">
        <f t="shared" si="53"/>
        <v>0</v>
      </c>
      <c r="O177" s="735"/>
      <c r="P177" s="735"/>
    </row>
    <row r="178" spans="1:17" ht="41.25" customHeight="1">
      <c r="A178" s="904"/>
      <c r="B178" s="890" t="s">
        <v>432</v>
      </c>
      <c r="C178" s="889"/>
      <c r="D178" s="890"/>
      <c r="E178" s="890"/>
      <c r="F178" s="889"/>
      <c r="G178" s="890"/>
      <c r="H178" s="890"/>
      <c r="I178" s="891"/>
      <c r="J178" s="892"/>
      <c r="K178" s="892"/>
      <c r="L178" s="891"/>
      <c r="M178" s="892"/>
      <c r="N178" s="892"/>
      <c r="O178" s="725">
        <f t="shared" si="55"/>
        <v>0</v>
      </c>
      <c r="P178" s="725">
        <f t="shared" si="55"/>
        <v>0</v>
      </c>
      <c r="Q178" s="736"/>
    </row>
    <row r="179" spans="1:17" ht="54.75" customHeight="1">
      <c r="A179" s="2402" t="s">
        <v>669</v>
      </c>
      <c r="B179" s="2403"/>
      <c r="C179" s="893">
        <f>SUM(D179:E179)</f>
        <v>3280854.1</v>
      </c>
      <c r="D179" s="894">
        <f>SUM(D160,D108,D59)</f>
        <v>3000000</v>
      </c>
      <c r="E179" s="894">
        <f>SUM(E160,E108,E59)</f>
        <v>280854.09999999998</v>
      </c>
      <c r="F179" s="893">
        <f>SUM(G179:H179)</f>
        <v>3041730</v>
      </c>
      <c r="G179" s="894">
        <f>SUM(G160,G108,G59)</f>
        <v>2779179.6</v>
      </c>
      <c r="H179" s="894">
        <f>SUM(H160,H108,H59)</f>
        <v>262550.40000000002</v>
      </c>
      <c r="I179" s="893">
        <f>SUM(J179:K179)</f>
        <v>0</v>
      </c>
      <c r="J179" s="894">
        <f>SUM(J160,J108,J59)</f>
        <v>0</v>
      </c>
      <c r="K179" s="894">
        <f>SUM(K160,K108,K59)</f>
        <v>0</v>
      </c>
      <c r="L179" s="893">
        <f>SUM(M179:N179)</f>
        <v>0</v>
      </c>
      <c r="M179" s="894">
        <f>SUM(M160,M108,M59)</f>
        <v>0</v>
      </c>
      <c r="N179" s="894">
        <f>SUM(N160,N108,N59)</f>
        <v>0</v>
      </c>
      <c r="O179" s="725">
        <f t="shared" si="55"/>
        <v>220820.4</v>
      </c>
      <c r="P179" s="725">
        <f t="shared" si="55"/>
        <v>18303.7</v>
      </c>
    </row>
    <row r="180" spans="1:17" ht="26.25">
      <c r="A180" s="2402" t="s">
        <v>777</v>
      </c>
      <c r="B180" s="2406"/>
      <c r="C180" s="893">
        <f>SUM(D180:E180)</f>
        <v>265472.7</v>
      </c>
      <c r="D180" s="894">
        <f>SUM(D181:D182)</f>
        <v>0</v>
      </c>
      <c r="E180" s="894">
        <f>SUM(E181:E182)</f>
        <v>265472.7</v>
      </c>
      <c r="F180" s="893">
        <f>SUM(G180:H180)</f>
        <v>265472.7</v>
      </c>
      <c r="G180" s="894">
        <f>SUM(G181:G182)</f>
        <v>0</v>
      </c>
      <c r="H180" s="894">
        <f>SUM(H181:H182)</f>
        <v>265472.7</v>
      </c>
      <c r="I180" s="893">
        <f>SUM(J180:K180)</f>
        <v>0</v>
      </c>
      <c r="J180" s="894">
        <f>SUM(J181:J182)</f>
        <v>0</v>
      </c>
      <c r="K180" s="894">
        <f>SUM(K181:K182)</f>
        <v>0</v>
      </c>
      <c r="L180" s="893">
        <f>SUM(M180:N180)</f>
        <v>0</v>
      </c>
      <c r="M180" s="894">
        <f>SUM(M181:M182)</f>
        <v>0</v>
      </c>
      <c r="N180" s="894">
        <f>SUM(N181:N182)</f>
        <v>0</v>
      </c>
      <c r="O180" s="725"/>
      <c r="P180" s="725"/>
    </row>
    <row r="181" spans="1:17" ht="26.25">
      <c r="A181" s="954"/>
      <c r="B181" s="954" t="s">
        <v>778</v>
      </c>
      <c r="C181" s="893">
        <f>SUM(D181:E181)</f>
        <v>121547.1</v>
      </c>
      <c r="D181" s="873"/>
      <c r="E181" s="873">
        <f>E151+E107+E106+E105+E104+E103+E102+E101+E100+E99+E139+E137+E135+E130+E133</f>
        <v>121547.1</v>
      </c>
      <c r="F181" s="893">
        <f>SUM(G181:H181)</f>
        <v>121547.1</v>
      </c>
      <c r="G181" s="873"/>
      <c r="H181" s="873">
        <f>H151+H107+H106+H105+H104+H103+H102+H101+H100+H99+H139+H137+H135+H130+H133</f>
        <v>121547.1</v>
      </c>
      <c r="I181" s="893">
        <f>SUM(J181:K181)</f>
        <v>0</v>
      </c>
      <c r="J181" s="873"/>
      <c r="K181" s="873">
        <f>K151+K107+K106+K105+K104+K103+K102+K101+K100+K99+K139+K137+K135+K130+K133</f>
        <v>0</v>
      </c>
      <c r="L181" s="893">
        <f>SUM(M181:N181)</f>
        <v>0</v>
      </c>
      <c r="M181" s="873"/>
      <c r="N181" s="873">
        <f>N151+N107+N106+N105+N104+N103+N102+N101+N100+N99+N139+N137+N135+N130+N133</f>
        <v>0</v>
      </c>
    </row>
    <row r="182" spans="1:17" ht="26.25">
      <c r="A182" s="954"/>
      <c r="B182" s="954" t="s">
        <v>779</v>
      </c>
      <c r="C182" s="893">
        <f>SUM(D182:E182)</f>
        <v>143925.6</v>
      </c>
      <c r="D182" s="873"/>
      <c r="E182" s="873">
        <f>SUM(E90:E98,E79:E85)</f>
        <v>143925.6</v>
      </c>
      <c r="F182" s="893">
        <f>SUM(G182:H182)</f>
        <v>143925.6</v>
      </c>
      <c r="G182" s="873"/>
      <c r="H182" s="873">
        <f>SUM(H90:H98,H80:H85,H79)</f>
        <v>143925.6</v>
      </c>
      <c r="I182" s="893">
        <f>SUM(J182:K182)</f>
        <v>0</v>
      </c>
      <c r="J182" s="873"/>
      <c r="K182" s="873">
        <f>SUM(K90:K98,K80:K85,K79)</f>
        <v>0</v>
      </c>
      <c r="L182" s="893">
        <f>SUM(M182:N182)</f>
        <v>0</v>
      </c>
      <c r="M182" s="873"/>
      <c r="N182" s="873">
        <f>SUM(N90:N98,N80:N85,N79)</f>
        <v>0</v>
      </c>
    </row>
    <row r="183" spans="1:17" ht="26.25">
      <c r="A183" s="2397" t="s">
        <v>529</v>
      </c>
      <c r="B183" s="2398"/>
      <c r="C183" s="876">
        <f>D183+E183</f>
        <v>1446586.2</v>
      </c>
      <c r="D183" s="879">
        <f>D12-D179</f>
        <v>732997.1</v>
      </c>
      <c r="E183" s="879">
        <f>E12-E179</f>
        <v>713589.1</v>
      </c>
      <c r="F183" s="876">
        <f>G183+H183</f>
        <v>1351315.4</v>
      </c>
      <c r="G183" s="879">
        <f>G12-G179</f>
        <v>689963.4</v>
      </c>
      <c r="H183" s="879">
        <f>H12-H179</f>
        <v>661352</v>
      </c>
      <c r="I183" s="876">
        <f>J183+K183</f>
        <v>0</v>
      </c>
      <c r="J183" s="879">
        <f>J12-J179</f>
        <v>0</v>
      </c>
      <c r="K183" s="879">
        <f>K12-K179</f>
        <v>0</v>
      </c>
      <c r="L183" s="876">
        <f>M183+N183</f>
        <v>0</v>
      </c>
      <c r="M183" s="879">
        <f>M12-M179</f>
        <v>0</v>
      </c>
      <c r="N183" s="879">
        <f>N12-N179</f>
        <v>0</v>
      </c>
    </row>
    <row r="184" spans="1:17" ht="38.25" customHeight="1">
      <c r="A184" s="797"/>
      <c r="B184" s="797"/>
      <c r="C184" s="799"/>
      <c r="D184" s="799"/>
      <c r="E184" s="799"/>
      <c r="F184" s="799"/>
      <c r="G184" s="799"/>
      <c r="H184" s="799"/>
      <c r="I184" s="799"/>
      <c r="J184" s="799"/>
      <c r="K184" s="799"/>
      <c r="L184" s="799"/>
      <c r="M184" s="799"/>
      <c r="N184" s="799"/>
      <c r="O184" s="799">
        <f>SUM(O179:O183)-O12</f>
        <v>220820.4</v>
      </c>
      <c r="P184" s="799">
        <f>SUM(P179:P183)-P12</f>
        <v>18303.7</v>
      </c>
    </row>
    <row r="185" spans="1:17" s="939" customFormat="1" ht="38.25" customHeight="1">
      <c r="A185" s="938"/>
      <c r="B185" s="939" t="s">
        <v>310</v>
      </c>
      <c r="C185" s="940"/>
      <c r="D185" s="941"/>
      <c r="E185" s="941"/>
      <c r="F185" s="941"/>
      <c r="G185" s="942"/>
      <c r="H185" s="942"/>
      <c r="I185" s="940"/>
      <c r="J185" s="942"/>
      <c r="K185" s="2399" t="s">
        <v>613</v>
      </c>
      <c r="L185" s="2400"/>
      <c r="M185" s="943"/>
      <c r="N185" s="943"/>
    </row>
    <row r="186" spans="1:17" ht="53.25" customHeight="1">
      <c r="A186" s="791"/>
      <c r="B186" s="791" t="s">
        <v>657</v>
      </c>
      <c r="C186" s="793"/>
      <c r="E186" s="2372"/>
      <c r="F186" s="2373"/>
    </row>
    <row r="187" spans="1:17">
      <c r="E187" s="742"/>
    </row>
    <row r="188" spans="1:17">
      <c r="E188" s="742"/>
    </row>
  </sheetData>
  <mergeCells count="28">
    <mergeCell ref="E186:F186"/>
    <mergeCell ref="L9:L10"/>
    <mergeCell ref="D9:E9"/>
    <mergeCell ref="F9:F10"/>
    <mergeCell ref="G9:H9"/>
    <mergeCell ref="I9:I10"/>
    <mergeCell ref="A183:B183"/>
    <mergeCell ref="K185:L185"/>
    <mergeCell ref="A13:B13"/>
    <mergeCell ref="A155:B155"/>
    <mergeCell ref="A179:B179"/>
    <mergeCell ref="A130:A131"/>
    <mergeCell ref="A180:B180"/>
    <mergeCell ref="A1:B1"/>
    <mergeCell ref="K1:P1"/>
    <mergeCell ref="I3:L3"/>
    <mergeCell ref="A5:N5"/>
    <mergeCell ref="A6:N6"/>
    <mergeCell ref="A7:N7"/>
    <mergeCell ref="M9:N9"/>
    <mergeCell ref="L8:M8"/>
    <mergeCell ref="A138:A139"/>
    <mergeCell ref="A134:A135"/>
    <mergeCell ref="A9:A10"/>
    <mergeCell ref="B9:B10"/>
    <mergeCell ref="C9:C10"/>
    <mergeCell ref="J8:K8"/>
    <mergeCell ref="J9:K9"/>
  </mergeCells>
  <pageMargins left="0.19685039370078741" right="0.19685039370078741" top="0.23622047244094491" bottom="0.23622047244094491" header="0.15748031496062992" footer="0.19685039370078741"/>
  <pageSetup paperSize="9" scale="36" fitToHeight="9" orientation="landscape" r:id="rId1"/>
  <customProperties>
    <customPr name="krista_fm_consts" r:id="rId2"/>
  </customProperties>
</worksheet>
</file>

<file path=xl/worksheets/sheet19.xml><?xml version="1.0" encoding="utf-8"?>
<worksheet xmlns="http://schemas.openxmlformats.org/spreadsheetml/2006/main" xmlns:r="http://schemas.openxmlformats.org/officeDocument/2006/relationships">
  <sheetPr>
    <pageSetUpPr fitToPage="1"/>
  </sheetPr>
  <dimension ref="A1:X253"/>
  <sheetViews>
    <sheetView zoomScale="60" zoomScaleNormal="60" zoomScaleSheetLayoutView="50" workbookViewId="0">
      <pane xSplit="2" ySplit="12" topLeftCell="C13" activePane="bottomRight" state="frozen"/>
      <selection activeCell="D14" sqref="D14"/>
      <selection pane="topRight" activeCell="D14" sqref="D14"/>
      <selection pane="bottomLeft" activeCell="D14" sqref="D14"/>
      <selection pane="bottomRight" activeCell="D14" sqref="D14"/>
    </sheetView>
  </sheetViews>
  <sheetFormatPr defaultColWidth="9.140625" defaultRowHeight="30"/>
  <cols>
    <col min="1" max="1" width="12.7109375" style="1101" customWidth="1"/>
    <col min="2" max="2" width="125.140625" style="497" customWidth="1"/>
    <col min="3" max="3" width="58.5703125" style="1101" customWidth="1"/>
    <col min="4" max="4" width="24.140625" style="700" customWidth="1"/>
    <col min="5" max="5" width="24.28515625" style="497" customWidth="1"/>
    <col min="6" max="6" width="23.28515625" style="497" customWidth="1"/>
    <col min="7" max="7" width="23.28515625" style="700" customWidth="1"/>
    <col min="8" max="8" width="25.85546875" style="497" customWidth="1"/>
    <col min="9" max="9" width="23.42578125" style="497" bestFit="1" customWidth="1"/>
    <col min="10" max="10" width="22.7109375" style="700" customWidth="1"/>
    <col min="11" max="11" width="22.5703125" style="497" customWidth="1"/>
    <col min="12" max="12" width="22" style="497" bestFit="1" customWidth="1"/>
    <col min="13" max="13" width="23.85546875" style="700" bestFit="1" customWidth="1"/>
    <col min="14" max="15" width="22" style="497" bestFit="1" customWidth="1"/>
    <col min="16" max="18" width="20" style="497" hidden="1" customWidth="1"/>
    <col min="19" max="19" width="24.5703125" style="1099" hidden="1" customWidth="1"/>
    <col min="20" max="20" width="38.42578125" style="1100" hidden="1" customWidth="1"/>
    <col min="21" max="21" width="31.28515625" style="1099" hidden="1" customWidth="1"/>
    <col min="22" max="22" width="53.42578125" style="1099" hidden="1" customWidth="1"/>
    <col min="23" max="23" width="26.7109375" style="1098" customWidth="1"/>
    <col min="24" max="24" width="9.140625" style="736"/>
    <col min="25" max="16384" width="9.140625" style="497"/>
  </cols>
  <sheetData>
    <row r="1" spans="1:24">
      <c r="A1" s="2359"/>
      <c r="B1" s="2359"/>
      <c r="D1" s="817"/>
      <c r="E1" s="817"/>
      <c r="F1" s="817"/>
      <c r="G1" s="817"/>
      <c r="H1" s="817"/>
      <c r="I1" s="817"/>
      <c r="J1" s="817"/>
      <c r="L1" s="2384" t="s">
        <v>513</v>
      </c>
      <c r="M1" s="2384"/>
      <c r="N1" s="2384"/>
      <c r="O1" s="2384"/>
    </row>
    <row r="2" spans="1:24" hidden="1">
      <c r="B2" s="1094"/>
      <c r="D2" s="714"/>
      <c r="E2" s="1094"/>
      <c r="F2" s="1094"/>
      <c r="M2" s="714"/>
    </row>
    <row r="3" spans="1:24" s="467" customFormat="1" hidden="1">
      <c r="A3" s="860"/>
      <c r="C3" s="474"/>
      <c r="D3" s="715"/>
      <c r="E3" s="716"/>
      <c r="F3" s="716"/>
      <c r="G3" s="715"/>
      <c r="H3" s="716"/>
      <c r="I3" s="716"/>
      <c r="J3" s="2312"/>
      <c r="K3" s="2312"/>
      <c r="L3" s="2312"/>
      <c r="M3" s="2312"/>
      <c r="O3" s="717"/>
      <c r="S3" s="1107"/>
      <c r="T3" s="1108"/>
      <c r="U3" s="1107"/>
      <c r="V3" s="1107"/>
      <c r="W3" s="1109"/>
      <c r="X3" s="1110"/>
    </row>
    <row r="4" spans="1:24" s="467" customFormat="1" ht="43.5" hidden="1" customHeight="1">
      <c r="A4" s="860"/>
      <c r="C4" s="474"/>
      <c r="D4" s="815">
        <f>6162009.6</f>
        <v>6162009.5999999996</v>
      </c>
      <c r="E4" s="716"/>
      <c r="F4" s="716"/>
      <c r="G4" s="815">
        <v>5873905</v>
      </c>
      <c r="H4" s="469"/>
      <c r="I4" s="469"/>
      <c r="J4" s="816">
        <v>2407625.6</v>
      </c>
      <c r="K4" s="469"/>
      <c r="L4" s="469"/>
      <c r="M4" s="718"/>
      <c r="O4" s="717"/>
      <c r="S4" s="1107"/>
      <c r="T4" s="1108"/>
      <c r="U4" s="1107"/>
      <c r="V4" s="1107"/>
      <c r="W4" s="1109"/>
      <c r="X4" s="1110"/>
    </row>
    <row r="5" spans="1:24" s="467" customFormat="1" ht="30.75" customHeight="1">
      <c r="A5" s="2389" t="s">
        <v>5</v>
      </c>
      <c r="B5" s="2389"/>
      <c r="C5" s="2389"/>
      <c r="D5" s="2389"/>
      <c r="E5" s="2389"/>
      <c r="F5" s="2389"/>
      <c r="G5" s="2389"/>
      <c r="H5" s="2389"/>
      <c r="I5" s="2389"/>
      <c r="J5" s="2389"/>
      <c r="K5" s="2389"/>
      <c r="L5" s="2389"/>
      <c r="M5" s="2389"/>
      <c r="N5" s="2389"/>
      <c r="O5" s="2389"/>
      <c r="S5" s="1107"/>
      <c r="T5" s="1108"/>
      <c r="U5" s="1107"/>
      <c r="V5" s="1107"/>
      <c r="W5" s="1109"/>
      <c r="X5" s="1110"/>
    </row>
    <row r="6" spans="1:24" s="467" customFormat="1" ht="30.75" customHeight="1">
      <c r="A6" s="2389" t="s">
        <v>236</v>
      </c>
      <c r="B6" s="2389"/>
      <c r="C6" s="2389"/>
      <c r="D6" s="2389"/>
      <c r="E6" s="2389"/>
      <c r="F6" s="2389"/>
      <c r="G6" s="2389"/>
      <c r="H6" s="2389"/>
      <c r="I6" s="2389"/>
      <c r="J6" s="2389"/>
      <c r="K6" s="2389"/>
      <c r="L6" s="2389"/>
      <c r="M6" s="2389"/>
      <c r="N6" s="2389"/>
      <c r="O6" s="2389"/>
      <c r="S6" s="1107"/>
      <c r="T6" s="1108"/>
      <c r="U6" s="1107"/>
      <c r="V6" s="1107"/>
      <c r="W6" s="1109"/>
      <c r="X6" s="1110"/>
    </row>
    <row r="7" spans="1:24" s="467" customFormat="1" ht="36" customHeight="1">
      <c r="A7" s="2389" t="s">
        <v>1073</v>
      </c>
      <c r="B7" s="2389"/>
      <c r="C7" s="2389"/>
      <c r="D7" s="2389"/>
      <c r="E7" s="2389"/>
      <c r="F7" s="2389"/>
      <c r="G7" s="2389"/>
      <c r="H7" s="2389"/>
      <c r="I7" s="2389"/>
      <c r="J7" s="2389"/>
      <c r="K7" s="2389"/>
      <c r="L7" s="2389"/>
      <c r="M7" s="2389"/>
      <c r="N7" s="2389"/>
      <c r="O7" s="2389"/>
      <c r="P7" s="858"/>
      <c r="S7" s="1107"/>
      <c r="T7" s="1108"/>
      <c r="U7" s="1107"/>
      <c r="V7" s="1107"/>
      <c r="W7" s="1109"/>
      <c r="X7" s="1110"/>
    </row>
    <row r="8" spans="1:24" s="467" customFormat="1" ht="36" customHeight="1">
      <c r="A8" s="1072"/>
      <c r="B8" s="1057"/>
      <c r="C8" s="1057"/>
      <c r="D8" s="1064"/>
      <c r="E8" s="1064"/>
      <c r="F8" s="1064"/>
      <c r="G8" s="1064"/>
      <c r="H8" s="1064"/>
      <c r="I8" s="1064"/>
      <c r="J8" s="1064"/>
      <c r="K8" s="1057"/>
      <c r="L8" s="1064"/>
      <c r="M8" s="1057"/>
      <c r="N8" s="1057"/>
      <c r="O8" s="1057"/>
      <c r="P8" s="858"/>
      <c r="S8" s="1107"/>
      <c r="T8" s="1108"/>
      <c r="U8" s="1107"/>
      <c r="V8" s="1107"/>
      <c r="W8" s="1109"/>
      <c r="X8" s="1110"/>
    </row>
    <row r="9" spans="1:24" s="1063" customFormat="1" ht="20.25" customHeight="1">
      <c r="A9" s="1073"/>
      <c r="B9" s="1058"/>
      <c r="C9" s="1058"/>
      <c r="D9" s="1059"/>
      <c r="E9" s="1058"/>
      <c r="F9" s="1058"/>
      <c r="G9" s="1061"/>
      <c r="H9" s="1058"/>
      <c r="I9" s="1060"/>
      <c r="J9" s="1061"/>
      <c r="K9" s="2423"/>
      <c r="L9" s="2423"/>
      <c r="M9" s="2423" t="s">
        <v>377</v>
      </c>
      <c r="N9" s="2423"/>
      <c r="O9" s="1062"/>
      <c r="S9" s="1107"/>
      <c r="T9" s="1108"/>
      <c r="U9" s="1107"/>
      <c r="V9" s="1107"/>
      <c r="W9" s="1109"/>
      <c r="X9" s="1111"/>
    </row>
    <row r="10" spans="1:24" s="791" customFormat="1" ht="70.5" customHeight="1">
      <c r="A10" s="2394" t="s">
        <v>18</v>
      </c>
      <c r="B10" s="2395" t="s">
        <v>0</v>
      </c>
      <c r="C10" s="2437" t="s">
        <v>1075</v>
      </c>
      <c r="D10" s="2396" t="s">
        <v>614</v>
      </c>
      <c r="E10" s="2424" t="s">
        <v>257</v>
      </c>
      <c r="F10" s="2424"/>
      <c r="G10" s="2396" t="s">
        <v>442</v>
      </c>
      <c r="H10" s="2424" t="s">
        <v>257</v>
      </c>
      <c r="I10" s="2424"/>
      <c r="J10" s="2396" t="s">
        <v>237</v>
      </c>
      <c r="K10" s="2424" t="s">
        <v>257</v>
      </c>
      <c r="L10" s="2424"/>
      <c r="M10" s="2396" t="s">
        <v>574</v>
      </c>
      <c r="N10" s="2424" t="s">
        <v>448</v>
      </c>
      <c r="O10" s="2424"/>
      <c r="S10" s="1099"/>
      <c r="T10" s="1100"/>
      <c r="U10" s="1099"/>
      <c r="V10" s="1099"/>
      <c r="W10" s="1098"/>
      <c r="X10" s="1112"/>
    </row>
    <row r="11" spans="1:24" s="791" customFormat="1" ht="150" customHeight="1">
      <c r="A11" s="2394"/>
      <c r="B11" s="2395"/>
      <c r="C11" s="2438"/>
      <c r="D11" s="2396"/>
      <c r="E11" s="905" t="s">
        <v>1074</v>
      </c>
      <c r="F11" s="905" t="s">
        <v>258</v>
      </c>
      <c r="G11" s="2396"/>
      <c r="H11" s="905" t="s">
        <v>1074</v>
      </c>
      <c r="I11" s="905" t="s">
        <v>258</v>
      </c>
      <c r="J11" s="2396"/>
      <c r="K11" s="905" t="s">
        <v>1074</v>
      </c>
      <c r="L11" s="905" t="s">
        <v>258</v>
      </c>
      <c r="M11" s="2396"/>
      <c r="N11" s="905" t="s">
        <v>1074</v>
      </c>
      <c r="O11" s="905" t="s">
        <v>258</v>
      </c>
      <c r="S11" s="1099"/>
      <c r="T11" s="1100"/>
      <c r="U11" s="1099"/>
      <c r="V11" s="1099"/>
      <c r="W11" s="1098"/>
      <c r="X11" s="1112"/>
    </row>
    <row r="12" spans="1:24" s="720" customFormat="1">
      <c r="A12" s="895">
        <v>1</v>
      </c>
      <c r="B12" s="895">
        <v>2</v>
      </c>
      <c r="C12" s="895"/>
      <c r="D12" s="263">
        <v>3</v>
      </c>
      <c r="E12" s="263">
        <v>4</v>
      </c>
      <c r="F12" s="263">
        <v>5</v>
      </c>
      <c r="G12" s="721">
        <v>6</v>
      </c>
      <c r="H12" s="721">
        <v>7</v>
      </c>
      <c r="I12" s="721">
        <v>8</v>
      </c>
      <c r="J12" s="721">
        <v>9</v>
      </c>
      <c r="K12" s="721">
        <v>10</v>
      </c>
      <c r="L12" s="721">
        <v>11</v>
      </c>
      <c r="M12" s="721">
        <v>12</v>
      </c>
      <c r="N12" s="721">
        <v>13</v>
      </c>
      <c r="O12" s="721">
        <v>14</v>
      </c>
      <c r="P12" s="720" t="s">
        <v>791</v>
      </c>
      <c r="S12" s="1099"/>
      <c r="T12" s="1100"/>
      <c r="U12" s="1099"/>
      <c r="V12" s="1099"/>
      <c r="W12" s="1098"/>
      <c r="X12" s="1113"/>
    </row>
    <row r="13" spans="1:24" s="914" customFormat="1" ht="48.75" customHeight="1">
      <c r="A13" s="944"/>
      <c r="B13" s="916" t="s">
        <v>10</v>
      </c>
      <c r="C13" s="1167" t="s">
        <v>353</v>
      </c>
      <c r="D13" s="917">
        <f>SUM(E13:F13)</f>
        <v>6135278.4000000004</v>
      </c>
      <c r="E13" s="917">
        <f>SUM(E14,E206)</f>
        <v>4693620</v>
      </c>
      <c r="F13" s="917">
        <f>SUM(F14,F206)</f>
        <v>1441658.4</v>
      </c>
      <c r="G13" s="917">
        <f>SUM(H13:I13)</f>
        <v>5998248.7000000002</v>
      </c>
      <c r="H13" s="917">
        <f>SUM(H14,H206)</f>
        <v>4648887.5</v>
      </c>
      <c r="I13" s="917">
        <f>SUM(I14,I206)</f>
        <v>1349361.2</v>
      </c>
      <c r="J13" s="917">
        <f>SUM(K13:L13)</f>
        <v>107850.5</v>
      </c>
      <c r="K13" s="917">
        <f>SUM(K14,K206)</f>
        <v>51210.400000000001</v>
      </c>
      <c r="L13" s="917">
        <f>SUM(L14,L206)</f>
        <v>56640.1</v>
      </c>
      <c r="M13" s="918">
        <f t="shared" ref="M13:O14" si="0">IF(J13=0,0,J13/G13*100)</f>
        <v>1.8</v>
      </c>
      <c r="N13" s="918">
        <f t="shared" si="0"/>
        <v>1.1000000000000001</v>
      </c>
      <c r="O13" s="918">
        <f t="shared" si="0"/>
        <v>4.2</v>
      </c>
      <c r="P13" s="1065">
        <f t="shared" ref="P13:P79" si="1">D13-G13</f>
        <v>137029.70000000001</v>
      </c>
      <c r="Q13" s="1065">
        <f t="shared" ref="Q13:Q22" si="2">E13-H13</f>
        <v>44732.5</v>
      </c>
      <c r="R13" s="1065">
        <f t="shared" ref="R13:R22" si="3">F13-I13</f>
        <v>92297.2</v>
      </c>
      <c r="S13" s="1099"/>
      <c r="T13" s="1100"/>
      <c r="U13" s="1099"/>
      <c r="V13" s="1099"/>
      <c r="W13" s="1098"/>
      <c r="X13" s="913"/>
    </row>
    <row r="14" spans="1:24" s="914" customFormat="1" ht="81" customHeight="1">
      <c r="A14" s="2401" t="s">
        <v>453</v>
      </c>
      <c r="B14" s="2401"/>
      <c r="C14" s="1167" t="s">
        <v>353</v>
      </c>
      <c r="D14" s="917">
        <f>E14+F14</f>
        <v>4918426</v>
      </c>
      <c r="E14" s="917">
        <f>SUM(E16,E89)</f>
        <v>3784120</v>
      </c>
      <c r="F14" s="917">
        <f>SUM(F16,F89)</f>
        <v>1134306</v>
      </c>
      <c r="G14" s="917">
        <f>H14+I14</f>
        <v>4783288.5999999996</v>
      </c>
      <c r="H14" s="917">
        <f>SUM(H16,H89)</f>
        <v>3741086.3</v>
      </c>
      <c r="I14" s="917">
        <f>SUM(I16,I89)</f>
        <v>1042202.3</v>
      </c>
      <c r="J14" s="917">
        <f>SUM(K14:L14)</f>
        <v>83399.3</v>
      </c>
      <c r="K14" s="917">
        <f>SUM(K16,K90)</f>
        <v>41477.300000000003</v>
      </c>
      <c r="L14" s="917">
        <f>SUM(L16,L90)</f>
        <v>41922</v>
      </c>
      <c r="M14" s="918">
        <f t="shared" si="0"/>
        <v>1.7</v>
      </c>
      <c r="N14" s="920">
        <f t="shared" si="0"/>
        <v>1.1000000000000001</v>
      </c>
      <c r="O14" s="920">
        <f t="shared" si="0"/>
        <v>4</v>
      </c>
      <c r="P14" s="1065">
        <f t="shared" si="1"/>
        <v>135137.4</v>
      </c>
      <c r="Q14" s="1065">
        <f t="shared" si="2"/>
        <v>43033.7</v>
      </c>
      <c r="R14" s="1065">
        <f t="shared" si="3"/>
        <v>92103.7</v>
      </c>
      <c r="S14" s="1099"/>
      <c r="T14" s="1100"/>
      <c r="U14" s="1099"/>
      <c r="V14" s="1099"/>
      <c r="W14" s="1098"/>
      <c r="X14" s="913"/>
    </row>
    <row r="15" spans="1:24" s="914" customFormat="1" ht="57" hidden="1" customHeight="1">
      <c r="A15" s="944" t="s">
        <v>6</v>
      </c>
      <c r="B15" s="921" t="s">
        <v>437</v>
      </c>
      <c r="C15" s="1168"/>
      <c r="D15" s="922"/>
      <c r="E15" s="922"/>
      <c r="F15" s="922"/>
      <c r="G15" s="922"/>
      <c r="H15" s="922"/>
      <c r="I15" s="922"/>
      <c r="J15" s="922"/>
      <c r="K15" s="922"/>
      <c r="L15" s="922"/>
      <c r="M15" s="923"/>
      <c r="N15" s="924"/>
      <c r="O15" s="924"/>
      <c r="P15" s="1065">
        <f t="shared" si="1"/>
        <v>0</v>
      </c>
      <c r="Q15" s="1065">
        <f t="shared" si="2"/>
        <v>0</v>
      </c>
      <c r="R15" s="1065">
        <f t="shared" si="3"/>
        <v>0</v>
      </c>
      <c r="S15" s="1099"/>
      <c r="T15" s="1100"/>
      <c r="U15" s="1099"/>
      <c r="V15" s="1099"/>
      <c r="W15" s="1098"/>
      <c r="X15" s="913"/>
    </row>
    <row r="16" spans="1:24" s="914" customFormat="1" ht="121.5" customHeight="1">
      <c r="A16" s="944" t="s">
        <v>6</v>
      </c>
      <c r="B16" s="925" t="s">
        <v>439</v>
      </c>
      <c r="C16" s="1169" t="s">
        <v>353</v>
      </c>
      <c r="D16" s="926">
        <f>SUM(E16:F16)</f>
        <v>1397343.1</v>
      </c>
      <c r="E16" s="926">
        <f>SUM(E17)</f>
        <v>1012195.5</v>
      </c>
      <c r="F16" s="926">
        <f>SUM(F17)</f>
        <v>385147.6</v>
      </c>
      <c r="G16" s="926">
        <f>SUM(H16:I16)</f>
        <v>1353874.7</v>
      </c>
      <c r="H16" s="926">
        <f>SUM(H17)</f>
        <v>969161.8</v>
      </c>
      <c r="I16" s="926">
        <f>SUM(I17)</f>
        <v>384712.9</v>
      </c>
      <c r="J16" s="926">
        <f t="shared" ref="J16:J26" si="4">SUM(K16:L16)</f>
        <v>14258.9</v>
      </c>
      <c r="K16" s="926">
        <f>SUM(K17)</f>
        <v>13692.1</v>
      </c>
      <c r="L16" s="926">
        <f>SUM(L17)</f>
        <v>566.79999999999995</v>
      </c>
      <c r="M16" s="927">
        <f t="shared" ref="M16:M38" si="5">IF(J16=0,0,J16/G16*100)</f>
        <v>1.1000000000000001</v>
      </c>
      <c r="N16" s="928">
        <f t="shared" ref="N16:O34" si="6">IF(K16=0,0,K16/H16*100)</f>
        <v>1.4</v>
      </c>
      <c r="O16" s="928">
        <f t="shared" si="6"/>
        <v>0.1</v>
      </c>
      <c r="P16" s="1065">
        <f t="shared" si="1"/>
        <v>43468.4</v>
      </c>
      <c r="Q16" s="1065">
        <f t="shared" si="2"/>
        <v>43033.7</v>
      </c>
      <c r="R16" s="1065">
        <f t="shared" si="3"/>
        <v>434.7</v>
      </c>
      <c r="S16" s="1114"/>
      <c r="T16" s="1100"/>
      <c r="U16" s="1099"/>
      <c r="V16" s="1099"/>
      <c r="W16" s="1098"/>
      <c r="X16" s="913"/>
    </row>
    <row r="17" spans="1:24" s="914" customFormat="1" ht="51" customHeight="1">
      <c r="A17" s="944" t="s">
        <v>253</v>
      </c>
      <c r="B17" s="962" t="s">
        <v>41</v>
      </c>
      <c r="C17" s="1170"/>
      <c r="D17" s="929">
        <f t="shared" ref="D17:D70" si="7">SUM(E17:F17)</f>
        <v>1397343.1</v>
      </c>
      <c r="E17" s="929">
        <f>SUM(E18:E19,E20,E22,E26,E28,E31,E34,E36,E41,E45,E48,E50,E54,E59,E61,E63,E71,E65,E21,E57)</f>
        <v>1012195.5</v>
      </c>
      <c r="F17" s="929">
        <f>SUM(F18:F19,F20,F22,F26,F28,F31,F34,F36,F41,F45,F48,F50,F54,F59,F61,F63,F71,F65,F21,F57)</f>
        <v>385147.6</v>
      </c>
      <c r="G17" s="929">
        <f>SUM(H17:I17)</f>
        <v>1353874.7</v>
      </c>
      <c r="H17" s="929">
        <f>SUM(H18:H19,H20,H22,H26,H28,H31,H34,H36,H41,H45,H48,H50,H54,H59,H61,H63,H71,H65,H21,H57)</f>
        <v>969161.8</v>
      </c>
      <c r="I17" s="929">
        <f>SUM(I18:I19,I20,I22,I26,I28,I31,I34,I36,I41,I45,I48,I50,I54,I59,I61,I63,I71,I65,I21,I57)</f>
        <v>384712.9</v>
      </c>
      <c r="J17" s="929">
        <f t="shared" si="4"/>
        <v>14258.9</v>
      </c>
      <c r="K17" s="929">
        <f>SUM(K18:K19,K20,K22,K26,K28,K31,K34,K36,K41,K45,K48,K50,K54,K59,K61,K63,K71,K65,K21,K57)</f>
        <v>13692.1</v>
      </c>
      <c r="L17" s="929">
        <f>SUM(L18:L19,L20,L22,L26,L28,L31,L34,L36,L41,L45,L48,L50,L54,L59,L61,L63,L71,L65,L21,L57)</f>
        <v>566.79999999999995</v>
      </c>
      <c r="M17" s="930">
        <f t="shared" si="5"/>
        <v>1.1000000000000001</v>
      </c>
      <c r="N17" s="931">
        <f t="shared" si="6"/>
        <v>1.4</v>
      </c>
      <c r="O17" s="931">
        <f t="shared" si="6"/>
        <v>0.1</v>
      </c>
      <c r="P17" s="1065">
        <f t="shared" si="1"/>
        <v>43468.4</v>
      </c>
      <c r="Q17" s="1065">
        <f t="shared" si="2"/>
        <v>43033.7</v>
      </c>
      <c r="R17" s="1065">
        <f t="shared" si="3"/>
        <v>434.7</v>
      </c>
      <c r="S17" s="1099"/>
      <c r="T17" s="1100"/>
      <c r="U17" s="1099"/>
      <c r="V17" s="1099"/>
      <c r="W17" s="1098"/>
      <c r="X17" s="913"/>
    </row>
    <row r="18" spans="1:24" s="736" customFormat="1" ht="105" hidden="1">
      <c r="A18" s="1132" t="s">
        <v>538</v>
      </c>
      <c r="B18" s="971" t="s">
        <v>434</v>
      </c>
      <c r="C18" s="1171"/>
      <c r="D18" s="871">
        <f t="shared" si="7"/>
        <v>0</v>
      </c>
      <c r="E18" s="972"/>
      <c r="F18" s="972"/>
      <c r="G18" s="871">
        <f t="shared" ref="G18:G70" si="8">SUM(H18:I18)</f>
        <v>0</v>
      </c>
      <c r="H18" s="972"/>
      <c r="I18" s="972"/>
      <c r="J18" s="871">
        <f t="shared" si="4"/>
        <v>0</v>
      </c>
      <c r="K18" s="972"/>
      <c r="L18" s="972"/>
      <c r="M18" s="872">
        <f t="shared" si="5"/>
        <v>0</v>
      </c>
      <c r="N18" s="873">
        <f t="shared" si="6"/>
        <v>0</v>
      </c>
      <c r="O18" s="873">
        <f t="shared" si="6"/>
        <v>0</v>
      </c>
      <c r="P18" s="1065">
        <f t="shared" si="1"/>
        <v>0</v>
      </c>
      <c r="Q18" s="1065">
        <f t="shared" si="2"/>
        <v>0</v>
      </c>
      <c r="R18" s="1065">
        <f t="shared" si="3"/>
        <v>0</v>
      </c>
      <c r="S18" s="1099"/>
      <c r="T18" s="1100"/>
      <c r="U18" s="1099"/>
      <c r="V18" s="1099"/>
      <c r="W18" s="1098"/>
    </row>
    <row r="19" spans="1:24" s="736" customFormat="1" ht="80.25" customHeight="1">
      <c r="A19" s="1132" t="s">
        <v>538</v>
      </c>
      <c r="B19" s="971" t="s">
        <v>1076</v>
      </c>
      <c r="C19" s="1171" t="s">
        <v>1077</v>
      </c>
      <c r="D19" s="871">
        <f t="shared" si="7"/>
        <v>43468.4</v>
      </c>
      <c r="E19" s="972">
        <v>43033.7</v>
      </c>
      <c r="F19" s="972">
        <v>434.7</v>
      </c>
      <c r="G19" s="871">
        <f t="shared" si="8"/>
        <v>0</v>
      </c>
      <c r="H19" s="972">
        <v>0</v>
      </c>
      <c r="I19" s="972">
        <v>0</v>
      </c>
      <c r="J19" s="871">
        <f t="shared" si="4"/>
        <v>0</v>
      </c>
      <c r="K19" s="972">
        <v>0</v>
      </c>
      <c r="L19" s="972">
        <v>0</v>
      </c>
      <c r="M19" s="872">
        <f t="shared" si="5"/>
        <v>0</v>
      </c>
      <c r="N19" s="873">
        <f t="shared" si="6"/>
        <v>0</v>
      </c>
      <c r="O19" s="873">
        <f t="shared" si="6"/>
        <v>0</v>
      </c>
      <c r="P19" s="1065">
        <f t="shared" si="1"/>
        <v>43468.4</v>
      </c>
      <c r="Q19" s="1065">
        <f t="shared" si="2"/>
        <v>43033.7</v>
      </c>
      <c r="R19" s="1065">
        <f t="shared" si="3"/>
        <v>434.7</v>
      </c>
      <c r="S19" s="1099" t="s">
        <v>866</v>
      </c>
      <c r="T19" s="1100" t="s">
        <v>865</v>
      </c>
      <c r="U19" s="1099">
        <v>522</v>
      </c>
      <c r="V19" s="1099"/>
      <c r="W19" s="1098"/>
    </row>
    <row r="20" spans="1:24" s="892" customFormat="1" ht="114" customHeight="1">
      <c r="A20" s="1132" t="s">
        <v>539</v>
      </c>
      <c r="B20" s="1066" t="s">
        <v>434</v>
      </c>
      <c r="C20" s="1172"/>
      <c r="D20" s="874">
        <f>SUM(E20:F20)</f>
        <v>14736.7</v>
      </c>
      <c r="E20" s="877">
        <v>14736.7</v>
      </c>
      <c r="F20" s="877">
        <v>0</v>
      </c>
      <c r="G20" s="882">
        <f>SUM(H20:I20)</f>
        <v>14736.7</v>
      </c>
      <c r="H20" s="877">
        <v>14736.7</v>
      </c>
      <c r="I20" s="877">
        <v>0</v>
      </c>
      <c r="J20" s="882">
        <f t="shared" si="4"/>
        <v>9709.4</v>
      </c>
      <c r="K20" s="1069">
        <v>9709.4</v>
      </c>
      <c r="L20" s="877">
        <v>0</v>
      </c>
      <c r="M20" s="876">
        <f t="shared" si="5"/>
        <v>65.900000000000006</v>
      </c>
      <c r="N20" s="877">
        <f>IF(K20=0,0,K20/H20*100)</f>
        <v>65.900000000000006</v>
      </c>
      <c r="O20" s="877">
        <f>IF(L20=0,0,L20/I20*100)</f>
        <v>0</v>
      </c>
      <c r="P20" s="1065">
        <f t="shared" si="1"/>
        <v>0</v>
      </c>
      <c r="Q20" s="1065">
        <f t="shared" si="2"/>
        <v>0</v>
      </c>
      <c r="R20" s="1065">
        <f t="shared" si="3"/>
        <v>0</v>
      </c>
      <c r="S20" s="1099" t="s">
        <v>961</v>
      </c>
      <c r="T20" s="1100" t="s">
        <v>962</v>
      </c>
      <c r="U20" s="1099">
        <v>522</v>
      </c>
      <c r="V20" s="1099"/>
      <c r="W20" s="1098"/>
      <c r="X20" s="1118"/>
    </row>
    <row r="21" spans="1:24" s="892" customFormat="1" ht="108" customHeight="1">
      <c r="A21" s="1132" t="s">
        <v>19</v>
      </c>
      <c r="B21" s="1066" t="s">
        <v>792</v>
      </c>
      <c r="C21" s="1172"/>
      <c r="D21" s="874">
        <f t="shared" si="7"/>
        <v>741029.8</v>
      </c>
      <c r="E21" s="877">
        <v>733604.7</v>
      </c>
      <c r="F21" s="877">
        <v>7425.1</v>
      </c>
      <c r="G21" s="882">
        <f t="shared" si="8"/>
        <v>741029.8</v>
      </c>
      <c r="H21" s="877">
        <v>733604.7</v>
      </c>
      <c r="I21" s="877">
        <v>7425.1</v>
      </c>
      <c r="J21" s="882">
        <f t="shared" si="4"/>
        <v>0</v>
      </c>
      <c r="K21" s="877">
        <v>0</v>
      </c>
      <c r="L21" s="877">
        <v>0</v>
      </c>
      <c r="M21" s="876">
        <f t="shared" si="5"/>
        <v>0</v>
      </c>
      <c r="N21" s="877">
        <f t="shared" si="6"/>
        <v>0</v>
      </c>
      <c r="O21" s="877">
        <f t="shared" si="6"/>
        <v>0</v>
      </c>
      <c r="P21" s="1065">
        <f t="shared" si="1"/>
        <v>0</v>
      </c>
      <c r="Q21" s="1065">
        <f t="shared" si="2"/>
        <v>0</v>
      </c>
      <c r="R21" s="1065">
        <f t="shared" si="3"/>
        <v>0</v>
      </c>
      <c r="S21" s="1099" t="s">
        <v>963</v>
      </c>
      <c r="T21" s="1100" t="s">
        <v>964</v>
      </c>
      <c r="U21" s="1099">
        <v>522</v>
      </c>
      <c r="V21" s="1099"/>
      <c r="W21" s="1098"/>
      <c r="X21" s="1118"/>
    </row>
    <row r="22" spans="1:24">
      <c r="A22" s="1132"/>
      <c r="B22" s="898" t="s">
        <v>283</v>
      </c>
      <c r="C22" s="1173"/>
      <c r="D22" s="874">
        <f t="shared" si="7"/>
        <v>56903.1</v>
      </c>
      <c r="E22" s="875">
        <f>SUM(E24:E25)</f>
        <v>0</v>
      </c>
      <c r="F22" s="875">
        <f>SUM(F23:F25)</f>
        <v>56903.1</v>
      </c>
      <c r="G22" s="874">
        <f t="shared" si="8"/>
        <v>56903.1</v>
      </c>
      <c r="H22" s="875">
        <f>SUM(H24:H25)</f>
        <v>0</v>
      </c>
      <c r="I22" s="875">
        <f>SUM(I23:I25)</f>
        <v>56903.1</v>
      </c>
      <c r="J22" s="874">
        <f t="shared" si="4"/>
        <v>0</v>
      </c>
      <c r="K22" s="875">
        <f>SUM(K24:K25)</f>
        <v>0</v>
      </c>
      <c r="L22" s="875">
        <f>SUM(L24:L25)</f>
        <v>0</v>
      </c>
      <c r="M22" s="876">
        <f t="shared" si="5"/>
        <v>0</v>
      </c>
      <c r="N22" s="877">
        <f t="shared" si="6"/>
        <v>0</v>
      </c>
      <c r="O22" s="877">
        <f t="shared" si="6"/>
        <v>0</v>
      </c>
      <c r="P22" s="1065">
        <f t="shared" si="1"/>
        <v>0</v>
      </c>
      <c r="Q22" s="1065">
        <f t="shared" si="2"/>
        <v>0</v>
      </c>
      <c r="R22" s="1065">
        <f t="shared" si="3"/>
        <v>0</v>
      </c>
    </row>
    <row r="23" spans="1:24" ht="52.5">
      <c r="A23" s="1132" t="s">
        <v>20</v>
      </c>
      <c r="B23" s="1133" t="s">
        <v>803</v>
      </c>
      <c r="C23" s="895"/>
      <c r="D23" s="874">
        <f>SUM(E23:F23)</f>
        <v>5016.7</v>
      </c>
      <c r="E23" s="1085">
        <v>0</v>
      </c>
      <c r="F23" s="1085">
        <v>5016.7</v>
      </c>
      <c r="G23" s="874">
        <f>SUM(H23:I23)</f>
        <v>5016.7</v>
      </c>
      <c r="H23" s="1085">
        <v>0</v>
      </c>
      <c r="I23" s="1085">
        <v>5016.7</v>
      </c>
      <c r="J23" s="1083">
        <f>SUM(K23:L23)</f>
        <v>0</v>
      </c>
      <c r="K23" s="1083">
        <v>0</v>
      </c>
      <c r="L23" s="1083">
        <v>0</v>
      </c>
      <c r="M23" s="877">
        <f t="shared" si="5"/>
        <v>0</v>
      </c>
      <c r="N23" s="877">
        <f>IF(K23=0,0,K23/H23*100)</f>
        <v>0</v>
      </c>
      <c r="O23" s="877">
        <f>IF(L23=0,0,L23/I23*100)</f>
        <v>0</v>
      </c>
      <c r="P23" s="1065"/>
      <c r="Q23" s="1065"/>
      <c r="R23" s="1065"/>
      <c r="S23" s="1099" t="s">
        <v>954</v>
      </c>
      <c r="T23" s="1100" t="s">
        <v>976</v>
      </c>
      <c r="U23" s="1099">
        <v>522</v>
      </c>
      <c r="V23" s="1099">
        <v>24356</v>
      </c>
    </row>
    <row r="24" spans="1:24" ht="83.25" customHeight="1">
      <c r="A24" s="1132" t="s">
        <v>467</v>
      </c>
      <c r="B24" s="1084" t="s">
        <v>770</v>
      </c>
      <c r="C24" s="1174"/>
      <c r="D24" s="874">
        <f>SUM(E24:F24)</f>
        <v>8886.4</v>
      </c>
      <c r="E24" s="1085">
        <v>0</v>
      </c>
      <c r="F24" s="1085">
        <v>8886.4</v>
      </c>
      <c r="G24" s="874">
        <f>SUM(H24:I24)</f>
        <v>8886.4</v>
      </c>
      <c r="H24" s="1085">
        <v>0</v>
      </c>
      <c r="I24" s="1085">
        <v>8886.4</v>
      </c>
      <c r="J24" s="1083">
        <f t="shared" si="4"/>
        <v>0</v>
      </c>
      <c r="K24" s="1083">
        <v>0</v>
      </c>
      <c r="L24" s="1083">
        <v>0</v>
      </c>
      <c r="M24" s="877">
        <f t="shared" si="5"/>
        <v>0</v>
      </c>
      <c r="N24" s="877">
        <f>IF(K24=0,0,K24/H24*100)</f>
        <v>0</v>
      </c>
      <c r="O24" s="877">
        <f>IF(L24=0,0,L24/I24*100)</f>
        <v>0</v>
      </c>
      <c r="P24" s="1065">
        <f t="shared" si="1"/>
        <v>0</v>
      </c>
      <c r="Q24" s="1065">
        <f t="shared" ref="Q24:Q37" si="9">E24-H24</f>
        <v>0</v>
      </c>
      <c r="R24" s="1065">
        <f t="shared" ref="R24:R37" si="10">F24-I24</f>
        <v>0</v>
      </c>
      <c r="S24" s="1099" t="s">
        <v>926</v>
      </c>
      <c r="T24" s="1100" t="s">
        <v>965</v>
      </c>
      <c r="U24" s="1099">
        <v>522</v>
      </c>
      <c r="V24" s="1099" t="s">
        <v>975</v>
      </c>
    </row>
    <row r="25" spans="1:24" ht="83.25" customHeight="1">
      <c r="A25" s="1132" t="s">
        <v>468</v>
      </c>
      <c r="B25" s="1084" t="s">
        <v>1036</v>
      </c>
      <c r="C25" s="1174"/>
      <c r="D25" s="874">
        <f t="shared" si="7"/>
        <v>43000</v>
      </c>
      <c r="E25" s="1085">
        <v>0</v>
      </c>
      <c r="F25" s="1085">
        <v>43000</v>
      </c>
      <c r="G25" s="874">
        <f t="shared" si="8"/>
        <v>43000</v>
      </c>
      <c r="H25" s="1085">
        <v>0</v>
      </c>
      <c r="I25" s="1085">
        <v>43000</v>
      </c>
      <c r="J25" s="1083">
        <f t="shared" si="4"/>
        <v>0</v>
      </c>
      <c r="K25" s="1083">
        <v>0</v>
      </c>
      <c r="L25" s="1083">
        <v>0</v>
      </c>
      <c r="M25" s="877">
        <f t="shared" si="5"/>
        <v>0</v>
      </c>
      <c r="N25" s="877">
        <f t="shared" si="6"/>
        <v>0</v>
      </c>
      <c r="O25" s="877">
        <f t="shared" si="6"/>
        <v>0</v>
      </c>
      <c r="P25" s="1065">
        <f t="shared" si="1"/>
        <v>0</v>
      </c>
      <c r="Q25" s="1065">
        <f t="shared" si="9"/>
        <v>0</v>
      </c>
      <c r="R25" s="1065">
        <f t="shared" si="10"/>
        <v>0</v>
      </c>
      <c r="S25" s="1099" t="s">
        <v>886</v>
      </c>
      <c r="T25" s="1100" t="s">
        <v>967</v>
      </c>
      <c r="U25" s="1099">
        <v>522</v>
      </c>
      <c r="V25" s="1099" t="s">
        <v>969</v>
      </c>
    </row>
    <row r="26" spans="1:24" ht="34.5" customHeight="1">
      <c r="A26" s="1132"/>
      <c r="B26" s="898" t="s">
        <v>724</v>
      </c>
      <c r="C26" s="1173"/>
      <c r="D26" s="874">
        <f t="shared" si="7"/>
        <v>8700</v>
      </c>
      <c r="E26" s="875">
        <f>E27</f>
        <v>0</v>
      </c>
      <c r="F26" s="875">
        <f>F27</f>
        <v>8700</v>
      </c>
      <c r="G26" s="874">
        <f t="shared" si="8"/>
        <v>8700</v>
      </c>
      <c r="H26" s="875">
        <f>H27</f>
        <v>0</v>
      </c>
      <c r="I26" s="875">
        <f>I27</f>
        <v>8700</v>
      </c>
      <c r="J26" s="874">
        <f t="shared" si="4"/>
        <v>0</v>
      </c>
      <c r="K26" s="875">
        <f>K27</f>
        <v>0</v>
      </c>
      <c r="L26" s="875">
        <f>L27</f>
        <v>0</v>
      </c>
      <c r="M26" s="876">
        <f t="shared" si="5"/>
        <v>0</v>
      </c>
      <c r="N26" s="877">
        <f t="shared" si="6"/>
        <v>0</v>
      </c>
      <c r="O26" s="877">
        <f t="shared" si="6"/>
        <v>0</v>
      </c>
      <c r="P26" s="1065">
        <f t="shared" si="1"/>
        <v>0</v>
      </c>
      <c r="Q26" s="1065">
        <f t="shared" si="9"/>
        <v>0</v>
      </c>
      <c r="R26" s="1065">
        <f t="shared" si="10"/>
        <v>0</v>
      </c>
    </row>
    <row r="27" spans="1:24" ht="141.75" customHeight="1">
      <c r="A27" s="1132" t="s">
        <v>685</v>
      </c>
      <c r="B27" s="1084" t="s">
        <v>861</v>
      </c>
      <c r="C27" s="1174"/>
      <c r="D27" s="1083">
        <f t="shared" si="7"/>
        <v>8700</v>
      </c>
      <c r="E27" s="1085">
        <v>0</v>
      </c>
      <c r="F27" s="1085">
        <v>8700</v>
      </c>
      <c r="G27" s="1083">
        <f t="shared" si="8"/>
        <v>8700</v>
      </c>
      <c r="H27" s="1085">
        <v>0</v>
      </c>
      <c r="I27" s="1085">
        <v>8700</v>
      </c>
      <c r="J27" s="1083"/>
      <c r="K27" s="1083">
        <v>0</v>
      </c>
      <c r="L27" s="1083">
        <v>0</v>
      </c>
      <c r="M27" s="877">
        <f t="shared" si="5"/>
        <v>0</v>
      </c>
      <c r="N27" s="877">
        <f t="shared" si="6"/>
        <v>0</v>
      </c>
      <c r="O27" s="877">
        <f t="shared" si="6"/>
        <v>0</v>
      </c>
      <c r="P27" s="1065">
        <f t="shared" si="1"/>
        <v>0</v>
      </c>
      <c r="Q27" s="1065">
        <f t="shared" si="9"/>
        <v>0</v>
      </c>
      <c r="R27" s="1065">
        <f t="shared" si="10"/>
        <v>0</v>
      </c>
      <c r="S27" s="1099" t="s">
        <v>886</v>
      </c>
      <c r="T27" s="1100" t="s">
        <v>966</v>
      </c>
      <c r="U27" s="1099">
        <v>522</v>
      </c>
      <c r="V27" s="1099" t="s">
        <v>977</v>
      </c>
    </row>
    <row r="28" spans="1:24" s="700" customFormat="1">
      <c r="A28" s="1132"/>
      <c r="B28" s="1074" t="s">
        <v>12</v>
      </c>
      <c r="C28" s="1175"/>
      <c r="D28" s="874">
        <f t="shared" si="7"/>
        <v>13835</v>
      </c>
      <c r="E28" s="880">
        <f>SUM(E29:E30)</f>
        <v>0</v>
      </c>
      <c r="F28" s="880">
        <f>SUM(F29:F30)</f>
        <v>13835</v>
      </c>
      <c r="G28" s="874">
        <f t="shared" si="8"/>
        <v>13835</v>
      </c>
      <c r="H28" s="880">
        <f>SUM(H29:H30)</f>
        <v>0</v>
      </c>
      <c r="I28" s="880">
        <f>SUM(I29:I30)</f>
        <v>13835</v>
      </c>
      <c r="J28" s="874">
        <f t="shared" ref="J28:J62" si="11">SUM(K28:L28)</f>
        <v>0</v>
      </c>
      <c r="K28" s="880">
        <f>SUM(K29:K30)</f>
        <v>0</v>
      </c>
      <c r="L28" s="880">
        <f>SUM(L29:L30)</f>
        <v>0</v>
      </c>
      <c r="M28" s="876">
        <f t="shared" si="5"/>
        <v>0</v>
      </c>
      <c r="N28" s="876">
        <f t="shared" si="6"/>
        <v>0</v>
      </c>
      <c r="O28" s="876">
        <f t="shared" si="6"/>
        <v>0</v>
      </c>
      <c r="P28" s="1065">
        <f t="shared" si="1"/>
        <v>0</v>
      </c>
      <c r="Q28" s="1065">
        <f t="shared" si="9"/>
        <v>0</v>
      </c>
      <c r="R28" s="1065">
        <f t="shared" si="10"/>
        <v>0</v>
      </c>
      <c r="S28" s="1099"/>
      <c r="T28" s="1100"/>
      <c r="U28" s="1099"/>
      <c r="V28" s="1099"/>
      <c r="W28" s="1115"/>
      <c r="X28" s="993"/>
    </row>
    <row r="29" spans="1:24" ht="63.75" customHeight="1">
      <c r="A29" s="1132" t="s">
        <v>687</v>
      </c>
      <c r="B29" s="1075" t="s">
        <v>1037</v>
      </c>
      <c r="C29" s="1176"/>
      <c r="D29" s="874">
        <f t="shared" si="7"/>
        <v>7000</v>
      </c>
      <c r="E29" s="879">
        <v>0</v>
      </c>
      <c r="F29" s="879">
        <v>7000</v>
      </c>
      <c r="G29" s="874">
        <f t="shared" si="8"/>
        <v>7000</v>
      </c>
      <c r="H29" s="879">
        <v>0</v>
      </c>
      <c r="I29" s="879">
        <v>7000</v>
      </c>
      <c r="J29" s="874">
        <f t="shared" si="11"/>
        <v>0</v>
      </c>
      <c r="K29" s="879">
        <v>0</v>
      </c>
      <c r="L29" s="879">
        <v>0</v>
      </c>
      <c r="M29" s="876">
        <f t="shared" si="5"/>
        <v>0</v>
      </c>
      <c r="N29" s="877">
        <f t="shared" si="6"/>
        <v>0</v>
      </c>
      <c r="O29" s="877">
        <f t="shared" si="6"/>
        <v>0</v>
      </c>
      <c r="P29" s="1065">
        <f t="shared" si="1"/>
        <v>0</v>
      </c>
      <c r="Q29" s="1065">
        <f t="shared" si="9"/>
        <v>0</v>
      </c>
      <c r="R29" s="1065">
        <f t="shared" si="10"/>
        <v>0</v>
      </c>
      <c r="S29" s="1099" t="s">
        <v>886</v>
      </c>
      <c r="T29" s="1100" t="s">
        <v>970</v>
      </c>
      <c r="U29" s="1099">
        <v>522</v>
      </c>
      <c r="V29" s="1099">
        <v>24351</v>
      </c>
    </row>
    <row r="30" spans="1:24" ht="63.75" customHeight="1">
      <c r="A30" s="1132" t="s">
        <v>686</v>
      </c>
      <c r="B30" s="1075" t="s">
        <v>1038</v>
      </c>
      <c r="C30" s="1176"/>
      <c r="D30" s="874">
        <f>SUM(E30:F30)</f>
        <v>6835</v>
      </c>
      <c r="E30" s="879">
        <v>0</v>
      </c>
      <c r="F30" s="879">
        <v>6835</v>
      </c>
      <c r="G30" s="874">
        <f>SUM(H30:I30)</f>
        <v>6835</v>
      </c>
      <c r="H30" s="879">
        <v>0</v>
      </c>
      <c r="I30" s="879">
        <v>6835</v>
      </c>
      <c r="J30" s="874">
        <f t="shared" si="11"/>
        <v>0</v>
      </c>
      <c r="K30" s="879">
        <v>0</v>
      </c>
      <c r="L30" s="879">
        <v>0</v>
      </c>
      <c r="M30" s="876">
        <f t="shared" si="5"/>
        <v>0</v>
      </c>
      <c r="N30" s="877">
        <f>IF(K30=0,0,K30/H30*100)</f>
        <v>0</v>
      </c>
      <c r="O30" s="877">
        <f>IF(L30=0,0,L30/I30*100)</f>
        <v>0</v>
      </c>
      <c r="P30" s="1065">
        <f t="shared" si="1"/>
        <v>0</v>
      </c>
      <c r="Q30" s="1065">
        <f t="shared" si="9"/>
        <v>0</v>
      </c>
      <c r="R30" s="1065">
        <f t="shared" si="10"/>
        <v>0</v>
      </c>
      <c r="S30" s="1099" t="s">
        <v>886</v>
      </c>
      <c r="T30" s="1100" t="s">
        <v>968</v>
      </c>
      <c r="U30" s="1099">
        <v>522</v>
      </c>
      <c r="V30" s="1099" t="s">
        <v>969</v>
      </c>
    </row>
    <row r="31" spans="1:24" s="700" customFormat="1">
      <c r="A31" s="991"/>
      <c r="B31" s="1074" t="s">
        <v>729</v>
      </c>
      <c r="C31" s="1175"/>
      <c r="D31" s="874">
        <f t="shared" si="7"/>
        <v>8500</v>
      </c>
      <c r="E31" s="880">
        <f>SUM(E32:E33)</f>
        <v>0</v>
      </c>
      <c r="F31" s="880">
        <f>SUM(F32:F33)</f>
        <v>8500</v>
      </c>
      <c r="G31" s="874">
        <f t="shared" si="8"/>
        <v>8500</v>
      </c>
      <c r="H31" s="880">
        <f>SUM(H32:H33)</f>
        <v>0</v>
      </c>
      <c r="I31" s="880">
        <f>SUM(I32:I33)</f>
        <v>8500</v>
      </c>
      <c r="J31" s="874">
        <f t="shared" si="11"/>
        <v>0</v>
      </c>
      <c r="K31" s="880">
        <f>SUM(K32:K33)</f>
        <v>0</v>
      </c>
      <c r="L31" s="880">
        <f>SUM(L32:L33)</f>
        <v>0</v>
      </c>
      <c r="M31" s="876">
        <f t="shared" si="5"/>
        <v>0</v>
      </c>
      <c r="N31" s="876">
        <f t="shared" si="6"/>
        <v>0</v>
      </c>
      <c r="O31" s="876">
        <f t="shared" si="6"/>
        <v>0</v>
      </c>
      <c r="P31" s="1065">
        <f t="shared" si="1"/>
        <v>0</v>
      </c>
      <c r="Q31" s="1065">
        <f t="shared" si="9"/>
        <v>0</v>
      </c>
      <c r="R31" s="1065">
        <f t="shared" si="10"/>
        <v>0</v>
      </c>
      <c r="S31" s="1099"/>
      <c r="T31" s="1100"/>
      <c r="U31" s="1099"/>
      <c r="V31" s="1099"/>
      <c r="W31" s="1115"/>
      <c r="X31" s="993"/>
    </row>
    <row r="32" spans="1:24" ht="63.75" customHeight="1">
      <c r="A32" s="1132" t="s">
        <v>688</v>
      </c>
      <c r="B32" s="1075" t="s">
        <v>1039</v>
      </c>
      <c r="C32" s="1176"/>
      <c r="D32" s="874">
        <f t="shared" si="7"/>
        <v>7000</v>
      </c>
      <c r="E32" s="879">
        <v>0</v>
      </c>
      <c r="F32" s="879">
        <v>7000</v>
      </c>
      <c r="G32" s="874">
        <f t="shared" si="8"/>
        <v>7000</v>
      </c>
      <c r="H32" s="879">
        <v>0</v>
      </c>
      <c r="I32" s="879">
        <v>7000</v>
      </c>
      <c r="J32" s="874">
        <f t="shared" si="11"/>
        <v>0</v>
      </c>
      <c r="K32" s="879">
        <v>0</v>
      </c>
      <c r="L32" s="879">
        <v>0</v>
      </c>
      <c r="M32" s="876">
        <f t="shared" si="5"/>
        <v>0</v>
      </c>
      <c r="N32" s="877">
        <f t="shared" si="6"/>
        <v>0</v>
      </c>
      <c r="O32" s="877">
        <f t="shared" si="6"/>
        <v>0</v>
      </c>
      <c r="P32" s="1065">
        <f t="shared" si="1"/>
        <v>0</v>
      </c>
      <c r="Q32" s="1065">
        <f t="shared" si="9"/>
        <v>0</v>
      </c>
      <c r="R32" s="1065">
        <f t="shared" si="10"/>
        <v>0</v>
      </c>
      <c r="S32" s="1099" t="s">
        <v>926</v>
      </c>
      <c r="T32" s="1100" t="s">
        <v>970</v>
      </c>
      <c r="U32" s="1099">
        <v>522</v>
      </c>
      <c r="V32" s="1099" t="s">
        <v>993</v>
      </c>
    </row>
    <row r="33" spans="1:24" ht="63.75" customHeight="1">
      <c r="A33" s="1132" t="s">
        <v>98</v>
      </c>
      <c r="B33" s="1075" t="s">
        <v>1040</v>
      </c>
      <c r="C33" s="1176"/>
      <c r="D33" s="874">
        <f t="shared" si="7"/>
        <v>1500</v>
      </c>
      <c r="E33" s="879">
        <v>0</v>
      </c>
      <c r="F33" s="879">
        <v>1500</v>
      </c>
      <c r="G33" s="874">
        <f t="shared" si="8"/>
        <v>1500</v>
      </c>
      <c r="H33" s="879">
        <v>0</v>
      </c>
      <c r="I33" s="879">
        <v>1500</v>
      </c>
      <c r="J33" s="874">
        <f t="shared" si="11"/>
        <v>0</v>
      </c>
      <c r="K33" s="879">
        <v>0</v>
      </c>
      <c r="L33" s="879">
        <v>0</v>
      </c>
      <c r="M33" s="876">
        <f t="shared" si="5"/>
        <v>0</v>
      </c>
      <c r="N33" s="877">
        <f t="shared" si="6"/>
        <v>0</v>
      </c>
      <c r="O33" s="877">
        <f t="shared" si="6"/>
        <v>0</v>
      </c>
      <c r="P33" s="1065">
        <f t="shared" si="1"/>
        <v>0</v>
      </c>
      <c r="Q33" s="1065">
        <f t="shared" si="9"/>
        <v>0</v>
      </c>
      <c r="R33" s="1065">
        <f t="shared" si="10"/>
        <v>0</v>
      </c>
      <c r="S33" s="1099" t="s">
        <v>923</v>
      </c>
      <c r="T33" s="1100" t="s">
        <v>970</v>
      </c>
      <c r="U33" s="1099">
        <v>522</v>
      </c>
      <c r="V33" s="1099" t="s">
        <v>992</v>
      </c>
    </row>
    <row r="34" spans="1:24" s="700" customFormat="1">
      <c r="A34" s="1132"/>
      <c r="B34" s="1074" t="s">
        <v>615</v>
      </c>
      <c r="C34" s="1175"/>
      <c r="D34" s="874">
        <f t="shared" si="7"/>
        <v>10156</v>
      </c>
      <c r="E34" s="880">
        <f>E35</f>
        <v>0</v>
      </c>
      <c r="F34" s="880">
        <f>F35</f>
        <v>10156</v>
      </c>
      <c r="G34" s="874">
        <f t="shared" si="8"/>
        <v>10156</v>
      </c>
      <c r="H34" s="880">
        <f>H35</f>
        <v>0</v>
      </c>
      <c r="I34" s="880">
        <f>I35</f>
        <v>10156</v>
      </c>
      <c r="J34" s="874">
        <f t="shared" si="11"/>
        <v>0</v>
      </c>
      <c r="K34" s="880">
        <f>K35</f>
        <v>0</v>
      </c>
      <c r="L34" s="880">
        <f>L35</f>
        <v>0</v>
      </c>
      <c r="M34" s="876">
        <f t="shared" si="5"/>
        <v>0</v>
      </c>
      <c r="N34" s="876">
        <f t="shared" si="6"/>
        <v>0</v>
      </c>
      <c r="O34" s="876">
        <f t="shared" si="6"/>
        <v>0</v>
      </c>
      <c r="P34" s="1065">
        <f t="shared" si="1"/>
        <v>0</v>
      </c>
      <c r="Q34" s="1065">
        <f t="shared" si="9"/>
        <v>0</v>
      </c>
      <c r="R34" s="1065">
        <f t="shared" si="10"/>
        <v>0</v>
      </c>
      <c r="S34" s="1099"/>
      <c r="T34" s="1100"/>
      <c r="U34" s="1099"/>
      <c r="V34" s="1099"/>
      <c r="W34" s="1115"/>
      <c r="X34" s="993"/>
    </row>
    <row r="35" spans="1:24" ht="63.75" customHeight="1">
      <c r="A35" s="1132" t="s">
        <v>99</v>
      </c>
      <c r="B35" s="1075" t="s">
        <v>673</v>
      </c>
      <c r="C35" s="1176"/>
      <c r="D35" s="874">
        <f t="shared" si="7"/>
        <v>10156</v>
      </c>
      <c r="E35" s="879">
        <v>0</v>
      </c>
      <c r="F35" s="879">
        <v>10156</v>
      </c>
      <c r="G35" s="874">
        <f t="shared" si="8"/>
        <v>10156</v>
      </c>
      <c r="H35" s="879">
        <v>0</v>
      </c>
      <c r="I35" s="879">
        <v>10156</v>
      </c>
      <c r="J35" s="874">
        <f t="shared" si="11"/>
        <v>0</v>
      </c>
      <c r="K35" s="879">
        <v>0</v>
      </c>
      <c r="L35" s="879">
        <v>0</v>
      </c>
      <c r="M35" s="876">
        <f t="shared" si="5"/>
        <v>0</v>
      </c>
      <c r="N35" s="877">
        <f t="shared" ref="N35:O56" si="12">IF(K35=0,0,K35/H35*100)</f>
        <v>0</v>
      </c>
      <c r="O35" s="877">
        <f t="shared" si="12"/>
        <v>0</v>
      </c>
      <c r="P35" s="1065">
        <f t="shared" si="1"/>
        <v>0</v>
      </c>
      <c r="Q35" s="1065">
        <f t="shared" si="9"/>
        <v>0</v>
      </c>
      <c r="R35" s="1065">
        <f t="shared" si="10"/>
        <v>0</v>
      </c>
      <c r="S35" s="1099" t="s">
        <v>926</v>
      </c>
      <c r="T35" s="1100" t="s">
        <v>965</v>
      </c>
      <c r="U35" s="1099">
        <v>522</v>
      </c>
      <c r="V35" s="1099">
        <v>24345</v>
      </c>
    </row>
    <row r="36" spans="1:24" ht="34.5" customHeight="1">
      <c r="A36" s="991"/>
      <c r="B36" s="898" t="s">
        <v>68</v>
      </c>
      <c r="C36" s="1173"/>
      <c r="D36" s="874">
        <f t="shared" si="7"/>
        <v>23740</v>
      </c>
      <c r="E36" s="875">
        <f>SUM(E37:E40)</f>
        <v>0</v>
      </c>
      <c r="F36" s="875">
        <f>SUM(F37:F40)</f>
        <v>23740</v>
      </c>
      <c r="G36" s="874">
        <f t="shared" si="8"/>
        <v>23740</v>
      </c>
      <c r="H36" s="875">
        <f>SUM(H37:H40)</f>
        <v>0</v>
      </c>
      <c r="I36" s="875">
        <f>SUM(I37:I40)</f>
        <v>23740</v>
      </c>
      <c r="J36" s="874">
        <f t="shared" si="11"/>
        <v>312.5</v>
      </c>
      <c r="K36" s="875">
        <f>SUM(K37:K40)</f>
        <v>0</v>
      </c>
      <c r="L36" s="875">
        <f>SUM(L37:L40)</f>
        <v>312.5</v>
      </c>
      <c r="M36" s="876">
        <f t="shared" si="5"/>
        <v>1.3</v>
      </c>
      <c r="N36" s="877">
        <f t="shared" si="12"/>
        <v>0</v>
      </c>
      <c r="O36" s="877">
        <f t="shared" si="12"/>
        <v>1.3</v>
      </c>
      <c r="P36" s="1065">
        <f t="shared" si="1"/>
        <v>0</v>
      </c>
      <c r="Q36" s="1065">
        <f t="shared" si="9"/>
        <v>0</v>
      </c>
      <c r="R36" s="1065">
        <f t="shared" si="10"/>
        <v>0</v>
      </c>
    </row>
    <row r="37" spans="1:24" ht="82.5" customHeight="1">
      <c r="A37" s="1132" t="s">
        <v>100</v>
      </c>
      <c r="B37" s="1084" t="s">
        <v>1041</v>
      </c>
      <c r="C37" s="1174"/>
      <c r="D37" s="1083">
        <f t="shared" si="7"/>
        <v>1240</v>
      </c>
      <c r="E37" s="1085">
        <v>0</v>
      </c>
      <c r="F37" s="1085">
        <v>1240</v>
      </c>
      <c r="G37" s="1083">
        <f t="shared" si="8"/>
        <v>1240</v>
      </c>
      <c r="H37" s="1085">
        <v>0</v>
      </c>
      <c r="I37" s="1085">
        <v>1240</v>
      </c>
      <c r="J37" s="1083">
        <f t="shared" si="11"/>
        <v>312.5</v>
      </c>
      <c r="K37" s="1083">
        <v>0</v>
      </c>
      <c r="L37" s="1083">
        <v>312.5</v>
      </c>
      <c r="M37" s="877">
        <f t="shared" si="5"/>
        <v>25.2</v>
      </c>
      <c r="N37" s="877">
        <f t="shared" si="12"/>
        <v>0</v>
      </c>
      <c r="O37" s="877">
        <f t="shared" si="12"/>
        <v>25.2</v>
      </c>
      <c r="P37" s="1065">
        <f t="shared" si="1"/>
        <v>0</v>
      </c>
      <c r="Q37" s="1065">
        <f t="shared" si="9"/>
        <v>0</v>
      </c>
      <c r="R37" s="1065">
        <f t="shared" si="10"/>
        <v>0</v>
      </c>
      <c r="S37" s="1099" t="s">
        <v>886</v>
      </c>
      <c r="T37" s="1100" t="s">
        <v>967</v>
      </c>
      <c r="U37" s="1099">
        <v>522</v>
      </c>
      <c r="V37" s="1099" t="s">
        <v>969</v>
      </c>
    </row>
    <row r="38" spans="1:24" ht="84.75" customHeight="1">
      <c r="A38" s="1132" t="s">
        <v>101</v>
      </c>
      <c r="B38" s="1084" t="s">
        <v>1042</v>
      </c>
      <c r="C38" s="1174"/>
      <c r="D38" s="1083">
        <f>SUM(E38:F38)</f>
        <v>6500</v>
      </c>
      <c r="E38" s="1085">
        <v>0</v>
      </c>
      <c r="F38" s="1085">
        <v>6500</v>
      </c>
      <c r="G38" s="1083">
        <f>SUM(H38:I38)</f>
        <v>6500</v>
      </c>
      <c r="H38" s="1085">
        <v>0</v>
      </c>
      <c r="I38" s="1085">
        <v>6500</v>
      </c>
      <c r="J38" s="1083">
        <f>SUM(K38:L38)</f>
        <v>0</v>
      </c>
      <c r="K38" s="1083">
        <v>0</v>
      </c>
      <c r="L38" s="1083">
        <v>0</v>
      </c>
      <c r="M38" s="877">
        <f t="shared" si="5"/>
        <v>0</v>
      </c>
      <c r="N38" s="877">
        <f>IF(K38=0,0,K38/H38*100)</f>
        <v>0</v>
      </c>
      <c r="O38" s="877">
        <f>IF(L38=0,0,L38/I38*100)</f>
        <v>0</v>
      </c>
      <c r="P38" s="1065"/>
      <c r="Q38" s="1065"/>
      <c r="R38" s="1065"/>
      <c r="S38" s="1099" t="s">
        <v>961</v>
      </c>
      <c r="T38" s="1100">
        <v>1240343280</v>
      </c>
      <c r="U38" s="1099">
        <v>522</v>
      </c>
      <c r="V38" s="1099" t="s">
        <v>971</v>
      </c>
    </row>
    <row r="39" spans="1:24" ht="169.5" customHeight="1">
      <c r="A39" s="1132" t="s">
        <v>102</v>
      </c>
      <c r="B39" s="1084" t="s">
        <v>1043</v>
      </c>
      <c r="C39" s="1174"/>
      <c r="D39" s="1083">
        <f t="shared" si="7"/>
        <v>6000</v>
      </c>
      <c r="E39" s="1085">
        <v>0</v>
      </c>
      <c r="F39" s="1085">
        <v>6000</v>
      </c>
      <c r="G39" s="1083">
        <f t="shared" si="8"/>
        <v>6000</v>
      </c>
      <c r="H39" s="1085">
        <v>0</v>
      </c>
      <c r="I39" s="1085">
        <v>6000</v>
      </c>
      <c r="J39" s="2412">
        <f t="shared" si="11"/>
        <v>0</v>
      </c>
      <c r="K39" s="2412">
        <v>0</v>
      </c>
      <c r="L39" s="2412">
        <v>0</v>
      </c>
      <c r="M39" s="2418">
        <f>IF(J39=0,0,J39/G39:G40*100)</f>
        <v>0</v>
      </c>
      <c r="N39" s="2418">
        <f>IF(K39=0,0,K39/H39:H40*100)</f>
        <v>0</v>
      </c>
      <c r="O39" s="2418">
        <f>IF(L39=0,0,L39/I39:I40*100)</f>
        <v>0</v>
      </c>
      <c r="P39" s="1065">
        <f t="shared" si="1"/>
        <v>0</v>
      </c>
      <c r="Q39" s="1065">
        <f t="shared" ref="Q39:R41" si="13">E39-H39</f>
        <v>0</v>
      </c>
      <c r="R39" s="1065">
        <f t="shared" si="13"/>
        <v>0</v>
      </c>
      <c r="S39" s="2409" t="s">
        <v>886</v>
      </c>
      <c r="T39" s="2409" t="s">
        <v>966</v>
      </c>
      <c r="U39" s="2409">
        <v>522</v>
      </c>
      <c r="V39" s="2409" t="s">
        <v>977</v>
      </c>
      <c r="W39" s="2411"/>
    </row>
    <row r="40" spans="1:24" ht="183.75">
      <c r="A40" s="1132" t="s">
        <v>103</v>
      </c>
      <c r="B40" s="1084" t="s">
        <v>1044</v>
      </c>
      <c r="C40" s="1174"/>
      <c r="D40" s="1083">
        <f t="shared" si="7"/>
        <v>10000</v>
      </c>
      <c r="E40" s="1085">
        <v>0</v>
      </c>
      <c r="F40" s="1085">
        <v>10000</v>
      </c>
      <c r="G40" s="1083">
        <f t="shared" si="8"/>
        <v>10000</v>
      </c>
      <c r="H40" s="1085">
        <v>0</v>
      </c>
      <c r="I40" s="1085">
        <v>10000</v>
      </c>
      <c r="J40" s="2414"/>
      <c r="K40" s="2414"/>
      <c r="L40" s="2414"/>
      <c r="M40" s="2419"/>
      <c r="N40" s="2419"/>
      <c r="O40" s="2419"/>
      <c r="P40" s="1065">
        <f t="shared" si="1"/>
        <v>0</v>
      </c>
      <c r="Q40" s="1065">
        <f t="shared" si="13"/>
        <v>0</v>
      </c>
      <c r="R40" s="1065">
        <f t="shared" si="13"/>
        <v>0</v>
      </c>
      <c r="S40" s="2409"/>
      <c r="T40" s="2409"/>
      <c r="U40" s="2409"/>
      <c r="V40" s="2409"/>
      <c r="W40" s="2411"/>
    </row>
    <row r="41" spans="1:24" ht="34.5" customHeight="1">
      <c r="A41" s="1132"/>
      <c r="B41" s="898" t="s">
        <v>281</v>
      </c>
      <c r="C41" s="1173"/>
      <c r="D41" s="874">
        <f t="shared" si="7"/>
        <v>21207</v>
      </c>
      <c r="E41" s="875">
        <f>SUM(E43:E44)</f>
        <v>0</v>
      </c>
      <c r="F41" s="875">
        <f>SUM(F42:F44)</f>
        <v>21207</v>
      </c>
      <c r="G41" s="874">
        <f t="shared" si="8"/>
        <v>21207</v>
      </c>
      <c r="H41" s="875">
        <f>SUM(H43:H44)</f>
        <v>0</v>
      </c>
      <c r="I41" s="875">
        <f>SUM(I42:I44)</f>
        <v>21207</v>
      </c>
      <c r="J41" s="874">
        <f t="shared" si="11"/>
        <v>0</v>
      </c>
      <c r="K41" s="875">
        <f>SUM(K43:K44)</f>
        <v>0</v>
      </c>
      <c r="L41" s="875">
        <f>SUM(L43:L44)</f>
        <v>0</v>
      </c>
      <c r="M41" s="876">
        <f t="shared" ref="M41:M65" si="14">IF(J41=0,0,J41/G41*100)</f>
        <v>0</v>
      </c>
      <c r="N41" s="877">
        <f t="shared" si="12"/>
        <v>0</v>
      </c>
      <c r="O41" s="877">
        <f t="shared" si="12"/>
        <v>0</v>
      </c>
      <c r="P41" s="1065">
        <f t="shared" si="1"/>
        <v>0</v>
      </c>
      <c r="Q41" s="1065">
        <f t="shared" si="13"/>
        <v>0</v>
      </c>
      <c r="R41" s="1065">
        <f t="shared" si="13"/>
        <v>0</v>
      </c>
    </row>
    <row r="42" spans="1:24" ht="75" customHeight="1">
      <c r="A42" s="1132" t="s">
        <v>107</v>
      </c>
      <c r="B42" s="1096" t="s">
        <v>682</v>
      </c>
      <c r="C42" s="895"/>
      <c r="D42" s="1083">
        <f>SUM(E42:F42)</f>
        <v>4207</v>
      </c>
      <c r="E42" s="1085">
        <v>0</v>
      </c>
      <c r="F42" s="1085">
        <v>4207</v>
      </c>
      <c r="G42" s="1083">
        <f>SUM(H42:I42)</f>
        <v>4207</v>
      </c>
      <c r="H42" s="1085">
        <v>0</v>
      </c>
      <c r="I42" s="1085">
        <v>4207</v>
      </c>
      <c r="J42" s="1083">
        <f>SUM(K42:L42)</f>
        <v>0</v>
      </c>
      <c r="K42" s="1083">
        <v>0</v>
      </c>
      <c r="L42" s="1083">
        <v>0</v>
      </c>
      <c r="M42" s="877">
        <f t="shared" si="14"/>
        <v>0</v>
      </c>
      <c r="N42" s="877">
        <f>IF(K42=0,0,K42/H42*100)</f>
        <v>0</v>
      </c>
      <c r="O42" s="877">
        <f>IF(L42=0,0,L42/I42*100)</f>
        <v>0</v>
      </c>
      <c r="P42" s="1065"/>
      <c r="Q42" s="1065"/>
      <c r="R42" s="1065"/>
      <c r="S42" s="1099" t="s">
        <v>928</v>
      </c>
      <c r="T42" s="1100" t="s">
        <v>988</v>
      </c>
      <c r="U42" s="1099">
        <v>522</v>
      </c>
      <c r="V42" s="1099" t="s">
        <v>989</v>
      </c>
    </row>
    <row r="43" spans="1:24" ht="63" customHeight="1">
      <c r="A43" s="1132" t="s">
        <v>108</v>
      </c>
      <c r="B43" s="1084" t="s">
        <v>675</v>
      </c>
      <c r="C43" s="1174"/>
      <c r="D43" s="1083">
        <f t="shared" si="7"/>
        <v>13000</v>
      </c>
      <c r="E43" s="1085">
        <v>0</v>
      </c>
      <c r="F43" s="1085">
        <v>13000</v>
      </c>
      <c r="G43" s="1083">
        <f t="shared" si="8"/>
        <v>13000</v>
      </c>
      <c r="H43" s="1085">
        <v>0</v>
      </c>
      <c r="I43" s="1085">
        <v>13000</v>
      </c>
      <c r="J43" s="1083">
        <f t="shared" si="11"/>
        <v>0</v>
      </c>
      <c r="K43" s="1083">
        <v>0</v>
      </c>
      <c r="L43" s="1083">
        <v>0</v>
      </c>
      <c r="M43" s="877">
        <f t="shared" si="14"/>
        <v>0</v>
      </c>
      <c r="N43" s="877">
        <f>IF(K43=0,0,K43/H43*100)</f>
        <v>0</v>
      </c>
      <c r="O43" s="877">
        <f>IF(L43=0,0,L43/I43*100)</f>
        <v>0</v>
      </c>
      <c r="P43" s="1065">
        <f t="shared" si="1"/>
        <v>0</v>
      </c>
      <c r="Q43" s="1065">
        <f t="shared" ref="Q43:R45" si="15">E43-H43</f>
        <v>0</v>
      </c>
      <c r="R43" s="1065">
        <f t="shared" si="15"/>
        <v>0</v>
      </c>
      <c r="S43" s="1099" t="s">
        <v>886</v>
      </c>
      <c r="T43" s="1100" t="s">
        <v>967</v>
      </c>
      <c r="U43" s="1099">
        <v>522</v>
      </c>
      <c r="V43" s="1099" t="s">
        <v>983</v>
      </c>
    </row>
    <row r="44" spans="1:24" ht="118.5" customHeight="1">
      <c r="A44" s="1132" t="s">
        <v>109</v>
      </c>
      <c r="B44" s="1084" t="s">
        <v>1045</v>
      </c>
      <c r="C44" s="1174"/>
      <c r="D44" s="1083">
        <f t="shared" si="7"/>
        <v>4000</v>
      </c>
      <c r="E44" s="1085">
        <v>0</v>
      </c>
      <c r="F44" s="1085">
        <v>4000</v>
      </c>
      <c r="G44" s="1083">
        <f t="shared" si="8"/>
        <v>4000</v>
      </c>
      <c r="H44" s="1085">
        <v>0</v>
      </c>
      <c r="I44" s="1085">
        <v>4000</v>
      </c>
      <c r="J44" s="1083">
        <f t="shared" si="11"/>
        <v>0</v>
      </c>
      <c r="K44" s="1083">
        <v>0</v>
      </c>
      <c r="L44" s="1083">
        <v>0</v>
      </c>
      <c r="M44" s="877">
        <f t="shared" si="14"/>
        <v>0</v>
      </c>
      <c r="N44" s="877">
        <f t="shared" si="12"/>
        <v>0</v>
      </c>
      <c r="O44" s="877">
        <f t="shared" si="12"/>
        <v>0</v>
      </c>
      <c r="P44" s="1065">
        <f t="shared" si="1"/>
        <v>0</v>
      </c>
      <c r="Q44" s="1065">
        <f t="shared" si="15"/>
        <v>0</v>
      </c>
      <c r="R44" s="1065">
        <f t="shared" si="15"/>
        <v>0</v>
      </c>
      <c r="S44" s="1099" t="s">
        <v>886</v>
      </c>
      <c r="T44" s="1100">
        <v>510243220</v>
      </c>
      <c r="U44" s="1099">
        <v>522</v>
      </c>
      <c r="V44" s="1099" t="s">
        <v>979</v>
      </c>
    </row>
    <row r="45" spans="1:24" ht="34.5" customHeight="1">
      <c r="A45" s="1132"/>
      <c r="B45" s="898" t="s">
        <v>431</v>
      </c>
      <c r="C45" s="1173"/>
      <c r="D45" s="874">
        <f t="shared" si="7"/>
        <v>10680</v>
      </c>
      <c r="E45" s="875">
        <f>E47</f>
        <v>0</v>
      </c>
      <c r="F45" s="875">
        <f>SUM(F46:F47)</f>
        <v>10680</v>
      </c>
      <c r="G45" s="874">
        <f t="shared" si="8"/>
        <v>10680</v>
      </c>
      <c r="H45" s="875">
        <f>H47</f>
        <v>0</v>
      </c>
      <c r="I45" s="875">
        <f>SUM(I46:I47)</f>
        <v>10680</v>
      </c>
      <c r="J45" s="874">
        <f t="shared" si="11"/>
        <v>0</v>
      </c>
      <c r="K45" s="875">
        <f>K47</f>
        <v>0</v>
      </c>
      <c r="L45" s="875">
        <f>L47</f>
        <v>0</v>
      </c>
      <c r="M45" s="876">
        <f t="shared" si="14"/>
        <v>0</v>
      </c>
      <c r="N45" s="877">
        <f t="shared" si="12"/>
        <v>0</v>
      </c>
      <c r="O45" s="877">
        <f t="shared" si="12"/>
        <v>0</v>
      </c>
      <c r="P45" s="1065">
        <f t="shared" si="1"/>
        <v>0</v>
      </c>
      <c r="Q45" s="1065">
        <f t="shared" si="15"/>
        <v>0</v>
      </c>
      <c r="R45" s="1065">
        <f t="shared" si="15"/>
        <v>0</v>
      </c>
    </row>
    <row r="46" spans="1:24" ht="93" customHeight="1">
      <c r="A46" s="1132" t="s">
        <v>1022</v>
      </c>
      <c r="B46" s="1133" t="s">
        <v>1042</v>
      </c>
      <c r="C46" s="895"/>
      <c r="D46" s="1083">
        <f>SUM(E46:F46)</f>
        <v>6280</v>
      </c>
      <c r="E46" s="1085">
        <v>0</v>
      </c>
      <c r="F46" s="1085">
        <v>6280</v>
      </c>
      <c r="G46" s="1083">
        <f>SUM(H46:I46)</f>
        <v>6280</v>
      </c>
      <c r="H46" s="1085">
        <v>0</v>
      </c>
      <c r="I46" s="1085">
        <v>6280</v>
      </c>
      <c r="J46" s="1083">
        <f>SUM(K46:L46)</f>
        <v>0</v>
      </c>
      <c r="K46" s="1083">
        <v>0</v>
      </c>
      <c r="L46" s="1083">
        <v>0</v>
      </c>
      <c r="M46" s="877">
        <f t="shared" si="14"/>
        <v>0</v>
      </c>
      <c r="N46" s="877">
        <f>IF(K46=0,0,K46/H46*100)</f>
        <v>0</v>
      </c>
      <c r="O46" s="877">
        <f>IF(L46=0,0,L46/I46*100)</f>
        <v>0</v>
      </c>
      <c r="P46" s="1065"/>
      <c r="Q46" s="1065"/>
      <c r="R46" s="1065"/>
      <c r="S46" s="1099" t="s">
        <v>961</v>
      </c>
      <c r="T46" s="1100">
        <v>1240343280</v>
      </c>
      <c r="U46" s="1099">
        <v>522</v>
      </c>
      <c r="V46" s="1099" t="s">
        <v>971</v>
      </c>
    </row>
    <row r="47" spans="1:24" ht="78.75">
      <c r="A47" s="1132" t="s">
        <v>117</v>
      </c>
      <c r="B47" s="1084" t="s">
        <v>676</v>
      </c>
      <c r="C47" s="1174"/>
      <c r="D47" s="1083">
        <f t="shared" si="7"/>
        <v>4400</v>
      </c>
      <c r="E47" s="1085">
        <v>0</v>
      </c>
      <c r="F47" s="1085">
        <v>4400</v>
      </c>
      <c r="G47" s="1083">
        <f t="shared" si="8"/>
        <v>4400</v>
      </c>
      <c r="H47" s="1085">
        <v>0</v>
      </c>
      <c r="I47" s="1085">
        <v>4400</v>
      </c>
      <c r="J47" s="1083">
        <f t="shared" si="11"/>
        <v>0</v>
      </c>
      <c r="K47" s="1083">
        <v>0</v>
      </c>
      <c r="L47" s="1083">
        <v>0</v>
      </c>
      <c r="M47" s="877">
        <f t="shared" si="14"/>
        <v>0</v>
      </c>
      <c r="N47" s="877">
        <f t="shared" si="12"/>
        <v>0</v>
      </c>
      <c r="O47" s="877">
        <f t="shared" si="12"/>
        <v>0</v>
      </c>
      <c r="P47" s="1065">
        <f t="shared" si="1"/>
        <v>0</v>
      </c>
      <c r="Q47" s="1065">
        <f t="shared" ref="Q47:R50" si="16">E47-H47</f>
        <v>0</v>
      </c>
      <c r="R47" s="1065">
        <f t="shared" si="16"/>
        <v>0</v>
      </c>
      <c r="S47" s="1099" t="s">
        <v>886</v>
      </c>
      <c r="T47" s="1100" t="s">
        <v>972</v>
      </c>
      <c r="U47" s="1099">
        <v>522</v>
      </c>
      <c r="V47" s="1099" t="s">
        <v>978</v>
      </c>
    </row>
    <row r="48" spans="1:24" ht="34.5" customHeight="1">
      <c r="A48" s="1132"/>
      <c r="B48" s="898" t="s">
        <v>583</v>
      </c>
      <c r="C48" s="1173"/>
      <c r="D48" s="874">
        <f t="shared" si="7"/>
        <v>2500</v>
      </c>
      <c r="E48" s="875">
        <f>E49</f>
        <v>0</v>
      </c>
      <c r="F48" s="875">
        <f>F49</f>
        <v>2500</v>
      </c>
      <c r="G48" s="874">
        <f t="shared" si="8"/>
        <v>2500</v>
      </c>
      <c r="H48" s="875">
        <f>H49</f>
        <v>0</v>
      </c>
      <c r="I48" s="875">
        <f>I49</f>
        <v>2500</v>
      </c>
      <c r="J48" s="874">
        <f t="shared" si="11"/>
        <v>0</v>
      </c>
      <c r="K48" s="875">
        <f>K49</f>
        <v>0</v>
      </c>
      <c r="L48" s="875">
        <f>L49</f>
        <v>0</v>
      </c>
      <c r="M48" s="876">
        <f t="shared" si="14"/>
        <v>0</v>
      </c>
      <c r="N48" s="877">
        <f t="shared" si="12"/>
        <v>0</v>
      </c>
      <c r="O48" s="877">
        <f t="shared" si="12"/>
        <v>0</v>
      </c>
      <c r="P48" s="1065">
        <f t="shared" si="1"/>
        <v>0</v>
      </c>
      <c r="Q48" s="1065">
        <f t="shared" si="16"/>
        <v>0</v>
      </c>
      <c r="R48" s="1065">
        <f t="shared" si="16"/>
        <v>0</v>
      </c>
    </row>
    <row r="49" spans="1:22" ht="52.5">
      <c r="A49" s="1132" t="s">
        <v>118</v>
      </c>
      <c r="B49" s="1084" t="s">
        <v>1046</v>
      </c>
      <c r="C49" s="1174"/>
      <c r="D49" s="1083">
        <f t="shared" si="7"/>
        <v>2500</v>
      </c>
      <c r="E49" s="1085">
        <v>0</v>
      </c>
      <c r="F49" s="1085">
        <v>2500</v>
      </c>
      <c r="G49" s="1083">
        <f t="shared" si="8"/>
        <v>2500</v>
      </c>
      <c r="H49" s="1085">
        <v>0</v>
      </c>
      <c r="I49" s="1085">
        <v>2500</v>
      </c>
      <c r="J49" s="1083">
        <f t="shared" si="11"/>
        <v>0</v>
      </c>
      <c r="K49" s="1083">
        <v>0</v>
      </c>
      <c r="L49" s="1083">
        <v>0</v>
      </c>
      <c r="M49" s="877">
        <f t="shared" si="14"/>
        <v>0</v>
      </c>
      <c r="N49" s="877">
        <f t="shared" si="12"/>
        <v>0</v>
      </c>
      <c r="O49" s="877">
        <f t="shared" si="12"/>
        <v>0</v>
      </c>
      <c r="P49" s="1065">
        <f t="shared" si="1"/>
        <v>0</v>
      </c>
      <c r="Q49" s="1065">
        <f t="shared" si="16"/>
        <v>0</v>
      </c>
      <c r="R49" s="1065">
        <f t="shared" si="16"/>
        <v>0</v>
      </c>
      <c r="S49" s="1099" t="s">
        <v>886</v>
      </c>
      <c r="T49" s="1100" t="s">
        <v>967</v>
      </c>
      <c r="U49" s="1099">
        <v>522</v>
      </c>
      <c r="V49" s="1099" t="s">
        <v>969</v>
      </c>
    </row>
    <row r="50" spans="1:22" ht="34.5" customHeight="1">
      <c r="A50" s="1132"/>
      <c r="B50" s="898" t="s">
        <v>709</v>
      </c>
      <c r="C50" s="1173"/>
      <c r="D50" s="874">
        <f>SUM(E50:F50)</f>
        <v>109500</v>
      </c>
      <c r="E50" s="875">
        <f>SUM(E52:E53)</f>
        <v>0</v>
      </c>
      <c r="F50" s="875">
        <f>SUM(F51:F53)</f>
        <v>109500</v>
      </c>
      <c r="G50" s="874">
        <f>SUM(H50:I50)</f>
        <v>109500</v>
      </c>
      <c r="H50" s="875">
        <f>SUM(H52:H53)</f>
        <v>0</v>
      </c>
      <c r="I50" s="875">
        <f>SUM(I51:I53)</f>
        <v>109500</v>
      </c>
      <c r="J50" s="874">
        <f>SUM(K50:L50)</f>
        <v>0</v>
      </c>
      <c r="K50" s="875">
        <f>SUM(K52:K53)</f>
        <v>0</v>
      </c>
      <c r="L50" s="875">
        <f>SUM(L52:L53)</f>
        <v>0</v>
      </c>
      <c r="M50" s="876">
        <f t="shared" si="14"/>
        <v>0</v>
      </c>
      <c r="N50" s="877">
        <f t="shared" si="12"/>
        <v>0</v>
      </c>
      <c r="O50" s="877">
        <f t="shared" si="12"/>
        <v>0</v>
      </c>
      <c r="P50" s="1065">
        <f t="shared" si="1"/>
        <v>0</v>
      </c>
      <c r="Q50" s="1065">
        <f t="shared" si="16"/>
        <v>0</v>
      </c>
      <c r="R50" s="1065">
        <f t="shared" si="16"/>
        <v>0</v>
      </c>
    </row>
    <row r="51" spans="1:22" ht="78.75">
      <c r="A51" s="1132" t="s">
        <v>154</v>
      </c>
      <c r="B51" s="1133" t="s">
        <v>1047</v>
      </c>
      <c r="C51" s="895"/>
      <c r="D51" s="1083">
        <f>SUM(E51:F51)</f>
        <v>35000</v>
      </c>
      <c r="E51" s="1085">
        <v>0</v>
      </c>
      <c r="F51" s="1085">
        <v>35000</v>
      </c>
      <c r="G51" s="1083">
        <f>SUM(H51:I51)</f>
        <v>35000</v>
      </c>
      <c r="H51" s="1085">
        <v>0</v>
      </c>
      <c r="I51" s="1085">
        <v>35000</v>
      </c>
      <c r="J51" s="1083">
        <f t="shared" si="11"/>
        <v>0</v>
      </c>
      <c r="K51" s="1083">
        <v>0</v>
      </c>
      <c r="L51" s="1083">
        <v>0</v>
      </c>
      <c r="M51" s="877">
        <f t="shared" si="14"/>
        <v>0</v>
      </c>
      <c r="N51" s="877">
        <f>IF(K51=0,0,K51/H51*100)</f>
        <v>0</v>
      </c>
      <c r="O51" s="877">
        <f>IF(L51=0,0,L51/I51*100)</f>
        <v>0</v>
      </c>
      <c r="P51" s="1065"/>
      <c r="Q51" s="1065"/>
      <c r="R51" s="1065"/>
      <c r="S51" s="1099" t="s">
        <v>961</v>
      </c>
      <c r="T51" s="1100" t="s">
        <v>990</v>
      </c>
      <c r="U51" s="1099">
        <v>522</v>
      </c>
      <c r="V51" s="1099">
        <v>24357</v>
      </c>
    </row>
    <row r="52" spans="1:22" ht="76.5" customHeight="1">
      <c r="A52" s="1132" t="s">
        <v>155</v>
      </c>
      <c r="B52" s="1084" t="s">
        <v>1048</v>
      </c>
      <c r="C52" s="1174"/>
      <c r="D52" s="1083">
        <f>SUM(E52:F52)</f>
        <v>15000</v>
      </c>
      <c r="E52" s="1085">
        <v>0</v>
      </c>
      <c r="F52" s="1085">
        <v>15000</v>
      </c>
      <c r="G52" s="1083">
        <f>SUM(H52:I52)</f>
        <v>15000</v>
      </c>
      <c r="H52" s="1085">
        <v>0</v>
      </c>
      <c r="I52" s="1085">
        <v>15000</v>
      </c>
      <c r="J52" s="1083">
        <f t="shared" si="11"/>
        <v>0</v>
      </c>
      <c r="K52" s="1083">
        <v>0</v>
      </c>
      <c r="L52" s="1083">
        <v>0</v>
      </c>
      <c r="M52" s="877">
        <f t="shared" si="14"/>
        <v>0</v>
      </c>
      <c r="N52" s="877">
        <f>IF(K52=0,0,K52/H52*100)</f>
        <v>0</v>
      </c>
      <c r="O52" s="877">
        <f>IF(L52=0,0,L52/I52*100)</f>
        <v>0</v>
      </c>
      <c r="P52" s="1065">
        <f t="shared" si="1"/>
        <v>0</v>
      </c>
      <c r="Q52" s="1065">
        <f t="shared" ref="Q52:Q83" si="17">E52-H52</f>
        <v>0</v>
      </c>
      <c r="R52" s="1065">
        <f t="shared" ref="R52:R83" si="18">F52-I52</f>
        <v>0</v>
      </c>
      <c r="S52" s="1099" t="s">
        <v>886</v>
      </c>
      <c r="T52" s="1100" t="s">
        <v>967</v>
      </c>
      <c r="U52" s="1099">
        <v>522</v>
      </c>
      <c r="V52" s="1099" t="s">
        <v>991</v>
      </c>
    </row>
    <row r="53" spans="1:22" ht="78.75">
      <c r="A53" s="1132" t="s">
        <v>156</v>
      </c>
      <c r="B53" s="1084" t="s">
        <v>1049</v>
      </c>
      <c r="C53" s="1174"/>
      <c r="D53" s="1083">
        <f t="shared" si="7"/>
        <v>59500</v>
      </c>
      <c r="E53" s="1085">
        <v>0</v>
      </c>
      <c r="F53" s="1085">
        <v>59500</v>
      </c>
      <c r="G53" s="1083">
        <f t="shared" si="8"/>
        <v>59500</v>
      </c>
      <c r="H53" s="1085">
        <v>0</v>
      </c>
      <c r="I53" s="1085">
        <v>59500</v>
      </c>
      <c r="J53" s="1083">
        <f t="shared" si="11"/>
        <v>0</v>
      </c>
      <c r="K53" s="1083">
        <v>0</v>
      </c>
      <c r="L53" s="1083">
        <v>0</v>
      </c>
      <c r="M53" s="877">
        <f t="shared" si="14"/>
        <v>0</v>
      </c>
      <c r="N53" s="877">
        <f t="shared" si="12"/>
        <v>0</v>
      </c>
      <c r="O53" s="877">
        <f t="shared" si="12"/>
        <v>0</v>
      </c>
      <c r="P53" s="1065">
        <f t="shared" si="1"/>
        <v>0</v>
      </c>
      <c r="Q53" s="1065">
        <f t="shared" si="17"/>
        <v>0</v>
      </c>
      <c r="R53" s="1065">
        <f t="shared" si="18"/>
        <v>0</v>
      </c>
      <c r="S53" s="1099" t="s">
        <v>886</v>
      </c>
      <c r="T53" s="1100" t="s">
        <v>967</v>
      </c>
      <c r="U53" s="1099">
        <v>522</v>
      </c>
      <c r="V53" s="1099" t="s">
        <v>969</v>
      </c>
    </row>
    <row r="54" spans="1:22" ht="34.5" customHeight="1">
      <c r="A54" s="1132"/>
      <c r="B54" s="898" t="s">
        <v>333</v>
      </c>
      <c r="C54" s="1173"/>
      <c r="D54" s="874">
        <f t="shared" si="7"/>
        <v>32810</v>
      </c>
      <c r="E54" s="875">
        <f>SUM(E55:E56)</f>
        <v>0</v>
      </c>
      <c r="F54" s="875">
        <f>SUM(F55:F56)</f>
        <v>32810</v>
      </c>
      <c r="G54" s="874">
        <f t="shared" si="8"/>
        <v>32810</v>
      </c>
      <c r="H54" s="875">
        <f>SUM(H55:H56)</f>
        <v>0</v>
      </c>
      <c r="I54" s="875">
        <f>SUM(I55:I56)</f>
        <v>32810</v>
      </c>
      <c r="J54" s="874">
        <f>SUM(K54:L54)</f>
        <v>0</v>
      </c>
      <c r="K54" s="875">
        <f>SUM(K55:K56)</f>
        <v>0</v>
      </c>
      <c r="L54" s="875">
        <f>SUM(L55:L56)</f>
        <v>0</v>
      </c>
      <c r="M54" s="876">
        <f t="shared" si="14"/>
        <v>0</v>
      </c>
      <c r="N54" s="877">
        <f t="shared" si="12"/>
        <v>0</v>
      </c>
      <c r="O54" s="877">
        <f t="shared" si="12"/>
        <v>0</v>
      </c>
      <c r="P54" s="1065">
        <f t="shared" si="1"/>
        <v>0</v>
      </c>
      <c r="Q54" s="1065">
        <f t="shared" si="17"/>
        <v>0</v>
      </c>
      <c r="R54" s="1065">
        <f t="shared" si="18"/>
        <v>0</v>
      </c>
    </row>
    <row r="55" spans="1:22" ht="52.5">
      <c r="A55" s="1132" t="s">
        <v>122</v>
      </c>
      <c r="B55" s="1084" t="s">
        <v>1051</v>
      </c>
      <c r="C55" s="1174"/>
      <c r="D55" s="1083">
        <f>SUM(E55:F55)</f>
        <v>10000</v>
      </c>
      <c r="E55" s="1085">
        <v>0</v>
      </c>
      <c r="F55" s="1085">
        <v>10000</v>
      </c>
      <c r="G55" s="1083">
        <f>SUM(H55:I55)</f>
        <v>10000</v>
      </c>
      <c r="H55" s="1085">
        <v>0</v>
      </c>
      <c r="I55" s="1085">
        <v>10000</v>
      </c>
      <c r="J55" s="1083">
        <f t="shared" si="11"/>
        <v>0</v>
      </c>
      <c r="K55" s="1083">
        <v>0</v>
      </c>
      <c r="L55" s="1083">
        <v>0</v>
      </c>
      <c r="M55" s="877">
        <f t="shared" si="14"/>
        <v>0</v>
      </c>
      <c r="N55" s="877">
        <f>IF(K55=0,0,K55/H55*100)</f>
        <v>0</v>
      </c>
      <c r="O55" s="877">
        <f>IF(L55=0,0,L55/I55*100)</f>
        <v>0</v>
      </c>
      <c r="P55" s="1065">
        <f t="shared" si="1"/>
        <v>0</v>
      </c>
      <c r="Q55" s="1065">
        <f t="shared" si="17"/>
        <v>0</v>
      </c>
      <c r="R55" s="1065">
        <f t="shared" si="18"/>
        <v>0</v>
      </c>
      <c r="S55" s="1099" t="s">
        <v>886</v>
      </c>
      <c r="T55" s="1100" t="s">
        <v>967</v>
      </c>
      <c r="U55" s="1099">
        <v>522</v>
      </c>
      <c r="V55" s="1099" t="s">
        <v>994</v>
      </c>
    </row>
    <row r="56" spans="1:22" ht="52.5">
      <c r="A56" s="1132" t="s">
        <v>123</v>
      </c>
      <c r="B56" s="1084" t="s">
        <v>1050</v>
      </c>
      <c r="C56" s="1174"/>
      <c r="D56" s="1083">
        <f t="shared" si="7"/>
        <v>22810</v>
      </c>
      <c r="E56" s="1085">
        <v>0</v>
      </c>
      <c r="F56" s="1085">
        <v>22810</v>
      </c>
      <c r="G56" s="1083">
        <f t="shared" si="8"/>
        <v>22810</v>
      </c>
      <c r="H56" s="1085">
        <v>0</v>
      </c>
      <c r="I56" s="1085">
        <v>22810</v>
      </c>
      <c r="J56" s="1083">
        <f t="shared" si="11"/>
        <v>0</v>
      </c>
      <c r="K56" s="1083">
        <v>0</v>
      </c>
      <c r="L56" s="1083">
        <v>0</v>
      </c>
      <c r="M56" s="877">
        <f t="shared" si="14"/>
        <v>0</v>
      </c>
      <c r="N56" s="877">
        <f t="shared" si="12"/>
        <v>0</v>
      </c>
      <c r="O56" s="877">
        <f t="shared" si="12"/>
        <v>0</v>
      </c>
      <c r="P56" s="1065">
        <f t="shared" si="1"/>
        <v>0</v>
      </c>
      <c r="Q56" s="1065">
        <f t="shared" si="17"/>
        <v>0</v>
      </c>
      <c r="R56" s="1065">
        <f t="shared" si="18"/>
        <v>0</v>
      </c>
      <c r="S56" s="1099" t="s">
        <v>886</v>
      </c>
      <c r="T56" s="1100" t="s">
        <v>967</v>
      </c>
      <c r="U56" s="1099">
        <v>522</v>
      </c>
      <c r="V56" s="1099" t="s">
        <v>995</v>
      </c>
    </row>
    <row r="57" spans="1:22" ht="34.5" customHeight="1">
      <c r="A57" s="1132"/>
      <c r="B57" s="898" t="s">
        <v>443</v>
      </c>
      <c r="C57" s="1173"/>
      <c r="D57" s="874">
        <f>SUM(E57:F57)</f>
        <v>14560</v>
      </c>
      <c r="E57" s="875">
        <f>E58</f>
        <v>0</v>
      </c>
      <c r="F57" s="875">
        <f>F58</f>
        <v>14560</v>
      </c>
      <c r="G57" s="874">
        <f>SUM(H57:I57)</f>
        <v>14560</v>
      </c>
      <c r="H57" s="875">
        <f>H58</f>
        <v>0</v>
      </c>
      <c r="I57" s="875">
        <f>I58</f>
        <v>14560</v>
      </c>
      <c r="J57" s="874">
        <f>SUM(K57:L57)</f>
        <v>0</v>
      </c>
      <c r="K57" s="875">
        <f>K58</f>
        <v>0</v>
      </c>
      <c r="L57" s="875">
        <f>L58</f>
        <v>0</v>
      </c>
      <c r="M57" s="876">
        <f t="shared" si="14"/>
        <v>0</v>
      </c>
      <c r="N57" s="877">
        <f>IF(K57=0,0,K57/H57*100)</f>
        <v>0</v>
      </c>
      <c r="O57" s="877">
        <f>IF(L57=0,0,L57/I57*100)</f>
        <v>0</v>
      </c>
      <c r="P57" s="1065">
        <f t="shared" si="1"/>
        <v>0</v>
      </c>
      <c r="Q57" s="1065">
        <f t="shared" si="17"/>
        <v>0</v>
      </c>
      <c r="R57" s="1065">
        <f t="shared" si="18"/>
        <v>0</v>
      </c>
    </row>
    <row r="58" spans="1:22" ht="52.5">
      <c r="A58" s="1132" t="s">
        <v>124</v>
      </c>
      <c r="B58" s="1084" t="s">
        <v>1052</v>
      </c>
      <c r="C58" s="1174"/>
      <c r="D58" s="1083">
        <f>SUM(E58:F58)</f>
        <v>14560</v>
      </c>
      <c r="E58" s="1085">
        <v>0</v>
      </c>
      <c r="F58" s="1085">
        <v>14560</v>
      </c>
      <c r="G58" s="1083">
        <f>SUM(H58:I58)</f>
        <v>14560</v>
      </c>
      <c r="H58" s="1085">
        <v>0</v>
      </c>
      <c r="I58" s="1085">
        <v>14560</v>
      </c>
      <c r="J58" s="1083">
        <f t="shared" si="11"/>
        <v>0</v>
      </c>
      <c r="K58" s="1083">
        <v>0</v>
      </c>
      <c r="L58" s="1083">
        <v>0</v>
      </c>
      <c r="M58" s="877">
        <f t="shared" si="14"/>
        <v>0</v>
      </c>
      <c r="N58" s="877">
        <f>IF(K58=0,0,K58/H58*100)</f>
        <v>0</v>
      </c>
      <c r="O58" s="877">
        <f>IF(L58=0,0,L58/I58*100)</f>
        <v>0</v>
      </c>
      <c r="P58" s="1065">
        <f t="shared" si="1"/>
        <v>0</v>
      </c>
      <c r="Q58" s="1065">
        <f t="shared" si="17"/>
        <v>0</v>
      </c>
      <c r="R58" s="1065">
        <f t="shared" si="18"/>
        <v>0</v>
      </c>
      <c r="S58" s="1099" t="s">
        <v>886</v>
      </c>
      <c r="T58" s="1100" t="s">
        <v>967</v>
      </c>
      <c r="U58" s="1099">
        <v>522</v>
      </c>
      <c r="V58" s="1099" t="s">
        <v>986</v>
      </c>
    </row>
    <row r="59" spans="1:22" ht="34.5" customHeight="1">
      <c r="A59" s="1132"/>
      <c r="B59" s="898" t="s">
        <v>90</v>
      </c>
      <c r="C59" s="1173"/>
      <c r="D59" s="874">
        <f t="shared" si="7"/>
        <v>1300</v>
      </c>
      <c r="E59" s="875">
        <f>E60</f>
        <v>0</v>
      </c>
      <c r="F59" s="875">
        <f>F60</f>
        <v>1300</v>
      </c>
      <c r="G59" s="874">
        <f t="shared" si="8"/>
        <v>1300</v>
      </c>
      <c r="H59" s="875">
        <f>H60</f>
        <v>0</v>
      </c>
      <c r="I59" s="875">
        <f>I60</f>
        <v>1300</v>
      </c>
      <c r="J59" s="874">
        <f>SUM(K59:L59)</f>
        <v>0</v>
      </c>
      <c r="K59" s="875">
        <f>K60</f>
        <v>0</v>
      </c>
      <c r="L59" s="875">
        <f>L60</f>
        <v>0</v>
      </c>
      <c r="M59" s="876">
        <f t="shared" si="14"/>
        <v>0</v>
      </c>
      <c r="N59" s="877">
        <f t="shared" ref="N59:O89" si="19">IF(K59=0,0,K59/H59*100)</f>
        <v>0</v>
      </c>
      <c r="O59" s="877">
        <f t="shared" si="19"/>
        <v>0</v>
      </c>
      <c r="P59" s="1065">
        <f t="shared" si="1"/>
        <v>0</v>
      </c>
      <c r="Q59" s="1065">
        <f t="shared" si="17"/>
        <v>0</v>
      </c>
      <c r="R59" s="1065">
        <f t="shared" si="18"/>
        <v>0</v>
      </c>
    </row>
    <row r="60" spans="1:22" ht="52.5">
      <c r="A60" s="1132" t="s">
        <v>125</v>
      </c>
      <c r="B60" s="1084" t="s">
        <v>1053</v>
      </c>
      <c r="C60" s="1174"/>
      <c r="D60" s="1083">
        <f t="shared" si="7"/>
        <v>1300</v>
      </c>
      <c r="E60" s="1085">
        <v>0</v>
      </c>
      <c r="F60" s="1085">
        <v>1300</v>
      </c>
      <c r="G60" s="1083">
        <f t="shared" si="8"/>
        <v>1300</v>
      </c>
      <c r="H60" s="1085">
        <v>0</v>
      </c>
      <c r="I60" s="1085">
        <v>1300</v>
      </c>
      <c r="J60" s="1083">
        <f t="shared" si="11"/>
        <v>0</v>
      </c>
      <c r="K60" s="1083">
        <v>0</v>
      </c>
      <c r="L60" s="1083">
        <v>0</v>
      </c>
      <c r="M60" s="877">
        <f t="shared" si="14"/>
        <v>0</v>
      </c>
      <c r="N60" s="877">
        <f t="shared" si="19"/>
        <v>0</v>
      </c>
      <c r="O60" s="877">
        <f t="shared" si="19"/>
        <v>0</v>
      </c>
      <c r="P60" s="1065">
        <f t="shared" si="1"/>
        <v>0</v>
      </c>
      <c r="Q60" s="1065">
        <f t="shared" si="17"/>
        <v>0</v>
      </c>
      <c r="R60" s="1065">
        <f t="shared" si="18"/>
        <v>0</v>
      </c>
      <c r="S60" s="1099" t="s">
        <v>886</v>
      </c>
      <c r="T60" s="1100">
        <v>520343220</v>
      </c>
      <c r="U60" s="1099">
        <v>522</v>
      </c>
      <c r="V60" s="1099" t="s">
        <v>994</v>
      </c>
    </row>
    <row r="61" spans="1:22" ht="34.5" customHeight="1">
      <c r="A61" s="1132"/>
      <c r="B61" s="898" t="s">
        <v>712</v>
      </c>
      <c r="C61" s="1173"/>
      <c r="D61" s="874">
        <f t="shared" si="7"/>
        <v>2300</v>
      </c>
      <c r="E61" s="875">
        <f>E62</f>
        <v>0</v>
      </c>
      <c r="F61" s="875">
        <f>F62</f>
        <v>2300</v>
      </c>
      <c r="G61" s="874">
        <f t="shared" si="8"/>
        <v>2300</v>
      </c>
      <c r="H61" s="875">
        <f>H62</f>
        <v>0</v>
      </c>
      <c r="I61" s="875">
        <f>I62</f>
        <v>2300</v>
      </c>
      <c r="J61" s="874">
        <f>SUM(K61:L61)</f>
        <v>0</v>
      </c>
      <c r="K61" s="875">
        <f>K62</f>
        <v>0</v>
      </c>
      <c r="L61" s="875">
        <f>L62</f>
        <v>0</v>
      </c>
      <c r="M61" s="876">
        <f t="shared" si="14"/>
        <v>0</v>
      </c>
      <c r="N61" s="877">
        <f t="shared" si="19"/>
        <v>0</v>
      </c>
      <c r="O61" s="877">
        <f t="shared" si="19"/>
        <v>0</v>
      </c>
      <c r="P61" s="1065">
        <f t="shared" si="1"/>
        <v>0</v>
      </c>
      <c r="Q61" s="1065">
        <f t="shared" si="17"/>
        <v>0</v>
      </c>
      <c r="R61" s="1065">
        <f t="shared" si="18"/>
        <v>0</v>
      </c>
    </row>
    <row r="62" spans="1:22" ht="52.5">
      <c r="A62" s="1132" t="s">
        <v>126</v>
      </c>
      <c r="B62" s="1084" t="s">
        <v>1054</v>
      </c>
      <c r="C62" s="1174"/>
      <c r="D62" s="1083">
        <f t="shared" si="7"/>
        <v>2300</v>
      </c>
      <c r="E62" s="1085">
        <v>0</v>
      </c>
      <c r="F62" s="1085">
        <v>2300</v>
      </c>
      <c r="G62" s="1083">
        <f t="shared" si="8"/>
        <v>2300</v>
      </c>
      <c r="H62" s="1085">
        <v>0</v>
      </c>
      <c r="I62" s="1085">
        <v>2300</v>
      </c>
      <c r="J62" s="1083">
        <f t="shared" si="11"/>
        <v>0</v>
      </c>
      <c r="K62" s="1083">
        <v>0</v>
      </c>
      <c r="L62" s="1083">
        <v>0</v>
      </c>
      <c r="M62" s="877">
        <f t="shared" si="14"/>
        <v>0</v>
      </c>
      <c r="N62" s="877">
        <f t="shared" si="19"/>
        <v>0</v>
      </c>
      <c r="O62" s="877">
        <f t="shared" si="19"/>
        <v>0</v>
      </c>
      <c r="P62" s="1065">
        <f t="shared" si="1"/>
        <v>0</v>
      </c>
      <c r="Q62" s="1065">
        <f t="shared" si="17"/>
        <v>0</v>
      </c>
      <c r="R62" s="1065">
        <f t="shared" si="18"/>
        <v>0</v>
      </c>
      <c r="S62" s="1099" t="s">
        <v>886</v>
      </c>
      <c r="T62" s="1100" t="s">
        <v>967</v>
      </c>
      <c r="U62" s="1099">
        <v>522</v>
      </c>
      <c r="V62" s="1099" t="s">
        <v>983</v>
      </c>
    </row>
    <row r="63" spans="1:22" ht="34.5" customHeight="1">
      <c r="A63" s="1132"/>
      <c r="B63" s="898" t="s">
        <v>46</v>
      </c>
      <c r="C63" s="1173"/>
      <c r="D63" s="874">
        <f t="shared" si="7"/>
        <v>12500</v>
      </c>
      <c r="E63" s="875">
        <f>E64</f>
        <v>0</v>
      </c>
      <c r="F63" s="875">
        <f>F64</f>
        <v>12500</v>
      </c>
      <c r="G63" s="874">
        <f t="shared" si="8"/>
        <v>12500</v>
      </c>
      <c r="H63" s="875">
        <f>H64</f>
        <v>0</v>
      </c>
      <c r="I63" s="875">
        <f>I64</f>
        <v>12500</v>
      </c>
      <c r="J63" s="874">
        <f>SUM(K63:L63)</f>
        <v>0</v>
      </c>
      <c r="K63" s="875">
        <f>K64</f>
        <v>0</v>
      </c>
      <c r="L63" s="875">
        <f>L64</f>
        <v>0</v>
      </c>
      <c r="M63" s="876">
        <f t="shared" si="14"/>
        <v>0</v>
      </c>
      <c r="N63" s="877">
        <f t="shared" si="19"/>
        <v>0</v>
      </c>
      <c r="O63" s="877">
        <f t="shared" si="19"/>
        <v>0</v>
      </c>
      <c r="P63" s="1065">
        <f t="shared" si="1"/>
        <v>0</v>
      </c>
      <c r="Q63" s="1065">
        <f t="shared" si="17"/>
        <v>0</v>
      </c>
      <c r="R63" s="1065">
        <f t="shared" si="18"/>
        <v>0</v>
      </c>
    </row>
    <row r="64" spans="1:22" ht="105">
      <c r="A64" s="1132" t="s">
        <v>127</v>
      </c>
      <c r="B64" s="1084" t="s">
        <v>1055</v>
      </c>
      <c r="C64" s="1174"/>
      <c r="D64" s="1083">
        <f t="shared" si="7"/>
        <v>12500</v>
      </c>
      <c r="E64" s="1085">
        <v>0</v>
      </c>
      <c r="F64" s="1085">
        <v>12500</v>
      </c>
      <c r="G64" s="1083">
        <f t="shared" si="8"/>
        <v>12500</v>
      </c>
      <c r="H64" s="1085">
        <v>0</v>
      </c>
      <c r="I64" s="1085">
        <v>12500</v>
      </c>
      <c r="J64" s="1083"/>
      <c r="K64" s="1083">
        <v>0</v>
      </c>
      <c r="L64" s="1083">
        <v>0</v>
      </c>
      <c r="M64" s="877">
        <f t="shared" si="14"/>
        <v>0</v>
      </c>
      <c r="N64" s="877">
        <f t="shared" si="19"/>
        <v>0</v>
      </c>
      <c r="O64" s="877">
        <f t="shared" si="19"/>
        <v>0</v>
      </c>
      <c r="P64" s="1065">
        <f t="shared" si="1"/>
        <v>0</v>
      </c>
      <c r="Q64" s="1065">
        <f t="shared" si="17"/>
        <v>0</v>
      </c>
      <c r="R64" s="1065">
        <f t="shared" si="18"/>
        <v>0</v>
      </c>
      <c r="S64" s="1099" t="s">
        <v>886</v>
      </c>
      <c r="T64" s="1100" t="s">
        <v>966</v>
      </c>
      <c r="U64" s="1099">
        <v>522</v>
      </c>
      <c r="V64" s="1099" t="s">
        <v>977</v>
      </c>
    </row>
    <row r="65" spans="1:24" ht="34.5" customHeight="1">
      <c r="A65" s="1132"/>
      <c r="B65" s="898" t="s">
        <v>457</v>
      </c>
      <c r="C65" s="1173"/>
      <c r="D65" s="874">
        <f t="shared" si="7"/>
        <v>34000</v>
      </c>
      <c r="E65" s="875">
        <f>SUM(E66:E70)</f>
        <v>0</v>
      </c>
      <c r="F65" s="875">
        <f>SUM(F66:F70)</f>
        <v>34000</v>
      </c>
      <c r="G65" s="874">
        <f t="shared" si="8"/>
        <v>34000</v>
      </c>
      <c r="H65" s="875">
        <f>SUM(H66:H70)</f>
        <v>0</v>
      </c>
      <c r="I65" s="875">
        <f>SUM(I66:I70)</f>
        <v>34000</v>
      </c>
      <c r="J65" s="874">
        <f>SUM(K65:L65)</f>
        <v>0</v>
      </c>
      <c r="K65" s="875">
        <f>SUM(K66:K70)</f>
        <v>0</v>
      </c>
      <c r="L65" s="875">
        <f>SUM(L66:L70)</f>
        <v>0</v>
      </c>
      <c r="M65" s="876">
        <f t="shared" si="14"/>
        <v>0</v>
      </c>
      <c r="N65" s="877">
        <f t="shared" si="19"/>
        <v>0</v>
      </c>
      <c r="O65" s="877">
        <f t="shared" si="19"/>
        <v>0</v>
      </c>
      <c r="P65" s="1065">
        <f t="shared" si="1"/>
        <v>0</v>
      </c>
      <c r="Q65" s="1065">
        <f t="shared" si="17"/>
        <v>0</v>
      </c>
      <c r="R65" s="1065">
        <f t="shared" si="18"/>
        <v>0</v>
      </c>
    </row>
    <row r="66" spans="1:24" ht="90.75" customHeight="1">
      <c r="A66" s="1132" t="s">
        <v>128</v>
      </c>
      <c r="B66" s="1084" t="s">
        <v>1056</v>
      </c>
      <c r="C66" s="1174"/>
      <c r="D66" s="1083">
        <f t="shared" si="7"/>
        <v>10000</v>
      </c>
      <c r="E66" s="1085">
        <v>0</v>
      </c>
      <c r="F66" s="1085">
        <v>10000</v>
      </c>
      <c r="G66" s="1083">
        <f t="shared" si="8"/>
        <v>10000</v>
      </c>
      <c r="H66" s="1085">
        <v>0</v>
      </c>
      <c r="I66" s="1085">
        <v>10000</v>
      </c>
      <c r="J66" s="2412"/>
      <c r="K66" s="2412"/>
      <c r="L66" s="2412"/>
      <c r="M66" s="2415">
        <f>IF(J66=0,0,J66/G66:G70*100)</f>
        <v>0</v>
      </c>
      <c r="N66" s="2415">
        <f>IF(K66=0,0,K66/H66:H70*100)</f>
        <v>0</v>
      </c>
      <c r="O66" s="2415">
        <f>IF(L66=0,0,L66/I66:I70*100)</f>
        <v>0</v>
      </c>
      <c r="P66" s="1065">
        <f t="shared" si="1"/>
        <v>0</v>
      </c>
      <c r="Q66" s="1065">
        <f t="shared" si="17"/>
        <v>0</v>
      </c>
      <c r="R66" s="1065">
        <f t="shared" si="18"/>
        <v>0</v>
      </c>
      <c r="S66" s="2410" t="s">
        <v>886</v>
      </c>
      <c r="T66" s="2410" t="s">
        <v>966</v>
      </c>
      <c r="U66" s="2410">
        <v>522</v>
      </c>
      <c r="V66" s="2410" t="s">
        <v>979</v>
      </c>
      <c r="W66" s="2410"/>
    </row>
    <row r="67" spans="1:24" ht="150.75" customHeight="1">
      <c r="A67" s="1132" t="s">
        <v>158</v>
      </c>
      <c r="B67" s="1084" t="s">
        <v>1057</v>
      </c>
      <c r="C67" s="1174"/>
      <c r="D67" s="1083">
        <f t="shared" si="7"/>
        <v>6400</v>
      </c>
      <c r="E67" s="1085">
        <v>0</v>
      </c>
      <c r="F67" s="1085">
        <v>6400</v>
      </c>
      <c r="G67" s="1083">
        <f t="shared" si="8"/>
        <v>6400</v>
      </c>
      <c r="H67" s="1085">
        <v>0</v>
      </c>
      <c r="I67" s="1085">
        <v>6400</v>
      </c>
      <c r="J67" s="2413"/>
      <c r="K67" s="2413"/>
      <c r="L67" s="2413"/>
      <c r="M67" s="2416"/>
      <c r="N67" s="2416"/>
      <c r="O67" s="2416"/>
      <c r="P67" s="1065">
        <f t="shared" si="1"/>
        <v>0</v>
      </c>
      <c r="Q67" s="1065">
        <f t="shared" si="17"/>
        <v>0</v>
      </c>
      <c r="R67" s="1065">
        <f t="shared" si="18"/>
        <v>0</v>
      </c>
      <c r="S67" s="2410"/>
      <c r="T67" s="2410"/>
      <c r="U67" s="2410"/>
      <c r="V67" s="2410"/>
      <c r="W67" s="2410"/>
    </row>
    <row r="68" spans="1:24" ht="150.75" customHeight="1">
      <c r="A68" s="1132" t="s">
        <v>129</v>
      </c>
      <c r="B68" s="1084" t="s">
        <v>1058</v>
      </c>
      <c r="C68" s="1174"/>
      <c r="D68" s="1083">
        <f t="shared" si="7"/>
        <v>4600</v>
      </c>
      <c r="E68" s="1085">
        <v>0</v>
      </c>
      <c r="F68" s="1085">
        <v>4600</v>
      </c>
      <c r="G68" s="1083">
        <f t="shared" si="8"/>
        <v>4600</v>
      </c>
      <c r="H68" s="1085">
        <v>0</v>
      </c>
      <c r="I68" s="1085">
        <v>4600</v>
      </c>
      <c r="J68" s="2413"/>
      <c r="K68" s="2413"/>
      <c r="L68" s="2413"/>
      <c r="M68" s="2416"/>
      <c r="N68" s="2416"/>
      <c r="O68" s="2416"/>
      <c r="P68" s="1065">
        <f t="shared" si="1"/>
        <v>0</v>
      </c>
      <c r="Q68" s="1065">
        <f t="shared" si="17"/>
        <v>0</v>
      </c>
      <c r="R68" s="1065">
        <f t="shared" si="18"/>
        <v>0</v>
      </c>
      <c r="S68" s="2410"/>
      <c r="T68" s="2410"/>
      <c r="U68" s="2410"/>
      <c r="V68" s="2410"/>
      <c r="W68" s="2410"/>
    </row>
    <row r="69" spans="1:24" ht="133.5" customHeight="1">
      <c r="A69" s="1132" t="s">
        <v>159</v>
      </c>
      <c r="B69" s="1084" t="s">
        <v>1059</v>
      </c>
      <c r="C69" s="1174"/>
      <c r="D69" s="1083">
        <f t="shared" si="7"/>
        <v>10000</v>
      </c>
      <c r="E69" s="1085">
        <v>0</v>
      </c>
      <c r="F69" s="1085">
        <v>10000</v>
      </c>
      <c r="G69" s="1083">
        <f t="shared" si="8"/>
        <v>10000</v>
      </c>
      <c r="H69" s="1085">
        <v>0</v>
      </c>
      <c r="I69" s="1085">
        <v>10000</v>
      </c>
      <c r="J69" s="2413"/>
      <c r="K69" s="2413"/>
      <c r="L69" s="2413"/>
      <c r="M69" s="2416"/>
      <c r="N69" s="2416"/>
      <c r="O69" s="2416"/>
      <c r="P69" s="1065">
        <f t="shared" si="1"/>
        <v>0</v>
      </c>
      <c r="Q69" s="1065">
        <f t="shared" si="17"/>
        <v>0</v>
      </c>
      <c r="R69" s="1065">
        <f t="shared" si="18"/>
        <v>0</v>
      </c>
      <c r="S69" s="2410"/>
      <c r="T69" s="2410"/>
      <c r="U69" s="2410"/>
      <c r="V69" s="2410"/>
      <c r="W69" s="2410"/>
    </row>
    <row r="70" spans="1:24" ht="138.75" customHeight="1">
      <c r="A70" s="1132" t="s">
        <v>130</v>
      </c>
      <c r="B70" s="1084" t="s">
        <v>1060</v>
      </c>
      <c r="C70" s="1174"/>
      <c r="D70" s="1083">
        <f t="shared" si="7"/>
        <v>3000</v>
      </c>
      <c r="E70" s="1085">
        <v>0</v>
      </c>
      <c r="F70" s="1085">
        <v>3000</v>
      </c>
      <c r="G70" s="1083">
        <f t="shared" si="8"/>
        <v>3000</v>
      </c>
      <c r="H70" s="1085">
        <v>0</v>
      </c>
      <c r="I70" s="1085">
        <v>3000</v>
      </c>
      <c r="J70" s="2414"/>
      <c r="K70" s="2414"/>
      <c r="L70" s="2414"/>
      <c r="M70" s="2417"/>
      <c r="N70" s="2417"/>
      <c r="O70" s="2417"/>
      <c r="P70" s="1065">
        <f t="shared" si="1"/>
        <v>0</v>
      </c>
      <c r="Q70" s="1065">
        <f t="shared" si="17"/>
        <v>0</v>
      </c>
      <c r="R70" s="1065">
        <f t="shared" si="18"/>
        <v>0</v>
      </c>
      <c r="S70" s="2410"/>
      <c r="T70" s="2410"/>
      <c r="U70" s="2410"/>
      <c r="V70" s="2410"/>
      <c r="W70" s="2410"/>
    </row>
    <row r="71" spans="1:24" s="914" customFormat="1" ht="79.5" customHeight="1">
      <c r="A71" s="1132"/>
      <c r="B71" s="1089" t="s">
        <v>444</v>
      </c>
      <c r="C71" s="1177"/>
      <c r="D71" s="1090">
        <f>E71+F71</f>
        <v>234917.1</v>
      </c>
      <c r="E71" s="1091">
        <f>SUM(E72,E75,E78,E80,E82,E84,E87)</f>
        <v>220820.4</v>
      </c>
      <c r="F71" s="1091">
        <f>SUM(F72,F75,F78,F82,F80,F84,F87)</f>
        <v>14096.7</v>
      </c>
      <c r="G71" s="1090">
        <f>H71+I71</f>
        <v>234917.1</v>
      </c>
      <c r="H71" s="1091">
        <f>SUM(H72,H75,H78,H80,H82,H84,H87)</f>
        <v>220820.4</v>
      </c>
      <c r="I71" s="1091">
        <f>SUM(I72,I75,I78,I82,I80,I84,I87)</f>
        <v>14096.7</v>
      </c>
      <c r="J71" s="1090">
        <f>K71+L71</f>
        <v>4237</v>
      </c>
      <c r="K71" s="1091">
        <f>SUM(K72,K75,K78,K80,K82,K84,K87)</f>
        <v>3982.7</v>
      </c>
      <c r="L71" s="1091">
        <f>SUM(L72,L75,L78,L82,L80,L84,L87)</f>
        <v>254.3</v>
      </c>
      <c r="M71" s="1092">
        <f t="shared" ref="M71:M91" si="20">IF(J71=0,0,J71/G71*100)</f>
        <v>1.8</v>
      </c>
      <c r="N71" s="1093">
        <f t="shared" si="19"/>
        <v>1.8</v>
      </c>
      <c r="O71" s="1093">
        <f t="shared" si="19"/>
        <v>1.8</v>
      </c>
      <c r="P71" s="1065">
        <f t="shared" si="1"/>
        <v>0</v>
      </c>
      <c r="Q71" s="1065">
        <f t="shared" si="17"/>
        <v>0</v>
      </c>
      <c r="R71" s="1065">
        <f t="shared" si="18"/>
        <v>0</v>
      </c>
      <c r="S71" s="1099"/>
      <c r="T71" s="1100"/>
      <c r="U71" s="1099"/>
      <c r="V71" s="1099"/>
      <c r="W71" s="1098"/>
      <c r="X71" s="913"/>
    </row>
    <row r="72" spans="1:24" ht="38.25" customHeight="1">
      <c r="A72" s="1132"/>
      <c r="B72" s="1076" t="s">
        <v>431</v>
      </c>
      <c r="C72" s="1178"/>
      <c r="D72" s="874">
        <f t="shared" ref="D72:D114" si="21">SUM(E72:F72)</f>
        <v>19433</v>
      </c>
      <c r="E72" s="880">
        <f>E73+E74</f>
        <v>18266.8</v>
      </c>
      <c r="F72" s="880">
        <f>F73+F74</f>
        <v>1166.2</v>
      </c>
      <c r="G72" s="874">
        <f t="shared" ref="G72:G100" si="22">SUM(H72:I72)</f>
        <v>19433</v>
      </c>
      <c r="H72" s="880">
        <f>H73+H74</f>
        <v>18266.8</v>
      </c>
      <c r="I72" s="880">
        <f>I73+I74</f>
        <v>1166.2</v>
      </c>
      <c r="J72" s="874">
        <f t="shared" ref="J72:J85" si="23">SUM(K72:L72)</f>
        <v>0</v>
      </c>
      <c r="K72" s="880">
        <f>K73+K74</f>
        <v>0</v>
      </c>
      <c r="L72" s="880">
        <f>L73+L74</f>
        <v>0</v>
      </c>
      <c r="M72" s="877">
        <f t="shared" si="20"/>
        <v>0</v>
      </c>
      <c r="N72" s="877">
        <f t="shared" si="19"/>
        <v>0</v>
      </c>
      <c r="O72" s="877">
        <f t="shared" si="19"/>
        <v>0</v>
      </c>
      <c r="P72" s="1065">
        <f t="shared" si="1"/>
        <v>0</v>
      </c>
      <c r="Q72" s="1065">
        <f t="shared" si="17"/>
        <v>0</v>
      </c>
      <c r="R72" s="1065">
        <f t="shared" si="18"/>
        <v>0</v>
      </c>
    </row>
    <row r="73" spans="1:24">
      <c r="A73" s="895">
        <v>36</v>
      </c>
      <c r="B73" s="1077" t="s">
        <v>690</v>
      </c>
      <c r="C73" s="1179"/>
      <c r="D73" s="1083">
        <f t="shared" si="21"/>
        <v>10977.6</v>
      </c>
      <c r="E73" s="879">
        <v>10318.799999999999</v>
      </c>
      <c r="F73" s="879">
        <v>658.8</v>
      </c>
      <c r="G73" s="1083">
        <f t="shared" si="22"/>
        <v>10977.6</v>
      </c>
      <c r="H73" s="879">
        <v>10318.799999999999</v>
      </c>
      <c r="I73" s="879">
        <v>658.8</v>
      </c>
      <c r="J73" s="1083">
        <f t="shared" si="23"/>
        <v>0</v>
      </c>
      <c r="K73" s="879">
        <v>0</v>
      </c>
      <c r="L73" s="879">
        <v>0</v>
      </c>
      <c r="M73" s="877">
        <f t="shared" si="20"/>
        <v>0</v>
      </c>
      <c r="N73" s="877">
        <f t="shared" si="19"/>
        <v>0</v>
      </c>
      <c r="O73" s="877">
        <f t="shared" si="19"/>
        <v>0</v>
      </c>
      <c r="P73" s="1065">
        <f t="shared" si="1"/>
        <v>0</v>
      </c>
      <c r="Q73" s="1065">
        <f t="shared" si="17"/>
        <v>0</v>
      </c>
      <c r="R73" s="1065">
        <f t="shared" si="18"/>
        <v>0</v>
      </c>
      <c r="S73" s="1099" t="s">
        <v>954</v>
      </c>
      <c r="T73" s="1100" t="s">
        <v>974</v>
      </c>
      <c r="U73" s="1099">
        <v>522</v>
      </c>
      <c r="V73" s="1099" t="s">
        <v>958</v>
      </c>
    </row>
    <row r="74" spans="1:24">
      <c r="A74" s="1136" t="s">
        <v>532</v>
      </c>
      <c r="B74" s="1077" t="s">
        <v>689</v>
      </c>
      <c r="C74" s="1179"/>
      <c r="D74" s="1083">
        <f t="shared" si="21"/>
        <v>8455.4</v>
      </c>
      <c r="E74" s="879">
        <v>7948</v>
      </c>
      <c r="F74" s="879">
        <v>507.4</v>
      </c>
      <c r="G74" s="1083">
        <f t="shared" si="22"/>
        <v>8455.4</v>
      </c>
      <c r="H74" s="879">
        <v>7948</v>
      </c>
      <c r="I74" s="879">
        <v>507.4</v>
      </c>
      <c r="J74" s="1083">
        <f t="shared" si="23"/>
        <v>0</v>
      </c>
      <c r="K74" s="879">
        <v>0</v>
      </c>
      <c r="L74" s="879">
        <v>0</v>
      </c>
      <c r="M74" s="877">
        <f t="shared" si="20"/>
        <v>0</v>
      </c>
      <c r="N74" s="877">
        <f t="shared" si="19"/>
        <v>0</v>
      </c>
      <c r="O74" s="877">
        <f t="shared" si="19"/>
        <v>0</v>
      </c>
      <c r="P74" s="1065">
        <f t="shared" si="1"/>
        <v>0</v>
      </c>
      <c r="Q74" s="1065">
        <f t="shared" si="17"/>
        <v>0</v>
      </c>
      <c r="R74" s="1065">
        <f t="shared" si="18"/>
        <v>0</v>
      </c>
      <c r="S74" s="1099" t="s">
        <v>886</v>
      </c>
      <c r="T74" s="1100" t="s">
        <v>973</v>
      </c>
      <c r="U74" s="1099">
        <v>522</v>
      </c>
      <c r="V74" s="1099" t="s">
        <v>890</v>
      </c>
    </row>
    <row r="75" spans="1:24" ht="37.5" customHeight="1">
      <c r="A75" s="1132"/>
      <c r="B75" s="898" t="s">
        <v>457</v>
      </c>
      <c r="C75" s="1173"/>
      <c r="D75" s="874">
        <f t="shared" si="21"/>
        <v>14332.1</v>
      </c>
      <c r="E75" s="881">
        <f>SUM(E76:E77)</f>
        <v>13472</v>
      </c>
      <c r="F75" s="881">
        <f>SUM(F76:F77)</f>
        <v>860.1</v>
      </c>
      <c r="G75" s="874">
        <f t="shared" si="22"/>
        <v>14332.1</v>
      </c>
      <c r="H75" s="881">
        <f>SUM(H76:H77)</f>
        <v>13472</v>
      </c>
      <c r="I75" s="881">
        <f>SUM(I76:I77)</f>
        <v>860.1</v>
      </c>
      <c r="J75" s="874">
        <f t="shared" si="23"/>
        <v>0</v>
      </c>
      <c r="K75" s="881">
        <f>SUM(K76:K77)</f>
        <v>0</v>
      </c>
      <c r="L75" s="881">
        <f>SUM(L76:L77)</f>
        <v>0</v>
      </c>
      <c r="M75" s="882">
        <f t="shared" si="20"/>
        <v>0</v>
      </c>
      <c r="N75" s="875">
        <f t="shared" si="19"/>
        <v>0</v>
      </c>
      <c r="O75" s="875">
        <f t="shared" si="19"/>
        <v>0</v>
      </c>
      <c r="P75" s="1065">
        <f t="shared" si="1"/>
        <v>0</v>
      </c>
      <c r="Q75" s="1065">
        <f t="shared" si="17"/>
        <v>0</v>
      </c>
      <c r="R75" s="1065">
        <f t="shared" si="18"/>
        <v>0</v>
      </c>
    </row>
    <row r="76" spans="1:24" ht="108" customHeight="1">
      <c r="A76" s="1136" t="s">
        <v>161</v>
      </c>
      <c r="B76" s="1097" t="s">
        <v>838</v>
      </c>
      <c r="C76" s="895"/>
      <c r="D76" s="1083">
        <f t="shared" si="21"/>
        <v>8056.3</v>
      </c>
      <c r="E76" s="879">
        <v>7572.8</v>
      </c>
      <c r="F76" s="879">
        <v>483.5</v>
      </c>
      <c r="G76" s="1083">
        <f t="shared" si="22"/>
        <v>8056.3</v>
      </c>
      <c r="H76" s="879">
        <v>7572.8</v>
      </c>
      <c r="I76" s="879">
        <v>483.5</v>
      </c>
      <c r="J76" s="1083">
        <f t="shared" si="23"/>
        <v>0</v>
      </c>
      <c r="K76" s="879">
        <v>0</v>
      </c>
      <c r="L76" s="879">
        <v>0</v>
      </c>
      <c r="M76" s="877">
        <f t="shared" si="20"/>
        <v>0</v>
      </c>
      <c r="N76" s="877">
        <f t="shared" si="19"/>
        <v>0</v>
      </c>
      <c r="O76" s="877">
        <f t="shared" si="19"/>
        <v>0</v>
      </c>
      <c r="P76" s="1065">
        <f t="shared" si="1"/>
        <v>0</v>
      </c>
      <c r="Q76" s="1065">
        <f t="shared" si="17"/>
        <v>0</v>
      </c>
      <c r="R76" s="1065">
        <f t="shared" si="18"/>
        <v>0</v>
      </c>
      <c r="S76" s="1099">
        <v>1102</v>
      </c>
      <c r="T76" s="1100" t="s">
        <v>981</v>
      </c>
      <c r="U76" s="1099">
        <v>522</v>
      </c>
      <c r="V76" s="1099" t="s">
        <v>958</v>
      </c>
    </row>
    <row r="77" spans="1:24" ht="35.25" customHeight="1">
      <c r="A77" s="895">
        <v>39</v>
      </c>
      <c r="B77" s="1075" t="s">
        <v>678</v>
      </c>
      <c r="C77" s="1176"/>
      <c r="D77" s="1083">
        <f t="shared" si="21"/>
        <v>6275.8</v>
      </c>
      <c r="E77" s="879">
        <v>5899.2</v>
      </c>
      <c r="F77" s="879">
        <v>376.6</v>
      </c>
      <c r="G77" s="1083">
        <f t="shared" si="22"/>
        <v>6275.8</v>
      </c>
      <c r="H77" s="879">
        <v>5899.2</v>
      </c>
      <c r="I77" s="879">
        <v>376.6</v>
      </c>
      <c r="J77" s="1083">
        <f t="shared" si="23"/>
        <v>0</v>
      </c>
      <c r="K77" s="879">
        <v>0</v>
      </c>
      <c r="L77" s="879">
        <v>0</v>
      </c>
      <c r="M77" s="877">
        <f t="shared" si="20"/>
        <v>0</v>
      </c>
      <c r="N77" s="877">
        <f t="shared" si="19"/>
        <v>0</v>
      </c>
      <c r="O77" s="877">
        <f t="shared" si="19"/>
        <v>0</v>
      </c>
      <c r="P77" s="1065">
        <f t="shared" si="1"/>
        <v>0</v>
      </c>
      <c r="Q77" s="1065">
        <f t="shared" si="17"/>
        <v>0</v>
      </c>
      <c r="R77" s="1065">
        <f t="shared" si="18"/>
        <v>0</v>
      </c>
      <c r="S77" s="1099" t="s">
        <v>886</v>
      </c>
      <c r="T77" s="1100" t="s">
        <v>980</v>
      </c>
      <c r="U77" s="1099">
        <v>522</v>
      </c>
      <c r="V77" s="1099" t="s">
        <v>890</v>
      </c>
    </row>
    <row r="78" spans="1:24" ht="33" customHeight="1">
      <c r="A78" s="1132"/>
      <c r="B78" s="898" t="s">
        <v>433</v>
      </c>
      <c r="C78" s="1173"/>
      <c r="D78" s="874">
        <f t="shared" si="21"/>
        <v>14049.3</v>
      </c>
      <c r="E78" s="875">
        <f>E79</f>
        <v>13206.2</v>
      </c>
      <c r="F78" s="875">
        <f>F79</f>
        <v>843.1</v>
      </c>
      <c r="G78" s="874">
        <f t="shared" si="22"/>
        <v>14049.3</v>
      </c>
      <c r="H78" s="875">
        <f>H79</f>
        <v>13206.2</v>
      </c>
      <c r="I78" s="875">
        <f>I79</f>
        <v>843.1</v>
      </c>
      <c r="J78" s="874">
        <f t="shared" si="23"/>
        <v>3862.8</v>
      </c>
      <c r="K78" s="875">
        <f>K79</f>
        <v>3631</v>
      </c>
      <c r="L78" s="875">
        <f>L79</f>
        <v>231.8</v>
      </c>
      <c r="M78" s="882">
        <f t="shared" si="20"/>
        <v>27.5</v>
      </c>
      <c r="N78" s="883">
        <f t="shared" si="19"/>
        <v>27.5</v>
      </c>
      <c r="O78" s="883">
        <f t="shared" si="19"/>
        <v>27.5</v>
      </c>
      <c r="P78" s="1065">
        <f t="shared" si="1"/>
        <v>0</v>
      </c>
      <c r="Q78" s="1065">
        <f t="shared" si="17"/>
        <v>0</v>
      </c>
      <c r="R78" s="1065">
        <f t="shared" si="18"/>
        <v>0</v>
      </c>
    </row>
    <row r="79" spans="1:24" ht="29.25" customHeight="1">
      <c r="A79" s="1136" t="s">
        <v>131</v>
      </c>
      <c r="B79" s="1084" t="s">
        <v>679</v>
      </c>
      <c r="C79" s="1174"/>
      <c r="D79" s="1083">
        <f t="shared" si="21"/>
        <v>14049.3</v>
      </c>
      <c r="E79" s="1085">
        <v>13206.2</v>
      </c>
      <c r="F79" s="1085">
        <v>843.1</v>
      </c>
      <c r="G79" s="1083">
        <f t="shared" si="22"/>
        <v>14049.3</v>
      </c>
      <c r="H79" s="1085">
        <v>13206.2</v>
      </c>
      <c r="I79" s="1085">
        <v>843.1</v>
      </c>
      <c r="J79" s="1083">
        <f t="shared" si="23"/>
        <v>3862.8</v>
      </c>
      <c r="K79" s="1085">
        <v>3631</v>
      </c>
      <c r="L79" s="1085">
        <v>231.8</v>
      </c>
      <c r="M79" s="877">
        <f t="shared" si="20"/>
        <v>27.5</v>
      </c>
      <c r="N79" s="877">
        <f t="shared" si="19"/>
        <v>27.5</v>
      </c>
      <c r="O79" s="877">
        <f t="shared" si="19"/>
        <v>27.5</v>
      </c>
      <c r="P79" s="1065">
        <f t="shared" si="1"/>
        <v>0</v>
      </c>
      <c r="Q79" s="1065">
        <f t="shared" si="17"/>
        <v>0</v>
      </c>
      <c r="R79" s="1065">
        <f t="shared" si="18"/>
        <v>0</v>
      </c>
      <c r="S79" s="1099" t="s">
        <v>954</v>
      </c>
      <c r="T79" s="1100" t="s">
        <v>982</v>
      </c>
      <c r="U79" s="1099">
        <v>522</v>
      </c>
      <c r="V79" s="1099" t="s">
        <v>958</v>
      </c>
    </row>
    <row r="80" spans="1:24" ht="33.75" customHeight="1">
      <c r="A80" s="895"/>
      <c r="B80" s="898" t="s">
        <v>458</v>
      </c>
      <c r="C80" s="1173"/>
      <c r="D80" s="874">
        <f t="shared" si="21"/>
        <v>11408.6</v>
      </c>
      <c r="E80" s="875">
        <f>E81</f>
        <v>10724</v>
      </c>
      <c r="F80" s="875">
        <f>F81</f>
        <v>684.6</v>
      </c>
      <c r="G80" s="874">
        <f t="shared" si="22"/>
        <v>11408.6</v>
      </c>
      <c r="H80" s="875">
        <f>H81</f>
        <v>10724</v>
      </c>
      <c r="I80" s="875">
        <f>I81</f>
        <v>684.6</v>
      </c>
      <c r="J80" s="874">
        <f t="shared" si="23"/>
        <v>0</v>
      </c>
      <c r="K80" s="875">
        <f>K81</f>
        <v>0</v>
      </c>
      <c r="L80" s="875">
        <f>L81</f>
        <v>0</v>
      </c>
      <c r="M80" s="882">
        <f t="shared" si="20"/>
        <v>0</v>
      </c>
      <c r="N80" s="883">
        <f t="shared" si="19"/>
        <v>0</v>
      </c>
      <c r="O80" s="883">
        <f t="shared" si="19"/>
        <v>0</v>
      </c>
      <c r="P80" s="1065">
        <f t="shared" ref="P80:P90" si="24">D80-G80</f>
        <v>0</v>
      </c>
      <c r="Q80" s="1065">
        <f t="shared" si="17"/>
        <v>0</v>
      </c>
      <c r="R80" s="1065">
        <f t="shared" si="18"/>
        <v>0</v>
      </c>
    </row>
    <row r="81" spans="1:24" ht="60" customHeight="1">
      <c r="A81" s="1136" t="s">
        <v>555</v>
      </c>
      <c r="B81" s="1084" t="s">
        <v>680</v>
      </c>
      <c r="C81" s="1174"/>
      <c r="D81" s="1083">
        <f t="shared" si="21"/>
        <v>11408.6</v>
      </c>
      <c r="E81" s="1085">
        <v>10724</v>
      </c>
      <c r="F81" s="1085">
        <v>684.6</v>
      </c>
      <c r="G81" s="1083">
        <f t="shared" si="22"/>
        <v>11408.6</v>
      </c>
      <c r="H81" s="1085">
        <v>10724</v>
      </c>
      <c r="I81" s="1085">
        <v>684.6</v>
      </c>
      <c r="J81" s="1083">
        <f t="shared" si="23"/>
        <v>0</v>
      </c>
      <c r="K81" s="1083">
        <v>0</v>
      </c>
      <c r="L81" s="1083">
        <v>0</v>
      </c>
      <c r="M81" s="877">
        <f t="shared" si="20"/>
        <v>0</v>
      </c>
      <c r="N81" s="877">
        <f t="shared" si="19"/>
        <v>0</v>
      </c>
      <c r="O81" s="877">
        <f t="shared" si="19"/>
        <v>0</v>
      </c>
      <c r="P81" s="1065">
        <f t="shared" si="24"/>
        <v>0</v>
      </c>
      <c r="Q81" s="1065">
        <f t="shared" si="17"/>
        <v>0</v>
      </c>
      <c r="R81" s="1065">
        <f t="shared" si="18"/>
        <v>0</v>
      </c>
      <c r="S81" s="1099" t="s">
        <v>954</v>
      </c>
      <c r="T81" s="1100" t="s">
        <v>997</v>
      </c>
      <c r="U81" s="1099">
        <v>522</v>
      </c>
      <c r="V81" s="1099" t="s">
        <v>958</v>
      </c>
    </row>
    <row r="82" spans="1:24" ht="36" customHeight="1">
      <c r="A82" s="895"/>
      <c r="B82" s="898" t="s">
        <v>443</v>
      </c>
      <c r="C82" s="1173"/>
      <c r="D82" s="874">
        <f t="shared" si="21"/>
        <v>55844.9</v>
      </c>
      <c r="E82" s="875">
        <f>E83</f>
        <v>52494.2</v>
      </c>
      <c r="F82" s="875">
        <f>F83</f>
        <v>3350.7</v>
      </c>
      <c r="G82" s="874">
        <f t="shared" si="22"/>
        <v>55844.9</v>
      </c>
      <c r="H82" s="875">
        <f>H83</f>
        <v>52494.2</v>
      </c>
      <c r="I82" s="875">
        <f>I83</f>
        <v>3350.7</v>
      </c>
      <c r="J82" s="874">
        <f t="shared" si="23"/>
        <v>374.2</v>
      </c>
      <c r="K82" s="875">
        <f>K83</f>
        <v>351.7</v>
      </c>
      <c r="L82" s="875">
        <f>L83</f>
        <v>22.5</v>
      </c>
      <c r="M82" s="876">
        <f t="shared" si="20"/>
        <v>0.7</v>
      </c>
      <c r="N82" s="877">
        <f t="shared" si="19"/>
        <v>0.7</v>
      </c>
      <c r="O82" s="877">
        <f t="shared" si="19"/>
        <v>0.7</v>
      </c>
      <c r="P82" s="1065">
        <f t="shared" si="24"/>
        <v>0</v>
      </c>
      <c r="Q82" s="1065">
        <f t="shared" si="17"/>
        <v>0</v>
      </c>
      <c r="R82" s="1065">
        <f t="shared" si="18"/>
        <v>0</v>
      </c>
    </row>
    <row r="83" spans="1:24" ht="52.5">
      <c r="A83" s="1136" t="s">
        <v>556</v>
      </c>
      <c r="B83" s="1084" t="s">
        <v>681</v>
      </c>
      <c r="C83" s="1174"/>
      <c r="D83" s="1083">
        <f t="shared" si="21"/>
        <v>55844.9</v>
      </c>
      <c r="E83" s="1085">
        <v>52494.2</v>
      </c>
      <c r="F83" s="1085">
        <v>3350.7</v>
      </c>
      <c r="G83" s="1083">
        <f t="shared" si="22"/>
        <v>55844.9</v>
      </c>
      <c r="H83" s="1085">
        <v>52494.2</v>
      </c>
      <c r="I83" s="1085">
        <v>3350.7</v>
      </c>
      <c r="J83" s="1083">
        <f t="shared" si="23"/>
        <v>374.2</v>
      </c>
      <c r="K83" s="1083">
        <v>351.7</v>
      </c>
      <c r="L83" s="970">
        <v>22.45</v>
      </c>
      <c r="M83" s="877">
        <f t="shared" si="20"/>
        <v>0.7</v>
      </c>
      <c r="N83" s="877">
        <f t="shared" si="19"/>
        <v>0.7</v>
      </c>
      <c r="O83" s="877">
        <f t="shared" si="19"/>
        <v>0.7</v>
      </c>
      <c r="P83" s="1065">
        <f t="shared" si="24"/>
        <v>0</v>
      </c>
      <c r="Q83" s="1065">
        <f t="shared" si="17"/>
        <v>0</v>
      </c>
      <c r="R83" s="1065">
        <f t="shared" si="18"/>
        <v>0</v>
      </c>
      <c r="S83" s="1099" t="s">
        <v>874</v>
      </c>
      <c r="T83" s="1100" t="s">
        <v>984</v>
      </c>
      <c r="U83" s="1099">
        <v>522</v>
      </c>
      <c r="V83" s="1099" t="s">
        <v>985</v>
      </c>
    </row>
    <row r="84" spans="1:24" ht="31.5" customHeight="1">
      <c r="A84" s="895"/>
      <c r="B84" s="898" t="s">
        <v>281</v>
      </c>
      <c r="C84" s="1173"/>
      <c r="D84" s="874">
        <f t="shared" si="21"/>
        <v>110820.3</v>
      </c>
      <c r="E84" s="875">
        <f>SUM(E85:E86)</f>
        <v>104170.1</v>
      </c>
      <c r="F84" s="875">
        <f>SUM(F85:F86)</f>
        <v>6650.2</v>
      </c>
      <c r="G84" s="874">
        <f t="shared" si="22"/>
        <v>110820.3</v>
      </c>
      <c r="H84" s="875">
        <f>SUM(H85:H86)</f>
        <v>104170.1</v>
      </c>
      <c r="I84" s="875">
        <f>SUM(I85:I86)</f>
        <v>6650.2</v>
      </c>
      <c r="J84" s="874">
        <f t="shared" si="23"/>
        <v>0</v>
      </c>
      <c r="K84" s="875">
        <f>SUM(K85:K86)</f>
        <v>0</v>
      </c>
      <c r="L84" s="875">
        <f>SUM(L85:L86)</f>
        <v>0</v>
      </c>
      <c r="M84" s="876">
        <f t="shared" si="20"/>
        <v>0</v>
      </c>
      <c r="N84" s="877">
        <f t="shared" si="19"/>
        <v>0</v>
      </c>
      <c r="O84" s="877">
        <f t="shared" si="19"/>
        <v>0</v>
      </c>
      <c r="P84" s="1065">
        <f t="shared" si="24"/>
        <v>0</v>
      </c>
      <c r="Q84" s="1065">
        <f t="shared" ref="Q84:Q115" si="25">E84-H84</f>
        <v>0</v>
      </c>
      <c r="R84" s="1065">
        <f t="shared" ref="R84:R115" si="26">F84-I84</f>
        <v>0</v>
      </c>
    </row>
    <row r="85" spans="1:24" ht="70.5" customHeight="1">
      <c r="A85" s="1131" t="s">
        <v>133</v>
      </c>
      <c r="B85" s="1086" t="s">
        <v>682</v>
      </c>
      <c r="C85" s="1180"/>
      <c r="D85" s="1087">
        <f t="shared" si="21"/>
        <v>79932</v>
      </c>
      <c r="E85" s="1088">
        <f>69176.7+5958.6</f>
        <v>75135.3</v>
      </c>
      <c r="F85" s="1085">
        <f>9003.7-4207</f>
        <v>4796.7</v>
      </c>
      <c r="G85" s="1087">
        <f t="shared" si="22"/>
        <v>79932</v>
      </c>
      <c r="H85" s="1088">
        <v>75135.3</v>
      </c>
      <c r="I85" s="1085">
        <v>4796.7</v>
      </c>
      <c r="J85" s="1087">
        <f t="shared" si="23"/>
        <v>0</v>
      </c>
      <c r="K85" s="1087">
        <v>0</v>
      </c>
      <c r="L85" s="970">
        <v>0</v>
      </c>
      <c r="M85" s="1119">
        <f t="shared" si="20"/>
        <v>0</v>
      </c>
      <c r="N85" s="1119">
        <f t="shared" si="19"/>
        <v>0</v>
      </c>
      <c r="O85" s="883">
        <f t="shared" si="19"/>
        <v>0</v>
      </c>
      <c r="P85" s="1065">
        <f t="shared" si="24"/>
        <v>0</v>
      </c>
      <c r="Q85" s="1065">
        <f t="shared" si="25"/>
        <v>0</v>
      </c>
      <c r="R85" s="1065">
        <f t="shared" si="26"/>
        <v>0</v>
      </c>
      <c r="S85" s="1099" t="s">
        <v>928</v>
      </c>
      <c r="T85" s="1100" t="s">
        <v>987</v>
      </c>
      <c r="U85" s="1099">
        <v>522</v>
      </c>
      <c r="V85" s="1099" t="s">
        <v>930</v>
      </c>
    </row>
    <row r="86" spans="1:24">
      <c r="A86" s="1136" t="s">
        <v>162</v>
      </c>
      <c r="B86" s="1084" t="s">
        <v>683</v>
      </c>
      <c r="C86" s="1174"/>
      <c r="D86" s="1083">
        <f t="shared" si="21"/>
        <v>30888.3</v>
      </c>
      <c r="E86" s="1085">
        <v>29034.799999999999</v>
      </c>
      <c r="F86" s="1085">
        <v>1853.5</v>
      </c>
      <c r="G86" s="1083">
        <f t="shared" si="22"/>
        <v>30888.3</v>
      </c>
      <c r="H86" s="1085">
        <v>29034.799999999999</v>
      </c>
      <c r="I86" s="1085">
        <v>1853.5</v>
      </c>
      <c r="J86" s="1083">
        <f t="shared" ref="J86:J114" si="27">SUM(K86:L86)</f>
        <v>0</v>
      </c>
      <c r="K86" s="1083">
        <v>0</v>
      </c>
      <c r="L86" s="1083">
        <v>0</v>
      </c>
      <c r="M86" s="877">
        <f t="shared" si="20"/>
        <v>0</v>
      </c>
      <c r="N86" s="877">
        <f t="shared" si="19"/>
        <v>0</v>
      </c>
      <c r="O86" s="877">
        <f t="shared" si="19"/>
        <v>0</v>
      </c>
      <c r="P86" s="1065">
        <f t="shared" si="24"/>
        <v>0</v>
      </c>
      <c r="Q86" s="1065">
        <f t="shared" si="25"/>
        <v>0</v>
      </c>
      <c r="R86" s="1065">
        <f t="shared" si="26"/>
        <v>0</v>
      </c>
      <c r="S86" s="1099" t="s">
        <v>954</v>
      </c>
      <c r="T86" s="1100" t="s">
        <v>998</v>
      </c>
      <c r="U86" s="1099">
        <v>522</v>
      </c>
      <c r="V86" s="1099" t="s">
        <v>958</v>
      </c>
    </row>
    <row r="87" spans="1:24" ht="31.5" customHeight="1">
      <c r="A87" s="1132"/>
      <c r="B87" s="898" t="s">
        <v>583</v>
      </c>
      <c r="C87" s="1173"/>
      <c r="D87" s="874">
        <f t="shared" si="21"/>
        <v>9028.9</v>
      </c>
      <c r="E87" s="875">
        <f>SUM(E88:E88)</f>
        <v>8487.1</v>
      </c>
      <c r="F87" s="875">
        <f>SUM(F88:F88)</f>
        <v>541.79999999999995</v>
      </c>
      <c r="G87" s="874">
        <f t="shared" si="22"/>
        <v>9028.9</v>
      </c>
      <c r="H87" s="875">
        <f>SUM(H88:H88)</f>
        <v>8487.1</v>
      </c>
      <c r="I87" s="875">
        <f>SUM(I88:I88)</f>
        <v>541.79999999999995</v>
      </c>
      <c r="J87" s="874">
        <f t="shared" si="27"/>
        <v>0</v>
      </c>
      <c r="K87" s="875">
        <f>SUM(K88:K88)</f>
        <v>0</v>
      </c>
      <c r="L87" s="875">
        <f>SUM(L88:L88)</f>
        <v>0</v>
      </c>
      <c r="M87" s="876">
        <f t="shared" si="20"/>
        <v>0</v>
      </c>
      <c r="N87" s="877">
        <f t="shared" si="19"/>
        <v>0</v>
      </c>
      <c r="O87" s="877">
        <f t="shared" si="19"/>
        <v>0</v>
      </c>
      <c r="P87" s="1065">
        <f t="shared" si="24"/>
        <v>0</v>
      </c>
      <c r="Q87" s="1065">
        <f t="shared" si="25"/>
        <v>0</v>
      </c>
      <c r="R87" s="1065">
        <f t="shared" si="26"/>
        <v>0</v>
      </c>
    </row>
    <row r="88" spans="1:24" ht="33.75" customHeight="1">
      <c r="A88" s="1136" t="s">
        <v>545</v>
      </c>
      <c r="B88" s="1077" t="s">
        <v>684</v>
      </c>
      <c r="C88" s="1179"/>
      <c r="D88" s="1083">
        <f t="shared" si="21"/>
        <v>9028.9</v>
      </c>
      <c r="E88" s="1085">
        <v>8487.1</v>
      </c>
      <c r="F88" s="1085">
        <v>541.79999999999995</v>
      </c>
      <c r="G88" s="1083">
        <f t="shared" si="22"/>
        <v>9028.9</v>
      </c>
      <c r="H88" s="1085">
        <v>8487.1</v>
      </c>
      <c r="I88" s="1085">
        <v>541.79999999999995</v>
      </c>
      <c r="J88" s="1083">
        <f t="shared" si="27"/>
        <v>0</v>
      </c>
      <c r="K88" s="1083">
        <v>0</v>
      </c>
      <c r="L88" s="970">
        <v>0</v>
      </c>
      <c r="M88" s="877">
        <f t="shared" si="20"/>
        <v>0</v>
      </c>
      <c r="N88" s="877">
        <f t="shared" si="19"/>
        <v>0</v>
      </c>
      <c r="O88" s="877">
        <f t="shared" si="19"/>
        <v>0</v>
      </c>
      <c r="P88" s="1065">
        <f t="shared" si="24"/>
        <v>0</v>
      </c>
      <c r="Q88" s="1065">
        <f t="shared" si="25"/>
        <v>0</v>
      </c>
      <c r="R88" s="1065">
        <f t="shared" si="26"/>
        <v>0</v>
      </c>
      <c r="S88" s="1099" t="s">
        <v>886</v>
      </c>
      <c r="T88" s="1100" t="s">
        <v>996</v>
      </c>
      <c r="U88" s="1099">
        <v>522</v>
      </c>
      <c r="V88" s="1099" t="s">
        <v>890</v>
      </c>
    </row>
    <row r="89" spans="1:24" s="914" customFormat="1" ht="108.75" customHeight="1">
      <c r="A89" s="945" t="s">
        <v>2</v>
      </c>
      <c r="B89" s="1046" t="s">
        <v>313</v>
      </c>
      <c r="C89" s="1181"/>
      <c r="D89" s="1047">
        <f t="shared" si="21"/>
        <v>3521082.9</v>
      </c>
      <c r="E89" s="1047">
        <f>E90</f>
        <v>2771924.5</v>
      </c>
      <c r="F89" s="1047">
        <f>F90</f>
        <v>749158.40000000002</v>
      </c>
      <c r="G89" s="1047">
        <f t="shared" si="22"/>
        <v>3429413.9</v>
      </c>
      <c r="H89" s="1047">
        <f>H90</f>
        <v>2771924.5</v>
      </c>
      <c r="I89" s="1047">
        <f>I90</f>
        <v>657489.4</v>
      </c>
      <c r="J89" s="1047">
        <f t="shared" si="27"/>
        <v>69140.399999999994</v>
      </c>
      <c r="K89" s="1047">
        <f>K90</f>
        <v>27785.200000000001</v>
      </c>
      <c r="L89" s="1047">
        <f>L90</f>
        <v>41355.199999999997</v>
      </c>
      <c r="M89" s="1048">
        <f t="shared" si="20"/>
        <v>2</v>
      </c>
      <c r="N89" s="1049">
        <f t="shared" si="19"/>
        <v>1</v>
      </c>
      <c r="O89" s="1049">
        <f t="shared" si="19"/>
        <v>6.3</v>
      </c>
      <c r="P89" s="1065">
        <f t="shared" si="24"/>
        <v>91669</v>
      </c>
      <c r="Q89" s="1065">
        <f t="shared" si="25"/>
        <v>0</v>
      </c>
      <c r="R89" s="1065">
        <f t="shared" si="26"/>
        <v>91669</v>
      </c>
      <c r="S89" s="1099"/>
      <c r="T89" s="1100"/>
      <c r="U89" s="1099"/>
      <c r="V89" s="1099"/>
      <c r="W89" s="1098"/>
      <c r="X89" s="913"/>
    </row>
    <row r="90" spans="1:24" s="914" customFormat="1" ht="67.5" customHeight="1">
      <c r="A90" s="944" t="s">
        <v>246</v>
      </c>
      <c r="B90" s="932" t="s">
        <v>41</v>
      </c>
      <c r="C90" s="1182"/>
      <c r="D90" s="933">
        <f t="shared" si="21"/>
        <v>3521082.9</v>
      </c>
      <c r="E90" s="934">
        <f>SUM(E91:E145)</f>
        <v>2771924.5</v>
      </c>
      <c r="F90" s="934">
        <f>SUM(F91:F145)</f>
        <v>749158.40000000002</v>
      </c>
      <c r="G90" s="933">
        <f>SUM(H90:I90)</f>
        <v>3429413.9</v>
      </c>
      <c r="H90" s="934">
        <f>SUM(H91:H145)</f>
        <v>2771924.5</v>
      </c>
      <c r="I90" s="934">
        <f>SUM(I91:I145)</f>
        <v>657489.4</v>
      </c>
      <c r="J90" s="933">
        <f t="shared" si="27"/>
        <v>69140.399999999994</v>
      </c>
      <c r="K90" s="934">
        <f>SUM(K91:K145)</f>
        <v>27785.200000000001</v>
      </c>
      <c r="L90" s="934">
        <f>SUM(L91:L145)</f>
        <v>41355.199999999997</v>
      </c>
      <c r="M90" s="935">
        <f t="shared" si="20"/>
        <v>2</v>
      </c>
      <c r="N90" s="936">
        <f t="shared" ref="N90:O108" si="28">IF(K90=0,0,K90/H90*100)</f>
        <v>1</v>
      </c>
      <c r="O90" s="936">
        <f t="shared" si="28"/>
        <v>6.3</v>
      </c>
      <c r="P90" s="1065">
        <f t="shared" si="24"/>
        <v>91669</v>
      </c>
      <c r="Q90" s="1065">
        <f t="shared" si="25"/>
        <v>0</v>
      </c>
      <c r="R90" s="1065">
        <f t="shared" si="26"/>
        <v>91669</v>
      </c>
      <c r="S90" s="1099"/>
      <c r="T90" s="1100"/>
      <c r="U90" s="1099"/>
      <c r="V90" s="1099"/>
      <c r="W90" s="1098"/>
      <c r="X90" s="913"/>
    </row>
    <row r="91" spans="1:24" s="892" customFormat="1" ht="114" customHeight="1">
      <c r="A91" s="1120" t="s">
        <v>824</v>
      </c>
      <c r="B91" s="1066" t="s">
        <v>434</v>
      </c>
      <c r="C91" s="1172"/>
      <c r="D91" s="874">
        <f t="shared" si="21"/>
        <v>109862.6</v>
      </c>
      <c r="E91" s="877">
        <v>105115.4</v>
      </c>
      <c r="F91" s="877">
        <v>4747.2</v>
      </c>
      <c r="G91" s="882">
        <f t="shared" si="22"/>
        <v>109862.6</v>
      </c>
      <c r="H91" s="877">
        <f>105115.4</f>
        <v>105115.4</v>
      </c>
      <c r="I91" s="877">
        <v>4747.2</v>
      </c>
      <c r="J91" s="882">
        <f t="shared" si="27"/>
        <v>4747.1000000000004</v>
      </c>
      <c r="K91" s="877">
        <v>0</v>
      </c>
      <c r="L91" s="877">
        <v>4747.1000000000004</v>
      </c>
      <c r="M91" s="876">
        <f t="shared" si="20"/>
        <v>4.3</v>
      </c>
      <c r="N91" s="877">
        <f t="shared" si="28"/>
        <v>0</v>
      </c>
      <c r="O91" s="877">
        <f t="shared" si="28"/>
        <v>100</v>
      </c>
      <c r="P91" s="1065">
        <f t="shared" ref="P91:P104" si="29">D91-G91</f>
        <v>0</v>
      </c>
      <c r="Q91" s="1065">
        <f t="shared" si="25"/>
        <v>0</v>
      </c>
      <c r="R91" s="1065">
        <f t="shared" si="26"/>
        <v>0</v>
      </c>
      <c r="S91" s="1099" t="s">
        <v>880</v>
      </c>
      <c r="T91" s="1100" t="s">
        <v>881</v>
      </c>
      <c r="U91" s="1099" t="s">
        <v>882</v>
      </c>
      <c r="V91" s="1099"/>
      <c r="W91" s="1098"/>
      <c r="X91" s="1118"/>
    </row>
    <row r="92" spans="1:24" ht="106.5" customHeight="1">
      <c r="A92" s="1136" t="s">
        <v>557</v>
      </c>
      <c r="B92" s="973" t="s">
        <v>793</v>
      </c>
      <c r="C92" s="1183"/>
      <c r="D92" s="874">
        <f t="shared" si="21"/>
        <v>5176.2</v>
      </c>
      <c r="E92" s="879">
        <v>0</v>
      </c>
      <c r="F92" s="879">
        <v>5176.2</v>
      </c>
      <c r="G92" s="874">
        <f>SUM(H92:I92)</f>
        <v>5176.2</v>
      </c>
      <c r="H92" s="879">
        <v>0</v>
      </c>
      <c r="I92" s="879">
        <v>5176.2</v>
      </c>
      <c r="J92" s="874">
        <f t="shared" si="27"/>
        <v>0</v>
      </c>
      <c r="K92" s="879">
        <v>0</v>
      </c>
      <c r="L92" s="879">
        <v>0</v>
      </c>
      <c r="M92" s="876">
        <v>0</v>
      </c>
      <c r="N92" s="877">
        <f>IF(K92=0,0,K92/H92*100)</f>
        <v>0</v>
      </c>
      <c r="O92" s="877">
        <f>IF(L92=0,0,L92/I92*100)</f>
        <v>0</v>
      </c>
      <c r="P92" s="1065">
        <f t="shared" si="29"/>
        <v>0</v>
      </c>
      <c r="Q92" s="1065">
        <f t="shared" si="25"/>
        <v>0</v>
      </c>
      <c r="R92" s="1065">
        <f t="shared" si="26"/>
        <v>0</v>
      </c>
      <c r="S92" s="1099" t="s">
        <v>886</v>
      </c>
      <c r="T92" s="1100" t="s">
        <v>895</v>
      </c>
      <c r="U92" s="1099">
        <v>414</v>
      </c>
      <c r="V92" s="1099">
        <v>30131</v>
      </c>
    </row>
    <row r="93" spans="1:24" ht="52.5">
      <c r="A93" s="1136" t="s">
        <v>558</v>
      </c>
      <c r="B93" s="973" t="s">
        <v>661</v>
      </c>
      <c r="C93" s="1183"/>
      <c r="D93" s="874">
        <f t="shared" si="21"/>
        <v>10224.4</v>
      </c>
      <c r="E93" s="879">
        <v>0</v>
      </c>
      <c r="F93" s="879">
        <v>10224.4</v>
      </c>
      <c r="G93" s="874">
        <f t="shared" si="22"/>
        <v>10224.4</v>
      </c>
      <c r="H93" s="879">
        <v>0</v>
      </c>
      <c r="I93" s="879">
        <v>10224.4</v>
      </c>
      <c r="J93" s="874">
        <f t="shared" si="27"/>
        <v>0</v>
      </c>
      <c r="K93" s="879">
        <v>0</v>
      </c>
      <c r="L93" s="879">
        <v>0</v>
      </c>
      <c r="M93" s="876">
        <v>0</v>
      </c>
      <c r="N93" s="877">
        <f t="shared" si="28"/>
        <v>0</v>
      </c>
      <c r="O93" s="877">
        <f t="shared" si="28"/>
        <v>0</v>
      </c>
      <c r="P93" s="1065">
        <f t="shared" si="29"/>
        <v>0</v>
      </c>
      <c r="Q93" s="1065">
        <f t="shared" si="25"/>
        <v>0</v>
      </c>
      <c r="R93" s="1065">
        <f t="shared" si="26"/>
        <v>0</v>
      </c>
      <c r="S93" s="1099" t="s">
        <v>886</v>
      </c>
      <c r="T93" s="1100" t="s">
        <v>887</v>
      </c>
      <c r="U93" s="1099">
        <v>414</v>
      </c>
      <c r="V93" s="1099">
        <v>14037</v>
      </c>
    </row>
    <row r="94" spans="1:24" ht="60" customHeight="1">
      <c r="A94" s="1136" t="s">
        <v>559</v>
      </c>
      <c r="B94" s="973" t="s">
        <v>662</v>
      </c>
      <c r="C94" s="1183"/>
      <c r="D94" s="874">
        <f t="shared" si="21"/>
        <v>2373</v>
      </c>
      <c r="E94" s="879">
        <v>0</v>
      </c>
      <c r="F94" s="879">
        <v>2373</v>
      </c>
      <c r="G94" s="874">
        <f t="shared" si="22"/>
        <v>2373</v>
      </c>
      <c r="H94" s="879">
        <v>0</v>
      </c>
      <c r="I94" s="879">
        <v>2373</v>
      </c>
      <c r="J94" s="874">
        <f t="shared" si="27"/>
        <v>0</v>
      </c>
      <c r="K94" s="879">
        <v>0</v>
      </c>
      <c r="L94" s="879">
        <v>0</v>
      </c>
      <c r="M94" s="876">
        <v>0</v>
      </c>
      <c r="N94" s="877">
        <f t="shared" si="28"/>
        <v>0</v>
      </c>
      <c r="O94" s="877">
        <f t="shared" si="28"/>
        <v>0</v>
      </c>
      <c r="P94" s="1065">
        <f t="shared" si="29"/>
        <v>0</v>
      </c>
      <c r="Q94" s="1065">
        <f t="shared" si="25"/>
        <v>0</v>
      </c>
      <c r="R94" s="1065">
        <f t="shared" si="26"/>
        <v>0</v>
      </c>
      <c r="S94" s="1099" t="s">
        <v>886</v>
      </c>
      <c r="T94" s="1100" t="s">
        <v>888</v>
      </c>
      <c r="U94" s="1099">
        <v>141</v>
      </c>
      <c r="V94" s="1099">
        <v>14038</v>
      </c>
    </row>
    <row r="95" spans="1:24" ht="86.25" customHeight="1">
      <c r="A95" s="1136" t="s">
        <v>560</v>
      </c>
      <c r="B95" s="973" t="s">
        <v>663</v>
      </c>
      <c r="C95" s="1183"/>
      <c r="D95" s="874">
        <f t="shared" si="21"/>
        <v>4074.6</v>
      </c>
      <c r="E95" s="879">
        <v>0</v>
      </c>
      <c r="F95" s="879">
        <v>4074.6</v>
      </c>
      <c r="G95" s="874">
        <f t="shared" si="22"/>
        <v>4074.6</v>
      </c>
      <c r="H95" s="879">
        <v>0</v>
      </c>
      <c r="I95" s="879">
        <v>4074.6</v>
      </c>
      <c r="J95" s="874">
        <f t="shared" si="27"/>
        <v>0</v>
      </c>
      <c r="K95" s="879">
        <v>0</v>
      </c>
      <c r="L95" s="879">
        <v>0</v>
      </c>
      <c r="M95" s="876">
        <v>0</v>
      </c>
      <c r="N95" s="877">
        <f t="shared" si="28"/>
        <v>0</v>
      </c>
      <c r="O95" s="877">
        <f t="shared" si="28"/>
        <v>0</v>
      </c>
      <c r="P95" s="1065">
        <f t="shared" si="29"/>
        <v>0</v>
      </c>
      <c r="Q95" s="1065">
        <f t="shared" si="25"/>
        <v>0</v>
      </c>
      <c r="R95" s="1065">
        <f t="shared" si="26"/>
        <v>0</v>
      </c>
      <c r="S95" s="1099" t="s">
        <v>886</v>
      </c>
      <c r="T95" s="1100" t="s">
        <v>888</v>
      </c>
      <c r="U95" s="1099">
        <v>414</v>
      </c>
      <c r="V95" s="1099">
        <v>14039</v>
      </c>
    </row>
    <row r="96" spans="1:24" ht="167.25" customHeight="1">
      <c r="A96" s="1136" t="s">
        <v>561</v>
      </c>
      <c r="B96" s="973" t="s">
        <v>805</v>
      </c>
      <c r="C96" s="1183"/>
      <c r="D96" s="874">
        <f t="shared" si="21"/>
        <v>10000</v>
      </c>
      <c r="E96" s="879">
        <v>0</v>
      </c>
      <c r="F96" s="879">
        <v>10000</v>
      </c>
      <c r="G96" s="874">
        <f>SUM(H96:I96)</f>
        <v>10000</v>
      </c>
      <c r="H96" s="879">
        <v>0</v>
      </c>
      <c r="I96" s="879">
        <v>10000</v>
      </c>
      <c r="J96" s="874">
        <f t="shared" si="27"/>
        <v>0</v>
      </c>
      <c r="K96" s="879">
        <v>0</v>
      </c>
      <c r="L96" s="879">
        <v>0</v>
      </c>
      <c r="M96" s="876">
        <v>0</v>
      </c>
      <c r="N96" s="877">
        <f>IF(K96=0,0,K96/H96*100)</f>
        <v>0</v>
      </c>
      <c r="O96" s="877">
        <f>IF(L96=0,0,L96/I96*100)</f>
        <v>0</v>
      </c>
      <c r="P96" s="1065">
        <f t="shared" si="29"/>
        <v>0</v>
      </c>
      <c r="Q96" s="1065">
        <f t="shared" si="25"/>
        <v>0</v>
      </c>
      <c r="R96" s="1065">
        <f t="shared" si="26"/>
        <v>0</v>
      </c>
      <c r="S96" s="1099" t="s">
        <v>866</v>
      </c>
      <c r="T96" s="1100" t="s">
        <v>883</v>
      </c>
      <c r="U96" s="1099">
        <v>414</v>
      </c>
      <c r="V96" s="1099">
        <v>14051</v>
      </c>
    </row>
    <row r="97" spans="1:24" ht="109.5" customHeight="1">
      <c r="A97" s="1136" t="s">
        <v>563</v>
      </c>
      <c r="B97" s="973" t="s">
        <v>664</v>
      </c>
      <c r="C97" s="1183"/>
      <c r="D97" s="874">
        <f t="shared" si="21"/>
        <v>1519</v>
      </c>
      <c r="E97" s="879">
        <v>0</v>
      </c>
      <c r="F97" s="879">
        <v>1519</v>
      </c>
      <c r="G97" s="874">
        <f t="shared" si="22"/>
        <v>1519</v>
      </c>
      <c r="H97" s="879">
        <v>0</v>
      </c>
      <c r="I97" s="879">
        <v>1519</v>
      </c>
      <c r="J97" s="874">
        <f t="shared" si="27"/>
        <v>0</v>
      </c>
      <c r="K97" s="879">
        <v>0</v>
      </c>
      <c r="L97" s="879">
        <v>0</v>
      </c>
      <c r="M97" s="876">
        <v>0</v>
      </c>
      <c r="N97" s="877">
        <f t="shared" si="28"/>
        <v>0</v>
      </c>
      <c r="O97" s="877">
        <f t="shared" si="28"/>
        <v>0</v>
      </c>
      <c r="P97" s="1065">
        <f t="shared" si="29"/>
        <v>0</v>
      </c>
      <c r="Q97" s="1065">
        <f t="shared" si="25"/>
        <v>0</v>
      </c>
      <c r="R97" s="1065">
        <f t="shared" si="26"/>
        <v>0</v>
      </c>
      <c r="S97" s="1099" t="s">
        <v>886</v>
      </c>
      <c r="T97" s="1100" t="s">
        <v>892</v>
      </c>
      <c r="U97" s="1099">
        <v>414</v>
      </c>
      <c r="V97" s="1099">
        <v>14041</v>
      </c>
    </row>
    <row r="98" spans="1:24" ht="117" customHeight="1">
      <c r="A98" s="1136" t="s">
        <v>573</v>
      </c>
      <c r="B98" s="973" t="s">
        <v>665</v>
      </c>
      <c r="C98" s="1183"/>
      <c r="D98" s="874">
        <f t="shared" si="21"/>
        <v>1519</v>
      </c>
      <c r="E98" s="879">
        <v>0</v>
      </c>
      <c r="F98" s="879">
        <v>1519</v>
      </c>
      <c r="G98" s="874">
        <f t="shared" si="22"/>
        <v>1519</v>
      </c>
      <c r="H98" s="879">
        <v>0</v>
      </c>
      <c r="I98" s="879">
        <v>1519</v>
      </c>
      <c r="J98" s="874">
        <f t="shared" si="27"/>
        <v>0</v>
      </c>
      <c r="K98" s="879">
        <v>0</v>
      </c>
      <c r="L98" s="879">
        <v>0</v>
      </c>
      <c r="M98" s="876">
        <v>0</v>
      </c>
      <c r="N98" s="877">
        <f t="shared" si="28"/>
        <v>0</v>
      </c>
      <c r="O98" s="877">
        <f t="shared" si="28"/>
        <v>0</v>
      </c>
      <c r="P98" s="1065">
        <f t="shared" si="29"/>
        <v>0</v>
      </c>
      <c r="Q98" s="1065">
        <f t="shared" si="25"/>
        <v>0</v>
      </c>
      <c r="R98" s="1065">
        <f t="shared" si="26"/>
        <v>0</v>
      </c>
      <c r="S98" s="1099" t="s">
        <v>886</v>
      </c>
      <c r="T98" s="1100" t="s">
        <v>892</v>
      </c>
      <c r="U98" s="1099">
        <v>414</v>
      </c>
      <c r="V98" s="1099">
        <v>14042</v>
      </c>
    </row>
    <row r="99" spans="1:24" ht="90.75" customHeight="1">
      <c r="A99" s="1136" t="s">
        <v>624</v>
      </c>
      <c r="B99" s="973" t="s">
        <v>666</v>
      </c>
      <c r="C99" s="1183"/>
      <c r="D99" s="874">
        <f t="shared" si="21"/>
        <v>1400</v>
      </c>
      <c r="E99" s="879">
        <v>0</v>
      </c>
      <c r="F99" s="879">
        <v>1400</v>
      </c>
      <c r="G99" s="874">
        <f t="shared" si="22"/>
        <v>1400</v>
      </c>
      <c r="H99" s="879">
        <v>0</v>
      </c>
      <c r="I99" s="879">
        <v>1400</v>
      </c>
      <c r="J99" s="874">
        <f t="shared" si="27"/>
        <v>0</v>
      </c>
      <c r="K99" s="879">
        <v>0</v>
      </c>
      <c r="L99" s="879">
        <v>0</v>
      </c>
      <c r="M99" s="876">
        <v>0</v>
      </c>
      <c r="N99" s="877">
        <f t="shared" si="28"/>
        <v>0</v>
      </c>
      <c r="O99" s="877">
        <f t="shared" si="28"/>
        <v>0</v>
      </c>
      <c r="P99" s="1065">
        <f t="shared" si="29"/>
        <v>0</v>
      </c>
      <c r="Q99" s="1065">
        <f t="shared" si="25"/>
        <v>0</v>
      </c>
      <c r="R99" s="1065">
        <f t="shared" si="26"/>
        <v>0</v>
      </c>
      <c r="S99" s="1099" t="s">
        <v>886</v>
      </c>
      <c r="T99" s="1100" t="s">
        <v>892</v>
      </c>
      <c r="U99" s="1099">
        <v>414</v>
      </c>
      <c r="V99" s="1099">
        <v>14043</v>
      </c>
    </row>
    <row r="100" spans="1:24" ht="118.5" customHeight="1">
      <c r="A100" s="1136" t="s">
        <v>625</v>
      </c>
      <c r="B100" s="973" t="s">
        <v>667</v>
      </c>
      <c r="C100" s="1183"/>
      <c r="D100" s="874">
        <f t="shared" si="21"/>
        <v>14280</v>
      </c>
      <c r="E100" s="879">
        <v>0</v>
      </c>
      <c r="F100" s="879">
        <v>14280</v>
      </c>
      <c r="G100" s="874">
        <f t="shared" si="22"/>
        <v>14280</v>
      </c>
      <c r="H100" s="879">
        <v>0</v>
      </c>
      <c r="I100" s="879">
        <v>14280</v>
      </c>
      <c r="J100" s="874">
        <f t="shared" si="27"/>
        <v>0</v>
      </c>
      <c r="K100" s="879">
        <v>0</v>
      </c>
      <c r="L100" s="879">
        <v>0</v>
      </c>
      <c r="M100" s="876">
        <v>0</v>
      </c>
      <c r="N100" s="877">
        <f t="shared" si="28"/>
        <v>0</v>
      </c>
      <c r="O100" s="877">
        <f t="shared" si="28"/>
        <v>0</v>
      </c>
      <c r="P100" s="1065">
        <f t="shared" si="29"/>
        <v>0</v>
      </c>
      <c r="Q100" s="1065">
        <f t="shared" si="25"/>
        <v>0</v>
      </c>
      <c r="R100" s="1065">
        <f t="shared" si="26"/>
        <v>0</v>
      </c>
      <c r="S100" s="1099" t="s">
        <v>886</v>
      </c>
      <c r="T100" s="1100" t="s">
        <v>893</v>
      </c>
      <c r="U100" s="1099">
        <v>414</v>
      </c>
      <c r="V100" s="1099">
        <v>14044</v>
      </c>
    </row>
    <row r="101" spans="1:24" ht="52.5">
      <c r="A101" s="1132" t="s">
        <v>105</v>
      </c>
      <c r="B101" s="1075" t="s">
        <v>771</v>
      </c>
      <c r="C101" s="1176"/>
      <c r="D101" s="874">
        <f t="shared" si="21"/>
        <v>319980.59999999998</v>
      </c>
      <c r="E101" s="879">
        <f>319980.6*0.90202494621</f>
        <v>288630.5</v>
      </c>
      <c r="F101" s="879">
        <f>319980.6*(1-0.90202494621)</f>
        <v>31350.1</v>
      </c>
      <c r="G101" s="874">
        <f t="shared" ref="G101:G114" si="30">SUM(H101:I101)</f>
        <v>319980.59999999998</v>
      </c>
      <c r="H101" s="879">
        <f>319980.6*0.90202494621</f>
        <v>288630.5</v>
      </c>
      <c r="I101" s="879">
        <f>319980.6*(1-0.90202494621)</f>
        <v>31350.1</v>
      </c>
      <c r="J101" s="2435">
        <f t="shared" si="27"/>
        <v>0</v>
      </c>
      <c r="K101" s="2431">
        <v>0</v>
      </c>
      <c r="L101" s="2431">
        <v>0</v>
      </c>
      <c r="M101" s="2433">
        <f>IF(J101=0,0,J101/G101:G102*_G101100)</f>
        <v>0</v>
      </c>
      <c r="N101" s="2429">
        <f>IF(K101=0,0,K101/H101:H102*100)</f>
        <v>0</v>
      </c>
      <c r="O101" s="2429">
        <f>IF(L101=0,0,L101/I101:I102*100)</f>
        <v>0</v>
      </c>
      <c r="P101" s="1065">
        <f t="shared" si="29"/>
        <v>0</v>
      </c>
      <c r="Q101" s="1065">
        <f t="shared" si="25"/>
        <v>0</v>
      </c>
      <c r="R101" s="1065">
        <f t="shared" si="26"/>
        <v>0</v>
      </c>
      <c r="S101" s="2409" t="s">
        <v>926</v>
      </c>
      <c r="T101" s="2445" t="s">
        <v>927</v>
      </c>
      <c r="U101" s="2409">
        <v>414</v>
      </c>
      <c r="V101" s="2409"/>
      <c r="W101" s="2411"/>
    </row>
    <row r="102" spans="1:24" ht="105">
      <c r="A102" s="1132" t="s">
        <v>1023</v>
      </c>
      <c r="B102" s="1075" t="s">
        <v>772</v>
      </c>
      <c r="C102" s="1176"/>
      <c r="D102" s="874">
        <f t="shared" si="21"/>
        <v>359978.2</v>
      </c>
      <c r="E102" s="879">
        <f>359978.2*0.90202494621</f>
        <v>324709.3</v>
      </c>
      <c r="F102" s="879">
        <f>359978.2*(1-0.90202494621)</f>
        <v>35268.9</v>
      </c>
      <c r="G102" s="874">
        <f t="shared" si="30"/>
        <v>359978.2</v>
      </c>
      <c r="H102" s="879">
        <f>359978.2*0.90202494621</f>
        <v>324709.3</v>
      </c>
      <c r="I102" s="879">
        <f>359978.2*(1-0.90202494621)</f>
        <v>35268.9</v>
      </c>
      <c r="J102" s="2436"/>
      <c r="K102" s="2432"/>
      <c r="L102" s="2432"/>
      <c r="M102" s="2434"/>
      <c r="N102" s="2430"/>
      <c r="O102" s="2430"/>
      <c r="P102" s="1065">
        <f t="shared" si="29"/>
        <v>0</v>
      </c>
      <c r="Q102" s="1065">
        <f t="shared" si="25"/>
        <v>0</v>
      </c>
      <c r="R102" s="1065">
        <f t="shared" si="26"/>
        <v>0</v>
      </c>
      <c r="S102" s="2409"/>
      <c r="T102" s="2445"/>
      <c r="U102" s="2409"/>
      <c r="V102" s="2409"/>
      <c r="W102" s="2411"/>
    </row>
    <row r="103" spans="1:24" ht="52.5">
      <c r="A103" s="1136" t="s">
        <v>626</v>
      </c>
      <c r="B103" s="1097" t="s">
        <v>460</v>
      </c>
      <c r="C103" s="895"/>
      <c r="D103" s="874">
        <f t="shared" si="21"/>
        <v>53626.3</v>
      </c>
      <c r="E103" s="879">
        <v>32423.9</v>
      </c>
      <c r="F103" s="879">
        <v>21202.400000000001</v>
      </c>
      <c r="G103" s="874">
        <f t="shared" si="30"/>
        <v>53626.3</v>
      </c>
      <c r="H103" s="879">
        <v>32423.9</v>
      </c>
      <c r="I103" s="879">
        <v>21202.400000000001</v>
      </c>
      <c r="J103" s="874">
        <f t="shared" si="27"/>
        <v>47.5</v>
      </c>
      <c r="K103" s="879">
        <v>24.5</v>
      </c>
      <c r="L103" s="879">
        <v>23</v>
      </c>
      <c r="M103" s="876">
        <f t="shared" ref="M103:M134" si="31">IF(J103=0,0,J103/G103*100)</f>
        <v>0.1</v>
      </c>
      <c r="N103" s="877">
        <f t="shared" si="28"/>
        <v>0.1</v>
      </c>
      <c r="O103" s="877">
        <f t="shared" si="28"/>
        <v>0.1</v>
      </c>
      <c r="P103" s="1065">
        <f t="shared" si="29"/>
        <v>0</v>
      </c>
      <c r="Q103" s="1065">
        <f t="shared" si="25"/>
        <v>0</v>
      </c>
      <c r="R103" s="1065">
        <f t="shared" si="26"/>
        <v>0</v>
      </c>
      <c r="S103" s="1099" t="s">
        <v>954</v>
      </c>
      <c r="U103" s="1099" t="s">
        <v>959</v>
      </c>
      <c r="V103" s="1099" t="s">
        <v>960</v>
      </c>
    </row>
    <row r="104" spans="1:24" ht="105">
      <c r="A104" s="2404" t="s">
        <v>627</v>
      </c>
      <c r="B104" s="975" t="s">
        <v>645</v>
      </c>
      <c r="C104" s="895"/>
      <c r="D104" s="874">
        <f t="shared" si="21"/>
        <v>1929.7</v>
      </c>
      <c r="E104" s="1085">
        <v>0</v>
      </c>
      <c r="F104" s="1085">
        <v>1929.7</v>
      </c>
      <c r="G104" s="874">
        <f t="shared" si="30"/>
        <v>1929.7</v>
      </c>
      <c r="H104" s="1085">
        <v>0</v>
      </c>
      <c r="I104" s="1085">
        <v>1929.7</v>
      </c>
      <c r="J104" s="874">
        <f t="shared" si="27"/>
        <v>689.2</v>
      </c>
      <c r="K104" s="1085">
        <v>0</v>
      </c>
      <c r="L104" s="1085">
        <v>689.2</v>
      </c>
      <c r="M104" s="876">
        <f t="shared" si="31"/>
        <v>35.700000000000003</v>
      </c>
      <c r="N104" s="877">
        <f>IF(K104=0,0,K104/H104*100)</f>
        <v>0</v>
      </c>
      <c r="O104" s="877">
        <f>IF(L104=0,0,L104/I104*100)</f>
        <v>35.700000000000003</v>
      </c>
      <c r="P104" s="1065">
        <f t="shared" si="29"/>
        <v>0</v>
      </c>
      <c r="Q104" s="1065">
        <f t="shared" si="25"/>
        <v>0</v>
      </c>
      <c r="R104" s="1065">
        <f t="shared" si="26"/>
        <v>0</v>
      </c>
      <c r="S104" s="1099" t="s">
        <v>867</v>
      </c>
      <c r="T104" s="1100">
        <v>1550190400</v>
      </c>
      <c r="U104" s="1099">
        <v>414</v>
      </c>
      <c r="V104" s="1099">
        <v>14024</v>
      </c>
    </row>
    <row r="105" spans="1:24" ht="78.75">
      <c r="A105" s="2405"/>
      <c r="B105" s="975" t="s">
        <v>707</v>
      </c>
      <c r="C105" s="895"/>
      <c r="D105" s="874">
        <f t="shared" si="21"/>
        <v>30000</v>
      </c>
      <c r="E105" s="1085">
        <v>0</v>
      </c>
      <c r="F105" s="1085">
        <v>30000</v>
      </c>
      <c r="G105" s="874">
        <f t="shared" si="30"/>
        <v>30000</v>
      </c>
      <c r="H105" s="1085">
        <v>0</v>
      </c>
      <c r="I105" s="1085">
        <v>30000</v>
      </c>
      <c r="J105" s="874">
        <f t="shared" si="27"/>
        <v>0</v>
      </c>
      <c r="K105" s="1085">
        <v>0</v>
      </c>
      <c r="L105" s="1085">
        <v>0</v>
      </c>
      <c r="M105" s="876">
        <f t="shared" si="31"/>
        <v>0</v>
      </c>
      <c r="N105" s="877">
        <f t="shared" si="28"/>
        <v>0</v>
      </c>
      <c r="O105" s="877">
        <f t="shared" si="28"/>
        <v>0</v>
      </c>
      <c r="P105" s="1065">
        <f t="shared" ref="P105:P112" si="32">D105-G105</f>
        <v>0</v>
      </c>
      <c r="Q105" s="1065">
        <f t="shared" si="25"/>
        <v>0</v>
      </c>
      <c r="R105" s="1065">
        <f t="shared" si="26"/>
        <v>0</v>
      </c>
      <c r="S105" s="1099" t="s">
        <v>868</v>
      </c>
      <c r="T105" s="1100">
        <v>1550190400</v>
      </c>
      <c r="U105" s="1099">
        <v>414</v>
      </c>
      <c r="V105" s="1099">
        <v>10120</v>
      </c>
    </row>
    <row r="106" spans="1:24" s="838" customFormat="1" ht="78.75">
      <c r="A106" s="1136" t="s">
        <v>628</v>
      </c>
      <c r="B106" s="976" t="s">
        <v>839</v>
      </c>
      <c r="C106" s="1160"/>
      <c r="D106" s="874">
        <f t="shared" si="21"/>
        <v>2714.8</v>
      </c>
      <c r="E106" s="879">
        <v>0</v>
      </c>
      <c r="F106" s="879">
        <v>2714.8</v>
      </c>
      <c r="G106" s="874">
        <f t="shared" si="30"/>
        <v>2714.8</v>
      </c>
      <c r="H106" s="879">
        <v>0</v>
      </c>
      <c r="I106" s="879">
        <v>2714.8</v>
      </c>
      <c r="J106" s="874">
        <f t="shared" si="27"/>
        <v>0</v>
      </c>
      <c r="K106" s="879">
        <v>0</v>
      </c>
      <c r="L106" s="885">
        <v>0</v>
      </c>
      <c r="M106" s="876">
        <f t="shared" si="31"/>
        <v>0</v>
      </c>
      <c r="N106" s="877">
        <f t="shared" si="28"/>
        <v>0</v>
      </c>
      <c r="O106" s="877">
        <f t="shared" si="28"/>
        <v>0</v>
      </c>
      <c r="P106" s="1065">
        <f t="shared" si="32"/>
        <v>0</v>
      </c>
      <c r="Q106" s="1065">
        <f t="shared" si="25"/>
        <v>0</v>
      </c>
      <c r="R106" s="1065">
        <f t="shared" si="26"/>
        <v>0</v>
      </c>
      <c r="S106" s="1121" t="s">
        <v>886</v>
      </c>
      <c r="T106" s="1122" t="s">
        <v>894</v>
      </c>
      <c r="U106" s="1121">
        <v>414</v>
      </c>
      <c r="V106" s="1121">
        <v>14031</v>
      </c>
      <c r="W106" s="1123"/>
      <c r="X106" s="1124"/>
    </row>
    <row r="107" spans="1:24" ht="78.75">
      <c r="A107" s="1136" t="s">
        <v>629</v>
      </c>
      <c r="B107" s="976" t="s">
        <v>1072</v>
      </c>
      <c r="C107" s="1160"/>
      <c r="D107" s="874">
        <f t="shared" si="21"/>
        <v>2400</v>
      </c>
      <c r="E107" s="879">
        <v>0</v>
      </c>
      <c r="F107" s="879">
        <v>2400</v>
      </c>
      <c r="G107" s="874">
        <f t="shared" si="30"/>
        <v>2400</v>
      </c>
      <c r="H107" s="879">
        <v>0</v>
      </c>
      <c r="I107" s="879">
        <v>2400</v>
      </c>
      <c r="J107" s="874">
        <f t="shared" si="27"/>
        <v>0</v>
      </c>
      <c r="K107" s="879">
        <v>0</v>
      </c>
      <c r="L107" s="885">
        <v>0</v>
      </c>
      <c r="M107" s="876">
        <f t="shared" si="31"/>
        <v>0</v>
      </c>
      <c r="N107" s="877">
        <f t="shared" si="28"/>
        <v>0</v>
      </c>
      <c r="O107" s="877">
        <f t="shared" si="28"/>
        <v>0</v>
      </c>
      <c r="P107" s="1065">
        <f t="shared" si="32"/>
        <v>0</v>
      </c>
      <c r="Q107" s="1065">
        <f t="shared" si="25"/>
        <v>0</v>
      </c>
      <c r="R107" s="1065">
        <f t="shared" si="26"/>
        <v>0</v>
      </c>
      <c r="S107" s="1099" t="s">
        <v>886</v>
      </c>
      <c r="T107" s="1100">
        <v>1900290400</v>
      </c>
      <c r="U107" s="1099">
        <v>414</v>
      </c>
      <c r="V107" s="1099">
        <v>14020</v>
      </c>
    </row>
    <row r="108" spans="1:24" ht="67.5" hidden="1" customHeight="1">
      <c r="A108" s="1132" t="s">
        <v>627</v>
      </c>
      <c r="B108" s="1164" t="s">
        <v>654</v>
      </c>
      <c r="C108" s="1184"/>
      <c r="D108" s="874">
        <f t="shared" si="21"/>
        <v>0</v>
      </c>
      <c r="E108" s="879">
        <v>0</v>
      </c>
      <c r="F108" s="879">
        <v>0</v>
      </c>
      <c r="G108" s="874">
        <f t="shared" si="30"/>
        <v>0</v>
      </c>
      <c r="H108" s="879">
        <v>0</v>
      </c>
      <c r="I108" s="879">
        <v>0</v>
      </c>
      <c r="J108" s="874">
        <f t="shared" si="27"/>
        <v>0</v>
      </c>
      <c r="K108" s="879">
        <v>0</v>
      </c>
      <c r="L108" s="885">
        <v>0</v>
      </c>
      <c r="M108" s="876">
        <f t="shared" si="31"/>
        <v>0</v>
      </c>
      <c r="N108" s="877">
        <f t="shared" si="28"/>
        <v>0</v>
      </c>
      <c r="O108" s="877">
        <f t="shared" si="28"/>
        <v>0</v>
      </c>
      <c r="P108" s="1065">
        <f t="shared" si="32"/>
        <v>0</v>
      </c>
      <c r="Q108" s="1065">
        <f t="shared" si="25"/>
        <v>0</v>
      </c>
      <c r="R108" s="1065">
        <f t="shared" si="26"/>
        <v>0</v>
      </c>
    </row>
    <row r="109" spans="1:24" ht="52.5">
      <c r="A109" s="1136" t="s">
        <v>630</v>
      </c>
      <c r="B109" s="900" t="s">
        <v>641</v>
      </c>
      <c r="C109" s="1160"/>
      <c r="D109" s="874">
        <f t="shared" si="21"/>
        <v>8850</v>
      </c>
      <c r="E109" s="879">
        <v>0</v>
      </c>
      <c r="F109" s="879">
        <v>8850</v>
      </c>
      <c r="G109" s="874">
        <f t="shared" si="30"/>
        <v>8850</v>
      </c>
      <c r="H109" s="879">
        <v>0</v>
      </c>
      <c r="I109" s="879">
        <v>8850</v>
      </c>
      <c r="J109" s="874">
        <f t="shared" si="27"/>
        <v>0</v>
      </c>
      <c r="K109" s="879">
        <v>0</v>
      </c>
      <c r="L109" s="879">
        <v>0</v>
      </c>
      <c r="M109" s="876">
        <f t="shared" si="31"/>
        <v>0</v>
      </c>
      <c r="N109" s="877">
        <f t="shared" ref="N109:O114" si="33">IF(K109=0,0,K109/H109*100)</f>
        <v>0</v>
      </c>
      <c r="O109" s="877">
        <f t="shared" si="33"/>
        <v>0</v>
      </c>
      <c r="P109" s="1065">
        <f t="shared" si="32"/>
        <v>0</v>
      </c>
      <c r="Q109" s="1065">
        <f t="shared" si="25"/>
        <v>0</v>
      </c>
      <c r="R109" s="1065">
        <f t="shared" si="26"/>
        <v>0</v>
      </c>
      <c r="S109" s="1099" t="s">
        <v>947</v>
      </c>
      <c r="T109" s="1100" t="s">
        <v>948</v>
      </c>
      <c r="U109" s="1099">
        <v>414</v>
      </c>
      <c r="V109" s="1099">
        <v>14016</v>
      </c>
    </row>
    <row r="110" spans="1:24" ht="52.5">
      <c r="A110" s="1136" t="s">
        <v>732</v>
      </c>
      <c r="B110" s="976" t="s">
        <v>647</v>
      </c>
      <c r="C110" s="1160"/>
      <c r="D110" s="874">
        <f t="shared" si="21"/>
        <v>39000</v>
      </c>
      <c r="E110" s="879">
        <v>0</v>
      </c>
      <c r="F110" s="879">
        <v>39000</v>
      </c>
      <c r="G110" s="874">
        <f t="shared" si="30"/>
        <v>39000</v>
      </c>
      <c r="H110" s="879">
        <v>0</v>
      </c>
      <c r="I110" s="879">
        <v>39000</v>
      </c>
      <c r="J110" s="874">
        <f t="shared" si="27"/>
        <v>21450</v>
      </c>
      <c r="K110" s="879">
        <v>0</v>
      </c>
      <c r="L110" s="885">
        <v>21450</v>
      </c>
      <c r="M110" s="876">
        <f t="shared" si="31"/>
        <v>55</v>
      </c>
      <c r="N110" s="877">
        <f t="shared" si="33"/>
        <v>0</v>
      </c>
      <c r="O110" s="877">
        <f t="shared" si="33"/>
        <v>55</v>
      </c>
      <c r="P110" s="1065">
        <f t="shared" si="32"/>
        <v>0</v>
      </c>
      <c r="Q110" s="1065">
        <f t="shared" si="25"/>
        <v>0</v>
      </c>
      <c r="R110" s="1065">
        <f t="shared" si="26"/>
        <v>0</v>
      </c>
      <c r="S110" s="1099" t="s">
        <v>936</v>
      </c>
      <c r="T110" s="1100" t="s">
        <v>944</v>
      </c>
      <c r="U110" s="1099">
        <v>414</v>
      </c>
      <c r="V110" s="1099">
        <v>14050</v>
      </c>
    </row>
    <row r="111" spans="1:24" ht="78.75">
      <c r="A111" s="1136" t="s">
        <v>733</v>
      </c>
      <c r="B111" s="976" t="s">
        <v>804</v>
      </c>
      <c r="C111" s="1160"/>
      <c r="D111" s="874">
        <f t="shared" si="21"/>
        <v>2244.9</v>
      </c>
      <c r="E111" s="879">
        <v>0</v>
      </c>
      <c r="F111" s="879">
        <v>2244.9</v>
      </c>
      <c r="G111" s="874">
        <f t="shared" si="30"/>
        <v>2244.9</v>
      </c>
      <c r="H111" s="879">
        <v>0</v>
      </c>
      <c r="I111" s="879">
        <v>2244.9</v>
      </c>
      <c r="J111" s="874">
        <f t="shared" si="27"/>
        <v>0</v>
      </c>
      <c r="K111" s="879">
        <v>0</v>
      </c>
      <c r="L111" s="885">
        <v>0</v>
      </c>
      <c r="M111" s="876">
        <f t="shared" si="31"/>
        <v>0</v>
      </c>
      <c r="N111" s="877">
        <f>IF(K111=0,0,K111/H111*100)</f>
        <v>0</v>
      </c>
      <c r="O111" s="877">
        <f>IF(L111=0,0,L111/I111*100)</f>
        <v>0</v>
      </c>
      <c r="P111" s="1065">
        <f t="shared" si="32"/>
        <v>0</v>
      </c>
      <c r="Q111" s="1065">
        <f t="shared" si="25"/>
        <v>0</v>
      </c>
      <c r="R111" s="1065">
        <f t="shared" si="26"/>
        <v>0</v>
      </c>
      <c r="S111" s="1099" t="s">
        <v>945</v>
      </c>
      <c r="T111" s="1100" t="s">
        <v>937</v>
      </c>
      <c r="U111" s="1099">
        <v>414</v>
      </c>
      <c r="V111" s="1099">
        <v>14071</v>
      </c>
    </row>
    <row r="112" spans="1:24" ht="78.75">
      <c r="A112" s="1136" t="s">
        <v>781</v>
      </c>
      <c r="B112" s="900" t="s">
        <v>637</v>
      </c>
      <c r="C112" s="1160"/>
      <c r="D112" s="874">
        <f t="shared" si="21"/>
        <v>4496.8</v>
      </c>
      <c r="E112" s="879">
        <v>0</v>
      </c>
      <c r="F112" s="879">
        <v>4496.8</v>
      </c>
      <c r="G112" s="874">
        <f t="shared" si="30"/>
        <v>4496.8</v>
      </c>
      <c r="H112" s="879">
        <v>0</v>
      </c>
      <c r="I112" s="879">
        <v>4496.8</v>
      </c>
      <c r="J112" s="874">
        <f t="shared" si="27"/>
        <v>0</v>
      </c>
      <c r="K112" s="879">
        <v>0</v>
      </c>
      <c r="L112" s="879">
        <v>0</v>
      </c>
      <c r="M112" s="876">
        <f t="shared" si="31"/>
        <v>0</v>
      </c>
      <c r="N112" s="877">
        <f t="shared" si="33"/>
        <v>0</v>
      </c>
      <c r="O112" s="877">
        <f t="shared" si="33"/>
        <v>0</v>
      </c>
      <c r="P112" s="1065">
        <f t="shared" si="32"/>
        <v>0</v>
      </c>
      <c r="Q112" s="1065">
        <f t="shared" si="25"/>
        <v>0</v>
      </c>
      <c r="R112" s="1065">
        <f t="shared" si="26"/>
        <v>0</v>
      </c>
      <c r="S112" s="1099" t="s">
        <v>949</v>
      </c>
      <c r="T112" s="1100" t="s">
        <v>951</v>
      </c>
      <c r="U112" s="1099">
        <v>414</v>
      </c>
      <c r="V112" s="1099">
        <v>14057</v>
      </c>
    </row>
    <row r="113" spans="1:22" ht="52.5">
      <c r="A113" s="1136" t="s">
        <v>631</v>
      </c>
      <c r="B113" s="901" t="s">
        <v>639</v>
      </c>
      <c r="C113" s="1185"/>
      <c r="D113" s="874">
        <f t="shared" si="21"/>
        <v>1946</v>
      </c>
      <c r="E113" s="879">
        <v>0</v>
      </c>
      <c r="F113" s="879">
        <v>1946</v>
      </c>
      <c r="G113" s="874">
        <f t="shared" si="30"/>
        <v>1946</v>
      </c>
      <c r="H113" s="879">
        <v>0</v>
      </c>
      <c r="I113" s="879">
        <v>1946</v>
      </c>
      <c r="J113" s="874">
        <f t="shared" si="27"/>
        <v>0</v>
      </c>
      <c r="K113" s="879">
        <v>0</v>
      </c>
      <c r="L113" s="879">
        <v>0</v>
      </c>
      <c r="M113" s="876">
        <f t="shared" si="31"/>
        <v>0</v>
      </c>
      <c r="N113" s="877">
        <f t="shared" si="33"/>
        <v>0</v>
      </c>
      <c r="O113" s="877">
        <f t="shared" si="33"/>
        <v>0</v>
      </c>
      <c r="P113" s="1065">
        <f t="shared" ref="P113:P123" si="34">D113-G113</f>
        <v>0</v>
      </c>
      <c r="Q113" s="1065">
        <f t="shared" si="25"/>
        <v>0</v>
      </c>
      <c r="R113" s="1065">
        <f t="shared" si="26"/>
        <v>0</v>
      </c>
      <c r="S113" s="1099" t="s">
        <v>954</v>
      </c>
      <c r="T113" s="1100" t="s">
        <v>956</v>
      </c>
      <c r="U113" s="1099">
        <v>414</v>
      </c>
      <c r="V113" s="1099">
        <v>14015</v>
      </c>
    </row>
    <row r="114" spans="1:22" ht="57.75" customHeight="1">
      <c r="A114" s="1136" t="s">
        <v>632</v>
      </c>
      <c r="B114" s="900" t="s">
        <v>643</v>
      </c>
      <c r="C114" s="1160"/>
      <c r="D114" s="874">
        <f t="shared" si="21"/>
        <v>2752.8</v>
      </c>
      <c r="E114" s="879">
        <v>0</v>
      </c>
      <c r="F114" s="879">
        <v>2752.8</v>
      </c>
      <c r="G114" s="874">
        <f t="shared" si="30"/>
        <v>2752.8</v>
      </c>
      <c r="H114" s="879">
        <v>0</v>
      </c>
      <c r="I114" s="879">
        <v>2752.8</v>
      </c>
      <c r="J114" s="874">
        <f t="shared" si="27"/>
        <v>0</v>
      </c>
      <c r="K114" s="879">
        <v>0</v>
      </c>
      <c r="L114" s="879">
        <v>0</v>
      </c>
      <c r="M114" s="876">
        <f t="shared" si="31"/>
        <v>0</v>
      </c>
      <c r="N114" s="877">
        <f t="shared" si="33"/>
        <v>0</v>
      </c>
      <c r="O114" s="877">
        <f t="shared" si="33"/>
        <v>0</v>
      </c>
      <c r="P114" s="1065">
        <f t="shared" si="34"/>
        <v>0</v>
      </c>
      <c r="Q114" s="1065">
        <f t="shared" si="25"/>
        <v>0</v>
      </c>
      <c r="R114" s="1065">
        <f t="shared" si="26"/>
        <v>0</v>
      </c>
      <c r="S114" s="1099" t="s">
        <v>954</v>
      </c>
      <c r="T114" s="1100" t="s">
        <v>956</v>
      </c>
      <c r="U114" s="1099">
        <v>141</v>
      </c>
      <c r="V114" s="1099">
        <v>14018</v>
      </c>
    </row>
    <row r="115" spans="1:22" ht="52.5">
      <c r="A115" s="1136" t="s">
        <v>633</v>
      </c>
      <c r="B115" s="900" t="s">
        <v>801</v>
      </c>
      <c r="C115" s="1160"/>
      <c r="D115" s="874">
        <f t="shared" ref="D115:D123" si="35">SUM(E115:F115)</f>
        <v>10292.6</v>
      </c>
      <c r="E115" s="879">
        <v>0</v>
      </c>
      <c r="F115" s="879">
        <v>10292.6</v>
      </c>
      <c r="G115" s="874">
        <f t="shared" ref="G115:G123" si="36">SUM(H115:I115)</f>
        <v>10292.6</v>
      </c>
      <c r="H115" s="879">
        <v>0</v>
      </c>
      <c r="I115" s="879">
        <v>10292.6</v>
      </c>
      <c r="J115" s="874">
        <f t="shared" ref="J115:J123" si="37">SUM(K115:L115)</f>
        <v>0</v>
      </c>
      <c r="K115" s="879">
        <v>0</v>
      </c>
      <c r="L115" s="879">
        <v>0</v>
      </c>
      <c r="M115" s="876">
        <f t="shared" si="31"/>
        <v>0</v>
      </c>
      <c r="N115" s="877">
        <f t="shared" ref="N115:O118" si="38">IF(K115=0,0,K115/H115*100)</f>
        <v>0</v>
      </c>
      <c r="O115" s="877">
        <f t="shared" si="38"/>
        <v>0</v>
      </c>
      <c r="P115" s="1065">
        <f t="shared" si="34"/>
        <v>0</v>
      </c>
      <c r="Q115" s="1065">
        <f t="shared" si="25"/>
        <v>0</v>
      </c>
      <c r="R115" s="1065">
        <f t="shared" si="26"/>
        <v>0</v>
      </c>
      <c r="S115" s="1099" t="s">
        <v>954</v>
      </c>
      <c r="T115" s="1100" t="s">
        <v>955</v>
      </c>
      <c r="U115" s="1099">
        <v>414</v>
      </c>
      <c r="V115" s="1099">
        <v>14004</v>
      </c>
    </row>
    <row r="116" spans="1:22" ht="78.75">
      <c r="A116" s="1136" t="s">
        <v>634</v>
      </c>
      <c r="B116" s="900" t="s">
        <v>802</v>
      </c>
      <c r="C116" s="1160"/>
      <c r="D116" s="874">
        <f t="shared" si="35"/>
        <v>5000</v>
      </c>
      <c r="E116" s="879">
        <v>0</v>
      </c>
      <c r="F116" s="879">
        <v>5000</v>
      </c>
      <c r="G116" s="874">
        <f t="shared" si="36"/>
        <v>5000</v>
      </c>
      <c r="H116" s="879">
        <v>0</v>
      </c>
      <c r="I116" s="879">
        <v>5000</v>
      </c>
      <c r="J116" s="874">
        <f t="shared" si="37"/>
        <v>0</v>
      </c>
      <c r="K116" s="879">
        <v>0</v>
      </c>
      <c r="L116" s="879">
        <v>0</v>
      </c>
      <c r="M116" s="876">
        <f t="shared" si="31"/>
        <v>0</v>
      </c>
      <c r="N116" s="877">
        <f t="shared" si="38"/>
        <v>0</v>
      </c>
      <c r="O116" s="877">
        <f t="shared" si="38"/>
        <v>0</v>
      </c>
      <c r="P116" s="1065">
        <f t="shared" si="34"/>
        <v>0</v>
      </c>
      <c r="Q116" s="1065">
        <f t="shared" ref="Q116:Q127" si="39">E116-H116</f>
        <v>0</v>
      </c>
      <c r="R116" s="1065">
        <f t="shared" ref="R116:R127" si="40">F116-I116</f>
        <v>0</v>
      </c>
      <c r="S116" s="1099" t="s">
        <v>954</v>
      </c>
      <c r="T116" s="1100" t="s">
        <v>956</v>
      </c>
      <c r="U116" s="1099">
        <v>414</v>
      </c>
      <c r="V116" s="1099">
        <v>14060</v>
      </c>
    </row>
    <row r="117" spans="1:22" ht="52.5">
      <c r="A117" s="1132" t="s">
        <v>825</v>
      </c>
      <c r="B117" s="900" t="s">
        <v>803</v>
      </c>
      <c r="C117" s="1160"/>
      <c r="D117" s="874">
        <f t="shared" si="35"/>
        <v>5016.7</v>
      </c>
      <c r="E117" s="879">
        <v>0</v>
      </c>
      <c r="F117" s="879">
        <v>5016.7</v>
      </c>
      <c r="G117" s="874">
        <f t="shared" si="36"/>
        <v>5016.7</v>
      </c>
      <c r="H117" s="879">
        <v>0</v>
      </c>
      <c r="I117" s="879">
        <v>5016.7</v>
      </c>
      <c r="J117" s="874">
        <f t="shared" si="37"/>
        <v>0</v>
      </c>
      <c r="K117" s="879">
        <v>0</v>
      </c>
      <c r="L117" s="879">
        <v>0</v>
      </c>
      <c r="M117" s="876">
        <f t="shared" si="31"/>
        <v>0</v>
      </c>
      <c r="N117" s="877">
        <f t="shared" si="38"/>
        <v>0</v>
      </c>
      <c r="O117" s="877">
        <f t="shared" si="38"/>
        <v>0</v>
      </c>
      <c r="P117" s="1065">
        <f t="shared" si="34"/>
        <v>0</v>
      </c>
      <c r="Q117" s="1065">
        <f t="shared" si="39"/>
        <v>0</v>
      </c>
      <c r="R117" s="1065">
        <f t="shared" si="40"/>
        <v>0</v>
      </c>
      <c r="S117" s="1099" t="s">
        <v>954</v>
      </c>
      <c r="T117" s="1100" t="s">
        <v>956</v>
      </c>
      <c r="U117" s="1099">
        <v>414</v>
      </c>
      <c r="V117" s="1099">
        <v>14061</v>
      </c>
    </row>
    <row r="118" spans="1:22" ht="52.5">
      <c r="A118" s="1136" t="s">
        <v>635</v>
      </c>
      <c r="B118" s="900" t="s">
        <v>812</v>
      </c>
      <c r="C118" s="1160"/>
      <c r="D118" s="874">
        <f t="shared" si="35"/>
        <v>2500</v>
      </c>
      <c r="E118" s="879">
        <v>0</v>
      </c>
      <c r="F118" s="879">
        <v>2500</v>
      </c>
      <c r="G118" s="874">
        <f t="shared" si="36"/>
        <v>2500</v>
      </c>
      <c r="H118" s="879">
        <v>0</v>
      </c>
      <c r="I118" s="879">
        <v>2500</v>
      </c>
      <c r="J118" s="874">
        <f t="shared" si="37"/>
        <v>0</v>
      </c>
      <c r="K118" s="879">
        <v>0</v>
      </c>
      <c r="L118" s="879">
        <v>0</v>
      </c>
      <c r="M118" s="876">
        <f t="shared" si="31"/>
        <v>0</v>
      </c>
      <c r="N118" s="877">
        <f t="shared" si="38"/>
        <v>0</v>
      </c>
      <c r="O118" s="877">
        <f t="shared" si="38"/>
        <v>0</v>
      </c>
      <c r="P118" s="1065">
        <f t="shared" si="34"/>
        <v>0</v>
      </c>
      <c r="Q118" s="1065">
        <f t="shared" si="39"/>
        <v>0</v>
      </c>
      <c r="R118" s="1065">
        <f t="shared" si="40"/>
        <v>0</v>
      </c>
      <c r="S118" s="1099" t="s">
        <v>954</v>
      </c>
      <c r="T118" s="1100" t="s">
        <v>956</v>
      </c>
      <c r="U118" s="1099">
        <v>414</v>
      </c>
      <c r="V118" s="1099">
        <v>14074</v>
      </c>
    </row>
    <row r="119" spans="1:22" ht="78.75">
      <c r="A119" s="1136" t="s">
        <v>734</v>
      </c>
      <c r="B119" s="1125" t="s">
        <v>795</v>
      </c>
      <c r="C119" s="1186"/>
      <c r="D119" s="874">
        <f t="shared" si="35"/>
        <v>4100</v>
      </c>
      <c r="E119" s="1085">
        <v>0</v>
      </c>
      <c r="F119" s="1085">
        <v>4100</v>
      </c>
      <c r="G119" s="874">
        <f t="shared" si="36"/>
        <v>4100</v>
      </c>
      <c r="H119" s="1085">
        <v>0</v>
      </c>
      <c r="I119" s="1085">
        <v>4100</v>
      </c>
      <c r="J119" s="874">
        <f t="shared" si="37"/>
        <v>0</v>
      </c>
      <c r="K119" s="1085">
        <v>0</v>
      </c>
      <c r="L119" s="1085">
        <v>0</v>
      </c>
      <c r="M119" s="876">
        <f t="shared" si="31"/>
        <v>0</v>
      </c>
      <c r="N119" s="877">
        <f t="shared" ref="N119:O123" si="41">IF(K119=0,0,K119/H119*100)</f>
        <v>0</v>
      </c>
      <c r="O119" s="877">
        <f t="shared" si="41"/>
        <v>0</v>
      </c>
      <c r="P119" s="1065">
        <f t="shared" si="34"/>
        <v>0</v>
      </c>
      <c r="Q119" s="1065">
        <f t="shared" si="39"/>
        <v>0</v>
      </c>
      <c r="R119" s="1065">
        <f t="shared" si="40"/>
        <v>0</v>
      </c>
      <c r="S119" s="1099" t="s">
        <v>886</v>
      </c>
      <c r="T119" s="1100">
        <v>1820190400</v>
      </c>
      <c r="U119" s="1099">
        <v>414</v>
      </c>
      <c r="V119" s="1099">
        <v>14062</v>
      </c>
    </row>
    <row r="120" spans="1:22" ht="78.75">
      <c r="A120" s="1136" t="s">
        <v>735</v>
      </c>
      <c r="B120" s="937" t="s">
        <v>796</v>
      </c>
      <c r="C120" s="1186"/>
      <c r="D120" s="874">
        <f t="shared" si="35"/>
        <v>3400</v>
      </c>
      <c r="E120" s="1085">
        <v>0</v>
      </c>
      <c r="F120" s="1085">
        <v>3400</v>
      </c>
      <c r="G120" s="874">
        <f t="shared" si="36"/>
        <v>3400</v>
      </c>
      <c r="H120" s="1085">
        <v>0</v>
      </c>
      <c r="I120" s="1085">
        <v>3400</v>
      </c>
      <c r="J120" s="874">
        <f t="shared" si="37"/>
        <v>0</v>
      </c>
      <c r="K120" s="1085">
        <v>0</v>
      </c>
      <c r="L120" s="1085">
        <v>0</v>
      </c>
      <c r="M120" s="876">
        <f t="shared" si="31"/>
        <v>0</v>
      </c>
      <c r="N120" s="877">
        <f t="shared" si="41"/>
        <v>0</v>
      </c>
      <c r="O120" s="877">
        <f t="shared" si="41"/>
        <v>0</v>
      </c>
      <c r="P120" s="1065">
        <f t="shared" si="34"/>
        <v>0</v>
      </c>
      <c r="Q120" s="1065">
        <f t="shared" si="39"/>
        <v>0</v>
      </c>
      <c r="R120" s="1065">
        <f t="shared" si="40"/>
        <v>0</v>
      </c>
      <c r="S120" s="1099" t="s">
        <v>886</v>
      </c>
      <c r="T120" s="1100">
        <v>1820190400</v>
      </c>
      <c r="U120" s="1099">
        <v>414</v>
      </c>
      <c r="V120" s="1099">
        <v>14063</v>
      </c>
    </row>
    <row r="121" spans="1:22" ht="78.75">
      <c r="A121" s="1136" t="s">
        <v>636</v>
      </c>
      <c r="B121" s="1126" t="s">
        <v>806</v>
      </c>
      <c r="C121" s="1186"/>
      <c r="D121" s="874">
        <f t="shared" si="35"/>
        <v>7000</v>
      </c>
      <c r="E121" s="1085">
        <v>0</v>
      </c>
      <c r="F121" s="1085">
        <v>7000</v>
      </c>
      <c r="G121" s="874">
        <f t="shared" si="36"/>
        <v>7000</v>
      </c>
      <c r="H121" s="1085">
        <v>0</v>
      </c>
      <c r="I121" s="1085">
        <v>7000</v>
      </c>
      <c r="J121" s="874">
        <f t="shared" si="37"/>
        <v>0</v>
      </c>
      <c r="K121" s="1085">
        <v>0</v>
      </c>
      <c r="L121" s="1085">
        <v>0</v>
      </c>
      <c r="M121" s="876">
        <f t="shared" si="31"/>
        <v>0</v>
      </c>
      <c r="N121" s="877">
        <f t="shared" si="41"/>
        <v>0</v>
      </c>
      <c r="O121" s="877">
        <f t="shared" si="41"/>
        <v>0</v>
      </c>
      <c r="P121" s="1065">
        <f t="shared" si="34"/>
        <v>0</v>
      </c>
      <c r="Q121" s="1065">
        <f t="shared" si="39"/>
        <v>0</v>
      </c>
      <c r="R121" s="1065">
        <f t="shared" si="40"/>
        <v>0</v>
      </c>
      <c r="S121" s="1099" t="s">
        <v>886</v>
      </c>
      <c r="T121" s="1100">
        <v>1820190400</v>
      </c>
      <c r="U121" s="1099">
        <v>414</v>
      </c>
      <c r="V121" s="1099">
        <v>14064</v>
      </c>
    </row>
    <row r="122" spans="1:22" ht="78.75">
      <c r="A122" s="1136" t="s">
        <v>736</v>
      </c>
      <c r="B122" s="1125" t="s">
        <v>807</v>
      </c>
      <c r="C122" s="1186"/>
      <c r="D122" s="874">
        <f t="shared" si="35"/>
        <v>7800</v>
      </c>
      <c r="E122" s="1085">
        <v>0</v>
      </c>
      <c r="F122" s="1085">
        <v>7800</v>
      </c>
      <c r="G122" s="874">
        <f t="shared" si="36"/>
        <v>7800</v>
      </c>
      <c r="H122" s="1085">
        <v>0</v>
      </c>
      <c r="I122" s="1085">
        <v>7800</v>
      </c>
      <c r="J122" s="874">
        <f t="shared" si="37"/>
        <v>0</v>
      </c>
      <c r="K122" s="1085">
        <v>0</v>
      </c>
      <c r="L122" s="1085">
        <v>0</v>
      </c>
      <c r="M122" s="876">
        <f t="shared" si="31"/>
        <v>0</v>
      </c>
      <c r="N122" s="877">
        <f t="shared" si="41"/>
        <v>0</v>
      </c>
      <c r="O122" s="877">
        <f t="shared" si="41"/>
        <v>0</v>
      </c>
      <c r="P122" s="1065">
        <f t="shared" si="34"/>
        <v>0</v>
      </c>
      <c r="Q122" s="1065">
        <f t="shared" si="39"/>
        <v>0</v>
      </c>
      <c r="R122" s="1065">
        <f t="shared" si="40"/>
        <v>0</v>
      </c>
      <c r="S122" s="1099" t="s">
        <v>886</v>
      </c>
      <c r="T122" s="1100">
        <v>1820190400</v>
      </c>
      <c r="U122" s="1099">
        <v>414</v>
      </c>
      <c r="V122" s="1099">
        <v>14065</v>
      </c>
    </row>
    <row r="123" spans="1:22" ht="120" customHeight="1">
      <c r="A123" s="1136" t="s">
        <v>737</v>
      </c>
      <c r="B123" s="1125" t="s">
        <v>808</v>
      </c>
      <c r="C123" s="1186"/>
      <c r="D123" s="874">
        <f t="shared" si="35"/>
        <v>2000</v>
      </c>
      <c r="E123" s="1085">
        <v>0</v>
      </c>
      <c r="F123" s="1085">
        <v>2000</v>
      </c>
      <c r="G123" s="874">
        <f t="shared" si="36"/>
        <v>2000</v>
      </c>
      <c r="H123" s="1085">
        <v>0</v>
      </c>
      <c r="I123" s="1085">
        <v>2000</v>
      </c>
      <c r="J123" s="874">
        <f t="shared" si="37"/>
        <v>0</v>
      </c>
      <c r="K123" s="1085">
        <v>0</v>
      </c>
      <c r="L123" s="1085">
        <v>0</v>
      </c>
      <c r="M123" s="876">
        <f t="shared" si="31"/>
        <v>0</v>
      </c>
      <c r="N123" s="877">
        <f t="shared" si="41"/>
        <v>0</v>
      </c>
      <c r="O123" s="877">
        <f t="shared" si="41"/>
        <v>0</v>
      </c>
      <c r="P123" s="1065">
        <f t="shared" si="34"/>
        <v>0</v>
      </c>
      <c r="Q123" s="1065">
        <f t="shared" si="39"/>
        <v>0</v>
      </c>
      <c r="R123" s="1065">
        <f t="shared" si="40"/>
        <v>0</v>
      </c>
      <c r="S123" s="1099" t="s">
        <v>886</v>
      </c>
      <c r="T123" s="1100">
        <v>1820190400</v>
      </c>
      <c r="U123" s="1099">
        <v>414</v>
      </c>
      <c r="V123" s="1099">
        <v>14066</v>
      </c>
    </row>
    <row r="124" spans="1:22" ht="118.5" customHeight="1">
      <c r="A124" s="1136" t="s">
        <v>738</v>
      </c>
      <c r="B124" s="900" t="s">
        <v>809</v>
      </c>
      <c r="C124" s="1160"/>
      <c r="D124" s="874">
        <f>SUM(E124:F124)</f>
        <v>20000</v>
      </c>
      <c r="E124" s="1085">
        <v>0</v>
      </c>
      <c r="F124" s="1085">
        <v>20000</v>
      </c>
      <c r="G124" s="874">
        <f>SUM(H124:I124)</f>
        <v>20000</v>
      </c>
      <c r="H124" s="1085">
        <v>0</v>
      </c>
      <c r="I124" s="1085">
        <v>20000</v>
      </c>
      <c r="J124" s="874">
        <f>SUM(K124:L124)</f>
        <v>0</v>
      </c>
      <c r="K124" s="1085">
        <v>0</v>
      </c>
      <c r="L124" s="1085">
        <v>0</v>
      </c>
      <c r="M124" s="876">
        <f t="shared" si="31"/>
        <v>0</v>
      </c>
      <c r="N124" s="877">
        <f>IF(K124=0,0,K124/H124*100)</f>
        <v>0</v>
      </c>
      <c r="O124" s="877">
        <f>IF(L124=0,0,L124/I124*100)</f>
        <v>0</v>
      </c>
      <c r="P124" s="1065">
        <f t="shared" ref="P124:P157" si="42">D124-G124</f>
        <v>0</v>
      </c>
      <c r="Q124" s="1065">
        <f t="shared" si="39"/>
        <v>0</v>
      </c>
      <c r="R124" s="1065">
        <f t="shared" si="40"/>
        <v>0</v>
      </c>
      <c r="S124" s="1099" t="s">
        <v>928</v>
      </c>
      <c r="T124" s="1100" t="s">
        <v>929</v>
      </c>
      <c r="U124" s="1099">
        <v>414</v>
      </c>
      <c r="V124" s="1099">
        <v>14072</v>
      </c>
    </row>
    <row r="125" spans="1:22" ht="89.25" customHeight="1">
      <c r="A125" s="1136" t="s">
        <v>739</v>
      </c>
      <c r="B125" s="900" t="s">
        <v>810</v>
      </c>
      <c r="C125" s="1160"/>
      <c r="D125" s="874">
        <f>SUM(E125:F125)</f>
        <v>20000</v>
      </c>
      <c r="E125" s="1085">
        <v>0</v>
      </c>
      <c r="F125" s="1085">
        <v>20000</v>
      </c>
      <c r="G125" s="874">
        <f>SUM(H125:I125)</f>
        <v>20000</v>
      </c>
      <c r="H125" s="1085">
        <v>0</v>
      </c>
      <c r="I125" s="1085">
        <v>20000</v>
      </c>
      <c r="J125" s="874">
        <f>SUM(K125:L125)</f>
        <v>0</v>
      </c>
      <c r="K125" s="1085">
        <v>0</v>
      </c>
      <c r="L125" s="1085">
        <v>0</v>
      </c>
      <c r="M125" s="876">
        <f t="shared" si="31"/>
        <v>0</v>
      </c>
      <c r="N125" s="877">
        <f>IF(K125=0,0,K125/H125*100)</f>
        <v>0</v>
      </c>
      <c r="O125" s="877">
        <f>IF(L125=0,0,L125/I125*100)</f>
        <v>0</v>
      </c>
      <c r="P125" s="1065">
        <f t="shared" si="42"/>
        <v>0</v>
      </c>
      <c r="Q125" s="1065">
        <f t="shared" si="39"/>
        <v>0</v>
      </c>
      <c r="R125" s="1065">
        <f t="shared" si="40"/>
        <v>0</v>
      </c>
      <c r="S125" s="1099" t="s">
        <v>936</v>
      </c>
      <c r="T125" s="1100" t="s">
        <v>937</v>
      </c>
      <c r="U125" s="1099">
        <v>414</v>
      </c>
      <c r="V125" s="1099">
        <v>14058</v>
      </c>
    </row>
    <row r="126" spans="1:22" ht="135.75" customHeight="1">
      <c r="A126" s="1136" t="s">
        <v>740</v>
      </c>
      <c r="B126" s="990" t="s">
        <v>811</v>
      </c>
      <c r="C126" s="1176"/>
      <c r="D126" s="874">
        <f>SUM(E126:F126)</f>
        <v>24516</v>
      </c>
      <c r="E126" s="1085">
        <v>0</v>
      </c>
      <c r="F126" s="1085">
        <v>24516</v>
      </c>
      <c r="G126" s="874">
        <f>SUM(H126:I126)</f>
        <v>24516</v>
      </c>
      <c r="H126" s="1085">
        <v>0</v>
      </c>
      <c r="I126" s="1085">
        <v>24516</v>
      </c>
      <c r="J126" s="874">
        <f>SUM(K126:L126)</f>
        <v>0</v>
      </c>
      <c r="K126" s="1085">
        <v>0</v>
      </c>
      <c r="L126" s="1085">
        <v>0</v>
      </c>
      <c r="M126" s="876">
        <f t="shared" si="31"/>
        <v>0</v>
      </c>
      <c r="N126" s="877">
        <f t="shared" ref="N126:O139" si="43">IF(K126=0,0,K126/H126*100)</f>
        <v>0</v>
      </c>
      <c r="O126" s="877">
        <f t="shared" si="43"/>
        <v>0</v>
      </c>
      <c r="P126" s="1065">
        <f t="shared" si="42"/>
        <v>0</v>
      </c>
      <c r="Q126" s="1065">
        <f t="shared" si="39"/>
        <v>0</v>
      </c>
      <c r="R126" s="1065">
        <f t="shared" si="40"/>
        <v>0</v>
      </c>
      <c r="S126" s="1099" t="s">
        <v>936</v>
      </c>
      <c r="T126" s="1100" t="s">
        <v>937</v>
      </c>
      <c r="U126" s="1099">
        <v>414</v>
      </c>
      <c r="V126" s="1099">
        <v>14059</v>
      </c>
    </row>
    <row r="127" spans="1:22" ht="95.25" customHeight="1">
      <c r="A127" s="1136" t="s">
        <v>741</v>
      </c>
      <c r="B127" s="900" t="s">
        <v>640</v>
      </c>
      <c r="C127" s="1160"/>
      <c r="D127" s="874">
        <f>SUM(E127:F127)</f>
        <v>1400</v>
      </c>
      <c r="E127" s="879">
        <v>0</v>
      </c>
      <c r="F127" s="879">
        <v>1400</v>
      </c>
      <c r="G127" s="874">
        <f>SUM(H127:I127)</f>
        <v>1400</v>
      </c>
      <c r="H127" s="879">
        <v>0</v>
      </c>
      <c r="I127" s="879">
        <v>1400</v>
      </c>
      <c r="J127" s="874">
        <f>SUM(K127:L127)</f>
        <v>0</v>
      </c>
      <c r="K127" s="879">
        <v>0</v>
      </c>
      <c r="L127" s="879">
        <v>0</v>
      </c>
      <c r="M127" s="876">
        <f t="shared" si="31"/>
        <v>0</v>
      </c>
      <c r="N127" s="877">
        <f t="shared" si="43"/>
        <v>0</v>
      </c>
      <c r="O127" s="877">
        <f t="shared" si="43"/>
        <v>0</v>
      </c>
      <c r="P127" s="1065">
        <f t="shared" si="42"/>
        <v>0</v>
      </c>
      <c r="Q127" s="1065">
        <f t="shared" si="39"/>
        <v>0</v>
      </c>
      <c r="R127" s="1065">
        <f t="shared" si="40"/>
        <v>0</v>
      </c>
      <c r="S127" s="1099" t="s">
        <v>869</v>
      </c>
      <c r="T127" s="1100">
        <v>1410190420</v>
      </c>
      <c r="U127" s="1099">
        <v>414</v>
      </c>
      <c r="V127" s="1099">
        <v>14022</v>
      </c>
    </row>
    <row r="128" spans="1:22" ht="95.25" customHeight="1">
      <c r="A128" s="1136" t="s">
        <v>742</v>
      </c>
      <c r="B128" s="1106" t="s">
        <v>863</v>
      </c>
      <c r="C128" s="1158"/>
      <c r="D128" s="874">
        <f>SUM(E128:F128)</f>
        <v>21276.6</v>
      </c>
      <c r="E128" s="879">
        <v>20000</v>
      </c>
      <c r="F128" s="879">
        <v>1276.5999999999999</v>
      </c>
      <c r="G128" s="874">
        <f>SUM(H128:I128)</f>
        <v>21276.6</v>
      </c>
      <c r="H128" s="879">
        <v>20000</v>
      </c>
      <c r="I128" s="879">
        <v>1276.5999999999999</v>
      </c>
      <c r="J128" s="874">
        <f>SUM(K128:L128)</f>
        <v>0</v>
      </c>
      <c r="K128" s="879">
        <v>0</v>
      </c>
      <c r="L128" s="879">
        <v>0</v>
      </c>
      <c r="M128" s="876">
        <f t="shared" si="31"/>
        <v>0</v>
      </c>
      <c r="N128" s="877">
        <f>IF(K128=0,0,K128/H128*100)</f>
        <v>0</v>
      </c>
      <c r="O128" s="877">
        <f>IF(L128=0,0,L128/I128*100)</f>
        <v>0</v>
      </c>
      <c r="P128" s="1065"/>
      <c r="Q128" s="1065"/>
      <c r="R128" s="1065"/>
      <c r="S128" s="1099" t="s">
        <v>928</v>
      </c>
      <c r="T128" s="1100" t="s">
        <v>932</v>
      </c>
      <c r="U128" s="1099">
        <v>414</v>
      </c>
      <c r="V128" s="1099" t="s">
        <v>933</v>
      </c>
    </row>
    <row r="129" spans="1:24" ht="52.5">
      <c r="A129" s="1136" t="s">
        <v>782</v>
      </c>
      <c r="B129" s="1127" t="s">
        <v>841</v>
      </c>
      <c r="C129" s="1187"/>
      <c r="D129" s="874">
        <f t="shared" ref="D129:D139" si="44">SUM(E129:F129)</f>
        <v>3420</v>
      </c>
      <c r="E129" s="879"/>
      <c r="F129" s="970">
        <v>3420</v>
      </c>
      <c r="G129" s="874">
        <f t="shared" ref="G129:G139" si="45">SUM(H129:I129)</f>
        <v>3420</v>
      </c>
      <c r="H129" s="1083"/>
      <c r="I129" s="970">
        <v>3420</v>
      </c>
      <c r="J129" s="874">
        <f t="shared" ref="J129:J139" si="46">SUM(K129:L129)</f>
        <v>0</v>
      </c>
      <c r="K129" s="879">
        <v>0</v>
      </c>
      <c r="L129" s="879">
        <v>0</v>
      </c>
      <c r="M129" s="876">
        <f t="shared" si="31"/>
        <v>0</v>
      </c>
      <c r="N129" s="877">
        <f t="shared" si="43"/>
        <v>0</v>
      </c>
      <c r="O129" s="877">
        <f t="shared" si="43"/>
        <v>0</v>
      </c>
      <c r="P129" s="1065">
        <f t="shared" si="42"/>
        <v>0</v>
      </c>
      <c r="Q129" s="1065">
        <f t="shared" ref="Q129:Q141" si="47">E129-H129</f>
        <v>0</v>
      </c>
      <c r="R129" s="1065">
        <f t="shared" ref="R129:R141" si="48">F129-I129</f>
        <v>0</v>
      </c>
      <c r="S129" s="1099" t="s">
        <v>886</v>
      </c>
      <c r="T129" s="1100" t="s">
        <v>892</v>
      </c>
      <c r="U129" s="1099">
        <v>414</v>
      </c>
      <c r="V129" s="1099">
        <v>14076</v>
      </c>
    </row>
    <row r="130" spans="1:24" ht="52.5">
      <c r="A130" s="1136" t="s">
        <v>817</v>
      </c>
      <c r="B130" s="1127" t="s">
        <v>842</v>
      </c>
      <c r="C130" s="1187"/>
      <c r="D130" s="874">
        <f t="shared" si="44"/>
        <v>2710</v>
      </c>
      <c r="E130" s="879"/>
      <c r="F130" s="970">
        <v>2710</v>
      </c>
      <c r="G130" s="874">
        <f t="shared" si="45"/>
        <v>2710</v>
      </c>
      <c r="H130" s="1083"/>
      <c r="I130" s="970">
        <v>2710</v>
      </c>
      <c r="J130" s="874">
        <f t="shared" si="46"/>
        <v>0</v>
      </c>
      <c r="K130" s="879">
        <v>0</v>
      </c>
      <c r="L130" s="879">
        <v>0</v>
      </c>
      <c r="M130" s="876">
        <f t="shared" si="31"/>
        <v>0</v>
      </c>
      <c r="N130" s="877">
        <f t="shared" si="43"/>
        <v>0</v>
      </c>
      <c r="O130" s="877">
        <f t="shared" si="43"/>
        <v>0</v>
      </c>
      <c r="P130" s="1065">
        <f t="shared" si="42"/>
        <v>0</v>
      </c>
      <c r="Q130" s="1065">
        <f t="shared" si="47"/>
        <v>0</v>
      </c>
      <c r="R130" s="1065">
        <f t="shared" si="48"/>
        <v>0</v>
      </c>
      <c r="S130" s="1099" t="s">
        <v>886</v>
      </c>
      <c r="T130" s="1100" t="s">
        <v>892</v>
      </c>
      <c r="U130" s="1099">
        <v>414</v>
      </c>
      <c r="V130" s="1099">
        <v>14077</v>
      </c>
    </row>
    <row r="131" spans="1:24" ht="78.75">
      <c r="A131" s="1136" t="s">
        <v>818</v>
      </c>
      <c r="B131" s="1127" t="s">
        <v>843</v>
      </c>
      <c r="C131" s="1187"/>
      <c r="D131" s="874">
        <f t="shared" si="44"/>
        <v>2640</v>
      </c>
      <c r="E131" s="879"/>
      <c r="F131" s="970">
        <v>2640</v>
      </c>
      <c r="G131" s="874">
        <f t="shared" si="45"/>
        <v>2640</v>
      </c>
      <c r="H131" s="1083"/>
      <c r="I131" s="970">
        <v>2640</v>
      </c>
      <c r="J131" s="874">
        <f t="shared" si="46"/>
        <v>0</v>
      </c>
      <c r="K131" s="879">
        <v>0</v>
      </c>
      <c r="L131" s="879">
        <v>0</v>
      </c>
      <c r="M131" s="876">
        <f t="shared" si="31"/>
        <v>0</v>
      </c>
      <c r="N131" s="877">
        <f t="shared" si="43"/>
        <v>0</v>
      </c>
      <c r="O131" s="877">
        <f t="shared" si="43"/>
        <v>0</v>
      </c>
      <c r="P131" s="1065">
        <f t="shared" si="42"/>
        <v>0</v>
      </c>
      <c r="Q131" s="1065">
        <f t="shared" si="47"/>
        <v>0</v>
      </c>
      <c r="R131" s="1065">
        <f t="shared" si="48"/>
        <v>0</v>
      </c>
      <c r="S131" s="1099" t="s">
        <v>886</v>
      </c>
      <c r="T131" s="1100" t="s">
        <v>892</v>
      </c>
      <c r="U131" s="1099">
        <v>414</v>
      </c>
      <c r="V131" s="1099">
        <v>14078</v>
      </c>
    </row>
    <row r="132" spans="1:24" ht="78.75">
      <c r="A132" s="1136" t="s">
        <v>819</v>
      </c>
      <c r="B132" s="1127" t="s">
        <v>844</v>
      </c>
      <c r="C132" s="1187"/>
      <c r="D132" s="874">
        <f t="shared" si="44"/>
        <v>2930</v>
      </c>
      <c r="E132" s="879"/>
      <c r="F132" s="970">
        <v>2930</v>
      </c>
      <c r="G132" s="874">
        <f t="shared" si="45"/>
        <v>2930</v>
      </c>
      <c r="H132" s="1083"/>
      <c r="I132" s="970">
        <v>2930</v>
      </c>
      <c r="J132" s="874">
        <f t="shared" si="46"/>
        <v>0</v>
      </c>
      <c r="K132" s="879">
        <v>0</v>
      </c>
      <c r="L132" s="879">
        <v>0</v>
      </c>
      <c r="M132" s="876">
        <f t="shared" si="31"/>
        <v>0</v>
      </c>
      <c r="N132" s="877">
        <f t="shared" si="43"/>
        <v>0</v>
      </c>
      <c r="O132" s="877">
        <f t="shared" si="43"/>
        <v>0</v>
      </c>
      <c r="P132" s="1065">
        <f t="shared" si="42"/>
        <v>0</v>
      </c>
      <c r="Q132" s="1065">
        <f t="shared" si="47"/>
        <v>0</v>
      </c>
      <c r="R132" s="1065">
        <f t="shared" si="48"/>
        <v>0</v>
      </c>
      <c r="S132" s="1099" t="s">
        <v>886</v>
      </c>
      <c r="T132" s="1100" t="s">
        <v>892</v>
      </c>
      <c r="U132" s="1099">
        <v>414</v>
      </c>
      <c r="V132" s="1099">
        <v>14079</v>
      </c>
    </row>
    <row r="133" spans="1:24" ht="78.75">
      <c r="A133" s="1136" t="s">
        <v>762</v>
      </c>
      <c r="B133" s="1127" t="s">
        <v>845</v>
      </c>
      <c r="C133" s="1187"/>
      <c r="D133" s="874">
        <f t="shared" si="44"/>
        <v>5180</v>
      </c>
      <c r="E133" s="1085"/>
      <c r="F133" s="970">
        <v>5180</v>
      </c>
      <c r="G133" s="874">
        <f t="shared" si="45"/>
        <v>5180</v>
      </c>
      <c r="H133" s="1085"/>
      <c r="I133" s="970">
        <v>5180</v>
      </c>
      <c r="J133" s="874">
        <f t="shared" si="46"/>
        <v>0</v>
      </c>
      <c r="K133" s="879">
        <v>0</v>
      </c>
      <c r="L133" s="879">
        <v>0</v>
      </c>
      <c r="M133" s="876">
        <f t="shared" si="31"/>
        <v>0</v>
      </c>
      <c r="N133" s="877">
        <f t="shared" si="43"/>
        <v>0</v>
      </c>
      <c r="O133" s="877">
        <f t="shared" si="43"/>
        <v>0</v>
      </c>
      <c r="P133" s="1065">
        <f t="shared" si="42"/>
        <v>0</v>
      </c>
      <c r="Q133" s="1065">
        <f t="shared" si="47"/>
        <v>0</v>
      </c>
      <c r="R133" s="1065">
        <f t="shared" si="48"/>
        <v>0</v>
      </c>
      <c r="S133" s="1099" t="s">
        <v>886</v>
      </c>
      <c r="T133" s="1100" t="s">
        <v>892</v>
      </c>
      <c r="U133" s="1099">
        <v>414</v>
      </c>
      <c r="V133" s="1099">
        <v>14080</v>
      </c>
    </row>
    <row r="134" spans="1:24" ht="52.5">
      <c r="A134" s="1136" t="s">
        <v>743</v>
      </c>
      <c r="B134" s="1127" t="s">
        <v>846</v>
      </c>
      <c r="C134" s="1187"/>
      <c r="D134" s="874">
        <f t="shared" si="44"/>
        <v>2930</v>
      </c>
      <c r="E134" s="1085"/>
      <c r="F134" s="970">
        <v>2930</v>
      </c>
      <c r="G134" s="874">
        <f t="shared" si="45"/>
        <v>2930</v>
      </c>
      <c r="H134" s="1085"/>
      <c r="I134" s="970">
        <v>2930</v>
      </c>
      <c r="J134" s="874">
        <f t="shared" si="46"/>
        <v>0</v>
      </c>
      <c r="K134" s="879">
        <v>0</v>
      </c>
      <c r="L134" s="879">
        <v>0</v>
      </c>
      <c r="M134" s="876">
        <f t="shared" si="31"/>
        <v>0</v>
      </c>
      <c r="N134" s="877">
        <f t="shared" si="43"/>
        <v>0</v>
      </c>
      <c r="O134" s="877">
        <f t="shared" si="43"/>
        <v>0</v>
      </c>
      <c r="P134" s="1065">
        <f t="shared" si="42"/>
        <v>0</v>
      </c>
      <c r="Q134" s="1065">
        <f t="shared" si="47"/>
        <v>0</v>
      </c>
      <c r="R134" s="1065">
        <f t="shared" si="48"/>
        <v>0</v>
      </c>
      <c r="S134" s="1099" t="s">
        <v>886</v>
      </c>
      <c r="T134" s="1100" t="s">
        <v>892</v>
      </c>
      <c r="U134" s="1099">
        <v>414</v>
      </c>
      <c r="V134" s="1099">
        <v>14081</v>
      </c>
    </row>
    <row r="135" spans="1:24" ht="78.75">
      <c r="A135" s="1136" t="s">
        <v>744</v>
      </c>
      <c r="B135" s="1127" t="s">
        <v>847</v>
      </c>
      <c r="C135" s="1187"/>
      <c r="D135" s="874">
        <f t="shared" si="44"/>
        <v>2090</v>
      </c>
      <c r="E135" s="1085"/>
      <c r="F135" s="970">
        <v>2090</v>
      </c>
      <c r="G135" s="874">
        <f t="shared" si="45"/>
        <v>2090</v>
      </c>
      <c r="H135" s="1085"/>
      <c r="I135" s="970">
        <v>2090</v>
      </c>
      <c r="J135" s="874">
        <f t="shared" si="46"/>
        <v>0</v>
      </c>
      <c r="K135" s="879">
        <v>0</v>
      </c>
      <c r="L135" s="879">
        <v>0</v>
      </c>
      <c r="M135" s="876">
        <f t="shared" ref="M135:M153" si="49">IF(J135=0,0,J135/G135*100)</f>
        <v>0</v>
      </c>
      <c r="N135" s="877">
        <f t="shared" si="43"/>
        <v>0</v>
      </c>
      <c r="O135" s="877">
        <f t="shared" si="43"/>
        <v>0</v>
      </c>
      <c r="P135" s="1065">
        <f t="shared" si="42"/>
        <v>0</v>
      </c>
      <c r="Q135" s="1065">
        <f t="shared" si="47"/>
        <v>0</v>
      </c>
      <c r="R135" s="1065">
        <f t="shared" si="48"/>
        <v>0</v>
      </c>
      <c r="S135" s="1099" t="s">
        <v>886</v>
      </c>
      <c r="T135" s="1100" t="s">
        <v>892</v>
      </c>
      <c r="U135" s="1099">
        <v>414</v>
      </c>
      <c r="V135" s="1099">
        <v>14082</v>
      </c>
    </row>
    <row r="136" spans="1:24" ht="78.75">
      <c r="A136" s="1136" t="s">
        <v>745</v>
      </c>
      <c r="B136" s="1127" t="s">
        <v>848</v>
      </c>
      <c r="C136" s="1187"/>
      <c r="D136" s="874">
        <f t="shared" si="44"/>
        <v>2230</v>
      </c>
      <c r="E136" s="1085"/>
      <c r="F136" s="970">
        <v>2230</v>
      </c>
      <c r="G136" s="874">
        <f t="shared" si="45"/>
        <v>2230</v>
      </c>
      <c r="H136" s="1085"/>
      <c r="I136" s="970">
        <v>2230</v>
      </c>
      <c r="J136" s="874">
        <f t="shared" si="46"/>
        <v>0</v>
      </c>
      <c r="K136" s="879">
        <v>0</v>
      </c>
      <c r="L136" s="879">
        <v>0</v>
      </c>
      <c r="M136" s="876">
        <f t="shared" si="49"/>
        <v>0</v>
      </c>
      <c r="N136" s="877">
        <f t="shared" si="43"/>
        <v>0</v>
      </c>
      <c r="O136" s="877">
        <f t="shared" si="43"/>
        <v>0</v>
      </c>
      <c r="P136" s="1065">
        <f t="shared" si="42"/>
        <v>0</v>
      </c>
      <c r="Q136" s="1065">
        <f t="shared" si="47"/>
        <v>0</v>
      </c>
      <c r="R136" s="1065">
        <f t="shared" si="48"/>
        <v>0</v>
      </c>
      <c r="S136" s="1099" t="s">
        <v>886</v>
      </c>
      <c r="T136" s="1100" t="s">
        <v>892</v>
      </c>
      <c r="U136" s="1099">
        <v>414</v>
      </c>
      <c r="V136" s="1099">
        <v>14083</v>
      </c>
    </row>
    <row r="137" spans="1:24" ht="52.5">
      <c r="A137" s="1136" t="s">
        <v>746</v>
      </c>
      <c r="B137" s="1127" t="s">
        <v>849</v>
      </c>
      <c r="C137" s="1187"/>
      <c r="D137" s="874">
        <f t="shared" si="44"/>
        <v>1650</v>
      </c>
      <c r="E137" s="1085"/>
      <c r="F137" s="970">
        <v>1650</v>
      </c>
      <c r="G137" s="874">
        <f t="shared" si="45"/>
        <v>1650</v>
      </c>
      <c r="H137" s="1085"/>
      <c r="I137" s="970">
        <v>1650</v>
      </c>
      <c r="J137" s="874">
        <f t="shared" si="46"/>
        <v>0</v>
      </c>
      <c r="K137" s="879">
        <v>0</v>
      </c>
      <c r="L137" s="879">
        <v>0</v>
      </c>
      <c r="M137" s="876">
        <f t="shared" si="49"/>
        <v>0</v>
      </c>
      <c r="N137" s="877">
        <f t="shared" si="43"/>
        <v>0</v>
      </c>
      <c r="O137" s="877">
        <f t="shared" si="43"/>
        <v>0</v>
      </c>
      <c r="P137" s="1065">
        <f t="shared" si="42"/>
        <v>0</v>
      </c>
      <c r="Q137" s="1065">
        <f t="shared" si="47"/>
        <v>0</v>
      </c>
      <c r="R137" s="1065">
        <f t="shared" si="48"/>
        <v>0</v>
      </c>
      <c r="S137" s="1099" t="s">
        <v>886</v>
      </c>
      <c r="T137" s="1100" t="s">
        <v>892</v>
      </c>
      <c r="U137" s="1099">
        <v>414</v>
      </c>
      <c r="V137" s="1099">
        <v>14084</v>
      </c>
    </row>
    <row r="138" spans="1:24" ht="52.5">
      <c r="A138" s="1136" t="s">
        <v>747</v>
      </c>
      <c r="B138" s="1127" t="s">
        <v>850</v>
      </c>
      <c r="C138" s="1187"/>
      <c r="D138" s="874">
        <f t="shared" si="44"/>
        <v>2640</v>
      </c>
      <c r="E138" s="1085"/>
      <c r="F138" s="970">
        <v>2640</v>
      </c>
      <c r="G138" s="874">
        <f t="shared" si="45"/>
        <v>2640</v>
      </c>
      <c r="H138" s="1085"/>
      <c r="I138" s="970">
        <v>2640</v>
      </c>
      <c r="J138" s="874">
        <f t="shared" si="46"/>
        <v>0</v>
      </c>
      <c r="K138" s="879">
        <v>0</v>
      </c>
      <c r="L138" s="879">
        <v>0</v>
      </c>
      <c r="M138" s="876">
        <f t="shared" si="49"/>
        <v>0</v>
      </c>
      <c r="N138" s="877">
        <f t="shared" si="43"/>
        <v>0</v>
      </c>
      <c r="O138" s="877">
        <f t="shared" si="43"/>
        <v>0</v>
      </c>
      <c r="P138" s="1065">
        <f t="shared" ref="P138:P145" si="50">D138-G138</f>
        <v>0</v>
      </c>
      <c r="Q138" s="1065">
        <f t="shared" si="47"/>
        <v>0</v>
      </c>
      <c r="R138" s="1065">
        <f t="shared" si="48"/>
        <v>0</v>
      </c>
      <c r="S138" s="1099" t="s">
        <v>886</v>
      </c>
      <c r="T138" s="1100" t="s">
        <v>892</v>
      </c>
      <c r="U138" s="1099">
        <v>414</v>
      </c>
      <c r="V138" s="1099">
        <v>14085</v>
      </c>
    </row>
    <row r="139" spans="1:24" ht="74.25" customHeight="1">
      <c r="A139" s="1136" t="s">
        <v>748</v>
      </c>
      <c r="B139" s="1127" t="s">
        <v>851</v>
      </c>
      <c r="C139" s="1187"/>
      <c r="D139" s="874">
        <f t="shared" si="44"/>
        <v>3420</v>
      </c>
      <c r="E139" s="1085"/>
      <c r="F139" s="970">
        <v>3420</v>
      </c>
      <c r="G139" s="874">
        <f t="shared" si="45"/>
        <v>3420</v>
      </c>
      <c r="H139" s="1085"/>
      <c r="I139" s="970">
        <v>3420</v>
      </c>
      <c r="J139" s="874">
        <f t="shared" si="46"/>
        <v>0</v>
      </c>
      <c r="K139" s="879">
        <v>0</v>
      </c>
      <c r="L139" s="879">
        <v>0</v>
      </c>
      <c r="M139" s="876">
        <f t="shared" si="49"/>
        <v>0</v>
      </c>
      <c r="N139" s="877">
        <f t="shared" si="43"/>
        <v>0</v>
      </c>
      <c r="O139" s="877">
        <f t="shared" si="43"/>
        <v>0</v>
      </c>
      <c r="P139" s="1065">
        <f t="shared" si="50"/>
        <v>0</v>
      </c>
      <c r="Q139" s="1065">
        <f t="shared" si="47"/>
        <v>0</v>
      </c>
      <c r="R139" s="1065">
        <f t="shared" si="48"/>
        <v>0</v>
      </c>
      <c r="S139" s="1099" t="s">
        <v>886</v>
      </c>
      <c r="T139" s="1100" t="s">
        <v>892</v>
      </c>
      <c r="U139" s="1099">
        <v>414</v>
      </c>
      <c r="V139" s="1099">
        <v>14086</v>
      </c>
    </row>
    <row r="140" spans="1:24" ht="52.5">
      <c r="A140" s="1136" t="s">
        <v>749</v>
      </c>
      <c r="B140" s="1127" t="s">
        <v>852</v>
      </c>
      <c r="C140" s="1187"/>
      <c r="D140" s="874">
        <f t="shared" ref="D140:D145" si="51">SUM(E140:F140)</f>
        <v>2230</v>
      </c>
      <c r="E140" s="1085"/>
      <c r="F140" s="970">
        <v>2230</v>
      </c>
      <c r="G140" s="874">
        <f t="shared" ref="G140:G178" si="52">SUM(H140:I140)</f>
        <v>2230</v>
      </c>
      <c r="H140" s="1085"/>
      <c r="I140" s="970">
        <v>2230</v>
      </c>
      <c r="J140" s="874">
        <f t="shared" ref="J140:J145" si="53">SUM(K140:L140)</f>
        <v>0</v>
      </c>
      <c r="K140" s="879">
        <v>0</v>
      </c>
      <c r="L140" s="879">
        <v>0</v>
      </c>
      <c r="M140" s="876">
        <f t="shared" si="49"/>
        <v>0</v>
      </c>
      <c r="N140" s="877">
        <f t="shared" ref="N140:O145" si="54">IF(K140=0,0,K140/H140*100)</f>
        <v>0</v>
      </c>
      <c r="O140" s="877">
        <f t="shared" si="54"/>
        <v>0</v>
      </c>
      <c r="P140" s="1065">
        <f t="shared" si="50"/>
        <v>0</v>
      </c>
      <c r="Q140" s="1065">
        <f t="shared" si="47"/>
        <v>0</v>
      </c>
      <c r="R140" s="1065">
        <f t="shared" si="48"/>
        <v>0</v>
      </c>
      <c r="S140" s="1099" t="s">
        <v>886</v>
      </c>
      <c r="T140" s="1100" t="s">
        <v>892</v>
      </c>
      <c r="U140" s="1099">
        <v>414</v>
      </c>
      <c r="V140" s="1099">
        <v>14087</v>
      </c>
    </row>
    <row r="141" spans="1:24" ht="52.5">
      <c r="A141" s="1136" t="s">
        <v>750</v>
      </c>
      <c r="B141" s="1127" t="s">
        <v>853</v>
      </c>
      <c r="C141" s="1187"/>
      <c r="D141" s="874">
        <f t="shared" si="51"/>
        <v>2930</v>
      </c>
      <c r="E141" s="879"/>
      <c r="F141" s="970">
        <v>2930</v>
      </c>
      <c r="G141" s="874">
        <f t="shared" si="52"/>
        <v>2930</v>
      </c>
      <c r="H141" s="1083"/>
      <c r="I141" s="970">
        <v>2930</v>
      </c>
      <c r="J141" s="874">
        <f t="shared" si="53"/>
        <v>0</v>
      </c>
      <c r="K141" s="879">
        <v>0</v>
      </c>
      <c r="L141" s="879">
        <v>0</v>
      </c>
      <c r="M141" s="876">
        <f t="shared" si="49"/>
        <v>0</v>
      </c>
      <c r="N141" s="877">
        <f t="shared" si="54"/>
        <v>0</v>
      </c>
      <c r="O141" s="877">
        <f t="shared" si="54"/>
        <v>0</v>
      </c>
      <c r="P141" s="1065">
        <f t="shared" si="50"/>
        <v>0</v>
      </c>
      <c r="Q141" s="1065">
        <f t="shared" si="47"/>
        <v>0</v>
      </c>
      <c r="R141" s="1065">
        <f t="shared" si="48"/>
        <v>0</v>
      </c>
      <c r="S141" s="1099" t="s">
        <v>886</v>
      </c>
      <c r="T141" s="1100" t="s">
        <v>892</v>
      </c>
      <c r="U141" s="1099">
        <v>414</v>
      </c>
      <c r="V141" s="1099">
        <v>14088</v>
      </c>
    </row>
    <row r="142" spans="1:24" s="515" customFormat="1" ht="125.25" customHeight="1">
      <c r="A142" s="1135" t="s">
        <v>751</v>
      </c>
      <c r="B142" s="987" t="s">
        <v>864</v>
      </c>
      <c r="C142" s="1188"/>
      <c r="D142" s="874">
        <f t="shared" si="51"/>
        <v>23733</v>
      </c>
      <c r="E142" s="1085">
        <v>0</v>
      </c>
      <c r="F142" s="1085">
        <v>23733</v>
      </c>
      <c r="G142" s="874">
        <f>SUM(H142:I142)</f>
        <v>23733</v>
      </c>
      <c r="H142" s="1085">
        <v>0</v>
      </c>
      <c r="I142" s="1085">
        <v>23733</v>
      </c>
      <c r="J142" s="874">
        <f t="shared" si="53"/>
        <v>0</v>
      </c>
      <c r="K142" s="1085">
        <v>0</v>
      </c>
      <c r="L142" s="1085">
        <v>0</v>
      </c>
      <c r="M142" s="876">
        <f t="shared" si="49"/>
        <v>0</v>
      </c>
      <c r="N142" s="877">
        <f t="shared" ref="N142:O144" si="55">IF(K142=0,0,K142/H142*100)</f>
        <v>0</v>
      </c>
      <c r="O142" s="877">
        <f t="shared" si="55"/>
        <v>0</v>
      </c>
      <c r="P142" s="1065">
        <f t="shared" si="50"/>
        <v>0</v>
      </c>
      <c r="Q142" s="1065">
        <f t="shared" ref="Q142:R145" si="56">E142-H142</f>
        <v>0</v>
      </c>
      <c r="R142" s="1065">
        <f t="shared" si="56"/>
        <v>0</v>
      </c>
      <c r="S142" s="1099" t="s">
        <v>872</v>
      </c>
      <c r="T142" s="1100">
        <v>1130390400</v>
      </c>
      <c r="U142" s="1099">
        <v>414</v>
      </c>
      <c r="V142" s="1099">
        <v>10122</v>
      </c>
      <c r="W142" s="1129"/>
      <c r="X142" s="783"/>
    </row>
    <row r="143" spans="1:24" ht="52.5">
      <c r="A143" s="1136" t="s">
        <v>854</v>
      </c>
      <c r="B143" s="1127" t="s">
        <v>522</v>
      </c>
      <c r="C143" s="1187"/>
      <c r="D143" s="874">
        <f t="shared" si="51"/>
        <v>54207.7</v>
      </c>
      <c r="E143" s="879"/>
      <c r="F143" s="970">
        <v>54207.7</v>
      </c>
      <c r="G143" s="874">
        <f t="shared" si="52"/>
        <v>0</v>
      </c>
      <c r="H143" s="1083"/>
      <c r="I143" s="970"/>
      <c r="J143" s="874">
        <f t="shared" si="53"/>
        <v>0</v>
      </c>
      <c r="K143" s="879">
        <v>0</v>
      </c>
      <c r="L143" s="879">
        <v>0</v>
      </c>
      <c r="M143" s="876">
        <f t="shared" si="49"/>
        <v>0</v>
      </c>
      <c r="N143" s="877">
        <f t="shared" si="55"/>
        <v>0</v>
      </c>
      <c r="O143" s="877">
        <f t="shared" si="55"/>
        <v>0</v>
      </c>
      <c r="P143" s="1065">
        <f t="shared" si="50"/>
        <v>54207.7</v>
      </c>
      <c r="Q143" s="1065">
        <f t="shared" si="56"/>
        <v>0</v>
      </c>
      <c r="R143" s="1065">
        <f t="shared" si="56"/>
        <v>54207.7</v>
      </c>
      <c r="S143" s="1099" t="s">
        <v>886</v>
      </c>
      <c r="T143" s="1100">
        <v>1900290400</v>
      </c>
      <c r="U143" s="1099">
        <v>414</v>
      </c>
      <c r="V143" s="1099">
        <v>10123</v>
      </c>
    </row>
    <row r="144" spans="1:24" ht="52.5">
      <c r="A144" s="1136" t="s">
        <v>820</v>
      </c>
      <c r="B144" s="1127" t="s">
        <v>919</v>
      </c>
      <c r="C144" s="1187"/>
      <c r="D144" s="874">
        <f t="shared" si="51"/>
        <v>37461.300000000003</v>
      </c>
      <c r="E144" s="879"/>
      <c r="F144" s="970">
        <v>37461.300000000003</v>
      </c>
      <c r="G144" s="874">
        <f t="shared" si="52"/>
        <v>0</v>
      </c>
      <c r="H144" s="1083"/>
      <c r="I144" s="970"/>
      <c r="J144" s="874">
        <f t="shared" si="53"/>
        <v>0</v>
      </c>
      <c r="K144" s="879">
        <v>0</v>
      </c>
      <c r="L144" s="879">
        <v>0</v>
      </c>
      <c r="M144" s="876">
        <f t="shared" si="49"/>
        <v>0</v>
      </c>
      <c r="N144" s="877">
        <f t="shared" si="55"/>
        <v>0</v>
      </c>
      <c r="O144" s="877">
        <f t="shared" si="55"/>
        <v>0</v>
      </c>
      <c r="P144" s="1065">
        <f t="shared" si="50"/>
        <v>37461.300000000003</v>
      </c>
      <c r="Q144" s="1065">
        <f t="shared" si="56"/>
        <v>0</v>
      </c>
      <c r="R144" s="1065">
        <f t="shared" si="56"/>
        <v>37461.300000000003</v>
      </c>
      <c r="S144" s="1099" t="s">
        <v>886</v>
      </c>
      <c r="T144" s="1100">
        <v>1900290400</v>
      </c>
      <c r="U144" s="1099">
        <v>414</v>
      </c>
      <c r="V144" s="1099">
        <v>10124</v>
      </c>
    </row>
    <row r="145" spans="1:24" s="914" customFormat="1" ht="67.5" customHeight="1">
      <c r="A145" s="1132"/>
      <c r="B145" s="1050" t="s">
        <v>444</v>
      </c>
      <c r="C145" s="1189"/>
      <c r="D145" s="1051">
        <f t="shared" si="51"/>
        <v>2244030.1</v>
      </c>
      <c r="E145" s="1052">
        <f>SUM(E146:E205)</f>
        <v>2001045.4</v>
      </c>
      <c r="F145" s="1051">
        <f>SUM(F147:F205)</f>
        <v>242984.7</v>
      </c>
      <c r="G145" s="1051">
        <f t="shared" si="52"/>
        <v>2244030.1</v>
      </c>
      <c r="H145" s="1051">
        <f>SUM(H146:H205)</f>
        <v>2001045.4</v>
      </c>
      <c r="I145" s="1051">
        <f>SUM(I146:I205)</f>
        <v>242984.7</v>
      </c>
      <c r="J145" s="1051">
        <f t="shared" si="53"/>
        <v>42206.6</v>
      </c>
      <c r="K145" s="1051">
        <f>SUM(K146:K205)</f>
        <v>27760.7</v>
      </c>
      <c r="L145" s="1051">
        <f>SUM(L146:L205)</f>
        <v>14445.9</v>
      </c>
      <c r="M145" s="1053">
        <f t="shared" si="49"/>
        <v>1.9</v>
      </c>
      <c r="N145" s="1053">
        <f t="shared" si="54"/>
        <v>1.4</v>
      </c>
      <c r="O145" s="1053">
        <f t="shared" si="54"/>
        <v>5.9</v>
      </c>
      <c r="P145" s="1065">
        <f t="shared" si="50"/>
        <v>0</v>
      </c>
      <c r="Q145" s="1065">
        <f t="shared" si="56"/>
        <v>0</v>
      </c>
      <c r="R145" s="1065">
        <f t="shared" si="56"/>
        <v>0</v>
      </c>
      <c r="S145" s="1114"/>
      <c r="T145" s="1100"/>
      <c r="U145" s="1099"/>
      <c r="V145" s="1099"/>
      <c r="W145" s="1098"/>
      <c r="X145" s="913"/>
    </row>
    <row r="146" spans="1:24" ht="52.5" hidden="1">
      <c r="A146" s="1132"/>
      <c r="B146" s="937" t="s">
        <v>797</v>
      </c>
      <c r="C146" s="1186"/>
      <c r="D146" s="874">
        <f t="shared" ref="D146:D157" si="57">SUM(E146:F146)</f>
        <v>0</v>
      </c>
      <c r="E146" s="1068">
        <v>0</v>
      </c>
      <c r="F146" s="1085"/>
      <c r="G146" s="874">
        <f t="shared" si="52"/>
        <v>0</v>
      </c>
      <c r="H146" s="1085"/>
      <c r="I146" s="1085"/>
      <c r="J146" s="874">
        <f t="shared" ref="J146:J157" si="58">SUM(K146:L146)</f>
        <v>0</v>
      </c>
      <c r="K146" s="1085"/>
      <c r="L146" s="1085"/>
      <c r="M146" s="876">
        <f t="shared" si="49"/>
        <v>0</v>
      </c>
      <c r="N146" s="877">
        <f>IF(K146=0,0,K146/H146*100)</f>
        <v>0</v>
      </c>
      <c r="O146" s="877">
        <f>IF(L146=0,0,L146/I146*100)</f>
        <v>0</v>
      </c>
      <c r="P146" s="1065">
        <f t="shared" si="42"/>
        <v>0</v>
      </c>
      <c r="Q146" s="1065">
        <f t="shared" ref="Q146:Q174" si="59">E146-H146</f>
        <v>0</v>
      </c>
      <c r="R146" s="1065">
        <f t="shared" ref="R146:R174" si="60">F146-I146</f>
        <v>0</v>
      </c>
    </row>
    <row r="147" spans="1:24" ht="105">
      <c r="A147" s="1135" t="s">
        <v>834</v>
      </c>
      <c r="B147" s="955" t="s">
        <v>648</v>
      </c>
      <c r="C147" s="1190"/>
      <c r="D147" s="874">
        <f t="shared" si="57"/>
        <v>800</v>
      </c>
      <c r="E147" s="1085">
        <v>0</v>
      </c>
      <c r="F147" s="1085">
        <v>800</v>
      </c>
      <c r="G147" s="874">
        <f t="shared" si="52"/>
        <v>800</v>
      </c>
      <c r="H147" s="1085">
        <v>0</v>
      </c>
      <c r="I147" s="1085">
        <v>800</v>
      </c>
      <c r="J147" s="874">
        <f t="shared" si="58"/>
        <v>0</v>
      </c>
      <c r="K147" s="1085">
        <v>0</v>
      </c>
      <c r="L147" s="1085">
        <v>0</v>
      </c>
      <c r="M147" s="876">
        <f t="shared" si="49"/>
        <v>0</v>
      </c>
      <c r="N147" s="877">
        <f>IF(K147=0,0,K147/H147*100)</f>
        <v>0</v>
      </c>
      <c r="O147" s="877">
        <f>IF(L147=0,0,L147/I147*100)</f>
        <v>0</v>
      </c>
      <c r="P147" s="1065">
        <f t="shared" si="42"/>
        <v>0</v>
      </c>
      <c r="Q147" s="1065">
        <f t="shared" si="59"/>
        <v>0</v>
      </c>
      <c r="R147" s="1065">
        <f t="shared" si="60"/>
        <v>0</v>
      </c>
      <c r="S147" s="1099" t="s">
        <v>886</v>
      </c>
      <c r="T147" s="1100">
        <v>1820190400</v>
      </c>
      <c r="U147" s="1099">
        <v>414</v>
      </c>
      <c r="V147" s="1099">
        <v>14054</v>
      </c>
    </row>
    <row r="148" spans="1:24" ht="78.75">
      <c r="A148" s="1135" t="s">
        <v>835</v>
      </c>
      <c r="B148" s="956" t="s">
        <v>649</v>
      </c>
      <c r="C148" s="1176"/>
      <c r="D148" s="874">
        <f t="shared" ref="D148:D153" si="61">SUM(E148:F148)</f>
        <v>100</v>
      </c>
      <c r="E148" s="1085">
        <v>0</v>
      </c>
      <c r="F148" s="1085">
        <v>100</v>
      </c>
      <c r="G148" s="874">
        <f t="shared" si="52"/>
        <v>100</v>
      </c>
      <c r="H148" s="1085">
        <v>0</v>
      </c>
      <c r="I148" s="1085">
        <v>100</v>
      </c>
      <c r="J148" s="874">
        <f t="shared" ref="J148:J153" si="62">SUM(K148:L148)</f>
        <v>0</v>
      </c>
      <c r="K148" s="1128"/>
      <c r="L148" s="1128"/>
      <c r="M148" s="876">
        <f t="shared" si="49"/>
        <v>0</v>
      </c>
      <c r="N148" s="877">
        <f t="shared" ref="N148:O153" si="63">IF(K148=0,0,K148/H148*100)</f>
        <v>0</v>
      </c>
      <c r="O148" s="877">
        <f t="shared" si="63"/>
        <v>0</v>
      </c>
      <c r="P148" s="1065">
        <f t="shared" ref="P148:P153" si="64">D148-G148</f>
        <v>0</v>
      </c>
      <c r="Q148" s="1065">
        <f t="shared" si="59"/>
        <v>0</v>
      </c>
      <c r="R148" s="1065">
        <f t="shared" si="60"/>
        <v>0</v>
      </c>
      <c r="S148" s="1099" t="s">
        <v>886</v>
      </c>
      <c r="T148" s="1100">
        <v>1820190400</v>
      </c>
      <c r="U148" s="1099">
        <v>414</v>
      </c>
      <c r="V148" s="1099">
        <v>14056</v>
      </c>
    </row>
    <row r="149" spans="1:24" ht="78.75">
      <c r="A149" s="1135" t="s">
        <v>826</v>
      </c>
      <c r="B149" s="956" t="s">
        <v>650</v>
      </c>
      <c r="C149" s="1176"/>
      <c r="D149" s="874">
        <f t="shared" si="61"/>
        <v>1500</v>
      </c>
      <c r="E149" s="1085">
        <v>0</v>
      </c>
      <c r="F149" s="1085">
        <v>1500</v>
      </c>
      <c r="G149" s="874">
        <f t="shared" si="52"/>
        <v>1500</v>
      </c>
      <c r="H149" s="1085">
        <v>0</v>
      </c>
      <c r="I149" s="1085">
        <v>1500</v>
      </c>
      <c r="J149" s="874">
        <f t="shared" si="62"/>
        <v>0</v>
      </c>
      <c r="K149" s="1128"/>
      <c r="L149" s="1128"/>
      <c r="M149" s="876">
        <f t="shared" si="49"/>
        <v>0</v>
      </c>
      <c r="N149" s="877">
        <f t="shared" si="63"/>
        <v>0</v>
      </c>
      <c r="O149" s="877">
        <f t="shared" si="63"/>
        <v>0</v>
      </c>
      <c r="P149" s="1065">
        <f t="shared" si="64"/>
        <v>0</v>
      </c>
      <c r="Q149" s="1065">
        <f t="shared" si="59"/>
        <v>0</v>
      </c>
      <c r="R149" s="1065">
        <f t="shared" si="60"/>
        <v>0</v>
      </c>
      <c r="S149" s="1099" t="s">
        <v>886</v>
      </c>
      <c r="T149" s="1100">
        <v>1820190400</v>
      </c>
      <c r="U149" s="1099">
        <v>414</v>
      </c>
      <c r="V149" s="1099">
        <v>14055</v>
      </c>
    </row>
    <row r="150" spans="1:24" ht="105">
      <c r="A150" s="1136" t="s">
        <v>827</v>
      </c>
      <c r="B150" s="956" t="s">
        <v>651</v>
      </c>
      <c r="C150" s="1176"/>
      <c r="D150" s="874">
        <f t="shared" si="61"/>
        <v>100</v>
      </c>
      <c r="E150" s="1085">
        <v>0</v>
      </c>
      <c r="F150" s="1085">
        <v>100</v>
      </c>
      <c r="G150" s="874">
        <f t="shared" si="52"/>
        <v>100</v>
      </c>
      <c r="H150" s="1085">
        <v>0</v>
      </c>
      <c r="I150" s="1085">
        <v>100</v>
      </c>
      <c r="J150" s="874">
        <f t="shared" si="62"/>
        <v>0</v>
      </c>
      <c r="K150" s="1128"/>
      <c r="L150" s="1128"/>
      <c r="M150" s="876">
        <f t="shared" si="49"/>
        <v>0</v>
      </c>
      <c r="N150" s="877">
        <f t="shared" si="63"/>
        <v>0</v>
      </c>
      <c r="O150" s="877">
        <f t="shared" si="63"/>
        <v>0</v>
      </c>
      <c r="P150" s="1065">
        <f t="shared" si="64"/>
        <v>0</v>
      </c>
      <c r="Q150" s="1065">
        <f t="shared" si="59"/>
        <v>0</v>
      </c>
      <c r="R150" s="1065">
        <f t="shared" si="60"/>
        <v>0</v>
      </c>
      <c r="S150" s="1099" t="s">
        <v>886</v>
      </c>
      <c r="T150" s="1100">
        <v>1820190400</v>
      </c>
      <c r="U150" s="1099">
        <v>414</v>
      </c>
      <c r="V150" s="1099">
        <v>14021</v>
      </c>
    </row>
    <row r="151" spans="1:24" ht="111" customHeight="1">
      <c r="A151" s="1136" t="s">
        <v>752</v>
      </c>
      <c r="B151" s="956" t="s">
        <v>830</v>
      </c>
      <c r="C151" s="1176"/>
      <c r="D151" s="874">
        <f t="shared" si="61"/>
        <v>2800</v>
      </c>
      <c r="E151" s="1085">
        <v>0</v>
      </c>
      <c r="F151" s="1085">
        <f>100+2700</f>
        <v>2800</v>
      </c>
      <c r="G151" s="874">
        <f t="shared" si="52"/>
        <v>2800</v>
      </c>
      <c r="H151" s="1085">
        <v>0</v>
      </c>
      <c r="I151" s="1085">
        <v>2800</v>
      </c>
      <c r="J151" s="874">
        <f t="shared" si="62"/>
        <v>0</v>
      </c>
      <c r="K151" s="1128"/>
      <c r="L151" s="1128"/>
      <c r="M151" s="876">
        <f t="shared" si="49"/>
        <v>0</v>
      </c>
      <c r="N151" s="877">
        <f t="shared" si="63"/>
        <v>0</v>
      </c>
      <c r="O151" s="877">
        <f t="shared" si="63"/>
        <v>0</v>
      </c>
      <c r="P151" s="1065">
        <f t="shared" si="64"/>
        <v>0</v>
      </c>
      <c r="Q151" s="1065">
        <f t="shared" si="59"/>
        <v>0</v>
      </c>
      <c r="R151" s="1065">
        <f t="shared" si="60"/>
        <v>0</v>
      </c>
      <c r="S151" s="1099" t="s">
        <v>886</v>
      </c>
      <c r="T151" s="1100">
        <v>1820190400</v>
      </c>
      <c r="U151" s="1099">
        <v>414</v>
      </c>
      <c r="V151" s="1099">
        <v>14046</v>
      </c>
    </row>
    <row r="152" spans="1:24" ht="78.75">
      <c r="A152" s="1136" t="s">
        <v>753</v>
      </c>
      <c r="B152" s="956" t="s">
        <v>831</v>
      </c>
      <c r="C152" s="1176"/>
      <c r="D152" s="874">
        <f t="shared" si="61"/>
        <v>3100</v>
      </c>
      <c r="E152" s="1085">
        <v>0</v>
      </c>
      <c r="F152" s="1085">
        <f>100+3000</f>
        <v>3100</v>
      </c>
      <c r="G152" s="874">
        <f t="shared" si="52"/>
        <v>3100</v>
      </c>
      <c r="H152" s="1085">
        <v>0</v>
      </c>
      <c r="I152" s="1085">
        <v>3100</v>
      </c>
      <c r="J152" s="874">
        <f t="shared" si="62"/>
        <v>0</v>
      </c>
      <c r="K152" s="1128"/>
      <c r="L152" s="1128"/>
      <c r="M152" s="876">
        <f t="shared" si="49"/>
        <v>0</v>
      </c>
      <c r="N152" s="877">
        <f t="shared" si="63"/>
        <v>0</v>
      </c>
      <c r="O152" s="877">
        <f t="shared" si="63"/>
        <v>0</v>
      </c>
      <c r="P152" s="1065">
        <f t="shared" si="64"/>
        <v>0</v>
      </c>
      <c r="Q152" s="1065">
        <f t="shared" si="59"/>
        <v>0</v>
      </c>
      <c r="R152" s="1065">
        <f t="shared" si="60"/>
        <v>0</v>
      </c>
      <c r="S152" s="1099" t="s">
        <v>886</v>
      </c>
      <c r="T152" s="1100">
        <v>1820190400</v>
      </c>
      <c r="U152" s="1099">
        <v>414</v>
      </c>
      <c r="V152" s="1099">
        <v>14048</v>
      </c>
    </row>
    <row r="153" spans="1:24" ht="85.5" customHeight="1">
      <c r="A153" s="1136" t="s">
        <v>754</v>
      </c>
      <c r="B153" s="956" t="s">
        <v>833</v>
      </c>
      <c r="C153" s="1176"/>
      <c r="D153" s="874">
        <f t="shared" si="61"/>
        <v>2200</v>
      </c>
      <c r="E153" s="1085">
        <v>0</v>
      </c>
      <c r="F153" s="1085">
        <v>2200</v>
      </c>
      <c r="G153" s="874">
        <f t="shared" si="52"/>
        <v>2200</v>
      </c>
      <c r="H153" s="1085">
        <v>0</v>
      </c>
      <c r="I153" s="1085">
        <v>2200</v>
      </c>
      <c r="J153" s="874">
        <f t="shared" si="62"/>
        <v>0</v>
      </c>
      <c r="K153" s="1128"/>
      <c r="L153" s="1128"/>
      <c r="M153" s="876">
        <f t="shared" si="49"/>
        <v>0</v>
      </c>
      <c r="N153" s="877">
        <f t="shared" si="63"/>
        <v>0</v>
      </c>
      <c r="O153" s="877">
        <f t="shared" si="63"/>
        <v>0</v>
      </c>
      <c r="P153" s="1065">
        <f t="shared" si="64"/>
        <v>0</v>
      </c>
      <c r="Q153" s="1065">
        <f t="shared" si="59"/>
        <v>0</v>
      </c>
      <c r="R153" s="1065">
        <f t="shared" si="60"/>
        <v>0</v>
      </c>
      <c r="S153" s="1099" t="s">
        <v>886</v>
      </c>
      <c r="T153" s="1100">
        <v>1820190400</v>
      </c>
      <c r="U153" s="1099">
        <v>414</v>
      </c>
      <c r="V153" s="1099">
        <v>14047</v>
      </c>
    </row>
    <row r="154" spans="1:24" ht="84.75" customHeight="1">
      <c r="A154" s="1136" t="s">
        <v>1061</v>
      </c>
      <c r="B154" s="955" t="s">
        <v>705</v>
      </c>
      <c r="C154" s="1190"/>
      <c r="D154" s="874">
        <f t="shared" si="57"/>
        <v>53585.7</v>
      </c>
      <c r="E154" s="1085">
        <v>50369.9</v>
      </c>
      <c r="F154" s="1085">
        <v>3215.8</v>
      </c>
      <c r="G154" s="874">
        <f t="shared" si="52"/>
        <v>53585.7</v>
      </c>
      <c r="H154" s="1085">
        <v>50369.9</v>
      </c>
      <c r="I154" s="1085">
        <v>3215.8</v>
      </c>
      <c r="J154" s="874">
        <f t="shared" si="58"/>
        <v>0</v>
      </c>
      <c r="K154" s="2420"/>
      <c r="L154" s="2420"/>
      <c r="M154" s="2425">
        <f>IF(J154=0,0,J154/G154:G160*100)</f>
        <v>0</v>
      </c>
      <c r="N154" s="2418">
        <f>IF(K154=0,0,K154/H154:H160*100)</f>
        <v>0</v>
      </c>
      <c r="O154" s="2418">
        <f>IF(L154=0,0,L154/I154:I160*100)</f>
        <v>0</v>
      </c>
      <c r="P154" s="1065">
        <f t="shared" si="42"/>
        <v>0</v>
      </c>
      <c r="Q154" s="1065">
        <f t="shared" si="59"/>
        <v>0</v>
      </c>
      <c r="R154" s="1065">
        <f t="shared" si="60"/>
        <v>0</v>
      </c>
      <c r="S154" s="2456" t="s">
        <v>886</v>
      </c>
      <c r="T154" s="2456" t="s">
        <v>912</v>
      </c>
      <c r="U154" s="2456">
        <v>414</v>
      </c>
      <c r="V154" s="2456" t="s">
        <v>890</v>
      </c>
      <c r="W154" s="2452"/>
    </row>
    <row r="155" spans="1:24" ht="78.75">
      <c r="A155" s="1136" t="s">
        <v>911</v>
      </c>
      <c r="B155" s="956" t="s">
        <v>704</v>
      </c>
      <c r="C155" s="1176"/>
      <c r="D155" s="874">
        <f t="shared" si="57"/>
        <v>28400</v>
      </c>
      <c r="E155" s="1085">
        <v>26696</v>
      </c>
      <c r="F155" s="1085">
        <v>1704</v>
      </c>
      <c r="G155" s="874">
        <f t="shared" si="52"/>
        <v>28400</v>
      </c>
      <c r="H155" s="1085">
        <v>26696</v>
      </c>
      <c r="I155" s="1085">
        <v>1704</v>
      </c>
      <c r="J155" s="874">
        <f t="shared" si="58"/>
        <v>0</v>
      </c>
      <c r="K155" s="2421"/>
      <c r="L155" s="2421"/>
      <c r="M155" s="2426"/>
      <c r="N155" s="2428"/>
      <c r="O155" s="2428"/>
      <c r="P155" s="1065">
        <f t="shared" si="42"/>
        <v>0</v>
      </c>
      <c r="Q155" s="1065">
        <f t="shared" si="59"/>
        <v>0</v>
      </c>
      <c r="R155" s="1065">
        <f t="shared" si="60"/>
        <v>0</v>
      </c>
      <c r="S155" s="2456"/>
      <c r="T155" s="2456"/>
      <c r="U155" s="2456"/>
      <c r="V155" s="2456"/>
      <c r="W155" s="2452"/>
    </row>
    <row r="156" spans="1:24" ht="78.75">
      <c r="A156" s="1136" t="s">
        <v>913</v>
      </c>
      <c r="B156" s="956" t="s">
        <v>703</v>
      </c>
      <c r="C156" s="1176"/>
      <c r="D156" s="874">
        <f t="shared" si="57"/>
        <v>54300</v>
      </c>
      <c r="E156" s="1085">
        <v>51042</v>
      </c>
      <c r="F156" s="1085">
        <v>3258</v>
      </c>
      <c r="G156" s="874">
        <f t="shared" si="52"/>
        <v>54300</v>
      </c>
      <c r="H156" s="1085">
        <v>51042</v>
      </c>
      <c r="I156" s="1085">
        <v>3258</v>
      </c>
      <c r="J156" s="874">
        <f t="shared" si="58"/>
        <v>0</v>
      </c>
      <c r="K156" s="2421"/>
      <c r="L156" s="2421"/>
      <c r="M156" s="2426"/>
      <c r="N156" s="2428"/>
      <c r="O156" s="2428"/>
      <c r="P156" s="1065">
        <f t="shared" si="42"/>
        <v>0</v>
      </c>
      <c r="Q156" s="1065">
        <f t="shared" si="59"/>
        <v>0</v>
      </c>
      <c r="R156" s="1065">
        <f t="shared" si="60"/>
        <v>0</v>
      </c>
      <c r="S156" s="2456"/>
      <c r="T156" s="2456"/>
      <c r="U156" s="2456"/>
      <c r="V156" s="2456"/>
      <c r="W156" s="2452"/>
    </row>
    <row r="157" spans="1:24" ht="78.75">
      <c r="A157" s="1136" t="s">
        <v>914</v>
      </c>
      <c r="B157" s="956" t="s">
        <v>702</v>
      </c>
      <c r="C157" s="1176"/>
      <c r="D157" s="874">
        <f t="shared" si="57"/>
        <v>56697.8</v>
      </c>
      <c r="E157" s="1085">
        <v>53295.9</v>
      </c>
      <c r="F157" s="1085">
        <v>3401.9</v>
      </c>
      <c r="G157" s="874">
        <f t="shared" si="52"/>
        <v>56697.8</v>
      </c>
      <c r="H157" s="1085">
        <v>53295.9</v>
      </c>
      <c r="I157" s="1085">
        <v>3401.9</v>
      </c>
      <c r="J157" s="874">
        <f t="shared" si="58"/>
        <v>0</v>
      </c>
      <c r="K157" s="2421"/>
      <c r="L157" s="2421"/>
      <c r="M157" s="2426"/>
      <c r="N157" s="2428"/>
      <c r="O157" s="2428"/>
      <c r="P157" s="1065">
        <f t="shared" si="42"/>
        <v>0</v>
      </c>
      <c r="Q157" s="1065">
        <f t="shared" si="59"/>
        <v>0</v>
      </c>
      <c r="R157" s="1065">
        <f t="shared" si="60"/>
        <v>0</v>
      </c>
      <c r="S157" s="2456"/>
      <c r="T157" s="2456"/>
      <c r="U157" s="2456"/>
      <c r="V157" s="2456"/>
      <c r="W157" s="2452"/>
    </row>
    <row r="158" spans="1:24" ht="52.5">
      <c r="A158" s="1136" t="s">
        <v>934</v>
      </c>
      <c r="B158" s="956" t="s">
        <v>832</v>
      </c>
      <c r="C158" s="1176"/>
      <c r="D158" s="874">
        <f t="shared" ref="D158:D168" si="65">SUM(E158:F158)</f>
        <v>8000</v>
      </c>
      <c r="E158" s="1085">
        <v>7520</v>
      </c>
      <c r="F158" s="1085">
        <v>480</v>
      </c>
      <c r="G158" s="874">
        <f t="shared" si="52"/>
        <v>8000</v>
      </c>
      <c r="H158" s="1085">
        <v>7520</v>
      </c>
      <c r="I158" s="1085">
        <v>480</v>
      </c>
      <c r="J158" s="874">
        <f t="shared" ref="J158:J168" si="66">SUM(K158:L158)</f>
        <v>0</v>
      </c>
      <c r="K158" s="2421"/>
      <c r="L158" s="2421"/>
      <c r="M158" s="2426"/>
      <c r="N158" s="2428"/>
      <c r="O158" s="2428"/>
      <c r="P158" s="1065">
        <f t="shared" ref="P158:P166" si="67">D158-G158</f>
        <v>0</v>
      </c>
      <c r="Q158" s="1065">
        <f t="shared" si="59"/>
        <v>0</v>
      </c>
      <c r="R158" s="1065">
        <f t="shared" si="60"/>
        <v>0</v>
      </c>
      <c r="S158" s="2456"/>
      <c r="T158" s="2456"/>
      <c r="U158" s="2456"/>
      <c r="V158" s="2456"/>
      <c r="W158" s="2452"/>
    </row>
    <row r="159" spans="1:24" ht="52.5">
      <c r="A159" s="1136" t="s">
        <v>1024</v>
      </c>
      <c r="B159" s="956" t="s">
        <v>775</v>
      </c>
      <c r="C159" s="1176"/>
      <c r="D159" s="874">
        <f t="shared" si="65"/>
        <v>20200</v>
      </c>
      <c r="E159" s="1085">
        <v>18988</v>
      </c>
      <c r="F159" s="1085">
        <v>1212</v>
      </c>
      <c r="G159" s="874">
        <f t="shared" si="52"/>
        <v>20200</v>
      </c>
      <c r="H159" s="1085">
        <v>18988</v>
      </c>
      <c r="I159" s="1085">
        <v>1212</v>
      </c>
      <c r="J159" s="874">
        <f t="shared" si="66"/>
        <v>0</v>
      </c>
      <c r="K159" s="2421"/>
      <c r="L159" s="2421"/>
      <c r="M159" s="2426"/>
      <c r="N159" s="2428"/>
      <c r="O159" s="2428"/>
      <c r="P159" s="1065">
        <f t="shared" si="67"/>
        <v>0</v>
      </c>
      <c r="Q159" s="1065">
        <f t="shared" si="59"/>
        <v>0</v>
      </c>
      <c r="R159" s="1065">
        <f t="shared" si="60"/>
        <v>0</v>
      </c>
      <c r="S159" s="2456"/>
      <c r="T159" s="2456"/>
      <c r="U159" s="2456"/>
      <c r="V159" s="2456"/>
      <c r="W159" s="2452"/>
    </row>
    <row r="160" spans="1:24" ht="52.5">
      <c r="A160" s="1136" t="s">
        <v>1025</v>
      </c>
      <c r="B160" s="956" t="s">
        <v>774</v>
      </c>
      <c r="C160" s="1176"/>
      <c r="D160" s="874">
        <f t="shared" si="65"/>
        <v>20500</v>
      </c>
      <c r="E160" s="1085">
        <v>19270</v>
      </c>
      <c r="F160" s="1085">
        <v>1230</v>
      </c>
      <c r="G160" s="874">
        <f t="shared" si="52"/>
        <v>20500</v>
      </c>
      <c r="H160" s="1085">
        <v>19270</v>
      </c>
      <c r="I160" s="1085">
        <v>1230</v>
      </c>
      <c r="J160" s="874">
        <f t="shared" si="66"/>
        <v>0</v>
      </c>
      <c r="K160" s="2422"/>
      <c r="L160" s="2422"/>
      <c r="M160" s="2427"/>
      <c r="N160" s="2419"/>
      <c r="O160" s="2419"/>
      <c r="P160" s="1065">
        <f t="shared" si="67"/>
        <v>0</v>
      </c>
      <c r="Q160" s="1065">
        <f t="shared" si="59"/>
        <v>0</v>
      </c>
      <c r="R160" s="1065">
        <f t="shared" si="60"/>
        <v>0</v>
      </c>
      <c r="S160" s="2456"/>
      <c r="T160" s="2456"/>
      <c r="U160" s="2456"/>
      <c r="V160" s="2456"/>
      <c r="W160" s="2452"/>
    </row>
    <row r="161" spans="1:24" ht="78.75">
      <c r="A161" s="1136" t="s">
        <v>755</v>
      </c>
      <c r="B161" s="901" t="s">
        <v>465</v>
      </c>
      <c r="C161" s="1185"/>
      <c r="D161" s="874">
        <f t="shared" si="65"/>
        <v>7870.7</v>
      </c>
      <c r="E161" s="1085">
        <v>7398.4</v>
      </c>
      <c r="F161" s="1085">
        <v>472.3</v>
      </c>
      <c r="G161" s="874">
        <f t="shared" si="52"/>
        <v>7870.7</v>
      </c>
      <c r="H161" s="1085">
        <v>7398.4</v>
      </c>
      <c r="I161" s="1085">
        <v>472.3</v>
      </c>
      <c r="J161" s="874">
        <f t="shared" si="66"/>
        <v>0</v>
      </c>
      <c r="K161" s="1085">
        <v>0</v>
      </c>
      <c r="L161" s="1085">
        <v>0</v>
      </c>
      <c r="M161" s="876">
        <f t="shared" ref="M161:M180" si="68">IF(J161=0,0,J161/G161*100)</f>
        <v>0</v>
      </c>
      <c r="N161" s="877">
        <f t="shared" ref="N161:O163" si="69">IF(K161=0,0,K161/H161*100)</f>
        <v>0</v>
      </c>
      <c r="O161" s="877">
        <f t="shared" si="69"/>
        <v>0</v>
      </c>
      <c r="P161" s="1065">
        <f t="shared" si="67"/>
        <v>0</v>
      </c>
      <c r="Q161" s="1065">
        <f t="shared" si="59"/>
        <v>0</v>
      </c>
      <c r="R161" s="1065">
        <f t="shared" si="60"/>
        <v>0</v>
      </c>
      <c r="S161" s="1099" t="s">
        <v>886</v>
      </c>
      <c r="T161" s="1100" t="s">
        <v>901</v>
      </c>
      <c r="U161" s="1099">
        <v>414</v>
      </c>
      <c r="V161" s="1099" t="s">
        <v>890</v>
      </c>
    </row>
    <row r="162" spans="1:24" ht="78.75">
      <c r="A162" s="1136" t="s">
        <v>756</v>
      </c>
      <c r="B162" s="1084" t="s">
        <v>537</v>
      </c>
      <c r="C162" s="1174"/>
      <c r="D162" s="874">
        <f t="shared" si="65"/>
        <v>9137.6</v>
      </c>
      <c r="E162" s="1085">
        <v>8589.2999999999993</v>
      </c>
      <c r="F162" s="1085">
        <v>548.29999999999995</v>
      </c>
      <c r="G162" s="874">
        <f t="shared" si="52"/>
        <v>9137.6</v>
      </c>
      <c r="H162" s="1085">
        <v>8589.2999999999993</v>
      </c>
      <c r="I162" s="1085">
        <v>548.29999999999995</v>
      </c>
      <c r="J162" s="874">
        <f t="shared" si="66"/>
        <v>0</v>
      </c>
      <c r="K162" s="1085">
        <v>0</v>
      </c>
      <c r="L162" s="1085">
        <v>0</v>
      </c>
      <c r="M162" s="876">
        <f t="shared" si="68"/>
        <v>0</v>
      </c>
      <c r="N162" s="877">
        <f t="shared" si="69"/>
        <v>0</v>
      </c>
      <c r="O162" s="877">
        <f t="shared" si="69"/>
        <v>0</v>
      </c>
      <c r="P162" s="1065">
        <f t="shared" si="67"/>
        <v>0</v>
      </c>
      <c r="Q162" s="1065">
        <f t="shared" si="59"/>
        <v>0</v>
      </c>
      <c r="R162" s="1065">
        <f t="shared" si="60"/>
        <v>0</v>
      </c>
      <c r="S162" s="1099" t="s">
        <v>886</v>
      </c>
      <c r="T162" s="1100" t="s">
        <v>907</v>
      </c>
      <c r="U162" s="1099">
        <v>414</v>
      </c>
      <c r="V162" s="1099" t="s">
        <v>890</v>
      </c>
    </row>
    <row r="163" spans="1:24" ht="78.75">
      <c r="A163" s="1136" t="s">
        <v>757</v>
      </c>
      <c r="B163" s="1084" t="s">
        <v>587</v>
      </c>
      <c r="C163" s="1174"/>
      <c r="D163" s="874">
        <f t="shared" si="65"/>
        <v>12956.3</v>
      </c>
      <c r="E163" s="1085">
        <v>12178.9</v>
      </c>
      <c r="F163" s="1085">
        <v>777.4</v>
      </c>
      <c r="G163" s="874">
        <f t="shared" si="52"/>
        <v>12956.3</v>
      </c>
      <c r="H163" s="1085">
        <v>12178.9</v>
      </c>
      <c r="I163" s="1085">
        <v>777.4</v>
      </c>
      <c r="J163" s="874">
        <f t="shared" si="66"/>
        <v>1408.6</v>
      </c>
      <c r="K163" s="1085">
        <v>1324.1</v>
      </c>
      <c r="L163" s="1085">
        <v>84.5</v>
      </c>
      <c r="M163" s="876">
        <f t="shared" si="68"/>
        <v>10.9</v>
      </c>
      <c r="N163" s="877">
        <f t="shared" si="69"/>
        <v>10.9</v>
      </c>
      <c r="O163" s="877">
        <f t="shared" si="69"/>
        <v>10.9</v>
      </c>
      <c r="P163" s="1065">
        <f t="shared" si="67"/>
        <v>0</v>
      </c>
      <c r="Q163" s="1065">
        <f t="shared" si="59"/>
        <v>0</v>
      </c>
      <c r="R163" s="1065">
        <f t="shared" si="60"/>
        <v>0</v>
      </c>
      <c r="S163" s="1099" t="s">
        <v>886</v>
      </c>
      <c r="T163" s="1100" t="s">
        <v>900</v>
      </c>
      <c r="U163" s="1099">
        <v>414</v>
      </c>
      <c r="V163" s="1099" t="s">
        <v>890</v>
      </c>
    </row>
    <row r="164" spans="1:24" ht="105">
      <c r="A164" s="1136" t="s">
        <v>758</v>
      </c>
      <c r="B164" s="955" t="s">
        <v>588</v>
      </c>
      <c r="C164" s="1190"/>
      <c r="D164" s="874">
        <f t="shared" si="65"/>
        <v>20092.400000000001</v>
      </c>
      <c r="E164" s="1085">
        <v>18886.8</v>
      </c>
      <c r="F164" s="1085">
        <v>1205.5999999999999</v>
      </c>
      <c r="G164" s="874">
        <f t="shared" si="52"/>
        <v>20092.400000000001</v>
      </c>
      <c r="H164" s="1085">
        <v>18886.8</v>
      </c>
      <c r="I164" s="1085">
        <v>1205.5999999999999</v>
      </c>
      <c r="J164" s="874">
        <f t="shared" si="66"/>
        <v>0</v>
      </c>
      <c r="K164" s="1085">
        <v>0</v>
      </c>
      <c r="L164" s="1085">
        <v>0</v>
      </c>
      <c r="M164" s="876">
        <f t="shared" si="68"/>
        <v>0</v>
      </c>
      <c r="N164" s="877">
        <f t="shared" ref="N164:O179" si="70">IF(K164=0,0,K164/H164*100)</f>
        <v>0</v>
      </c>
      <c r="O164" s="877">
        <f t="shared" si="70"/>
        <v>0</v>
      </c>
      <c r="P164" s="1065">
        <f t="shared" si="67"/>
        <v>0</v>
      </c>
      <c r="Q164" s="1065">
        <f t="shared" si="59"/>
        <v>0</v>
      </c>
      <c r="R164" s="1065">
        <f t="shared" si="60"/>
        <v>0</v>
      </c>
      <c r="S164" s="1099" t="s">
        <v>886</v>
      </c>
      <c r="T164" s="1100" t="s">
        <v>903</v>
      </c>
      <c r="U164" s="1099">
        <v>414</v>
      </c>
      <c r="V164" s="1099" t="s">
        <v>890</v>
      </c>
    </row>
    <row r="165" spans="1:24" ht="78.75" customHeight="1">
      <c r="A165" s="895">
        <v>104</v>
      </c>
      <c r="B165" s="955" t="s">
        <v>589</v>
      </c>
      <c r="C165" s="1190"/>
      <c r="D165" s="874">
        <f t="shared" si="65"/>
        <v>9194.2000000000007</v>
      </c>
      <c r="E165" s="1085">
        <v>8642.5</v>
      </c>
      <c r="F165" s="1085">
        <v>551.70000000000005</v>
      </c>
      <c r="G165" s="874">
        <f t="shared" si="52"/>
        <v>9194.2000000000007</v>
      </c>
      <c r="H165" s="1085">
        <v>8642.5</v>
      </c>
      <c r="I165" s="1085">
        <v>551.70000000000005</v>
      </c>
      <c r="J165" s="874">
        <f t="shared" si="66"/>
        <v>0</v>
      </c>
      <c r="K165" s="1085">
        <v>0</v>
      </c>
      <c r="L165" s="1085">
        <v>0</v>
      </c>
      <c r="M165" s="876">
        <f t="shared" si="68"/>
        <v>0</v>
      </c>
      <c r="N165" s="877">
        <f t="shared" si="70"/>
        <v>0</v>
      </c>
      <c r="O165" s="877">
        <f t="shared" si="70"/>
        <v>0</v>
      </c>
      <c r="P165" s="1065">
        <f t="shared" si="67"/>
        <v>0</v>
      </c>
      <c r="Q165" s="1065">
        <f t="shared" si="59"/>
        <v>0</v>
      </c>
      <c r="R165" s="1065">
        <f t="shared" si="60"/>
        <v>0</v>
      </c>
      <c r="S165" s="1099" t="s">
        <v>886</v>
      </c>
      <c r="T165" s="1100" t="s">
        <v>904</v>
      </c>
      <c r="U165" s="1099">
        <v>414</v>
      </c>
      <c r="V165" s="1099" t="s">
        <v>890</v>
      </c>
    </row>
    <row r="166" spans="1:24" ht="78.75">
      <c r="A166" s="895">
        <v>105</v>
      </c>
      <c r="B166" s="955" t="s">
        <v>616</v>
      </c>
      <c r="C166" s="1190"/>
      <c r="D166" s="874">
        <f t="shared" si="65"/>
        <v>18682.400000000001</v>
      </c>
      <c r="E166" s="1085">
        <v>17561.3</v>
      </c>
      <c r="F166" s="1085">
        <v>1121.0999999999999</v>
      </c>
      <c r="G166" s="874">
        <f t="shared" si="52"/>
        <v>18682.400000000001</v>
      </c>
      <c r="H166" s="1085">
        <v>17561.3</v>
      </c>
      <c r="I166" s="1085">
        <v>1121.0999999999999</v>
      </c>
      <c r="J166" s="874">
        <f t="shared" si="66"/>
        <v>0</v>
      </c>
      <c r="K166" s="1085">
        <v>0</v>
      </c>
      <c r="L166" s="1085">
        <v>0</v>
      </c>
      <c r="M166" s="876">
        <f t="shared" si="68"/>
        <v>0</v>
      </c>
      <c r="N166" s="877">
        <f t="shared" si="70"/>
        <v>0</v>
      </c>
      <c r="O166" s="877">
        <f t="shared" si="70"/>
        <v>0</v>
      </c>
      <c r="P166" s="1065">
        <f t="shared" si="67"/>
        <v>0</v>
      </c>
      <c r="Q166" s="1065">
        <f t="shared" si="59"/>
        <v>0</v>
      </c>
      <c r="R166" s="1065">
        <f t="shared" si="60"/>
        <v>0</v>
      </c>
      <c r="S166" s="1099" t="s">
        <v>886</v>
      </c>
      <c r="T166" s="1100" t="s">
        <v>905</v>
      </c>
      <c r="U166" s="1099">
        <v>414</v>
      </c>
      <c r="V166" s="1099" t="s">
        <v>890</v>
      </c>
    </row>
    <row r="167" spans="1:24" ht="105">
      <c r="A167" s="895">
        <v>106</v>
      </c>
      <c r="B167" s="955" t="s">
        <v>591</v>
      </c>
      <c r="C167" s="1190"/>
      <c r="D167" s="874">
        <f t="shared" si="65"/>
        <v>34409.1</v>
      </c>
      <c r="E167" s="1085">
        <v>32344.5</v>
      </c>
      <c r="F167" s="1085">
        <v>2064.6</v>
      </c>
      <c r="G167" s="874">
        <f t="shared" si="52"/>
        <v>34409.1</v>
      </c>
      <c r="H167" s="1085">
        <v>32344.5</v>
      </c>
      <c r="I167" s="1085">
        <v>2064.6</v>
      </c>
      <c r="J167" s="874">
        <f t="shared" si="66"/>
        <v>0</v>
      </c>
      <c r="K167" s="1085">
        <v>0</v>
      </c>
      <c r="L167" s="1085">
        <v>0</v>
      </c>
      <c r="M167" s="876">
        <f t="shared" si="68"/>
        <v>0</v>
      </c>
      <c r="N167" s="877">
        <f t="shared" si="70"/>
        <v>0</v>
      </c>
      <c r="O167" s="877">
        <f t="shared" si="70"/>
        <v>0</v>
      </c>
      <c r="P167" s="1065">
        <f t="shared" ref="P167:P174" si="71">D167-G167</f>
        <v>0</v>
      </c>
      <c r="Q167" s="1065">
        <f t="shared" si="59"/>
        <v>0</v>
      </c>
      <c r="R167" s="1065">
        <f t="shared" si="60"/>
        <v>0</v>
      </c>
      <c r="S167" s="1099" t="s">
        <v>886</v>
      </c>
      <c r="T167" s="1100" t="s">
        <v>906</v>
      </c>
      <c r="U167" s="1099">
        <v>414</v>
      </c>
      <c r="V167" s="1099" t="s">
        <v>890</v>
      </c>
    </row>
    <row r="168" spans="1:24" ht="78.75">
      <c r="A168" s="895">
        <v>107</v>
      </c>
      <c r="B168" s="1084" t="s">
        <v>575</v>
      </c>
      <c r="C168" s="1174"/>
      <c r="D168" s="874">
        <f t="shared" si="65"/>
        <v>2453.8000000000002</v>
      </c>
      <c r="E168" s="1085">
        <v>2306.5</v>
      </c>
      <c r="F168" s="1085">
        <v>147.30000000000001</v>
      </c>
      <c r="G168" s="874">
        <f t="shared" si="52"/>
        <v>2453.8000000000002</v>
      </c>
      <c r="H168" s="1085">
        <v>2306.5</v>
      </c>
      <c r="I168" s="1085">
        <v>147.30000000000001</v>
      </c>
      <c r="J168" s="874">
        <f t="shared" si="66"/>
        <v>0</v>
      </c>
      <c r="K168" s="1085">
        <v>0</v>
      </c>
      <c r="L168" s="1085">
        <v>0</v>
      </c>
      <c r="M168" s="876">
        <f t="shared" si="68"/>
        <v>0</v>
      </c>
      <c r="N168" s="877">
        <f t="shared" si="70"/>
        <v>0</v>
      </c>
      <c r="O168" s="877">
        <f t="shared" si="70"/>
        <v>0</v>
      </c>
      <c r="P168" s="1065">
        <f t="shared" si="71"/>
        <v>0</v>
      </c>
      <c r="Q168" s="1065">
        <f t="shared" si="59"/>
        <v>0</v>
      </c>
      <c r="R168" s="1065">
        <f t="shared" si="60"/>
        <v>0</v>
      </c>
      <c r="S168" s="1099" t="s">
        <v>886</v>
      </c>
      <c r="T168" s="1100" t="s">
        <v>902</v>
      </c>
      <c r="U168" s="1099">
        <v>414</v>
      </c>
      <c r="V168" s="1099" t="s">
        <v>890</v>
      </c>
    </row>
    <row r="169" spans="1:24" ht="84.75" customHeight="1">
      <c r="A169" s="1136" t="s">
        <v>1062</v>
      </c>
      <c r="B169" s="1084" t="s">
        <v>660</v>
      </c>
      <c r="C169" s="1174"/>
      <c r="D169" s="874">
        <f t="shared" ref="D169:D178" si="72">SUM(E169:F169)</f>
        <v>7347.6</v>
      </c>
      <c r="E169" s="1085">
        <v>6906.5</v>
      </c>
      <c r="F169" s="1085">
        <v>441.1</v>
      </c>
      <c r="G169" s="874">
        <f t="shared" si="52"/>
        <v>7347.6</v>
      </c>
      <c r="H169" s="1085">
        <v>6906.5</v>
      </c>
      <c r="I169" s="1085">
        <v>441.1</v>
      </c>
      <c r="J169" s="874">
        <f t="shared" ref="J169:J178" si="73">SUM(K169:L169)</f>
        <v>1360.3</v>
      </c>
      <c r="K169" s="1085">
        <v>1278.7</v>
      </c>
      <c r="L169" s="1085">
        <v>81.599999999999994</v>
      </c>
      <c r="M169" s="876">
        <f t="shared" si="68"/>
        <v>18.5</v>
      </c>
      <c r="N169" s="877">
        <f t="shared" si="70"/>
        <v>18.5</v>
      </c>
      <c r="O169" s="877">
        <f t="shared" si="70"/>
        <v>18.5</v>
      </c>
      <c r="P169" s="1065">
        <f t="shared" si="71"/>
        <v>0</v>
      </c>
      <c r="Q169" s="1065">
        <f t="shared" si="59"/>
        <v>0</v>
      </c>
      <c r="R169" s="1065">
        <f t="shared" si="60"/>
        <v>0</v>
      </c>
      <c r="S169" s="1099" t="s">
        <v>886</v>
      </c>
      <c r="T169" s="1100" t="s">
        <v>908</v>
      </c>
      <c r="U169" s="1099">
        <v>414</v>
      </c>
      <c r="V169" s="1099" t="s">
        <v>890</v>
      </c>
    </row>
    <row r="170" spans="1:24" ht="52.5">
      <c r="A170" s="1136" t="s">
        <v>828</v>
      </c>
      <c r="B170" s="1084" t="s">
        <v>659</v>
      </c>
      <c r="C170" s="1174"/>
      <c r="D170" s="874">
        <f t="shared" si="72"/>
        <v>4366.3999999999996</v>
      </c>
      <c r="E170" s="1085">
        <v>4104.3</v>
      </c>
      <c r="F170" s="1085">
        <v>262.10000000000002</v>
      </c>
      <c r="G170" s="874">
        <f t="shared" si="52"/>
        <v>4366.3999999999996</v>
      </c>
      <c r="H170" s="1085">
        <v>4104.3</v>
      </c>
      <c r="I170" s="1085">
        <v>262.10000000000002</v>
      </c>
      <c r="J170" s="874">
        <f t="shared" si="73"/>
        <v>0</v>
      </c>
      <c r="K170" s="1085">
        <v>0</v>
      </c>
      <c r="L170" s="1085">
        <v>0</v>
      </c>
      <c r="M170" s="876">
        <f t="shared" si="68"/>
        <v>0</v>
      </c>
      <c r="N170" s="877">
        <f t="shared" si="70"/>
        <v>0</v>
      </c>
      <c r="O170" s="877">
        <f t="shared" si="70"/>
        <v>0</v>
      </c>
      <c r="P170" s="1065">
        <f t="shared" si="71"/>
        <v>0</v>
      </c>
      <c r="Q170" s="1065">
        <f t="shared" si="59"/>
        <v>0</v>
      </c>
      <c r="R170" s="1065">
        <f t="shared" si="60"/>
        <v>0</v>
      </c>
      <c r="S170" s="1099" t="s">
        <v>886</v>
      </c>
      <c r="T170" s="1100" t="s">
        <v>909</v>
      </c>
      <c r="U170" s="1099">
        <v>414</v>
      </c>
      <c r="V170" s="1099" t="s">
        <v>910</v>
      </c>
    </row>
    <row r="171" spans="1:24" ht="78.75">
      <c r="A171" s="1136" t="s">
        <v>829</v>
      </c>
      <c r="B171" s="1097" t="s">
        <v>459</v>
      </c>
      <c r="C171" s="895"/>
      <c r="D171" s="874">
        <f t="shared" si="72"/>
        <v>2776.8</v>
      </c>
      <c r="E171" s="879">
        <v>2610.1</v>
      </c>
      <c r="F171" s="879">
        <v>166.7</v>
      </c>
      <c r="G171" s="874">
        <f t="shared" si="52"/>
        <v>2776.8</v>
      </c>
      <c r="H171" s="879">
        <v>2610.1</v>
      </c>
      <c r="I171" s="879">
        <v>166.7</v>
      </c>
      <c r="J171" s="874">
        <f t="shared" si="73"/>
        <v>0</v>
      </c>
      <c r="K171" s="879">
        <v>0</v>
      </c>
      <c r="L171" s="879">
        <v>0</v>
      </c>
      <c r="M171" s="876">
        <f t="shared" si="68"/>
        <v>0</v>
      </c>
      <c r="N171" s="877">
        <f t="shared" si="70"/>
        <v>0</v>
      </c>
      <c r="O171" s="877">
        <f t="shared" si="70"/>
        <v>0</v>
      </c>
      <c r="P171" s="1065">
        <f t="shared" si="71"/>
        <v>0</v>
      </c>
      <c r="Q171" s="1065">
        <f t="shared" si="59"/>
        <v>0</v>
      </c>
      <c r="R171" s="1065">
        <f t="shared" si="60"/>
        <v>0</v>
      </c>
      <c r="S171" s="1099" t="s">
        <v>886</v>
      </c>
      <c r="T171" s="1100" t="s">
        <v>889</v>
      </c>
      <c r="U171" s="1099">
        <v>414</v>
      </c>
      <c r="V171" s="1099" t="s">
        <v>890</v>
      </c>
    </row>
    <row r="172" spans="1:24" s="515" customFormat="1" ht="52.5">
      <c r="A172" s="1136" t="s">
        <v>821</v>
      </c>
      <c r="B172" s="1075" t="s">
        <v>568</v>
      </c>
      <c r="C172" s="1176"/>
      <c r="D172" s="874">
        <f t="shared" si="72"/>
        <v>3909.4</v>
      </c>
      <c r="E172" s="879">
        <v>3674.8</v>
      </c>
      <c r="F172" s="879">
        <v>234.6</v>
      </c>
      <c r="G172" s="874">
        <f t="shared" si="52"/>
        <v>3909.4</v>
      </c>
      <c r="H172" s="879">
        <v>3674.8</v>
      </c>
      <c r="I172" s="879">
        <v>234.6</v>
      </c>
      <c r="J172" s="874">
        <f t="shared" si="73"/>
        <v>0</v>
      </c>
      <c r="K172" s="879">
        <v>0</v>
      </c>
      <c r="L172" s="879">
        <v>0</v>
      </c>
      <c r="M172" s="876">
        <f t="shared" si="68"/>
        <v>0</v>
      </c>
      <c r="N172" s="877">
        <f>IF(K172=0,0,K172/H172*100)</f>
        <v>0</v>
      </c>
      <c r="O172" s="877">
        <f>IF(L172=0,0,L172/I172*100)</f>
        <v>0</v>
      </c>
      <c r="P172" s="1065">
        <f t="shared" si="71"/>
        <v>0</v>
      </c>
      <c r="Q172" s="1065">
        <f t="shared" si="59"/>
        <v>0</v>
      </c>
      <c r="R172" s="1065">
        <f t="shared" si="60"/>
        <v>0</v>
      </c>
      <c r="S172" s="1099" t="s">
        <v>886</v>
      </c>
      <c r="T172" s="1100" t="s">
        <v>891</v>
      </c>
      <c r="U172" s="1099">
        <v>414</v>
      </c>
      <c r="V172" s="1099" t="s">
        <v>890</v>
      </c>
      <c r="W172" s="1129"/>
      <c r="X172" s="783"/>
    </row>
    <row r="173" spans="1:24" s="515" customFormat="1" ht="78.75">
      <c r="A173" s="1136" t="s">
        <v>822</v>
      </c>
      <c r="B173" s="900" t="s">
        <v>693</v>
      </c>
      <c r="C173" s="1160"/>
      <c r="D173" s="874">
        <f t="shared" si="72"/>
        <v>19745.7</v>
      </c>
      <c r="E173" s="879">
        <v>18560.900000000001</v>
      </c>
      <c r="F173" s="879">
        <v>1184.8</v>
      </c>
      <c r="G173" s="874">
        <f t="shared" si="52"/>
        <v>19745.7</v>
      </c>
      <c r="H173" s="879">
        <v>18560.900000000001</v>
      </c>
      <c r="I173" s="879">
        <v>1184.8</v>
      </c>
      <c r="J173" s="874">
        <f t="shared" si="73"/>
        <v>0</v>
      </c>
      <c r="K173" s="879">
        <v>0</v>
      </c>
      <c r="L173" s="879">
        <v>0</v>
      </c>
      <c r="M173" s="876">
        <f t="shared" si="68"/>
        <v>0</v>
      </c>
      <c r="N173" s="877">
        <f t="shared" si="70"/>
        <v>0</v>
      </c>
      <c r="O173" s="877">
        <f t="shared" si="70"/>
        <v>0</v>
      </c>
      <c r="P173" s="1065">
        <f t="shared" si="71"/>
        <v>0</v>
      </c>
      <c r="Q173" s="1065">
        <f t="shared" si="59"/>
        <v>0</v>
      </c>
      <c r="R173" s="1065">
        <f t="shared" si="60"/>
        <v>0</v>
      </c>
      <c r="S173" s="1099" t="s">
        <v>866</v>
      </c>
      <c r="T173" s="1100" t="s">
        <v>884</v>
      </c>
      <c r="U173" s="1099">
        <v>414</v>
      </c>
      <c r="V173" s="1099" t="s">
        <v>885</v>
      </c>
      <c r="W173" s="1129"/>
      <c r="X173" s="783"/>
    </row>
    <row r="174" spans="1:24" s="515" customFormat="1" ht="52.5">
      <c r="A174" s="1136" t="s">
        <v>823</v>
      </c>
      <c r="B174" s="987" t="s">
        <v>794</v>
      </c>
      <c r="C174" s="1188"/>
      <c r="D174" s="874">
        <f t="shared" si="72"/>
        <v>251297.1</v>
      </c>
      <c r="E174" s="879">
        <f>160380+75158.5</f>
        <v>235538.5</v>
      </c>
      <c r="F174" s="988">
        <v>15758.6</v>
      </c>
      <c r="G174" s="874">
        <f t="shared" si="52"/>
        <v>251297.1</v>
      </c>
      <c r="H174" s="879">
        <v>235538.5</v>
      </c>
      <c r="I174" s="988">
        <v>15758.6</v>
      </c>
      <c r="J174" s="874">
        <f t="shared" si="73"/>
        <v>30</v>
      </c>
      <c r="K174" s="879">
        <v>28.1</v>
      </c>
      <c r="L174" s="879">
        <v>1.9</v>
      </c>
      <c r="M174" s="876">
        <f t="shared" si="68"/>
        <v>0</v>
      </c>
      <c r="N174" s="877">
        <f t="shared" si="70"/>
        <v>0</v>
      </c>
      <c r="O174" s="877">
        <f t="shared" si="70"/>
        <v>0</v>
      </c>
      <c r="P174" s="1065">
        <f t="shared" si="71"/>
        <v>0</v>
      </c>
      <c r="Q174" s="1065">
        <f t="shared" si="59"/>
        <v>0</v>
      </c>
      <c r="R174" s="1065">
        <f t="shared" si="60"/>
        <v>0</v>
      </c>
      <c r="S174" s="1099" t="s">
        <v>866</v>
      </c>
      <c r="T174" s="1100" t="s">
        <v>896</v>
      </c>
      <c r="U174" s="1099">
        <v>414</v>
      </c>
      <c r="V174" s="1099" t="s">
        <v>897</v>
      </c>
      <c r="W174" s="1129"/>
      <c r="X174" s="783"/>
    </row>
    <row r="175" spans="1:24" s="515" customFormat="1" ht="125.25" hidden="1" customHeight="1">
      <c r="A175" s="1137"/>
      <c r="B175" s="987"/>
      <c r="C175" s="1188"/>
      <c r="D175" s="874"/>
      <c r="E175" s="1085"/>
      <c r="F175" s="1085"/>
      <c r="G175" s="874"/>
      <c r="H175" s="1085"/>
      <c r="I175" s="1085"/>
      <c r="J175" s="874"/>
      <c r="K175" s="1085"/>
      <c r="L175" s="1085"/>
      <c r="M175" s="876"/>
      <c r="N175" s="877"/>
      <c r="O175" s="877"/>
      <c r="P175" s="1065"/>
      <c r="Q175" s="1065"/>
      <c r="R175" s="1065"/>
      <c r="S175" s="1099"/>
      <c r="T175" s="1100"/>
      <c r="U175" s="1099"/>
      <c r="V175" s="1099"/>
      <c r="W175" s="1129"/>
      <c r="X175" s="783"/>
    </row>
    <row r="176" spans="1:24" ht="78.75">
      <c r="A176" s="2404" t="s">
        <v>1063</v>
      </c>
      <c r="B176" s="1084" t="s">
        <v>644</v>
      </c>
      <c r="C176" s="1174"/>
      <c r="D176" s="874">
        <f t="shared" si="72"/>
        <v>20270</v>
      </c>
      <c r="E176" s="1085">
        <v>0</v>
      </c>
      <c r="F176" s="1085">
        <f>8390+11880</f>
        <v>20270</v>
      </c>
      <c r="G176" s="874">
        <f t="shared" si="52"/>
        <v>20270</v>
      </c>
      <c r="H176" s="1085">
        <v>0</v>
      </c>
      <c r="I176" s="1085">
        <f>8390+11880</f>
        <v>20270</v>
      </c>
      <c r="J176" s="874">
        <f t="shared" si="73"/>
        <v>12665.1</v>
      </c>
      <c r="K176" s="1085">
        <v>0</v>
      </c>
      <c r="L176" s="1085">
        <v>12665.1</v>
      </c>
      <c r="M176" s="876">
        <f t="shared" si="68"/>
        <v>62.5</v>
      </c>
      <c r="N176" s="877">
        <f t="shared" si="70"/>
        <v>0</v>
      </c>
      <c r="O176" s="877">
        <f t="shared" si="70"/>
        <v>62.5</v>
      </c>
      <c r="P176" s="1065">
        <f t="shared" ref="P176:P190" si="74">D176-G176</f>
        <v>0</v>
      </c>
      <c r="Q176" s="1065">
        <f t="shared" ref="Q176:Q208" si="75">E176-H176</f>
        <v>0</v>
      </c>
      <c r="R176" s="1065">
        <f t="shared" ref="R176:R208" si="76">F176-I176</f>
        <v>0</v>
      </c>
      <c r="S176" s="1099" t="s">
        <v>872</v>
      </c>
      <c r="T176" s="1100">
        <v>1130390420</v>
      </c>
      <c r="U176" s="1099">
        <v>414</v>
      </c>
      <c r="V176" s="1099">
        <v>14019</v>
      </c>
    </row>
    <row r="177" spans="1:24" ht="52.5">
      <c r="A177" s="2405"/>
      <c r="B177" s="1084" t="s">
        <v>478</v>
      </c>
      <c r="C177" s="1174"/>
      <c r="D177" s="874">
        <f t="shared" si="72"/>
        <v>439000.1</v>
      </c>
      <c r="E177" s="1085">
        <v>412660</v>
      </c>
      <c r="F177" s="1068">
        <v>26340.05</v>
      </c>
      <c r="G177" s="874">
        <f t="shared" si="52"/>
        <v>439000.1</v>
      </c>
      <c r="H177" s="1085">
        <v>412660</v>
      </c>
      <c r="I177" s="1068">
        <v>26340.05</v>
      </c>
      <c r="J177" s="874">
        <f t="shared" si="73"/>
        <v>350.4</v>
      </c>
      <c r="K177" s="1085">
        <v>329.4</v>
      </c>
      <c r="L177" s="1085">
        <v>21</v>
      </c>
      <c r="M177" s="876">
        <f t="shared" si="68"/>
        <v>0.1</v>
      </c>
      <c r="N177" s="877">
        <f t="shared" si="70"/>
        <v>0.1</v>
      </c>
      <c r="O177" s="877">
        <f t="shared" si="70"/>
        <v>0.1</v>
      </c>
      <c r="P177" s="1065">
        <f t="shared" si="74"/>
        <v>0</v>
      </c>
      <c r="Q177" s="1065">
        <f t="shared" si="75"/>
        <v>0</v>
      </c>
      <c r="R177" s="1065">
        <f t="shared" si="76"/>
        <v>0</v>
      </c>
      <c r="S177" s="1099" t="s">
        <v>886</v>
      </c>
      <c r="T177" s="1100" t="s">
        <v>898</v>
      </c>
      <c r="U177" s="1099">
        <v>414</v>
      </c>
      <c r="V177" s="1099" t="s">
        <v>899</v>
      </c>
    </row>
    <row r="178" spans="1:24" s="515" customFormat="1" ht="52.5">
      <c r="A178" s="1136" t="s">
        <v>915</v>
      </c>
      <c r="B178" s="900" t="s">
        <v>499</v>
      </c>
      <c r="C178" s="1160"/>
      <c r="D178" s="874">
        <f t="shared" si="72"/>
        <v>9064.5</v>
      </c>
      <c r="E178" s="879">
        <v>8500</v>
      </c>
      <c r="F178" s="879">
        <v>564.5</v>
      </c>
      <c r="G178" s="874">
        <f t="shared" si="52"/>
        <v>9064.5</v>
      </c>
      <c r="H178" s="879">
        <v>8500</v>
      </c>
      <c r="I178" s="879">
        <v>564.5</v>
      </c>
      <c r="J178" s="874">
        <f t="shared" si="73"/>
        <v>16.3</v>
      </c>
      <c r="K178" s="879">
        <v>15.3</v>
      </c>
      <c r="L178" s="879">
        <v>1</v>
      </c>
      <c r="M178" s="876">
        <f t="shared" si="68"/>
        <v>0.2</v>
      </c>
      <c r="N178" s="877">
        <f t="shared" si="70"/>
        <v>0.2</v>
      </c>
      <c r="O178" s="877">
        <f t="shared" si="70"/>
        <v>0.2</v>
      </c>
      <c r="P178" s="1065">
        <f t="shared" si="74"/>
        <v>0</v>
      </c>
      <c r="Q178" s="1065">
        <f t="shared" si="75"/>
        <v>0</v>
      </c>
      <c r="R178" s="1065">
        <f t="shared" si="76"/>
        <v>0</v>
      </c>
      <c r="S178" s="1099" t="s">
        <v>871</v>
      </c>
      <c r="T178" s="1100" t="s">
        <v>870</v>
      </c>
      <c r="U178" s="1099">
        <v>414</v>
      </c>
      <c r="V178" s="1099" t="s">
        <v>873</v>
      </c>
      <c r="W178" s="1129"/>
      <c r="X178" s="783"/>
    </row>
    <row r="179" spans="1:24" ht="57" customHeight="1">
      <c r="A179" s="1135" t="s">
        <v>916</v>
      </c>
      <c r="B179" s="900" t="s">
        <v>768</v>
      </c>
      <c r="C179" s="1160"/>
      <c r="D179" s="874">
        <f t="shared" ref="D179:D184" si="77">SUM(E179:F179)</f>
        <v>8900</v>
      </c>
      <c r="E179" s="879">
        <v>0</v>
      </c>
      <c r="F179" s="879">
        <v>8900</v>
      </c>
      <c r="G179" s="874">
        <f t="shared" ref="G179:G187" si="78">SUM(H179:I179)</f>
        <v>8900</v>
      </c>
      <c r="H179" s="879">
        <v>0</v>
      </c>
      <c r="I179" s="879">
        <v>8900</v>
      </c>
      <c r="J179" s="874">
        <f t="shared" ref="J179:J184" si="79">SUM(K179:L179)</f>
        <v>0</v>
      </c>
      <c r="K179" s="879">
        <v>0</v>
      </c>
      <c r="L179" s="879">
        <v>0</v>
      </c>
      <c r="M179" s="876">
        <f t="shared" si="68"/>
        <v>0</v>
      </c>
      <c r="N179" s="877">
        <f t="shared" si="70"/>
        <v>0</v>
      </c>
      <c r="O179" s="877">
        <f t="shared" si="70"/>
        <v>0</v>
      </c>
      <c r="P179" s="1065">
        <f>D179-G179</f>
        <v>0</v>
      </c>
      <c r="Q179" s="1065">
        <f t="shared" si="75"/>
        <v>0</v>
      </c>
      <c r="R179" s="1065">
        <f t="shared" si="76"/>
        <v>0</v>
      </c>
      <c r="S179" s="1099" t="s">
        <v>872</v>
      </c>
      <c r="T179" s="1100">
        <v>1130390420</v>
      </c>
      <c r="U179" s="1099">
        <v>414</v>
      </c>
      <c r="V179" s="1099">
        <v>14009</v>
      </c>
    </row>
    <row r="180" spans="1:24" ht="52.5">
      <c r="A180" s="1136" t="s">
        <v>860</v>
      </c>
      <c r="B180" s="900" t="s">
        <v>769</v>
      </c>
      <c r="C180" s="1160"/>
      <c r="D180" s="874">
        <f t="shared" si="77"/>
        <v>21489</v>
      </c>
      <c r="E180" s="879">
        <v>0</v>
      </c>
      <c r="F180" s="879">
        <v>21489</v>
      </c>
      <c r="G180" s="874">
        <f t="shared" si="78"/>
        <v>21489</v>
      </c>
      <c r="H180" s="879">
        <v>0</v>
      </c>
      <c r="I180" s="879">
        <v>21489</v>
      </c>
      <c r="J180" s="874">
        <f t="shared" si="79"/>
        <v>0</v>
      </c>
      <c r="K180" s="879">
        <v>0</v>
      </c>
      <c r="L180" s="879">
        <v>0</v>
      </c>
      <c r="M180" s="876">
        <f t="shared" si="68"/>
        <v>0</v>
      </c>
      <c r="N180" s="877">
        <f>IF(K180=0,0,K180/H180*100)</f>
        <v>0</v>
      </c>
      <c r="O180" s="877">
        <f>IF(L180=0,0,L180/I180*100)</f>
        <v>0</v>
      </c>
      <c r="P180" s="1065">
        <f>D180-G180</f>
        <v>0</v>
      </c>
      <c r="Q180" s="1065">
        <f t="shared" si="75"/>
        <v>0</v>
      </c>
      <c r="R180" s="1065">
        <f t="shared" si="76"/>
        <v>0</v>
      </c>
      <c r="S180" s="1099" t="s">
        <v>872</v>
      </c>
      <c r="T180" s="1100">
        <v>1130390420</v>
      </c>
      <c r="U180" s="1099">
        <v>414</v>
      </c>
      <c r="V180" s="1099">
        <v>14053</v>
      </c>
    </row>
    <row r="181" spans="1:24" ht="42.75" customHeight="1">
      <c r="A181" s="1136" t="s">
        <v>1064</v>
      </c>
      <c r="B181" s="900" t="s">
        <v>692</v>
      </c>
      <c r="C181" s="1160"/>
      <c r="D181" s="874">
        <f>SUM(E181:F181)</f>
        <v>22300</v>
      </c>
      <c r="E181" s="879">
        <f>22300*0.9396914446</f>
        <v>20955.099999999999</v>
      </c>
      <c r="F181" s="879">
        <f>22300*(1-0.9396914446)</f>
        <v>1344.9</v>
      </c>
      <c r="G181" s="874">
        <f>SUM(H181:I181)</f>
        <v>22300</v>
      </c>
      <c r="H181" s="879">
        <f>22300*0.9396914446</f>
        <v>20955.099999999999</v>
      </c>
      <c r="I181" s="879">
        <f>22300*(1-0.9396914446)</f>
        <v>1344.9</v>
      </c>
      <c r="J181" s="2450">
        <f>SUM(K181:L181)</f>
        <v>0</v>
      </c>
      <c r="K181" s="2440">
        <v>0</v>
      </c>
      <c r="L181" s="2440">
        <v>0</v>
      </c>
      <c r="M181" s="2446">
        <f>IF(J181=0,0,J181/G181:G182*100)</f>
        <v>0</v>
      </c>
      <c r="N181" s="2415">
        <f>IF(K181=0,0,K181/H181:H182*100)</f>
        <v>0</v>
      </c>
      <c r="O181" s="2415">
        <f>IF(L181=0,0,L181/I181:I182*100)</f>
        <v>0</v>
      </c>
      <c r="P181" s="1065">
        <f>D181-G181</f>
        <v>0</v>
      </c>
      <c r="Q181" s="1065">
        <f t="shared" si="75"/>
        <v>0</v>
      </c>
      <c r="R181" s="1065">
        <f t="shared" si="76"/>
        <v>0</v>
      </c>
      <c r="S181" s="2409" t="s">
        <v>874</v>
      </c>
      <c r="T181" s="2445" t="s">
        <v>875</v>
      </c>
      <c r="U181" s="2409">
        <v>414</v>
      </c>
      <c r="V181" s="2409" t="s">
        <v>876</v>
      </c>
      <c r="W181" s="2452"/>
    </row>
    <row r="182" spans="1:24" ht="33" customHeight="1">
      <c r="A182" s="1136" t="s">
        <v>935</v>
      </c>
      <c r="B182" s="900" t="s">
        <v>691</v>
      </c>
      <c r="C182" s="1160"/>
      <c r="D182" s="874">
        <f t="shared" si="77"/>
        <v>49000</v>
      </c>
      <c r="E182" s="879">
        <f>49000*0.9396914446</f>
        <v>46044.9</v>
      </c>
      <c r="F182" s="879">
        <f>49000*(1-0.9396914446)</f>
        <v>2955.1</v>
      </c>
      <c r="G182" s="874">
        <f t="shared" si="78"/>
        <v>49000</v>
      </c>
      <c r="H182" s="879">
        <f>49000*0.9396914446</f>
        <v>46044.9</v>
      </c>
      <c r="I182" s="879">
        <f>49000*(1-0.9396914446)</f>
        <v>2955.1</v>
      </c>
      <c r="J182" s="2451"/>
      <c r="K182" s="2441"/>
      <c r="L182" s="2441"/>
      <c r="M182" s="2448"/>
      <c r="N182" s="2417"/>
      <c r="O182" s="2417"/>
      <c r="P182" s="1065">
        <f t="shared" si="74"/>
        <v>0</v>
      </c>
      <c r="Q182" s="1065">
        <f t="shared" si="75"/>
        <v>0</v>
      </c>
      <c r="R182" s="1065">
        <f t="shared" si="76"/>
        <v>0</v>
      </c>
      <c r="S182" s="2409"/>
      <c r="T182" s="2445"/>
      <c r="U182" s="2409"/>
      <c r="V182" s="2409"/>
      <c r="W182" s="2452"/>
    </row>
    <row r="183" spans="1:24" ht="52.5" hidden="1">
      <c r="A183" s="895"/>
      <c r="B183" s="955" t="s">
        <v>840</v>
      </c>
      <c r="C183" s="1190"/>
      <c r="D183" s="874">
        <f t="shared" si="77"/>
        <v>0</v>
      </c>
      <c r="E183" s="1085">
        <v>0</v>
      </c>
      <c r="F183" s="1085"/>
      <c r="G183" s="874">
        <f t="shared" si="78"/>
        <v>0</v>
      </c>
      <c r="H183" s="1085"/>
      <c r="I183" s="1085"/>
      <c r="J183" s="874">
        <f t="shared" si="79"/>
        <v>0</v>
      </c>
      <c r="K183" s="1085"/>
      <c r="L183" s="1085"/>
      <c r="M183" s="876">
        <f>IF(J183=0,0,J183/G183*100)</f>
        <v>0</v>
      </c>
      <c r="N183" s="877">
        <f t="shared" ref="N183:O202" si="80">IF(K183=0,0,K183/H183*100)</f>
        <v>0</v>
      </c>
      <c r="O183" s="877">
        <f t="shared" si="80"/>
        <v>0</v>
      </c>
      <c r="P183" s="1065">
        <f>D183-G183</f>
        <v>0</v>
      </c>
      <c r="Q183" s="1065">
        <f t="shared" si="75"/>
        <v>0</v>
      </c>
      <c r="R183" s="1065">
        <f t="shared" si="76"/>
        <v>0</v>
      </c>
    </row>
    <row r="184" spans="1:24" ht="52.5">
      <c r="A184" s="1136" t="s">
        <v>1026</v>
      </c>
      <c r="B184" s="955" t="s">
        <v>767</v>
      </c>
      <c r="C184" s="1190"/>
      <c r="D184" s="874">
        <f t="shared" si="77"/>
        <v>5777.1</v>
      </c>
      <c r="E184" s="1085">
        <v>0</v>
      </c>
      <c r="F184" s="1085">
        <v>5777.1</v>
      </c>
      <c r="G184" s="874">
        <f t="shared" si="78"/>
        <v>5777.1</v>
      </c>
      <c r="H184" s="1085">
        <v>0</v>
      </c>
      <c r="I184" s="1085">
        <v>5777.1</v>
      </c>
      <c r="J184" s="874">
        <f t="shared" si="79"/>
        <v>0</v>
      </c>
      <c r="K184" s="1085">
        <v>0</v>
      </c>
      <c r="L184" s="1085">
        <v>0</v>
      </c>
      <c r="M184" s="876">
        <f>IF(J184=0,0,J184/G184*100)</f>
        <v>0</v>
      </c>
      <c r="N184" s="877">
        <f>IF(K184=0,0,K184/H184*100)</f>
        <v>0</v>
      </c>
      <c r="O184" s="877">
        <f>IF(L184=0,0,L184/I184*100)</f>
        <v>0</v>
      </c>
      <c r="P184" s="1065">
        <f>D184-G184</f>
        <v>0</v>
      </c>
      <c r="Q184" s="1065">
        <f t="shared" si="75"/>
        <v>0</v>
      </c>
      <c r="R184" s="1065">
        <f t="shared" si="76"/>
        <v>0</v>
      </c>
      <c r="S184" s="1099" t="s">
        <v>872</v>
      </c>
      <c r="T184" s="1100">
        <v>1130490420</v>
      </c>
      <c r="U184" s="1099">
        <v>414</v>
      </c>
      <c r="V184" s="1099">
        <v>14007</v>
      </c>
    </row>
    <row r="185" spans="1:24" ht="26.25">
      <c r="A185" s="1136" t="s">
        <v>1027</v>
      </c>
      <c r="B185" s="955" t="s">
        <v>763</v>
      </c>
      <c r="C185" s="1190"/>
      <c r="D185" s="874">
        <f t="shared" ref="D185:D216" si="81">SUM(E185:F185)</f>
        <v>32800</v>
      </c>
      <c r="E185" s="1085">
        <v>30832</v>
      </c>
      <c r="F185" s="1085">
        <v>1968</v>
      </c>
      <c r="G185" s="874">
        <f t="shared" si="78"/>
        <v>32800</v>
      </c>
      <c r="H185" s="1085">
        <v>30832</v>
      </c>
      <c r="I185" s="1085">
        <v>1968</v>
      </c>
      <c r="J185" s="2453">
        <f>SUM(K185:L187)</f>
        <v>0</v>
      </c>
      <c r="K185" s="2420"/>
      <c r="L185" s="2420"/>
      <c r="M185" s="2446">
        <f>IF(J185=0,0,J185/G185:G187*100)</f>
        <v>0</v>
      </c>
      <c r="N185" s="2415">
        <f>IF(K185=0,0,K185/H185:H187*100)</f>
        <v>0</v>
      </c>
      <c r="O185" s="2415">
        <f>IF(L185=0,0,L185/I185:I187*100)</f>
        <v>0</v>
      </c>
      <c r="P185" s="1065">
        <f t="shared" si="74"/>
        <v>0</v>
      </c>
      <c r="Q185" s="1065">
        <f t="shared" si="75"/>
        <v>0</v>
      </c>
      <c r="R185" s="1065">
        <f t="shared" si="76"/>
        <v>0</v>
      </c>
      <c r="S185" s="2409" t="s">
        <v>872</v>
      </c>
      <c r="T185" s="2445" t="s">
        <v>878</v>
      </c>
      <c r="U185" s="2409">
        <v>414</v>
      </c>
      <c r="V185" s="2409" t="s">
        <v>879</v>
      </c>
      <c r="W185" s="2449"/>
    </row>
    <row r="186" spans="1:24" ht="26.25">
      <c r="A186" s="895">
        <v>118</v>
      </c>
      <c r="B186" s="955" t="s">
        <v>765</v>
      </c>
      <c r="C186" s="1190"/>
      <c r="D186" s="874">
        <f t="shared" si="81"/>
        <v>1200</v>
      </c>
      <c r="E186" s="1085">
        <v>1128</v>
      </c>
      <c r="F186" s="1085">
        <v>72</v>
      </c>
      <c r="G186" s="874">
        <f t="shared" si="78"/>
        <v>1200</v>
      </c>
      <c r="H186" s="1085">
        <v>1128</v>
      </c>
      <c r="I186" s="1085">
        <v>72</v>
      </c>
      <c r="J186" s="2454"/>
      <c r="K186" s="2421"/>
      <c r="L186" s="2421"/>
      <c r="M186" s="2447"/>
      <c r="N186" s="2416"/>
      <c r="O186" s="2416"/>
      <c r="P186" s="1065">
        <f t="shared" si="74"/>
        <v>0</v>
      </c>
      <c r="Q186" s="1065">
        <f t="shared" si="75"/>
        <v>0</v>
      </c>
      <c r="R186" s="1065">
        <f t="shared" si="76"/>
        <v>0</v>
      </c>
      <c r="S186" s="2409"/>
      <c r="T186" s="2445"/>
      <c r="U186" s="2409"/>
      <c r="V186" s="2409"/>
      <c r="W186" s="2449"/>
    </row>
    <row r="187" spans="1:24" ht="26.25">
      <c r="A187" s="895">
        <v>119</v>
      </c>
      <c r="B187" s="955" t="s">
        <v>766</v>
      </c>
      <c r="C187" s="1190"/>
      <c r="D187" s="874">
        <f t="shared" si="81"/>
        <v>1500</v>
      </c>
      <c r="E187" s="1085">
        <v>1410</v>
      </c>
      <c r="F187" s="1085">
        <v>90</v>
      </c>
      <c r="G187" s="874">
        <f t="shared" si="78"/>
        <v>1500</v>
      </c>
      <c r="H187" s="1085">
        <v>1410</v>
      </c>
      <c r="I187" s="1085">
        <v>90</v>
      </c>
      <c r="J187" s="2455"/>
      <c r="K187" s="2422"/>
      <c r="L187" s="2422"/>
      <c r="M187" s="2448"/>
      <c r="N187" s="2417"/>
      <c r="O187" s="2417"/>
      <c r="P187" s="1065">
        <f t="shared" si="74"/>
        <v>0</v>
      </c>
      <c r="Q187" s="1065">
        <f t="shared" si="75"/>
        <v>0</v>
      </c>
      <c r="R187" s="1065">
        <f t="shared" si="76"/>
        <v>0</v>
      </c>
      <c r="S187" s="2409"/>
      <c r="T187" s="2445"/>
      <c r="U187" s="2409"/>
      <c r="V187" s="2409"/>
      <c r="W187" s="2449"/>
    </row>
    <row r="188" spans="1:24" ht="52.5" hidden="1">
      <c r="A188" s="945"/>
      <c r="B188" s="937" t="s">
        <v>798</v>
      </c>
      <c r="C188" s="1186"/>
      <c r="D188" s="874">
        <f t="shared" si="81"/>
        <v>0</v>
      </c>
      <c r="E188" s="1085">
        <v>0</v>
      </c>
      <c r="F188" s="1085"/>
      <c r="G188" s="874">
        <f t="shared" ref="G188:G201" si="82">SUM(H188:I188)</f>
        <v>0</v>
      </c>
      <c r="H188" s="1085"/>
      <c r="I188" s="1085"/>
      <c r="J188" s="874">
        <f t="shared" ref="J188:J216" si="83">SUM(K188:L188)</f>
        <v>0</v>
      </c>
      <c r="K188" s="1085"/>
      <c r="L188" s="1085"/>
      <c r="M188" s="876">
        <f>IF(J188=0,0,J188/G188*100)</f>
        <v>0</v>
      </c>
      <c r="N188" s="877">
        <f>IF(K188=0,0,K188/H188*100)</f>
        <v>0</v>
      </c>
      <c r="O188" s="877">
        <f>IF(L188=0,0,L188/I188*100)</f>
        <v>0</v>
      </c>
      <c r="P188" s="1065">
        <f t="shared" si="74"/>
        <v>0</v>
      </c>
      <c r="Q188" s="1065">
        <f t="shared" si="75"/>
        <v>0</v>
      </c>
      <c r="R188" s="1065">
        <f t="shared" si="76"/>
        <v>0</v>
      </c>
    </row>
    <row r="189" spans="1:24" ht="60" customHeight="1">
      <c r="A189" s="1132" t="s">
        <v>104</v>
      </c>
      <c r="B189" s="900" t="s">
        <v>463</v>
      </c>
      <c r="C189" s="1160"/>
      <c r="D189" s="874">
        <f t="shared" si="81"/>
        <v>19842.5</v>
      </c>
      <c r="E189" s="879">
        <v>18651.8</v>
      </c>
      <c r="F189" s="879">
        <v>1190.7</v>
      </c>
      <c r="G189" s="874">
        <f t="shared" si="82"/>
        <v>19842.5</v>
      </c>
      <c r="H189" s="879">
        <v>18651.8</v>
      </c>
      <c r="I189" s="879">
        <v>1190.7</v>
      </c>
      <c r="J189" s="874">
        <f t="shared" si="83"/>
        <v>30</v>
      </c>
      <c r="K189" s="879">
        <v>28.2</v>
      </c>
      <c r="L189" s="879">
        <v>1.8</v>
      </c>
      <c r="M189" s="876">
        <f t="shared" ref="M189:M220" si="84">IF(J189=0,0,J189/G189*100)</f>
        <v>0.2</v>
      </c>
      <c r="N189" s="877">
        <f t="shared" si="80"/>
        <v>0.2</v>
      </c>
      <c r="O189" s="877">
        <f t="shared" si="80"/>
        <v>0.2</v>
      </c>
      <c r="P189" s="1065">
        <f t="shared" si="74"/>
        <v>0</v>
      </c>
      <c r="Q189" s="1065">
        <f t="shared" si="75"/>
        <v>0</v>
      </c>
      <c r="R189" s="1065">
        <f t="shared" si="76"/>
        <v>0</v>
      </c>
      <c r="S189" s="1099" t="s">
        <v>923</v>
      </c>
      <c r="T189" s="1100" t="s">
        <v>924</v>
      </c>
      <c r="U189" s="1099">
        <v>414</v>
      </c>
      <c r="V189" s="1099" t="s">
        <v>922</v>
      </c>
    </row>
    <row r="190" spans="1:24" ht="52.5">
      <c r="A190" s="1136" t="s">
        <v>1065</v>
      </c>
      <c r="B190" s="900" t="s">
        <v>592</v>
      </c>
      <c r="C190" s="1160"/>
      <c r="D190" s="874">
        <f t="shared" si="81"/>
        <v>12605.2</v>
      </c>
      <c r="E190" s="879">
        <v>11848.8</v>
      </c>
      <c r="F190" s="879">
        <v>756.4</v>
      </c>
      <c r="G190" s="874">
        <f t="shared" si="82"/>
        <v>12605.2</v>
      </c>
      <c r="H190" s="879">
        <v>11848.8</v>
      </c>
      <c r="I190" s="879">
        <v>756.4</v>
      </c>
      <c r="J190" s="874">
        <f t="shared" si="83"/>
        <v>0</v>
      </c>
      <c r="K190" s="879">
        <v>0</v>
      </c>
      <c r="L190" s="879">
        <v>0</v>
      </c>
      <c r="M190" s="876">
        <f t="shared" si="84"/>
        <v>0</v>
      </c>
      <c r="N190" s="877">
        <f t="shared" si="80"/>
        <v>0</v>
      </c>
      <c r="O190" s="877">
        <f t="shared" si="80"/>
        <v>0</v>
      </c>
      <c r="P190" s="1065">
        <f t="shared" si="74"/>
        <v>0</v>
      </c>
      <c r="Q190" s="1065">
        <f t="shared" si="75"/>
        <v>0</v>
      </c>
      <c r="R190" s="1065">
        <f t="shared" si="76"/>
        <v>0</v>
      </c>
      <c r="S190" s="1099" t="s">
        <v>923</v>
      </c>
      <c r="T190" s="1100" t="s">
        <v>925</v>
      </c>
      <c r="U190" s="1099">
        <v>414</v>
      </c>
      <c r="V190" s="1099" t="s">
        <v>922</v>
      </c>
    </row>
    <row r="191" spans="1:24" ht="52.5">
      <c r="A191" s="1136" t="s">
        <v>855</v>
      </c>
      <c r="B191" s="900" t="s">
        <v>776</v>
      </c>
      <c r="C191" s="1160"/>
      <c r="D191" s="874">
        <f t="shared" si="81"/>
        <v>29452.3</v>
      </c>
      <c r="E191" s="879">
        <v>27685.1</v>
      </c>
      <c r="F191" s="879">
        <v>1767.2</v>
      </c>
      <c r="G191" s="874">
        <f t="shared" si="82"/>
        <v>29452.3</v>
      </c>
      <c r="H191" s="879">
        <v>27685.1</v>
      </c>
      <c r="I191" s="879">
        <v>1767.2</v>
      </c>
      <c r="J191" s="874">
        <f t="shared" si="83"/>
        <v>0</v>
      </c>
      <c r="K191" s="879">
        <v>0</v>
      </c>
      <c r="L191" s="879">
        <v>0</v>
      </c>
      <c r="M191" s="876">
        <f t="shared" si="84"/>
        <v>0</v>
      </c>
      <c r="N191" s="877">
        <f t="shared" si="80"/>
        <v>0</v>
      </c>
      <c r="O191" s="877">
        <f t="shared" si="80"/>
        <v>0</v>
      </c>
      <c r="P191" s="1065">
        <f t="shared" ref="P191:P201" si="85">D191-G191</f>
        <v>0</v>
      </c>
      <c r="Q191" s="1065">
        <f t="shared" si="75"/>
        <v>0</v>
      </c>
      <c r="R191" s="1065">
        <f t="shared" si="76"/>
        <v>0</v>
      </c>
      <c r="S191" s="1099" t="s">
        <v>920</v>
      </c>
      <c r="T191" s="1100" t="s">
        <v>921</v>
      </c>
      <c r="U191" s="1099">
        <v>414</v>
      </c>
      <c r="V191" s="1099" t="s">
        <v>922</v>
      </c>
    </row>
    <row r="192" spans="1:24" ht="52.5" hidden="1">
      <c r="A192" s="945"/>
      <c r="B192" s="937" t="s">
        <v>799</v>
      </c>
      <c r="C192" s="1186"/>
      <c r="D192" s="874">
        <f t="shared" si="81"/>
        <v>0</v>
      </c>
      <c r="E192" s="1085">
        <v>0</v>
      </c>
      <c r="F192" s="1085"/>
      <c r="G192" s="874">
        <f t="shared" si="82"/>
        <v>0</v>
      </c>
      <c r="H192" s="1085"/>
      <c r="I192" s="1085"/>
      <c r="J192" s="874">
        <f t="shared" si="83"/>
        <v>0</v>
      </c>
      <c r="K192" s="1085"/>
      <c r="L192" s="1085"/>
      <c r="M192" s="876">
        <f t="shared" si="84"/>
        <v>0</v>
      </c>
      <c r="N192" s="877">
        <f t="shared" si="80"/>
        <v>0</v>
      </c>
      <c r="O192" s="877">
        <f t="shared" si="80"/>
        <v>0</v>
      </c>
      <c r="P192" s="1065">
        <f t="shared" si="85"/>
        <v>0</v>
      </c>
      <c r="Q192" s="1065">
        <f t="shared" si="75"/>
        <v>0</v>
      </c>
      <c r="R192" s="1065">
        <f t="shared" si="76"/>
        <v>0</v>
      </c>
    </row>
    <row r="193" spans="1:24" ht="81.75" customHeight="1">
      <c r="A193" s="2442" t="s">
        <v>856</v>
      </c>
      <c r="B193" s="901" t="s">
        <v>638</v>
      </c>
      <c r="C193" s="1185"/>
      <c r="D193" s="874">
        <f t="shared" si="81"/>
        <v>15520</v>
      </c>
      <c r="E193" s="879">
        <v>0</v>
      </c>
      <c r="F193" s="879">
        <v>15520</v>
      </c>
      <c r="G193" s="874">
        <f t="shared" si="82"/>
        <v>15520</v>
      </c>
      <c r="H193" s="879">
        <v>0</v>
      </c>
      <c r="I193" s="879">
        <v>15520</v>
      </c>
      <c r="J193" s="874">
        <f t="shared" si="83"/>
        <v>0</v>
      </c>
      <c r="K193" s="879">
        <v>0</v>
      </c>
      <c r="L193" s="879">
        <v>0</v>
      </c>
      <c r="M193" s="876">
        <f t="shared" si="84"/>
        <v>0</v>
      </c>
      <c r="N193" s="877">
        <f t="shared" si="80"/>
        <v>0</v>
      </c>
      <c r="O193" s="877">
        <f t="shared" si="80"/>
        <v>0</v>
      </c>
      <c r="P193" s="1065">
        <f t="shared" si="85"/>
        <v>0</v>
      </c>
      <c r="Q193" s="1065">
        <f t="shared" si="75"/>
        <v>0</v>
      </c>
      <c r="R193" s="1065">
        <f t="shared" si="76"/>
        <v>0</v>
      </c>
      <c r="S193" s="1099" t="s">
        <v>928</v>
      </c>
      <c r="T193" s="1100" t="s">
        <v>929</v>
      </c>
      <c r="U193" s="1099">
        <v>414</v>
      </c>
      <c r="V193" s="1099">
        <v>14003</v>
      </c>
    </row>
    <row r="194" spans="1:24" ht="52.5">
      <c r="A194" s="2442"/>
      <c r="B194" s="990" t="s">
        <v>694</v>
      </c>
      <c r="C194" s="1176"/>
      <c r="D194" s="874">
        <f t="shared" si="81"/>
        <v>251200</v>
      </c>
      <c r="E194" s="879">
        <v>236128</v>
      </c>
      <c r="F194" s="879">
        <v>15072</v>
      </c>
      <c r="G194" s="874">
        <f t="shared" si="82"/>
        <v>251200</v>
      </c>
      <c r="H194" s="879">
        <v>236128</v>
      </c>
      <c r="I194" s="879">
        <v>15072</v>
      </c>
      <c r="J194" s="874">
        <f t="shared" si="83"/>
        <v>0</v>
      </c>
      <c r="K194" s="879">
        <v>0</v>
      </c>
      <c r="L194" s="879">
        <v>0</v>
      </c>
      <c r="M194" s="876">
        <f t="shared" si="84"/>
        <v>0</v>
      </c>
      <c r="N194" s="877">
        <f>IF(K194=0,0,K194/H194*100)</f>
        <v>0</v>
      </c>
      <c r="O194" s="877">
        <f>IF(L194=0,0,L194/I194*100)</f>
        <v>0</v>
      </c>
      <c r="P194" s="1065">
        <f t="shared" si="85"/>
        <v>0</v>
      </c>
      <c r="Q194" s="1065">
        <f t="shared" si="75"/>
        <v>0</v>
      </c>
      <c r="R194" s="1065">
        <f t="shared" si="76"/>
        <v>0</v>
      </c>
      <c r="S194" s="1099" t="s">
        <v>928</v>
      </c>
      <c r="T194" s="1100" t="s">
        <v>931</v>
      </c>
      <c r="U194" s="1099">
        <v>414</v>
      </c>
      <c r="V194" s="1099" t="s">
        <v>930</v>
      </c>
    </row>
    <row r="195" spans="1:24" ht="89.25" customHeight="1">
      <c r="A195" s="2442" t="s">
        <v>857</v>
      </c>
      <c r="B195" s="900" t="s">
        <v>646</v>
      </c>
      <c r="C195" s="1160"/>
      <c r="D195" s="874">
        <f t="shared" si="81"/>
        <v>7500</v>
      </c>
      <c r="E195" s="1085">
        <v>0</v>
      </c>
      <c r="F195" s="1085">
        <v>7500</v>
      </c>
      <c r="G195" s="874">
        <f t="shared" si="82"/>
        <v>7500</v>
      </c>
      <c r="H195" s="1085">
        <v>0</v>
      </c>
      <c r="I195" s="1085">
        <v>7500</v>
      </c>
      <c r="J195" s="874">
        <f t="shared" si="83"/>
        <v>0</v>
      </c>
      <c r="K195" s="1085">
        <v>0</v>
      </c>
      <c r="L195" s="1085">
        <v>0</v>
      </c>
      <c r="M195" s="876">
        <f t="shared" si="84"/>
        <v>0</v>
      </c>
      <c r="N195" s="877">
        <f>IF(K195=0,0,K195/H195*100)</f>
        <v>0</v>
      </c>
      <c r="O195" s="877">
        <f>IF(L195=0,0,L195/I195*100)</f>
        <v>0</v>
      </c>
      <c r="P195" s="1065">
        <f t="shared" si="85"/>
        <v>0</v>
      </c>
      <c r="Q195" s="1065">
        <f t="shared" si="75"/>
        <v>0</v>
      </c>
      <c r="R195" s="1065">
        <f t="shared" si="76"/>
        <v>0</v>
      </c>
      <c r="S195" s="1099" t="s">
        <v>928</v>
      </c>
      <c r="T195" s="1100" t="s">
        <v>929</v>
      </c>
      <c r="U195" s="1099">
        <v>414</v>
      </c>
      <c r="V195" s="1099">
        <v>14036</v>
      </c>
    </row>
    <row r="196" spans="1:24" ht="52.5">
      <c r="A196" s="2442"/>
      <c r="B196" s="990" t="s">
        <v>695</v>
      </c>
      <c r="C196" s="1176"/>
      <c r="D196" s="874">
        <f t="shared" si="81"/>
        <v>142468</v>
      </c>
      <c r="E196" s="879">
        <v>133919.9</v>
      </c>
      <c r="F196" s="879">
        <v>8548.1</v>
      </c>
      <c r="G196" s="874">
        <f t="shared" si="82"/>
        <v>142468</v>
      </c>
      <c r="H196" s="879">
        <v>133919.9</v>
      </c>
      <c r="I196" s="879">
        <v>8548.1</v>
      </c>
      <c r="J196" s="874">
        <f t="shared" si="83"/>
        <v>0</v>
      </c>
      <c r="K196" s="879">
        <v>0</v>
      </c>
      <c r="L196" s="879">
        <v>0</v>
      </c>
      <c r="M196" s="876">
        <f t="shared" si="84"/>
        <v>0</v>
      </c>
      <c r="N196" s="877">
        <f t="shared" si="80"/>
        <v>0</v>
      </c>
      <c r="O196" s="877">
        <f t="shared" si="80"/>
        <v>0</v>
      </c>
      <c r="P196" s="1065">
        <f t="shared" si="85"/>
        <v>0</v>
      </c>
      <c r="Q196" s="1065">
        <f t="shared" si="75"/>
        <v>0</v>
      </c>
      <c r="R196" s="1065">
        <f t="shared" si="76"/>
        <v>0</v>
      </c>
      <c r="S196" s="1099" t="s">
        <v>928</v>
      </c>
      <c r="T196" s="1100" t="s">
        <v>1030</v>
      </c>
      <c r="U196" s="1099">
        <v>414</v>
      </c>
      <c r="V196" s="1099" t="s">
        <v>930</v>
      </c>
    </row>
    <row r="197" spans="1:24" ht="52.5" hidden="1">
      <c r="A197" s="945"/>
      <c r="B197" s="937" t="s">
        <v>800</v>
      </c>
      <c r="C197" s="1186"/>
      <c r="D197" s="881">
        <f t="shared" si="81"/>
        <v>0</v>
      </c>
      <c r="E197" s="1068">
        <v>0</v>
      </c>
      <c r="F197" s="1085"/>
      <c r="G197" s="874">
        <f t="shared" si="82"/>
        <v>0</v>
      </c>
      <c r="H197" s="1085"/>
      <c r="I197" s="1085"/>
      <c r="J197" s="874">
        <f t="shared" si="83"/>
        <v>0</v>
      </c>
      <c r="K197" s="1085"/>
      <c r="L197" s="1085"/>
      <c r="M197" s="876">
        <f t="shared" si="84"/>
        <v>0</v>
      </c>
      <c r="N197" s="877">
        <f>IF(K197=0,0,K197/H197*100)</f>
        <v>0</v>
      </c>
      <c r="O197" s="877">
        <f>IF(L197=0,0,L197/I197*100)</f>
        <v>0</v>
      </c>
      <c r="P197" s="1065">
        <f t="shared" si="85"/>
        <v>0</v>
      </c>
      <c r="Q197" s="1065">
        <f t="shared" si="75"/>
        <v>0</v>
      </c>
      <c r="R197" s="1065">
        <f t="shared" si="76"/>
        <v>0</v>
      </c>
    </row>
    <row r="198" spans="1:24" ht="87.75" customHeight="1">
      <c r="A198" s="2442" t="s">
        <v>858</v>
      </c>
      <c r="B198" s="1078" t="s">
        <v>642</v>
      </c>
      <c r="C198" s="1191"/>
      <c r="D198" s="874">
        <f t="shared" si="81"/>
        <v>6308.4</v>
      </c>
      <c r="E198" s="879">
        <v>0</v>
      </c>
      <c r="F198" s="879">
        <v>6308.4</v>
      </c>
      <c r="G198" s="874">
        <f t="shared" si="82"/>
        <v>6308.4</v>
      </c>
      <c r="H198" s="879">
        <v>0</v>
      </c>
      <c r="I198" s="879">
        <v>6308.4</v>
      </c>
      <c r="J198" s="874">
        <f t="shared" si="83"/>
        <v>0</v>
      </c>
      <c r="K198" s="879">
        <v>0</v>
      </c>
      <c r="L198" s="879">
        <v>0</v>
      </c>
      <c r="M198" s="876">
        <f t="shared" si="84"/>
        <v>0</v>
      </c>
      <c r="N198" s="877">
        <f>IF(K198=0,0,K198/H198*100)</f>
        <v>0</v>
      </c>
      <c r="O198" s="877">
        <f>IF(L198=0,0,L198/I198*100)</f>
        <v>0</v>
      </c>
      <c r="P198" s="1065">
        <f t="shared" si="85"/>
        <v>0</v>
      </c>
      <c r="Q198" s="1065">
        <f t="shared" si="75"/>
        <v>0</v>
      </c>
      <c r="R198" s="1065">
        <f t="shared" si="76"/>
        <v>0</v>
      </c>
      <c r="S198" s="1099" t="s">
        <v>945</v>
      </c>
      <c r="T198" s="1100" t="s">
        <v>946</v>
      </c>
      <c r="U198" s="1099">
        <v>414</v>
      </c>
      <c r="V198" s="1099">
        <v>14001</v>
      </c>
    </row>
    <row r="199" spans="1:24" ht="61.5" customHeight="1">
      <c r="A199" s="2442"/>
      <c r="B199" s="990" t="s">
        <v>698</v>
      </c>
      <c r="C199" s="1176"/>
      <c r="D199" s="874">
        <f t="shared" si="81"/>
        <v>96270.7</v>
      </c>
      <c r="E199" s="879">
        <v>90460.9</v>
      </c>
      <c r="F199" s="885">
        <v>5809.75</v>
      </c>
      <c r="G199" s="874">
        <f t="shared" si="82"/>
        <v>96270.7</v>
      </c>
      <c r="H199" s="879">
        <v>90460.9</v>
      </c>
      <c r="I199" s="885">
        <v>5809.75</v>
      </c>
      <c r="J199" s="874">
        <f t="shared" si="83"/>
        <v>0</v>
      </c>
      <c r="K199" s="879">
        <v>0</v>
      </c>
      <c r="L199" s="879">
        <v>0</v>
      </c>
      <c r="M199" s="876">
        <f t="shared" si="84"/>
        <v>0</v>
      </c>
      <c r="N199" s="877">
        <f t="shared" si="80"/>
        <v>0</v>
      </c>
      <c r="O199" s="877">
        <f t="shared" si="80"/>
        <v>0</v>
      </c>
      <c r="P199" s="1065">
        <f t="shared" si="85"/>
        <v>0</v>
      </c>
      <c r="Q199" s="1065">
        <f t="shared" si="75"/>
        <v>0</v>
      </c>
      <c r="R199" s="1065">
        <f t="shared" si="76"/>
        <v>0</v>
      </c>
      <c r="S199" s="1130" t="s">
        <v>936</v>
      </c>
      <c r="T199" s="1100" t="s">
        <v>940</v>
      </c>
      <c r="U199" s="1099">
        <v>414</v>
      </c>
      <c r="V199" s="1099" t="s">
        <v>939</v>
      </c>
    </row>
    <row r="200" spans="1:24" ht="65.25" customHeight="1">
      <c r="A200" s="1136" t="s">
        <v>859</v>
      </c>
      <c r="B200" s="990" t="s">
        <v>697</v>
      </c>
      <c r="C200" s="1176"/>
      <c r="D200" s="874">
        <f t="shared" si="81"/>
        <v>150000</v>
      </c>
      <c r="E200" s="879">
        <v>140955</v>
      </c>
      <c r="F200" s="879">
        <v>9045</v>
      </c>
      <c r="G200" s="874">
        <f t="shared" si="82"/>
        <v>150000</v>
      </c>
      <c r="H200" s="879">
        <v>140955</v>
      </c>
      <c r="I200" s="879">
        <v>9045</v>
      </c>
      <c r="J200" s="874">
        <f t="shared" si="83"/>
        <v>25173.1</v>
      </c>
      <c r="K200" s="879">
        <v>23654.799999999999</v>
      </c>
      <c r="L200" s="879">
        <v>1518.3</v>
      </c>
      <c r="M200" s="876">
        <f t="shared" si="84"/>
        <v>16.8</v>
      </c>
      <c r="N200" s="877">
        <f>IF(K200=0,0,K200/H200*100)</f>
        <v>16.8</v>
      </c>
      <c r="O200" s="877">
        <f>IF(L200=0,0,L200/I200*100)</f>
        <v>16.8</v>
      </c>
      <c r="P200" s="1065">
        <f t="shared" si="85"/>
        <v>0</v>
      </c>
      <c r="Q200" s="1065">
        <f t="shared" si="75"/>
        <v>0</v>
      </c>
      <c r="R200" s="1065">
        <f t="shared" si="76"/>
        <v>0</v>
      </c>
      <c r="S200" s="1130" t="s">
        <v>936</v>
      </c>
      <c r="T200" s="1100" t="s">
        <v>941</v>
      </c>
      <c r="U200" s="1099">
        <v>414</v>
      </c>
      <c r="V200" s="1099" t="s">
        <v>939</v>
      </c>
    </row>
    <row r="201" spans="1:24" ht="78.75">
      <c r="A201" s="1136" t="s">
        <v>917</v>
      </c>
      <c r="B201" s="990" t="s">
        <v>942</v>
      </c>
      <c r="C201" s="1176"/>
      <c r="D201" s="874">
        <f t="shared" si="81"/>
        <v>34500</v>
      </c>
      <c r="E201" s="879">
        <v>32419.7</v>
      </c>
      <c r="F201" s="879">
        <v>2080.3000000000002</v>
      </c>
      <c r="G201" s="874">
        <f t="shared" si="82"/>
        <v>34500</v>
      </c>
      <c r="H201" s="879">
        <v>32419.7</v>
      </c>
      <c r="I201" s="879">
        <v>2080.3000000000002</v>
      </c>
      <c r="J201" s="874">
        <f t="shared" si="83"/>
        <v>0</v>
      </c>
      <c r="K201" s="879">
        <v>0</v>
      </c>
      <c r="L201" s="879">
        <v>0</v>
      </c>
      <c r="M201" s="876">
        <f t="shared" si="84"/>
        <v>0</v>
      </c>
      <c r="N201" s="877">
        <f t="shared" si="80"/>
        <v>0</v>
      </c>
      <c r="O201" s="877">
        <f t="shared" si="80"/>
        <v>0</v>
      </c>
      <c r="P201" s="1065">
        <f t="shared" si="85"/>
        <v>0</v>
      </c>
      <c r="Q201" s="1065">
        <f t="shared" si="75"/>
        <v>0</v>
      </c>
      <c r="R201" s="1065">
        <f t="shared" si="76"/>
        <v>0</v>
      </c>
      <c r="S201" s="1099" t="s">
        <v>936</v>
      </c>
      <c r="T201" s="1100" t="s">
        <v>943</v>
      </c>
      <c r="U201" s="1099">
        <v>414</v>
      </c>
      <c r="V201" s="1099" t="s">
        <v>939</v>
      </c>
    </row>
    <row r="202" spans="1:24" ht="78.75">
      <c r="A202" s="1136" t="s">
        <v>918</v>
      </c>
      <c r="B202" s="901" t="s">
        <v>462</v>
      </c>
      <c r="C202" s="1185"/>
      <c r="D202" s="874">
        <f t="shared" si="81"/>
        <v>14429.4</v>
      </c>
      <c r="E202" s="879">
        <v>13560</v>
      </c>
      <c r="F202" s="879">
        <v>869.4</v>
      </c>
      <c r="G202" s="874">
        <f t="shared" ref="G202:G216" si="86">SUM(H202:I202)</f>
        <v>14429.4</v>
      </c>
      <c r="H202" s="879">
        <v>13560</v>
      </c>
      <c r="I202" s="879">
        <v>869.4</v>
      </c>
      <c r="J202" s="874">
        <f t="shared" si="83"/>
        <v>1014.3</v>
      </c>
      <c r="K202" s="879">
        <v>953.1</v>
      </c>
      <c r="L202" s="879">
        <v>61.2</v>
      </c>
      <c r="M202" s="876">
        <f t="shared" si="84"/>
        <v>7</v>
      </c>
      <c r="N202" s="877">
        <f t="shared" si="80"/>
        <v>7</v>
      </c>
      <c r="O202" s="877">
        <f t="shared" si="80"/>
        <v>7</v>
      </c>
      <c r="P202" s="1065">
        <f>D202-G202</f>
        <v>0</v>
      </c>
      <c r="Q202" s="1065">
        <f t="shared" si="75"/>
        <v>0</v>
      </c>
      <c r="R202" s="1065">
        <f t="shared" si="76"/>
        <v>0</v>
      </c>
      <c r="S202" s="1099" t="s">
        <v>936</v>
      </c>
      <c r="T202" s="1100" t="s">
        <v>938</v>
      </c>
      <c r="U202" s="1099">
        <v>414</v>
      </c>
      <c r="V202" s="1099" t="s">
        <v>939</v>
      </c>
    </row>
    <row r="203" spans="1:24" s="515" customFormat="1" ht="52.5">
      <c r="A203" s="2442" t="s">
        <v>1028</v>
      </c>
      <c r="B203" s="900" t="s">
        <v>700</v>
      </c>
      <c r="C203" s="1160"/>
      <c r="D203" s="874">
        <f t="shared" si="81"/>
        <v>18000</v>
      </c>
      <c r="E203" s="879">
        <v>0</v>
      </c>
      <c r="F203" s="879">
        <v>18000</v>
      </c>
      <c r="G203" s="874">
        <f t="shared" si="86"/>
        <v>18000</v>
      </c>
      <c r="H203" s="879">
        <v>0</v>
      </c>
      <c r="I203" s="879">
        <v>18000</v>
      </c>
      <c r="J203" s="874">
        <f t="shared" si="83"/>
        <v>0</v>
      </c>
      <c r="K203" s="879">
        <v>0</v>
      </c>
      <c r="L203" s="879">
        <v>0</v>
      </c>
      <c r="M203" s="876">
        <f t="shared" si="84"/>
        <v>0</v>
      </c>
      <c r="N203" s="877">
        <f t="shared" ref="N203:O234" si="87">IF(K203=0,0,K203/H203*100)</f>
        <v>0</v>
      </c>
      <c r="O203" s="877">
        <f t="shared" si="87"/>
        <v>0</v>
      </c>
      <c r="P203" s="1065">
        <f>D203-G203</f>
        <v>0</v>
      </c>
      <c r="Q203" s="1065">
        <f t="shared" si="75"/>
        <v>0</v>
      </c>
      <c r="R203" s="1065">
        <f t="shared" si="76"/>
        <v>0</v>
      </c>
      <c r="S203" s="1099" t="s">
        <v>949</v>
      </c>
      <c r="T203" s="1100" t="s">
        <v>950</v>
      </c>
      <c r="U203" s="1099">
        <v>414</v>
      </c>
      <c r="V203" s="1099">
        <v>14052</v>
      </c>
      <c r="W203" s="1129"/>
      <c r="X203" s="783"/>
    </row>
    <row r="204" spans="1:24" s="515" customFormat="1" ht="52.5">
      <c r="A204" s="2442"/>
      <c r="B204" s="900" t="s">
        <v>699</v>
      </c>
      <c r="C204" s="1160"/>
      <c r="D204" s="874">
        <f t="shared" si="81"/>
        <v>151300</v>
      </c>
      <c r="E204" s="879">
        <v>142200</v>
      </c>
      <c r="F204" s="879">
        <v>9100</v>
      </c>
      <c r="G204" s="874">
        <f t="shared" si="86"/>
        <v>151300</v>
      </c>
      <c r="H204" s="879">
        <v>142200</v>
      </c>
      <c r="I204" s="879">
        <v>9100</v>
      </c>
      <c r="J204" s="874">
        <f t="shared" si="83"/>
        <v>0</v>
      </c>
      <c r="K204" s="879">
        <v>0</v>
      </c>
      <c r="L204" s="879">
        <v>0</v>
      </c>
      <c r="M204" s="876">
        <f t="shared" si="84"/>
        <v>0</v>
      </c>
      <c r="N204" s="877">
        <f>IF(K204=0,0,K204/H204*100)</f>
        <v>0</v>
      </c>
      <c r="O204" s="877">
        <f>IF(L204=0,0,L204/I204*100)</f>
        <v>0</v>
      </c>
      <c r="P204" s="1065">
        <f>D204-G204</f>
        <v>0</v>
      </c>
      <c r="Q204" s="1065">
        <f t="shared" si="75"/>
        <v>0</v>
      </c>
      <c r="R204" s="1065">
        <f t="shared" si="76"/>
        <v>0</v>
      </c>
      <c r="S204" s="1099" t="s">
        <v>949</v>
      </c>
      <c r="T204" s="1100" t="s">
        <v>952</v>
      </c>
      <c r="U204" s="1099">
        <v>414</v>
      </c>
      <c r="V204" s="1099" t="s">
        <v>953</v>
      </c>
      <c r="W204" s="1129"/>
      <c r="X204" s="783"/>
    </row>
    <row r="205" spans="1:24" ht="52.5">
      <c r="A205" s="1136" t="s">
        <v>1029</v>
      </c>
      <c r="B205" s="900" t="s">
        <v>461</v>
      </c>
      <c r="C205" s="1160"/>
      <c r="D205" s="874">
        <f t="shared" si="81"/>
        <v>26810</v>
      </c>
      <c r="E205" s="879">
        <v>25201.1</v>
      </c>
      <c r="F205" s="879">
        <v>1608.9</v>
      </c>
      <c r="G205" s="874">
        <f t="shared" si="86"/>
        <v>26810</v>
      </c>
      <c r="H205" s="879">
        <v>25201.1</v>
      </c>
      <c r="I205" s="879">
        <v>1608.9</v>
      </c>
      <c r="J205" s="874">
        <f t="shared" si="83"/>
        <v>158.5</v>
      </c>
      <c r="K205" s="879">
        <v>149</v>
      </c>
      <c r="L205" s="879">
        <v>9.5</v>
      </c>
      <c r="M205" s="876">
        <f t="shared" si="84"/>
        <v>0.6</v>
      </c>
      <c r="N205" s="877">
        <f t="shared" si="87"/>
        <v>0.6</v>
      </c>
      <c r="O205" s="877">
        <f t="shared" si="87"/>
        <v>0.6</v>
      </c>
      <c r="P205" s="1065">
        <f>D205-G205</f>
        <v>0</v>
      </c>
      <c r="Q205" s="1065">
        <f t="shared" si="75"/>
        <v>0</v>
      </c>
      <c r="R205" s="1065">
        <f t="shared" si="76"/>
        <v>0</v>
      </c>
      <c r="S205" s="1099" t="s">
        <v>954</v>
      </c>
      <c r="T205" s="1100" t="s">
        <v>957</v>
      </c>
      <c r="U205" s="1099">
        <v>414</v>
      </c>
      <c r="V205" s="1099" t="s">
        <v>958</v>
      </c>
    </row>
    <row r="206" spans="1:24" s="914" customFormat="1" ht="75" customHeight="1">
      <c r="A206" s="2401" t="s">
        <v>456</v>
      </c>
      <c r="B206" s="2401"/>
      <c r="C206" s="1167"/>
      <c r="D206" s="917">
        <f t="shared" si="81"/>
        <v>1216852.3999999999</v>
      </c>
      <c r="E206" s="917">
        <f>SUM(E207,E216)</f>
        <v>909500</v>
      </c>
      <c r="F206" s="917">
        <f>SUM(F207,F216)</f>
        <v>307352.40000000002</v>
      </c>
      <c r="G206" s="917">
        <f t="shared" si="86"/>
        <v>1214960.1000000001</v>
      </c>
      <c r="H206" s="917">
        <f>SUM(H207,H216)</f>
        <v>907801.2</v>
      </c>
      <c r="I206" s="917">
        <f>SUM(I207,I216)</f>
        <v>307158.90000000002</v>
      </c>
      <c r="J206" s="917">
        <f t="shared" si="83"/>
        <v>24451.200000000001</v>
      </c>
      <c r="K206" s="917">
        <f>SUM(K207,K216)</f>
        <v>9733.1</v>
      </c>
      <c r="L206" s="917">
        <f>SUM(L207,L216)</f>
        <v>14718.1</v>
      </c>
      <c r="M206" s="918">
        <f t="shared" si="84"/>
        <v>2</v>
      </c>
      <c r="N206" s="920">
        <f t="shared" si="87"/>
        <v>1.1000000000000001</v>
      </c>
      <c r="O206" s="920">
        <f t="shared" si="87"/>
        <v>4.8</v>
      </c>
      <c r="P206" s="1065">
        <f t="shared" ref="P206:P238" si="88">D206-G206</f>
        <v>1892.3</v>
      </c>
      <c r="Q206" s="1065">
        <f t="shared" si="75"/>
        <v>1698.8</v>
      </c>
      <c r="R206" s="1065">
        <f t="shared" si="76"/>
        <v>193.5</v>
      </c>
      <c r="S206" s="1099"/>
      <c r="T206" s="1100"/>
      <c r="U206" s="1099"/>
      <c r="V206" s="1099"/>
      <c r="W206" s="1098"/>
      <c r="X206" s="913"/>
    </row>
    <row r="207" spans="1:24" s="914" customFormat="1" ht="121.5" customHeight="1">
      <c r="A207" s="944" t="s">
        <v>6</v>
      </c>
      <c r="B207" s="925" t="s">
        <v>439</v>
      </c>
      <c r="C207" s="1169"/>
      <c r="D207" s="926">
        <f t="shared" si="81"/>
        <v>134186</v>
      </c>
      <c r="E207" s="926">
        <f>SUM(E208,E210,E212,E214)</f>
        <v>0</v>
      </c>
      <c r="F207" s="926">
        <f>SUM(F208,F210,F212,F214)</f>
        <v>134186</v>
      </c>
      <c r="G207" s="926">
        <f>SUM(H207:I207)</f>
        <v>134186</v>
      </c>
      <c r="H207" s="926">
        <f>SUM(H208,H210,H212,H214)</f>
        <v>0</v>
      </c>
      <c r="I207" s="926">
        <f>SUM(I208,I210,I212,I214)</f>
        <v>134186</v>
      </c>
      <c r="J207" s="926">
        <f t="shared" si="83"/>
        <v>0</v>
      </c>
      <c r="K207" s="926">
        <f>SUM(K208,K210,K212,K214)</f>
        <v>0</v>
      </c>
      <c r="L207" s="926">
        <f>SUM(L208,L210,L212,L214)</f>
        <v>0</v>
      </c>
      <c r="M207" s="927">
        <f t="shared" si="84"/>
        <v>0</v>
      </c>
      <c r="N207" s="928">
        <f t="shared" si="87"/>
        <v>0</v>
      </c>
      <c r="O207" s="928">
        <f t="shared" si="87"/>
        <v>0</v>
      </c>
      <c r="P207" s="1065">
        <f t="shared" si="88"/>
        <v>0</v>
      </c>
      <c r="Q207" s="1065">
        <f t="shared" si="75"/>
        <v>0</v>
      </c>
      <c r="R207" s="1065">
        <f t="shared" si="76"/>
        <v>0</v>
      </c>
      <c r="S207" s="1099"/>
      <c r="T207" s="1100"/>
      <c r="U207" s="1099"/>
      <c r="V207" s="1099"/>
      <c r="W207" s="1098"/>
      <c r="X207" s="913"/>
    </row>
    <row r="208" spans="1:24">
      <c r="A208" s="1132"/>
      <c r="B208" s="898" t="s">
        <v>283</v>
      </c>
      <c r="C208" s="1173"/>
      <c r="D208" s="874">
        <f t="shared" si="81"/>
        <v>127656</v>
      </c>
      <c r="E208" s="875">
        <f>SUM(E209)</f>
        <v>0</v>
      </c>
      <c r="F208" s="875">
        <f>SUM(F209)</f>
        <v>127656</v>
      </c>
      <c r="G208" s="874">
        <f t="shared" si="86"/>
        <v>127656</v>
      </c>
      <c r="H208" s="875">
        <f>SUM(H209)</f>
        <v>0</v>
      </c>
      <c r="I208" s="875">
        <f>SUM(I209)</f>
        <v>127656</v>
      </c>
      <c r="J208" s="874">
        <f t="shared" si="83"/>
        <v>0</v>
      </c>
      <c r="K208" s="875">
        <f>SUM(K209)</f>
        <v>0</v>
      </c>
      <c r="L208" s="875">
        <f>SUM(L209)</f>
        <v>0</v>
      </c>
      <c r="M208" s="876">
        <f t="shared" si="84"/>
        <v>0</v>
      </c>
      <c r="N208" s="877">
        <f t="shared" si="87"/>
        <v>0</v>
      </c>
      <c r="O208" s="877">
        <f t="shared" si="87"/>
        <v>0</v>
      </c>
      <c r="P208" s="1065">
        <f t="shared" si="88"/>
        <v>0</v>
      </c>
      <c r="Q208" s="1065">
        <f t="shared" si="75"/>
        <v>0</v>
      </c>
      <c r="R208" s="1065">
        <f t="shared" si="76"/>
        <v>0</v>
      </c>
    </row>
    <row r="209" spans="1:24" ht="78.75">
      <c r="A209" s="1132" t="s">
        <v>538</v>
      </c>
      <c r="B209" s="1096" t="s">
        <v>1021</v>
      </c>
      <c r="C209" s="895"/>
      <c r="D209" s="874">
        <f t="shared" si="81"/>
        <v>127656</v>
      </c>
      <c r="E209" s="1085">
        <v>0</v>
      </c>
      <c r="F209" s="1085">
        <v>127656</v>
      </c>
      <c r="G209" s="874">
        <f t="shared" ref="G209:G215" si="89">SUM(H209:I209)</f>
        <v>127656</v>
      </c>
      <c r="H209" s="1085">
        <v>0</v>
      </c>
      <c r="I209" s="1085">
        <v>127656</v>
      </c>
      <c r="J209" s="1083">
        <f t="shared" si="83"/>
        <v>0</v>
      </c>
      <c r="K209" s="1083">
        <v>0</v>
      </c>
      <c r="L209" s="1083">
        <v>0</v>
      </c>
      <c r="M209" s="877">
        <f t="shared" si="84"/>
        <v>0</v>
      </c>
      <c r="N209" s="877">
        <f t="shared" si="87"/>
        <v>0</v>
      </c>
      <c r="O209" s="877">
        <f t="shared" si="87"/>
        <v>0</v>
      </c>
      <c r="P209" s="1065"/>
      <c r="Q209" s="1065"/>
      <c r="R209" s="1065"/>
      <c r="S209" s="1099" t="s">
        <v>999</v>
      </c>
      <c r="T209" s="1100">
        <v>1110243180</v>
      </c>
      <c r="U209" s="1099">
        <v>522</v>
      </c>
      <c r="V209" s="1099" t="s">
        <v>1019</v>
      </c>
    </row>
    <row r="210" spans="1:24" ht="37.5" customHeight="1">
      <c r="A210" s="1132"/>
      <c r="B210" s="898" t="s">
        <v>457</v>
      </c>
      <c r="C210" s="1173"/>
      <c r="D210" s="874">
        <f t="shared" si="81"/>
        <v>1325</v>
      </c>
      <c r="E210" s="875">
        <f>SUM(E211)</f>
        <v>0</v>
      </c>
      <c r="F210" s="875">
        <f>SUM(F211)</f>
        <v>1325</v>
      </c>
      <c r="G210" s="874">
        <f t="shared" si="89"/>
        <v>1325</v>
      </c>
      <c r="H210" s="875">
        <f>SUM(H211)</f>
        <v>0</v>
      </c>
      <c r="I210" s="875">
        <f>SUM(I211)</f>
        <v>1325</v>
      </c>
      <c r="J210" s="874">
        <f t="shared" si="83"/>
        <v>0</v>
      </c>
      <c r="K210" s="875">
        <f>SUM(K211)</f>
        <v>0</v>
      </c>
      <c r="L210" s="875">
        <f>SUM(L211)</f>
        <v>0</v>
      </c>
      <c r="M210" s="882">
        <f t="shared" si="84"/>
        <v>0</v>
      </c>
      <c r="N210" s="875">
        <f t="shared" si="87"/>
        <v>0</v>
      </c>
      <c r="O210" s="875">
        <f t="shared" si="87"/>
        <v>0</v>
      </c>
      <c r="P210" s="1065">
        <f t="shared" ref="P210:R214" si="90">D210-G210</f>
        <v>0</v>
      </c>
      <c r="Q210" s="1065">
        <f t="shared" si="90"/>
        <v>0</v>
      </c>
      <c r="R210" s="1065">
        <f t="shared" si="90"/>
        <v>0</v>
      </c>
    </row>
    <row r="211" spans="1:24" ht="78.75">
      <c r="A211" s="1132" t="s">
        <v>539</v>
      </c>
      <c r="B211" s="1096" t="s">
        <v>1021</v>
      </c>
      <c r="C211" s="895"/>
      <c r="D211" s="1083">
        <f t="shared" si="81"/>
        <v>1325</v>
      </c>
      <c r="E211" s="879">
        <v>0</v>
      </c>
      <c r="F211" s="879">
        <v>1325</v>
      </c>
      <c r="G211" s="1083">
        <f t="shared" si="89"/>
        <v>1325</v>
      </c>
      <c r="H211" s="879">
        <v>0</v>
      </c>
      <c r="I211" s="879">
        <v>1325</v>
      </c>
      <c r="J211" s="1083">
        <f t="shared" si="83"/>
        <v>0</v>
      </c>
      <c r="K211" s="879">
        <v>0</v>
      </c>
      <c r="L211" s="879">
        <v>0</v>
      </c>
      <c r="M211" s="877">
        <f t="shared" si="84"/>
        <v>0</v>
      </c>
      <c r="N211" s="877">
        <f t="shared" si="87"/>
        <v>0</v>
      </c>
      <c r="O211" s="877">
        <f t="shared" si="87"/>
        <v>0</v>
      </c>
      <c r="P211" s="1065">
        <f t="shared" si="90"/>
        <v>0</v>
      </c>
      <c r="Q211" s="1065">
        <f t="shared" si="90"/>
        <v>0</v>
      </c>
      <c r="R211" s="1065">
        <f t="shared" si="90"/>
        <v>0</v>
      </c>
      <c r="S211" s="1099" t="s">
        <v>999</v>
      </c>
      <c r="T211" s="1100">
        <v>1110243180</v>
      </c>
      <c r="U211" s="1099">
        <v>522</v>
      </c>
      <c r="V211" s="1099" t="s">
        <v>1019</v>
      </c>
    </row>
    <row r="212" spans="1:24" ht="34.5" customHeight="1">
      <c r="A212" s="991"/>
      <c r="B212" s="898" t="s">
        <v>68</v>
      </c>
      <c r="C212" s="1173"/>
      <c r="D212" s="874">
        <f t="shared" si="81"/>
        <v>671</v>
      </c>
      <c r="E212" s="875">
        <f>SUM(E213)</f>
        <v>0</v>
      </c>
      <c r="F212" s="875">
        <f>SUM(F213)</f>
        <v>671</v>
      </c>
      <c r="G212" s="874">
        <f t="shared" si="89"/>
        <v>671</v>
      </c>
      <c r="H212" s="875">
        <f>SUM(H213)</f>
        <v>0</v>
      </c>
      <c r="I212" s="875">
        <f>SUM(I213)</f>
        <v>671</v>
      </c>
      <c r="J212" s="874">
        <f t="shared" si="83"/>
        <v>0</v>
      </c>
      <c r="K212" s="875">
        <f>SUM(K213)</f>
        <v>0</v>
      </c>
      <c r="L212" s="875">
        <f>SUM(L213)</f>
        <v>0</v>
      </c>
      <c r="M212" s="876">
        <f t="shared" si="84"/>
        <v>0</v>
      </c>
      <c r="N212" s="877">
        <f t="shared" si="87"/>
        <v>0</v>
      </c>
      <c r="O212" s="877">
        <f t="shared" si="87"/>
        <v>0</v>
      </c>
      <c r="P212" s="1065">
        <f t="shared" si="90"/>
        <v>0</v>
      </c>
      <c r="Q212" s="1065">
        <f t="shared" si="90"/>
        <v>0</v>
      </c>
      <c r="R212" s="1065">
        <f t="shared" si="90"/>
        <v>0</v>
      </c>
    </row>
    <row r="213" spans="1:24" ht="82.5" customHeight="1">
      <c r="A213" s="1132" t="s">
        <v>19</v>
      </c>
      <c r="B213" s="1096" t="s">
        <v>1021</v>
      </c>
      <c r="C213" s="895"/>
      <c r="D213" s="1083">
        <f t="shared" si="81"/>
        <v>671</v>
      </c>
      <c r="E213" s="1085">
        <v>0</v>
      </c>
      <c r="F213" s="1085">
        <v>671</v>
      </c>
      <c r="G213" s="1083">
        <f t="shared" si="89"/>
        <v>671</v>
      </c>
      <c r="H213" s="1085">
        <v>0</v>
      </c>
      <c r="I213" s="1085">
        <v>671</v>
      </c>
      <c r="J213" s="1083">
        <f t="shared" si="83"/>
        <v>0</v>
      </c>
      <c r="K213" s="1083">
        <v>0</v>
      </c>
      <c r="L213" s="1083">
        <v>0</v>
      </c>
      <c r="M213" s="877">
        <f t="shared" si="84"/>
        <v>0</v>
      </c>
      <c r="N213" s="877">
        <f t="shared" si="87"/>
        <v>0</v>
      </c>
      <c r="O213" s="877">
        <f t="shared" si="87"/>
        <v>0</v>
      </c>
      <c r="P213" s="1065">
        <f t="shared" si="90"/>
        <v>0</v>
      </c>
      <c r="Q213" s="1065">
        <f t="shared" si="90"/>
        <v>0</v>
      </c>
      <c r="R213" s="1065">
        <f t="shared" si="90"/>
        <v>0</v>
      </c>
      <c r="S213" s="1099" t="s">
        <v>999</v>
      </c>
      <c r="T213" s="1100">
        <v>1110243180</v>
      </c>
      <c r="U213" s="1099">
        <v>522</v>
      </c>
      <c r="V213" s="1099" t="s">
        <v>1019</v>
      </c>
    </row>
    <row r="214" spans="1:24" ht="34.5" customHeight="1">
      <c r="A214" s="1132"/>
      <c r="B214" s="898" t="s">
        <v>431</v>
      </c>
      <c r="C214" s="1173"/>
      <c r="D214" s="874">
        <f t="shared" si="81"/>
        <v>4534</v>
      </c>
      <c r="E214" s="875">
        <f>SUM(E215)</f>
        <v>0</v>
      </c>
      <c r="F214" s="875">
        <f>SUM(F215)</f>
        <v>4534</v>
      </c>
      <c r="G214" s="874">
        <f t="shared" si="89"/>
        <v>4534</v>
      </c>
      <c r="H214" s="875">
        <f>SUM(H215)</f>
        <v>0</v>
      </c>
      <c r="I214" s="875">
        <f>SUM(I215)</f>
        <v>4534</v>
      </c>
      <c r="J214" s="874">
        <f t="shared" si="83"/>
        <v>0</v>
      </c>
      <c r="K214" s="875">
        <f>SUM(K215)</f>
        <v>0</v>
      </c>
      <c r="L214" s="875">
        <f>SUM(L215)</f>
        <v>0</v>
      </c>
      <c r="M214" s="876">
        <f t="shared" si="84"/>
        <v>0</v>
      </c>
      <c r="N214" s="877">
        <f t="shared" si="87"/>
        <v>0</v>
      </c>
      <c r="O214" s="877">
        <f t="shared" si="87"/>
        <v>0</v>
      </c>
      <c r="P214" s="1065">
        <f t="shared" si="90"/>
        <v>0</v>
      </c>
      <c r="Q214" s="1065">
        <f t="shared" si="90"/>
        <v>0</v>
      </c>
      <c r="R214" s="1065">
        <f t="shared" si="90"/>
        <v>0</v>
      </c>
    </row>
    <row r="215" spans="1:24" ht="57" customHeight="1">
      <c r="A215" s="1132" t="s">
        <v>20</v>
      </c>
      <c r="B215" s="1096" t="s">
        <v>1021</v>
      </c>
      <c r="C215" s="895"/>
      <c r="D215" s="1083">
        <f t="shared" si="81"/>
        <v>4534</v>
      </c>
      <c r="E215" s="1085">
        <v>0</v>
      </c>
      <c r="F215" s="1085">
        <v>4534</v>
      </c>
      <c r="G215" s="1083">
        <f t="shared" si="89"/>
        <v>4534</v>
      </c>
      <c r="H215" s="1085">
        <v>0</v>
      </c>
      <c r="I215" s="1085">
        <v>4534</v>
      </c>
      <c r="J215" s="1083">
        <f t="shared" si="83"/>
        <v>0</v>
      </c>
      <c r="K215" s="1083">
        <v>0</v>
      </c>
      <c r="L215" s="1083">
        <v>0</v>
      </c>
      <c r="M215" s="877">
        <f t="shared" si="84"/>
        <v>0</v>
      </c>
      <c r="N215" s="877">
        <f>IF(K215=0,0,K215/H215*100)</f>
        <v>0</v>
      </c>
      <c r="O215" s="877">
        <f>IF(L215=0,0,L215/I215*100)</f>
        <v>0</v>
      </c>
      <c r="P215" s="1065"/>
      <c r="Q215" s="1065"/>
      <c r="R215" s="1065"/>
      <c r="S215" s="1099" t="s">
        <v>999</v>
      </c>
      <c r="T215" s="1100">
        <v>1110243180</v>
      </c>
      <c r="U215" s="1099">
        <v>522</v>
      </c>
      <c r="V215" s="1099" t="s">
        <v>1019</v>
      </c>
    </row>
    <row r="216" spans="1:24" s="914" customFormat="1" ht="87.75" customHeight="1">
      <c r="A216" s="945" t="s">
        <v>2</v>
      </c>
      <c r="B216" s="925" t="s">
        <v>222</v>
      </c>
      <c r="C216" s="1169"/>
      <c r="D216" s="926">
        <f t="shared" si="81"/>
        <v>1082666.3999999999</v>
      </c>
      <c r="E216" s="926">
        <f>SUM(E217,E234)</f>
        <v>909500</v>
      </c>
      <c r="F216" s="926">
        <f>SUM(F217,F234)</f>
        <v>173166.4</v>
      </c>
      <c r="G216" s="926">
        <f t="shared" si="86"/>
        <v>1080774.1000000001</v>
      </c>
      <c r="H216" s="926">
        <f>SUM(H217,H234)</f>
        <v>907801.2</v>
      </c>
      <c r="I216" s="926">
        <f>SUM(I217,I234)</f>
        <v>172972.9</v>
      </c>
      <c r="J216" s="926">
        <f t="shared" si="83"/>
        <v>24451.200000000001</v>
      </c>
      <c r="K216" s="926">
        <f>SUM(K217,K234)</f>
        <v>9733.1</v>
      </c>
      <c r="L216" s="926">
        <f>SUM(L217,L234)</f>
        <v>14718.1</v>
      </c>
      <c r="M216" s="927">
        <f t="shared" si="84"/>
        <v>2.2999999999999998</v>
      </c>
      <c r="N216" s="928">
        <f t="shared" si="87"/>
        <v>1.1000000000000001</v>
      </c>
      <c r="O216" s="928">
        <f t="shared" si="87"/>
        <v>8.5</v>
      </c>
      <c r="P216" s="1065">
        <f t="shared" si="88"/>
        <v>1892.3</v>
      </c>
      <c r="Q216" s="1065">
        <f t="shared" ref="Q216:R218" si="91">E216-H216</f>
        <v>1698.8</v>
      </c>
      <c r="R216" s="1065">
        <f t="shared" si="91"/>
        <v>193.5</v>
      </c>
      <c r="S216" s="1099"/>
      <c r="T216" s="1100"/>
      <c r="U216" s="1099"/>
      <c r="V216" s="1099"/>
      <c r="W216" s="1098"/>
      <c r="X216" s="913"/>
    </row>
    <row r="217" spans="1:24" s="914" customFormat="1" ht="63.75" customHeight="1">
      <c r="A217" s="944" t="s">
        <v>246</v>
      </c>
      <c r="B217" s="932" t="s">
        <v>41</v>
      </c>
      <c r="C217" s="1182"/>
      <c r="D217" s="933">
        <f>E217+F217</f>
        <v>967706.4</v>
      </c>
      <c r="E217" s="933">
        <f>SUM(E232,E218)</f>
        <v>909500</v>
      </c>
      <c r="F217" s="933">
        <f>SUM(F232,F218)</f>
        <v>58206.400000000001</v>
      </c>
      <c r="G217" s="933">
        <f>H217+I217</f>
        <v>965814.1</v>
      </c>
      <c r="H217" s="933">
        <f>SUM(H232,H218)</f>
        <v>907801.2</v>
      </c>
      <c r="I217" s="933">
        <f>SUM(I232,I218)</f>
        <v>58012.9</v>
      </c>
      <c r="J217" s="933">
        <f>K217+L217</f>
        <v>10355.299999999999</v>
      </c>
      <c r="K217" s="933">
        <f>SUM(K232,K218)</f>
        <v>9733.1</v>
      </c>
      <c r="L217" s="933">
        <f>SUM(L232,L218)</f>
        <v>622.20000000000005</v>
      </c>
      <c r="M217" s="935">
        <f t="shared" si="84"/>
        <v>1.1000000000000001</v>
      </c>
      <c r="N217" s="936">
        <f t="shared" si="87"/>
        <v>1.1000000000000001</v>
      </c>
      <c r="O217" s="936">
        <f t="shared" si="87"/>
        <v>1.1000000000000001</v>
      </c>
      <c r="P217" s="1065">
        <f t="shared" si="88"/>
        <v>1892.3</v>
      </c>
      <c r="Q217" s="1065">
        <f t="shared" si="91"/>
        <v>1698.8</v>
      </c>
      <c r="R217" s="1065">
        <f t="shared" si="91"/>
        <v>193.5</v>
      </c>
      <c r="S217" s="1099"/>
      <c r="T217" s="1100"/>
      <c r="U217" s="1099"/>
      <c r="V217" s="1099"/>
      <c r="W217" s="1098"/>
      <c r="X217" s="913"/>
    </row>
    <row r="218" spans="1:24" s="959" customFormat="1" ht="59.25" customHeight="1">
      <c r="A218" s="957" t="s">
        <v>247</v>
      </c>
      <c r="B218" s="1054" t="s">
        <v>446</v>
      </c>
      <c r="C218" s="1192"/>
      <c r="D218" s="1055">
        <f>SUM(E218:F218)</f>
        <v>907600</v>
      </c>
      <c r="E218" s="1056">
        <f>SUM(E219:E231)</f>
        <v>853000</v>
      </c>
      <c r="F218" s="1056">
        <f>SUM(F219:F231)</f>
        <v>54600</v>
      </c>
      <c r="G218" s="1051">
        <f t="shared" ref="G218:G237" si="92">SUM(H218:I218)</f>
        <v>905707.7</v>
      </c>
      <c r="H218" s="1056">
        <f>SUM(H220:H231)</f>
        <v>851301.2</v>
      </c>
      <c r="I218" s="1056">
        <f>SUM(I220:I231)</f>
        <v>54406.5</v>
      </c>
      <c r="J218" s="1051">
        <f t="shared" ref="J218:J237" si="93">SUM(K218:L218)</f>
        <v>10355.299999999999</v>
      </c>
      <c r="K218" s="1056">
        <f>SUM(K220:K231)</f>
        <v>9733.1</v>
      </c>
      <c r="L218" s="1056">
        <f>SUM(L220:L231)</f>
        <v>622.20000000000005</v>
      </c>
      <c r="M218" s="1053">
        <f t="shared" si="84"/>
        <v>1.1000000000000001</v>
      </c>
      <c r="N218" s="1053">
        <f t="shared" si="87"/>
        <v>1.1000000000000001</v>
      </c>
      <c r="O218" s="1053">
        <f t="shared" si="87"/>
        <v>1.1000000000000001</v>
      </c>
      <c r="P218" s="1065">
        <f t="shared" si="88"/>
        <v>1892.3</v>
      </c>
      <c r="Q218" s="1065">
        <f t="shared" si="91"/>
        <v>1698.8</v>
      </c>
      <c r="R218" s="1065">
        <f t="shared" si="91"/>
        <v>193.5</v>
      </c>
      <c r="S218" s="1099"/>
      <c r="T218" s="1100"/>
      <c r="U218" s="1099"/>
      <c r="V218" s="1099"/>
      <c r="W218" s="1115"/>
      <c r="X218" s="1116"/>
    </row>
    <row r="219" spans="1:24" s="959" customFormat="1">
      <c r="A219" s="895"/>
      <c r="B219" s="937" t="s">
        <v>1000</v>
      </c>
      <c r="C219" s="1186"/>
      <c r="D219" s="871">
        <f>SUM(E219:F219)</f>
        <v>1892.3</v>
      </c>
      <c r="E219" s="884">
        <v>1698.8</v>
      </c>
      <c r="F219" s="887">
        <v>193.5</v>
      </c>
      <c r="G219" s="874">
        <f>H219+I219</f>
        <v>0</v>
      </c>
      <c r="H219" s="887">
        <v>0</v>
      </c>
      <c r="I219" s="887">
        <v>0</v>
      </c>
      <c r="J219" s="874">
        <f>SUM(K219:L219)</f>
        <v>0</v>
      </c>
      <c r="K219" s="884">
        <v>0</v>
      </c>
      <c r="L219" s="887">
        <v>0</v>
      </c>
      <c r="M219" s="876">
        <f t="shared" si="84"/>
        <v>0</v>
      </c>
      <c r="N219" s="877">
        <f>IF(K219=0,0,K219/H219*100)</f>
        <v>0</v>
      </c>
      <c r="O219" s="877">
        <f>IF(L219=0,0,L219/I219*100)</f>
        <v>0</v>
      </c>
      <c r="P219" s="1065"/>
      <c r="Q219" s="1065"/>
      <c r="R219" s="1065"/>
      <c r="S219" s="1099" t="s">
        <v>999</v>
      </c>
      <c r="T219" s="1100" t="s">
        <v>1001</v>
      </c>
      <c r="U219" s="1099">
        <v>414</v>
      </c>
      <c r="V219" s="1099"/>
      <c r="W219" s="1115"/>
      <c r="X219" s="1116"/>
    </row>
    <row r="220" spans="1:24" ht="52.5" customHeight="1">
      <c r="A220" s="895">
        <v>1</v>
      </c>
      <c r="B220" s="937" t="s">
        <v>668</v>
      </c>
      <c r="C220" s="1186"/>
      <c r="D220" s="871">
        <f t="shared" ref="D220:D237" si="94">SUM(E220:F220)</f>
        <v>452152</v>
      </c>
      <c r="E220" s="884">
        <v>425019.2</v>
      </c>
      <c r="F220" s="887">
        <v>27132.799999999999</v>
      </c>
      <c r="G220" s="874">
        <f>H220+I220</f>
        <v>452152</v>
      </c>
      <c r="H220" s="887">
        <f>E220</f>
        <v>425019.2</v>
      </c>
      <c r="I220" s="887">
        <f>F220</f>
        <v>27132.799999999999</v>
      </c>
      <c r="J220" s="874">
        <f>SUM(K220:L220)</f>
        <v>188.7</v>
      </c>
      <c r="K220" s="884">
        <v>177.4</v>
      </c>
      <c r="L220" s="887">
        <v>11.3</v>
      </c>
      <c r="M220" s="876">
        <f t="shared" si="84"/>
        <v>0</v>
      </c>
      <c r="N220" s="877">
        <f>IF(K220=0,0,K220/H220*100)</f>
        <v>0</v>
      </c>
      <c r="O220" s="877">
        <f>IF(L220=0,0,L220/I220*100)</f>
        <v>0</v>
      </c>
      <c r="P220" s="1065">
        <f t="shared" si="88"/>
        <v>0</v>
      </c>
      <c r="Q220" s="1065">
        <f t="shared" ref="Q220:Q244" si="95">E220-H220</f>
        <v>0</v>
      </c>
      <c r="R220" s="1065">
        <f t="shared" ref="R220:R244" si="96">F220-I220</f>
        <v>0</v>
      </c>
      <c r="S220" s="1099" t="s">
        <v>999</v>
      </c>
      <c r="T220" s="1100" t="s">
        <v>1005</v>
      </c>
      <c r="U220" s="1099">
        <v>414</v>
      </c>
      <c r="V220" s="1099" t="s">
        <v>1006</v>
      </c>
    </row>
    <row r="221" spans="1:24" ht="52.5">
      <c r="A221" s="895">
        <v>2</v>
      </c>
      <c r="B221" s="1097" t="s">
        <v>470</v>
      </c>
      <c r="C221" s="895"/>
      <c r="D221" s="871">
        <f t="shared" si="94"/>
        <v>50107.7</v>
      </c>
      <c r="E221" s="887">
        <v>47101.2</v>
      </c>
      <c r="F221" s="887">
        <v>3006.5</v>
      </c>
      <c r="G221" s="871">
        <f t="shared" si="92"/>
        <v>50107.7</v>
      </c>
      <c r="H221" s="887">
        <v>47101.2</v>
      </c>
      <c r="I221" s="887">
        <v>3006.5</v>
      </c>
      <c r="J221" s="871">
        <f t="shared" si="93"/>
        <v>4796.7</v>
      </c>
      <c r="K221" s="887">
        <v>4508.8999999999996</v>
      </c>
      <c r="L221" s="887">
        <v>287.8</v>
      </c>
      <c r="M221" s="872">
        <f t="shared" ref="M221:M237" si="97">IF(J221=0,0,J221/G221*100)</f>
        <v>9.6</v>
      </c>
      <c r="N221" s="873">
        <f t="shared" si="87"/>
        <v>9.6</v>
      </c>
      <c r="O221" s="873">
        <f t="shared" si="87"/>
        <v>9.6</v>
      </c>
      <c r="P221" s="1065">
        <f t="shared" si="88"/>
        <v>0</v>
      </c>
      <c r="Q221" s="1065">
        <f t="shared" si="95"/>
        <v>0</v>
      </c>
      <c r="R221" s="1065">
        <f t="shared" si="96"/>
        <v>0</v>
      </c>
      <c r="S221" s="1099" t="s">
        <v>999</v>
      </c>
      <c r="T221" s="1100" t="s">
        <v>1010</v>
      </c>
      <c r="U221" s="1099">
        <v>414</v>
      </c>
      <c r="V221" s="1099" t="s">
        <v>1011</v>
      </c>
    </row>
    <row r="222" spans="1:24" ht="78.75">
      <c r="A222" s="895">
        <v>3</v>
      </c>
      <c r="B222" s="1097" t="s">
        <v>622</v>
      </c>
      <c r="C222" s="895"/>
      <c r="D222" s="871">
        <f>SUM(E222:F222)</f>
        <v>64810.2</v>
      </c>
      <c r="E222" s="887">
        <v>60910.9</v>
      </c>
      <c r="F222" s="887">
        <v>3899.3</v>
      </c>
      <c r="G222" s="871">
        <f>SUM(H222:I222)</f>
        <v>64810.2</v>
      </c>
      <c r="H222" s="887">
        <f t="shared" ref="H222:H229" si="98">E222</f>
        <v>60910.9</v>
      </c>
      <c r="I222" s="887">
        <f t="shared" ref="I222:I229" si="99">F222</f>
        <v>3899.3</v>
      </c>
      <c r="J222" s="871">
        <f>SUM(K222:L222)</f>
        <v>0</v>
      </c>
      <c r="K222" s="887"/>
      <c r="L222" s="887"/>
      <c r="M222" s="872">
        <f t="shared" si="97"/>
        <v>0</v>
      </c>
      <c r="N222" s="873">
        <f>IF(K222=0,0,K222/H222*100)</f>
        <v>0</v>
      </c>
      <c r="O222" s="873">
        <f>IF(L222=0,0,L222/I222*100)</f>
        <v>0</v>
      </c>
      <c r="P222" s="1065">
        <f t="shared" si="88"/>
        <v>0</v>
      </c>
      <c r="Q222" s="1065">
        <f t="shared" si="95"/>
        <v>0</v>
      </c>
      <c r="R222" s="1065">
        <f t="shared" si="96"/>
        <v>0</v>
      </c>
      <c r="S222" s="1099" t="s">
        <v>999</v>
      </c>
      <c r="T222" s="1100" t="s">
        <v>1016</v>
      </c>
      <c r="U222" s="1099">
        <v>414</v>
      </c>
      <c r="V222" s="1099" t="s">
        <v>1004</v>
      </c>
    </row>
    <row r="223" spans="1:24" ht="78.75">
      <c r="A223" s="895">
        <v>4</v>
      </c>
      <c r="B223" s="1097" t="s">
        <v>837</v>
      </c>
      <c r="C223" s="895"/>
      <c r="D223" s="871">
        <f t="shared" si="94"/>
        <v>38427.4</v>
      </c>
      <c r="E223" s="887">
        <v>36115.4</v>
      </c>
      <c r="F223" s="887">
        <v>2312</v>
      </c>
      <c r="G223" s="871">
        <f t="shared" si="92"/>
        <v>38427.4</v>
      </c>
      <c r="H223" s="887">
        <f t="shared" si="98"/>
        <v>36115.4</v>
      </c>
      <c r="I223" s="887">
        <f t="shared" si="99"/>
        <v>2312</v>
      </c>
      <c r="J223" s="871">
        <f t="shared" si="93"/>
        <v>0</v>
      </c>
      <c r="K223" s="887"/>
      <c r="L223" s="887"/>
      <c r="M223" s="872">
        <f t="shared" si="97"/>
        <v>0</v>
      </c>
      <c r="N223" s="873">
        <f t="shared" si="87"/>
        <v>0</v>
      </c>
      <c r="O223" s="873">
        <f t="shared" si="87"/>
        <v>0</v>
      </c>
      <c r="P223" s="1065">
        <f t="shared" si="88"/>
        <v>0</v>
      </c>
      <c r="Q223" s="1065">
        <f t="shared" si="95"/>
        <v>0</v>
      </c>
      <c r="R223" s="1065">
        <f t="shared" si="96"/>
        <v>0</v>
      </c>
      <c r="S223" s="1099" t="s">
        <v>999</v>
      </c>
      <c r="T223" s="1100" t="s">
        <v>1015</v>
      </c>
      <c r="U223" s="1099">
        <v>414</v>
      </c>
      <c r="V223" s="1099" t="s">
        <v>1004</v>
      </c>
    </row>
    <row r="224" spans="1:24" ht="78.75">
      <c r="A224" s="895">
        <v>5</v>
      </c>
      <c r="B224" s="1097" t="s">
        <v>620</v>
      </c>
      <c r="C224" s="895"/>
      <c r="D224" s="871">
        <f>SUM(E224:F224)</f>
        <v>115978.8</v>
      </c>
      <c r="E224" s="887">
        <v>109001</v>
      </c>
      <c r="F224" s="887">
        <v>6977.8</v>
      </c>
      <c r="G224" s="871">
        <f>SUM(H224:I224)</f>
        <v>115978.8</v>
      </c>
      <c r="H224" s="887">
        <f t="shared" si="98"/>
        <v>109001</v>
      </c>
      <c r="I224" s="887">
        <f t="shared" si="99"/>
        <v>6977.8</v>
      </c>
      <c r="J224" s="871">
        <f>SUM(K224:L224)</f>
        <v>0</v>
      </c>
      <c r="K224" s="887"/>
      <c r="L224" s="887"/>
      <c r="M224" s="872">
        <f t="shared" si="97"/>
        <v>0</v>
      </c>
      <c r="N224" s="873">
        <f>IF(K224=0,0,K224/H224*100)</f>
        <v>0</v>
      </c>
      <c r="O224" s="873">
        <f>IF(L224=0,0,L224/I224*100)</f>
        <v>0</v>
      </c>
      <c r="P224" s="1065">
        <f t="shared" si="88"/>
        <v>0</v>
      </c>
      <c r="Q224" s="1065">
        <f t="shared" si="95"/>
        <v>0</v>
      </c>
      <c r="R224" s="1065">
        <f t="shared" si="96"/>
        <v>0</v>
      </c>
      <c r="S224" s="1099" t="s">
        <v>999</v>
      </c>
      <c r="T224" s="1100" t="s">
        <v>1014</v>
      </c>
      <c r="U224" s="1099">
        <v>414</v>
      </c>
      <c r="V224" s="1099" t="s">
        <v>1004</v>
      </c>
    </row>
    <row r="225" spans="1:24" ht="52.5">
      <c r="A225" s="895">
        <v>6</v>
      </c>
      <c r="B225" s="1097" t="s">
        <v>471</v>
      </c>
      <c r="C225" s="895"/>
      <c r="D225" s="871">
        <f t="shared" si="94"/>
        <v>9500</v>
      </c>
      <c r="E225" s="887">
        <v>8928.4</v>
      </c>
      <c r="F225" s="887">
        <v>571.6</v>
      </c>
      <c r="G225" s="871">
        <f t="shared" si="92"/>
        <v>9500</v>
      </c>
      <c r="H225" s="887">
        <f t="shared" si="98"/>
        <v>8928.4</v>
      </c>
      <c r="I225" s="887">
        <f t="shared" si="99"/>
        <v>571.6</v>
      </c>
      <c r="J225" s="871">
        <f t="shared" si="93"/>
        <v>603.4</v>
      </c>
      <c r="K225" s="887">
        <v>567.1</v>
      </c>
      <c r="L225" s="887">
        <v>36.299999999999997</v>
      </c>
      <c r="M225" s="872">
        <f t="shared" si="97"/>
        <v>6.4</v>
      </c>
      <c r="N225" s="873">
        <f t="shared" si="87"/>
        <v>6.4</v>
      </c>
      <c r="O225" s="873">
        <f t="shared" si="87"/>
        <v>6.4</v>
      </c>
      <c r="P225" s="1065">
        <f t="shared" si="88"/>
        <v>0</v>
      </c>
      <c r="Q225" s="1065">
        <f t="shared" si="95"/>
        <v>0</v>
      </c>
      <c r="R225" s="1065">
        <f t="shared" si="96"/>
        <v>0</v>
      </c>
      <c r="S225" s="1099" t="s">
        <v>999</v>
      </c>
      <c r="T225" s="1100" t="s">
        <v>1012</v>
      </c>
      <c r="U225" s="1099">
        <v>414</v>
      </c>
      <c r="V225" s="1099" t="s">
        <v>1004</v>
      </c>
    </row>
    <row r="226" spans="1:24" ht="61.5" customHeight="1">
      <c r="A226" s="895">
        <v>7</v>
      </c>
      <c r="B226" s="1097" t="s">
        <v>472</v>
      </c>
      <c r="C226" s="895"/>
      <c r="D226" s="871">
        <f t="shared" si="94"/>
        <v>16500</v>
      </c>
      <c r="E226" s="887">
        <v>15507.2</v>
      </c>
      <c r="F226" s="887">
        <v>992.8</v>
      </c>
      <c r="G226" s="871">
        <f t="shared" si="92"/>
        <v>16500</v>
      </c>
      <c r="H226" s="887">
        <f t="shared" si="98"/>
        <v>15507.2</v>
      </c>
      <c r="I226" s="887">
        <f t="shared" si="99"/>
        <v>992.8</v>
      </c>
      <c r="J226" s="871">
        <f t="shared" si="93"/>
        <v>550.1</v>
      </c>
      <c r="K226" s="887">
        <v>517</v>
      </c>
      <c r="L226" s="887">
        <v>33.1</v>
      </c>
      <c r="M226" s="872">
        <f t="shared" si="97"/>
        <v>3.3</v>
      </c>
      <c r="N226" s="873">
        <f t="shared" si="87"/>
        <v>3.3</v>
      </c>
      <c r="O226" s="873">
        <f t="shared" si="87"/>
        <v>3.3</v>
      </c>
      <c r="P226" s="1065">
        <f t="shared" si="88"/>
        <v>0</v>
      </c>
      <c r="Q226" s="1065">
        <f t="shared" si="95"/>
        <v>0</v>
      </c>
      <c r="R226" s="1065">
        <f t="shared" si="96"/>
        <v>0</v>
      </c>
      <c r="S226" s="1099" t="s">
        <v>999</v>
      </c>
      <c r="T226" s="1100" t="s">
        <v>1007</v>
      </c>
      <c r="U226" s="1099">
        <v>414</v>
      </c>
      <c r="V226" s="1099" t="s">
        <v>1004</v>
      </c>
    </row>
    <row r="227" spans="1:24" ht="67.5" customHeight="1">
      <c r="A227" s="895">
        <v>8</v>
      </c>
      <c r="B227" s="1097" t="s">
        <v>473</v>
      </c>
      <c r="C227" s="895"/>
      <c r="D227" s="871">
        <f t="shared" si="94"/>
        <v>10549.1</v>
      </c>
      <c r="E227" s="887">
        <v>9914.4</v>
      </c>
      <c r="F227" s="887">
        <v>634.70000000000005</v>
      </c>
      <c r="G227" s="871">
        <f t="shared" si="92"/>
        <v>10549.1</v>
      </c>
      <c r="H227" s="887">
        <f t="shared" si="98"/>
        <v>9914.4</v>
      </c>
      <c r="I227" s="887">
        <f t="shared" si="99"/>
        <v>634.70000000000005</v>
      </c>
      <c r="J227" s="871">
        <f t="shared" si="93"/>
        <v>880.9</v>
      </c>
      <c r="K227" s="887">
        <v>827.9</v>
      </c>
      <c r="L227" s="887">
        <v>53</v>
      </c>
      <c r="M227" s="872">
        <f t="shared" si="97"/>
        <v>8.4</v>
      </c>
      <c r="N227" s="873">
        <f t="shared" si="87"/>
        <v>8.4</v>
      </c>
      <c r="O227" s="873">
        <f t="shared" si="87"/>
        <v>8.4</v>
      </c>
      <c r="P227" s="1065">
        <f t="shared" si="88"/>
        <v>0</v>
      </c>
      <c r="Q227" s="1065">
        <f t="shared" si="95"/>
        <v>0</v>
      </c>
      <c r="R227" s="1065">
        <f t="shared" si="96"/>
        <v>0</v>
      </c>
      <c r="S227" s="1099" t="s">
        <v>999</v>
      </c>
      <c r="T227" s="1100" t="s">
        <v>1003</v>
      </c>
      <c r="U227" s="1099">
        <v>414</v>
      </c>
      <c r="V227" s="1099" t="s">
        <v>1004</v>
      </c>
    </row>
    <row r="228" spans="1:24" ht="67.5" customHeight="1">
      <c r="A228" s="895">
        <v>9</v>
      </c>
      <c r="B228" s="1097" t="s">
        <v>474</v>
      </c>
      <c r="C228" s="895"/>
      <c r="D228" s="871">
        <f>SUM(E228:F228)</f>
        <v>26243.8</v>
      </c>
      <c r="E228" s="887">
        <v>24664.799999999999</v>
      </c>
      <c r="F228" s="887">
        <v>1579</v>
      </c>
      <c r="G228" s="871">
        <f>SUM(H228:I228)</f>
        <v>26243.8</v>
      </c>
      <c r="H228" s="887">
        <f t="shared" si="98"/>
        <v>24664.799999999999</v>
      </c>
      <c r="I228" s="887">
        <f t="shared" si="99"/>
        <v>1579</v>
      </c>
      <c r="J228" s="871">
        <f>SUM(K228:L228)</f>
        <v>3335.5</v>
      </c>
      <c r="K228" s="887">
        <v>3134.8</v>
      </c>
      <c r="L228" s="887">
        <v>200.7</v>
      </c>
      <c r="M228" s="872">
        <f t="shared" si="97"/>
        <v>12.7</v>
      </c>
      <c r="N228" s="873">
        <f>IF(K228=0,0,K228/H228*100)</f>
        <v>12.7</v>
      </c>
      <c r="O228" s="873">
        <f>IF(L228=0,0,L228/I228*100)</f>
        <v>12.7</v>
      </c>
      <c r="P228" s="1065">
        <f t="shared" si="88"/>
        <v>0</v>
      </c>
      <c r="Q228" s="1065">
        <f t="shared" si="95"/>
        <v>0</v>
      </c>
      <c r="R228" s="1065">
        <f t="shared" si="96"/>
        <v>0</v>
      </c>
      <c r="S228" s="1099" t="s">
        <v>999</v>
      </c>
      <c r="T228" s="1100" t="s">
        <v>1013</v>
      </c>
      <c r="U228" s="1099">
        <v>414</v>
      </c>
      <c r="V228" s="1099" t="s">
        <v>1004</v>
      </c>
    </row>
    <row r="229" spans="1:24" ht="52.5">
      <c r="A229" s="895">
        <v>10</v>
      </c>
      <c r="B229" s="1097" t="s">
        <v>617</v>
      </c>
      <c r="C229" s="895"/>
      <c r="D229" s="871">
        <f t="shared" si="94"/>
        <v>81990.7</v>
      </c>
      <c r="E229" s="887">
        <v>77057.899999999994</v>
      </c>
      <c r="F229" s="887">
        <v>4932.8</v>
      </c>
      <c r="G229" s="871">
        <f t="shared" si="92"/>
        <v>81990.7</v>
      </c>
      <c r="H229" s="887">
        <f t="shared" si="98"/>
        <v>77057.899999999994</v>
      </c>
      <c r="I229" s="887">
        <f t="shared" si="99"/>
        <v>4932.8</v>
      </c>
      <c r="J229" s="871">
        <f t="shared" si="93"/>
        <v>0</v>
      </c>
      <c r="K229" s="887"/>
      <c r="L229" s="887"/>
      <c r="M229" s="872">
        <f t="shared" si="97"/>
        <v>0</v>
      </c>
      <c r="N229" s="873">
        <f t="shared" si="87"/>
        <v>0</v>
      </c>
      <c r="O229" s="873">
        <f t="shared" si="87"/>
        <v>0</v>
      </c>
      <c r="P229" s="1065">
        <f t="shared" si="88"/>
        <v>0</v>
      </c>
      <c r="Q229" s="1065">
        <f t="shared" si="95"/>
        <v>0</v>
      </c>
      <c r="R229" s="1065">
        <f t="shared" si="96"/>
        <v>0</v>
      </c>
      <c r="S229" s="1099" t="s">
        <v>999</v>
      </c>
      <c r="T229" s="1100" t="s">
        <v>1002</v>
      </c>
      <c r="U229" s="1099">
        <v>414</v>
      </c>
      <c r="V229" s="1099" t="s">
        <v>1004</v>
      </c>
    </row>
    <row r="230" spans="1:24" ht="52.5" hidden="1">
      <c r="A230" s="895">
        <v>12</v>
      </c>
      <c r="B230" s="1097" t="s">
        <v>618</v>
      </c>
      <c r="C230" s="895"/>
      <c r="D230" s="871">
        <f t="shared" si="94"/>
        <v>0</v>
      </c>
      <c r="E230" s="887"/>
      <c r="F230" s="887"/>
      <c r="G230" s="871">
        <f t="shared" si="92"/>
        <v>0</v>
      </c>
      <c r="H230" s="887">
        <f>E230</f>
        <v>0</v>
      </c>
      <c r="I230" s="887">
        <f>F230</f>
        <v>0</v>
      </c>
      <c r="J230" s="871">
        <f t="shared" si="93"/>
        <v>0</v>
      </c>
      <c r="K230" s="887"/>
      <c r="L230" s="887"/>
      <c r="M230" s="872">
        <f t="shared" si="97"/>
        <v>0</v>
      </c>
      <c r="N230" s="873">
        <f t="shared" si="87"/>
        <v>0</v>
      </c>
      <c r="O230" s="873">
        <f t="shared" si="87"/>
        <v>0</v>
      </c>
      <c r="P230" s="1065">
        <f t="shared" si="88"/>
        <v>0</v>
      </c>
      <c r="Q230" s="1065">
        <f t="shared" si="95"/>
        <v>0</v>
      </c>
      <c r="R230" s="1065">
        <f t="shared" si="96"/>
        <v>0</v>
      </c>
      <c r="S230" s="1099" t="s">
        <v>999</v>
      </c>
      <c r="U230" s="1099">
        <v>414</v>
      </c>
      <c r="V230" s="1099" t="s">
        <v>1009</v>
      </c>
    </row>
    <row r="231" spans="1:24" ht="52.5">
      <c r="A231" s="895">
        <v>11</v>
      </c>
      <c r="B231" s="1097" t="s">
        <v>619</v>
      </c>
      <c r="C231" s="895"/>
      <c r="D231" s="871">
        <f>SUM(E231:F231)</f>
        <v>39448</v>
      </c>
      <c r="E231" s="887">
        <v>37080.800000000003</v>
      </c>
      <c r="F231" s="887">
        <v>2367.1999999999998</v>
      </c>
      <c r="G231" s="871">
        <f>SUM(H231:I231)</f>
        <v>39448</v>
      </c>
      <c r="H231" s="887">
        <f>E231</f>
        <v>37080.800000000003</v>
      </c>
      <c r="I231" s="887">
        <f>F231</f>
        <v>2367.1999999999998</v>
      </c>
      <c r="J231" s="871">
        <f>SUM(K231:L231)</f>
        <v>0</v>
      </c>
      <c r="K231" s="887"/>
      <c r="L231" s="887"/>
      <c r="M231" s="872">
        <f t="shared" si="97"/>
        <v>0</v>
      </c>
      <c r="N231" s="873">
        <f t="shared" si="87"/>
        <v>0</v>
      </c>
      <c r="O231" s="873">
        <f t="shared" si="87"/>
        <v>0</v>
      </c>
      <c r="P231" s="1065">
        <f t="shared" si="88"/>
        <v>0</v>
      </c>
      <c r="Q231" s="1065">
        <f t="shared" si="95"/>
        <v>0</v>
      </c>
      <c r="R231" s="1065">
        <f t="shared" si="96"/>
        <v>0</v>
      </c>
      <c r="S231" s="1099" t="s">
        <v>999</v>
      </c>
      <c r="T231" s="1100" t="s">
        <v>1008</v>
      </c>
      <c r="U231" s="1099">
        <v>414</v>
      </c>
      <c r="V231" s="1099" t="s">
        <v>1006</v>
      </c>
    </row>
    <row r="232" spans="1:24" s="914" customFormat="1" ht="81">
      <c r="A232" s="944" t="s">
        <v>248</v>
      </c>
      <c r="B232" s="947" t="s">
        <v>656</v>
      </c>
      <c r="C232" s="1193"/>
      <c r="D232" s="948">
        <f>SUM(E232:F232)</f>
        <v>60106.400000000001</v>
      </c>
      <c r="E232" s="949">
        <f>E233</f>
        <v>56500</v>
      </c>
      <c r="F232" s="949">
        <f>F233</f>
        <v>3606.4</v>
      </c>
      <c r="G232" s="950">
        <f>SUM(H232:I232)</f>
        <v>60106.400000000001</v>
      </c>
      <c r="H232" s="949">
        <f>H233</f>
        <v>56500</v>
      </c>
      <c r="I232" s="949">
        <f>I233</f>
        <v>3606.4</v>
      </c>
      <c r="J232" s="950">
        <f>SUM(K232:L232)</f>
        <v>0</v>
      </c>
      <c r="K232" s="949">
        <f>K233</f>
        <v>0</v>
      </c>
      <c r="L232" s="949">
        <f>L233</f>
        <v>0</v>
      </c>
      <c r="M232" s="951">
        <f t="shared" si="97"/>
        <v>0</v>
      </c>
      <c r="N232" s="952">
        <f t="shared" si="87"/>
        <v>0</v>
      </c>
      <c r="O232" s="952">
        <f t="shared" si="87"/>
        <v>0</v>
      </c>
      <c r="P232" s="1065">
        <f t="shared" si="88"/>
        <v>0</v>
      </c>
      <c r="Q232" s="1065">
        <f t="shared" si="95"/>
        <v>0</v>
      </c>
      <c r="R232" s="1065">
        <f t="shared" si="96"/>
        <v>0</v>
      </c>
      <c r="S232" s="1099"/>
      <c r="T232" s="1100"/>
      <c r="U232" s="1099"/>
      <c r="V232" s="1099"/>
      <c r="W232" s="1098"/>
      <c r="X232" s="913"/>
    </row>
    <row r="233" spans="1:24" ht="67.5" customHeight="1">
      <c r="A233" s="895">
        <v>12</v>
      </c>
      <c r="B233" s="937" t="s">
        <v>623</v>
      </c>
      <c r="C233" s="1186"/>
      <c r="D233" s="871">
        <f>SUM(E233:F233)</f>
        <v>60106.400000000001</v>
      </c>
      <c r="E233" s="884">
        <v>56500</v>
      </c>
      <c r="F233" s="887">
        <v>3606.4</v>
      </c>
      <c r="G233" s="871">
        <f>SUM(H233:I233)</f>
        <v>60106.400000000001</v>
      </c>
      <c r="H233" s="884">
        <v>56500</v>
      </c>
      <c r="I233" s="887">
        <v>3606.4</v>
      </c>
      <c r="J233" s="874">
        <f>SUM(K233:L233)</f>
        <v>0</v>
      </c>
      <c r="K233" s="884">
        <v>0</v>
      </c>
      <c r="L233" s="887">
        <v>0</v>
      </c>
      <c r="M233" s="876">
        <f t="shared" si="97"/>
        <v>0</v>
      </c>
      <c r="N233" s="877">
        <f t="shared" si="87"/>
        <v>0</v>
      </c>
      <c r="O233" s="877">
        <f t="shared" si="87"/>
        <v>0</v>
      </c>
      <c r="P233" s="1065">
        <f t="shared" si="88"/>
        <v>0</v>
      </c>
      <c r="Q233" s="1065">
        <f t="shared" si="95"/>
        <v>0</v>
      </c>
      <c r="R233" s="1065">
        <f t="shared" si="96"/>
        <v>0</v>
      </c>
      <c r="S233" s="1099" t="s">
        <v>999</v>
      </c>
      <c r="T233" s="1100" t="s">
        <v>1017</v>
      </c>
      <c r="U233" s="1099">
        <v>414</v>
      </c>
      <c r="V233" s="1099" t="s">
        <v>1018</v>
      </c>
    </row>
    <row r="234" spans="1:24" s="914" customFormat="1" ht="69" customHeight="1">
      <c r="A234" s="944" t="s">
        <v>249</v>
      </c>
      <c r="B234" s="932" t="s">
        <v>39</v>
      </c>
      <c r="C234" s="1182"/>
      <c r="D234" s="933">
        <f t="shared" si="94"/>
        <v>114960</v>
      </c>
      <c r="E234" s="933">
        <f>SUM(E235:E237)</f>
        <v>0</v>
      </c>
      <c r="F234" s="933">
        <f>SUM(F235:F237)</f>
        <v>114960</v>
      </c>
      <c r="G234" s="933">
        <f t="shared" si="92"/>
        <v>114960</v>
      </c>
      <c r="H234" s="933">
        <f>SUM(H235:H237)</f>
        <v>0</v>
      </c>
      <c r="I234" s="933">
        <f>SUM(I235:I237)</f>
        <v>114960</v>
      </c>
      <c r="J234" s="933">
        <f t="shared" si="93"/>
        <v>14095.9</v>
      </c>
      <c r="K234" s="933">
        <f>SUM(K235:K237)</f>
        <v>0</v>
      </c>
      <c r="L234" s="933">
        <f>SUM(L235:L237)</f>
        <v>14095.9</v>
      </c>
      <c r="M234" s="935">
        <f t="shared" si="97"/>
        <v>12.3</v>
      </c>
      <c r="N234" s="936">
        <f t="shared" si="87"/>
        <v>0</v>
      </c>
      <c r="O234" s="936">
        <f t="shared" si="87"/>
        <v>12.3</v>
      </c>
      <c r="P234" s="1065">
        <f t="shared" si="88"/>
        <v>0</v>
      </c>
      <c r="Q234" s="1065">
        <f t="shared" si="95"/>
        <v>0</v>
      </c>
      <c r="R234" s="1065">
        <f t="shared" si="96"/>
        <v>0</v>
      </c>
      <c r="S234" s="1099"/>
      <c r="T234" s="1100"/>
      <c r="U234" s="1099"/>
      <c r="V234" s="1099"/>
      <c r="W234" s="1098"/>
      <c r="X234" s="913"/>
    </row>
    <row r="235" spans="1:24" s="736" customFormat="1" ht="78.75">
      <c r="A235" s="895">
        <v>13</v>
      </c>
      <c r="B235" s="903" t="s">
        <v>706</v>
      </c>
      <c r="C235" s="1194"/>
      <c r="D235" s="871">
        <f>SUM(E235:F235)</f>
        <v>2760</v>
      </c>
      <c r="E235" s="887">
        <v>0</v>
      </c>
      <c r="F235" s="887">
        <v>2760</v>
      </c>
      <c r="G235" s="871">
        <f>SUM(H235:I235)</f>
        <v>2760</v>
      </c>
      <c r="H235" s="887">
        <v>0</v>
      </c>
      <c r="I235" s="887">
        <v>2760</v>
      </c>
      <c r="J235" s="871">
        <f>SUM(K235:L235)</f>
        <v>0</v>
      </c>
      <c r="K235" s="887">
        <v>0</v>
      </c>
      <c r="L235" s="887">
        <v>0</v>
      </c>
      <c r="M235" s="872">
        <f t="shared" si="97"/>
        <v>0</v>
      </c>
      <c r="N235" s="873">
        <f t="shared" ref="N235:O237" si="100">IF(K235=0,0,K235/H235*100)</f>
        <v>0</v>
      </c>
      <c r="O235" s="873">
        <f t="shared" si="100"/>
        <v>0</v>
      </c>
      <c r="P235" s="1065">
        <f t="shared" si="88"/>
        <v>0</v>
      </c>
      <c r="Q235" s="1065">
        <f t="shared" si="95"/>
        <v>0</v>
      </c>
      <c r="R235" s="1065">
        <f t="shared" si="96"/>
        <v>0</v>
      </c>
      <c r="S235" s="1099" t="s">
        <v>999</v>
      </c>
      <c r="T235" s="1100">
        <v>1110290400</v>
      </c>
      <c r="U235" s="1099">
        <v>414</v>
      </c>
      <c r="V235" s="1099">
        <v>10119</v>
      </c>
      <c r="W235" s="1098"/>
    </row>
    <row r="236" spans="1:24" s="736" customFormat="1" ht="52.5">
      <c r="A236" s="895"/>
      <c r="B236" s="903" t="s">
        <v>268</v>
      </c>
      <c r="C236" s="1194"/>
      <c r="D236" s="871">
        <f>SUM(E236:F236)</f>
        <v>700</v>
      </c>
      <c r="E236" s="887">
        <v>0</v>
      </c>
      <c r="F236" s="887">
        <v>700</v>
      </c>
      <c r="G236" s="871">
        <f>SUM(H236:I236)</f>
        <v>700</v>
      </c>
      <c r="H236" s="887">
        <v>0</v>
      </c>
      <c r="I236" s="887">
        <v>700</v>
      </c>
      <c r="J236" s="871">
        <f>SUM(K236:L236)</f>
        <v>63</v>
      </c>
      <c r="K236" s="887">
        <v>0</v>
      </c>
      <c r="L236" s="887">
        <v>63</v>
      </c>
      <c r="M236" s="872">
        <f t="shared" si="97"/>
        <v>9</v>
      </c>
      <c r="N236" s="873">
        <f>IF(K236=0,0,K236/H236*100)</f>
        <v>0</v>
      </c>
      <c r="O236" s="873">
        <f>IF(L236=0,0,L236/I236*100)</f>
        <v>9</v>
      </c>
      <c r="P236" s="1065">
        <f>D236-G236</f>
        <v>0</v>
      </c>
      <c r="Q236" s="1065">
        <f t="shared" si="95"/>
        <v>0</v>
      </c>
      <c r="R236" s="1065">
        <f t="shared" si="96"/>
        <v>0</v>
      </c>
      <c r="S236" s="1099" t="s">
        <v>999</v>
      </c>
      <c r="T236" s="1100">
        <v>1110290400</v>
      </c>
      <c r="U236" s="1099">
        <v>414</v>
      </c>
      <c r="V236" s="1099">
        <v>10044</v>
      </c>
      <c r="W236" s="1098"/>
    </row>
    <row r="237" spans="1:24" s="736" customFormat="1" ht="42.75" customHeight="1">
      <c r="A237" s="895"/>
      <c r="B237" s="903" t="s">
        <v>263</v>
      </c>
      <c r="C237" s="1194"/>
      <c r="D237" s="871">
        <f t="shared" si="94"/>
        <v>111500</v>
      </c>
      <c r="E237" s="887">
        <v>0</v>
      </c>
      <c r="F237" s="887">
        <v>111500</v>
      </c>
      <c r="G237" s="871">
        <f t="shared" si="92"/>
        <v>111500</v>
      </c>
      <c r="H237" s="887">
        <v>0</v>
      </c>
      <c r="I237" s="887">
        <v>111500</v>
      </c>
      <c r="J237" s="871">
        <f t="shared" si="93"/>
        <v>14032.9</v>
      </c>
      <c r="K237" s="887"/>
      <c r="L237" s="887">
        <v>14032.9</v>
      </c>
      <c r="M237" s="872">
        <f t="shared" si="97"/>
        <v>12.6</v>
      </c>
      <c r="N237" s="873">
        <f t="shared" si="100"/>
        <v>0</v>
      </c>
      <c r="O237" s="873">
        <f t="shared" si="100"/>
        <v>12.6</v>
      </c>
      <c r="P237" s="1065">
        <f t="shared" si="88"/>
        <v>0</v>
      </c>
      <c r="Q237" s="1065">
        <f t="shared" si="95"/>
        <v>0</v>
      </c>
      <c r="R237" s="1065">
        <f t="shared" si="96"/>
        <v>0</v>
      </c>
      <c r="S237" s="1099" t="s">
        <v>999</v>
      </c>
      <c r="T237" s="1100">
        <v>1110290400</v>
      </c>
      <c r="U237" s="1099">
        <v>414</v>
      </c>
      <c r="V237" s="1099">
        <v>10001</v>
      </c>
      <c r="W237" s="1098"/>
    </row>
    <row r="238" spans="1:24">
      <c r="A238" s="1102"/>
      <c r="B238" s="1079" t="s">
        <v>432</v>
      </c>
      <c r="C238" s="1160"/>
      <c r="D238" s="1080"/>
      <c r="E238" s="1079"/>
      <c r="F238" s="1079"/>
      <c r="G238" s="1080"/>
      <c r="H238" s="1079"/>
      <c r="I238" s="1079"/>
      <c r="J238" s="1081"/>
      <c r="K238" s="1082"/>
      <c r="L238" s="1082"/>
      <c r="M238" s="1081"/>
      <c r="N238" s="1082"/>
      <c r="O238" s="1082"/>
      <c r="P238" s="1065">
        <f t="shared" si="88"/>
        <v>0</v>
      </c>
      <c r="Q238" s="1065">
        <f t="shared" si="95"/>
        <v>0</v>
      </c>
      <c r="R238" s="1065">
        <f t="shared" si="96"/>
        <v>0</v>
      </c>
    </row>
    <row r="239" spans="1:24" ht="175.5" customHeight="1">
      <c r="A239" s="2439" t="s">
        <v>836</v>
      </c>
      <c r="B239" s="2443"/>
      <c r="C239" s="1195"/>
      <c r="D239" s="893">
        <f>SUM(E239:F239)</f>
        <v>865629.1</v>
      </c>
      <c r="E239" s="894">
        <f>SUM(E91,E20:E21)</f>
        <v>853456.8</v>
      </c>
      <c r="F239" s="894">
        <f>SUM(F91,F20:F21)</f>
        <v>12172.3</v>
      </c>
      <c r="G239" s="893">
        <f>SUM(H239:I239)</f>
        <v>865629.1</v>
      </c>
      <c r="H239" s="894">
        <f>SUM(H91,H20:H21)</f>
        <v>853456.8</v>
      </c>
      <c r="I239" s="894">
        <f>SUM(I91,I20:I21)</f>
        <v>12172.3</v>
      </c>
      <c r="J239" s="893">
        <f>SUM(K239:L239)</f>
        <v>14456.5</v>
      </c>
      <c r="K239" s="894">
        <f>SUM(K91,K20:K21)</f>
        <v>9709.4</v>
      </c>
      <c r="L239" s="894">
        <f>SUM(L91,L20:L21)</f>
        <v>4747.1000000000004</v>
      </c>
      <c r="M239" s="893">
        <f t="shared" ref="M239:M244" si="101">SUM(N239:O239)</f>
        <v>2.2000000000000002</v>
      </c>
      <c r="N239" s="894">
        <f>SUM(N217,N126,N70)</f>
        <v>1.1000000000000001</v>
      </c>
      <c r="O239" s="894">
        <f>SUM(O217,O126,O70)</f>
        <v>1.1000000000000001</v>
      </c>
      <c r="P239" s="1065">
        <f t="shared" ref="P239:P244" si="102">D239-G239</f>
        <v>0</v>
      </c>
      <c r="Q239" s="1065">
        <f t="shared" si="95"/>
        <v>0</v>
      </c>
      <c r="R239" s="1065">
        <f t="shared" si="96"/>
        <v>0</v>
      </c>
    </row>
    <row r="240" spans="1:24" ht="72" customHeight="1">
      <c r="A240" s="2439" t="s">
        <v>780</v>
      </c>
      <c r="B240" s="2443"/>
      <c r="C240" s="1195"/>
      <c r="D240" s="893">
        <f>SUM(E240:F240)</f>
        <v>3272182.7</v>
      </c>
      <c r="E240" s="894">
        <f>E145+E71+E218-E242</f>
        <v>3074865.8</v>
      </c>
      <c r="F240" s="894">
        <f>F145+F71+F218-F242</f>
        <v>197316.9</v>
      </c>
      <c r="G240" s="893">
        <f>SUM(H240:I240)</f>
        <v>3270290.4</v>
      </c>
      <c r="H240" s="894">
        <f>H145+H71+H218-H242</f>
        <v>3073167</v>
      </c>
      <c r="I240" s="894">
        <f>I145+I71+I218-I242</f>
        <v>197123.4</v>
      </c>
      <c r="J240" s="893">
        <f>SUM(K240:L240)</f>
        <v>44133.8</v>
      </c>
      <c r="K240" s="894">
        <f>K145+K71+K218-K242</f>
        <v>41476.5</v>
      </c>
      <c r="L240" s="894">
        <f>L145+L71+L218-L242</f>
        <v>2657.3</v>
      </c>
      <c r="M240" s="893">
        <f t="shared" si="101"/>
        <v>13.1</v>
      </c>
      <c r="N240" s="894">
        <f>SUM(N218,N145,N71)</f>
        <v>4.3</v>
      </c>
      <c r="O240" s="894">
        <f>SUM(O218,O145,O71)</f>
        <v>8.8000000000000007</v>
      </c>
      <c r="P240" s="1065">
        <f t="shared" si="102"/>
        <v>1892.3</v>
      </c>
      <c r="Q240" s="1065">
        <f t="shared" si="95"/>
        <v>1698.8</v>
      </c>
      <c r="R240" s="1065">
        <f t="shared" si="96"/>
        <v>193.5</v>
      </c>
    </row>
    <row r="241" spans="1:24" ht="65.25" customHeight="1">
      <c r="A241" s="2439" t="s">
        <v>1031</v>
      </c>
      <c r="B241" s="2439"/>
      <c r="C241" s="895"/>
      <c r="D241" s="893">
        <f>SUM(E241:F241)</f>
        <v>376114.8</v>
      </c>
      <c r="E241" s="894">
        <f>SUM(E242:E243)</f>
        <v>0</v>
      </c>
      <c r="F241" s="894">
        <f>SUM(F242:F243)</f>
        <v>376114.8</v>
      </c>
      <c r="G241" s="893">
        <f>SUM(H241:I241)</f>
        <v>376114.8</v>
      </c>
      <c r="H241" s="894">
        <f>SUM(H242:H243)</f>
        <v>0</v>
      </c>
      <c r="I241" s="894">
        <f>SUM(I242:I243)</f>
        <v>376114.8</v>
      </c>
      <c r="J241" s="893">
        <f>SUM(K241:L241)</f>
        <v>34804.300000000003</v>
      </c>
      <c r="K241" s="894">
        <f>SUM(K242:K243)</f>
        <v>0</v>
      </c>
      <c r="L241" s="894">
        <f>SUM(L242:L243)</f>
        <v>34804.300000000003</v>
      </c>
      <c r="M241" s="893">
        <f t="shared" si="101"/>
        <v>0</v>
      </c>
      <c r="N241" s="894">
        <f t="shared" ref="N241:O244" si="103">SUM(N220,N154,N72)</f>
        <v>0</v>
      </c>
      <c r="O241" s="894">
        <f t="shared" si="103"/>
        <v>0</v>
      </c>
      <c r="P241" s="1065">
        <f t="shared" si="102"/>
        <v>0</v>
      </c>
      <c r="Q241" s="1065">
        <f t="shared" si="95"/>
        <v>0</v>
      </c>
      <c r="R241" s="1065">
        <f t="shared" si="96"/>
        <v>0</v>
      </c>
    </row>
    <row r="242" spans="1:24" ht="31.5" customHeight="1">
      <c r="A242" s="895"/>
      <c r="B242" s="1097" t="s">
        <v>778</v>
      </c>
      <c r="C242" s="895"/>
      <c r="D242" s="893">
        <f>SUM(E242:F242)</f>
        <v>114364.5</v>
      </c>
      <c r="E242" s="873">
        <f>SUM(E147,E148,E149,E152,E179,E180,E184,E193,E195,E198,E203,E153,E150,E176,E151)</f>
        <v>0</v>
      </c>
      <c r="F242" s="873">
        <f>SUM(F147,F148,F149,F150,F151,F153,F152,F176,F180,F184,F193,F195,F198,F203,F179)</f>
        <v>114364.5</v>
      </c>
      <c r="G242" s="893">
        <f>SUM(H242:I242)</f>
        <v>114364.5</v>
      </c>
      <c r="H242" s="873">
        <f>SUM(H147,H148,H149,H152,H179,H180,H184,H193,H195,H198,H203,H153,H150,H176,H151)</f>
        <v>0</v>
      </c>
      <c r="I242" s="873">
        <f>SUM(I147,I148,I149,I150,I151,I153,I152,I176,I180,I184,I193,I195,I198,I203,I179)</f>
        <v>114364.5</v>
      </c>
      <c r="J242" s="893">
        <f>SUM(K242:L242)</f>
        <v>12665.1</v>
      </c>
      <c r="K242" s="873">
        <f>SUM(K147,K148,K149,K152,K179,K180,K184,K193,K195,K198,K203,K153,K150,K176,K151)</f>
        <v>0</v>
      </c>
      <c r="L242" s="873">
        <f>SUM(L147,L148,L149,L150,L151,L153,L152,L176,L180,L184,L193,L195,L198,L203,L179)</f>
        <v>12665.1</v>
      </c>
      <c r="M242" s="893">
        <f t="shared" si="101"/>
        <v>19.2</v>
      </c>
      <c r="N242" s="894">
        <f t="shared" si="103"/>
        <v>9.6</v>
      </c>
      <c r="O242" s="894">
        <f t="shared" si="103"/>
        <v>9.6</v>
      </c>
      <c r="P242" s="1065">
        <f t="shared" si="102"/>
        <v>0</v>
      </c>
      <c r="Q242" s="1065">
        <f t="shared" si="95"/>
        <v>0</v>
      </c>
      <c r="R242" s="1065">
        <f t="shared" si="96"/>
        <v>0</v>
      </c>
      <c r="S242" s="1114"/>
    </row>
    <row r="243" spans="1:24" ht="31.5" customHeight="1">
      <c r="A243" s="895"/>
      <c r="B243" s="1134" t="s">
        <v>779</v>
      </c>
      <c r="C243" s="895"/>
      <c r="D243" s="893">
        <f>SUM(E243:F243)</f>
        <v>261750.3</v>
      </c>
      <c r="E243" s="873">
        <f>SUM(E106:E118,E93:E100,E119:E123,E124:E127,E104,E129:E141)</f>
        <v>0</v>
      </c>
      <c r="F243" s="873">
        <f>SUM(F106:F118,F93:F100,F119:F123,F124:F127,F104,F129:F141)</f>
        <v>261750.3</v>
      </c>
      <c r="G243" s="893">
        <f>SUM(H243:I243)</f>
        <v>261750.3</v>
      </c>
      <c r="H243" s="873">
        <f>SUM(H106:H118,H93:H100,H119:H123,H124:H127,H104,H129:H141)</f>
        <v>0</v>
      </c>
      <c r="I243" s="873">
        <f>SUM(I106:I118,I93:I100,I119:I123,I124:I127,I104,I129:I141)</f>
        <v>261750.3</v>
      </c>
      <c r="J243" s="893">
        <f>SUM(K243:L243)</f>
        <v>22139.200000000001</v>
      </c>
      <c r="K243" s="873">
        <f>SUM(K106:K118,K93:K100,K119:K123,K124:K127,K104,K129:K141)</f>
        <v>0</v>
      </c>
      <c r="L243" s="873">
        <f>SUM(L106:L118,L93:L100,L119:L123,L124:L127,L104,L129:L141)</f>
        <v>22139.200000000001</v>
      </c>
      <c r="M243" s="893">
        <f t="shared" si="101"/>
        <v>0</v>
      </c>
      <c r="N243" s="894">
        <f t="shared" si="103"/>
        <v>0</v>
      </c>
      <c r="O243" s="894">
        <f t="shared" si="103"/>
        <v>0</v>
      </c>
      <c r="P243" s="1065">
        <f t="shared" si="102"/>
        <v>0</v>
      </c>
      <c r="Q243" s="1065">
        <f t="shared" si="95"/>
        <v>0</v>
      </c>
      <c r="R243" s="1065">
        <f t="shared" si="96"/>
        <v>0</v>
      </c>
    </row>
    <row r="244" spans="1:24" ht="63.75" customHeight="1">
      <c r="A244" s="2444" t="s">
        <v>1032</v>
      </c>
      <c r="B244" s="2444"/>
      <c r="C244" s="895"/>
      <c r="D244" s="876">
        <f>E244+F244</f>
        <v>1621351.8</v>
      </c>
      <c r="E244" s="879">
        <f>E13-E240-E241-E239</f>
        <v>765297.4</v>
      </c>
      <c r="F244" s="879">
        <f>F13-F240-F241-F239</f>
        <v>856054.4</v>
      </c>
      <c r="G244" s="876">
        <f>H244+I244</f>
        <v>1486214.4</v>
      </c>
      <c r="H244" s="879">
        <f>H13-H240-H241-H239</f>
        <v>722263.7</v>
      </c>
      <c r="I244" s="879">
        <f>I13-I240-I241-I239</f>
        <v>763950.7</v>
      </c>
      <c r="J244" s="876">
        <f>K244+L244</f>
        <v>14455.9</v>
      </c>
      <c r="K244" s="879">
        <f>K13-K240-K241-K239</f>
        <v>24.5</v>
      </c>
      <c r="L244" s="879">
        <f>L13-L240-L241-L239</f>
        <v>14431.4</v>
      </c>
      <c r="M244" s="893">
        <f t="shared" si="101"/>
        <v>0</v>
      </c>
      <c r="N244" s="894">
        <f t="shared" si="103"/>
        <v>0</v>
      </c>
      <c r="O244" s="894">
        <f t="shared" si="103"/>
        <v>0</v>
      </c>
      <c r="P244" s="1065">
        <f t="shared" si="102"/>
        <v>135137.4</v>
      </c>
      <c r="Q244" s="1065">
        <f t="shared" si="95"/>
        <v>43033.7</v>
      </c>
      <c r="R244" s="1065">
        <f t="shared" si="96"/>
        <v>92103.7</v>
      </c>
    </row>
    <row r="245" spans="1:24" ht="38.25" customHeight="1">
      <c r="A245" s="1103"/>
      <c r="B245" s="797"/>
      <c r="C245" s="1103"/>
      <c r="D245" s="799"/>
      <c r="E245" s="799"/>
      <c r="F245" s="799"/>
      <c r="G245" s="799"/>
      <c r="H245" s="799"/>
      <c r="I245" s="799"/>
      <c r="J245" s="799"/>
      <c r="K245" s="799"/>
      <c r="L245" s="799"/>
      <c r="M245" s="799"/>
      <c r="N245" s="799"/>
      <c r="O245" s="799"/>
      <c r="P245" s="807" t="s">
        <v>813</v>
      </c>
      <c r="Q245" s="1070" t="s">
        <v>814</v>
      </c>
      <c r="R245" s="1070" t="s">
        <v>815</v>
      </c>
    </row>
    <row r="246" spans="1:24" s="939" customFormat="1" ht="33">
      <c r="A246" s="1104"/>
      <c r="B246" s="939" t="s">
        <v>1069</v>
      </c>
      <c r="C246" s="1196"/>
      <c r="D246" s="940"/>
      <c r="E246" s="941"/>
      <c r="F246" s="941"/>
      <c r="G246" s="941"/>
      <c r="H246" s="942"/>
      <c r="I246" s="942"/>
      <c r="J246" s="940"/>
      <c r="K246" s="942"/>
      <c r="L246" s="2399" t="s">
        <v>1070</v>
      </c>
      <c r="M246" s="2400"/>
      <c r="N246" s="943"/>
      <c r="O246" s="943"/>
      <c r="P246" s="807"/>
      <c r="Q246" s="778"/>
      <c r="R246" s="778">
        <f>R143+R144</f>
        <v>91669</v>
      </c>
      <c r="S246" s="1138" t="s">
        <v>1034</v>
      </c>
      <c r="T246" s="1100"/>
      <c r="U246" s="1099"/>
      <c r="V246" s="1099"/>
      <c r="W246" s="1098"/>
      <c r="X246" s="1117"/>
    </row>
    <row r="247" spans="1:24">
      <c r="A247" s="1105"/>
      <c r="B247" s="791" t="s">
        <v>1071</v>
      </c>
      <c r="C247" s="1105"/>
      <c r="D247" s="793"/>
      <c r="F247" s="2372"/>
      <c r="G247" s="2373"/>
      <c r="H247" s="756"/>
      <c r="P247" s="807"/>
      <c r="Q247" s="778">
        <f>Q216</f>
        <v>1698.8</v>
      </c>
      <c r="R247" s="778">
        <f>R216</f>
        <v>193.5</v>
      </c>
      <c r="S247" s="1138" t="s">
        <v>1033</v>
      </c>
    </row>
    <row r="248" spans="1:24">
      <c r="A248" s="1105"/>
      <c r="B248" s="791"/>
      <c r="C248" s="1105"/>
      <c r="D248" s="793"/>
      <c r="F248" s="1095"/>
      <c r="G248" s="1014"/>
      <c r="H248" s="756"/>
      <c r="P248" s="807"/>
      <c r="Q248" s="1071"/>
      <c r="R248" s="1071"/>
      <c r="S248" s="1138"/>
    </row>
    <row r="249" spans="1:24">
      <c r="F249" s="742"/>
      <c r="P249" s="1071"/>
      <c r="Q249" s="778">
        <f>Q19</f>
        <v>43033.7</v>
      </c>
      <c r="R249" s="778">
        <f>R19</f>
        <v>434.7</v>
      </c>
      <c r="S249" s="1138" t="s">
        <v>816</v>
      </c>
    </row>
    <row r="250" spans="1:24">
      <c r="F250" s="742"/>
      <c r="P250" s="778"/>
      <c r="Q250" s="778"/>
      <c r="R250" s="778"/>
      <c r="S250" s="1138"/>
    </row>
    <row r="251" spans="1:24">
      <c r="P251" s="1071"/>
      <c r="Q251" s="1071"/>
      <c r="R251" s="778"/>
      <c r="S251" s="1138"/>
    </row>
    <row r="252" spans="1:24">
      <c r="Q252" s="756">
        <f>Q13-Q246-Q247-Q248-Q249-Q250-Q251</f>
        <v>0</v>
      </c>
      <c r="R252" s="756">
        <f>R13-R246-R247-R248-R249-R250-R251</f>
        <v>0</v>
      </c>
    </row>
    <row r="253" spans="1:24">
      <c r="Q253" s="1067"/>
      <c r="R253" s="1067"/>
    </row>
  </sheetData>
  <mergeCells count="98">
    <mergeCell ref="W154:W160"/>
    <mergeCell ref="S101:S102"/>
    <mergeCell ref="T101:T102"/>
    <mergeCell ref="U101:U102"/>
    <mergeCell ref="V101:V102"/>
    <mergeCell ref="W101:W102"/>
    <mergeCell ref="S154:S160"/>
    <mergeCell ref="T154:T160"/>
    <mergeCell ref="U154:U160"/>
    <mergeCell ref="V154:V160"/>
    <mergeCell ref="V181:V182"/>
    <mergeCell ref="V185:V187"/>
    <mergeCell ref="W185:W187"/>
    <mergeCell ref="J181:J182"/>
    <mergeCell ref="T181:T182"/>
    <mergeCell ref="O181:O182"/>
    <mergeCell ref="N181:N182"/>
    <mergeCell ref="M181:M182"/>
    <mergeCell ref="W181:W182"/>
    <mergeCell ref="J185:J187"/>
    <mergeCell ref="L181:L182"/>
    <mergeCell ref="U185:U187"/>
    <mergeCell ref="S181:S182"/>
    <mergeCell ref="U181:U182"/>
    <mergeCell ref="O185:O187"/>
    <mergeCell ref="S185:S187"/>
    <mergeCell ref="T185:T187"/>
    <mergeCell ref="L185:L187"/>
    <mergeCell ref="K185:K187"/>
    <mergeCell ref="M185:M187"/>
    <mergeCell ref="N185:N187"/>
    <mergeCell ref="F247:G247"/>
    <mergeCell ref="A239:B239"/>
    <mergeCell ref="A203:A204"/>
    <mergeCell ref="A198:A199"/>
    <mergeCell ref="A193:A194"/>
    <mergeCell ref="A244:B244"/>
    <mergeCell ref="A240:B240"/>
    <mergeCell ref="A206:B206"/>
    <mergeCell ref="A7:O7"/>
    <mergeCell ref="L246:M246"/>
    <mergeCell ref="J101:J102"/>
    <mergeCell ref="L101:L102"/>
    <mergeCell ref="C10:C11"/>
    <mergeCell ref="A176:A177"/>
    <mergeCell ref="A241:B241"/>
    <mergeCell ref="B10:B11"/>
    <mergeCell ref="D10:D11"/>
    <mergeCell ref="A104:A105"/>
    <mergeCell ref="K181:K182"/>
    <mergeCell ref="H10:I10"/>
    <mergeCell ref="A10:A11"/>
    <mergeCell ref="K154:K160"/>
    <mergeCell ref="A195:A196"/>
    <mergeCell ref="L39:L40"/>
    <mergeCell ref="G10:G11"/>
    <mergeCell ref="K9:L9"/>
    <mergeCell ref="M10:M11"/>
    <mergeCell ref="E10:F10"/>
    <mergeCell ref="A14:B14"/>
    <mergeCell ref="J10:J11"/>
    <mergeCell ref="A1:B1"/>
    <mergeCell ref="L1:O1"/>
    <mergeCell ref="J3:M3"/>
    <mergeCell ref="A5:O5"/>
    <mergeCell ref="A6:O6"/>
    <mergeCell ref="J39:J40"/>
    <mergeCell ref="K101:K102"/>
    <mergeCell ref="M101:M102"/>
    <mergeCell ref="K39:K40"/>
    <mergeCell ref="N66:N70"/>
    <mergeCell ref="N101:N102"/>
    <mergeCell ref="U39:U40"/>
    <mergeCell ref="L154:L160"/>
    <mergeCell ref="M9:N9"/>
    <mergeCell ref="K10:L10"/>
    <mergeCell ref="N10:O10"/>
    <mergeCell ref="N39:N40"/>
    <mergeCell ref="M154:M160"/>
    <mergeCell ref="N154:N160"/>
    <mergeCell ref="O101:O102"/>
    <mergeCell ref="O154:O160"/>
    <mergeCell ref="V39:V40"/>
    <mergeCell ref="V66:V70"/>
    <mergeCell ref="W66:W70"/>
    <mergeCell ref="W39:W40"/>
    <mergeCell ref="J66:J70"/>
    <mergeCell ref="K66:K70"/>
    <mergeCell ref="L66:L70"/>
    <mergeCell ref="O66:O70"/>
    <mergeCell ref="T66:T70"/>
    <mergeCell ref="M66:M70"/>
    <mergeCell ref="S66:S70"/>
    <mergeCell ref="M39:M40"/>
    <mergeCell ref="O39:O40"/>
    <mergeCell ref="U66:U70"/>
    <mergeCell ref="S39:S40"/>
    <mergeCell ref="T39:T40"/>
  </mergeCells>
  <pageMargins left="0.19685039370078741" right="0.19685039370078741" top="0.23622047244094491" bottom="0.23622047244094491" header="0.15748031496062992" footer="0.19685039370078741"/>
  <pageSetup paperSize="9" scale="30" fitToHeight="11" orientation="landscape" r:id="rId1"/>
  <customProperties>
    <customPr name="krista_fm_consts" r:id="rId2"/>
  </customProperties>
</worksheet>
</file>

<file path=xl/worksheets/sheet2.xml><?xml version="1.0" encoding="utf-8"?>
<worksheet xmlns="http://schemas.openxmlformats.org/spreadsheetml/2006/main" xmlns:r="http://schemas.openxmlformats.org/officeDocument/2006/relationships">
  <sheetPr>
    <pageSetUpPr fitToPage="1"/>
  </sheetPr>
  <dimension ref="A1:F144"/>
  <sheetViews>
    <sheetView topLeftCell="A14" zoomScaleSheetLayoutView="100" workbookViewId="0">
      <selection activeCell="B123" sqref="B123"/>
    </sheetView>
  </sheetViews>
  <sheetFormatPr defaultColWidth="9.140625" defaultRowHeight="12.75"/>
  <cols>
    <col min="1" max="1" width="4.85546875" style="78" customWidth="1"/>
    <col min="2" max="2" width="80" style="78" customWidth="1"/>
    <col min="3" max="3" width="13.140625" style="78" customWidth="1"/>
    <col min="4" max="4" width="1.7109375" style="78" hidden="1" customWidth="1"/>
    <col min="5" max="5" width="13.5703125" style="78" customWidth="1"/>
    <col min="6" max="6" width="10.42578125" style="78" customWidth="1"/>
    <col min="7" max="16384" width="9.140625" style="78"/>
  </cols>
  <sheetData>
    <row r="1" spans="1:6" hidden="1">
      <c r="A1" s="2278" t="s">
        <v>78</v>
      </c>
      <c r="B1" s="2278"/>
      <c r="C1" s="2278"/>
      <c r="D1" s="2278"/>
      <c r="E1" s="2278"/>
      <c r="F1" s="2278"/>
    </row>
    <row r="2" spans="1:6" ht="15.75" customHeight="1">
      <c r="A2" s="17"/>
      <c r="B2" s="17"/>
      <c r="C2" s="17"/>
      <c r="D2" s="17"/>
      <c r="E2" s="17"/>
      <c r="F2" s="17"/>
    </row>
    <row r="3" spans="1:6" ht="15" customHeight="1">
      <c r="A3" s="17"/>
      <c r="B3" s="17"/>
      <c r="C3" s="2278" t="s">
        <v>136</v>
      </c>
      <c r="D3" s="2278"/>
      <c r="E3" s="2278"/>
      <c r="F3" s="2278"/>
    </row>
    <row r="4" spans="1:6" ht="19.5" customHeight="1">
      <c r="A4" s="2279" t="s">
        <v>5</v>
      </c>
      <c r="B4" s="2279"/>
      <c r="C4" s="2279"/>
      <c r="D4" s="2279"/>
      <c r="E4" s="2279"/>
      <c r="F4" s="2279"/>
    </row>
    <row r="5" spans="1:6" ht="15.75" customHeight="1">
      <c r="A5" s="2280" t="s">
        <v>28</v>
      </c>
      <c r="B5" s="2280"/>
      <c r="C5" s="2280"/>
      <c r="D5" s="2280"/>
      <c r="E5" s="2280"/>
      <c r="F5" s="2280"/>
    </row>
    <row r="6" spans="1:6" ht="15.75">
      <c r="A6" s="2280" t="s">
        <v>137</v>
      </c>
      <c r="B6" s="2280"/>
      <c r="C6" s="2280"/>
      <c r="D6" s="2280"/>
      <c r="E6" s="2280"/>
      <c r="F6" s="2280"/>
    </row>
    <row r="7" spans="1:6" ht="14.25" customHeight="1">
      <c r="A7" s="7"/>
      <c r="B7" s="7"/>
      <c r="C7" s="7"/>
      <c r="D7" s="7"/>
      <c r="E7" s="7"/>
      <c r="F7" s="8" t="s">
        <v>7</v>
      </c>
    </row>
    <row r="8" spans="1:6" ht="24.75" customHeight="1">
      <c r="A8" s="2281" t="s">
        <v>18</v>
      </c>
      <c r="B8" s="2282" t="s">
        <v>0</v>
      </c>
      <c r="C8" s="2283" t="s">
        <v>138</v>
      </c>
      <c r="D8" s="6" t="s">
        <v>1</v>
      </c>
      <c r="E8" s="2275" t="s">
        <v>8</v>
      </c>
      <c r="F8" s="2275" t="s">
        <v>11</v>
      </c>
    </row>
    <row r="9" spans="1:6" ht="78.75" customHeight="1">
      <c r="A9" s="2281"/>
      <c r="B9" s="2282"/>
      <c r="C9" s="2283"/>
      <c r="D9" s="6" t="s">
        <v>9</v>
      </c>
      <c r="E9" s="2275"/>
      <c r="F9" s="2276"/>
    </row>
    <row r="10" spans="1:6">
      <c r="A10" s="30">
        <v>1</v>
      </c>
      <c r="B10" s="30">
        <v>2</v>
      </c>
      <c r="C10" s="9" t="s">
        <v>19</v>
      </c>
      <c r="D10" s="9"/>
      <c r="E10" s="9" t="s">
        <v>20</v>
      </c>
      <c r="F10" s="30">
        <v>5</v>
      </c>
    </row>
    <row r="11" spans="1:6" s="97" customFormat="1" ht="19.5" customHeight="1">
      <c r="A11" s="64"/>
      <c r="B11" s="106" t="s">
        <v>10</v>
      </c>
      <c r="C11" s="107">
        <f>C15+C91+C114+C124</f>
        <v>1363484</v>
      </c>
      <c r="D11" s="107">
        <f>D15+D91+D114+D124</f>
        <v>0</v>
      </c>
      <c r="E11" s="107">
        <f>E15+E91+E114+E124</f>
        <v>1048891.5</v>
      </c>
      <c r="F11" s="108">
        <f>E11/C11*100</f>
        <v>76.900000000000006</v>
      </c>
    </row>
    <row r="12" spans="1:6" ht="15.75">
      <c r="A12" s="22"/>
      <c r="B12" s="11" t="s">
        <v>1</v>
      </c>
      <c r="C12" s="23"/>
      <c r="D12" s="23"/>
      <c r="E12" s="23"/>
      <c r="F12" s="24"/>
    </row>
    <row r="13" spans="1:6" ht="18" customHeight="1">
      <c r="A13" s="54"/>
      <c r="B13" s="58" t="s">
        <v>33</v>
      </c>
      <c r="C13" s="53">
        <f>C18+C94+C118</f>
        <v>590789.80000000005</v>
      </c>
      <c r="D13" s="53">
        <f>D18+D94+D118</f>
        <v>0</v>
      </c>
      <c r="E13" s="53">
        <f>E18+E94+E118</f>
        <v>303912.09999999998</v>
      </c>
      <c r="F13" s="52">
        <f>E13/C13*100</f>
        <v>51.4</v>
      </c>
    </row>
    <row r="14" spans="1:6" ht="16.5" customHeight="1">
      <c r="A14" s="22"/>
      <c r="B14" s="59" t="s">
        <v>34</v>
      </c>
      <c r="C14" s="53">
        <f>C11-C13</f>
        <v>772694.2</v>
      </c>
      <c r="D14" s="53" t="e">
        <f>#REF!+#REF!+#REF!+#REF!+#REF!+#REF!+#REF!+#REF!+#REF!+#REF!+#REF!++#REF!+#REF!+#REF!+#REF!+#REF!+#REF!</f>
        <v>#REF!</v>
      </c>
      <c r="E14" s="53">
        <f>E11-E13</f>
        <v>744979.4</v>
      </c>
      <c r="F14" s="52">
        <f>E14/C14*100</f>
        <v>96.4</v>
      </c>
    </row>
    <row r="15" spans="1:6" ht="45.75" customHeight="1">
      <c r="A15" s="44" t="s">
        <v>6</v>
      </c>
      <c r="B15" s="109" t="s">
        <v>15</v>
      </c>
      <c r="C15" s="77">
        <f>C16+C70</f>
        <v>606597.6</v>
      </c>
      <c r="D15" s="77">
        <f>D16+D70</f>
        <v>0</v>
      </c>
      <c r="E15" s="77">
        <f>E16+E70</f>
        <v>506542.6</v>
      </c>
      <c r="F15" s="75">
        <f>E15/C15*100</f>
        <v>83.5</v>
      </c>
    </row>
    <row r="16" spans="1:6" s="93" customFormat="1" ht="15.75" customHeight="1">
      <c r="A16" s="4" t="s">
        <v>30</v>
      </c>
      <c r="B16" s="18" t="s">
        <v>41</v>
      </c>
      <c r="C16" s="23">
        <f>C20</f>
        <v>418634.9</v>
      </c>
      <c r="D16" s="23">
        <f>D20</f>
        <v>0</v>
      </c>
      <c r="E16" s="23">
        <f>E20</f>
        <v>318656.90000000002</v>
      </c>
      <c r="F16" s="24">
        <f>E16/C16*100</f>
        <v>76.099999999999994</v>
      </c>
    </row>
    <row r="17" spans="1:6" s="93" customFormat="1" ht="15.75">
      <c r="A17" s="4"/>
      <c r="B17" s="11" t="s">
        <v>1</v>
      </c>
      <c r="C17" s="23"/>
      <c r="D17" s="23"/>
      <c r="E17" s="23"/>
      <c r="F17" s="24"/>
    </row>
    <row r="18" spans="1:6" s="93" customFormat="1" ht="15.75">
      <c r="A18" s="4"/>
      <c r="B18" s="58" t="s">
        <v>33</v>
      </c>
      <c r="C18" s="53">
        <f>C36+C27+C31+C40+C56</f>
        <v>316453</v>
      </c>
      <c r="D18" s="53">
        <f>D36+D27+D31+D40+D56</f>
        <v>0</v>
      </c>
      <c r="E18" s="53">
        <f>E36+E27+E31+E40+E56</f>
        <v>216475.3</v>
      </c>
      <c r="F18" s="52">
        <f>E18/C18*100</f>
        <v>68.400000000000006</v>
      </c>
    </row>
    <row r="19" spans="1:6" s="93" customFormat="1" ht="15.75">
      <c r="A19" s="4"/>
      <c r="B19" s="59" t="s">
        <v>34</v>
      </c>
      <c r="C19" s="53">
        <f>C16-C18</f>
        <v>102181.9</v>
      </c>
      <c r="D19" s="53"/>
      <c r="E19" s="53">
        <f>E16-E18</f>
        <v>102181.6</v>
      </c>
      <c r="F19" s="52">
        <f>E19/C19*100</f>
        <v>100</v>
      </c>
    </row>
    <row r="20" spans="1:6" s="93" customFormat="1" ht="32.25" customHeight="1">
      <c r="A20" s="98"/>
      <c r="B20" s="12" t="s">
        <v>61</v>
      </c>
      <c r="C20" s="23">
        <f>C33+C25+C29+C38+C54</f>
        <v>418634.9</v>
      </c>
      <c r="D20" s="23">
        <f>D33+D25+D29+D38+D54</f>
        <v>0</v>
      </c>
      <c r="E20" s="23">
        <f>E33+E25+E29+E38+E54</f>
        <v>318656.90000000002</v>
      </c>
      <c r="F20" s="24">
        <f>E20/C20*100</f>
        <v>76.099999999999994</v>
      </c>
    </row>
    <row r="21" spans="1:6" s="93" customFormat="1" ht="28.5" hidden="1">
      <c r="A21" s="6" t="s">
        <v>35</v>
      </c>
      <c r="B21" s="2" t="s">
        <v>21</v>
      </c>
      <c r="C21" s="23">
        <f>C23+C24</f>
        <v>0</v>
      </c>
      <c r="D21" s="23"/>
      <c r="E21" s="23">
        <f>E23+E24</f>
        <v>0</v>
      </c>
      <c r="F21" s="24" t="e">
        <f>E21/C21*100</f>
        <v>#DIV/0!</v>
      </c>
    </row>
    <row r="22" spans="1:6" s="93" customFormat="1" ht="15.75" hidden="1">
      <c r="A22" s="6"/>
      <c r="B22" s="57" t="s">
        <v>1</v>
      </c>
      <c r="C22" s="23"/>
      <c r="D22" s="23"/>
      <c r="E22" s="23"/>
      <c r="F22" s="24"/>
    </row>
    <row r="23" spans="1:6" s="93" customFormat="1" ht="30" hidden="1" customHeight="1">
      <c r="A23" s="36"/>
      <c r="B23" s="48" t="s">
        <v>36</v>
      </c>
      <c r="C23" s="49">
        <v>0</v>
      </c>
      <c r="D23" s="49"/>
      <c r="E23" s="49">
        <v>0</v>
      </c>
      <c r="F23" s="43"/>
    </row>
    <row r="24" spans="1:6" s="93" customFormat="1" ht="15.75" hidden="1">
      <c r="A24" s="36"/>
      <c r="B24" s="50" t="s">
        <v>34</v>
      </c>
      <c r="C24" s="49">
        <v>0</v>
      </c>
      <c r="D24" s="49"/>
      <c r="E24" s="49">
        <v>0</v>
      </c>
      <c r="F24" s="43"/>
    </row>
    <row r="25" spans="1:6" s="93" customFormat="1" ht="28.5">
      <c r="A25" s="6" t="s">
        <v>50</v>
      </c>
      <c r="B25" s="71" t="s">
        <v>21</v>
      </c>
      <c r="C25" s="41">
        <f>SUM(C27:C28)</f>
        <v>151010</v>
      </c>
      <c r="D25" s="41">
        <f>SUM(D27:D28)</f>
        <v>0</v>
      </c>
      <c r="E25" s="41">
        <f>SUM(E27:E28)</f>
        <v>59941</v>
      </c>
      <c r="F25" s="24">
        <f>E25/C25*100</f>
        <v>39.700000000000003</v>
      </c>
    </row>
    <row r="26" spans="1:6" s="93" customFormat="1" ht="15.75">
      <c r="A26" s="5"/>
      <c r="B26" s="57" t="s">
        <v>1</v>
      </c>
      <c r="C26" s="41"/>
      <c r="D26" s="41"/>
      <c r="E26" s="41"/>
      <c r="F26" s="24"/>
    </row>
    <row r="27" spans="1:6" s="93" customFormat="1" ht="30">
      <c r="A27" s="6"/>
      <c r="B27" s="48" t="s">
        <v>36</v>
      </c>
      <c r="C27" s="28">
        <v>130098</v>
      </c>
      <c r="D27" s="42"/>
      <c r="E27" s="27">
        <v>39029.300000000003</v>
      </c>
      <c r="F27" s="29">
        <f>E27/C27*100</f>
        <v>30</v>
      </c>
    </row>
    <row r="28" spans="1:6" s="93" customFormat="1" ht="15.75">
      <c r="A28" s="6"/>
      <c r="B28" s="50" t="s">
        <v>34</v>
      </c>
      <c r="C28" s="28">
        <v>20912</v>
      </c>
      <c r="D28" s="42"/>
      <c r="E28" s="27">
        <v>20911.7</v>
      </c>
      <c r="F28" s="29">
        <f>E28/C28*100</f>
        <v>100</v>
      </c>
    </row>
    <row r="29" spans="1:6" s="93" customFormat="1" ht="30.75" customHeight="1">
      <c r="A29" s="6" t="s">
        <v>4</v>
      </c>
      <c r="B29" s="71" t="s">
        <v>87</v>
      </c>
      <c r="C29" s="41">
        <f>SUM(C31:C32)</f>
        <v>28904.9</v>
      </c>
      <c r="D29" s="41">
        <f>SUM(D31:D32)</f>
        <v>0</v>
      </c>
      <c r="E29" s="41">
        <f>SUM(E31:E32)</f>
        <v>19995.900000000001</v>
      </c>
      <c r="F29" s="24">
        <f>E29/C29*100</f>
        <v>69.2</v>
      </c>
    </row>
    <row r="30" spans="1:6" s="93" customFormat="1" ht="15.75">
      <c r="A30" s="5"/>
      <c r="B30" s="57" t="s">
        <v>1</v>
      </c>
      <c r="C30" s="28"/>
      <c r="D30" s="42"/>
      <c r="E30" s="27"/>
      <c r="F30" s="29"/>
    </row>
    <row r="31" spans="1:6" s="93" customFormat="1" ht="30">
      <c r="A31" s="6"/>
      <c r="B31" s="48" t="s">
        <v>36</v>
      </c>
      <c r="C31" s="28">
        <v>23435</v>
      </c>
      <c r="D31" s="42"/>
      <c r="E31" s="27">
        <v>14526</v>
      </c>
      <c r="F31" s="29">
        <f>E31/C31*100</f>
        <v>62</v>
      </c>
    </row>
    <row r="32" spans="1:6" s="93" customFormat="1" ht="15.75">
      <c r="A32" s="6"/>
      <c r="B32" s="50" t="s">
        <v>34</v>
      </c>
      <c r="C32" s="28">
        <v>5469.9</v>
      </c>
      <c r="D32" s="42"/>
      <c r="E32" s="27">
        <v>5469.9</v>
      </c>
      <c r="F32" s="29">
        <f>E32/C32*100</f>
        <v>100</v>
      </c>
    </row>
    <row r="33" spans="1:6" s="93" customFormat="1" ht="15.75">
      <c r="A33" s="4"/>
      <c r="B33" s="18" t="s">
        <v>22</v>
      </c>
      <c r="C33" s="23">
        <f>C34</f>
        <v>113850</v>
      </c>
      <c r="D33" s="23">
        <f>D34</f>
        <v>0</v>
      </c>
      <c r="E33" s="23">
        <f>E34</f>
        <v>113850</v>
      </c>
      <c r="F33" s="24">
        <f>E33/C33*100</f>
        <v>100</v>
      </c>
    </row>
    <row r="34" spans="1:6" s="93" customFormat="1" ht="32.25" customHeight="1">
      <c r="A34" s="20" t="s">
        <v>35</v>
      </c>
      <c r="B34" s="19" t="s">
        <v>32</v>
      </c>
      <c r="C34" s="41">
        <f>SUM(C36:C37)</f>
        <v>113850</v>
      </c>
      <c r="D34" s="41">
        <f>SUM(D36:D37)</f>
        <v>0</v>
      </c>
      <c r="E34" s="41">
        <f>SUM(E36:E37)</f>
        <v>113850</v>
      </c>
      <c r="F34" s="29">
        <f>E34/C34*100</f>
        <v>100</v>
      </c>
    </row>
    <row r="35" spans="1:6" s="93" customFormat="1" ht="15.75">
      <c r="A35" s="4"/>
      <c r="B35" s="57" t="s">
        <v>1</v>
      </c>
      <c r="C35" s="28"/>
      <c r="D35" s="28"/>
      <c r="E35" s="28"/>
      <c r="F35" s="29"/>
    </row>
    <row r="36" spans="1:6" s="93" customFormat="1" ht="15.75">
      <c r="A36" s="51"/>
      <c r="B36" s="48" t="s">
        <v>33</v>
      </c>
      <c r="C36" s="49">
        <v>87920</v>
      </c>
      <c r="D36" s="49"/>
      <c r="E36" s="49">
        <v>87920</v>
      </c>
      <c r="F36" s="43">
        <f>E36/C36*100</f>
        <v>100</v>
      </c>
    </row>
    <row r="37" spans="1:6" s="93" customFormat="1" ht="15.75">
      <c r="A37" s="51"/>
      <c r="B37" s="50" t="s">
        <v>34</v>
      </c>
      <c r="C37" s="49">
        <v>25930</v>
      </c>
      <c r="D37" s="42"/>
      <c r="E37" s="42">
        <v>25930</v>
      </c>
      <c r="F37" s="43">
        <f>E37/C37*100</f>
        <v>100</v>
      </c>
    </row>
    <row r="38" spans="1:6" s="93" customFormat="1" ht="17.25" customHeight="1">
      <c r="A38" s="3"/>
      <c r="B38" s="13" t="s">
        <v>164</v>
      </c>
      <c r="C38" s="23">
        <f>C40+C41</f>
        <v>65900</v>
      </c>
      <c r="D38" s="23">
        <f>D40+D41</f>
        <v>0</v>
      </c>
      <c r="E38" s="23">
        <f>E40+E41</f>
        <v>65900</v>
      </c>
      <c r="F38" s="24">
        <f>E38/C38*100</f>
        <v>100</v>
      </c>
    </row>
    <row r="39" spans="1:6" s="93" customFormat="1" ht="15.75">
      <c r="A39" s="4"/>
      <c r="B39" s="57" t="s">
        <v>1</v>
      </c>
      <c r="C39" s="28"/>
      <c r="D39" s="28"/>
      <c r="E39" s="28"/>
      <c r="F39" s="29"/>
    </row>
    <row r="40" spans="1:6" s="96" customFormat="1" ht="17.25" customHeight="1">
      <c r="A40" s="94"/>
      <c r="B40" s="95" t="s">
        <v>165</v>
      </c>
      <c r="C40" s="53">
        <f t="shared" ref="C40:E41" si="0">C44+C48+C52</f>
        <v>39600</v>
      </c>
      <c r="D40" s="53">
        <f t="shared" si="0"/>
        <v>0</v>
      </c>
      <c r="E40" s="53">
        <f t="shared" si="0"/>
        <v>39600</v>
      </c>
      <c r="F40" s="52">
        <f>E40/C40*100</f>
        <v>100</v>
      </c>
    </row>
    <row r="41" spans="1:6" s="96" customFormat="1" ht="17.25" customHeight="1">
      <c r="A41" s="94"/>
      <c r="B41" s="95" t="s">
        <v>166</v>
      </c>
      <c r="C41" s="53">
        <f t="shared" si="0"/>
        <v>26300</v>
      </c>
      <c r="D41" s="53">
        <f t="shared" si="0"/>
        <v>0</v>
      </c>
      <c r="E41" s="53">
        <f t="shared" si="0"/>
        <v>26300</v>
      </c>
      <c r="F41" s="52">
        <f>E41/C41*100</f>
        <v>100</v>
      </c>
    </row>
    <row r="42" spans="1:6" s="93" customFormat="1" ht="15.75">
      <c r="A42" s="6" t="s">
        <v>140</v>
      </c>
      <c r="B42" s="14" t="s">
        <v>114</v>
      </c>
      <c r="C42" s="28">
        <f>SUM(C44:C45)</f>
        <v>33440</v>
      </c>
      <c r="D42" s="28">
        <f>SUM(D44:D45)</f>
        <v>0</v>
      </c>
      <c r="E42" s="28">
        <f>SUM(E44:E45)</f>
        <v>33440</v>
      </c>
      <c r="F42" s="29">
        <f>E42/C42*100</f>
        <v>100</v>
      </c>
    </row>
    <row r="43" spans="1:6" s="93" customFormat="1" ht="15.75">
      <c r="A43" s="4"/>
      <c r="B43" s="57" t="s">
        <v>1</v>
      </c>
      <c r="C43" s="28"/>
      <c r="D43" s="28"/>
      <c r="E43" s="28"/>
      <c r="F43" s="29"/>
    </row>
    <row r="44" spans="1:6" s="93" customFormat="1" ht="15.75">
      <c r="A44" s="51"/>
      <c r="B44" s="48" t="s">
        <v>33</v>
      </c>
      <c r="C44" s="49">
        <v>20100</v>
      </c>
      <c r="D44" s="49"/>
      <c r="E44" s="49">
        <v>20100</v>
      </c>
      <c r="F44" s="43">
        <f>E44/C44*100</f>
        <v>100</v>
      </c>
    </row>
    <row r="45" spans="1:6" s="93" customFormat="1" ht="15.75">
      <c r="A45" s="51"/>
      <c r="B45" s="50" t="s">
        <v>34</v>
      </c>
      <c r="C45" s="49">
        <v>13340</v>
      </c>
      <c r="D45" s="42"/>
      <c r="E45" s="42">
        <v>13340</v>
      </c>
      <c r="F45" s="43">
        <f>E45/C45*100</f>
        <v>100</v>
      </c>
    </row>
    <row r="46" spans="1:6" s="93" customFormat="1" ht="15.75">
      <c r="A46" s="6" t="s">
        <v>141</v>
      </c>
      <c r="B46" s="14" t="s">
        <v>113</v>
      </c>
      <c r="C46" s="28">
        <f>SUM(C48:C49)</f>
        <v>16230</v>
      </c>
      <c r="D46" s="28">
        <f>SUM(D48:D49)</f>
        <v>0</v>
      </c>
      <c r="E46" s="28">
        <f>SUM(E48:E49)</f>
        <v>16230</v>
      </c>
      <c r="F46" s="29">
        <f>E46/C46*100</f>
        <v>100</v>
      </c>
    </row>
    <row r="47" spans="1:6" s="93" customFormat="1" ht="15.75">
      <c r="A47" s="4"/>
      <c r="B47" s="57" t="s">
        <v>1</v>
      </c>
      <c r="C47" s="28"/>
      <c r="D47" s="28"/>
      <c r="E47" s="28"/>
      <c r="F47" s="29"/>
    </row>
    <row r="48" spans="1:6" s="93" customFormat="1" ht="15.75">
      <c r="A48" s="51"/>
      <c r="B48" s="48" t="s">
        <v>33</v>
      </c>
      <c r="C48" s="49">
        <v>9750</v>
      </c>
      <c r="D48" s="49"/>
      <c r="E48" s="49">
        <v>9750</v>
      </c>
      <c r="F48" s="43">
        <f>E48/C48*100</f>
        <v>100</v>
      </c>
    </row>
    <row r="49" spans="1:6" s="93" customFormat="1" ht="15.75">
      <c r="A49" s="51"/>
      <c r="B49" s="50" t="s">
        <v>34</v>
      </c>
      <c r="C49" s="49">
        <v>6480</v>
      </c>
      <c r="D49" s="42"/>
      <c r="E49" s="42">
        <v>6480</v>
      </c>
      <c r="F49" s="43">
        <f>E49/C49*100</f>
        <v>100</v>
      </c>
    </row>
    <row r="50" spans="1:6" s="93" customFormat="1" ht="15.75">
      <c r="A50" s="6" t="s">
        <v>145</v>
      </c>
      <c r="B50" s="14" t="s">
        <v>112</v>
      </c>
      <c r="C50" s="28">
        <f>SUM(C52:C53)</f>
        <v>16230</v>
      </c>
      <c r="D50" s="28">
        <f>SUM(D52:D53)</f>
        <v>0</v>
      </c>
      <c r="E50" s="28">
        <f>SUM(E52:E53)</f>
        <v>16230</v>
      </c>
      <c r="F50" s="29">
        <f>E50/C50*100</f>
        <v>100</v>
      </c>
    </row>
    <row r="51" spans="1:6" s="93" customFormat="1" ht="15.75">
      <c r="A51" s="4"/>
      <c r="B51" s="57" t="s">
        <v>1</v>
      </c>
      <c r="C51" s="28"/>
      <c r="D51" s="28"/>
      <c r="E51" s="28"/>
      <c r="F51" s="29"/>
    </row>
    <row r="52" spans="1:6" s="93" customFormat="1" ht="15.75">
      <c r="A52" s="51"/>
      <c r="B52" s="48" t="s">
        <v>33</v>
      </c>
      <c r="C52" s="49">
        <v>9750</v>
      </c>
      <c r="D52" s="49"/>
      <c r="E52" s="49">
        <v>9750</v>
      </c>
      <c r="F52" s="43">
        <f>E52/C52*100</f>
        <v>100</v>
      </c>
    </row>
    <row r="53" spans="1:6" s="93" customFormat="1" ht="15.75">
      <c r="A53" s="51"/>
      <c r="B53" s="50" t="s">
        <v>34</v>
      </c>
      <c r="C53" s="49">
        <v>6480</v>
      </c>
      <c r="D53" s="42"/>
      <c r="E53" s="42">
        <v>6480</v>
      </c>
      <c r="F53" s="43">
        <f>E53/C53*100</f>
        <v>100</v>
      </c>
    </row>
    <row r="54" spans="1:6" s="93" customFormat="1" ht="17.25" customHeight="1">
      <c r="A54" s="3"/>
      <c r="B54" s="13" t="s">
        <v>163</v>
      </c>
      <c r="C54" s="23">
        <f>C56+C57</f>
        <v>58970</v>
      </c>
      <c r="D54" s="23">
        <f>D56+D57</f>
        <v>0</v>
      </c>
      <c r="E54" s="23">
        <f>E56+E57</f>
        <v>58970</v>
      </c>
      <c r="F54" s="24">
        <f>E54/C54*100</f>
        <v>100</v>
      </c>
    </row>
    <row r="55" spans="1:6" s="93" customFormat="1" ht="15.75">
      <c r="A55" s="4"/>
      <c r="B55" s="57" t="s">
        <v>1</v>
      </c>
      <c r="C55" s="28"/>
      <c r="D55" s="28"/>
      <c r="E55" s="28"/>
      <c r="F55" s="29"/>
    </row>
    <row r="56" spans="1:6" s="96" customFormat="1" ht="17.25" customHeight="1">
      <c r="A56" s="94"/>
      <c r="B56" s="95" t="s">
        <v>165</v>
      </c>
      <c r="C56" s="53">
        <f t="shared" ref="C56:E57" si="1">C60+C64+C68</f>
        <v>35400</v>
      </c>
      <c r="D56" s="53">
        <f t="shared" si="1"/>
        <v>0</v>
      </c>
      <c r="E56" s="53">
        <f t="shared" si="1"/>
        <v>35400</v>
      </c>
      <c r="F56" s="52">
        <f>E56/C56*100</f>
        <v>100</v>
      </c>
    </row>
    <row r="57" spans="1:6" s="96" customFormat="1" ht="17.25" customHeight="1">
      <c r="A57" s="94"/>
      <c r="B57" s="95" t="s">
        <v>166</v>
      </c>
      <c r="C57" s="53">
        <f t="shared" si="1"/>
        <v>23570</v>
      </c>
      <c r="D57" s="53">
        <f t="shared" si="1"/>
        <v>0</v>
      </c>
      <c r="E57" s="53">
        <f t="shared" si="1"/>
        <v>23570</v>
      </c>
      <c r="F57" s="52">
        <f>E57/C57*100</f>
        <v>100</v>
      </c>
    </row>
    <row r="58" spans="1:6" s="93" customFormat="1" ht="15.75">
      <c r="A58" s="6" t="s">
        <v>146</v>
      </c>
      <c r="B58" s="14" t="s">
        <v>115</v>
      </c>
      <c r="C58" s="28">
        <f>SUM(C60:C61)</f>
        <v>26990</v>
      </c>
      <c r="D58" s="28">
        <f>SUM(D60:D61)</f>
        <v>0</v>
      </c>
      <c r="E58" s="28">
        <f>SUM(E60:E61)</f>
        <v>26990</v>
      </c>
      <c r="F58" s="29">
        <f>E58/C58*100</f>
        <v>100</v>
      </c>
    </row>
    <row r="59" spans="1:6" s="93" customFormat="1" ht="15.75">
      <c r="A59" s="4"/>
      <c r="B59" s="57" t="s">
        <v>1</v>
      </c>
      <c r="C59" s="28"/>
      <c r="D59" s="28"/>
      <c r="E59" s="28"/>
      <c r="F59" s="29"/>
    </row>
    <row r="60" spans="1:6" s="93" customFormat="1" ht="15.75">
      <c r="A60" s="51"/>
      <c r="B60" s="48" t="s">
        <v>33</v>
      </c>
      <c r="C60" s="49">
        <v>16200</v>
      </c>
      <c r="D60" s="49"/>
      <c r="E60" s="49">
        <v>16200</v>
      </c>
      <c r="F60" s="43">
        <f>E60/C60*100</f>
        <v>100</v>
      </c>
    </row>
    <row r="61" spans="1:6" s="93" customFormat="1" ht="15.75">
      <c r="A61" s="51"/>
      <c r="B61" s="50" t="s">
        <v>34</v>
      </c>
      <c r="C61" s="49">
        <v>10790</v>
      </c>
      <c r="D61" s="42"/>
      <c r="E61" s="42">
        <v>10790</v>
      </c>
      <c r="F61" s="43">
        <f>E61/C61*100</f>
        <v>100</v>
      </c>
    </row>
    <row r="62" spans="1:6" s="93" customFormat="1" ht="15.75">
      <c r="A62" s="6" t="s">
        <v>147</v>
      </c>
      <c r="B62" s="14" t="s">
        <v>116</v>
      </c>
      <c r="C62" s="28">
        <f>SUM(C64:C65)</f>
        <v>15990</v>
      </c>
      <c r="D62" s="28">
        <f>SUM(D64:D65)</f>
        <v>0</v>
      </c>
      <c r="E62" s="28">
        <f>SUM(E64:E65)</f>
        <v>15990</v>
      </c>
      <c r="F62" s="29">
        <f>E62/C62*100</f>
        <v>100</v>
      </c>
    </row>
    <row r="63" spans="1:6" s="93" customFormat="1" ht="15.75">
      <c r="A63" s="4"/>
      <c r="B63" s="57" t="s">
        <v>1</v>
      </c>
      <c r="C63" s="28"/>
      <c r="D63" s="28"/>
      <c r="E63" s="28"/>
      <c r="F63" s="29"/>
    </row>
    <row r="64" spans="1:6" s="93" customFormat="1" ht="15.75">
      <c r="A64" s="51"/>
      <c r="B64" s="48" t="s">
        <v>33</v>
      </c>
      <c r="C64" s="49">
        <v>9600</v>
      </c>
      <c r="D64" s="49"/>
      <c r="E64" s="49">
        <v>9600</v>
      </c>
      <c r="F64" s="43">
        <f>E64/C64*100</f>
        <v>100</v>
      </c>
    </row>
    <row r="65" spans="1:6" s="93" customFormat="1" ht="15.75">
      <c r="A65" s="51"/>
      <c r="B65" s="50" t="s">
        <v>34</v>
      </c>
      <c r="C65" s="49">
        <v>6390</v>
      </c>
      <c r="D65" s="42"/>
      <c r="E65" s="49">
        <v>6390</v>
      </c>
      <c r="F65" s="43">
        <f>E65/C65*100</f>
        <v>100</v>
      </c>
    </row>
    <row r="66" spans="1:6" s="93" customFormat="1" ht="15.75">
      <c r="A66" s="6" t="s">
        <v>148</v>
      </c>
      <c r="B66" s="14" t="s">
        <v>139</v>
      </c>
      <c r="C66" s="28">
        <f>SUM(C68:C69)</f>
        <v>15990</v>
      </c>
      <c r="D66" s="28">
        <f>SUM(D68:D69)</f>
        <v>0</v>
      </c>
      <c r="E66" s="28">
        <f>SUM(E68:E69)</f>
        <v>15990</v>
      </c>
      <c r="F66" s="29">
        <f>E66/C66*100</f>
        <v>100</v>
      </c>
    </row>
    <row r="67" spans="1:6" s="93" customFormat="1" ht="15.75">
      <c r="A67" s="4"/>
      <c r="B67" s="57" t="s">
        <v>1</v>
      </c>
      <c r="C67" s="28"/>
      <c r="D67" s="28"/>
      <c r="E67" s="28"/>
      <c r="F67" s="29"/>
    </row>
    <row r="68" spans="1:6" s="93" customFormat="1" ht="15.75">
      <c r="A68" s="51"/>
      <c r="B68" s="48" t="s">
        <v>33</v>
      </c>
      <c r="C68" s="49">
        <v>9600</v>
      </c>
      <c r="D68" s="49"/>
      <c r="E68" s="49">
        <v>9600</v>
      </c>
      <c r="F68" s="43">
        <f t="shared" ref="F68:F92" si="2">E68/C68*100</f>
        <v>100</v>
      </c>
    </row>
    <row r="69" spans="1:6" s="93" customFormat="1" ht="15.75">
      <c r="A69" s="51"/>
      <c r="B69" s="50" t="s">
        <v>34</v>
      </c>
      <c r="C69" s="49">
        <v>6390</v>
      </c>
      <c r="D69" s="42"/>
      <c r="E69" s="49">
        <v>6390</v>
      </c>
      <c r="F69" s="43">
        <f t="shared" si="2"/>
        <v>100</v>
      </c>
    </row>
    <row r="70" spans="1:6" s="93" customFormat="1" ht="32.25" customHeight="1">
      <c r="A70" s="4" t="s">
        <v>31</v>
      </c>
      <c r="B70" s="18" t="s">
        <v>39</v>
      </c>
      <c r="C70" s="23">
        <f>C71</f>
        <v>187962.7</v>
      </c>
      <c r="D70" s="23">
        <f>D71</f>
        <v>0</v>
      </c>
      <c r="E70" s="23">
        <f>E71</f>
        <v>187885.7</v>
      </c>
      <c r="F70" s="24">
        <f t="shared" si="2"/>
        <v>100</v>
      </c>
    </row>
    <row r="71" spans="1:6" s="93" customFormat="1" ht="32.25" customHeight="1">
      <c r="A71" s="98"/>
      <c r="B71" s="12" t="s">
        <v>61</v>
      </c>
      <c r="C71" s="23">
        <f>SUM(C72,C79,C83,C85,C89)</f>
        <v>187962.7</v>
      </c>
      <c r="D71" s="23">
        <f>SUM(D72,D79,D83,D85,D89)</f>
        <v>0</v>
      </c>
      <c r="E71" s="23">
        <f>SUM(E72,E79,E83,E85,E89)</f>
        <v>187885.7</v>
      </c>
      <c r="F71" s="24">
        <f t="shared" si="2"/>
        <v>100</v>
      </c>
    </row>
    <row r="72" spans="1:6" s="93" customFormat="1" ht="15.75">
      <c r="A72" s="4"/>
      <c r="B72" s="18" t="s">
        <v>22</v>
      </c>
      <c r="C72" s="23">
        <f>SUM(C73:C78)</f>
        <v>75240</v>
      </c>
      <c r="D72" s="23">
        <f>SUM(D73:D78)</f>
        <v>0</v>
      </c>
      <c r="E72" s="23">
        <f>SUM(E73:E78)</f>
        <v>75240</v>
      </c>
      <c r="F72" s="24">
        <f t="shared" si="2"/>
        <v>100</v>
      </c>
    </row>
    <row r="73" spans="1:6" s="93" customFormat="1" ht="18" customHeight="1">
      <c r="A73" s="20">
        <v>10</v>
      </c>
      <c r="B73" s="19" t="s">
        <v>44</v>
      </c>
      <c r="C73" s="28">
        <v>14250</v>
      </c>
      <c r="D73" s="27"/>
      <c r="E73" s="27">
        <v>14250</v>
      </c>
      <c r="F73" s="29">
        <f t="shared" si="2"/>
        <v>100</v>
      </c>
    </row>
    <row r="74" spans="1:6" s="93" customFormat="1" ht="15.75">
      <c r="A74" s="20">
        <v>11</v>
      </c>
      <c r="B74" s="19" t="s">
        <v>63</v>
      </c>
      <c r="C74" s="81">
        <v>44385</v>
      </c>
      <c r="D74" s="82"/>
      <c r="E74" s="82">
        <v>44385</v>
      </c>
      <c r="F74" s="29">
        <f t="shared" si="2"/>
        <v>100</v>
      </c>
    </row>
    <row r="75" spans="1:6" s="93" customFormat="1" ht="31.5" customHeight="1">
      <c r="A75" s="20">
        <v>12</v>
      </c>
      <c r="B75" s="14" t="s">
        <v>45</v>
      </c>
      <c r="C75" s="28">
        <v>3600</v>
      </c>
      <c r="D75" s="41"/>
      <c r="E75" s="27">
        <v>3600</v>
      </c>
      <c r="F75" s="29">
        <f t="shared" si="2"/>
        <v>100</v>
      </c>
    </row>
    <row r="76" spans="1:6" s="93" customFormat="1" ht="31.5" customHeight="1">
      <c r="A76" s="20" t="s">
        <v>149</v>
      </c>
      <c r="B76" s="19" t="s">
        <v>51</v>
      </c>
      <c r="C76" s="28">
        <v>9396</v>
      </c>
      <c r="D76" s="41"/>
      <c r="E76" s="27">
        <v>9396</v>
      </c>
      <c r="F76" s="29">
        <f t="shared" si="2"/>
        <v>100</v>
      </c>
    </row>
    <row r="77" spans="1:6" s="93" customFormat="1" ht="45">
      <c r="A77" s="20">
        <v>14</v>
      </c>
      <c r="B77" s="19" t="s">
        <v>64</v>
      </c>
      <c r="C77" s="28">
        <v>609</v>
      </c>
      <c r="D77" s="41"/>
      <c r="E77" s="27">
        <v>609</v>
      </c>
      <c r="F77" s="29">
        <f t="shared" si="2"/>
        <v>100</v>
      </c>
    </row>
    <row r="78" spans="1:6" s="93" customFormat="1" ht="30">
      <c r="A78" s="20">
        <v>15</v>
      </c>
      <c r="B78" s="19" t="s">
        <v>65</v>
      </c>
      <c r="C78" s="28">
        <v>3000</v>
      </c>
      <c r="D78" s="41"/>
      <c r="E78" s="27">
        <v>3000</v>
      </c>
      <c r="F78" s="29">
        <f t="shared" si="2"/>
        <v>100</v>
      </c>
    </row>
    <row r="79" spans="1:6" s="93" customFormat="1" ht="15.75" customHeight="1">
      <c r="A79" s="20"/>
      <c r="B79" s="99" t="s">
        <v>46</v>
      </c>
      <c r="C79" s="23">
        <f>SUM(C80:C82)</f>
        <v>19130</v>
      </c>
      <c r="D79" s="23">
        <f>SUM(D80:D82)</f>
        <v>0</v>
      </c>
      <c r="E79" s="23">
        <f>SUM(E80:E82)</f>
        <v>19130</v>
      </c>
      <c r="F79" s="24">
        <f t="shared" si="2"/>
        <v>100</v>
      </c>
    </row>
    <row r="80" spans="1:6" s="93" customFormat="1" ht="18.75" customHeight="1">
      <c r="A80" s="20" t="s">
        <v>150</v>
      </c>
      <c r="B80" s="14" t="s">
        <v>47</v>
      </c>
      <c r="C80" s="28">
        <v>10900</v>
      </c>
      <c r="D80" s="27"/>
      <c r="E80" s="27">
        <v>10900</v>
      </c>
      <c r="F80" s="29">
        <f t="shared" si="2"/>
        <v>100</v>
      </c>
    </row>
    <row r="81" spans="1:6" s="93" customFormat="1" ht="18.75" customHeight="1">
      <c r="A81" s="20" t="s">
        <v>151</v>
      </c>
      <c r="B81" s="14" t="s">
        <v>48</v>
      </c>
      <c r="C81" s="28">
        <v>1150</v>
      </c>
      <c r="D81" s="27"/>
      <c r="E81" s="27">
        <v>1150</v>
      </c>
      <c r="F81" s="29">
        <f t="shared" si="2"/>
        <v>100</v>
      </c>
    </row>
    <row r="82" spans="1:6" s="93" customFormat="1" ht="30">
      <c r="A82" s="20" t="s">
        <v>152</v>
      </c>
      <c r="B82" s="14" t="s">
        <v>66</v>
      </c>
      <c r="C82" s="28">
        <v>7080</v>
      </c>
      <c r="D82" s="27"/>
      <c r="E82" s="27">
        <v>7080</v>
      </c>
      <c r="F82" s="29">
        <f t="shared" si="2"/>
        <v>100</v>
      </c>
    </row>
    <row r="83" spans="1:6" s="93" customFormat="1" ht="15.75">
      <c r="A83" s="5"/>
      <c r="B83" s="39" t="s">
        <v>26</v>
      </c>
      <c r="C83" s="23">
        <f>C84</f>
        <v>35000</v>
      </c>
      <c r="D83" s="23">
        <f>D84</f>
        <v>0</v>
      </c>
      <c r="E83" s="23">
        <f>E84</f>
        <v>35000</v>
      </c>
      <c r="F83" s="24">
        <f t="shared" si="2"/>
        <v>100</v>
      </c>
    </row>
    <row r="84" spans="1:6" s="93" customFormat="1" ht="15.75">
      <c r="A84" s="6" t="s">
        <v>153</v>
      </c>
      <c r="B84" s="16" t="s">
        <v>27</v>
      </c>
      <c r="C84" s="28">
        <f>40000-5000</f>
        <v>35000</v>
      </c>
      <c r="D84" s="27"/>
      <c r="E84" s="27">
        <v>35000</v>
      </c>
      <c r="F84" s="29">
        <f t="shared" si="2"/>
        <v>100</v>
      </c>
    </row>
    <row r="85" spans="1:6" s="93" customFormat="1" ht="17.25" customHeight="1">
      <c r="A85" s="3"/>
      <c r="B85" s="13" t="s">
        <v>12</v>
      </c>
      <c r="C85" s="23">
        <f>SUM(C86:C88)</f>
        <v>56612.7</v>
      </c>
      <c r="D85" s="23">
        <f>SUM(D86:D88)</f>
        <v>0</v>
      </c>
      <c r="E85" s="23">
        <f>SUM(E86:E88)</f>
        <v>56535.7</v>
      </c>
      <c r="F85" s="24">
        <f t="shared" si="2"/>
        <v>99.9</v>
      </c>
    </row>
    <row r="86" spans="1:6" s="93" customFormat="1" ht="30">
      <c r="A86" s="6" t="s">
        <v>167</v>
      </c>
      <c r="B86" s="14" t="s">
        <v>49</v>
      </c>
      <c r="C86" s="28">
        <v>22282.7</v>
      </c>
      <c r="D86" s="23"/>
      <c r="E86" s="28">
        <v>22282.7</v>
      </c>
      <c r="F86" s="29">
        <f t="shared" si="2"/>
        <v>100</v>
      </c>
    </row>
    <row r="87" spans="1:6" s="93" customFormat="1" ht="30">
      <c r="A87" s="6" t="s">
        <v>118</v>
      </c>
      <c r="B87" s="14" t="s">
        <v>67</v>
      </c>
      <c r="C87" s="28">
        <v>15400</v>
      </c>
      <c r="D87" s="23"/>
      <c r="E87" s="28">
        <v>15323</v>
      </c>
      <c r="F87" s="29">
        <f t="shared" si="2"/>
        <v>99.5</v>
      </c>
    </row>
    <row r="88" spans="1:6" s="93" customFormat="1" ht="32.25" customHeight="1">
      <c r="A88" s="6" t="s">
        <v>154</v>
      </c>
      <c r="B88" s="14" t="s">
        <v>83</v>
      </c>
      <c r="C88" s="28">
        <v>18930</v>
      </c>
      <c r="D88" s="28"/>
      <c r="E88" s="28">
        <v>18930</v>
      </c>
      <c r="F88" s="29">
        <f t="shared" si="2"/>
        <v>100</v>
      </c>
    </row>
    <row r="89" spans="1:6" s="93" customFormat="1" ht="15.75">
      <c r="A89" s="5"/>
      <c r="B89" s="39" t="s">
        <v>68</v>
      </c>
      <c r="C89" s="23">
        <f>C90</f>
        <v>1980</v>
      </c>
      <c r="D89" s="23">
        <f>D90</f>
        <v>0</v>
      </c>
      <c r="E89" s="23">
        <f>E90</f>
        <v>1980</v>
      </c>
      <c r="F89" s="24">
        <f t="shared" si="2"/>
        <v>100</v>
      </c>
    </row>
    <row r="90" spans="1:6" s="93" customFormat="1" ht="30">
      <c r="A90" s="6" t="s">
        <v>155</v>
      </c>
      <c r="B90" s="16" t="s">
        <v>69</v>
      </c>
      <c r="C90" s="28">
        <v>1980</v>
      </c>
      <c r="D90" s="28"/>
      <c r="E90" s="28">
        <v>1980</v>
      </c>
      <c r="F90" s="29">
        <f t="shared" si="2"/>
        <v>100</v>
      </c>
    </row>
    <row r="91" spans="1:6" s="93" customFormat="1" ht="48" customHeight="1">
      <c r="A91" s="84" t="s">
        <v>2</v>
      </c>
      <c r="B91" s="110" t="s">
        <v>24</v>
      </c>
      <c r="C91" s="77">
        <f>SUM(C92,C104)</f>
        <v>204801.6</v>
      </c>
      <c r="D91" s="77">
        <f>SUM(D92,D104)</f>
        <v>0</v>
      </c>
      <c r="E91" s="77">
        <f>SUM(E92,E104)</f>
        <v>186580.8</v>
      </c>
      <c r="F91" s="75">
        <f t="shared" si="2"/>
        <v>91.1</v>
      </c>
    </row>
    <row r="92" spans="1:6" s="93" customFormat="1" ht="17.25" customHeight="1">
      <c r="A92" s="4" t="s">
        <v>37</v>
      </c>
      <c r="B92" s="18" t="s">
        <v>40</v>
      </c>
      <c r="C92" s="23">
        <f>SUM(C96,C100)</f>
        <v>127649.8</v>
      </c>
      <c r="D92" s="23">
        <f>SUM(D96,D100)</f>
        <v>0</v>
      </c>
      <c r="E92" s="23">
        <f>SUM(E96,E100)</f>
        <v>127633.3</v>
      </c>
      <c r="F92" s="24">
        <f t="shared" si="2"/>
        <v>100</v>
      </c>
    </row>
    <row r="93" spans="1:6" s="93" customFormat="1" ht="15.75">
      <c r="A93" s="10"/>
      <c r="B93" s="11" t="s">
        <v>1</v>
      </c>
      <c r="C93" s="23"/>
      <c r="D93" s="23"/>
      <c r="E93" s="23"/>
      <c r="F93" s="24"/>
    </row>
    <row r="94" spans="1:6" s="93" customFormat="1" ht="15.75">
      <c r="A94" s="55"/>
      <c r="B94" s="58" t="s">
        <v>33</v>
      </c>
      <c r="C94" s="53">
        <f>SUM(C98,C102)</f>
        <v>87436.800000000003</v>
      </c>
      <c r="D94" s="53">
        <f>SUM(D98,D102)</f>
        <v>0</v>
      </c>
      <c r="E94" s="53">
        <f>SUM(E98,E102)</f>
        <v>87436.800000000003</v>
      </c>
      <c r="F94" s="52">
        <f>E94/C94*100</f>
        <v>100</v>
      </c>
    </row>
    <row r="95" spans="1:6" s="93" customFormat="1" ht="15.75">
      <c r="A95" s="55"/>
      <c r="B95" s="59" t="s">
        <v>34</v>
      </c>
      <c r="C95" s="53">
        <f>C92-C94</f>
        <v>40213</v>
      </c>
      <c r="D95" s="53">
        <f>D92-D94</f>
        <v>0</v>
      </c>
      <c r="E95" s="53">
        <f>E92-E94</f>
        <v>40196.5</v>
      </c>
      <c r="F95" s="52">
        <f>E95/C95*100</f>
        <v>100</v>
      </c>
    </row>
    <row r="96" spans="1:6" s="93" customFormat="1" ht="30">
      <c r="A96" s="6" t="s">
        <v>156</v>
      </c>
      <c r="B96" s="15" t="s">
        <v>58</v>
      </c>
      <c r="C96" s="28">
        <f>SUM(C98:C99)</f>
        <v>80713</v>
      </c>
      <c r="D96" s="28">
        <f>SUM(D98:D99)</f>
        <v>0</v>
      </c>
      <c r="E96" s="28">
        <f>SUM(E98:E99)</f>
        <v>80707.100000000006</v>
      </c>
      <c r="F96" s="29">
        <f>E96/C96*100</f>
        <v>100</v>
      </c>
    </row>
    <row r="97" spans="1:6" s="93" customFormat="1" ht="15.75">
      <c r="A97" s="4"/>
      <c r="B97" s="57" t="s">
        <v>1</v>
      </c>
      <c r="C97" s="28"/>
      <c r="D97" s="28"/>
      <c r="E97" s="28"/>
      <c r="F97" s="29"/>
    </row>
    <row r="98" spans="1:6" s="93" customFormat="1" ht="15.75">
      <c r="A98" s="51"/>
      <c r="B98" s="48" t="s">
        <v>33</v>
      </c>
      <c r="C98" s="49">
        <v>50000</v>
      </c>
      <c r="D98" s="49"/>
      <c r="E98" s="49">
        <v>50000</v>
      </c>
      <c r="F98" s="43">
        <f>E98/C98*100</f>
        <v>100</v>
      </c>
    </row>
    <row r="99" spans="1:6" ht="15.75">
      <c r="A99" s="51"/>
      <c r="B99" s="50" t="s">
        <v>34</v>
      </c>
      <c r="C99" s="49">
        <v>30713</v>
      </c>
      <c r="D99" s="42"/>
      <c r="E99" s="42">
        <v>30707.1</v>
      </c>
      <c r="F99" s="43">
        <f>E99/C99*100</f>
        <v>100</v>
      </c>
    </row>
    <row r="100" spans="1:6" ht="30.75" customHeight="1">
      <c r="A100" s="6" t="s">
        <v>157</v>
      </c>
      <c r="B100" s="56" t="s">
        <v>56</v>
      </c>
      <c r="C100" s="28">
        <f>SUM(C102:C103)</f>
        <v>46936.800000000003</v>
      </c>
      <c r="D100" s="28">
        <f>SUM(D102:D103)</f>
        <v>0</v>
      </c>
      <c r="E100" s="28">
        <f>SUM(E102:E103)</f>
        <v>46926.2</v>
      </c>
      <c r="F100" s="29">
        <f>E100/C100*100</f>
        <v>100</v>
      </c>
    </row>
    <row r="101" spans="1:6" ht="15.75">
      <c r="A101" s="6"/>
      <c r="B101" s="57" t="s">
        <v>1</v>
      </c>
      <c r="C101" s="28"/>
      <c r="D101" s="28"/>
      <c r="E101" s="28"/>
      <c r="F101" s="29"/>
    </row>
    <row r="102" spans="1:6" ht="15.75">
      <c r="A102" s="51"/>
      <c r="B102" s="48" t="s">
        <v>33</v>
      </c>
      <c r="C102" s="49">
        <v>37436.800000000003</v>
      </c>
      <c r="D102" s="49"/>
      <c r="E102" s="49">
        <v>37436.800000000003</v>
      </c>
      <c r="F102" s="43">
        <f>E102/C102*100</f>
        <v>100</v>
      </c>
    </row>
    <row r="103" spans="1:6" ht="15.75">
      <c r="A103" s="51"/>
      <c r="B103" s="50" t="s">
        <v>34</v>
      </c>
      <c r="C103" s="49">
        <v>9500</v>
      </c>
      <c r="D103" s="42"/>
      <c r="E103" s="42">
        <v>9489.4</v>
      </c>
      <c r="F103" s="43">
        <f>E103/C103*100</f>
        <v>99.9</v>
      </c>
    </row>
    <row r="104" spans="1:6" ht="15" customHeight="1">
      <c r="A104" s="4" t="s">
        <v>38</v>
      </c>
      <c r="B104" s="18" t="s">
        <v>39</v>
      </c>
      <c r="C104" s="23">
        <f>SUM(C105:C113)</f>
        <v>77151.8</v>
      </c>
      <c r="D104" s="23">
        <f>SUM(D105:D113)</f>
        <v>0</v>
      </c>
      <c r="E104" s="23">
        <f>SUM(E105:E113)</f>
        <v>58947.5</v>
      </c>
      <c r="F104" s="24">
        <f>E104/C104*100</f>
        <v>76.400000000000006</v>
      </c>
    </row>
    <row r="105" spans="1:6" ht="33" customHeight="1">
      <c r="A105" s="20">
        <v>26</v>
      </c>
      <c r="B105" s="16" t="s">
        <v>13</v>
      </c>
      <c r="C105" s="28">
        <v>30000</v>
      </c>
      <c r="D105" s="23"/>
      <c r="E105" s="28">
        <v>15226.5</v>
      </c>
      <c r="F105" s="29">
        <f t="shared" ref="F105:F130" si="3">E105/C105*100</f>
        <v>50.8</v>
      </c>
    </row>
    <row r="106" spans="1:6" s="93" customFormat="1" ht="32.25" customHeight="1">
      <c r="A106" s="20">
        <v>27</v>
      </c>
      <c r="B106" s="14" t="s">
        <v>16</v>
      </c>
      <c r="C106" s="28">
        <f>30000+6412</f>
        <v>36412</v>
      </c>
      <c r="D106" s="27"/>
      <c r="E106" s="27">
        <v>35474</v>
      </c>
      <c r="F106" s="29">
        <f t="shared" si="3"/>
        <v>97.4</v>
      </c>
    </row>
    <row r="107" spans="1:6" s="93" customFormat="1" ht="30.75" customHeight="1">
      <c r="A107" s="3" t="s">
        <v>125</v>
      </c>
      <c r="B107" s="10" t="s">
        <v>17</v>
      </c>
      <c r="C107" s="28">
        <v>1332</v>
      </c>
      <c r="D107" s="27"/>
      <c r="E107" s="27">
        <v>1322.6</v>
      </c>
      <c r="F107" s="29">
        <f t="shared" si="3"/>
        <v>99.3</v>
      </c>
    </row>
    <row r="108" spans="1:6" s="93" customFormat="1" ht="45.75" customHeight="1">
      <c r="A108" s="6" t="s">
        <v>126</v>
      </c>
      <c r="B108" s="56" t="s">
        <v>77</v>
      </c>
      <c r="C108" s="28">
        <v>921</v>
      </c>
      <c r="D108" s="27"/>
      <c r="E108" s="27">
        <v>920.9</v>
      </c>
      <c r="F108" s="29">
        <f t="shared" si="3"/>
        <v>100</v>
      </c>
    </row>
    <row r="109" spans="1:6" s="93" customFormat="1" ht="32.25" customHeight="1">
      <c r="A109" s="6" t="s">
        <v>127</v>
      </c>
      <c r="B109" s="56" t="s">
        <v>57</v>
      </c>
      <c r="C109" s="28">
        <v>707.3</v>
      </c>
      <c r="D109" s="27"/>
      <c r="E109" s="27">
        <v>147.69999999999999</v>
      </c>
      <c r="F109" s="29">
        <f t="shared" si="3"/>
        <v>20.9</v>
      </c>
    </row>
    <row r="110" spans="1:6" s="93" customFormat="1" ht="32.25" customHeight="1">
      <c r="A110" s="6" t="s">
        <v>128</v>
      </c>
      <c r="B110" s="56" t="s">
        <v>82</v>
      </c>
      <c r="C110" s="28">
        <v>2303</v>
      </c>
      <c r="D110" s="27"/>
      <c r="E110" s="27">
        <v>481.3</v>
      </c>
      <c r="F110" s="29">
        <f>E110/C110*100</f>
        <v>20.9</v>
      </c>
    </row>
    <row r="111" spans="1:6" s="93" customFormat="1" ht="18.75" customHeight="1">
      <c r="A111" s="6" t="s">
        <v>158</v>
      </c>
      <c r="B111" s="16" t="s">
        <v>84</v>
      </c>
      <c r="C111" s="28">
        <v>100</v>
      </c>
      <c r="D111" s="28"/>
      <c r="E111" s="28">
        <v>0</v>
      </c>
      <c r="F111" s="29">
        <f>E111/C111*100</f>
        <v>0</v>
      </c>
    </row>
    <row r="112" spans="1:6" s="93" customFormat="1" ht="18" customHeight="1">
      <c r="A112" s="6" t="s">
        <v>129</v>
      </c>
      <c r="B112" s="14" t="s">
        <v>52</v>
      </c>
      <c r="C112" s="28">
        <v>3652</v>
      </c>
      <c r="D112" s="27"/>
      <c r="E112" s="27">
        <v>3650.1</v>
      </c>
      <c r="F112" s="29">
        <f t="shared" si="3"/>
        <v>99.9</v>
      </c>
    </row>
    <row r="113" spans="1:6" s="93" customFormat="1" ht="15.75">
      <c r="A113" s="6" t="s">
        <v>159</v>
      </c>
      <c r="B113" s="14" t="s">
        <v>53</v>
      </c>
      <c r="C113" s="27">
        <v>1724.5</v>
      </c>
      <c r="D113" s="27"/>
      <c r="E113" s="27">
        <v>1724.4</v>
      </c>
      <c r="F113" s="29">
        <f t="shared" si="3"/>
        <v>100</v>
      </c>
    </row>
    <row r="114" spans="1:6" s="93" customFormat="1" ht="46.5" customHeight="1">
      <c r="A114" s="84" t="s">
        <v>3</v>
      </c>
      <c r="B114" s="73" t="s">
        <v>25</v>
      </c>
      <c r="C114" s="74">
        <f>C115</f>
        <v>501172.3</v>
      </c>
      <c r="D114" s="74">
        <f>D115</f>
        <v>0</v>
      </c>
      <c r="E114" s="74">
        <f>E115</f>
        <v>304855.59999999998</v>
      </c>
      <c r="F114" s="75">
        <f t="shared" si="3"/>
        <v>60.8</v>
      </c>
    </row>
    <row r="115" spans="1:6" s="93" customFormat="1" ht="15.75">
      <c r="A115" s="4" t="s">
        <v>42</v>
      </c>
      <c r="B115" s="18" t="s">
        <v>40</v>
      </c>
      <c r="C115" s="23">
        <f>SUM(C116+C120)</f>
        <v>501172.3</v>
      </c>
      <c r="D115" s="23">
        <f>SUM(D116+D120)</f>
        <v>0</v>
      </c>
      <c r="E115" s="23">
        <f>SUM(E116+E120)</f>
        <v>304855.59999999998</v>
      </c>
      <c r="F115" s="24">
        <f>E115/C115*100</f>
        <v>60.8</v>
      </c>
    </row>
    <row r="116" spans="1:6" s="93" customFormat="1" ht="15.75">
      <c r="A116" s="20">
        <v>35</v>
      </c>
      <c r="B116" s="70" t="s">
        <v>143</v>
      </c>
      <c r="C116" s="23">
        <f>C118+C119</f>
        <v>196200</v>
      </c>
      <c r="D116" s="23">
        <f>D118+D119</f>
        <v>0</v>
      </c>
      <c r="E116" s="23">
        <f>E118+E119</f>
        <v>0</v>
      </c>
      <c r="F116" s="24">
        <f>E116/C116*100</f>
        <v>0</v>
      </c>
    </row>
    <row r="117" spans="1:6" s="93" customFormat="1" ht="15.75">
      <c r="A117" s="4"/>
      <c r="B117" s="57" t="s">
        <v>1</v>
      </c>
      <c r="C117" s="28"/>
      <c r="D117" s="28"/>
      <c r="E117" s="28"/>
      <c r="F117" s="29"/>
    </row>
    <row r="118" spans="1:6" s="93" customFormat="1" ht="15.75" customHeight="1">
      <c r="A118" s="45"/>
      <c r="B118" s="48" t="s">
        <v>33</v>
      </c>
      <c r="C118" s="27">
        <v>186900</v>
      </c>
      <c r="D118" s="27"/>
      <c r="E118" s="27">
        <v>0</v>
      </c>
      <c r="F118" s="29">
        <f>E118/C118*100</f>
        <v>0</v>
      </c>
    </row>
    <row r="119" spans="1:6" s="93" customFormat="1" ht="15.75" customHeight="1">
      <c r="A119" s="92"/>
      <c r="B119" s="50" t="s">
        <v>34</v>
      </c>
      <c r="C119" s="27">
        <v>9300</v>
      </c>
      <c r="D119" s="27"/>
      <c r="E119" s="27">
        <v>0</v>
      </c>
      <c r="F119" s="29">
        <f>E119/C119*100</f>
        <v>0</v>
      </c>
    </row>
    <row r="120" spans="1:6" s="93" customFormat="1" ht="28.5">
      <c r="A120" s="4" t="s">
        <v>142</v>
      </c>
      <c r="B120" s="18" t="s">
        <v>39</v>
      </c>
      <c r="C120" s="23">
        <f>SUM(C121:C123)</f>
        <v>304972.3</v>
      </c>
      <c r="D120" s="23">
        <f>SUM(D121:D123)</f>
        <v>0</v>
      </c>
      <c r="E120" s="23">
        <f>SUM(E121:E123)</f>
        <v>304855.59999999998</v>
      </c>
      <c r="F120" s="24">
        <f>E120/C120*100</f>
        <v>100</v>
      </c>
    </row>
    <row r="121" spans="1:6" s="93" customFormat="1" ht="31.5" customHeight="1">
      <c r="A121" s="6" t="s">
        <v>160</v>
      </c>
      <c r="B121" s="15" t="s">
        <v>144</v>
      </c>
      <c r="C121" s="27">
        <v>296903.40000000002</v>
      </c>
      <c r="D121" s="27"/>
      <c r="E121" s="27">
        <v>296896.3</v>
      </c>
      <c r="F121" s="29">
        <f t="shared" si="3"/>
        <v>100</v>
      </c>
    </row>
    <row r="122" spans="1:6" s="93" customFormat="1" ht="15.75" customHeight="1">
      <c r="A122" s="45">
        <v>37</v>
      </c>
      <c r="B122" s="14" t="s">
        <v>29</v>
      </c>
      <c r="C122" s="27">
        <v>7736.9</v>
      </c>
      <c r="D122" s="27"/>
      <c r="E122" s="27">
        <v>7736.9</v>
      </c>
      <c r="F122" s="29">
        <f t="shared" si="3"/>
        <v>100</v>
      </c>
    </row>
    <row r="123" spans="1:6" s="93" customFormat="1" ht="30">
      <c r="A123" s="6" t="s">
        <v>161</v>
      </c>
      <c r="B123" s="63" t="s">
        <v>70</v>
      </c>
      <c r="C123" s="100">
        <v>332</v>
      </c>
      <c r="D123" s="42"/>
      <c r="E123" s="27">
        <v>222.4</v>
      </c>
      <c r="F123" s="29">
        <f t="shared" si="3"/>
        <v>67</v>
      </c>
    </row>
    <row r="124" spans="1:6" s="93" customFormat="1" ht="42.75">
      <c r="A124" s="84" t="s">
        <v>23</v>
      </c>
      <c r="B124" s="73" t="s">
        <v>43</v>
      </c>
      <c r="C124" s="74">
        <f>C125</f>
        <v>50912.5</v>
      </c>
      <c r="D124" s="74">
        <f>D125</f>
        <v>0</v>
      </c>
      <c r="E124" s="74">
        <f>E125</f>
        <v>50912.5</v>
      </c>
      <c r="F124" s="75">
        <f t="shared" si="3"/>
        <v>100</v>
      </c>
    </row>
    <row r="125" spans="1:6" s="93" customFormat="1" ht="28.5">
      <c r="A125" s="4" t="s">
        <v>76</v>
      </c>
      <c r="B125" s="18" t="s">
        <v>39</v>
      </c>
      <c r="C125" s="23">
        <f>SUM(C126:C130)</f>
        <v>50912.5</v>
      </c>
      <c r="D125" s="23">
        <f>D130+D126</f>
        <v>0</v>
      </c>
      <c r="E125" s="23">
        <f>SUM(E126:E130)</f>
        <v>50912.5</v>
      </c>
      <c r="F125" s="24">
        <f>E125/C125*100</f>
        <v>100</v>
      </c>
    </row>
    <row r="126" spans="1:6" s="93" customFormat="1" ht="29.25" customHeight="1">
      <c r="A126" s="20">
        <v>39</v>
      </c>
      <c r="B126" s="15" t="s">
        <v>71</v>
      </c>
      <c r="C126" s="28">
        <v>5000</v>
      </c>
      <c r="D126" s="23"/>
      <c r="E126" s="28">
        <v>5000</v>
      </c>
      <c r="F126" s="29">
        <f t="shared" si="3"/>
        <v>100</v>
      </c>
    </row>
    <row r="127" spans="1:6" s="93" customFormat="1" ht="46.5" customHeight="1">
      <c r="A127" s="20">
        <v>40</v>
      </c>
      <c r="B127" s="15" t="s">
        <v>72</v>
      </c>
      <c r="C127" s="28">
        <v>35500</v>
      </c>
      <c r="D127" s="23"/>
      <c r="E127" s="28">
        <v>35500</v>
      </c>
      <c r="F127" s="29">
        <f t="shared" si="3"/>
        <v>100</v>
      </c>
    </row>
    <row r="128" spans="1:6" s="93" customFormat="1" ht="30">
      <c r="A128" s="20">
        <v>41</v>
      </c>
      <c r="B128" s="15" t="s">
        <v>73</v>
      </c>
      <c r="C128" s="28">
        <v>990</v>
      </c>
      <c r="D128" s="23"/>
      <c r="E128" s="28">
        <v>990</v>
      </c>
      <c r="F128" s="29">
        <f t="shared" si="3"/>
        <v>100</v>
      </c>
    </row>
    <row r="129" spans="1:6" s="93" customFormat="1" ht="45">
      <c r="A129" s="20">
        <v>42</v>
      </c>
      <c r="B129" s="15" t="s">
        <v>74</v>
      </c>
      <c r="C129" s="28">
        <v>3482.5</v>
      </c>
      <c r="D129" s="23"/>
      <c r="E129" s="28">
        <v>3482.5</v>
      </c>
      <c r="F129" s="29">
        <f t="shared" si="3"/>
        <v>100</v>
      </c>
    </row>
    <row r="130" spans="1:6" s="93" customFormat="1" ht="33.75" customHeight="1">
      <c r="A130" s="6" t="s">
        <v>162</v>
      </c>
      <c r="B130" s="14" t="s">
        <v>75</v>
      </c>
      <c r="C130" s="27">
        <v>5940</v>
      </c>
      <c r="D130" s="27"/>
      <c r="E130" s="27">
        <v>5940</v>
      </c>
      <c r="F130" s="29">
        <f t="shared" si="3"/>
        <v>100</v>
      </c>
    </row>
    <row r="131" spans="1:6" s="93" customFormat="1" ht="6" customHeight="1">
      <c r="A131" s="85"/>
      <c r="B131" s="101"/>
      <c r="C131" s="102"/>
      <c r="D131" s="88"/>
      <c r="E131" s="88"/>
      <c r="F131" s="89"/>
    </row>
    <row r="132" spans="1:6" s="93" customFormat="1" ht="15.75" customHeight="1">
      <c r="A132" s="90" t="s">
        <v>62</v>
      </c>
      <c r="B132" s="2274" t="s">
        <v>55</v>
      </c>
      <c r="C132" s="2274"/>
      <c r="D132" s="2274"/>
      <c r="E132" s="2274"/>
    </row>
    <row r="133" spans="1:6" ht="15" customHeight="1">
      <c r="A133" s="68"/>
      <c r="B133" s="2274"/>
      <c r="C133" s="2274"/>
      <c r="D133" s="2274"/>
      <c r="E133" s="2274"/>
      <c r="F133" s="26"/>
    </row>
    <row r="134" spans="1:6" ht="24" customHeight="1">
      <c r="A134" s="90"/>
      <c r="B134" s="2277" t="s">
        <v>80</v>
      </c>
      <c r="C134" s="2277"/>
      <c r="D134" s="2277"/>
      <c r="E134" s="2277"/>
      <c r="F134" s="2277"/>
    </row>
    <row r="135" spans="1:6" ht="44.25" customHeight="1">
      <c r="A135" s="90"/>
      <c r="B135" s="72" t="s">
        <v>85</v>
      </c>
      <c r="C135" s="72"/>
      <c r="D135" s="72"/>
      <c r="E135" s="2273" t="s">
        <v>86</v>
      </c>
      <c r="F135" s="2273"/>
    </row>
    <row r="136" spans="1:6" ht="17.25" hidden="1" customHeight="1">
      <c r="B136" s="2272" t="s">
        <v>59</v>
      </c>
      <c r="C136" s="2272"/>
      <c r="D136" s="2272"/>
      <c r="E136" s="2272"/>
      <c r="F136" s="2272"/>
    </row>
    <row r="137" spans="1:6" ht="16.5" hidden="1">
      <c r="B137" s="47" t="s">
        <v>79</v>
      </c>
      <c r="C137" s="47"/>
      <c r="D137" s="47"/>
      <c r="E137" s="47" t="s">
        <v>81</v>
      </c>
      <c r="F137" s="47"/>
    </row>
    <row r="138" spans="1:6" ht="15.75" customHeight="1">
      <c r="A138" s="91"/>
      <c r="B138" s="103"/>
      <c r="F138" s="21"/>
    </row>
    <row r="139" spans="1:6" ht="30.75" customHeight="1">
      <c r="B139" s="103" t="s">
        <v>134</v>
      </c>
      <c r="F139" s="104"/>
    </row>
    <row r="140" spans="1:6" ht="14.25" customHeight="1">
      <c r="B140" s="103" t="s">
        <v>135</v>
      </c>
      <c r="F140" s="104"/>
    </row>
    <row r="141" spans="1:6" ht="14.25" customHeight="1">
      <c r="B141" s="103"/>
      <c r="F141" s="104"/>
    </row>
    <row r="143" spans="1:6" hidden="1">
      <c r="B143" s="105" t="s">
        <v>60</v>
      </c>
    </row>
    <row r="144" spans="1:6">
      <c r="B144" s="105"/>
    </row>
  </sheetData>
  <mergeCells count="15">
    <mergeCell ref="A1:F1"/>
    <mergeCell ref="C3:F3"/>
    <mergeCell ref="A4:F4"/>
    <mergeCell ref="A5:F5"/>
    <mergeCell ref="A6:F6"/>
    <mergeCell ref="A8:A9"/>
    <mergeCell ref="B8:B9"/>
    <mergeCell ref="C8:C9"/>
    <mergeCell ref="E8:E9"/>
    <mergeCell ref="F8:F9"/>
    <mergeCell ref="B132:E132"/>
    <mergeCell ref="B133:E133"/>
    <mergeCell ref="B134:F134"/>
    <mergeCell ref="E135:F135"/>
    <mergeCell ref="B136:F136"/>
  </mergeCells>
  <pageMargins left="0.54" right="0" top="0.47244094488188981" bottom="0.59055118110236227" header="0" footer="0"/>
  <pageSetup paperSize="9" scale="71" fitToHeight="3" orientation="portrait" r:id="rId1"/>
  <headerFooter alignWithMargins="0"/>
  <customProperties>
    <customPr name="krista_fm_consts" r:id="rId2"/>
  </customProperties>
</worksheet>
</file>

<file path=xl/worksheets/sheet20.xml><?xml version="1.0" encoding="utf-8"?>
<worksheet xmlns="http://schemas.openxmlformats.org/spreadsheetml/2006/main" xmlns:r="http://schemas.openxmlformats.org/officeDocument/2006/relationships">
  <sheetPr>
    <pageSetUpPr fitToPage="1"/>
  </sheetPr>
  <dimension ref="A1:X265"/>
  <sheetViews>
    <sheetView zoomScale="60" zoomScaleNormal="60" zoomScaleSheetLayoutView="50" workbookViewId="0">
      <pane xSplit="2" ySplit="12" topLeftCell="C16" activePane="bottomRight" state="frozen"/>
      <selection activeCell="D14" sqref="D14"/>
      <selection pane="topRight" activeCell="D14" sqref="D14"/>
      <selection pane="bottomLeft" activeCell="D14" sqref="D14"/>
      <selection pane="bottomRight" activeCell="D14" sqref="D14"/>
    </sheetView>
  </sheetViews>
  <sheetFormatPr defaultColWidth="9.140625" defaultRowHeight="30"/>
  <cols>
    <col min="1" max="1" width="12.7109375" style="1101" customWidth="1"/>
    <col min="2" max="2" width="125.140625" style="497" customWidth="1"/>
    <col min="3" max="3" width="58.5703125" style="1101" customWidth="1"/>
    <col min="4" max="4" width="24.140625" style="700" customWidth="1"/>
    <col min="5" max="5" width="24.28515625" style="497" customWidth="1"/>
    <col min="6" max="6" width="23.28515625" style="497" customWidth="1"/>
    <col min="7" max="7" width="23.28515625" style="700" customWidth="1"/>
    <col min="8" max="8" width="25.85546875" style="497" customWidth="1"/>
    <col min="9" max="9" width="23.42578125" style="497" bestFit="1" customWidth="1"/>
    <col min="10" max="10" width="22.7109375" style="714" customWidth="1"/>
    <col min="11" max="11" width="22.5703125" style="497" customWidth="1"/>
    <col min="12" max="12" width="22" style="497" bestFit="1" customWidth="1"/>
    <col min="13" max="13" width="23.85546875" style="700" bestFit="1" customWidth="1"/>
    <col min="14" max="15" width="22" style="497" bestFit="1" customWidth="1"/>
    <col min="16" max="18" width="20" style="497" hidden="1" customWidth="1"/>
    <col min="19" max="19" width="24.5703125" style="1099" hidden="1" customWidth="1"/>
    <col min="20" max="20" width="38.42578125" style="1100" hidden="1" customWidth="1"/>
    <col min="21" max="21" width="31.28515625" style="1099" hidden="1" customWidth="1"/>
    <col min="22" max="22" width="53.42578125" style="1099" hidden="1" customWidth="1"/>
    <col min="23" max="23" width="26.7109375" style="1098" customWidth="1"/>
    <col min="24" max="24" width="9.140625" style="736"/>
    <col min="25" max="16384" width="9.140625" style="497"/>
  </cols>
  <sheetData>
    <row r="1" spans="1:24">
      <c r="A1" s="2359"/>
      <c r="B1" s="2359"/>
      <c r="D1" s="817"/>
      <c r="E1" s="817"/>
      <c r="F1" s="817"/>
      <c r="G1" s="817"/>
      <c r="H1" s="817"/>
      <c r="I1" s="817"/>
      <c r="J1" s="817"/>
      <c r="L1" s="2384" t="s">
        <v>513</v>
      </c>
      <c r="M1" s="2384"/>
      <c r="N1" s="2384"/>
      <c r="O1" s="2384"/>
    </row>
    <row r="2" spans="1:24" hidden="1">
      <c r="B2" s="1155"/>
      <c r="D2" s="714"/>
      <c r="E2" s="1155"/>
      <c r="F2" s="1155"/>
      <c r="M2" s="714"/>
    </row>
    <row r="3" spans="1:24" s="467" customFormat="1" hidden="1">
      <c r="A3" s="860"/>
      <c r="C3" s="474"/>
      <c r="D3" s="715"/>
      <c r="E3" s="716"/>
      <c r="F3" s="716"/>
      <c r="G3" s="715"/>
      <c r="H3" s="716"/>
      <c r="I3" s="716"/>
      <c r="J3" s="2312"/>
      <c r="K3" s="2312"/>
      <c r="L3" s="2312"/>
      <c r="M3" s="2312"/>
      <c r="O3" s="717"/>
      <c r="S3" s="1107"/>
      <c r="T3" s="1108"/>
      <c r="U3" s="1107"/>
      <c r="V3" s="1107"/>
      <c r="W3" s="1109"/>
      <c r="X3" s="1110"/>
    </row>
    <row r="4" spans="1:24" s="467" customFormat="1" ht="43.5" hidden="1" customHeight="1">
      <c r="A4" s="860"/>
      <c r="C4" s="474"/>
      <c r="D4" s="815">
        <f>6162009.6</f>
        <v>6162009.5999999996</v>
      </c>
      <c r="E4" s="716"/>
      <c r="F4" s="716"/>
      <c r="G4" s="815">
        <v>5873905</v>
      </c>
      <c r="H4" s="469"/>
      <c r="I4" s="469"/>
      <c r="J4" s="1199">
        <v>2407625.6</v>
      </c>
      <c r="K4" s="469"/>
      <c r="L4" s="469"/>
      <c r="M4" s="718"/>
      <c r="O4" s="717"/>
      <c r="S4" s="1107"/>
      <c r="T4" s="1108"/>
      <c r="U4" s="1107"/>
      <c r="V4" s="1107"/>
      <c r="W4" s="1109"/>
      <c r="X4" s="1110"/>
    </row>
    <row r="5" spans="1:24" s="467" customFormat="1" ht="30.75" customHeight="1">
      <c r="A5" s="2389" t="s">
        <v>5</v>
      </c>
      <c r="B5" s="2389"/>
      <c r="C5" s="2389"/>
      <c r="D5" s="2389"/>
      <c r="E5" s="2389"/>
      <c r="F5" s="2389"/>
      <c r="G5" s="2389"/>
      <c r="H5" s="2389"/>
      <c r="I5" s="2389"/>
      <c r="J5" s="2389"/>
      <c r="K5" s="2389"/>
      <c r="L5" s="2389"/>
      <c r="M5" s="2389"/>
      <c r="N5" s="2389"/>
      <c r="O5" s="2389"/>
      <c r="S5" s="1107"/>
      <c r="T5" s="1108"/>
      <c r="U5" s="1107"/>
      <c r="V5" s="1107"/>
      <c r="W5" s="1109"/>
      <c r="X5" s="1110"/>
    </row>
    <row r="6" spans="1:24" s="467" customFormat="1" ht="30.75" customHeight="1">
      <c r="A6" s="2389" t="s">
        <v>236</v>
      </c>
      <c r="B6" s="2389"/>
      <c r="C6" s="2389"/>
      <c r="D6" s="2389"/>
      <c r="E6" s="2389"/>
      <c r="F6" s="2389"/>
      <c r="G6" s="2389"/>
      <c r="H6" s="2389"/>
      <c r="I6" s="2389"/>
      <c r="J6" s="2389"/>
      <c r="K6" s="2389"/>
      <c r="L6" s="2389"/>
      <c r="M6" s="2389"/>
      <c r="N6" s="2389"/>
      <c r="O6" s="2389"/>
      <c r="S6" s="1107"/>
      <c r="T6" s="1108"/>
      <c r="U6" s="1107"/>
      <c r="V6" s="1107"/>
      <c r="W6" s="1109"/>
      <c r="X6" s="1110"/>
    </row>
    <row r="7" spans="1:24" s="467" customFormat="1" ht="36" customHeight="1">
      <c r="A7" s="2389" t="s">
        <v>1073</v>
      </c>
      <c r="B7" s="2389"/>
      <c r="C7" s="2389"/>
      <c r="D7" s="2389"/>
      <c r="E7" s="2389"/>
      <c r="F7" s="2389"/>
      <c r="G7" s="2389"/>
      <c r="H7" s="2389"/>
      <c r="I7" s="2389"/>
      <c r="J7" s="2389"/>
      <c r="K7" s="2389"/>
      <c r="L7" s="2389"/>
      <c r="M7" s="2389"/>
      <c r="N7" s="2389"/>
      <c r="O7" s="2389"/>
      <c r="P7" s="858"/>
      <c r="S7" s="1107"/>
      <c r="T7" s="1108"/>
      <c r="U7" s="1107"/>
      <c r="V7" s="1107"/>
      <c r="W7" s="1109"/>
      <c r="X7" s="1110"/>
    </row>
    <row r="8" spans="1:24" s="467" customFormat="1" ht="36" customHeight="1">
      <c r="A8" s="1072"/>
      <c r="B8" s="1057"/>
      <c r="C8" s="1057"/>
      <c r="D8" s="1064"/>
      <c r="E8" s="1064"/>
      <c r="F8" s="1064"/>
      <c r="G8" s="1064"/>
      <c r="H8" s="1064"/>
      <c r="I8" s="1064"/>
      <c r="J8" s="1200"/>
      <c r="K8" s="1057"/>
      <c r="L8" s="1064"/>
      <c r="M8" s="1057"/>
      <c r="N8" s="1057"/>
      <c r="O8" s="1057"/>
      <c r="P8" s="858"/>
      <c r="S8" s="1107"/>
      <c r="T8" s="1108"/>
      <c r="U8" s="1107"/>
      <c r="V8" s="1107"/>
      <c r="W8" s="1109"/>
      <c r="X8" s="1110"/>
    </row>
    <row r="9" spans="1:24" s="1063" customFormat="1" ht="20.25" customHeight="1">
      <c r="A9" s="1073"/>
      <c r="B9" s="1058"/>
      <c r="C9" s="1058"/>
      <c r="D9" s="1059"/>
      <c r="E9" s="1058"/>
      <c r="F9" s="1058"/>
      <c r="G9" s="1061"/>
      <c r="H9" s="1058"/>
      <c r="I9" s="1060"/>
      <c r="J9" s="1201"/>
      <c r="K9" s="2423"/>
      <c r="L9" s="2423"/>
      <c r="M9" s="2423" t="s">
        <v>377</v>
      </c>
      <c r="N9" s="2423"/>
      <c r="O9" s="1062"/>
      <c r="S9" s="1107"/>
      <c r="T9" s="1108"/>
      <c r="U9" s="1107"/>
      <c r="V9" s="1107"/>
      <c r="W9" s="1109"/>
      <c r="X9" s="1111"/>
    </row>
    <row r="10" spans="1:24" s="791" customFormat="1" ht="70.5" customHeight="1">
      <c r="A10" s="2394" t="s">
        <v>18</v>
      </c>
      <c r="B10" s="2395" t="s">
        <v>0</v>
      </c>
      <c r="C10" s="2437" t="s">
        <v>1075</v>
      </c>
      <c r="D10" s="2396" t="s">
        <v>614</v>
      </c>
      <c r="E10" s="2424" t="s">
        <v>257</v>
      </c>
      <c r="F10" s="2424"/>
      <c r="G10" s="2396" t="s">
        <v>442</v>
      </c>
      <c r="H10" s="2424" t="s">
        <v>257</v>
      </c>
      <c r="I10" s="2424"/>
      <c r="J10" s="2407" t="s">
        <v>237</v>
      </c>
      <c r="K10" s="2424" t="s">
        <v>257</v>
      </c>
      <c r="L10" s="2424"/>
      <c r="M10" s="2396" t="s">
        <v>574</v>
      </c>
      <c r="N10" s="2424" t="s">
        <v>448</v>
      </c>
      <c r="O10" s="2424"/>
      <c r="S10" s="1099"/>
      <c r="T10" s="1100"/>
      <c r="U10" s="1099"/>
      <c r="V10" s="1099"/>
      <c r="W10" s="1098"/>
      <c r="X10" s="1112"/>
    </row>
    <row r="11" spans="1:24" s="791" customFormat="1" ht="150" customHeight="1">
      <c r="A11" s="2394"/>
      <c r="B11" s="2395"/>
      <c r="C11" s="2438"/>
      <c r="D11" s="2396"/>
      <c r="E11" s="905" t="s">
        <v>1074</v>
      </c>
      <c r="F11" s="905" t="s">
        <v>258</v>
      </c>
      <c r="G11" s="2396"/>
      <c r="H11" s="905" t="s">
        <v>1074</v>
      </c>
      <c r="I11" s="905" t="s">
        <v>258</v>
      </c>
      <c r="J11" s="2408"/>
      <c r="K11" s="905" t="s">
        <v>1074</v>
      </c>
      <c r="L11" s="905" t="s">
        <v>258</v>
      </c>
      <c r="M11" s="2396"/>
      <c r="N11" s="905" t="s">
        <v>1074</v>
      </c>
      <c r="O11" s="905" t="s">
        <v>258</v>
      </c>
      <c r="S11" s="1099"/>
      <c r="T11" s="1100"/>
      <c r="U11" s="1099"/>
      <c r="V11" s="1099"/>
      <c r="W11" s="1098"/>
      <c r="X11" s="1112"/>
    </row>
    <row r="12" spans="1:24" s="720" customFormat="1">
      <c r="A12" s="895">
        <v>1</v>
      </c>
      <c r="B12" s="895">
        <v>2</v>
      </c>
      <c r="C12" s="895">
        <v>3</v>
      </c>
      <c r="D12" s="263">
        <v>3</v>
      </c>
      <c r="E12" s="263">
        <v>4</v>
      </c>
      <c r="F12" s="263">
        <v>5</v>
      </c>
      <c r="G12" s="721">
        <v>6</v>
      </c>
      <c r="H12" s="721">
        <v>7</v>
      </c>
      <c r="I12" s="721">
        <v>8</v>
      </c>
      <c r="J12" s="1202">
        <v>9</v>
      </c>
      <c r="K12" s="721">
        <v>10</v>
      </c>
      <c r="L12" s="721">
        <v>11</v>
      </c>
      <c r="M12" s="721">
        <v>12</v>
      </c>
      <c r="N12" s="721">
        <v>13</v>
      </c>
      <c r="O12" s="721">
        <v>14</v>
      </c>
      <c r="P12" s="720" t="s">
        <v>791</v>
      </c>
      <c r="S12" s="1099"/>
      <c r="T12" s="1100"/>
      <c r="U12" s="1099"/>
      <c r="V12" s="1099"/>
      <c r="W12" s="1098"/>
      <c r="X12" s="1113"/>
    </row>
    <row r="13" spans="1:24" s="914" customFormat="1" ht="48.75" customHeight="1">
      <c r="A13" s="944"/>
      <c r="B13" s="916" t="s">
        <v>10</v>
      </c>
      <c r="C13" s="1167" t="s">
        <v>353</v>
      </c>
      <c r="D13" s="917">
        <f>SUM(E13:F13)</f>
        <v>6345256.0999999996</v>
      </c>
      <c r="E13" s="917">
        <f>SUM(E14,E206)</f>
        <v>4895669.0999999996</v>
      </c>
      <c r="F13" s="917">
        <f>SUM(F14,F206)</f>
        <v>1449587</v>
      </c>
      <c r="G13" s="917">
        <f>SUM(H13:I13)</f>
        <v>6084901</v>
      </c>
      <c r="H13" s="917">
        <f>SUM(H14,H206)</f>
        <v>4648887.5</v>
      </c>
      <c r="I13" s="917">
        <f>SUM(I14,I206)</f>
        <v>1436013.5</v>
      </c>
      <c r="J13" s="917">
        <f>SUM(K13:L13)</f>
        <v>107850.5</v>
      </c>
      <c r="K13" s="917">
        <f>SUM(K14,K206)</f>
        <v>51210.400000000001</v>
      </c>
      <c r="L13" s="917">
        <f>SUM(L14,L206)</f>
        <v>56640.1</v>
      </c>
      <c r="M13" s="918">
        <f t="shared" ref="M13:O14" si="0">IF(J13=0,0,J13/G13*100)</f>
        <v>1.8</v>
      </c>
      <c r="N13" s="918">
        <f t="shared" si="0"/>
        <v>1.1000000000000001</v>
      </c>
      <c r="O13" s="918">
        <f t="shared" si="0"/>
        <v>3.9</v>
      </c>
      <c r="P13" s="1065">
        <f t="shared" ref="P13:R79" si="1">D13-G13</f>
        <v>260355.1</v>
      </c>
      <c r="Q13" s="1065">
        <f t="shared" si="1"/>
        <v>246781.6</v>
      </c>
      <c r="R13" s="1065">
        <f t="shared" si="1"/>
        <v>13573.5</v>
      </c>
      <c r="S13" s="1099"/>
      <c r="T13" s="1100"/>
      <c r="U13" s="1099"/>
      <c r="V13" s="1099"/>
      <c r="W13" s="1098"/>
      <c r="X13" s="913"/>
    </row>
    <row r="14" spans="1:24" s="914" customFormat="1" ht="81" customHeight="1">
      <c r="A14" s="2401" t="s">
        <v>453</v>
      </c>
      <c r="B14" s="2401"/>
      <c r="C14" s="1167" t="s">
        <v>353</v>
      </c>
      <c r="D14" s="917">
        <f>E14+F14</f>
        <v>5128403.7</v>
      </c>
      <c r="E14" s="917">
        <f>SUM(E16,E89)</f>
        <v>3986169.1</v>
      </c>
      <c r="F14" s="917">
        <f>SUM(F16,F89)</f>
        <v>1142234.6000000001</v>
      </c>
      <c r="G14" s="917">
        <f>H14+I14</f>
        <v>4869940.9000000004</v>
      </c>
      <c r="H14" s="917">
        <f>SUM(H16,H89)</f>
        <v>3741086.3</v>
      </c>
      <c r="I14" s="917">
        <f>SUM(I16,I89)</f>
        <v>1128854.6000000001</v>
      </c>
      <c r="J14" s="917">
        <f>SUM(K14:L14)</f>
        <v>83399.3</v>
      </c>
      <c r="K14" s="917">
        <f>SUM(K16,K90)</f>
        <v>41477.300000000003</v>
      </c>
      <c r="L14" s="917">
        <f>SUM(L16,L90)</f>
        <v>41922</v>
      </c>
      <c r="M14" s="918">
        <f t="shared" si="0"/>
        <v>1.7</v>
      </c>
      <c r="N14" s="920">
        <f t="shared" si="0"/>
        <v>1.1000000000000001</v>
      </c>
      <c r="O14" s="920">
        <f t="shared" si="0"/>
        <v>3.7</v>
      </c>
      <c r="P14" s="1065">
        <f t="shared" si="1"/>
        <v>258462.8</v>
      </c>
      <c r="Q14" s="1065">
        <f t="shared" si="1"/>
        <v>245082.8</v>
      </c>
      <c r="R14" s="1065">
        <f t="shared" si="1"/>
        <v>13380</v>
      </c>
      <c r="S14" s="1099"/>
      <c r="T14" s="1100"/>
      <c r="U14" s="1099"/>
      <c r="V14" s="1099"/>
      <c r="W14" s="1098"/>
      <c r="X14" s="913"/>
    </row>
    <row r="15" spans="1:24" s="914" customFormat="1" ht="57" hidden="1" customHeight="1">
      <c r="A15" s="944" t="s">
        <v>6</v>
      </c>
      <c r="B15" s="921" t="s">
        <v>437</v>
      </c>
      <c r="C15" s="1168"/>
      <c r="D15" s="922"/>
      <c r="E15" s="922"/>
      <c r="F15" s="922"/>
      <c r="G15" s="922"/>
      <c r="H15" s="922"/>
      <c r="I15" s="922"/>
      <c r="J15" s="922"/>
      <c r="K15" s="922"/>
      <c r="L15" s="922"/>
      <c r="M15" s="923"/>
      <c r="N15" s="924"/>
      <c r="O15" s="924"/>
      <c r="P15" s="1065">
        <f t="shared" si="1"/>
        <v>0</v>
      </c>
      <c r="Q15" s="1065">
        <f t="shared" si="1"/>
        <v>0</v>
      </c>
      <c r="R15" s="1065">
        <f t="shared" si="1"/>
        <v>0</v>
      </c>
      <c r="S15" s="1099"/>
      <c r="T15" s="1100"/>
      <c r="U15" s="1099"/>
      <c r="V15" s="1099"/>
      <c r="W15" s="1098"/>
      <c r="X15" s="913"/>
    </row>
    <row r="16" spans="1:24" s="914" customFormat="1" ht="121.5" customHeight="1">
      <c r="A16" s="944" t="s">
        <v>6</v>
      </c>
      <c r="B16" s="925" t="s">
        <v>439</v>
      </c>
      <c r="C16" s="1169" t="s">
        <v>353</v>
      </c>
      <c r="D16" s="926">
        <f>SUM(E16:F16)</f>
        <v>1488300.2</v>
      </c>
      <c r="E16" s="926">
        <f>SUM(E17)</f>
        <v>1097694.6000000001</v>
      </c>
      <c r="F16" s="926">
        <f>SUM(F17)</f>
        <v>390605.6</v>
      </c>
      <c r="G16" s="926">
        <f>SUM(H16:I16)</f>
        <v>1353874.7</v>
      </c>
      <c r="H16" s="926">
        <f>SUM(H17)</f>
        <v>969161.8</v>
      </c>
      <c r="I16" s="926">
        <f>SUM(I17)</f>
        <v>384712.9</v>
      </c>
      <c r="J16" s="926">
        <f t="shared" ref="J16:J26" si="2">SUM(K16:L16)</f>
        <v>14258.9</v>
      </c>
      <c r="K16" s="926">
        <f>SUM(K17)</f>
        <v>13692.1</v>
      </c>
      <c r="L16" s="926">
        <f>SUM(L17)</f>
        <v>566.79999999999995</v>
      </c>
      <c r="M16" s="927">
        <f t="shared" ref="M16:M38" si="3">IF(J16=0,0,J16/G16*100)</f>
        <v>1.1000000000000001</v>
      </c>
      <c r="N16" s="928">
        <f t="shared" ref="N16:N38" si="4">IF(K16=0,0,K16/H16*100)</f>
        <v>1.4</v>
      </c>
      <c r="O16" s="928">
        <f t="shared" ref="O16:O38" si="5">IF(L16=0,0,L16/I16*100)</f>
        <v>0.1</v>
      </c>
      <c r="P16" s="1065">
        <f t="shared" si="1"/>
        <v>134425.5</v>
      </c>
      <c r="Q16" s="1065">
        <f t="shared" si="1"/>
        <v>128532.8</v>
      </c>
      <c r="R16" s="1065">
        <f t="shared" si="1"/>
        <v>5892.7</v>
      </c>
      <c r="S16" s="1114"/>
      <c r="T16" s="1100"/>
      <c r="U16" s="1099"/>
      <c r="V16" s="1099"/>
      <c r="W16" s="1098"/>
      <c r="X16" s="913"/>
    </row>
    <row r="17" spans="1:24" s="914" customFormat="1" ht="51" customHeight="1">
      <c r="A17" s="944" t="s">
        <v>253</v>
      </c>
      <c r="B17" s="962" t="s">
        <v>41</v>
      </c>
      <c r="C17" s="1170"/>
      <c r="D17" s="929">
        <f t="shared" ref="D17:D70" si="6">SUM(E17:F17)</f>
        <v>1488300.2</v>
      </c>
      <c r="E17" s="929">
        <f>SUM(E18:E19,E20,E22,E26,E28,E31,E34,E36,E41,E45,E48,E50,E54,E59,E61,E63,E71,E65,E21,E57)</f>
        <v>1097694.6000000001</v>
      </c>
      <c r="F17" s="929">
        <f>SUM(F18:F19,F20,F22,F26,F28,F31,F34,F36,F41,F45,F48,F50,F54,F59,F61,F63,F71,F65,F21,F57)</f>
        <v>390605.6</v>
      </c>
      <c r="G17" s="929">
        <f>SUM(H17:I17)</f>
        <v>1353874.7</v>
      </c>
      <c r="H17" s="929">
        <f>SUM(H18:H19,H20,H22,H26,H28,H31,H34,H36,H41,H45,H48,H50,H54,H59,H61,H63,H71,H65,H21,H57)</f>
        <v>969161.8</v>
      </c>
      <c r="I17" s="929">
        <f>SUM(I18:I19,I20,I22,I26,I28,I31,I34,I36,I41,I45,I48,I50,I54,I59,I61,I63,I71,I65,I21,I57)</f>
        <v>384712.9</v>
      </c>
      <c r="J17" s="929">
        <f t="shared" si="2"/>
        <v>14258.9</v>
      </c>
      <c r="K17" s="929">
        <f>SUM(K18:K19,K20,K22,K26,K28,K31,K34,K36,K41,K45,K48,K50,K54,K59,K61,K63,K71,K65,K21,K57)</f>
        <v>13692.1</v>
      </c>
      <c r="L17" s="929">
        <f>SUM(L18:L19,L20,L22,L26,L28,L31,L34,L36,L41,L45,L48,L50,L54,L59,L61,L63,L71,L65,L21,L57)</f>
        <v>566.79999999999995</v>
      </c>
      <c r="M17" s="930">
        <f t="shared" si="3"/>
        <v>1.1000000000000001</v>
      </c>
      <c r="N17" s="931">
        <f t="shared" si="4"/>
        <v>1.4</v>
      </c>
      <c r="O17" s="931">
        <f t="shared" si="5"/>
        <v>0.1</v>
      </c>
      <c r="P17" s="1065">
        <f t="shared" si="1"/>
        <v>134425.5</v>
      </c>
      <c r="Q17" s="1065">
        <f t="shared" si="1"/>
        <v>128532.8</v>
      </c>
      <c r="R17" s="1065">
        <f t="shared" si="1"/>
        <v>5892.7</v>
      </c>
      <c r="S17" s="1099"/>
      <c r="T17" s="1100"/>
      <c r="U17" s="1099"/>
      <c r="V17" s="1099"/>
      <c r="W17" s="1098"/>
      <c r="X17" s="913"/>
    </row>
    <row r="18" spans="1:24" s="736" customFormat="1" ht="105" hidden="1">
      <c r="A18" s="1160" t="s">
        <v>538</v>
      </c>
      <c r="B18" s="971" t="s">
        <v>434</v>
      </c>
      <c r="C18" s="1171"/>
      <c r="D18" s="871">
        <f t="shared" si="6"/>
        <v>0</v>
      </c>
      <c r="E18" s="972"/>
      <c r="F18" s="972"/>
      <c r="G18" s="871">
        <f t="shared" ref="G18:G70" si="7">SUM(H18:I18)</f>
        <v>0</v>
      </c>
      <c r="H18" s="972"/>
      <c r="I18" s="972"/>
      <c r="J18" s="871">
        <f t="shared" si="2"/>
        <v>0</v>
      </c>
      <c r="K18" s="972"/>
      <c r="L18" s="972"/>
      <c r="M18" s="872">
        <f t="shared" si="3"/>
        <v>0</v>
      </c>
      <c r="N18" s="873">
        <f t="shared" si="4"/>
        <v>0</v>
      </c>
      <c r="O18" s="873">
        <f t="shared" si="5"/>
        <v>0</v>
      </c>
      <c r="P18" s="1065">
        <f t="shared" si="1"/>
        <v>0</v>
      </c>
      <c r="Q18" s="1065">
        <f t="shared" si="1"/>
        <v>0</v>
      </c>
      <c r="R18" s="1065">
        <f t="shared" si="1"/>
        <v>0</v>
      </c>
      <c r="S18" s="1099"/>
      <c r="T18" s="1100"/>
      <c r="U18" s="1099"/>
      <c r="V18" s="1099"/>
      <c r="W18" s="1098"/>
    </row>
    <row r="19" spans="1:24" s="736" customFormat="1" ht="80.25" customHeight="1">
      <c r="A19" s="1160" t="s">
        <v>538</v>
      </c>
      <c r="B19" s="971" t="s">
        <v>1076</v>
      </c>
      <c r="C19" s="1171" t="s">
        <v>1077</v>
      </c>
      <c r="D19" s="871">
        <f t="shared" si="6"/>
        <v>43468.4</v>
      </c>
      <c r="E19" s="972">
        <v>43033.7</v>
      </c>
      <c r="F19" s="972">
        <v>434.7</v>
      </c>
      <c r="G19" s="871">
        <f t="shared" si="7"/>
        <v>0</v>
      </c>
      <c r="H19" s="972">
        <v>0</v>
      </c>
      <c r="I19" s="972">
        <v>0</v>
      </c>
      <c r="J19" s="871">
        <f t="shared" si="2"/>
        <v>0</v>
      </c>
      <c r="K19" s="972">
        <v>0</v>
      </c>
      <c r="L19" s="972">
        <v>0</v>
      </c>
      <c r="M19" s="872">
        <f t="shared" si="3"/>
        <v>0</v>
      </c>
      <c r="N19" s="873">
        <f t="shared" si="4"/>
        <v>0</v>
      </c>
      <c r="O19" s="873">
        <f t="shared" si="5"/>
        <v>0</v>
      </c>
      <c r="P19" s="1065">
        <f t="shared" si="1"/>
        <v>43468.4</v>
      </c>
      <c r="Q19" s="1065">
        <f t="shared" si="1"/>
        <v>43033.7</v>
      </c>
      <c r="R19" s="1065">
        <f t="shared" si="1"/>
        <v>434.7</v>
      </c>
      <c r="S19" s="1099" t="s">
        <v>866</v>
      </c>
      <c r="T19" s="1100" t="s">
        <v>865</v>
      </c>
      <c r="U19" s="1099">
        <v>522</v>
      </c>
      <c r="V19" s="1099"/>
      <c r="W19" s="1098"/>
    </row>
    <row r="20" spans="1:24" s="892" customFormat="1" ht="114" customHeight="1">
      <c r="A20" s="1160" t="s">
        <v>539</v>
      </c>
      <c r="B20" s="1066" t="s">
        <v>434</v>
      </c>
      <c r="C20" s="1172"/>
      <c r="D20" s="874">
        <f>SUM(E20:F20)</f>
        <v>14736.7</v>
      </c>
      <c r="E20" s="877">
        <v>14736.7</v>
      </c>
      <c r="F20" s="877">
        <v>0</v>
      </c>
      <c r="G20" s="882">
        <f>SUM(H20:I20)</f>
        <v>14736.7</v>
      </c>
      <c r="H20" s="877">
        <v>14736.7</v>
      </c>
      <c r="I20" s="877">
        <v>0</v>
      </c>
      <c r="J20" s="882">
        <f t="shared" si="2"/>
        <v>9709.4</v>
      </c>
      <c r="K20" s="1069">
        <v>9709.4</v>
      </c>
      <c r="L20" s="877">
        <v>0</v>
      </c>
      <c r="M20" s="876">
        <f t="shared" si="3"/>
        <v>65.900000000000006</v>
      </c>
      <c r="N20" s="877">
        <f t="shared" si="4"/>
        <v>65.900000000000006</v>
      </c>
      <c r="O20" s="877">
        <f t="shared" si="5"/>
        <v>0</v>
      </c>
      <c r="P20" s="1065">
        <f t="shared" si="1"/>
        <v>0</v>
      </c>
      <c r="Q20" s="1065">
        <f t="shared" si="1"/>
        <v>0</v>
      </c>
      <c r="R20" s="1065">
        <f t="shared" si="1"/>
        <v>0</v>
      </c>
      <c r="S20" s="1099" t="s">
        <v>961</v>
      </c>
      <c r="T20" s="1100" t="s">
        <v>962</v>
      </c>
      <c r="U20" s="1099">
        <v>522</v>
      </c>
      <c r="V20" s="1099"/>
      <c r="W20" s="1098"/>
      <c r="X20" s="1118"/>
    </row>
    <row r="21" spans="1:24" s="892" customFormat="1" ht="108" customHeight="1">
      <c r="A21" s="1160" t="s">
        <v>19</v>
      </c>
      <c r="B21" s="1066" t="s">
        <v>792</v>
      </c>
      <c r="C21" s="1172"/>
      <c r="D21" s="874">
        <f t="shared" si="6"/>
        <v>741029.8</v>
      </c>
      <c r="E21" s="877">
        <v>733604.7</v>
      </c>
      <c r="F21" s="877">
        <v>7425.1</v>
      </c>
      <c r="G21" s="882">
        <f t="shared" si="7"/>
        <v>741029.8</v>
      </c>
      <c r="H21" s="877">
        <v>733604.7</v>
      </c>
      <c r="I21" s="877">
        <v>7425.1</v>
      </c>
      <c r="J21" s="882">
        <f t="shared" si="2"/>
        <v>0</v>
      </c>
      <c r="K21" s="877">
        <v>0</v>
      </c>
      <c r="L21" s="877">
        <v>0</v>
      </c>
      <c r="M21" s="876">
        <f t="shared" si="3"/>
        <v>0</v>
      </c>
      <c r="N21" s="877">
        <f t="shared" si="4"/>
        <v>0</v>
      </c>
      <c r="O21" s="877">
        <f t="shared" si="5"/>
        <v>0</v>
      </c>
      <c r="P21" s="1065">
        <f t="shared" si="1"/>
        <v>0</v>
      </c>
      <c r="Q21" s="1065">
        <f t="shared" si="1"/>
        <v>0</v>
      </c>
      <c r="R21" s="1065">
        <f t="shared" si="1"/>
        <v>0</v>
      </c>
      <c r="S21" s="1099" t="s">
        <v>963</v>
      </c>
      <c r="T21" s="1100" t="s">
        <v>964</v>
      </c>
      <c r="U21" s="1099">
        <v>522</v>
      </c>
      <c r="V21" s="1099"/>
      <c r="W21" s="1098"/>
      <c r="X21" s="1118"/>
    </row>
    <row r="22" spans="1:24">
      <c r="A22" s="1160"/>
      <c r="B22" s="898" t="s">
        <v>283</v>
      </c>
      <c r="C22" s="1173"/>
      <c r="D22" s="874">
        <f t="shared" si="6"/>
        <v>56903.1</v>
      </c>
      <c r="E22" s="875">
        <f>SUM(E24:E25)</f>
        <v>0</v>
      </c>
      <c r="F22" s="875">
        <f>SUM(F23:F25)</f>
        <v>56903.1</v>
      </c>
      <c r="G22" s="874">
        <f t="shared" si="7"/>
        <v>56903.1</v>
      </c>
      <c r="H22" s="875">
        <f>SUM(H24:H25)</f>
        <v>0</v>
      </c>
      <c r="I22" s="875">
        <f>SUM(I23:I25)</f>
        <v>56903.1</v>
      </c>
      <c r="J22" s="874">
        <f t="shared" si="2"/>
        <v>0</v>
      </c>
      <c r="K22" s="875">
        <f>SUM(K24:K25)</f>
        <v>0</v>
      </c>
      <c r="L22" s="875">
        <f>SUM(L24:L25)</f>
        <v>0</v>
      </c>
      <c r="M22" s="876">
        <f t="shared" si="3"/>
        <v>0</v>
      </c>
      <c r="N22" s="877">
        <f t="shared" si="4"/>
        <v>0</v>
      </c>
      <c r="O22" s="877">
        <f t="shared" si="5"/>
        <v>0</v>
      </c>
      <c r="P22" s="1065">
        <f t="shared" si="1"/>
        <v>0</v>
      </c>
      <c r="Q22" s="1065">
        <f t="shared" si="1"/>
        <v>0</v>
      </c>
      <c r="R22" s="1065">
        <f t="shared" si="1"/>
        <v>0</v>
      </c>
    </row>
    <row r="23" spans="1:24" ht="52.5">
      <c r="A23" s="1160" t="s">
        <v>20</v>
      </c>
      <c r="B23" s="1162" t="s">
        <v>803</v>
      </c>
      <c r="C23" s="895"/>
      <c r="D23" s="874">
        <f>SUM(E23:F23)</f>
        <v>5016.7</v>
      </c>
      <c r="E23" s="1085">
        <v>0</v>
      </c>
      <c r="F23" s="1085">
        <v>5016.7</v>
      </c>
      <c r="G23" s="874">
        <f>SUM(H23:I23)</f>
        <v>5016.7</v>
      </c>
      <c r="H23" s="1085">
        <v>0</v>
      </c>
      <c r="I23" s="1085">
        <v>5016.7</v>
      </c>
      <c r="J23" s="1083">
        <f>SUM(K23:L23)</f>
        <v>0</v>
      </c>
      <c r="K23" s="1083">
        <v>0</v>
      </c>
      <c r="L23" s="1083">
        <v>0</v>
      </c>
      <c r="M23" s="877">
        <f t="shared" si="3"/>
        <v>0</v>
      </c>
      <c r="N23" s="877">
        <f t="shared" si="4"/>
        <v>0</v>
      </c>
      <c r="O23" s="877">
        <f t="shared" si="5"/>
        <v>0</v>
      </c>
      <c r="P23" s="1065"/>
      <c r="Q23" s="1065"/>
      <c r="R23" s="1065"/>
      <c r="S23" s="1099" t="s">
        <v>954</v>
      </c>
      <c r="T23" s="1100" t="s">
        <v>976</v>
      </c>
      <c r="U23" s="1099">
        <v>522</v>
      </c>
      <c r="V23" s="1099">
        <v>24356</v>
      </c>
    </row>
    <row r="24" spans="1:24" ht="83.25" customHeight="1">
      <c r="A24" s="1160" t="s">
        <v>467</v>
      </c>
      <c r="B24" s="1084" t="s">
        <v>770</v>
      </c>
      <c r="C24" s="1174"/>
      <c r="D24" s="874">
        <f>SUM(E24:F24)</f>
        <v>8886.4</v>
      </c>
      <c r="E24" s="1085">
        <v>0</v>
      </c>
      <c r="F24" s="1085">
        <v>8886.4</v>
      </c>
      <c r="G24" s="874">
        <f>SUM(H24:I24)</f>
        <v>8886.4</v>
      </c>
      <c r="H24" s="1085">
        <v>0</v>
      </c>
      <c r="I24" s="1085">
        <v>8886.4</v>
      </c>
      <c r="J24" s="1083">
        <f t="shared" si="2"/>
        <v>0</v>
      </c>
      <c r="K24" s="1083">
        <v>0</v>
      </c>
      <c r="L24" s="1083">
        <v>0</v>
      </c>
      <c r="M24" s="877">
        <f t="shared" si="3"/>
        <v>0</v>
      </c>
      <c r="N24" s="877">
        <f t="shared" si="4"/>
        <v>0</v>
      </c>
      <c r="O24" s="877">
        <f t="shared" si="5"/>
        <v>0</v>
      </c>
      <c r="P24" s="1065">
        <f t="shared" si="1"/>
        <v>0</v>
      </c>
      <c r="Q24" s="1065">
        <f t="shared" si="1"/>
        <v>0</v>
      </c>
      <c r="R24" s="1065">
        <f t="shared" si="1"/>
        <v>0</v>
      </c>
      <c r="S24" s="1099" t="s">
        <v>926</v>
      </c>
      <c r="T24" s="1100" t="s">
        <v>965</v>
      </c>
      <c r="U24" s="1099">
        <v>522</v>
      </c>
      <c r="V24" s="1099" t="s">
        <v>975</v>
      </c>
    </row>
    <row r="25" spans="1:24" ht="83.25" customHeight="1">
      <c r="A25" s="1160" t="s">
        <v>468</v>
      </c>
      <c r="B25" s="1084" t="s">
        <v>1036</v>
      </c>
      <c r="C25" s="1174"/>
      <c r="D25" s="874">
        <f t="shared" si="6"/>
        <v>43000</v>
      </c>
      <c r="E25" s="1085">
        <v>0</v>
      </c>
      <c r="F25" s="1085">
        <v>43000</v>
      </c>
      <c r="G25" s="874">
        <f t="shared" si="7"/>
        <v>43000</v>
      </c>
      <c r="H25" s="1085">
        <v>0</v>
      </c>
      <c r="I25" s="1085">
        <v>43000</v>
      </c>
      <c r="J25" s="1083">
        <f t="shared" si="2"/>
        <v>0</v>
      </c>
      <c r="K25" s="1083">
        <v>0</v>
      </c>
      <c r="L25" s="1083">
        <v>0</v>
      </c>
      <c r="M25" s="877">
        <f t="shared" si="3"/>
        <v>0</v>
      </c>
      <c r="N25" s="877">
        <f t="shared" si="4"/>
        <v>0</v>
      </c>
      <c r="O25" s="877">
        <f t="shared" si="5"/>
        <v>0</v>
      </c>
      <c r="P25" s="1065">
        <f t="shared" si="1"/>
        <v>0</v>
      </c>
      <c r="Q25" s="1065">
        <f t="shared" si="1"/>
        <v>0</v>
      </c>
      <c r="R25" s="1065">
        <f t="shared" si="1"/>
        <v>0</v>
      </c>
      <c r="S25" s="1099" t="s">
        <v>886</v>
      </c>
      <c r="T25" s="1100" t="s">
        <v>967</v>
      </c>
      <c r="U25" s="1099">
        <v>522</v>
      </c>
      <c r="V25" s="1099" t="s">
        <v>969</v>
      </c>
    </row>
    <row r="26" spans="1:24" ht="34.5" customHeight="1">
      <c r="A26" s="1160"/>
      <c r="B26" s="898" t="s">
        <v>724</v>
      </c>
      <c r="C26" s="1173"/>
      <c r="D26" s="874">
        <f t="shared" si="6"/>
        <v>8700</v>
      </c>
      <c r="E26" s="875">
        <f>E27</f>
        <v>0</v>
      </c>
      <c r="F26" s="875">
        <f>F27</f>
        <v>8700</v>
      </c>
      <c r="G26" s="874">
        <f t="shared" si="7"/>
        <v>8700</v>
      </c>
      <c r="H26" s="875">
        <f>H27</f>
        <v>0</v>
      </c>
      <c r="I26" s="875">
        <f>I27</f>
        <v>8700</v>
      </c>
      <c r="J26" s="874">
        <f t="shared" si="2"/>
        <v>0</v>
      </c>
      <c r="K26" s="875">
        <f>K27</f>
        <v>0</v>
      </c>
      <c r="L26" s="875">
        <f>L27</f>
        <v>0</v>
      </c>
      <c r="M26" s="876">
        <f t="shared" si="3"/>
        <v>0</v>
      </c>
      <c r="N26" s="877">
        <f t="shared" si="4"/>
        <v>0</v>
      </c>
      <c r="O26" s="877">
        <f t="shared" si="5"/>
        <v>0</v>
      </c>
      <c r="P26" s="1065">
        <f t="shared" si="1"/>
        <v>0</v>
      </c>
      <c r="Q26" s="1065">
        <f t="shared" si="1"/>
        <v>0</v>
      </c>
      <c r="R26" s="1065">
        <f t="shared" si="1"/>
        <v>0</v>
      </c>
    </row>
    <row r="27" spans="1:24" ht="141.75" customHeight="1">
      <c r="A27" s="1160" t="s">
        <v>685</v>
      </c>
      <c r="B27" s="1084" t="s">
        <v>861</v>
      </c>
      <c r="C27" s="1174"/>
      <c r="D27" s="1083">
        <f t="shared" si="6"/>
        <v>8700</v>
      </c>
      <c r="E27" s="1085">
        <v>0</v>
      </c>
      <c r="F27" s="1085">
        <v>8700</v>
      </c>
      <c r="G27" s="1083">
        <f t="shared" si="7"/>
        <v>8700</v>
      </c>
      <c r="H27" s="1085">
        <v>0</v>
      </c>
      <c r="I27" s="1085">
        <v>8700</v>
      </c>
      <c r="J27" s="1083"/>
      <c r="K27" s="1083">
        <v>0</v>
      </c>
      <c r="L27" s="1083">
        <v>0</v>
      </c>
      <c r="M27" s="877">
        <f t="shared" si="3"/>
        <v>0</v>
      </c>
      <c r="N27" s="877">
        <f t="shared" si="4"/>
        <v>0</v>
      </c>
      <c r="O27" s="877">
        <f t="shared" si="5"/>
        <v>0</v>
      </c>
      <c r="P27" s="1065">
        <f t="shared" si="1"/>
        <v>0</v>
      </c>
      <c r="Q27" s="1065">
        <f t="shared" si="1"/>
        <v>0</v>
      </c>
      <c r="R27" s="1065">
        <f t="shared" si="1"/>
        <v>0</v>
      </c>
      <c r="S27" s="1099" t="s">
        <v>886</v>
      </c>
      <c r="T27" s="1100" t="s">
        <v>966</v>
      </c>
      <c r="U27" s="1099">
        <v>522</v>
      </c>
      <c r="V27" s="1099" t="s">
        <v>977</v>
      </c>
    </row>
    <row r="28" spans="1:24" s="700" customFormat="1">
      <c r="A28" s="1160"/>
      <c r="B28" s="1074" t="s">
        <v>12</v>
      </c>
      <c r="C28" s="1175"/>
      <c r="D28" s="874">
        <f t="shared" si="6"/>
        <v>13835</v>
      </c>
      <c r="E28" s="880">
        <f>SUM(E29:E30)</f>
        <v>0</v>
      </c>
      <c r="F28" s="880">
        <f>SUM(F29:F30)</f>
        <v>13835</v>
      </c>
      <c r="G28" s="874">
        <f t="shared" si="7"/>
        <v>13835</v>
      </c>
      <c r="H28" s="880">
        <f>SUM(H29:H30)</f>
        <v>0</v>
      </c>
      <c r="I28" s="880">
        <f>SUM(I29:I30)</f>
        <v>13835</v>
      </c>
      <c r="J28" s="874">
        <f t="shared" ref="J28:J62" si="8">SUM(K28:L28)</f>
        <v>0</v>
      </c>
      <c r="K28" s="880">
        <f>SUM(K29:K30)</f>
        <v>0</v>
      </c>
      <c r="L28" s="880">
        <f>SUM(L29:L30)</f>
        <v>0</v>
      </c>
      <c r="M28" s="876">
        <f t="shared" si="3"/>
        <v>0</v>
      </c>
      <c r="N28" s="876">
        <f t="shared" si="4"/>
        <v>0</v>
      </c>
      <c r="O28" s="876">
        <f t="shared" si="5"/>
        <v>0</v>
      </c>
      <c r="P28" s="1065">
        <f t="shared" si="1"/>
        <v>0</v>
      </c>
      <c r="Q28" s="1065">
        <f t="shared" si="1"/>
        <v>0</v>
      </c>
      <c r="R28" s="1065">
        <f t="shared" si="1"/>
        <v>0</v>
      </c>
      <c r="S28" s="1099"/>
      <c r="T28" s="1100"/>
      <c r="U28" s="1099"/>
      <c r="V28" s="1099"/>
      <c r="W28" s="1115"/>
      <c r="X28" s="993"/>
    </row>
    <row r="29" spans="1:24" ht="63.75" customHeight="1">
      <c r="A29" s="1160" t="s">
        <v>687</v>
      </c>
      <c r="B29" s="1075" t="s">
        <v>1037</v>
      </c>
      <c r="C29" s="1176"/>
      <c r="D29" s="874">
        <f t="shared" si="6"/>
        <v>7000</v>
      </c>
      <c r="E29" s="879">
        <v>0</v>
      </c>
      <c r="F29" s="879">
        <v>7000</v>
      </c>
      <c r="G29" s="874">
        <f t="shared" si="7"/>
        <v>7000</v>
      </c>
      <c r="H29" s="879">
        <v>0</v>
      </c>
      <c r="I29" s="879">
        <v>7000</v>
      </c>
      <c r="J29" s="874">
        <f t="shared" si="8"/>
        <v>0</v>
      </c>
      <c r="K29" s="879">
        <v>0</v>
      </c>
      <c r="L29" s="879">
        <v>0</v>
      </c>
      <c r="M29" s="876">
        <f t="shared" si="3"/>
        <v>0</v>
      </c>
      <c r="N29" s="877">
        <f t="shared" si="4"/>
        <v>0</v>
      </c>
      <c r="O29" s="877">
        <f t="shared" si="5"/>
        <v>0</v>
      </c>
      <c r="P29" s="1065">
        <f t="shared" si="1"/>
        <v>0</v>
      </c>
      <c r="Q29" s="1065">
        <f t="shared" si="1"/>
        <v>0</v>
      </c>
      <c r="R29" s="1065">
        <f t="shared" si="1"/>
        <v>0</v>
      </c>
      <c r="S29" s="1099" t="s">
        <v>886</v>
      </c>
      <c r="T29" s="1100" t="s">
        <v>970</v>
      </c>
      <c r="U29" s="1099">
        <v>522</v>
      </c>
      <c r="V29" s="1099">
        <v>24351</v>
      </c>
    </row>
    <row r="30" spans="1:24" ht="63.75" customHeight="1">
      <c r="A30" s="1160" t="s">
        <v>686</v>
      </c>
      <c r="B30" s="1075" t="s">
        <v>1038</v>
      </c>
      <c r="C30" s="1176"/>
      <c r="D30" s="874">
        <f>SUM(E30:F30)</f>
        <v>6835</v>
      </c>
      <c r="E30" s="879">
        <v>0</v>
      </c>
      <c r="F30" s="879">
        <v>6835</v>
      </c>
      <c r="G30" s="874">
        <f>SUM(H30:I30)</f>
        <v>6835</v>
      </c>
      <c r="H30" s="879">
        <v>0</v>
      </c>
      <c r="I30" s="879">
        <v>6835</v>
      </c>
      <c r="J30" s="874">
        <f t="shared" si="8"/>
        <v>0</v>
      </c>
      <c r="K30" s="879">
        <v>0</v>
      </c>
      <c r="L30" s="879">
        <v>0</v>
      </c>
      <c r="M30" s="876">
        <f t="shared" si="3"/>
        <v>0</v>
      </c>
      <c r="N30" s="877">
        <f t="shared" si="4"/>
        <v>0</v>
      </c>
      <c r="O30" s="877">
        <f t="shared" si="5"/>
        <v>0</v>
      </c>
      <c r="P30" s="1065">
        <f t="shared" si="1"/>
        <v>0</v>
      </c>
      <c r="Q30" s="1065">
        <f t="shared" si="1"/>
        <v>0</v>
      </c>
      <c r="R30" s="1065">
        <f t="shared" si="1"/>
        <v>0</v>
      </c>
      <c r="S30" s="1099" t="s">
        <v>886</v>
      </c>
      <c r="T30" s="1100" t="s">
        <v>968</v>
      </c>
      <c r="U30" s="1099">
        <v>522</v>
      </c>
      <c r="V30" s="1099" t="s">
        <v>969</v>
      </c>
    </row>
    <row r="31" spans="1:24" s="700" customFormat="1">
      <c r="A31" s="991"/>
      <c r="B31" s="1074" t="s">
        <v>729</v>
      </c>
      <c r="C31" s="1175"/>
      <c r="D31" s="874">
        <f t="shared" si="6"/>
        <v>8500</v>
      </c>
      <c r="E31" s="880">
        <f>SUM(E32:E33)</f>
        <v>0</v>
      </c>
      <c r="F31" s="880">
        <f>SUM(F32:F33)</f>
        <v>8500</v>
      </c>
      <c r="G31" s="874">
        <f t="shared" si="7"/>
        <v>8500</v>
      </c>
      <c r="H31" s="880">
        <f>SUM(H32:H33)</f>
        <v>0</v>
      </c>
      <c r="I31" s="880">
        <f>SUM(I32:I33)</f>
        <v>8500</v>
      </c>
      <c r="J31" s="874">
        <f t="shared" si="8"/>
        <v>0</v>
      </c>
      <c r="K31" s="880">
        <f>SUM(K32:K33)</f>
        <v>0</v>
      </c>
      <c r="L31" s="880">
        <f>SUM(L32:L33)</f>
        <v>0</v>
      </c>
      <c r="M31" s="876">
        <f t="shared" si="3"/>
        <v>0</v>
      </c>
      <c r="N31" s="876">
        <f t="shared" si="4"/>
        <v>0</v>
      </c>
      <c r="O31" s="876">
        <f t="shared" si="5"/>
        <v>0</v>
      </c>
      <c r="P31" s="1065">
        <f t="shared" si="1"/>
        <v>0</v>
      </c>
      <c r="Q31" s="1065">
        <f t="shared" si="1"/>
        <v>0</v>
      </c>
      <c r="R31" s="1065">
        <f t="shared" si="1"/>
        <v>0</v>
      </c>
      <c r="S31" s="1099"/>
      <c r="T31" s="1100"/>
      <c r="U31" s="1099"/>
      <c r="V31" s="1099"/>
      <c r="W31" s="1115"/>
      <c r="X31" s="993"/>
    </row>
    <row r="32" spans="1:24" ht="63.75" customHeight="1">
      <c r="A32" s="1160" t="s">
        <v>688</v>
      </c>
      <c r="B32" s="1075" t="s">
        <v>1039</v>
      </c>
      <c r="C32" s="1176"/>
      <c r="D32" s="874">
        <f t="shared" si="6"/>
        <v>7000</v>
      </c>
      <c r="E32" s="879">
        <v>0</v>
      </c>
      <c r="F32" s="879">
        <v>7000</v>
      </c>
      <c r="G32" s="874">
        <f t="shared" si="7"/>
        <v>7000</v>
      </c>
      <c r="H32" s="879">
        <v>0</v>
      </c>
      <c r="I32" s="879">
        <v>7000</v>
      </c>
      <c r="J32" s="874">
        <f t="shared" si="8"/>
        <v>0</v>
      </c>
      <c r="K32" s="879">
        <v>0</v>
      </c>
      <c r="L32" s="879">
        <v>0</v>
      </c>
      <c r="M32" s="876">
        <f t="shared" si="3"/>
        <v>0</v>
      </c>
      <c r="N32" s="877">
        <f t="shared" si="4"/>
        <v>0</v>
      </c>
      <c r="O32" s="877">
        <f t="shared" si="5"/>
        <v>0</v>
      </c>
      <c r="P32" s="1065">
        <f t="shared" si="1"/>
        <v>0</v>
      </c>
      <c r="Q32" s="1065">
        <f t="shared" si="1"/>
        <v>0</v>
      </c>
      <c r="R32" s="1065">
        <f t="shared" si="1"/>
        <v>0</v>
      </c>
      <c r="S32" s="1099" t="s">
        <v>926</v>
      </c>
      <c r="T32" s="1100" t="s">
        <v>970</v>
      </c>
      <c r="U32" s="1099">
        <v>522</v>
      </c>
      <c r="V32" s="1099" t="s">
        <v>993</v>
      </c>
    </row>
    <row r="33" spans="1:24" ht="63.75" customHeight="1">
      <c r="A33" s="1160" t="s">
        <v>98</v>
      </c>
      <c r="B33" s="1075" t="s">
        <v>1040</v>
      </c>
      <c r="C33" s="1176"/>
      <c r="D33" s="874">
        <f t="shared" si="6"/>
        <v>1500</v>
      </c>
      <c r="E33" s="879">
        <v>0</v>
      </c>
      <c r="F33" s="879">
        <v>1500</v>
      </c>
      <c r="G33" s="874">
        <f t="shared" si="7"/>
        <v>1500</v>
      </c>
      <c r="H33" s="879">
        <v>0</v>
      </c>
      <c r="I33" s="879">
        <v>1500</v>
      </c>
      <c r="J33" s="874">
        <f t="shared" si="8"/>
        <v>0</v>
      </c>
      <c r="K33" s="879">
        <v>0</v>
      </c>
      <c r="L33" s="879">
        <v>0</v>
      </c>
      <c r="M33" s="876">
        <f t="shared" si="3"/>
        <v>0</v>
      </c>
      <c r="N33" s="877">
        <f t="shared" si="4"/>
        <v>0</v>
      </c>
      <c r="O33" s="877">
        <f t="shared" si="5"/>
        <v>0</v>
      </c>
      <c r="P33" s="1065">
        <f t="shared" si="1"/>
        <v>0</v>
      </c>
      <c r="Q33" s="1065">
        <f t="shared" si="1"/>
        <v>0</v>
      </c>
      <c r="R33" s="1065">
        <f t="shared" si="1"/>
        <v>0</v>
      </c>
      <c r="S33" s="1099" t="s">
        <v>923</v>
      </c>
      <c r="T33" s="1100" t="s">
        <v>970</v>
      </c>
      <c r="U33" s="1099">
        <v>522</v>
      </c>
      <c r="V33" s="1099" t="s">
        <v>992</v>
      </c>
    </row>
    <row r="34" spans="1:24" s="700" customFormat="1">
      <c r="A34" s="1160"/>
      <c r="B34" s="1074" t="s">
        <v>615</v>
      </c>
      <c r="C34" s="1175"/>
      <c r="D34" s="874">
        <f t="shared" si="6"/>
        <v>10156</v>
      </c>
      <c r="E34" s="880">
        <f>E35</f>
        <v>0</v>
      </c>
      <c r="F34" s="880">
        <f>F35</f>
        <v>10156</v>
      </c>
      <c r="G34" s="874">
        <f t="shared" si="7"/>
        <v>10156</v>
      </c>
      <c r="H34" s="880">
        <f>H35</f>
        <v>0</v>
      </c>
      <c r="I34" s="880">
        <f>I35</f>
        <v>10156</v>
      </c>
      <c r="J34" s="874">
        <f t="shared" si="8"/>
        <v>0</v>
      </c>
      <c r="K34" s="880">
        <f>K35</f>
        <v>0</v>
      </c>
      <c r="L34" s="880">
        <f>L35</f>
        <v>0</v>
      </c>
      <c r="M34" s="876">
        <f t="shared" si="3"/>
        <v>0</v>
      </c>
      <c r="N34" s="876">
        <f t="shared" si="4"/>
        <v>0</v>
      </c>
      <c r="O34" s="876">
        <f t="shared" si="5"/>
        <v>0</v>
      </c>
      <c r="P34" s="1065">
        <f t="shared" si="1"/>
        <v>0</v>
      </c>
      <c r="Q34" s="1065">
        <f t="shared" si="1"/>
        <v>0</v>
      </c>
      <c r="R34" s="1065">
        <f t="shared" si="1"/>
        <v>0</v>
      </c>
      <c r="S34" s="1099"/>
      <c r="T34" s="1100"/>
      <c r="U34" s="1099"/>
      <c r="V34" s="1099"/>
      <c r="W34" s="1115"/>
      <c r="X34" s="993"/>
    </row>
    <row r="35" spans="1:24" ht="63.75" customHeight="1">
      <c r="A35" s="1160" t="s">
        <v>99</v>
      </c>
      <c r="B35" s="1075" t="s">
        <v>673</v>
      </c>
      <c r="C35" s="1176"/>
      <c r="D35" s="874">
        <f t="shared" si="6"/>
        <v>10156</v>
      </c>
      <c r="E35" s="879">
        <v>0</v>
      </c>
      <c r="F35" s="879">
        <v>10156</v>
      </c>
      <c r="G35" s="874">
        <f t="shared" si="7"/>
        <v>10156</v>
      </c>
      <c r="H35" s="879">
        <v>0</v>
      </c>
      <c r="I35" s="879">
        <v>10156</v>
      </c>
      <c r="J35" s="874">
        <f t="shared" si="8"/>
        <v>0</v>
      </c>
      <c r="K35" s="879">
        <v>0</v>
      </c>
      <c r="L35" s="879">
        <v>0</v>
      </c>
      <c r="M35" s="876">
        <f t="shared" si="3"/>
        <v>0</v>
      </c>
      <c r="N35" s="877">
        <f t="shared" si="4"/>
        <v>0</v>
      </c>
      <c r="O35" s="877">
        <f t="shared" si="5"/>
        <v>0</v>
      </c>
      <c r="P35" s="1065">
        <f t="shared" si="1"/>
        <v>0</v>
      </c>
      <c r="Q35" s="1065">
        <f t="shared" si="1"/>
        <v>0</v>
      </c>
      <c r="R35" s="1065">
        <f t="shared" si="1"/>
        <v>0</v>
      </c>
      <c r="S35" s="1099" t="s">
        <v>926</v>
      </c>
      <c r="T35" s="1100" t="s">
        <v>965</v>
      </c>
      <c r="U35" s="1099">
        <v>522</v>
      </c>
      <c r="V35" s="1099">
        <v>24345</v>
      </c>
    </row>
    <row r="36" spans="1:24" ht="34.5" customHeight="1">
      <c r="A36" s="991"/>
      <c r="B36" s="898" t="s">
        <v>68</v>
      </c>
      <c r="C36" s="1173"/>
      <c r="D36" s="874">
        <f t="shared" si="6"/>
        <v>23740</v>
      </c>
      <c r="E36" s="875">
        <f>SUM(E37:E40)</f>
        <v>0</v>
      </c>
      <c r="F36" s="875">
        <f>SUM(F37:F40)</f>
        <v>23740</v>
      </c>
      <c r="G36" s="874">
        <f t="shared" si="7"/>
        <v>23740</v>
      </c>
      <c r="H36" s="875">
        <f>SUM(H37:H40)</f>
        <v>0</v>
      </c>
      <c r="I36" s="875">
        <f>SUM(I37:I40)</f>
        <v>23740</v>
      </c>
      <c r="J36" s="874">
        <f t="shared" si="8"/>
        <v>312.5</v>
      </c>
      <c r="K36" s="875">
        <f>SUM(K37:K40)</f>
        <v>0</v>
      </c>
      <c r="L36" s="875">
        <f>SUM(L37:L40)</f>
        <v>312.5</v>
      </c>
      <c r="M36" s="876">
        <f t="shared" si="3"/>
        <v>1.3</v>
      </c>
      <c r="N36" s="877">
        <f t="shared" si="4"/>
        <v>0</v>
      </c>
      <c r="O36" s="877">
        <f t="shared" si="5"/>
        <v>1.3</v>
      </c>
      <c r="P36" s="1065">
        <f t="shared" si="1"/>
        <v>0</v>
      </c>
      <c r="Q36" s="1065">
        <f t="shared" si="1"/>
        <v>0</v>
      </c>
      <c r="R36" s="1065">
        <f t="shared" si="1"/>
        <v>0</v>
      </c>
    </row>
    <row r="37" spans="1:24" ht="82.5" customHeight="1">
      <c r="A37" s="1160" t="s">
        <v>100</v>
      </c>
      <c r="B37" s="1084" t="s">
        <v>1041</v>
      </c>
      <c r="C37" s="1174"/>
      <c r="D37" s="1083">
        <f t="shared" si="6"/>
        <v>1240</v>
      </c>
      <c r="E37" s="1085">
        <v>0</v>
      </c>
      <c r="F37" s="1085">
        <v>1240</v>
      </c>
      <c r="G37" s="1083">
        <f t="shared" si="7"/>
        <v>1240</v>
      </c>
      <c r="H37" s="1085">
        <v>0</v>
      </c>
      <c r="I37" s="1085">
        <v>1240</v>
      </c>
      <c r="J37" s="1083">
        <f t="shared" si="8"/>
        <v>312.5</v>
      </c>
      <c r="K37" s="1083">
        <v>0</v>
      </c>
      <c r="L37" s="1083">
        <v>312.5</v>
      </c>
      <c r="M37" s="877">
        <f t="shared" si="3"/>
        <v>25.2</v>
      </c>
      <c r="N37" s="877">
        <f t="shared" si="4"/>
        <v>0</v>
      </c>
      <c r="O37" s="877">
        <f t="shared" si="5"/>
        <v>25.2</v>
      </c>
      <c r="P37" s="1065">
        <f t="shared" si="1"/>
        <v>0</v>
      </c>
      <c r="Q37" s="1065">
        <f t="shared" si="1"/>
        <v>0</v>
      </c>
      <c r="R37" s="1065">
        <f t="shared" si="1"/>
        <v>0</v>
      </c>
      <c r="S37" s="1099" t="s">
        <v>886</v>
      </c>
      <c r="T37" s="1100" t="s">
        <v>967</v>
      </c>
      <c r="U37" s="1099">
        <v>522</v>
      </c>
      <c r="V37" s="1099" t="s">
        <v>969</v>
      </c>
    </row>
    <row r="38" spans="1:24" ht="84.75" customHeight="1">
      <c r="A38" s="1160" t="s">
        <v>101</v>
      </c>
      <c r="B38" s="1084" t="s">
        <v>1042</v>
      </c>
      <c r="C38" s="1174"/>
      <c r="D38" s="1083">
        <f>SUM(E38:F38)</f>
        <v>6500</v>
      </c>
      <c r="E38" s="1085">
        <v>0</v>
      </c>
      <c r="F38" s="1085">
        <v>6500</v>
      </c>
      <c r="G38" s="1083">
        <f>SUM(H38:I38)</f>
        <v>6500</v>
      </c>
      <c r="H38" s="1085">
        <v>0</v>
      </c>
      <c r="I38" s="1085">
        <v>6500</v>
      </c>
      <c r="J38" s="1083">
        <f>SUM(K38:L38)</f>
        <v>0</v>
      </c>
      <c r="K38" s="1083">
        <v>0</v>
      </c>
      <c r="L38" s="1083">
        <v>0</v>
      </c>
      <c r="M38" s="877">
        <f t="shared" si="3"/>
        <v>0</v>
      </c>
      <c r="N38" s="877">
        <f t="shared" si="4"/>
        <v>0</v>
      </c>
      <c r="O38" s="877">
        <f t="shared" si="5"/>
        <v>0</v>
      </c>
      <c r="P38" s="1065"/>
      <c r="Q38" s="1065"/>
      <c r="R38" s="1065"/>
      <c r="S38" s="1099" t="s">
        <v>961</v>
      </c>
      <c r="T38" s="1100">
        <v>1240343280</v>
      </c>
      <c r="U38" s="1099">
        <v>522</v>
      </c>
      <c r="V38" s="1099" t="s">
        <v>971</v>
      </c>
    </row>
    <row r="39" spans="1:24" ht="169.5" customHeight="1">
      <c r="A39" s="1160" t="s">
        <v>102</v>
      </c>
      <c r="B39" s="1084" t="s">
        <v>1043</v>
      </c>
      <c r="C39" s="1174"/>
      <c r="D39" s="1083">
        <f t="shared" si="6"/>
        <v>6000</v>
      </c>
      <c r="E39" s="1085">
        <v>0</v>
      </c>
      <c r="F39" s="1085">
        <v>6000</v>
      </c>
      <c r="G39" s="1083">
        <f t="shared" si="7"/>
        <v>6000</v>
      </c>
      <c r="H39" s="1085">
        <v>0</v>
      </c>
      <c r="I39" s="1085">
        <v>6000</v>
      </c>
      <c r="J39" s="2440">
        <f t="shared" si="8"/>
        <v>0</v>
      </c>
      <c r="K39" s="2412">
        <v>0</v>
      </c>
      <c r="L39" s="2412">
        <v>0</v>
      </c>
      <c r="M39" s="2418">
        <f>IF(J39=0,0,J39/G39:G40*100)</f>
        <v>0</v>
      </c>
      <c r="N39" s="2418">
        <f>IF(K39=0,0,K39/H39:H40*100)</f>
        <v>0</v>
      </c>
      <c r="O39" s="2418">
        <f>IF(L39=0,0,L39/I39:I40*100)</f>
        <v>0</v>
      </c>
      <c r="P39" s="1065">
        <f t="shared" si="1"/>
        <v>0</v>
      </c>
      <c r="Q39" s="1065">
        <f t="shared" si="1"/>
        <v>0</v>
      </c>
      <c r="R39" s="1065">
        <f t="shared" si="1"/>
        <v>0</v>
      </c>
      <c r="S39" s="2409" t="s">
        <v>886</v>
      </c>
      <c r="T39" s="2409" t="s">
        <v>966</v>
      </c>
      <c r="U39" s="2409">
        <v>522</v>
      </c>
      <c r="V39" s="2409" t="s">
        <v>977</v>
      </c>
      <c r="W39" s="2411"/>
    </row>
    <row r="40" spans="1:24" ht="183.75">
      <c r="A40" s="1160" t="s">
        <v>103</v>
      </c>
      <c r="B40" s="1084" t="s">
        <v>1044</v>
      </c>
      <c r="C40" s="1174"/>
      <c r="D40" s="1083">
        <f t="shared" si="6"/>
        <v>10000</v>
      </c>
      <c r="E40" s="1085">
        <v>0</v>
      </c>
      <c r="F40" s="1085">
        <v>10000</v>
      </c>
      <c r="G40" s="1083">
        <f t="shared" si="7"/>
        <v>10000</v>
      </c>
      <c r="H40" s="1085">
        <v>0</v>
      </c>
      <c r="I40" s="1085">
        <v>10000</v>
      </c>
      <c r="J40" s="2441"/>
      <c r="K40" s="2414"/>
      <c r="L40" s="2414"/>
      <c r="M40" s="2419"/>
      <c r="N40" s="2419"/>
      <c r="O40" s="2419"/>
      <c r="P40" s="1065">
        <f t="shared" si="1"/>
        <v>0</v>
      </c>
      <c r="Q40" s="1065">
        <f t="shared" si="1"/>
        <v>0</v>
      </c>
      <c r="R40" s="1065">
        <f t="shared" si="1"/>
        <v>0</v>
      </c>
      <c r="S40" s="2409"/>
      <c r="T40" s="2409"/>
      <c r="U40" s="2409"/>
      <c r="V40" s="2409"/>
      <c r="W40" s="2411"/>
    </row>
    <row r="41" spans="1:24" ht="34.5" customHeight="1">
      <c r="A41" s="1160"/>
      <c r="B41" s="898" t="s">
        <v>281</v>
      </c>
      <c r="C41" s="1173"/>
      <c r="D41" s="874">
        <f t="shared" si="6"/>
        <v>21207</v>
      </c>
      <c r="E41" s="875">
        <f>SUM(E43:E44)</f>
        <v>0</v>
      </c>
      <c r="F41" s="875">
        <f>SUM(F42:F44)</f>
        <v>21207</v>
      </c>
      <c r="G41" s="874">
        <f t="shared" si="7"/>
        <v>21207</v>
      </c>
      <c r="H41" s="875">
        <f>SUM(H43:H44)</f>
        <v>0</v>
      </c>
      <c r="I41" s="875">
        <f>SUM(I42:I44)</f>
        <v>21207</v>
      </c>
      <c r="J41" s="874">
        <f t="shared" si="8"/>
        <v>0</v>
      </c>
      <c r="K41" s="875">
        <f>SUM(K43:K44)</f>
        <v>0</v>
      </c>
      <c r="L41" s="875">
        <f>SUM(L43:L44)</f>
        <v>0</v>
      </c>
      <c r="M41" s="876">
        <f t="shared" ref="M41:M65" si="9">IF(J41=0,0,J41/G41*100)</f>
        <v>0</v>
      </c>
      <c r="N41" s="877">
        <f t="shared" ref="N41:N65" si="10">IF(K41=0,0,K41/H41*100)</f>
        <v>0</v>
      </c>
      <c r="O41" s="877">
        <f t="shared" ref="O41:O65" si="11">IF(L41=0,0,L41/I41*100)</f>
        <v>0</v>
      </c>
      <c r="P41" s="1065">
        <f t="shared" si="1"/>
        <v>0</v>
      </c>
      <c r="Q41" s="1065">
        <f t="shared" si="1"/>
        <v>0</v>
      </c>
      <c r="R41" s="1065">
        <f t="shared" si="1"/>
        <v>0</v>
      </c>
    </row>
    <row r="42" spans="1:24" ht="75" customHeight="1">
      <c r="A42" s="1160" t="s">
        <v>107</v>
      </c>
      <c r="B42" s="1162" t="s">
        <v>682</v>
      </c>
      <c r="C42" s="895"/>
      <c r="D42" s="1083">
        <f>SUM(E42:F42)</f>
        <v>4207</v>
      </c>
      <c r="E42" s="1085">
        <v>0</v>
      </c>
      <c r="F42" s="1085">
        <v>4207</v>
      </c>
      <c r="G42" s="1083">
        <f>SUM(H42:I42)</f>
        <v>4207</v>
      </c>
      <c r="H42" s="1085">
        <v>0</v>
      </c>
      <c r="I42" s="1085">
        <v>4207</v>
      </c>
      <c r="J42" s="1083">
        <f>SUM(K42:L42)</f>
        <v>0</v>
      </c>
      <c r="K42" s="1083">
        <v>0</v>
      </c>
      <c r="L42" s="1083">
        <v>0</v>
      </c>
      <c r="M42" s="877">
        <f t="shared" si="9"/>
        <v>0</v>
      </c>
      <c r="N42" s="877">
        <f t="shared" si="10"/>
        <v>0</v>
      </c>
      <c r="O42" s="877">
        <f t="shared" si="11"/>
        <v>0</v>
      </c>
      <c r="P42" s="1065"/>
      <c r="Q42" s="1065"/>
      <c r="R42" s="1065"/>
      <c r="S42" s="1099" t="s">
        <v>928</v>
      </c>
      <c r="T42" s="1100" t="s">
        <v>988</v>
      </c>
      <c r="U42" s="1099">
        <v>522</v>
      </c>
      <c r="V42" s="1099" t="s">
        <v>989</v>
      </c>
    </row>
    <row r="43" spans="1:24" ht="63" customHeight="1">
      <c r="A43" s="1160" t="s">
        <v>108</v>
      </c>
      <c r="B43" s="1084" t="s">
        <v>675</v>
      </c>
      <c r="C43" s="1174"/>
      <c r="D43" s="1083">
        <f t="shared" si="6"/>
        <v>13000</v>
      </c>
      <c r="E43" s="1085">
        <v>0</v>
      </c>
      <c r="F43" s="1085">
        <v>13000</v>
      </c>
      <c r="G43" s="1083">
        <f t="shared" si="7"/>
        <v>13000</v>
      </c>
      <c r="H43" s="1085">
        <v>0</v>
      </c>
      <c r="I43" s="1085">
        <v>13000</v>
      </c>
      <c r="J43" s="1083">
        <f t="shared" si="8"/>
        <v>0</v>
      </c>
      <c r="K43" s="1083">
        <v>0</v>
      </c>
      <c r="L43" s="1083">
        <v>0</v>
      </c>
      <c r="M43" s="877">
        <f t="shared" si="9"/>
        <v>0</v>
      </c>
      <c r="N43" s="877">
        <f t="shared" si="10"/>
        <v>0</v>
      </c>
      <c r="O43" s="877">
        <f t="shared" si="11"/>
        <v>0</v>
      </c>
      <c r="P43" s="1065">
        <f t="shared" si="1"/>
        <v>0</v>
      </c>
      <c r="Q43" s="1065">
        <f t="shared" si="1"/>
        <v>0</v>
      </c>
      <c r="R43" s="1065">
        <f t="shared" si="1"/>
        <v>0</v>
      </c>
      <c r="S43" s="1099" t="s">
        <v>886</v>
      </c>
      <c r="T43" s="1100" t="s">
        <v>967</v>
      </c>
      <c r="U43" s="1099">
        <v>522</v>
      </c>
      <c r="V43" s="1099" t="s">
        <v>983</v>
      </c>
    </row>
    <row r="44" spans="1:24" ht="118.5" customHeight="1">
      <c r="A44" s="1160" t="s">
        <v>109</v>
      </c>
      <c r="B44" s="1084" t="s">
        <v>1045</v>
      </c>
      <c r="C44" s="1174"/>
      <c r="D44" s="1083">
        <f t="shared" si="6"/>
        <v>4000</v>
      </c>
      <c r="E44" s="1085">
        <v>0</v>
      </c>
      <c r="F44" s="1085">
        <v>4000</v>
      </c>
      <c r="G44" s="1083">
        <f t="shared" si="7"/>
        <v>4000</v>
      </c>
      <c r="H44" s="1085">
        <v>0</v>
      </c>
      <c r="I44" s="1085">
        <v>4000</v>
      </c>
      <c r="J44" s="1083">
        <f t="shared" si="8"/>
        <v>0</v>
      </c>
      <c r="K44" s="1083">
        <v>0</v>
      </c>
      <c r="L44" s="1083">
        <v>0</v>
      </c>
      <c r="M44" s="877">
        <f t="shared" si="9"/>
        <v>0</v>
      </c>
      <c r="N44" s="877">
        <f t="shared" si="10"/>
        <v>0</v>
      </c>
      <c r="O44" s="877">
        <f t="shared" si="11"/>
        <v>0</v>
      </c>
      <c r="P44" s="1065">
        <f t="shared" si="1"/>
        <v>0</v>
      </c>
      <c r="Q44" s="1065">
        <f t="shared" si="1"/>
        <v>0</v>
      </c>
      <c r="R44" s="1065">
        <f t="shared" si="1"/>
        <v>0</v>
      </c>
      <c r="S44" s="1099" t="s">
        <v>886</v>
      </c>
      <c r="T44" s="1100">
        <v>510243220</v>
      </c>
      <c r="U44" s="1099">
        <v>522</v>
      </c>
      <c r="V44" s="1099" t="s">
        <v>979</v>
      </c>
    </row>
    <row r="45" spans="1:24" ht="34.5" customHeight="1">
      <c r="A45" s="1160"/>
      <c r="B45" s="898" t="s">
        <v>431</v>
      </c>
      <c r="C45" s="1173"/>
      <c r="D45" s="874">
        <f t="shared" si="6"/>
        <v>10680</v>
      </c>
      <c r="E45" s="875">
        <f>E47</f>
        <v>0</v>
      </c>
      <c r="F45" s="875">
        <f>SUM(F46:F47)</f>
        <v>10680</v>
      </c>
      <c r="G45" s="874">
        <f t="shared" si="7"/>
        <v>10680</v>
      </c>
      <c r="H45" s="875">
        <f>H47</f>
        <v>0</v>
      </c>
      <c r="I45" s="875">
        <f>SUM(I46:I47)</f>
        <v>10680</v>
      </c>
      <c r="J45" s="874">
        <f t="shared" si="8"/>
        <v>0</v>
      </c>
      <c r="K45" s="875">
        <f>K47</f>
        <v>0</v>
      </c>
      <c r="L45" s="875">
        <f>L47</f>
        <v>0</v>
      </c>
      <c r="M45" s="876">
        <f t="shared" si="9"/>
        <v>0</v>
      </c>
      <c r="N45" s="877">
        <f t="shared" si="10"/>
        <v>0</v>
      </c>
      <c r="O45" s="877">
        <f t="shared" si="11"/>
        <v>0</v>
      </c>
      <c r="P45" s="1065">
        <f t="shared" si="1"/>
        <v>0</v>
      </c>
      <c r="Q45" s="1065">
        <f t="shared" si="1"/>
        <v>0</v>
      </c>
      <c r="R45" s="1065">
        <f t="shared" si="1"/>
        <v>0</v>
      </c>
    </row>
    <row r="46" spans="1:24" ht="93" customHeight="1">
      <c r="A46" s="1160" t="s">
        <v>1022</v>
      </c>
      <c r="B46" s="1162" t="s">
        <v>1042</v>
      </c>
      <c r="C46" s="895"/>
      <c r="D46" s="1083">
        <f>SUM(E46:F46)</f>
        <v>6280</v>
      </c>
      <c r="E46" s="1085">
        <v>0</v>
      </c>
      <c r="F46" s="1085">
        <v>6280</v>
      </c>
      <c r="G46" s="1083">
        <f>SUM(H46:I46)</f>
        <v>6280</v>
      </c>
      <c r="H46" s="1085">
        <v>0</v>
      </c>
      <c r="I46" s="1085">
        <v>6280</v>
      </c>
      <c r="J46" s="1083">
        <f>SUM(K46:L46)</f>
        <v>0</v>
      </c>
      <c r="K46" s="1083">
        <v>0</v>
      </c>
      <c r="L46" s="1083">
        <v>0</v>
      </c>
      <c r="M46" s="877">
        <f t="shared" si="9"/>
        <v>0</v>
      </c>
      <c r="N46" s="877">
        <f t="shared" si="10"/>
        <v>0</v>
      </c>
      <c r="O46" s="877">
        <f t="shared" si="11"/>
        <v>0</v>
      </c>
      <c r="P46" s="1065"/>
      <c r="Q46" s="1065"/>
      <c r="R46" s="1065"/>
      <c r="S46" s="1099" t="s">
        <v>961</v>
      </c>
      <c r="T46" s="1100">
        <v>1240343280</v>
      </c>
      <c r="U46" s="1099">
        <v>522</v>
      </c>
      <c r="V46" s="1099" t="s">
        <v>971</v>
      </c>
    </row>
    <row r="47" spans="1:24" ht="78.75">
      <c r="A47" s="1160" t="s">
        <v>117</v>
      </c>
      <c r="B47" s="1084" t="s">
        <v>676</v>
      </c>
      <c r="C47" s="1174"/>
      <c r="D47" s="1083">
        <f t="shared" si="6"/>
        <v>4400</v>
      </c>
      <c r="E47" s="1085">
        <v>0</v>
      </c>
      <c r="F47" s="1085">
        <v>4400</v>
      </c>
      <c r="G47" s="1083">
        <f t="shared" si="7"/>
        <v>4400</v>
      </c>
      <c r="H47" s="1085">
        <v>0</v>
      </c>
      <c r="I47" s="1085">
        <v>4400</v>
      </c>
      <c r="J47" s="1083">
        <f t="shared" si="8"/>
        <v>0</v>
      </c>
      <c r="K47" s="1083">
        <v>0</v>
      </c>
      <c r="L47" s="1083">
        <v>0</v>
      </c>
      <c r="M47" s="877">
        <f t="shared" si="9"/>
        <v>0</v>
      </c>
      <c r="N47" s="877">
        <f t="shared" si="10"/>
        <v>0</v>
      </c>
      <c r="O47" s="877">
        <f t="shared" si="11"/>
        <v>0</v>
      </c>
      <c r="P47" s="1065">
        <f t="shared" si="1"/>
        <v>0</v>
      </c>
      <c r="Q47" s="1065">
        <f t="shared" si="1"/>
        <v>0</v>
      </c>
      <c r="R47" s="1065">
        <f t="shared" si="1"/>
        <v>0</v>
      </c>
      <c r="S47" s="1099" t="s">
        <v>886</v>
      </c>
      <c r="T47" s="1100" t="s">
        <v>972</v>
      </c>
      <c r="U47" s="1099">
        <v>522</v>
      </c>
      <c r="V47" s="1099" t="s">
        <v>978</v>
      </c>
    </row>
    <row r="48" spans="1:24" ht="34.5" customHeight="1">
      <c r="A48" s="1160"/>
      <c r="B48" s="898" t="s">
        <v>583</v>
      </c>
      <c r="C48" s="1173"/>
      <c r="D48" s="874">
        <f t="shared" si="6"/>
        <v>2500</v>
      </c>
      <c r="E48" s="875">
        <f>E49</f>
        <v>0</v>
      </c>
      <c r="F48" s="875">
        <f>F49</f>
        <v>2500</v>
      </c>
      <c r="G48" s="874">
        <f t="shared" si="7"/>
        <v>2500</v>
      </c>
      <c r="H48" s="875">
        <f>H49</f>
        <v>0</v>
      </c>
      <c r="I48" s="875">
        <f>I49</f>
        <v>2500</v>
      </c>
      <c r="J48" s="874">
        <f t="shared" si="8"/>
        <v>0</v>
      </c>
      <c r="K48" s="875">
        <f>K49</f>
        <v>0</v>
      </c>
      <c r="L48" s="875">
        <f>L49</f>
        <v>0</v>
      </c>
      <c r="M48" s="876">
        <f t="shared" si="9"/>
        <v>0</v>
      </c>
      <c r="N48" s="877">
        <f t="shared" si="10"/>
        <v>0</v>
      </c>
      <c r="O48" s="877">
        <f t="shared" si="11"/>
        <v>0</v>
      </c>
      <c r="P48" s="1065">
        <f t="shared" si="1"/>
        <v>0</v>
      </c>
      <c r="Q48" s="1065">
        <f t="shared" si="1"/>
        <v>0</v>
      </c>
      <c r="R48" s="1065">
        <f t="shared" si="1"/>
        <v>0</v>
      </c>
    </row>
    <row r="49" spans="1:22" ht="52.5">
      <c r="A49" s="1160" t="s">
        <v>118</v>
      </c>
      <c r="B49" s="1084" t="s">
        <v>1046</v>
      </c>
      <c r="C49" s="1174"/>
      <c r="D49" s="1083">
        <f t="shared" si="6"/>
        <v>2500</v>
      </c>
      <c r="E49" s="1085">
        <v>0</v>
      </c>
      <c r="F49" s="1085">
        <v>2500</v>
      </c>
      <c r="G49" s="1083">
        <f t="shared" si="7"/>
        <v>2500</v>
      </c>
      <c r="H49" s="1085">
        <v>0</v>
      </c>
      <c r="I49" s="1085">
        <v>2500</v>
      </c>
      <c r="J49" s="1083">
        <f t="shared" si="8"/>
        <v>0</v>
      </c>
      <c r="K49" s="1083">
        <v>0</v>
      </c>
      <c r="L49" s="1083">
        <v>0</v>
      </c>
      <c r="M49" s="877">
        <f t="shared" si="9"/>
        <v>0</v>
      </c>
      <c r="N49" s="877">
        <f t="shared" si="10"/>
        <v>0</v>
      </c>
      <c r="O49" s="877">
        <f t="shared" si="11"/>
        <v>0</v>
      </c>
      <c r="P49" s="1065">
        <f t="shared" si="1"/>
        <v>0</v>
      </c>
      <c r="Q49" s="1065">
        <f t="shared" si="1"/>
        <v>0</v>
      </c>
      <c r="R49" s="1065">
        <f t="shared" si="1"/>
        <v>0</v>
      </c>
      <c r="S49" s="1099" t="s">
        <v>886</v>
      </c>
      <c r="T49" s="1100" t="s">
        <v>967</v>
      </c>
      <c r="U49" s="1099">
        <v>522</v>
      </c>
      <c r="V49" s="1099" t="s">
        <v>969</v>
      </c>
    </row>
    <row r="50" spans="1:22" ht="34.5" customHeight="1">
      <c r="A50" s="1160"/>
      <c r="B50" s="898" t="s">
        <v>709</v>
      </c>
      <c r="C50" s="1173"/>
      <c r="D50" s="874">
        <f>SUM(E50:F50)</f>
        <v>109500</v>
      </c>
      <c r="E50" s="875">
        <f>SUM(E52:E53)</f>
        <v>0</v>
      </c>
      <c r="F50" s="875">
        <f>SUM(F51:F53)</f>
        <v>109500</v>
      </c>
      <c r="G50" s="874">
        <f>SUM(H50:I50)</f>
        <v>109500</v>
      </c>
      <c r="H50" s="875">
        <f>SUM(H52:H53)</f>
        <v>0</v>
      </c>
      <c r="I50" s="875">
        <f>SUM(I51:I53)</f>
        <v>109500</v>
      </c>
      <c r="J50" s="874">
        <f>SUM(K50:L50)</f>
        <v>0</v>
      </c>
      <c r="K50" s="875">
        <f>SUM(K52:K53)</f>
        <v>0</v>
      </c>
      <c r="L50" s="875">
        <f>SUM(L52:L53)</f>
        <v>0</v>
      </c>
      <c r="M50" s="876">
        <f t="shared" si="9"/>
        <v>0</v>
      </c>
      <c r="N50" s="877">
        <f t="shared" si="10"/>
        <v>0</v>
      </c>
      <c r="O50" s="877">
        <f t="shared" si="11"/>
        <v>0</v>
      </c>
      <c r="P50" s="1065">
        <f t="shared" si="1"/>
        <v>0</v>
      </c>
      <c r="Q50" s="1065">
        <f t="shared" si="1"/>
        <v>0</v>
      </c>
      <c r="R50" s="1065">
        <f t="shared" si="1"/>
        <v>0</v>
      </c>
    </row>
    <row r="51" spans="1:22" ht="78.75">
      <c r="A51" s="1160" t="s">
        <v>154</v>
      </c>
      <c r="B51" s="1162" t="s">
        <v>1047</v>
      </c>
      <c r="C51" s="895"/>
      <c r="D51" s="1083">
        <f>SUM(E51:F51)</f>
        <v>35000</v>
      </c>
      <c r="E51" s="1085">
        <v>0</v>
      </c>
      <c r="F51" s="1085">
        <v>35000</v>
      </c>
      <c r="G51" s="1083">
        <f>SUM(H51:I51)</f>
        <v>35000</v>
      </c>
      <c r="H51" s="1085">
        <v>0</v>
      </c>
      <c r="I51" s="1085">
        <v>35000</v>
      </c>
      <c r="J51" s="1083">
        <f t="shared" si="8"/>
        <v>0</v>
      </c>
      <c r="K51" s="1083">
        <v>0</v>
      </c>
      <c r="L51" s="1083">
        <v>0</v>
      </c>
      <c r="M51" s="877">
        <f t="shared" si="9"/>
        <v>0</v>
      </c>
      <c r="N51" s="877">
        <f t="shared" si="10"/>
        <v>0</v>
      </c>
      <c r="O51" s="877">
        <f t="shared" si="11"/>
        <v>0</v>
      </c>
      <c r="P51" s="1065"/>
      <c r="Q51" s="1065"/>
      <c r="R51" s="1065"/>
      <c r="S51" s="1099" t="s">
        <v>961</v>
      </c>
      <c r="T51" s="1100" t="s">
        <v>990</v>
      </c>
      <c r="U51" s="1099">
        <v>522</v>
      </c>
      <c r="V51" s="1099">
        <v>24357</v>
      </c>
    </row>
    <row r="52" spans="1:22" ht="76.5" customHeight="1">
      <c r="A52" s="1160" t="s">
        <v>155</v>
      </c>
      <c r="B52" s="1084" t="s">
        <v>1048</v>
      </c>
      <c r="C52" s="1174"/>
      <c r="D52" s="1083">
        <f>SUM(E52:F52)</f>
        <v>15000</v>
      </c>
      <c r="E52" s="1085">
        <v>0</v>
      </c>
      <c r="F52" s="1085">
        <v>15000</v>
      </c>
      <c r="G52" s="1083">
        <f>SUM(H52:I52)</f>
        <v>15000</v>
      </c>
      <c r="H52" s="1085">
        <v>0</v>
      </c>
      <c r="I52" s="1085">
        <v>15000</v>
      </c>
      <c r="J52" s="1083">
        <f t="shared" si="8"/>
        <v>0</v>
      </c>
      <c r="K52" s="1083">
        <v>0</v>
      </c>
      <c r="L52" s="1083">
        <v>0</v>
      </c>
      <c r="M52" s="877">
        <f t="shared" si="9"/>
        <v>0</v>
      </c>
      <c r="N52" s="877">
        <f t="shared" si="10"/>
        <v>0</v>
      </c>
      <c r="O52" s="877">
        <f t="shared" si="11"/>
        <v>0</v>
      </c>
      <c r="P52" s="1065">
        <f t="shared" si="1"/>
        <v>0</v>
      </c>
      <c r="Q52" s="1065">
        <f t="shared" si="1"/>
        <v>0</v>
      </c>
      <c r="R52" s="1065">
        <f t="shared" si="1"/>
        <v>0</v>
      </c>
      <c r="S52" s="1099" t="s">
        <v>886</v>
      </c>
      <c r="T52" s="1100" t="s">
        <v>967</v>
      </c>
      <c r="U52" s="1099">
        <v>522</v>
      </c>
      <c r="V52" s="1099" t="s">
        <v>991</v>
      </c>
    </row>
    <row r="53" spans="1:22" ht="78.75">
      <c r="A53" s="1160" t="s">
        <v>156</v>
      </c>
      <c r="B53" s="1084" t="s">
        <v>1049</v>
      </c>
      <c r="C53" s="1174"/>
      <c r="D53" s="1083">
        <f t="shared" si="6"/>
        <v>59500</v>
      </c>
      <c r="E53" s="1085">
        <v>0</v>
      </c>
      <c r="F53" s="1085">
        <v>59500</v>
      </c>
      <c r="G53" s="1083">
        <f t="shared" si="7"/>
        <v>59500</v>
      </c>
      <c r="H53" s="1085">
        <v>0</v>
      </c>
      <c r="I53" s="1085">
        <v>59500</v>
      </c>
      <c r="J53" s="1083">
        <f t="shared" si="8"/>
        <v>0</v>
      </c>
      <c r="K53" s="1083">
        <v>0</v>
      </c>
      <c r="L53" s="1083">
        <v>0</v>
      </c>
      <c r="M53" s="877">
        <f t="shared" si="9"/>
        <v>0</v>
      </c>
      <c r="N53" s="877">
        <f t="shared" si="10"/>
        <v>0</v>
      </c>
      <c r="O53" s="877">
        <f t="shared" si="11"/>
        <v>0</v>
      </c>
      <c r="P53" s="1065">
        <f t="shared" si="1"/>
        <v>0</v>
      </c>
      <c r="Q53" s="1065">
        <f t="shared" si="1"/>
        <v>0</v>
      </c>
      <c r="R53" s="1065">
        <f t="shared" si="1"/>
        <v>0</v>
      </c>
      <c r="S53" s="1099" t="s">
        <v>886</v>
      </c>
      <c r="T53" s="1100" t="s">
        <v>967</v>
      </c>
      <c r="U53" s="1099">
        <v>522</v>
      </c>
      <c r="V53" s="1099" t="s">
        <v>969</v>
      </c>
    </row>
    <row r="54" spans="1:22" ht="34.5" customHeight="1">
      <c r="A54" s="1160"/>
      <c r="B54" s="898" t="s">
        <v>333</v>
      </c>
      <c r="C54" s="1173"/>
      <c r="D54" s="874">
        <f t="shared" si="6"/>
        <v>32810</v>
      </c>
      <c r="E54" s="875">
        <f>SUM(E55:E56)</f>
        <v>0</v>
      </c>
      <c r="F54" s="875">
        <f>SUM(F55:F56)</f>
        <v>32810</v>
      </c>
      <c r="G54" s="874">
        <f t="shared" si="7"/>
        <v>32810</v>
      </c>
      <c r="H54" s="875">
        <f>SUM(H55:H56)</f>
        <v>0</v>
      </c>
      <c r="I54" s="875">
        <f>SUM(I55:I56)</f>
        <v>32810</v>
      </c>
      <c r="J54" s="874">
        <f>SUM(K54:L54)</f>
        <v>0</v>
      </c>
      <c r="K54" s="875">
        <f>SUM(K55:K56)</f>
        <v>0</v>
      </c>
      <c r="L54" s="875">
        <f>SUM(L55:L56)</f>
        <v>0</v>
      </c>
      <c r="M54" s="876">
        <f t="shared" si="9"/>
        <v>0</v>
      </c>
      <c r="N54" s="877">
        <f t="shared" si="10"/>
        <v>0</v>
      </c>
      <c r="O54" s="877">
        <f t="shared" si="11"/>
        <v>0</v>
      </c>
      <c r="P54" s="1065">
        <f t="shared" si="1"/>
        <v>0</v>
      </c>
      <c r="Q54" s="1065">
        <f t="shared" si="1"/>
        <v>0</v>
      </c>
      <c r="R54" s="1065">
        <f t="shared" si="1"/>
        <v>0</v>
      </c>
    </row>
    <row r="55" spans="1:22" ht="52.5">
      <c r="A55" s="1160" t="s">
        <v>122</v>
      </c>
      <c r="B55" s="1084" t="s">
        <v>1051</v>
      </c>
      <c r="C55" s="1174"/>
      <c r="D55" s="1083">
        <f>SUM(E55:F55)</f>
        <v>10000</v>
      </c>
      <c r="E55" s="1085">
        <v>0</v>
      </c>
      <c r="F55" s="1085">
        <v>10000</v>
      </c>
      <c r="G55" s="1083">
        <f>SUM(H55:I55)</f>
        <v>10000</v>
      </c>
      <c r="H55" s="1085">
        <v>0</v>
      </c>
      <c r="I55" s="1085">
        <v>10000</v>
      </c>
      <c r="J55" s="1083">
        <f t="shared" si="8"/>
        <v>0</v>
      </c>
      <c r="K55" s="1083">
        <v>0</v>
      </c>
      <c r="L55" s="1083">
        <v>0</v>
      </c>
      <c r="M55" s="877">
        <f t="shared" si="9"/>
        <v>0</v>
      </c>
      <c r="N55" s="877">
        <f t="shared" si="10"/>
        <v>0</v>
      </c>
      <c r="O55" s="877">
        <f t="shared" si="11"/>
        <v>0</v>
      </c>
      <c r="P55" s="1065">
        <f t="shared" si="1"/>
        <v>0</v>
      </c>
      <c r="Q55" s="1065">
        <f t="shared" si="1"/>
        <v>0</v>
      </c>
      <c r="R55" s="1065">
        <f t="shared" si="1"/>
        <v>0</v>
      </c>
      <c r="S55" s="1099" t="s">
        <v>886</v>
      </c>
      <c r="T55" s="1100" t="s">
        <v>967</v>
      </c>
      <c r="U55" s="1099">
        <v>522</v>
      </c>
      <c r="V55" s="1099" t="s">
        <v>994</v>
      </c>
    </row>
    <row r="56" spans="1:22" ht="52.5">
      <c r="A56" s="1160" t="s">
        <v>123</v>
      </c>
      <c r="B56" s="1084" t="s">
        <v>1050</v>
      </c>
      <c r="C56" s="1174"/>
      <c r="D56" s="1083">
        <f t="shared" si="6"/>
        <v>22810</v>
      </c>
      <c r="E56" s="1085">
        <v>0</v>
      </c>
      <c r="F56" s="1085">
        <v>22810</v>
      </c>
      <c r="G56" s="1083">
        <f t="shared" si="7"/>
        <v>22810</v>
      </c>
      <c r="H56" s="1085">
        <v>0</v>
      </c>
      <c r="I56" s="1085">
        <v>22810</v>
      </c>
      <c r="J56" s="1083">
        <f t="shared" si="8"/>
        <v>0</v>
      </c>
      <c r="K56" s="1083">
        <v>0</v>
      </c>
      <c r="L56" s="1083">
        <v>0</v>
      </c>
      <c r="M56" s="877">
        <f t="shared" si="9"/>
        <v>0</v>
      </c>
      <c r="N56" s="877">
        <f t="shared" si="10"/>
        <v>0</v>
      </c>
      <c r="O56" s="877">
        <f t="shared" si="11"/>
        <v>0</v>
      </c>
      <c r="P56" s="1065">
        <f t="shared" si="1"/>
        <v>0</v>
      </c>
      <c r="Q56" s="1065">
        <f t="shared" si="1"/>
        <v>0</v>
      </c>
      <c r="R56" s="1065">
        <f t="shared" si="1"/>
        <v>0</v>
      </c>
      <c r="S56" s="1099" t="s">
        <v>886</v>
      </c>
      <c r="T56" s="1100" t="s">
        <v>967</v>
      </c>
      <c r="U56" s="1099">
        <v>522</v>
      </c>
      <c r="V56" s="1099" t="s">
        <v>995</v>
      </c>
    </row>
    <row r="57" spans="1:22" ht="34.5" customHeight="1">
      <c r="A57" s="1160"/>
      <c r="B57" s="898" t="s">
        <v>443</v>
      </c>
      <c r="C57" s="1173"/>
      <c r="D57" s="874">
        <f>SUM(E57:F57)</f>
        <v>14560</v>
      </c>
      <c r="E57" s="875">
        <f>E58</f>
        <v>0</v>
      </c>
      <c r="F57" s="875">
        <f>F58</f>
        <v>14560</v>
      </c>
      <c r="G57" s="874">
        <f>SUM(H57:I57)</f>
        <v>14560</v>
      </c>
      <c r="H57" s="875">
        <f>H58</f>
        <v>0</v>
      </c>
      <c r="I57" s="875">
        <f>I58</f>
        <v>14560</v>
      </c>
      <c r="J57" s="874">
        <f>SUM(K57:L57)</f>
        <v>0</v>
      </c>
      <c r="K57" s="875">
        <f>K58</f>
        <v>0</v>
      </c>
      <c r="L57" s="875">
        <f>L58</f>
        <v>0</v>
      </c>
      <c r="M57" s="876">
        <f t="shared" si="9"/>
        <v>0</v>
      </c>
      <c r="N57" s="877">
        <f t="shared" si="10"/>
        <v>0</v>
      </c>
      <c r="O57" s="877">
        <f t="shared" si="11"/>
        <v>0</v>
      </c>
      <c r="P57" s="1065">
        <f t="shared" si="1"/>
        <v>0</v>
      </c>
      <c r="Q57" s="1065">
        <f t="shared" si="1"/>
        <v>0</v>
      </c>
      <c r="R57" s="1065">
        <f t="shared" si="1"/>
        <v>0</v>
      </c>
    </row>
    <row r="58" spans="1:22" ht="52.5">
      <c r="A58" s="1160" t="s">
        <v>124</v>
      </c>
      <c r="B58" s="1084" t="s">
        <v>1052</v>
      </c>
      <c r="C58" s="1174"/>
      <c r="D58" s="1083">
        <f>SUM(E58:F58)</f>
        <v>14560</v>
      </c>
      <c r="E58" s="1085">
        <v>0</v>
      </c>
      <c r="F58" s="1085">
        <v>14560</v>
      </c>
      <c r="G58" s="1083">
        <f>SUM(H58:I58)</f>
        <v>14560</v>
      </c>
      <c r="H58" s="1085">
        <v>0</v>
      </c>
      <c r="I58" s="1085">
        <v>14560</v>
      </c>
      <c r="J58" s="1083">
        <f t="shared" si="8"/>
        <v>0</v>
      </c>
      <c r="K58" s="1083">
        <v>0</v>
      </c>
      <c r="L58" s="1083">
        <v>0</v>
      </c>
      <c r="M58" s="877">
        <f t="shared" si="9"/>
        <v>0</v>
      </c>
      <c r="N58" s="877">
        <f t="shared" si="10"/>
        <v>0</v>
      </c>
      <c r="O58" s="877">
        <f t="shared" si="11"/>
        <v>0</v>
      </c>
      <c r="P58" s="1065">
        <f t="shared" si="1"/>
        <v>0</v>
      </c>
      <c r="Q58" s="1065">
        <f t="shared" si="1"/>
        <v>0</v>
      </c>
      <c r="R58" s="1065">
        <f t="shared" si="1"/>
        <v>0</v>
      </c>
      <c r="S58" s="1099" t="s">
        <v>886</v>
      </c>
      <c r="T58" s="1100" t="s">
        <v>967</v>
      </c>
      <c r="U58" s="1099">
        <v>522</v>
      </c>
      <c r="V58" s="1099" t="s">
        <v>986</v>
      </c>
    </row>
    <row r="59" spans="1:22" ht="34.5" customHeight="1">
      <c r="A59" s="1160"/>
      <c r="B59" s="898" t="s">
        <v>90</v>
      </c>
      <c r="C59" s="1173"/>
      <c r="D59" s="874">
        <f t="shared" si="6"/>
        <v>1300</v>
      </c>
      <c r="E59" s="875">
        <f>E60</f>
        <v>0</v>
      </c>
      <c r="F59" s="875">
        <f>F60</f>
        <v>1300</v>
      </c>
      <c r="G59" s="874">
        <f t="shared" si="7"/>
        <v>1300</v>
      </c>
      <c r="H59" s="875">
        <f>H60</f>
        <v>0</v>
      </c>
      <c r="I59" s="875">
        <f>I60</f>
        <v>1300</v>
      </c>
      <c r="J59" s="874">
        <f>SUM(K59:L59)</f>
        <v>0</v>
      </c>
      <c r="K59" s="875">
        <f>K60</f>
        <v>0</v>
      </c>
      <c r="L59" s="875">
        <f>L60</f>
        <v>0</v>
      </c>
      <c r="M59" s="876">
        <f t="shared" si="9"/>
        <v>0</v>
      </c>
      <c r="N59" s="877">
        <f t="shared" si="10"/>
        <v>0</v>
      </c>
      <c r="O59" s="877">
        <f t="shared" si="11"/>
        <v>0</v>
      </c>
      <c r="P59" s="1065">
        <f t="shared" si="1"/>
        <v>0</v>
      </c>
      <c r="Q59" s="1065">
        <f t="shared" si="1"/>
        <v>0</v>
      </c>
      <c r="R59" s="1065">
        <f t="shared" si="1"/>
        <v>0</v>
      </c>
    </row>
    <row r="60" spans="1:22" ht="52.5">
      <c r="A60" s="1160" t="s">
        <v>125</v>
      </c>
      <c r="B60" s="1084" t="s">
        <v>1053</v>
      </c>
      <c r="C60" s="1174"/>
      <c r="D60" s="1083">
        <f t="shared" si="6"/>
        <v>1300</v>
      </c>
      <c r="E60" s="1085">
        <v>0</v>
      </c>
      <c r="F60" s="1085">
        <v>1300</v>
      </c>
      <c r="G60" s="1083">
        <f t="shared" si="7"/>
        <v>1300</v>
      </c>
      <c r="H60" s="1085">
        <v>0</v>
      </c>
      <c r="I60" s="1085">
        <v>1300</v>
      </c>
      <c r="J60" s="1083">
        <f t="shared" si="8"/>
        <v>0</v>
      </c>
      <c r="K60" s="1083">
        <v>0</v>
      </c>
      <c r="L60" s="1083">
        <v>0</v>
      </c>
      <c r="M60" s="877">
        <f t="shared" si="9"/>
        <v>0</v>
      </c>
      <c r="N60" s="877">
        <f t="shared" si="10"/>
        <v>0</v>
      </c>
      <c r="O60" s="877">
        <f t="shared" si="11"/>
        <v>0</v>
      </c>
      <c r="P60" s="1065">
        <f t="shared" si="1"/>
        <v>0</v>
      </c>
      <c r="Q60" s="1065">
        <f t="shared" si="1"/>
        <v>0</v>
      </c>
      <c r="R60" s="1065">
        <f t="shared" si="1"/>
        <v>0</v>
      </c>
      <c r="S60" s="1099" t="s">
        <v>886</v>
      </c>
      <c r="T60" s="1100">
        <v>520343220</v>
      </c>
      <c r="U60" s="1099">
        <v>522</v>
      </c>
      <c r="V60" s="1099" t="s">
        <v>994</v>
      </c>
    </row>
    <row r="61" spans="1:22" ht="34.5" customHeight="1">
      <c r="A61" s="1160"/>
      <c r="B61" s="898" t="s">
        <v>712</v>
      </c>
      <c r="C61" s="1173"/>
      <c r="D61" s="874">
        <f t="shared" si="6"/>
        <v>2300</v>
      </c>
      <c r="E61" s="875">
        <f>E62</f>
        <v>0</v>
      </c>
      <c r="F61" s="875">
        <f>F62</f>
        <v>2300</v>
      </c>
      <c r="G61" s="874">
        <f t="shared" si="7"/>
        <v>2300</v>
      </c>
      <c r="H61" s="875">
        <f>H62</f>
        <v>0</v>
      </c>
      <c r="I61" s="875">
        <f>I62</f>
        <v>2300</v>
      </c>
      <c r="J61" s="874">
        <f>SUM(K61:L61)</f>
        <v>0</v>
      </c>
      <c r="K61" s="875">
        <f>K62</f>
        <v>0</v>
      </c>
      <c r="L61" s="875">
        <f>L62</f>
        <v>0</v>
      </c>
      <c r="M61" s="876">
        <f t="shared" si="9"/>
        <v>0</v>
      </c>
      <c r="N61" s="877">
        <f t="shared" si="10"/>
        <v>0</v>
      </c>
      <c r="O61" s="877">
        <f t="shared" si="11"/>
        <v>0</v>
      </c>
      <c r="P61" s="1065">
        <f t="shared" si="1"/>
        <v>0</v>
      </c>
      <c r="Q61" s="1065">
        <f t="shared" si="1"/>
        <v>0</v>
      </c>
      <c r="R61" s="1065">
        <f t="shared" si="1"/>
        <v>0</v>
      </c>
    </row>
    <row r="62" spans="1:22" ht="52.5">
      <c r="A62" s="1160" t="s">
        <v>126</v>
      </c>
      <c r="B62" s="1084" t="s">
        <v>1054</v>
      </c>
      <c r="C62" s="1174"/>
      <c r="D62" s="1083">
        <f t="shared" si="6"/>
        <v>2300</v>
      </c>
      <c r="E62" s="1085">
        <v>0</v>
      </c>
      <c r="F62" s="1085">
        <v>2300</v>
      </c>
      <c r="G62" s="1083">
        <f t="shared" si="7"/>
        <v>2300</v>
      </c>
      <c r="H62" s="1085">
        <v>0</v>
      </c>
      <c r="I62" s="1085">
        <v>2300</v>
      </c>
      <c r="J62" s="1083">
        <f t="shared" si="8"/>
        <v>0</v>
      </c>
      <c r="K62" s="1083">
        <v>0</v>
      </c>
      <c r="L62" s="1083">
        <v>0</v>
      </c>
      <c r="M62" s="877">
        <f t="shared" si="9"/>
        <v>0</v>
      </c>
      <c r="N62" s="877">
        <f t="shared" si="10"/>
        <v>0</v>
      </c>
      <c r="O62" s="877">
        <f t="shared" si="11"/>
        <v>0</v>
      </c>
      <c r="P62" s="1065">
        <f t="shared" si="1"/>
        <v>0</v>
      </c>
      <c r="Q62" s="1065">
        <f t="shared" si="1"/>
        <v>0</v>
      </c>
      <c r="R62" s="1065">
        <f t="shared" si="1"/>
        <v>0</v>
      </c>
      <c r="S62" s="1099" t="s">
        <v>886</v>
      </c>
      <c r="T62" s="1100" t="s">
        <v>967</v>
      </c>
      <c r="U62" s="1099">
        <v>522</v>
      </c>
      <c r="V62" s="1099" t="s">
        <v>983</v>
      </c>
    </row>
    <row r="63" spans="1:22" ht="34.5" customHeight="1">
      <c r="A63" s="1160"/>
      <c r="B63" s="898" t="s">
        <v>46</v>
      </c>
      <c r="C63" s="1173"/>
      <c r="D63" s="874">
        <f t="shared" si="6"/>
        <v>12500</v>
      </c>
      <c r="E63" s="875">
        <f>E64</f>
        <v>0</v>
      </c>
      <c r="F63" s="875">
        <f>F64</f>
        <v>12500</v>
      </c>
      <c r="G63" s="874">
        <f t="shared" si="7"/>
        <v>12500</v>
      </c>
      <c r="H63" s="875">
        <f>H64</f>
        <v>0</v>
      </c>
      <c r="I63" s="875">
        <f>I64</f>
        <v>12500</v>
      </c>
      <c r="J63" s="874">
        <f>SUM(K63:L63)</f>
        <v>0</v>
      </c>
      <c r="K63" s="875">
        <f>K64</f>
        <v>0</v>
      </c>
      <c r="L63" s="875">
        <f>L64</f>
        <v>0</v>
      </c>
      <c r="M63" s="876">
        <f t="shared" si="9"/>
        <v>0</v>
      </c>
      <c r="N63" s="877">
        <f t="shared" si="10"/>
        <v>0</v>
      </c>
      <c r="O63" s="877">
        <f t="shared" si="11"/>
        <v>0</v>
      </c>
      <c r="P63" s="1065">
        <f t="shared" si="1"/>
        <v>0</v>
      </c>
      <c r="Q63" s="1065">
        <f t="shared" si="1"/>
        <v>0</v>
      </c>
      <c r="R63" s="1065">
        <f t="shared" si="1"/>
        <v>0</v>
      </c>
    </row>
    <row r="64" spans="1:22" ht="105">
      <c r="A64" s="1160" t="s">
        <v>127</v>
      </c>
      <c r="B64" s="1084" t="s">
        <v>1055</v>
      </c>
      <c r="C64" s="1174"/>
      <c r="D64" s="1083">
        <f t="shared" si="6"/>
        <v>12500</v>
      </c>
      <c r="E64" s="1085">
        <v>0</v>
      </c>
      <c r="F64" s="1085">
        <v>12500</v>
      </c>
      <c r="G64" s="1083">
        <f t="shared" si="7"/>
        <v>12500</v>
      </c>
      <c r="H64" s="1085">
        <v>0</v>
      </c>
      <c r="I64" s="1085">
        <v>12500</v>
      </c>
      <c r="J64" s="1083"/>
      <c r="K64" s="1083">
        <v>0</v>
      </c>
      <c r="L64" s="1083">
        <v>0</v>
      </c>
      <c r="M64" s="877">
        <f t="shared" si="9"/>
        <v>0</v>
      </c>
      <c r="N64" s="877">
        <f t="shared" si="10"/>
        <v>0</v>
      </c>
      <c r="O64" s="877">
        <f t="shared" si="11"/>
        <v>0</v>
      </c>
      <c r="P64" s="1065">
        <f t="shared" si="1"/>
        <v>0</v>
      </c>
      <c r="Q64" s="1065">
        <f t="shared" si="1"/>
        <v>0</v>
      </c>
      <c r="R64" s="1065">
        <f t="shared" si="1"/>
        <v>0</v>
      </c>
      <c r="S64" s="1099" t="s">
        <v>886</v>
      </c>
      <c r="T64" s="1100" t="s">
        <v>966</v>
      </c>
      <c r="U64" s="1099">
        <v>522</v>
      </c>
      <c r="V64" s="1099" t="s">
        <v>977</v>
      </c>
    </row>
    <row r="65" spans="1:24" ht="34.5" customHeight="1">
      <c r="A65" s="1160"/>
      <c r="B65" s="898" t="s">
        <v>457</v>
      </c>
      <c r="C65" s="1173"/>
      <c r="D65" s="874">
        <f t="shared" si="6"/>
        <v>34000</v>
      </c>
      <c r="E65" s="875">
        <f>SUM(E66:E70)</f>
        <v>0</v>
      </c>
      <c r="F65" s="875">
        <f>SUM(F66:F70)</f>
        <v>34000</v>
      </c>
      <c r="G65" s="874">
        <f t="shared" si="7"/>
        <v>34000</v>
      </c>
      <c r="H65" s="875">
        <f>SUM(H66:H70)</f>
        <v>0</v>
      </c>
      <c r="I65" s="875">
        <f>SUM(I66:I70)</f>
        <v>34000</v>
      </c>
      <c r="J65" s="874">
        <f>SUM(K65:L65)</f>
        <v>0</v>
      </c>
      <c r="K65" s="875">
        <f>SUM(K66:K70)</f>
        <v>0</v>
      </c>
      <c r="L65" s="875">
        <f>SUM(L66:L70)</f>
        <v>0</v>
      </c>
      <c r="M65" s="876">
        <f t="shared" si="9"/>
        <v>0</v>
      </c>
      <c r="N65" s="877">
        <f t="shared" si="10"/>
        <v>0</v>
      </c>
      <c r="O65" s="877">
        <f t="shared" si="11"/>
        <v>0</v>
      </c>
      <c r="P65" s="1065">
        <f t="shared" si="1"/>
        <v>0</v>
      </c>
      <c r="Q65" s="1065">
        <f t="shared" si="1"/>
        <v>0</v>
      </c>
      <c r="R65" s="1065">
        <f t="shared" si="1"/>
        <v>0</v>
      </c>
    </row>
    <row r="66" spans="1:24" ht="90.75" customHeight="1">
      <c r="A66" s="1160" t="s">
        <v>128</v>
      </c>
      <c r="B66" s="1084" t="s">
        <v>1056</v>
      </c>
      <c r="C66" s="1174"/>
      <c r="D66" s="1083">
        <f t="shared" si="6"/>
        <v>10000</v>
      </c>
      <c r="E66" s="1085">
        <v>0</v>
      </c>
      <c r="F66" s="1085">
        <v>10000</v>
      </c>
      <c r="G66" s="1083">
        <f t="shared" si="7"/>
        <v>10000</v>
      </c>
      <c r="H66" s="1085">
        <v>0</v>
      </c>
      <c r="I66" s="1085">
        <v>10000</v>
      </c>
      <c r="J66" s="2440"/>
      <c r="K66" s="2412"/>
      <c r="L66" s="2412"/>
      <c r="M66" s="2415">
        <f>IF(J66=0,0,J66/G66:G70*100)</f>
        <v>0</v>
      </c>
      <c r="N66" s="2415">
        <f>IF(K66=0,0,K66/H66:H70*100)</f>
        <v>0</v>
      </c>
      <c r="O66" s="2415">
        <f>IF(L66=0,0,L66/I66:I70*100)</f>
        <v>0</v>
      </c>
      <c r="P66" s="1065">
        <f t="shared" si="1"/>
        <v>0</v>
      </c>
      <c r="Q66" s="1065">
        <f t="shared" si="1"/>
        <v>0</v>
      </c>
      <c r="R66" s="1065">
        <f t="shared" si="1"/>
        <v>0</v>
      </c>
      <c r="S66" s="2410" t="s">
        <v>886</v>
      </c>
      <c r="T66" s="2410" t="s">
        <v>966</v>
      </c>
      <c r="U66" s="2410">
        <v>522</v>
      </c>
      <c r="V66" s="2410" t="s">
        <v>979</v>
      </c>
      <c r="W66" s="2410"/>
    </row>
    <row r="67" spans="1:24" ht="150.75" customHeight="1">
      <c r="A67" s="1160" t="s">
        <v>158</v>
      </c>
      <c r="B67" s="1084" t="s">
        <v>1057</v>
      </c>
      <c r="C67" s="1174"/>
      <c r="D67" s="1083">
        <f t="shared" si="6"/>
        <v>6400</v>
      </c>
      <c r="E67" s="1085">
        <v>0</v>
      </c>
      <c r="F67" s="1085">
        <v>6400</v>
      </c>
      <c r="G67" s="1083">
        <f t="shared" si="7"/>
        <v>6400</v>
      </c>
      <c r="H67" s="1085">
        <v>0</v>
      </c>
      <c r="I67" s="1085">
        <v>6400</v>
      </c>
      <c r="J67" s="2458"/>
      <c r="K67" s="2413"/>
      <c r="L67" s="2413"/>
      <c r="M67" s="2416"/>
      <c r="N67" s="2416"/>
      <c r="O67" s="2416"/>
      <c r="P67" s="1065">
        <f t="shared" si="1"/>
        <v>0</v>
      </c>
      <c r="Q67" s="1065">
        <f t="shared" si="1"/>
        <v>0</v>
      </c>
      <c r="R67" s="1065">
        <f t="shared" si="1"/>
        <v>0</v>
      </c>
      <c r="S67" s="2410"/>
      <c r="T67" s="2410"/>
      <c r="U67" s="2410"/>
      <c r="V67" s="2410"/>
      <c r="W67" s="2410"/>
    </row>
    <row r="68" spans="1:24" ht="150.75" customHeight="1">
      <c r="A68" s="1160" t="s">
        <v>129</v>
      </c>
      <c r="B68" s="1084" t="s">
        <v>1058</v>
      </c>
      <c r="C68" s="1174"/>
      <c r="D68" s="1083">
        <f t="shared" si="6"/>
        <v>4600</v>
      </c>
      <c r="E68" s="1085">
        <v>0</v>
      </c>
      <c r="F68" s="1085">
        <v>4600</v>
      </c>
      <c r="G68" s="1083">
        <f t="shared" si="7"/>
        <v>4600</v>
      </c>
      <c r="H68" s="1085">
        <v>0</v>
      </c>
      <c r="I68" s="1085">
        <v>4600</v>
      </c>
      <c r="J68" s="2458"/>
      <c r="K68" s="2413"/>
      <c r="L68" s="2413"/>
      <c r="M68" s="2416"/>
      <c r="N68" s="2416"/>
      <c r="O68" s="2416"/>
      <c r="P68" s="1065">
        <f t="shared" si="1"/>
        <v>0</v>
      </c>
      <c r="Q68" s="1065">
        <f t="shared" si="1"/>
        <v>0</v>
      </c>
      <c r="R68" s="1065">
        <f t="shared" si="1"/>
        <v>0</v>
      </c>
      <c r="S68" s="2410"/>
      <c r="T68" s="2410"/>
      <c r="U68" s="2410"/>
      <c r="V68" s="2410"/>
      <c r="W68" s="2410"/>
    </row>
    <row r="69" spans="1:24" ht="133.5" customHeight="1">
      <c r="A69" s="1160" t="s">
        <v>159</v>
      </c>
      <c r="B69" s="1084" t="s">
        <v>1059</v>
      </c>
      <c r="C69" s="1174"/>
      <c r="D69" s="1083">
        <f t="shared" si="6"/>
        <v>10000</v>
      </c>
      <c r="E69" s="1085">
        <v>0</v>
      </c>
      <c r="F69" s="1085">
        <v>10000</v>
      </c>
      <c r="G69" s="1083">
        <f t="shared" si="7"/>
        <v>10000</v>
      </c>
      <c r="H69" s="1085">
        <v>0</v>
      </c>
      <c r="I69" s="1085">
        <v>10000</v>
      </c>
      <c r="J69" s="2458"/>
      <c r="K69" s="2413"/>
      <c r="L69" s="2413"/>
      <c r="M69" s="2416"/>
      <c r="N69" s="2416"/>
      <c r="O69" s="2416"/>
      <c r="P69" s="1065">
        <f t="shared" si="1"/>
        <v>0</v>
      </c>
      <c r="Q69" s="1065">
        <f t="shared" si="1"/>
        <v>0</v>
      </c>
      <c r="R69" s="1065">
        <f t="shared" si="1"/>
        <v>0</v>
      </c>
      <c r="S69" s="2410"/>
      <c r="T69" s="2410"/>
      <c r="U69" s="2410"/>
      <c r="V69" s="2410"/>
      <c r="W69" s="2410"/>
    </row>
    <row r="70" spans="1:24" ht="138.75" customHeight="1">
      <c r="A70" s="1160" t="s">
        <v>130</v>
      </c>
      <c r="B70" s="1084" t="s">
        <v>1060</v>
      </c>
      <c r="C70" s="1197"/>
      <c r="D70" s="1083">
        <f t="shared" si="6"/>
        <v>3000</v>
      </c>
      <c r="E70" s="1085">
        <v>0</v>
      </c>
      <c r="F70" s="1085">
        <v>3000</v>
      </c>
      <c r="G70" s="1083">
        <f t="shared" si="7"/>
        <v>3000</v>
      </c>
      <c r="H70" s="1085">
        <v>0</v>
      </c>
      <c r="I70" s="1085">
        <v>3000</v>
      </c>
      <c r="J70" s="2441"/>
      <c r="K70" s="2414"/>
      <c r="L70" s="2414"/>
      <c r="M70" s="2417"/>
      <c r="N70" s="2417"/>
      <c r="O70" s="2417"/>
      <c r="P70" s="1065">
        <f t="shared" si="1"/>
        <v>0</v>
      </c>
      <c r="Q70" s="1065">
        <f t="shared" si="1"/>
        <v>0</v>
      </c>
      <c r="R70" s="1065">
        <f t="shared" si="1"/>
        <v>0</v>
      </c>
      <c r="S70" s="2410"/>
      <c r="T70" s="2410"/>
      <c r="U70" s="2410"/>
      <c r="V70" s="2410"/>
      <c r="W70" s="2410"/>
    </row>
    <row r="71" spans="1:24" s="914" customFormat="1" ht="79.5" customHeight="1">
      <c r="A71" s="1160"/>
      <c r="B71" s="1089" t="s">
        <v>444</v>
      </c>
      <c r="C71" s="1177"/>
      <c r="D71" s="1090">
        <f>E71+F71</f>
        <v>325874.2</v>
      </c>
      <c r="E71" s="1091">
        <f>SUM(E72,E75,E78,E80,E82,E84,E87)</f>
        <v>306319.5</v>
      </c>
      <c r="F71" s="1091">
        <f>SUM(F72,F75,F78,F82,F80,F84,F87)</f>
        <v>19554.7</v>
      </c>
      <c r="G71" s="1090">
        <f>H71+I71</f>
        <v>234917.1</v>
      </c>
      <c r="H71" s="1091">
        <f>SUM(H72,H75,H78,H80,H82,H84,H87)</f>
        <v>220820.4</v>
      </c>
      <c r="I71" s="1091">
        <f>SUM(I72,I75,I78,I82,I80,I84,I87)</f>
        <v>14096.7</v>
      </c>
      <c r="J71" s="1090">
        <f>K71+L71</f>
        <v>4237</v>
      </c>
      <c r="K71" s="1091">
        <f>SUM(K72,K75,K78,K80,K82,K84,K87)</f>
        <v>3982.7</v>
      </c>
      <c r="L71" s="1091">
        <f>SUM(L72,L75,L78,L82,L80,L84,L87)</f>
        <v>254.3</v>
      </c>
      <c r="M71" s="1092">
        <f t="shared" ref="M71:M91" si="12">IF(J71=0,0,J71/G71*100)</f>
        <v>1.8</v>
      </c>
      <c r="N71" s="1093">
        <f t="shared" ref="N71:N91" si="13">IF(K71=0,0,K71/H71*100)</f>
        <v>1.8</v>
      </c>
      <c r="O71" s="1093">
        <f t="shared" ref="O71:O91" si="14">IF(L71=0,0,L71/I71*100)</f>
        <v>1.8</v>
      </c>
      <c r="P71" s="1065">
        <f t="shared" si="1"/>
        <v>90957.1</v>
      </c>
      <c r="Q71" s="1065">
        <f t="shared" si="1"/>
        <v>85499.1</v>
      </c>
      <c r="R71" s="1065">
        <f t="shared" si="1"/>
        <v>5458</v>
      </c>
      <c r="S71" s="1099"/>
      <c r="T71" s="1100"/>
      <c r="U71" s="1099"/>
      <c r="V71" s="1099"/>
      <c r="W71" s="1098"/>
      <c r="X71" s="913"/>
    </row>
    <row r="72" spans="1:24" ht="38.25" customHeight="1">
      <c r="A72" s="1160"/>
      <c r="B72" s="1076" t="s">
        <v>431</v>
      </c>
      <c r="C72" s="1178"/>
      <c r="D72" s="874">
        <f t="shared" ref="D72:D123" si="15">SUM(E72:F72)</f>
        <v>53340.2</v>
      </c>
      <c r="E72" s="880">
        <f>E73+E74</f>
        <v>50139.4</v>
      </c>
      <c r="F72" s="880">
        <f>F73+F74</f>
        <v>3200.8</v>
      </c>
      <c r="G72" s="874">
        <f t="shared" ref="G72:G123" si="16">SUM(H72:I72)</f>
        <v>19433</v>
      </c>
      <c r="H72" s="880">
        <f>H73+H74</f>
        <v>18266.8</v>
      </c>
      <c r="I72" s="880">
        <f>I73+I74</f>
        <v>1166.2</v>
      </c>
      <c r="J72" s="874">
        <f t="shared" ref="J72:J123" si="17">SUM(K72:L72)</f>
        <v>0</v>
      </c>
      <c r="K72" s="880">
        <f>K73+K74</f>
        <v>0</v>
      </c>
      <c r="L72" s="880">
        <f>L73+L74</f>
        <v>0</v>
      </c>
      <c r="M72" s="877">
        <f t="shared" si="12"/>
        <v>0</v>
      </c>
      <c r="N72" s="877">
        <f t="shared" si="13"/>
        <v>0</v>
      </c>
      <c r="O72" s="877">
        <f t="shared" si="14"/>
        <v>0</v>
      </c>
      <c r="P72" s="1065">
        <f t="shared" si="1"/>
        <v>33907.199999999997</v>
      </c>
      <c r="Q72" s="1065">
        <f t="shared" si="1"/>
        <v>31872.6</v>
      </c>
      <c r="R72" s="1065">
        <f t="shared" si="1"/>
        <v>2034.6</v>
      </c>
    </row>
    <row r="73" spans="1:24">
      <c r="A73" s="895">
        <v>36</v>
      </c>
      <c r="B73" s="1077" t="s">
        <v>690</v>
      </c>
      <c r="C73" s="1179"/>
      <c r="D73" s="1083">
        <f t="shared" si="15"/>
        <v>11063.4</v>
      </c>
      <c r="E73" s="879">
        <f>10318.8+80.6</f>
        <v>10399.4</v>
      </c>
      <c r="F73" s="879">
        <f>658.8+5.15</f>
        <v>664</v>
      </c>
      <c r="G73" s="1083">
        <f t="shared" si="16"/>
        <v>10977.6</v>
      </c>
      <c r="H73" s="879">
        <v>10318.799999999999</v>
      </c>
      <c r="I73" s="879">
        <v>658.8</v>
      </c>
      <c r="J73" s="1083">
        <f t="shared" si="17"/>
        <v>0</v>
      </c>
      <c r="K73" s="879">
        <v>0</v>
      </c>
      <c r="L73" s="879">
        <v>0</v>
      </c>
      <c r="M73" s="877">
        <f t="shared" si="12"/>
        <v>0</v>
      </c>
      <c r="N73" s="877">
        <f t="shared" si="13"/>
        <v>0</v>
      </c>
      <c r="O73" s="877">
        <f t="shared" si="14"/>
        <v>0</v>
      </c>
      <c r="P73" s="1065">
        <f t="shared" si="1"/>
        <v>85.8</v>
      </c>
      <c r="Q73" s="1065">
        <f t="shared" si="1"/>
        <v>80.599999999999994</v>
      </c>
      <c r="R73" s="1065">
        <f t="shared" si="1"/>
        <v>5.2</v>
      </c>
      <c r="S73" s="1099" t="s">
        <v>954</v>
      </c>
      <c r="T73" s="1100" t="s">
        <v>974</v>
      </c>
      <c r="U73" s="1099">
        <v>522</v>
      </c>
      <c r="V73" s="1099" t="s">
        <v>958</v>
      </c>
    </row>
    <row r="74" spans="1:24">
      <c r="A74" s="1160" t="s">
        <v>532</v>
      </c>
      <c r="B74" s="1077" t="s">
        <v>689</v>
      </c>
      <c r="C74" s="1179"/>
      <c r="D74" s="1083">
        <f t="shared" si="15"/>
        <v>42276.800000000003</v>
      </c>
      <c r="E74" s="879">
        <f>7948+31792</f>
        <v>39740</v>
      </c>
      <c r="F74" s="879">
        <f>507.4+2029.44</f>
        <v>2536.8000000000002</v>
      </c>
      <c r="G74" s="1083">
        <f t="shared" si="16"/>
        <v>8455.4</v>
      </c>
      <c r="H74" s="879">
        <v>7948</v>
      </c>
      <c r="I74" s="879">
        <v>507.4</v>
      </c>
      <c r="J74" s="1083">
        <f t="shared" si="17"/>
        <v>0</v>
      </c>
      <c r="K74" s="879">
        <v>0</v>
      </c>
      <c r="L74" s="879">
        <v>0</v>
      </c>
      <c r="M74" s="877">
        <f t="shared" si="12"/>
        <v>0</v>
      </c>
      <c r="N74" s="877">
        <f t="shared" si="13"/>
        <v>0</v>
      </c>
      <c r="O74" s="877">
        <f t="shared" si="14"/>
        <v>0</v>
      </c>
      <c r="P74" s="1065">
        <f t="shared" si="1"/>
        <v>33821.4</v>
      </c>
      <c r="Q74" s="1065">
        <f t="shared" si="1"/>
        <v>31792</v>
      </c>
      <c r="R74" s="1065">
        <f t="shared" si="1"/>
        <v>2029.4</v>
      </c>
      <c r="S74" s="1099" t="s">
        <v>886</v>
      </c>
      <c r="T74" s="1100" t="s">
        <v>973</v>
      </c>
      <c r="U74" s="1099">
        <v>522</v>
      </c>
      <c r="V74" s="1099" t="s">
        <v>890</v>
      </c>
    </row>
    <row r="75" spans="1:24" ht="37.5" customHeight="1">
      <c r="A75" s="1160"/>
      <c r="B75" s="898" t="s">
        <v>457</v>
      </c>
      <c r="C75" s="1173"/>
      <c r="D75" s="874">
        <f t="shared" si="15"/>
        <v>39454.5</v>
      </c>
      <c r="E75" s="881">
        <f>SUM(E76:E77)</f>
        <v>37086.9</v>
      </c>
      <c r="F75" s="881">
        <f>SUM(F76:F77)</f>
        <v>2367.6</v>
      </c>
      <c r="G75" s="874">
        <f t="shared" si="16"/>
        <v>14332.1</v>
      </c>
      <c r="H75" s="881">
        <f>SUM(H76:H77)</f>
        <v>13472</v>
      </c>
      <c r="I75" s="881">
        <f>SUM(I76:I77)</f>
        <v>860.1</v>
      </c>
      <c r="J75" s="874">
        <f t="shared" si="17"/>
        <v>0</v>
      </c>
      <c r="K75" s="881">
        <f>SUM(K76:K77)</f>
        <v>0</v>
      </c>
      <c r="L75" s="881">
        <f>SUM(L76:L77)</f>
        <v>0</v>
      </c>
      <c r="M75" s="882">
        <f t="shared" si="12"/>
        <v>0</v>
      </c>
      <c r="N75" s="875">
        <f t="shared" si="13"/>
        <v>0</v>
      </c>
      <c r="O75" s="875">
        <f t="shared" si="14"/>
        <v>0</v>
      </c>
      <c r="P75" s="1065">
        <f t="shared" si="1"/>
        <v>25122.400000000001</v>
      </c>
      <c r="Q75" s="1065">
        <f t="shared" si="1"/>
        <v>23614.9</v>
      </c>
      <c r="R75" s="1065">
        <f t="shared" si="1"/>
        <v>1507.5</v>
      </c>
    </row>
    <row r="76" spans="1:24" ht="108" customHeight="1">
      <c r="A76" s="1160" t="s">
        <v>161</v>
      </c>
      <c r="B76" s="1163" t="s">
        <v>838</v>
      </c>
      <c r="C76" s="895"/>
      <c r="D76" s="1083">
        <f t="shared" si="15"/>
        <v>8075.8</v>
      </c>
      <c r="E76" s="879">
        <f>7572.8+18.33</f>
        <v>7591.1</v>
      </c>
      <c r="F76" s="879">
        <f>483.5+1.17</f>
        <v>484.7</v>
      </c>
      <c r="G76" s="1083">
        <f t="shared" si="16"/>
        <v>8056.3</v>
      </c>
      <c r="H76" s="879">
        <v>7572.8</v>
      </c>
      <c r="I76" s="879">
        <v>483.5</v>
      </c>
      <c r="J76" s="1083">
        <f t="shared" si="17"/>
        <v>0</v>
      </c>
      <c r="K76" s="879">
        <v>0</v>
      </c>
      <c r="L76" s="879">
        <v>0</v>
      </c>
      <c r="M76" s="877">
        <f t="shared" si="12"/>
        <v>0</v>
      </c>
      <c r="N76" s="877">
        <f t="shared" si="13"/>
        <v>0</v>
      </c>
      <c r="O76" s="877">
        <f t="shared" si="14"/>
        <v>0</v>
      </c>
      <c r="P76" s="1065">
        <f t="shared" si="1"/>
        <v>19.5</v>
      </c>
      <c r="Q76" s="1065">
        <f t="shared" si="1"/>
        <v>18.3</v>
      </c>
      <c r="R76" s="1065">
        <f t="shared" si="1"/>
        <v>1.2</v>
      </c>
      <c r="S76" s="1099">
        <v>1102</v>
      </c>
      <c r="T76" s="1100" t="s">
        <v>981</v>
      </c>
      <c r="U76" s="1099">
        <v>522</v>
      </c>
      <c r="V76" s="1099" t="s">
        <v>958</v>
      </c>
    </row>
    <row r="77" spans="1:24" ht="35.25" customHeight="1">
      <c r="A77" s="895">
        <v>39</v>
      </c>
      <c r="B77" s="1075" t="s">
        <v>678</v>
      </c>
      <c r="C77" s="1176"/>
      <c r="D77" s="1083">
        <f t="shared" si="15"/>
        <v>31378.7</v>
      </c>
      <c r="E77" s="879">
        <f>5899.2+23596.6</f>
        <v>29495.8</v>
      </c>
      <c r="F77" s="879">
        <f>376.6+1506.29</f>
        <v>1882.9</v>
      </c>
      <c r="G77" s="1083">
        <f t="shared" si="16"/>
        <v>6275.8</v>
      </c>
      <c r="H77" s="879">
        <v>5899.2</v>
      </c>
      <c r="I77" s="879">
        <v>376.6</v>
      </c>
      <c r="J77" s="1083">
        <f t="shared" si="17"/>
        <v>0</v>
      </c>
      <c r="K77" s="879">
        <v>0</v>
      </c>
      <c r="L77" s="879">
        <v>0</v>
      </c>
      <c r="M77" s="877">
        <f t="shared" si="12"/>
        <v>0</v>
      </c>
      <c r="N77" s="877">
        <f t="shared" si="13"/>
        <v>0</v>
      </c>
      <c r="O77" s="877">
        <f t="shared" si="14"/>
        <v>0</v>
      </c>
      <c r="P77" s="1065">
        <f t="shared" si="1"/>
        <v>25102.9</v>
      </c>
      <c r="Q77" s="1065">
        <f t="shared" si="1"/>
        <v>23596.6</v>
      </c>
      <c r="R77" s="1065">
        <f t="shared" si="1"/>
        <v>1506.3</v>
      </c>
      <c r="S77" s="1099" t="s">
        <v>886</v>
      </c>
      <c r="T77" s="1100" t="s">
        <v>980</v>
      </c>
      <c r="U77" s="1099">
        <v>522</v>
      </c>
      <c r="V77" s="1099" t="s">
        <v>890</v>
      </c>
    </row>
    <row r="78" spans="1:24" ht="33" customHeight="1">
      <c r="A78" s="1160"/>
      <c r="B78" s="898" t="s">
        <v>433</v>
      </c>
      <c r="C78" s="1173"/>
      <c r="D78" s="874">
        <f t="shared" si="15"/>
        <v>14049.3</v>
      </c>
      <c r="E78" s="875">
        <f>E79</f>
        <v>13206.2</v>
      </c>
      <c r="F78" s="875">
        <f>F79</f>
        <v>843.1</v>
      </c>
      <c r="G78" s="874">
        <f t="shared" si="16"/>
        <v>14049.3</v>
      </c>
      <c r="H78" s="875">
        <f>H79</f>
        <v>13206.2</v>
      </c>
      <c r="I78" s="875">
        <f>I79</f>
        <v>843.1</v>
      </c>
      <c r="J78" s="874">
        <f t="shared" si="17"/>
        <v>3862.8</v>
      </c>
      <c r="K78" s="875">
        <f>K79</f>
        <v>3631</v>
      </c>
      <c r="L78" s="875">
        <f>L79</f>
        <v>231.8</v>
      </c>
      <c r="M78" s="882">
        <f t="shared" si="12"/>
        <v>27.5</v>
      </c>
      <c r="N78" s="883">
        <f t="shared" si="13"/>
        <v>27.5</v>
      </c>
      <c r="O78" s="883">
        <f t="shared" si="14"/>
        <v>27.5</v>
      </c>
      <c r="P78" s="1065">
        <f t="shared" si="1"/>
        <v>0</v>
      </c>
      <c r="Q78" s="1065">
        <f t="shared" si="1"/>
        <v>0</v>
      </c>
      <c r="R78" s="1065">
        <f t="shared" si="1"/>
        <v>0</v>
      </c>
    </row>
    <row r="79" spans="1:24" ht="29.25" customHeight="1">
      <c r="A79" s="1160" t="s">
        <v>131</v>
      </c>
      <c r="B79" s="1084" t="s">
        <v>679</v>
      </c>
      <c r="C79" s="1174"/>
      <c r="D79" s="1083">
        <f t="shared" si="15"/>
        <v>14049.3</v>
      </c>
      <c r="E79" s="1085">
        <v>13206.2</v>
      </c>
      <c r="F79" s="1085">
        <v>843.1</v>
      </c>
      <c r="G79" s="1083">
        <f t="shared" si="16"/>
        <v>14049.3</v>
      </c>
      <c r="H79" s="1085">
        <v>13206.2</v>
      </c>
      <c r="I79" s="1085">
        <v>843.1</v>
      </c>
      <c r="J79" s="1083">
        <f t="shared" si="17"/>
        <v>3862.8</v>
      </c>
      <c r="K79" s="1085">
        <v>3631</v>
      </c>
      <c r="L79" s="1085">
        <v>231.8</v>
      </c>
      <c r="M79" s="877">
        <f t="shared" si="12"/>
        <v>27.5</v>
      </c>
      <c r="N79" s="877">
        <f t="shared" si="13"/>
        <v>27.5</v>
      </c>
      <c r="O79" s="877">
        <f t="shared" si="14"/>
        <v>27.5</v>
      </c>
      <c r="P79" s="1065">
        <f t="shared" si="1"/>
        <v>0</v>
      </c>
      <c r="Q79" s="1065">
        <f t="shared" si="1"/>
        <v>0</v>
      </c>
      <c r="R79" s="1065">
        <f t="shared" si="1"/>
        <v>0</v>
      </c>
      <c r="S79" s="1099" t="s">
        <v>954</v>
      </c>
      <c r="T79" s="1100" t="s">
        <v>982</v>
      </c>
      <c r="U79" s="1099">
        <v>522</v>
      </c>
      <c r="V79" s="1099" t="s">
        <v>958</v>
      </c>
    </row>
    <row r="80" spans="1:24" ht="33.75" customHeight="1">
      <c r="A80" s="895"/>
      <c r="B80" s="898" t="s">
        <v>458</v>
      </c>
      <c r="C80" s="1173"/>
      <c r="D80" s="874">
        <f t="shared" si="15"/>
        <v>11408.6</v>
      </c>
      <c r="E80" s="875">
        <f>E81</f>
        <v>10724</v>
      </c>
      <c r="F80" s="875">
        <f>F81</f>
        <v>684.6</v>
      </c>
      <c r="G80" s="874">
        <f t="shared" si="16"/>
        <v>11408.6</v>
      </c>
      <c r="H80" s="875">
        <f>H81</f>
        <v>10724</v>
      </c>
      <c r="I80" s="875">
        <f>I81</f>
        <v>684.6</v>
      </c>
      <c r="J80" s="874">
        <f t="shared" si="17"/>
        <v>0</v>
      </c>
      <c r="K80" s="875">
        <f>K81</f>
        <v>0</v>
      </c>
      <c r="L80" s="875">
        <f>L81</f>
        <v>0</v>
      </c>
      <c r="M80" s="882">
        <f t="shared" si="12"/>
        <v>0</v>
      </c>
      <c r="N80" s="883">
        <f t="shared" si="13"/>
        <v>0</v>
      </c>
      <c r="O80" s="883">
        <f t="shared" si="14"/>
        <v>0</v>
      </c>
      <c r="P80" s="1065">
        <f t="shared" ref="P80:R95" si="18">D80-G80</f>
        <v>0</v>
      </c>
      <c r="Q80" s="1065">
        <f t="shared" si="18"/>
        <v>0</v>
      </c>
      <c r="R80" s="1065">
        <f t="shared" si="18"/>
        <v>0</v>
      </c>
    </row>
    <row r="81" spans="1:24" ht="60" customHeight="1">
      <c r="A81" s="1160" t="s">
        <v>555</v>
      </c>
      <c r="B81" s="1084" t="s">
        <v>680</v>
      </c>
      <c r="C81" s="1174"/>
      <c r="D81" s="1083">
        <f t="shared" si="15"/>
        <v>11408.6</v>
      </c>
      <c r="E81" s="1085">
        <v>10724</v>
      </c>
      <c r="F81" s="1085">
        <v>684.6</v>
      </c>
      <c r="G81" s="1083">
        <f t="shared" si="16"/>
        <v>11408.6</v>
      </c>
      <c r="H81" s="1085">
        <v>10724</v>
      </c>
      <c r="I81" s="1085">
        <v>684.6</v>
      </c>
      <c r="J81" s="1083">
        <f t="shared" si="17"/>
        <v>0</v>
      </c>
      <c r="K81" s="1083">
        <v>0</v>
      </c>
      <c r="L81" s="1083">
        <v>0</v>
      </c>
      <c r="M81" s="877">
        <f t="shared" si="12"/>
        <v>0</v>
      </c>
      <c r="N81" s="877">
        <f t="shared" si="13"/>
        <v>0</v>
      </c>
      <c r="O81" s="877">
        <f t="shared" si="14"/>
        <v>0</v>
      </c>
      <c r="P81" s="1065">
        <f t="shared" si="18"/>
        <v>0</v>
      </c>
      <c r="Q81" s="1065">
        <f t="shared" si="18"/>
        <v>0</v>
      </c>
      <c r="R81" s="1065">
        <f t="shared" si="18"/>
        <v>0</v>
      </c>
      <c r="S81" s="1099" t="s">
        <v>954</v>
      </c>
      <c r="T81" s="1100" t="s">
        <v>997</v>
      </c>
      <c r="U81" s="1099">
        <v>522</v>
      </c>
      <c r="V81" s="1099" t="s">
        <v>958</v>
      </c>
    </row>
    <row r="82" spans="1:24" ht="36" customHeight="1">
      <c r="A82" s="895"/>
      <c r="B82" s="898" t="s">
        <v>443</v>
      </c>
      <c r="C82" s="1173"/>
      <c r="D82" s="874">
        <f t="shared" si="15"/>
        <v>55847.5</v>
      </c>
      <c r="E82" s="875">
        <f>E83</f>
        <v>52496.6</v>
      </c>
      <c r="F82" s="875">
        <f>F83</f>
        <v>3350.9</v>
      </c>
      <c r="G82" s="874">
        <f t="shared" si="16"/>
        <v>55844.9</v>
      </c>
      <c r="H82" s="875">
        <f>H83</f>
        <v>52494.2</v>
      </c>
      <c r="I82" s="875">
        <f>I83</f>
        <v>3350.7</v>
      </c>
      <c r="J82" s="874">
        <f t="shared" si="17"/>
        <v>374.2</v>
      </c>
      <c r="K82" s="875">
        <f>K83</f>
        <v>351.7</v>
      </c>
      <c r="L82" s="875">
        <f>L83</f>
        <v>22.5</v>
      </c>
      <c r="M82" s="876">
        <f t="shared" si="12"/>
        <v>0.7</v>
      </c>
      <c r="N82" s="877">
        <f t="shared" si="13"/>
        <v>0.7</v>
      </c>
      <c r="O82" s="877">
        <f t="shared" si="14"/>
        <v>0.7</v>
      </c>
      <c r="P82" s="1065">
        <f t="shared" si="18"/>
        <v>2.6</v>
      </c>
      <c r="Q82" s="1065">
        <f t="shared" si="18"/>
        <v>2.4</v>
      </c>
      <c r="R82" s="1065">
        <f t="shared" si="18"/>
        <v>0.2</v>
      </c>
    </row>
    <row r="83" spans="1:24" ht="52.5">
      <c r="A83" s="1160" t="s">
        <v>556</v>
      </c>
      <c r="B83" s="1084" t="s">
        <v>681</v>
      </c>
      <c r="C83" s="1174"/>
      <c r="D83" s="1083">
        <f t="shared" si="15"/>
        <v>55847.5</v>
      </c>
      <c r="E83" s="1085">
        <f>52494.2+2.4</f>
        <v>52496.6</v>
      </c>
      <c r="F83" s="1085">
        <f>3350.7+0.16</f>
        <v>3350.9</v>
      </c>
      <c r="G83" s="1083">
        <f t="shared" si="16"/>
        <v>55844.9</v>
      </c>
      <c r="H83" s="1085">
        <v>52494.2</v>
      </c>
      <c r="I83" s="1085">
        <v>3350.7</v>
      </c>
      <c r="J83" s="1083">
        <f t="shared" si="17"/>
        <v>374.2</v>
      </c>
      <c r="K83" s="1083">
        <v>351.7</v>
      </c>
      <c r="L83" s="970">
        <v>22.45</v>
      </c>
      <c r="M83" s="877">
        <f t="shared" si="12"/>
        <v>0.7</v>
      </c>
      <c r="N83" s="877">
        <f t="shared" si="13"/>
        <v>0.7</v>
      </c>
      <c r="O83" s="877">
        <f t="shared" si="14"/>
        <v>0.7</v>
      </c>
      <c r="P83" s="1065">
        <f t="shared" si="18"/>
        <v>2.6</v>
      </c>
      <c r="Q83" s="1065">
        <f t="shared" si="18"/>
        <v>2.4</v>
      </c>
      <c r="R83" s="1065">
        <f t="shared" si="18"/>
        <v>0.2</v>
      </c>
      <c r="S83" s="1099" t="s">
        <v>874</v>
      </c>
      <c r="T83" s="1100" t="s">
        <v>984</v>
      </c>
      <c r="U83" s="1099">
        <v>522</v>
      </c>
      <c r="V83" s="1099" t="s">
        <v>985</v>
      </c>
    </row>
    <row r="84" spans="1:24" ht="31.5" customHeight="1">
      <c r="A84" s="895"/>
      <c r="B84" s="898" t="s">
        <v>281</v>
      </c>
      <c r="C84" s="1173"/>
      <c r="D84" s="874">
        <f t="shared" si="15"/>
        <v>115657.60000000001</v>
      </c>
      <c r="E84" s="875">
        <f>SUM(E85:E86)</f>
        <v>108717.1</v>
      </c>
      <c r="F84" s="875">
        <f>SUM(F85:F86)</f>
        <v>6940.5</v>
      </c>
      <c r="G84" s="874">
        <f t="shared" si="16"/>
        <v>110820.3</v>
      </c>
      <c r="H84" s="875">
        <f>SUM(H85:H86)</f>
        <v>104170.1</v>
      </c>
      <c r="I84" s="875">
        <f>SUM(I85:I86)</f>
        <v>6650.2</v>
      </c>
      <c r="J84" s="874">
        <f t="shared" si="17"/>
        <v>0</v>
      </c>
      <c r="K84" s="875">
        <f>SUM(K85:K86)</f>
        <v>0</v>
      </c>
      <c r="L84" s="875">
        <f>SUM(L85:L86)</f>
        <v>0</v>
      </c>
      <c r="M84" s="876">
        <f t="shared" si="12"/>
        <v>0</v>
      </c>
      <c r="N84" s="877">
        <f t="shared" si="13"/>
        <v>0</v>
      </c>
      <c r="O84" s="877">
        <f t="shared" si="14"/>
        <v>0</v>
      </c>
      <c r="P84" s="1065">
        <f t="shared" si="18"/>
        <v>4837.3</v>
      </c>
      <c r="Q84" s="1065">
        <f t="shared" si="18"/>
        <v>4547</v>
      </c>
      <c r="R84" s="1065">
        <f t="shared" si="18"/>
        <v>290.3</v>
      </c>
    </row>
    <row r="85" spans="1:24" ht="70.5" customHeight="1">
      <c r="A85" s="1157" t="s">
        <v>133</v>
      </c>
      <c r="B85" s="1086" t="s">
        <v>682</v>
      </c>
      <c r="C85" s="1180"/>
      <c r="D85" s="1161">
        <f t="shared" si="15"/>
        <v>84139</v>
      </c>
      <c r="E85" s="1088">
        <f>69176.7+5958.6+3954.5</f>
        <v>79089.8</v>
      </c>
      <c r="F85" s="1085">
        <f>9003.7-4207+252.5</f>
        <v>5049.2</v>
      </c>
      <c r="G85" s="1161">
        <f t="shared" si="16"/>
        <v>79932</v>
      </c>
      <c r="H85" s="1088">
        <v>75135.3</v>
      </c>
      <c r="I85" s="1085">
        <v>4796.7</v>
      </c>
      <c r="J85" s="1161">
        <f t="shared" si="17"/>
        <v>0</v>
      </c>
      <c r="K85" s="1161">
        <v>0</v>
      </c>
      <c r="L85" s="970">
        <v>0</v>
      </c>
      <c r="M85" s="1159">
        <f t="shared" si="12"/>
        <v>0</v>
      </c>
      <c r="N85" s="1159">
        <f t="shared" si="13"/>
        <v>0</v>
      </c>
      <c r="O85" s="883">
        <f t="shared" si="14"/>
        <v>0</v>
      </c>
      <c r="P85" s="1065">
        <f t="shared" si="18"/>
        <v>4207</v>
      </c>
      <c r="Q85" s="1065">
        <f t="shared" si="18"/>
        <v>3954.5</v>
      </c>
      <c r="R85" s="1065">
        <f t="shared" si="18"/>
        <v>252.5</v>
      </c>
      <c r="S85" s="1099" t="s">
        <v>928</v>
      </c>
      <c r="T85" s="1100" t="s">
        <v>987</v>
      </c>
      <c r="U85" s="1099">
        <v>522</v>
      </c>
      <c r="V85" s="1099" t="s">
        <v>930</v>
      </c>
    </row>
    <row r="86" spans="1:24">
      <c r="A86" s="1160" t="s">
        <v>162</v>
      </c>
      <c r="B86" s="1084" t="s">
        <v>683</v>
      </c>
      <c r="C86" s="1174"/>
      <c r="D86" s="1083">
        <f t="shared" si="15"/>
        <v>31518.6</v>
      </c>
      <c r="E86" s="1085">
        <f>29034.8+592.5</f>
        <v>29627.3</v>
      </c>
      <c r="F86" s="1085">
        <f>1853.5+37.83</f>
        <v>1891.3</v>
      </c>
      <c r="G86" s="1083">
        <f t="shared" si="16"/>
        <v>30888.3</v>
      </c>
      <c r="H86" s="1085">
        <v>29034.799999999999</v>
      </c>
      <c r="I86" s="1085">
        <v>1853.5</v>
      </c>
      <c r="J86" s="1083">
        <f t="shared" si="17"/>
        <v>0</v>
      </c>
      <c r="K86" s="1083">
        <v>0</v>
      </c>
      <c r="L86" s="1083">
        <v>0</v>
      </c>
      <c r="M86" s="877">
        <f t="shared" si="12"/>
        <v>0</v>
      </c>
      <c r="N86" s="877">
        <f t="shared" si="13"/>
        <v>0</v>
      </c>
      <c r="O86" s="877">
        <f t="shared" si="14"/>
        <v>0</v>
      </c>
      <c r="P86" s="1065">
        <f t="shared" si="18"/>
        <v>630.29999999999995</v>
      </c>
      <c r="Q86" s="1065">
        <f t="shared" si="18"/>
        <v>592.5</v>
      </c>
      <c r="R86" s="1065">
        <f t="shared" si="18"/>
        <v>37.799999999999997</v>
      </c>
      <c r="S86" s="1099" t="s">
        <v>954</v>
      </c>
      <c r="T86" s="1100" t="s">
        <v>998</v>
      </c>
      <c r="U86" s="1099">
        <v>522</v>
      </c>
      <c r="V86" s="1099" t="s">
        <v>958</v>
      </c>
    </row>
    <row r="87" spans="1:24" ht="31.5" customHeight="1">
      <c r="A87" s="1160"/>
      <c r="B87" s="898" t="s">
        <v>583</v>
      </c>
      <c r="C87" s="1173"/>
      <c r="D87" s="874">
        <f t="shared" si="15"/>
        <v>36116.5</v>
      </c>
      <c r="E87" s="875">
        <f>SUM(E88:E88)</f>
        <v>33949.300000000003</v>
      </c>
      <c r="F87" s="875">
        <f>SUM(F88:F88)</f>
        <v>2167.1999999999998</v>
      </c>
      <c r="G87" s="874">
        <f t="shared" si="16"/>
        <v>9028.9</v>
      </c>
      <c r="H87" s="875">
        <f>SUM(H88:H88)</f>
        <v>8487.1</v>
      </c>
      <c r="I87" s="875">
        <f>SUM(I88:I88)</f>
        <v>541.79999999999995</v>
      </c>
      <c r="J87" s="874">
        <f t="shared" si="17"/>
        <v>0</v>
      </c>
      <c r="K87" s="875">
        <f>SUM(K88:K88)</f>
        <v>0</v>
      </c>
      <c r="L87" s="875">
        <f>SUM(L88:L88)</f>
        <v>0</v>
      </c>
      <c r="M87" s="876">
        <f t="shared" si="12"/>
        <v>0</v>
      </c>
      <c r="N87" s="877">
        <f t="shared" si="13"/>
        <v>0</v>
      </c>
      <c r="O87" s="877">
        <f t="shared" si="14"/>
        <v>0</v>
      </c>
      <c r="P87" s="1065">
        <f t="shared" si="18"/>
        <v>27087.599999999999</v>
      </c>
      <c r="Q87" s="1065">
        <f t="shared" si="18"/>
        <v>25462.2</v>
      </c>
      <c r="R87" s="1065">
        <f t="shared" si="18"/>
        <v>1625.4</v>
      </c>
    </row>
    <row r="88" spans="1:24" ht="33.75" customHeight="1">
      <c r="A88" s="1160" t="s">
        <v>545</v>
      </c>
      <c r="B88" s="1077" t="s">
        <v>684</v>
      </c>
      <c r="C88" s="1179"/>
      <c r="D88" s="1083">
        <f t="shared" si="15"/>
        <v>36116.5</v>
      </c>
      <c r="E88" s="1085">
        <f>8487.1+25462.18</f>
        <v>33949.300000000003</v>
      </c>
      <c r="F88" s="1085">
        <f>541.8+1625.38</f>
        <v>2167.1999999999998</v>
      </c>
      <c r="G88" s="1083">
        <f t="shared" si="16"/>
        <v>9028.9</v>
      </c>
      <c r="H88" s="1085">
        <v>8487.1</v>
      </c>
      <c r="I88" s="1085">
        <v>541.79999999999995</v>
      </c>
      <c r="J88" s="1083">
        <f t="shared" si="17"/>
        <v>0</v>
      </c>
      <c r="K88" s="1083">
        <v>0</v>
      </c>
      <c r="L88" s="970">
        <v>0</v>
      </c>
      <c r="M88" s="877">
        <f t="shared" si="12"/>
        <v>0</v>
      </c>
      <c r="N88" s="877">
        <f t="shared" si="13"/>
        <v>0</v>
      </c>
      <c r="O88" s="877">
        <f t="shared" si="14"/>
        <v>0</v>
      </c>
      <c r="P88" s="1065">
        <f t="shared" si="18"/>
        <v>27087.599999999999</v>
      </c>
      <c r="Q88" s="1065">
        <f t="shared" si="18"/>
        <v>25462.2</v>
      </c>
      <c r="R88" s="1065">
        <f t="shared" si="18"/>
        <v>1625.4</v>
      </c>
      <c r="S88" s="1099" t="s">
        <v>886</v>
      </c>
      <c r="T88" s="1100" t="s">
        <v>996</v>
      </c>
      <c r="U88" s="1099">
        <v>522</v>
      </c>
      <c r="V88" s="1099" t="s">
        <v>890</v>
      </c>
    </row>
    <row r="89" spans="1:24" s="914" customFormat="1" ht="108.75" customHeight="1">
      <c r="A89" s="945" t="s">
        <v>2</v>
      </c>
      <c r="B89" s="1046" t="s">
        <v>313</v>
      </c>
      <c r="C89" s="1181"/>
      <c r="D89" s="1047">
        <f t="shared" si="15"/>
        <v>3640103.5</v>
      </c>
      <c r="E89" s="1047">
        <f>E90</f>
        <v>2888474.5</v>
      </c>
      <c r="F89" s="1047">
        <f>F90</f>
        <v>751629</v>
      </c>
      <c r="G89" s="1047">
        <f t="shared" si="16"/>
        <v>3516066.2</v>
      </c>
      <c r="H89" s="1047">
        <f>H90</f>
        <v>2771924.5</v>
      </c>
      <c r="I89" s="1047">
        <f>I90</f>
        <v>744141.7</v>
      </c>
      <c r="J89" s="1047">
        <f t="shared" si="17"/>
        <v>69140.399999999994</v>
      </c>
      <c r="K89" s="1047">
        <f>K90</f>
        <v>27785.200000000001</v>
      </c>
      <c r="L89" s="1047">
        <f>L90</f>
        <v>41355.199999999997</v>
      </c>
      <c r="M89" s="1048">
        <f t="shared" si="12"/>
        <v>2</v>
      </c>
      <c r="N89" s="1049">
        <f t="shared" si="13"/>
        <v>1</v>
      </c>
      <c r="O89" s="1049">
        <f t="shared" si="14"/>
        <v>5.6</v>
      </c>
      <c r="P89" s="1065">
        <f t="shared" si="18"/>
        <v>124037.3</v>
      </c>
      <c r="Q89" s="1065">
        <f t="shared" si="18"/>
        <v>116550</v>
      </c>
      <c r="R89" s="1065">
        <f t="shared" si="18"/>
        <v>7487.3</v>
      </c>
      <c r="S89" s="1099"/>
      <c r="T89" s="1100"/>
      <c r="U89" s="1099"/>
      <c r="V89" s="1099"/>
      <c r="W89" s="1098"/>
      <c r="X89" s="913"/>
    </row>
    <row r="90" spans="1:24" s="914" customFormat="1" ht="67.5" customHeight="1">
      <c r="A90" s="944" t="s">
        <v>246</v>
      </c>
      <c r="B90" s="932" t="s">
        <v>41</v>
      </c>
      <c r="C90" s="1182"/>
      <c r="D90" s="933">
        <f t="shared" si="15"/>
        <v>3640103.5</v>
      </c>
      <c r="E90" s="934">
        <f>SUM(E91:E145)</f>
        <v>2888474.5</v>
      </c>
      <c r="F90" s="934">
        <f>SUM(F91:F145)</f>
        <v>751629</v>
      </c>
      <c r="G90" s="933">
        <f>SUM(H90:I90)</f>
        <v>3516066.2</v>
      </c>
      <c r="H90" s="934">
        <f>SUM(H91:H145)</f>
        <v>2771924.5</v>
      </c>
      <c r="I90" s="934">
        <f>SUM(I91:I145)</f>
        <v>744141.7</v>
      </c>
      <c r="J90" s="933">
        <f t="shared" si="17"/>
        <v>69140.399999999994</v>
      </c>
      <c r="K90" s="934">
        <f>SUM(K91:K145)</f>
        <v>27785.200000000001</v>
      </c>
      <c r="L90" s="934">
        <f>SUM(L91:L145)</f>
        <v>41355.199999999997</v>
      </c>
      <c r="M90" s="935">
        <f t="shared" si="12"/>
        <v>2</v>
      </c>
      <c r="N90" s="936">
        <f t="shared" si="13"/>
        <v>1</v>
      </c>
      <c r="O90" s="936">
        <f t="shared" si="14"/>
        <v>5.6</v>
      </c>
      <c r="P90" s="1065">
        <f t="shared" si="18"/>
        <v>124037.3</v>
      </c>
      <c r="Q90" s="1065">
        <f t="shared" si="18"/>
        <v>116550</v>
      </c>
      <c r="R90" s="1065">
        <f t="shared" si="18"/>
        <v>7487.3</v>
      </c>
      <c r="S90" s="1099"/>
      <c r="T90" s="1100"/>
      <c r="U90" s="1099"/>
      <c r="V90" s="1099"/>
      <c r="W90" s="1098"/>
      <c r="X90" s="913"/>
    </row>
    <row r="91" spans="1:24" s="892" customFormat="1" ht="114" customHeight="1">
      <c r="A91" s="1120" t="s">
        <v>824</v>
      </c>
      <c r="B91" s="1066" t="s">
        <v>434</v>
      </c>
      <c r="C91" s="1172"/>
      <c r="D91" s="874">
        <f t="shared" si="15"/>
        <v>109862.6</v>
      </c>
      <c r="E91" s="877">
        <v>105115.4</v>
      </c>
      <c r="F91" s="877">
        <v>4747.2</v>
      </c>
      <c r="G91" s="882">
        <f t="shared" si="16"/>
        <v>109862.6</v>
      </c>
      <c r="H91" s="877">
        <f>105115.4</f>
        <v>105115.4</v>
      </c>
      <c r="I91" s="877">
        <v>4747.2</v>
      </c>
      <c r="J91" s="882">
        <f t="shared" si="17"/>
        <v>4747.1000000000004</v>
      </c>
      <c r="K91" s="877">
        <v>0</v>
      </c>
      <c r="L91" s="877">
        <v>4747.1000000000004</v>
      </c>
      <c r="M91" s="876">
        <f t="shared" si="12"/>
        <v>4.3</v>
      </c>
      <c r="N91" s="877">
        <f t="shared" si="13"/>
        <v>0</v>
      </c>
      <c r="O91" s="877">
        <f t="shared" si="14"/>
        <v>100</v>
      </c>
      <c r="P91" s="1065">
        <f t="shared" si="18"/>
        <v>0</v>
      </c>
      <c r="Q91" s="1065">
        <f t="shared" si="18"/>
        <v>0</v>
      </c>
      <c r="R91" s="1065">
        <f t="shared" si="18"/>
        <v>0</v>
      </c>
      <c r="S91" s="1099" t="s">
        <v>880</v>
      </c>
      <c r="T91" s="1100" t="s">
        <v>881</v>
      </c>
      <c r="U91" s="1099" t="s">
        <v>882</v>
      </c>
      <c r="V91" s="1099"/>
      <c r="W91" s="1098"/>
      <c r="X91" s="1118"/>
    </row>
    <row r="92" spans="1:24" ht="106.5" customHeight="1">
      <c r="A92" s="1160" t="s">
        <v>557</v>
      </c>
      <c r="B92" s="973" t="s">
        <v>793</v>
      </c>
      <c r="C92" s="1183"/>
      <c r="D92" s="874">
        <f t="shared" si="15"/>
        <v>5176.2</v>
      </c>
      <c r="E92" s="879">
        <v>0</v>
      </c>
      <c r="F92" s="879">
        <v>5176.2</v>
      </c>
      <c r="G92" s="874">
        <f>SUM(H92:I92)</f>
        <v>5176.2</v>
      </c>
      <c r="H92" s="879">
        <v>0</v>
      </c>
      <c r="I92" s="879">
        <v>5176.2</v>
      </c>
      <c r="J92" s="874">
        <f t="shared" si="17"/>
        <v>0</v>
      </c>
      <c r="K92" s="879">
        <v>0</v>
      </c>
      <c r="L92" s="879">
        <v>0</v>
      </c>
      <c r="M92" s="876">
        <v>0</v>
      </c>
      <c r="N92" s="877">
        <f t="shared" ref="N92:N100" si="19">IF(K92=0,0,K92/H92*100)</f>
        <v>0</v>
      </c>
      <c r="O92" s="877">
        <f t="shared" ref="O92:O100" si="20">IF(L92=0,0,L92/I92*100)</f>
        <v>0</v>
      </c>
      <c r="P92" s="1065">
        <f t="shared" si="18"/>
        <v>0</v>
      </c>
      <c r="Q92" s="1065">
        <f t="shared" si="18"/>
        <v>0</v>
      </c>
      <c r="R92" s="1065">
        <f t="shared" si="18"/>
        <v>0</v>
      </c>
      <c r="S92" s="1099" t="s">
        <v>886</v>
      </c>
      <c r="T92" s="1100" t="s">
        <v>895</v>
      </c>
      <c r="U92" s="1099">
        <v>414</v>
      </c>
      <c r="V92" s="1099">
        <v>30131</v>
      </c>
    </row>
    <row r="93" spans="1:24" ht="52.5">
      <c r="A93" s="1160" t="s">
        <v>558</v>
      </c>
      <c r="B93" s="973" t="s">
        <v>661</v>
      </c>
      <c r="C93" s="1183"/>
      <c r="D93" s="874">
        <f t="shared" si="15"/>
        <v>10224.4</v>
      </c>
      <c r="E93" s="879">
        <v>0</v>
      </c>
      <c r="F93" s="879">
        <v>10224.4</v>
      </c>
      <c r="G93" s="874">
        <f t="shared" si="16"/>
        <v>10224.4</v>
      </c>
      <c r="H93" s="879">
        <v>0</v>
      </c>
      <c r="I93" s="879">
        <v>10224.4</v>
      </c>
      <c r="J93" s="874">
        <f t="shared" si="17"/>
        <v>0</v>
      </c>
      <c r="K93" s="879">
        <v>0</v>
      </c>
      <c r="L93" s="879">
        <v>0</v>
      </c>
      <c r="M93" s="876">
        <v>0</v>
      </c>
      <c r="N93" s="877">
        <f t="shared" si="19"/>
        <v>0</v>
      </c>
      <c r="O93" s="877">
        <f t="shared" si="20"/>
        <v>0</v>
      </c>
      <c r="P93" s="1065">
        <f t="shared" si="18"/>
        <v>0</v>
      </c>
      <c r="Q93" s="1065">
        <f t="shared" si="18"/>
        <v>0</v>
      </c>
      <c r="R93" s="1065">
        <f t="shared" si="18"/>
        <v>0</v>
      </c>
      <c r="S93" s="1099" t="s">
        <v>886</v>
      </c>
      <c r="T93" s="1100" t="s">
        <v>887</v>
      </c>
      <c r="U93" s="1099">
        <v>414</v>
      </c>
      <c r="V93" s="1099">
        <v>14037</v>
      </c>
    </row>
    <row r="94" spans="1:24" ht="60" customHeight="1">
      <c r="A94" s="1160" t="s">
        <v>559</v>
      </c>
      <c r="B94" s="973" t="s">
        <v>662</v>
      </c>
      <c r="C94" s="1183"/>
      <c r="D94" s="874">
        <f t="shared" si="15"/>
        <v>2373</v>
      </c>
      <c r="E94" s="879">
        <v>0</v>
      </c>
      <c r="F94" s="879">
        <v>2373</v>
      </c>
      <c r="G94" s="874">
        <f t="shared" si="16"/>
        <v>2373</v>
      </c>
      <c r="H94" s="879">
        <v>0</v>
      </c>
      <c r="I94" s="879">
        <v>2373</v>
      </c>
      <c r="J94" s="874">
        <f t="shared" si="17"/>
        <v>0</v>
      </c>
      <c r="K94" s="879">
        <v>0</v>
      </c>
      <c r="L94" s="879">
        <v>0</v>
      </c>
      <c r="M94" s="876">
        <v>0</v>
      </c>
      <c r="N94" s="877">
        <f t="shared" si="19"/>
        <v>0</v>
      </c>
      <c r="O94" s="877">
        <f t="shared" si="20"/>
        <v>0</v>
      </c>
      <c r="P94" s="1065">
        <f t="shared" si="18"/>
        <v>0</v>
      </c>
      <c r="Q94" s="1065">
        <f t="shared" si="18"/>
        <v>0</v>
      </c>
      <c r="R94" s="1065">
        <f t="shared" si="18"/>
        <v>0</v>
      </c>
      <c r="S94" s="1099" t="s">
        <v>886</v>
      </c>
      <c r="T94" s="1100" t="s">
        <v>888</v>
      </c>
      <c r="U94" s="1099">
        <v>141</v>
      </c>
      <c r="V94" s="1099">
        <v>14038</v>
      </c>
    </row>
    <row r="95" spans="1:24" ht="86.25" customHeight="1">
      <c r="A95" s="1160" t="s">
        <v>560</v>
      </c>
      <c r="B95" s="973" t="s">
        <v>663</v>
      </c>
      <c r="C95" s="1183"/>
      <c r="D95" s="874">
        <f t="shared" si="15"/>
        <v>4074.6</v>
      </c>
      <c r="E95" s="879">
        <v>0</v>
      </c>
      <c r="F95" s="879">
        <v>4074.6</v>
      </c>
      <c r="G95" s="874">
        <f t="shared" si="16"/>
        <v>4074.6</v>
      </c>
      <c r="H95" s="879">
        <v>0</v>
      </c>
      <c r="I95" s="879">
        <v>4074.6</v>
      </c>
      <c r="J95" s="874">
        <f t="shared" si="17"/>
        <v>0</v>
      </c>
      <c r="K95" s="879">
        <v>0</v>
      </c>
      <c r="L95" s="879">
        <v>0</v>
      </c>
      <c r="M95" s="876">
        <v>0</v>
      </c>
      <c r="N95" s="877">
        <f t="shared" si="19"/>
        <v>0</v>
      </c>
      <c r="O95" s="877">
        <f t="shared" si="20"/>
        <v>0</v>
      </c>
      <c r="P95" s="1065">
        <f t="shared" si="18"/>
        <v>0</v>
      </c>
      <c r="Q95" s="1065">
        <f t="shared" si="18"/>
        <v>0</v>
      </c>
      <c r="R95" s="1065">
        <f t="shared" si="18"/>
        <v>0</v>
      </c>
      <c r="S95" s="1099" t="s">
        <v>886</v>
      </c>
      <c r="T95" s="1100" t="s">
        <v>888</v>
      </c>
      <c r="U95" s="1099">
        <v>414</v>
      </c>
      <c r="V95" s="1099">
        <v>14039</v>
      </c>
    </row>
    <row r="96" spans="1:24" ht="167.25" customHeight="1">
      <c r="A96" s="1160" t="s">
        <v>561</v>
      </c>
      <c r="B96" s="973" t="s">
        <v>805</v>
      </c>
      <c r="C96" s="1183"/>
      <c r="D96" s="874">
        <f t="shared" si="15"/>
        <v>10000</v>
      </c>
      <c r="E96" s="879">
        <v>0</v>
      </c>
      <c r="F96" s="879">
        <v>10000</v>
      </c>
      <c r="G96" s="874">
        <f>SUM(H96:I96)</f>
        <v>10000</v>
      </c>
      <c r="H96" s="879">
        <v>0</v>
      </c>
      <c r="I96" s="879">
        <v>10000</v>
      </c>
      <c r="J96" s="874">
        <f t="shared" si="17"/>
        <v>0</v>
      </c>
      <c r="K96" s="879">
        <v>0</v>
      </c>
      <c r="L96" s="879">
        <v>0</v>
      </c>
      <c r="M96" s="876">
        <v>0</v>
      </c>
      <c r="N96" s="877">
        <f t="shared" si="19"/>
        <v>0</v>
      </c>
      <c r="O96" s="877">
        <f t="shared" si="20"/>
        <v>0</v>
      </c>
      <c r="P96" s="1065">
        <f t="shared" ref="P96:R111" si="21">D96-G96</f>
        <v>0</v>
      </c>
      <c r="Q96" s="1065">
        <f t="shared" si="21"/>
        <v>0</v>
      </c>
      <c r="R96" s="1065">
        <f t="shared" si="21"/>
        <v>0</v>
      </c>
      <c r="S96" s="1099" t="s">
        <v>866</v>
      </c>
      <c r="T96" s="1100" t="s">
        <v>883</v>
      </c>
      <c r="U96" s="1099">
        <v>414</v>
      </c>
      <c r="V96" s="1099">
        <v>14051</v>
      </c>
    </row>
    <row r="97" spans="1:24" ht="109.5" customHeight="1">
      <c r="A97" s="1160" t="s">
        <v>563</v>
      </c>
      <c r="B97" s="973" t="s">
        <v>664</v>
      </c>
      <c r="C97" s="1183"/>
      <c r="D97" s="874">
        <f t="shared" si="15"/>
        <v>1519</v>
      </c>
      <c r="E97" s="879">
        <v>0</v>
      </c>
      <c r="F97" s="879">
        <v>1519</v>
      </c>
      <c r="G97" s="874">
        <f t="shared" si="16"/>
        <v>1519</v>
      </c>
      <c r="H97" s="879">
        <v>0</v>
      </c>
      <c r="I97" s="879">
        <v>1519</v>
      </c>
      <c r="J97" s="874">
        <f t="shared" si="17"/>
        <v>0</v>
      </c>
      <c r="K97" s="879">
        <v>0</v>
      </c>
      <c r="L97" s="879">
        <v>0</v>
      </c>
      <c r="M97" s="876">
        <v>0</v>
      </c>
      <c r="N97" s="877">
        <f t="shared" si="19"/>
        <v>0</v>
      </c>
      <c r="O97" s="877">
        <f t="shared" si="20"/>
        <v>0</v>
      </c>
      <c r="P97" s="1065">
        <f t="shared" si="21"/>
        <v>0</v>
      </c>
      <c r="Q97" s="1065">
        <f t="shared" si="21"/>
        <v>0</v>
      </c>
      <c r="R97" s="1065">
        <f t="shared" si="21"/>
        <v>0</v>
      </c>
      <c r="S97" s="1099" t="s">
        <v>886</v>
      </c>
      <c r="T97" s="1100" t="s">
        <v>892</v>
      </c>
      <c r="U97" s="1099">
        <v>414</v>
      </c>
      <c r="V97" s="1099">
        <v>14041</v>
      </c>
    </row>
    <row r="98" spans="1:24" ht="117" customHeight="1">
      <c r="A98" s="1160" t="s">
        <v>573</v>
      </c>
      <c r="B98" s="973" t="s">
        <v>665</v>
      </c>
      <c r="C98" s="1183"/>
      <c r="D98" s="874">
        <f t="shared" si="15"/>
        <v>1519</v>
      </c>
      <c r="E98" s="879">
        <v>0</v>
      </c>
      <c r="F98" s="879">
        <v>1519</v>
      </c>
      <c r="G98" s="874">
        <f t="shared" si="16"/>
        <v>1519</v>
      </c>
      <c r="H98" s="879">
        <v>0</v>
      </c>
      <c r="I98" s="879">
        <v>1519</v>
      </c>
      <c r="J98" s="874">
        <f t="shared" si="17"/>
        <v>0</v>
      </c>
      <c r="K98" s="879">
        <v>0</v>
      </c>
      <c r="L98" s="879">
        <v>0</v>
      </c>
      <c r="M98" s="876">
        <v>0</v>
      </c>
      <c r="N98" s="877">
        <f t="shared" si="19"/>
        <v>0</v>
      </c>
      <c r="O98" s="877">
        <f t="shared" si="20"/>
        <v>0</v>
      </c>
      <c r="P98" s="1065">
        <f t="shared" si="21"/>
        <v>0</v>
      </c>
      <c r="Q98" s="1065">
        <f t="shared" si="21"/>
        <v>0</v>
      </c>
      <c r="R98" s="1065">
        <f t="shared" si="21"/>
        <v>0</v>
      </c>
      <c r="S98" s="1099" t="s">
        <v>886</v>
      </c>
      <c r="T98" s="1100" t="s">
        <v>892</v>
      </c>
      <c r="U98" s="1099">
        <v>414</v>
      </c>
      <c r="V98" s="1099">
        <v>14042</v>
      </c>
    </row>
    <row r="99" spans="1:24" ht="90.75" customHeight="1">
      <c r="A99" s="1160" t="s">
        <v>624</v>
      </c>
      <c r="B99" s="973" t="s">
        <v>666</v>
      </c>
      <c r="C99" s="1183"/>
      <c r="D99" s="874">
        <f t="shared" si="15"/>
        <v>1400</v>
      </c>
      <c r="E99" s="879">
        <v>0</v>
      </c>
      <c r="F99" s="879">
        <v>1400</v>
      </c>
      <c r="G99" s="874">
        <f t="shared" si="16"/>
        <v>1400</v>
      </c>
      <c r="H99" s="879">
        <v>0</v>
      </c>
      <c r="I99" s="879">
        <v>1400</v>
      </c>
      <c r="J99" s="874">
        <f t="shared" si="17"/>
        <v>0</v>
      </c>
      <c r="K99" s="879">
        <v>0</v>
      </c>
      <c r="L99" s="879">
        <v>0</v>
      </c>
      <c r="M99" s="876">
        <v>0</v>
      </c>
      <c r="N99" s="877">
        <f t="shared" si="19"/>
        <v>0</v>
      </c>
      <c r="O99" s="877">
        <f t="shared" si="20"/>
        <v>0</v>
      </c>
      <c r="P99" s="1065">
        <f t="shared" si="21"/>
        <v>0</v>
      </c>
      <c r="Q99" s="1065">
        <f t="shared" si="21"/>
        <v>0</v>
      </c>
      <c r="R99" s="1065">
        <f t="shared" si="21"/>
        <v>0</v>
      </c>
      <c r="S99" s="1099" t="s">
        <v>886</v>
      </c>
      <c r="T99" s="1100" t="s">
        <v>892</v>
      </c>
      <c r="U99" s="1099">
        <v>414</v>
      </c>
      <c r="V99" s="1099">
        <v>14043</v>
      </c>
    </row>
    <row r="100" spans="1:24" ht="118.5" customHeight="1">
      <c r="A100" s="1160" t="s">
        <v>625</v>
      </c>
      <c r="B100" s="973" t="s">
        <v>667</v>
      </c>
      <c r="C100" s="1183"/>
      <c r="D100" s="874">
        <f t="shared" si="15"/>
        <v>14280</v>
      </c>
      <c r="E100" s="879">
        <v>0</v>
      </c>
      <c r="F100" s="879">
        <v>14280</v>
      </c>
      <c r="G100" s="874">
        <f t="shared" si="16"/>
        <v>14280</v>
      </c>
      <c r="H100" s="879">
        <v>0</v>
      </c>
      <c r="I100" s="879">
        <v>14280</v>
      </c>
      <c r="J100" s="874">
        <f t="shared" si="17"/>
        <v>0</v>
      </c>
      <c r="K100" s="879">
        <v>0</v>
      </c>
      <c r="L100" s="879">
        <v>0</v>
      </c>
      <c r="M100" s="876">
        <v>0</v>
      </c>
      <c r="N100" s="877">
        <f t="shared" si="19"/>
        <v>0</v>
      </c>
      <c r="O100" s="877">
        <f t="shared" si="20"/>
        <v>0</v>
      </c>
      <c r="P100" s="1065">
        <f t="shared" si="21"/>
        <v>0</v>
      </c>
      <c r="Q100" s="1065">
        <f t="shared" si="21"/>
        <v>0</v>
      </c>
      <c r="R100" s="1065">
        <f t="shared" si="21"/>
        <v>0</v>
      </c>
      <c r="S100" s="1099" t="s">
        <v>886</v>
      </c>
      <c r="T100" s="1100" t="s">
        <v>893</v>
      </c>
      <c r="U100" s="1099">
        <v>414</v>
      </c>
      <c r="V100" s="1099">
        <v>14044</v>
      </c>
    </row>
    <row r="101" spans="1:24" ht="52.5">
      <c r="A101" s="1160" t="s">
        <v>105</v>
      </c>
      <c r="B101" s="1075" t="s">
        <v>771</v>
      </c>
      <c r="C101" s="1176"/>
      <c r="D101" s="874">
        <f t="shared" si="15"/>
        <v>319980.59999999998</v>
      </c>
      <c r="E101" s="879">
        <f>319980.6*0.90202494621</f>
        <v>288630.5</v>
      </c>
      <c r="F101" s="879">
        <f>319980.6*(1-0.90202494621)</f>
        <v>31350.1</v>
      </c>
      <c r="G101" s="874">
        <f t="shared" si="16"/>
        <v>319980.59999999998</v>
      </c>
      <c r="H101" s="879">
        <f>319980.6*0.90202494621</f>
        <v>288630.5</v>
      </c>
      <c r="I101" s="879">
        <f>319980.6*(1-0.90202494621)</f>
        <v>31350.1</v>
      </c>
      <c r="J101" s="2450">
        <f t="shared" si="17"/>
        <v>0</v>
      </c>
      <c r="K101" s="2431">
        <v>0</v>
      </c>
      <c r="L101" s="2431">
        <v>0</v>
      </c>
      <c r="M101" s="2433">
        <f>IF(J101=0,0,J101/G101:G102*_G101100)</f>
        <v>0</v>
      </c>
      <c r="N101" s="2429">
        <f>IF(K101=0,0,K101/H101:H102*100)</f>
        <v>0</v>
      </c>
      <c r="O101" s="2429">
        <f>IF(L101=0,0,L101/I101:I102*100)</f>
        <v>0</v>
      </c>
      <c r="P101" s="1065">
        <f t="shared" si="21"/>
        <v>0</v>
      </c>
      <c r="Q101" s="1065">
        <f t="shared" si="21"/>
        <v>0</v>
      </c>
      <c r="R101" s="1065">
        <f t="shared" si="21"/>
        <v>0</v>
      </c>
      <c r="S101" s="2409" t="s">
        <v>926</v>
      </c>
      <c r="T101" s="2445" t="s">
        <v>927</v>
      </c>
      <c r="U101" s="2409">
        <v>414</v>
      </c>
      <c r="V101" s="2409"/>
      <c r="W101" s="2411"/>
    </row>
    <row r="102" spans="1:24" ht="105">
      <c r="A102" s="1160" t="s">
        <v>1023</v>
      </c>
      <c r="B102" s="1075" t="s">
        <v>772</v>
      </c>
      <c r="C102" s="1176"/>
      <c r="D102" s="874">
        <f t="shared" si="15"/>
        <v>359978.2</v>
      </c>
      <c r="E102" s="879">
        <f>359978.2*0.90202494621</f>
        <v>324709.3</v>
      </c>
      <c r="F102" s="879">
        <f>359978.2*(1-0.90202494621)</f>
        <v>35268.9</v>
      </c>
      <c r="G102" s="874">
        <f t="shared" si="16"/>
        <v>359978.2</v>
      </c>
      <c r="H102" s="879">
        <f>359978.2*0.90202494621</f>
        <v>324709.3</v>
      </c>
      <c r="I102" s="879">
        <f>359978.2*(1-0.90202494621)</f>
        <v>35268.9</v>
      </c>
      <c r="J102" s="2451"/>
      <c r="K102" s="2432"/>
      <c r="L102" s="2432"/>
      <c r="M102" s="2434"/>
      <c r="N102" s="2430"/>
      <c r="O102" s="2430"/>
      <c r="P102" s="1065">
        <f t="shared" si="21"/>
        <v>0</v>
      </c>
      <c r="Q102" s="1065">
        <f t="shared" si="21"/>
        <v>0</v>
      </c>
      <c r="R102" s="1065">
        <f t="shared" si="21"/>
        <v>0</v>
      </c>
      <c r="S102" s="2409"/>
      <c r="T102" s="2445"/>
      <c r="U102" s="2409"/>
      <c r="V102" s="2409"/>
      <c r="W102" s="2411"/>
    </row>
    <row r="103" spans="1:24" ht="52.5">
      <c r="A103" s="1160" t="s">
        <v>626</v>
      </c>
      <c r="B103" s="1163" t="s">
        <v>460</v>
      </c>
      <c r="C103" s="895"/>
      <c r="D103" s="874">
        <f t="shared" si="15"/>
        <v>53626.3</v>
      </c>
      <c r="E103" s="879">
        <v>32423.9</v>
      </c>
      <c r="F103" s="879">
        <v>21202.400000000001</v>
      </c>
      <c r="G103" s="874">
        <f t="shared" si="16"/>
        <v>53626.3</v>
      </c>
      <c r="H103" s="879">
        <v>32423.9</v>
      </c>
      <c r="I103" s="879">
        <v>21202.400000000001</v>
      </c>
      <c r="J103" s="874">
        <f t="shared" si="17"/>
        <v>47.5</v>
      </c>
      <c r="K103" s="879">
        <v>24.5</v>
      </c>
      <c r="L103" s="879">
        <v>23</v>
      </c>
      <c r="M103" s="876">
        <f t="shared" ref="M103:M116" si="22">IF(J103=0,0,J103/G103*100)</f>
        <v>0.1</v>
      </c>
      <c r="N103" s="877">
        <f t="shared" ref="N103:N116" si="23">IF(K103=0,0,K103/H103*100)</f>
        <v>0.1</v>
      </c>
      <c r="O103" s="877">
        <f t="shared" ref="O103:O116" si="24">IF(L103=0,0,L103/I103*100)</f>
        <v>0.1</v>
      </c>
      <c r="P103" s="1065">
        <f t="shared" si="21"/>
        <v>0</v>
      </c>
      <c r="Q103" s="1065">
        <f t="shared" si="21"/>
        <v>0</v>
      </c>
      <c r="R103" s="1065">
        <f t="shared" si="21"/>
        <v>0</v>
      </c>
      <c r="S103" s="1099" t="s">
        <v>954</v>
      </c>
      <c r="U103" s="1099" t="s">
        <v>959</v>
      </c>
      <c r="V103" s="1099" t="s">
        <v>960</v>
      </c>
    </row>
    <row r="104" spans="1:24" ht="105">
      <c r="A104" s="2404" t="s">
        <v>627</v>
      </c>
      <c r="B104" s="975" t="s">
        <v>645</v>
      </c>
      <c r="C104" s="895"/>
      <c r="D104" s="874">
        <f t="shared" si="15"/>
        <v>1929.7</v>
      </c>
      <c r="E104" s="1085">
        <v>0</v>
      </c>
      <c r="F104" s="1085">
        <v>1929.7</v>
      </c>
      <c r="G104" s="874">
        <f t="shared" si="16"/>
        <v>1929.7</v>
      </c>
      <c r="H104" s="1085">
        <v>0</v>
      </c>
      <c r="I104" s="1085">
        <v>1929.7</v>
      </c>
      <c r="J104" s="874">
        <f t="shared" si="17"/>
        <v>689.2</v>
      </c>
      <c r="K104" s="1085">
        <v>0</v>
      </c>
      <c r="L104" s="1085">
        <v>689.2</v>
      </c>
      <c r="M104" s="876">
        <f t="shared" si="22"/>
        <v>35.700000000000003</v>
      </c>
      <c r="N104" s="877">
        <f t="shared" si="23"/>
        <v>0</v>
      </c>
      <c r="O104" s="877">
        <f t="shared" si="24"/>
        <v>35.700000000000003</v>
      </c>
      <c r="P104" s="1065">
        <f t="shared" si="21"/>
        <v>0</v>
      </c>
      <c r="Q104" s="1065">
        <f t="shared" si="21"/>
        <v>0</v>
      </c>
      <c r="R104" s="1065">
        <f t="shared" si="21"/>
        <v>0</v>
      </c>
      <c r="S104" s="1099" t="s">
        <v>867</v>
      </c>
      <c r="T104" s="1100">
        <v>1550190400</v>
      </c>
      <c r="U104" s="1099">
        <v>414</v>
      </c>
      <c r="V104" s="1099">
        <v>14024</v>
      </c>
    </row>
    <row r="105" spans="1:24" ht="78.75">
      <c r="A105" s="2405"/>
      <c r="B105" s="975" t="s">
        <v>707</v>
      </c>
      <c r="C105" s="895"/>
      <c r="D105" s="874">
        <f t="shared" si="15"/>
        <v>30000</v>
      </c>
      <c r="E105" s="1085">
        <v>0</v>
      </c>
      <c r="F105" s="1085">
        <v>30000</v>
      </c>
      <c r="G105" s="874">
        <f t="shared" si="16"/>
        <v>30000</v>
      </c>
      <c r="H105" s="1085">
        <v>0</v>
      </c>
      <c r="I105" s="1085">
        <v>30000</v>
      </c>
      <c r="J105" s="874">
        <f t="shared" si="17"/>
        <v>0</v>
      </c>
      <c r="K105" s="1085">
        <v>0</v>
      </c>
      <c r="L105" s="1085">
        <v>0</v>
      </c>
      <c r="M105" s="876">
        <f t="shared" si="22"/>
        <v>0</v>
      </c>
      <c r="N105" s="877">
        <f t="shared" si="23"/>
        <v>0</v>
      </c>
      <c r="O105" s="877">
        <f t="shared" si="24"/>
        <v>0</v>
      </c>
      <c r="P105" s="1065">
        <f t="shared" si="21"/>
        <v>0</v>
      </c>
      <c r="Q105" s="1065">
        <f t="shared" si="21"/>
        <v>0</v>
      </c>
      <c r="R105" s="1065">
        <f t="shared" si="21"/>
        <v>0</v>
      </c>
      <c r="S105" s="1099" t="s">
        <v>868</v>
      </c>
      <c r="T105" s="1100">
        <v>1550190400</v>
      </c>
      <c r="U105" s="1099">
        <v>414</v>
      </c>
      <c r="V105" s="1099">
        <v>10120</v>
      </c>
    </row>
    <row r="106" spans="1:24" s="838" customFormat="1" ht="78.75">
      <c r="A106" s="1160" t="s">
        <v>628</v>
      </c>
      <c r="B106" s="976" t="s">
        <v>839</v>
      </c>
      <c r="C106" s="1160"/>
      <c r="D106" s="874">
        <f t="shared" si="15"/>
        <v>2714.8</v>
      </c>
      <c r="E106" s="879">
        <v>0</v>
      </c>
      <c r="F106" s="879">
        <v>2714.8</v>
      </c>
      <c r="G106" s="874">
        <f t="shared" si="16"/>
        <v>2714.8</v>
      </c>
      <c r="H106" s="879">
        <v>0</v>
      </c>
      <c r="I106" s="879">
        <v>2714.8</v>
      </c>
      <c r="J106" s="874">
        <f t="shared" si="17"/>
        <v>0</v>
      </c>
      <c r="K106" s="879">
        <v>0</v>
      </c>
      <c r="L106" s="885">
        <v>0</v>
      </c>
      <c r="M106" s="876">
        <f t="shared" si="22"/>
        <v>0</v>
      </c>
      <c r="N106" s="877">
        <f t="shared" si="23"/>
        <v>0</v>
      </c>
      <c r="O106" s="877">
        <f t="shared" si="24"/>
        <v>0</v>
      </c>
      <c r="P106" s="1065">
        <f t="shared" si="21"/>
        <v>0</v>
      </c>
      <c r="Q106" s="1065">
        <f t="shared" si="21"/>
        <v>0</v>
      </c>
      <c r="R106" s="1065">
        <f t="shared" si="21"/>
        <v>0</v>
      </c>
      <c r="S106" s="1121" t="s">
        <v>886</v>
      </c>
      <c r="T106" s="1122" t="s">
        <v>894</v>
      </c>
      <c r="U106" s="1121">
        <v>414</v>
      </c>
      <c r="V106" s="1121">
        <v>14031</v>
      </c>
      <c r="W106" s="1123"/>
      <c r="X106" s="1124"/>
    </row>
    <row r="107" spans="1:24" ht="78.75">
      <c r="A107" s="1160" t="s">
        <v>629</v>
      </c>
      <c r="B107" s="976" t="s">
        <v>1072</v>
      </c>
      <c r="C107" s="1160"/>
      <c r="D107" s="874">
        <f t="shared" si="15"/>
        <v>2400</v>
      </c>
      <c r="E107" s="879">
        <v>0</v>
      </c>
      <c r="F107" s="879">
        <v>2400</v>
      </c>
      <c r="G107" s="874">
        <f t="shared" si="16"/>
        <v>2400</v>
      </c>
      <c r="H107" s="879">
        <v>0</v>
      </c>
      <c r="I107" s="879">
        <v>2400</v>
      </c>
      <c r="J107" s="874">
        <f t="shared" si="17"/>
        <v>0</v>
      </c>
      <c r="K107" s="879">
        <v>0</v>
      </c>
      <c r="L107" s="885">
        <v>0</v>
      </c>
      <c r="M107" s="876">
        <f t="shared" si="22"/>
        <v>0</v>
      </c>
      <c r="N107" s="877">
        <f t="shared" si="23"/>
        <v>0</v>
      </c>
      <c r="O107" s="877">
        <f t="shared" si="24"/>
        <v>0</v>
      </c>
      <c r="P107" s="1065">
        <f t="shared" si="21"/>
        <v>0</v>
      </c>
      <c r="Q107" s="1065">
        <f t="shared" si="21"/>
        <v>0</v>
      </c>
      <c r="R107" s="1065">
        <f t="shared" si="21"/>
        <v>0</v>
      </c>
      <c r="S107" s="1099" t="s">
        <v>886</v>
      </c>
      <c r="T107" s="1100">
        <v>1900290400</v>
      </c>
      <c r="U107" s="1099">
        <v>414</v>
      </c>
      <c r="V107" s="1099">
        <v>14020</v>
      </c>
    </row>
    <row r="108" spans="1:24" ht="67.5" hidden="1" customHeight="1">
      <c r="A108" s="1160" t="s">
        <v>627</v>
      </c>
      <c r="B108" s="1164" t="s">
        <v>654</v>
      </c>
      <c r="C108" s="1184"/>
      <c r="D108" s="874">
        <f t="shared" si="15"/>
        <v>0</v>
      </c>
      <c r="E108" s="879">
        <v>0</v>
      </c>
      <c r="F108" s="879">
        <v>0</v>
      </c>
      <c r="G108" s="874">
        <f t="shared" si="16"/>
        <v>0</v>
      </c>
      <c r="H108" s="879">
        <v>0</v>
      </c>
      <c r="I108" s="879">
        <v>0</v>
      </c>
      <c r="J108" s="874">
        <f t="shared" si="17"/>
        <v>0</v>
      </c>
      <c r="K108" s="879">
        <v>0</v>
      </c>
      <c r="L108" s="885">
        <v>0</v>
      </c>
      <c r="M108" s="876">
        <f t="shared" si="22"/>
        <v>0</v>
      </c>
      <c r="N108" s="877">
        <f t="shared" si="23"/>
        <v>0</v>
      </c>
      <c r="O108" s="877">
        <f t="shared" si="24"/>
        <v>0</v>
      </c>
      <c r="P108" s="1065">
        <f t="shared" si="21"/>
        <v>0</v>
      </c>
      <c r="Q108" s="1065">
        <f t="shared" si="21"/>
        <v>0</v>
      </c>
      <c r="R108" s="1065">
        <f t="shared" si="21"/>
        <v>0</v>
      </c>
    </row>
    <row r="109" spans="1:24" ht="52.5">
      <c r="A109" s="1160" t="s">
        <v>630</v>
      </c>
      <c r="B109" s="900" t="s">
        <v>641</v>
      </c>
      <c r="C109" s="1160"/>
      <c r="D109" s="874">
        <f t="shared" si="15"/>
        <v>8850</v>
      </c>
      <c r="E109" s="879">
        <v>0</v>
      </c>
      <c r="F109" s="879">
        <v>8850</v>
      </c>
      <c r="G109" s="874">
        <f t="shared" si="16"/>
        <v>8850</v>
      </c>
      <c r="H109" s="879">
        <v>0</v>
      </c>
      <c r="I109" s="879">
        <v>8850</v>
      </c>
      <c r="J109" s="874">
        <f t="shared" si="17"/>
        <v>0</v>
      </c>
      <c r="K109" s="879">
        <v>0</v>
      </c>
      <c r="L109" s="879">
        <v>0</v>
      </c>
      <c r="M109" s="876">
        <f t="shared" si="22"/>
        <v>0</v>
      </c>
      <c r="N109" s="877">
        <f t="shared" si="23"/>
        <v>0</v>
      </c>
      <c r="O109" s="877">
        <f t="shared" si="24"/>
        <v>0</v>
      </c>
      <c r="P109" s="1065">
        <f t="shared" si="21"/>
        <v>0</v>
      </c>
      <c r="Q109" s="1065">
        <f t="shared" si="21"/>
        <v>0</v>
      </c>
      <c r="R109" s="1065">
        <f t="shared" si="21"/>
        <v>0</v>
      </c>
      <c r="S109" s="1099" t="s">
        <v>947</v>
      </c>
      <c r="T109" s="1100" t="s">
        <v>948</v>
      </c>
      <c r="U109" s="1099">
        <v>414</v>
      </c>
      <c r="V109" s="1099">
        <v>14016</v>
      </c>
    </row>
    <row r="110" spans="1:24" ht="52.5">
      <c r="A110" s="1160" t="s">
        <v>732</v>
      </c>
      <c r="B110" s="976" t="s">
        <v>647</v>
      </c>
      <c r="C110" s="1160"/>
      <c r="D110" s="874">
        <f t="shared" si="15"/>
        <v>39000</v>
      </c>
      <c r="E110" s="879">
        <v>0</v>
      </c>
      <c r="F110" s="879">
        <v>39000</v>
      </c>
      <c r="G110" s="874">
        <f t="shared" si="16"/>
        <v>39000</v>
      </c>
      <c r="H110" s="879">
        <v>0</v>
      </c>
      <c r="I110" s="879">
        <v>39000</v>
      </c>
      <c r="J110" s="874">
        <f t="shared" si="17"/>
        <v>21450</v>
      </c>
      <c r="K110" s="879">
        <v>0</v>
      </c>
      <c r="L110" s="885">
        <v>21450</v>
      </c>
      <c r="M110" s="876">
        <f t="shared" si="22"/>
        <v>55</v>
      </c>
      <c r="N110" s="877">
        <f t="shared" si="23"/>
        <v>0</v>
      </c>
      <c r="O110" s="877">
        <f t="shared" si="24"/>
        <v>55</v>
      </c>
      <c r="P110" s="1065">
        <f t="shared" si="21"/>
        <v>0</v>
      </c>
      <c r="Q110" s="1065">
        <f t="shared" si="21"/>
        <v>0</v>
      </c>
      <c r="R110" s="1065">
        <f t="shared" si="21"/>
        <v>0</v>
      </c>
      <c r="S110" s="1099" t="s">
        <v>936</v>
      </c>
      <c r="T110" s="1100" t="s">
        <v>944</v>
      </c>
      <c r="U110" s="1099">
        <v>414</v>
      </c>
      <c r="V110" s="1099">
        <v>14050</v>
      </c>
    </row>
    <row r="111" spans="1:24" ht="78.75">
      <c r="A111" s="1160" t="s">
        <v>733</v>
      </c>
      <c r="B111" s="976" t="s">
        <v>804</v>
      </c>
      <c r="C111" s="1160"/>
      <c r="D111" s="874">
        <f t="shared" si="15"/>
        <v>2244.9</v>
      </c>
      <c r="E111" s="879">
        <v>0</v>
      </c>
      <c r="F111" s="879">
        <v>2244.9</v>
      </c>
      <c r="G111" s="874">
        <f t="shared" si="16"/>
        <v>2244.9</v>
      </c>
      <c r="H111" s="879">
        <v>0</v>
      </c>
      <c r="I111" s="879">
        <v>2244.9</v>
      </c>
      <c r="J111" s="874">
        <f t="shared" si="17"/>
        <v>0</v>
      </c>
      <c r="K111" s="879">
        <v>0</v>
      </c>
      <c r="L111" s="885">
        <v>0</v>
      </c>
      <c r="M111" s="876">
        <f t="shared" si="22"/>
        <v>0</v>
      </c>
      <c r="N111" s="877">
        <f t="shared" si="23"/>
        <v>0</v>
      </c>
      <c r="O111" s="877">
        <f t="shared" si="24"/>
        <v>0</v>
      </c>
      <c r="P111" s="1065">
        <f t="shared" si="21"/>
        <v>0</v>
      </c>
      <c r="Q111" s="1065">
        <f t="shared" si="21"/>
        <v>0</v>
      </c>
      <c r="R111" s="1065">
        <f t="shared" si="21"/>
        <v>0</v>
      </c>
      <c r="S111" s="1099" t="s">
        <v>945</v>
      </c>
      <c r="T111" s="1100" t="s">
        <v>937</v>
      </c>
      <c r="U111" s="1099">
        <v>414</v>
      </c>
      <c r="V111" s="1099">
        <v>14071</v>
      </c>
    </row>
    <row r="112" spans="1:24" ht="78.75">
      <c r="A112" s="1160" t="s">
        <v>781</v>
      </c>
      <c r="B112" s="900" t="s">
        <v>637</v>
      </c>
      <c r="C112" s="1160"/>
      <c r="D112" s="874">
        <f t="shared" si="15"/>
        <v>4496.8</v>
      </c>
      <c r="E112" s="879">
        <v>0</v>
      </c>
      <c r="F112" s="879">
        <v>4496.8</v>
      </c>
      <c r="G112" s="874">
        <f t="shared" si="16"/>
        <v>4496.8</v>
      </c>
      <c r="H112" s="879">
        <v>0</v>
      </c>
      <c r="I112" s="879">
        <v>4496.8</v>
      </c>
      <c r="J112" s="874">
        <f t="shared" si="17"/>
        <v>0</v>
      </c>
      <c r="K112" s="879">
        <v>0</v>
      </c>
      <c r="L112" s="879">
        <v>0</v>
      </c>
      <c r="M112" s="876">
        <f t="shared" si="22"/>
        <v>0</v>
      </c>
      <c r="N112" s="877">
        <f t="shared" si="23"/>
        <v>0</v>
      </c>
      <c r="O112" s="877">
        <f t="shared" si="24"/>
        <v>0</v>
      </c>
      <c r="P112" s="1065">
        <f t="shared" ref="P112:R127" si="25">D112-G112</f>
        <v>0</v>
      </c>
      <c r="Q112" s="1065">
        <f t="shared" si="25"/>
        <v>0</v>
      </c>
      <c r="R112" s="1065">
        <f t="shared" si="25"/>
        <v>0</v>
      </c>
      <c r="S112" s="1099" t="s">
        <v>949</v>
      </c>
      <c r="T112" s="1100" t="s">
        <v>951</v>
      </c>
      <c r="U112" s="1099">
        <v>414</v>
      </c>
      <c r="V112" s="1099">
        <v>14057</v>
      </c>
    </row>
    <row r="113" spans="1:22" ht="52.5">
      <c r="A113" s="1160" t="s">
        <v>631</v>
      </c>
      <c r="B113" s="901" t="s">
        <v>639</v>
      </c>
      <c r="C113" s="1185"/>
      <c r="D113" s="874">
        <f t="shared" si="15"/>
        <v>1946</v>
      </c>
      <c r="E113" s="879">
        <v>0</v>
      </c>
      <c r="F113" s="879">
        <v>1946</v>
      </c>
      <c r="G113" s="874">
        <f t="shared" si="16"/>
        <v>1946</v>
      </c>
      <c r="H113" s="879">
        <v>0</v>
      </c>
      <c r="I113" s="879">
        <v>1946</v>
      </c>
      <c r="J113" s="874">
        <f t="shared" si="17"/>
        <v>0</v>
      </c>
      <c r="K113" s="879">
        <v>0</v>
      </c>
      <c r="L113" s="879">
        <v>0</v>
      </c>
      <c r="M113" s="876">
        <f t="shared" si="22"/>
        <v>0</v>
      </c>
      <c r="N113" s="877">
        <f t="shared" si="23"/>
        <v>0</v>
      </c>
      <c r="O113" s="877">
        <f t="shared" si="24"/>
        <v>0</v>
      </c>
      <c r="P113" s="1065">
        <f t="shared" si="25"/>
        <v>0</v>
      </c>
      <c r="Q113" s="1065">
        <f t="shared" si="25"/>
        <v>0</v>
      </c>
      <c r="R113" s="1065">
        <f t="shared" si="25"/>
        <v>0</v>
      </c>
      <c r="S113" s="1099" t="s">
        <v>954</v>
      </c>
      <c r="T113" s="1100" t="s">
        <v>956</v>
      </c>
      <c r="U113" s="1099">
        <v>414</v>
      </c>
      <c r="V113" s="1099">
        <v>14015</v>
      </c>
    </row>
    <row r="114" spans="1:22" ht="57.75" customHeight="1">
      <c r="A114" s="1160" t="s">
        <v>632</v>
      </c>
      <c r="B114" s="900" t="s">
        <v>643</v>
      </c>
      <c r="C114" s="1160"/>
      <c r="D114" s="874">
        <f t="shared" si="15"/>
        <v>2752.8</v>
      </c>
      <c r="E114" s="879">
        <v>0</v>
      </c>
      <c r="F114" s="879">
        <v>2752.8</v>
      </c>
      <c r="G114" s="874">
        <f t="shared" si="16"/>
        <v>2752.8</v>
      </c>
      <c r="H114" s="879">
        <v>0</v>
      </c>
      <c r="I114" s="879">
        <v>2752.8</v>
      </c>
      <c r="J114" s="874">
        <f t="shared" si="17"/>
        <v>0</v>
      </c>
      <c r="K114" s="879">
        <v>0</v>
      </c>
      <c r="L114" s="879">
        <v>0</v>
      </c>
      <c r="M114" s="876">
        <f t="shared" si="22"/>
        <v>0</v>
      </c>
      <c r="N114" s="877">
        <f t="shared" si="23"/>
        <v>0</v>
      </c>
      <c r="O114" s="877">
        <f t="shared" si="24"/>
        <v>0</v>
      </c>
      <c r="P114" s="1065">
        <f t="shared" si="25"/>
        <v>0</v>
      </c>
      <c r="Q114" s="1065">
        <f t="shared" si="25"/>
        <v>0</v>
      </c>
      <c r="R114" s="1065">
        <f t="shared" si="25"/>
        <v>0</v>
      </c>
      <c r="S114" s="1099" t="s">
        <v>954</v>
      </c>
      <c r="T114" s="1100" t="s">
        <v>956</v>
      </c>
      <c r="U114" s="1099">
        <v>141</v>
      </c>
      <c r="V114" s="1099">
        <v>14018</v>
      </c>
    </row>
    <row r="115" spans="1:22" ht="52.5">
      <c r="A115" s="1160" t="s">
        <v>633</v>
      </c>
      <c r="B115" s="900" t="s">
        <v>801</v>
      </c>
      <c r="C115" s="1160"/>
      <c r="D115" s="874">
        <f t="shared" si="15"/>
        <v>10292.6</v>
      </c>
      <c r="E115" s="879">
        <v>0</v>
      </c>
      <c r="F115" s="879">
        <v>10292.6</v>
      </c>
      <c r="G115" s="874">
        <f t="shared" si="16"/>
        <v>10292.6</v>
      </c>
      <c r="H115" s="879">
        <v>0</v>
      </c>
      <c r="I115" s="879">
        <v>10292.6</v>
      </c>
      <c r="J115" s="874">
        <f t="shared" si="17"/>
        <v>0</v>
      </c>
      <c r="K115" s="879">
        <v>0</v>
      </c>
      <c r="L115" s="879">
        <v>0</v>
      </c>
      <c r="M115" s="876">
        <f t="shared" si="22"/>
        <v>0</v>
      </c>
      <c r="N115" s="877">
        <f t="shared" si="23"/>
        <v>0</v>
      </c>
      <c r="O115" s="877">
        <f t="shared" si="24"/>
        <v>0</v>
      </c>
      <c r="P115" s="1065">
        <f t="shared" si="25"/>
        <v>0</v>
      </c>
      <c r="Q115" s="1065">
        <f t="shared" si="25"/>
        <v>0</v>
      </c>
      <c r="R115" s="1065">
        <f t="shared" si="25"/>
        <v>0</v>
      </c>
      <c r="S115" s="1099" t="s">
        <v>954</v>
      </c>
      <c r="T115" s="1100" t="s">
        <v>955</v>
      </c>
      <c r="U115" s="1099">
        <v>414</v>
      </c>
      <c r="V115" s="1099">
        <v>14004</v>
      </c>
    </row>
    <row r="116" spans="1:22" ht="78.75">
      <c r="A116" s="1160" t="s">
        <v>634</v>
      </c>
      <c r="B116" s="900" t="s">
        <v>802</v>
      </c>
      <c r="C116" s="1160"/>
      <c r="D116" s="874">
        <f t="shared" si="15"/>
        <v>5000</v>
      </c>
      <c r="E116" s="879">
        <v>0</v>
      </c>
      <c r="F116" s="879">
        <v>5000</v>
      </c>
      <c r="G116" s="874">
        <f t="shared" si="16"/>
        <v>5000</v>
      </c>
      <c r="H116" s="879">
        <v>0</v>
      </c>
      <c r="I116" s="879">
        <v>5000</v>
      </c>
      <c r="J116" s="874">
        <f t="shared" si="17"/>
        <v>0</v>
      </c>
      <c r="K116" s="879">
        <v>0</v>
      </c>
      <c r="L116" s="879">
        <v>0</v>
      </c>
      <c r="M116" s="876">
        <f t="shared" si="22"/>
        <v>0</v>
      </c>
      <c r="N116" s="877">
        <f t="shared" si="23"/>
        <v>0</v>
      </c>
      <c r="O116" s="877">
        <f t="shared" si="24"/>
        <v>0</v>
      </c>
      <c r="P116" s="1065">
        <f t="shared" si="25"/>
        <v>0</v>
      </c>
      <c r="Q116" s="1065">
        <f t="shared" si="25"/>
        <v>0</v>
      </c>
      <c r="R116" s="1065">
        <f t="shared" si="25"/>
        <v>0</v>
      </c>
      <c r="S116" s="1099" t="s">
        <v>954</v>
      </c>
      <c r="T116" s="1100" t="s">
        <v>956</v>
      </c>
      <c r="U116" s="1099">
        <v>414</v>
      </c>
      <c r="V116" s="1099">
        <v>14060</v>
      </c>
    </row>
    <row r="117" spans="1:22" hidden="1">
      <c r="A117" s="1160"/>
      <c r="B117" s="900"/>
      <c r="C117" s="1160"/>
      <c r="D117" s="874"/>
      <c r="E117" s="879"/>
      <c r="F117" s="879"/>
      <c r="G117" s="874"/>
      <c r="H117" s="879"/>
      <c r="I117" s="879"/>
      <c r="J117" s="874"/>
      <c r="K117" s="879"/>
      <c r="L117" s="879"/>
      <c r="M117" s="876"/>
      <c r="N117" s="877"/>
      <c r="O117" s="877"/>
      <c r="P117" s="1065"/>
      <c r="Q117" s="1065"/>
      <c r="R117" s="1065"/>
    </row>
    <row r="118" spans="1:22" ht="52.5">
      <c r="A118" s="1160" t="s">
        <v>635</v>
      </c>
      <c r="B118" s="900" t="s">
        <v>812</v>
      </c>
      <c r="C118" s="1160"/>
      <c r="D118" s="874">
        <f t="shared" si="15"/>
        <v>2500</v>
      </c>
      <c r="E118" s="879">
        <v>0</v>
      </c>
      <c r="F118" s="879">
        <v>2500</v>
      </c>
      <c r="G118" s="874">
        <f t="shared" si="16"/>
        <v>2500</v>
      </c>
      <c r="H118" s="879">
        <v>0</v>
      </c>
      <c r="I118" s="879">
        <v>2500</v>
      </c>
      <c r="J118" s="874">
        <f t="shared" si="17"/>
        <v>0</v>
      </c>
      <c r="K118" s="879">
        <v>0</v>
      </c>
      <c r="L118" s="879">
        <v>0</v>
      </c>
      <c r="M118" s="876">
        <f t="shared" ref="M118:M153" si="26">IF(J118=0,0,J118/G118*100)</f>
        <v>0</v>
      </c>
      <c r="N118" s="877">
        <f t="shared" ref="N118:N153" si="27">IF(K118=0,0,K118/H118*100)</f>
        <v>0</v>
      </c>
      <c r="O118" s="877">
        <f t="shared" ref="O118:O153" si="28">IF(L118=0,0,L118/I118*100)</f>
        <v>0</v>
      </c>
      <c r="P118" s="1065">
        <f t="shared" si="25"/>
        <v>0</v>
      </c>
      <c r="Q118" s="1065">
        <f t="shared" si="25"/>
        <v>0</v>
      </c>
      <c r="R118" s="1065">
        <f t="shared" si="25"/>
        <v>0</v>
      </c>
      <c r="S118" s="1099" t="s">
        <v>954</v>
      </c>
      <c r="T118" s="1100" t="s">
        <v>956</v>
      </c>
      <c r="U118" s="1099">
        <v>414</v>
      </c>
      <c r="V118" s="1099">
        <v>14074</v>
      </c>
    </row>
    <row r="119" spans="1:22" ht="78.75">
      <c r="A119" s="1160" t="s">
        <v>734</v>
      </c>
      <c r="B119" s="1125" t="s">
        <v>795</v>
      </c>
      <c r="C119" s="1186"/>
      <c r="D119" s="874">
        <f t="shared" si="15"/>
        <v>4100</v>
      </c>
      <c r="E119" s="1085">
        <v>0</v>
      </c>
      <c r="F119" s="1085">
        <v>4100</v>
      </c>
      <c r="G119" s="874">
        <f t="shared" si="16"/>
        <v>4100</v>
      </c>
      <c r="H119" s="1085">
        <v>0</v>
      </c>
      <c r="I119" s="1085">
        <v>4100</v>
      </c>
      <c r="J119" s="874">
        <f t="shared" si="17"/>
        <v>0</v>
      </c>
      <c r="K119" s="1085">
        <v>0</v>
      </c>
      <c r="L119" s="1085">
        <v>0</v>
      </c>
      <c r="M119" s="876">
        <f t="shared" si="26"/>
        <v>0</v>
      </c>
      <c r="N119" s="877">
        <f t="shared" si="27"/>
        <v>0</v>
      </c>
      <c r="O119" s="877">
        <f t="shared" si="28"/>
        <v>0</v>
      </c>
      <c r="P119" s="1065">
        <f t="shared" si="25"/>
        <v>0</v>
      </c>
      <c r="Q119" s="1065">
        <f t="shared" si="25"/>
        <v>0</v>
      </c>
      <c r="R119" s="1065">
        <f t="shared" si="25"/>
        <v>0</v>
      </c>
      <c r="S119" s="1099" t="s">
        <v>886</v>
      </c>
      <c r="T119" s="1100">
        <v>1820190400</v>
      </c>
      <c r="U119" s="1099">
        <v>414</v>
      </c>
      <c r="V119" s="1099">
        <v>14062</v>
      </c>
    </row>
    <row r="120" spans="1:22" ht="78.75">
      <c r="A120" s="1160" t="s">
        <v>735</v>
      </c>
      <c r="B120" s="937" t="s">
        <v>796</v>
      </c>
      <c r="C120" s="1186"/>
      <c r="D120" s="874">
        <f t="shared" si="15"/>
        <v>3400</v>
      </c>
      <c r="E120" s="1085">
        <v>0</v>
      </c>
      <c r="F120" s="1085">
        <v>3400</v>
      </c>
      <c r="G120" s="874">
        <f t="shared" si="16"/>
        <v>3400</v>
      </c>
      <c r="H120" s="1085">
        <v>0</v>
      </c>
      <c r="I120" s="1085">
        <v>3400</v>
      </c>
      <c r="J120" s="874">
        <f t="shared" si="17"/>
        <v>0</v>
      </c>
      <c r="K120" s="1085">
        <v>0</v>
      </c>
      <c r="L120" s="1085">
        <v>0</v>
      </c>
      <c r="M120" s="876">
        <f t="shared" si="26"/>
        <v>0</v>
      </c>
      <c r="N120" s="877">
        <f t="shared" si="27"/>
        <v>0</v>
      </c>
      <c r="O120" s="877">
        <f t="shared" si="28"/>
        <v>0</v>
      </c>
      <c r="P120" s="1065">
        <f t="shared" si="25"/>
        <v>0</v>
      </c>
      <c r="Q120" s="1065">
        <f t="shared" si="25"/>
        <v>0</v>
      </c>
      <c r="R120" s="1065">
        <f t="shared" si="25"/>
        <v>0</v>
      </c>
      <c r="S120" s="1099" t="s">
        <v>886</v>
      </c>
      <c r="T120" s="1100">
        <v>1820190400</v>
      </c>
      <c r="U120" s="1099">
        <v>414</v>
      </c>
      <c r="V120" s="1099">
        <v>14063</v>
      </c>
    </row>
    <row r="121" spans="1:22" ht="78.75">
      <c r="A121" s="1160" t="s">
        <v>636</v>
      </c>
      <c r="B121" s="1126" t="s">
        <v>806</v>
      </c>
      <c r="C121" s="1186"/>
      <c r="D121" s="874">
        <f t="shared" si="15"/>
        <v>7000</v>
      </c>
      <c r="E121" s="1085">
        <v>0</v>
      </c>
      <c r="F121" s="1085">
        <v>7000</v>
      </c>
      <c r="G121" s="874">
        <f t="shared" si="16"/>
        <v>7000</v>
      </c>
      <c r="H121" s="1085">
        <v>0</v>
      </c>
      <c r="I121" s="1085">
        <v>7000</v>
      </c>
      <c r="J121" s="874">
        <f t="shared" si="17"/>
        <v>0</v>
      </c>
      <c r="K121" s="1085">
        <v>0</v>
      </c>
      <c r="L121" s="1085">
        <v>0</v>
      </c>
      <c r="M121" s="876">
        <f t="shared" si="26"/>
        <v>0</v>
      </c>
      <c r="N121" s="877">
        <f t="shared" si="27"/>
        <v>0</v>
      </c>
      <c r="O121" s="877">
        <f t="shared" si="28"/>
        <v>0</v>
      </c>
      <c r="P121" s="1065">
        <f t="shared" si="25"/>
        <v>0</v>
      </c>
      <c r="Q121" s="1065">
        <f t="shared" si="25"/>
        <v>0</v>
      </c>
      <c r="R121" s="1065">
        <f t="shared" si="25"/>
        <v>0</v>
      </c>
      <c r="S121" s="1099" t="s">
        <v>886</v>
      </c>
      <c r="T121" s="1100">
        <v>1820190400</v>
      </c>
      <c r="U121" s="1099">
        <v>414</v>
      </c>
      <c r="V121" s="1099">
        <v>14064</v>
      </c>
    </row>
    <row r="122" spans="1:22" ht="78.75">
      <c r="A122" s="1160" t="s">
        <v>736</v>
      </c>
      <c r="B122" s="1125" t="s">
        <v>807</v>
      </c>
      <c r="C122" s="1186"/>
      <c r="D122" s="874">
        <f t="shared" si="15"/>
        <v>7800</v>
      </c>
      <c r="E122" s="1085">
        <v>0</v>
      </c>
      <c r="F122" s="1085">
        <v>7800</v>
      </c>
      <c r="G122" s="874">
        <f t="shared" si="16"/>
        <v>7800</v>
      </c>
      <c r="H122" s="1085">
        <v>0</v>
      </c>
      <c r="I122" s="1085">
        <v>7800</v>
      </c>
      <c r="J122" s="874">
        <f t="shared" si="17"/>
        <v>0</v>
      </c>
      <c r="K122" s="1085">
        <v>0</v>
      </c>
      <c r="L122" s="1085">
        <v>0</v>
      </c>
      <c r="M122" s="876">
        <f t="shared" si="26"/>
        <v>0</v>
      </c>
      <c r="N122" s="877">
        <f t="shared" si="27"/>
        <v>0</v>
      </c>
      <c r="O122" s="877">
        <f t="shared" si="28"/>
        <v>0</v>
      </c>
      <c r="P122" s="1065">
        <f t="shared" si="25"/>
        <v>0</v>
      </c>
      <c r="Q122" s="1065">
        <f t="shared" si="25"/>
        <v>0</v>
      </c>
      <c r="R122" s="1065">
        <f t="shared" si="25"/>
        <v>0</v>
      </c>
      <c r="S122" s="1099" t="s">
        <v>886</v>
      </c>
      <c r="T122" s="1100">
        <v>1820190400</v>
      </c>
      <c r="U122" s="1099">
        <v>414</v>
      </c>
      <c r="V122" s="1099">
        <v>14065</v>
      </c>
    </row>
    <row r="123" spans="1:22" ht="120" customHeight="1">
      <c r="A123" s="1160" t="s">
        <v>737</v>
      </c>
      <c r="B123" s="1125" t="s">
        <v>808</v>
      </c>
      <c r="C123" s="1186"/>
      <c r="D123" s="874">
        <f t="shared" si="15"/>
        <v>2000</v>
      </c>
      <c r="E123" s="1085">
        <v>0</v>
      </c>
      <c r="F123" s="1085">
        <v>2000</v>
      </c>
      <c r="G123" s="874">
        <f t="shared" si="16"/>
        <v>2000</v>
      </c>
      <c r="H123" s="1085">
        <v>0</v>
      </c>
      <c r="I123" s="1085">
        <v>2000</v>
      </c>
      <c r="J123" s="874">
        <f t="shared" si="17"/>
        <v>0</v>
      </c>
      <c r="K123" s="1085">
        <v>0</v>
      </c>
      <c r="L123" s="1085">
        <v>0</v>
      </c>
      <c r="M123" s="876">
        <f t="shared" si="26"/>
        <v>0</v>
      </c>
      <c r="N123" s="877">
        <f t="shared" si="27"/>
        <v>0</v>
      </c>
      <c r="O123" s="877">
        <f t="shared" si="28"/>
        <v>0</v>
      </c>
      <c r="P123" s="1065">
        <f t="shared" si="25"/>
        <v>0</v>
      </c>
      <c r="Q123" s="1065">
        <f t="shared" si="25"/>
        <v>0</v>
      </c>
      <c r="R123" s="1065">
        <f t="shared" si="25"/>
        <v>0</v>
      </c>
      <c r="S123" s="1099" t="s">
        <v>886</v>
      </c>
      <c r="T123" s="1100">
        <v>1820190400</v>
      </c>
      <c r="U123" s="1099">
        <v>414</v>
      </c>
      <c r="V123" s="1099">
        <v>14066</v>
      </c>
    </row>
    <row r="124" spans="1:22" ht="118.5" customHeight="1">
      <c r="A124" s="1160" t="s">
        <v>738</v>
      </c>
      <c r="B124" s="900" t="s">
        <v>809</v>
      </c>
      <c r="C124" s="1160"/>
      <c r="D124" s="874">
        <f>SUM(E124:F124)</f>
        <v>20000</v>
      </c>
      <c r="E124" s="1085">
        <v>0</v>
      </c>
      <c r="F124" s="1085">
        <v>20000</v>
      </c>
      <c r="G124" s="874">
        <f>SUM(H124:I124)</f>
        <v>20000</v>
      </c>
      <c r="H124" s="1085">
        <v>0</v>
      </c>
      <c r="I124" s="1085">
        <v>20000</v>
      </c>
      <c r="J124" s="874">
        <f>SUM(K124:L124)</f>
        <v>0</v>
      </c>
      <c r="K124" s="1085">
        <v>0</v>
      </c>
      <c r="L124" s="1085">
        <v>0</v>
      </c>
      <c r="M124" s="876">
        <f t="shared" si="26"/>
        <v>0</v>
      </c>
      <c r="N124" s="877">
        <f t="shared" si="27"/>
        <v>0</v>
      </c>
      <c r="O124" s="877">
        <f t="shared" si="28"/>
        <v>0</v>
      </c>
      <c r="P124" s="1065">
        <f t="shared" si="25"/>
        <v>0</v>
      </c>
      <c r="Q124" s="1065">
        <f t="shared" si="25"/>
        <v>0</v>
      </c>
      <c r="R124" s="1065">
        <f t="shared" si="25"/>
        <v>0</v>
      </c>
      <c r="S124" s="1099" t="s">
        <v>928</v>
      </c>
      <c r="T124" s="1100" t="s">
        <v>929</v>
      </c>
      <c r="U124" s="1099">
        <v>414</v>
      </c>
      <c r="V124" s="1099">
        <v>14072</v>
      </c>
    </row>
    <row r="125" spans="1:22" ht="89.25" customHeight="1">
      <c r="A125" s="1160" t="s">
        <v>739</v>
      </c>
      <c r="B125" s="900" t="s">
        <v>810</v>
      </c>
      <c r="C125" s="1160"/>
      <c r="D125" s="874">
        <f>SUM(E125:F125)</f>
        <v>20000</v>
      </c>
      <c r="E125" s="1085">
        <v>0</v>
      </c>
      <c r="F125" s="1085">
        <v>20000</v>
      </c>
      <c r="G125" s="874">
        <f>SUM(H125:I125)</f>
        <v>20000</v>
      </c>
      <c r="H125" s="1085">
        <v>0</v>
      </c>
      <c r="I125" s="1085">
        <v>20000</v>
      </c>
      <c r="J125" s="874">
        <f>SUM(K125:L125)</f>
        <v>0</v>
      </c>
      <c r="K125" s="1085">
        <v>0</v>
      </c>
      <c r="L125" s="1085">
        <v>0</v>
      </c>
      <c r="M125" s="876">
        <f t="shared" si="26"/>
        <v>0</v>
      </c>
      <c r="N125" s="877">
        <f t="shared" si="27"/>
        <v>0</v>
      </c>
      <c r="O125" s="877">
        <f t="shared" si="28"/>
        <v>0</v>
      </c>
      <c r="P125" s="1065">
        <f t="shared" si="25"/>
        <v>0</v>
      </c>
      <c r="Q125" s="1065">
        <f t="shared" si="25"/>
        <v>0</v>
      </c>
      <c r="R125" s="1065">
        <f t="shared" si="25"/>
        <v>0</v>
      </c>
      <c r="S125" s="1099" t="s">
        <v>936</v>
      </c>
      <c r="T125" s="1100" t="s">
        <v>937</v>
      </c>
      <c r="U125" s="1099">
        <v>414</v>
      </c>
      <c r="V125" s="1099">
        <v>14058</v>
      </c>
    </row>
    <row r="126" spans="1:22" ht="135.75" customHeight="1">
      <c r="A126" s="1160" t="s">
        <v>740</v>
      </c>
      <c r="B126" s="990" t="s">
        <v>811</v>
      </c>
      <c r="C126" s="1176"/>
      <c r="D126" s="874">
        <f>SUM(E126:F126)</f>
        <v>24516</v>
      </c>
      <c r="E126" s="1085">
        <v>0</v>
      </c>
      <c r="F126" s="1085">
        <v>24516</v>
      </c>
      <c r="G126" s="874">
        <f>SUM(H126:I126)</f>
        <v>24516</v>
      </c>
      <c r="H126" s="1085">
        <v>0</v>
      </c>
      <c r="I126" s="1085">
        <v>24516</v>
      </c>
      <c r="J126" s="874">
        <f>SUM(K126:L126)</f>
        <v>0</v>
      </c>
      <c r="K126" s="1085">
        <v>0</v>
      </c>
      <c r="L126" s="1085">
        <v>0</v>
      </c>
      <c r="M126" s="876">
        <f t="shared" si="26"/>
        <v>0</v>
      </c>
      <c r="N126" s="877">
        <f t="shared" si="27"/>
        <v>0</v>
      </c>
      <c r="O126" s="877">
        <f t="shared" si="28"/>
        <v>0</v>
      </c>
      <c r="P126" s="1065">
        <f t="shared" si="25"/>
        <v>0</v>
      </c>
      <c r="Q126" s="1065">
        <f t="shared" si="25"/>
        <v>0</v>
      </c>
      <c r="R126" s="1065">
        <f t="shared" si="25"/>
        <v>0</v>
      </c>
      <c r="S126" s="1099" t="s">
        <v>936</v>
      </c>
      <c r="T126" s="1100" t="s">
        <v>937</v>
      </c>
      <c r="U126" s="1099">
        <v>414</v>
      </c>
      <c r="V126" s="1099">
        <v>14059</v>
      </c>
    </row>
    <row r="127" spans="1:22" ht="95.25" customHeight="1">
      <c r="A127" s="1160" t="s">
        <v>741</v>
      </c>
      <c r="B127" s="900" t="s">
        <v>640</v>
      </c>
      <c r="C127" s="1160"/>
      <c r="D127" s="874">
        <f>SUM(E127:F127)</f>
        <v>1400</v>
      </c>
      <c r="E127" s="879">
        <v>0</v>
      </c>
      <c r="F127" s="879">
        <v>1400</v>
      </c>
      <c r="G127" s="874">
        <f>SUM(H127:I127)</f>
        <v>1400</v>
      </c>
      <c r="H127" s="879">
        <v>0</v>
      </c>
      <c r="I127" s="879">
        <v>1400</v>
      </c>
      <c r="J127" s="874">
        <f>SUM(K127:L127)</f>
        <v>0</v>
      </c>
      <c r="K127" s="879">
        <v>0</v>
      </c>
      <c r="L127" s="879">
        <v>0</v>
      </c>
      <c r="M127" s="876">
        <f t="shared" si="26"/>
        <v>0</v>
      </c>
      <c r="N127" s="877">
        <f t="shared" si="27"/>
        <v>0</v>
      </c>
      <c r="O127" s="877">
        <f t="shared" si="28"/>
        <v>0</v>
      </c>
      <c r="P127" s="1065">
        <f t="shared" si="25"/>
        <v>0</v>
      </c>
      <c r="Q127" s="1065">
        <f t="shared" si="25"/>
        <v>0</v>
      </c>
      <c r="R127" s="1065">
        <f t="shared" si="25"/>
        <v>0</v>
      </c>
      <c r="S127" s="1099" t="s">
        <v>869</v>
      </c>
      <c r="T127" s="1100">
        <v>1410190420</v>
      </c>
      <c r="U127" s="1099">
        <v>414</v>
      </c>
      <c r="V127" s="1099">
        <v>14022</v>
      </c>
    </row>
    <row r="128" spans="1:22" ht="95.25" customHeight="1">
      <c r="A128" s="1160" t="s">
        <v>742</v>
      </c>
      <c r="B128" s="1106" t="s">
        <v>863</v>
      </c>
      <c r="C128" s="1158"/>
      <c r="D128" s="874">
        <f>SUM(E128:F128)</f>
        <v>21276.6</v>
      </c>
      <c r="E128" s="879">
        <v>20000</v>
      </c>
      <c r="F128" s="879">
        <v>1276.5999999999999</v>
      </c>
      <c r="G128" s="874">
        <f>SUM(H128:I128)</f>
        <v>21276.6</v>
      </c>
      <c r="H128" s="879">
        <v>20000</v>
      </c>
      <c r="I128" s="879">
        <v>1276.5999999999999</v>
      </c>
      <c r="J128" s="874">
        <f>SUM(K128:L128)</f>
        <v>0</v>
      </c>
      <c r="K128" s="879">
        <v>0</v>
      </c>
      <c r="L128" s="879">
        <v>0</v>
      </c>
      <c r="M128" s="876">
        <f t="shared" si="26"/>
        <v>0</v>
      </c>
      <c r="N128" s="877">
        <f t="shared" si="27"/>
        <v>0</v>
      </c>
      <c r="O128" s="877">
        <f t="shared" si="28"/>
        <v>0</v>
      </c>
      <c r="P128" s="1065"/>
      <c r="Q128" s="1065"/>
      <c r="R128" s="1065"/>
      <c r="S128" s="1099" t="s">
        <v>928</v>
      </c>
      <c r="T128" s="1100" t="s">
        <v>932</v>
      </c>
      <c r="U128" s="1099">
        <v>414</v>
      </c>
      <c r="V128" s="1099" t="s">
        <v>933</v>
      </c>
    </row>
    <row r="129" spans="1:24" ht="52.5">
      <c r="A129" s="1160" t="s">
        <v>782</v>
      </c>
      <c r="B129" s="1127" t="s">
        <v>841</v>
      </c>
      <c r="C129" s="1187"/>
      <c r="D129" s="874">
        <f t="shared" ref="D129:D192" si="29">SUM(E129:F129)</f>
        <v>3420</v>
      </c>
      <c r="E129" s="879"/>
      <c r="F129" s="970">
        <v>3420</v>
      </c>
      <c r="G129" s="874">
        <f t="shared" ref="G129:G192" si="30">SUM(H129:I129)</f>
        <v>3420</v>
      </c>
      <c r="H129" s="1083"/>
      <c r="I129" s="970">
        <v>3420</v>
      </c>
      <c r="J129" s="874">
        <f t="shared" ref="J129:J184" si="31">SUM(K129:L129)</f>
        <v>0</v>
      </c>
      <c r="K129" s="879">
        <v>0</v>
      </c>
      <c r="L129" s="879">
        <v>0</v>
      </c>
      <c r="M129" s="876">
        <f t="shared" si="26"/>
        <v>0</v>
      </c>
      <c r="N129" s="877">
        <f t="shared" si="27"/>
        <v>0</v>
      </c>
      <c r="O129" s="877">
        <f t="shared" si="28"/>
        <v>0</v>
      </c>
      <c r="P129" s="1065">
        <f t="shared" ref="P129:R162" si="32">D129-G129</f>
        <v>0</v>
      </c>
      <c r="Q129" s="1065">
        <f t="shared" si="32"/>
        <v>0</v>
      </c>
      <c r="R129" s="1065">
        <f t="shared" si="32"/>
        <v>0</v>
      </c>
      <c r="S129" s="1099" t="s">
        <v>886</v>
      </c>
      <c r="T129" s="1100" t="s">
        <v>892</v>
      </c>
      <c r="U129" s="1099">
        <v>414</v>
      </c>
      <c r="V129" s="1099">
        <v>14076</v>
      </c>
    </row>
    <row r="130" spans="1:24" ht="52.5">
      <c r="A130" s="1160" t="s">
        <v>817</v>
      </c>
      <c r="B130" s="1127" t="s">
        <v>842</v>
      </c>
      <c r="C130" s="1187"/>
      <c r="D130" s="874">
        <f t="shared" si="29"/>
        <v>2710</v>
      </c>
      <c r="E130" s="879"/>
      <c r="F130" s="970">
        <v>2710</v>
      </c>
      <c r="G130" s="874">
        <f t="shared" si="30"/>
        <v>2710</v>
      </c>
      <c r="H130" s="1083"/>
      <c r="I130" s="970">
        <v>2710</v>
      </c>
      <c r="J130" s="874">
        <f t="shared" si="31"/>
        <v>0</v>
      </c>
      <c r="K130" s="879">
        <v>0</v>
      </c>
      <c r="L130" s="879">
        <v>0</v>
      </c>
      <c r="M130" s="876">
        <f t="shared" si="26"/>
        <v>0</v>
      </c>
      <c r="N130" s="877">
        <f t="shared" si="27"/>
        <v>0</v>
      </c>
      <c r="O130" s="877">
        <f t="shared" si="28"/>
        <v>0</v>
      </c>
      <c r="P130" s="1065">
        <f t="shared" si="32"/>
        <v>0</v>
      </c>
      <c r="Q130" s="1065">
        <f t="shared" si="32"/>
        <v>0</v>
      </c>
      <c r="R130" s="1065">
        <f t="shared" si="32"/>
        <v>0</v>
      </c>
      <c r="S130" s="1099" t="s">
        <v>886</v>
      </c>
      <c r="T130" s="1100" t="s">
        <v>892</v>
      </c>
      <c r="U130" s="1099">
        <v>414</v>
      </c>
      <c r="V130" s="1099">
        <v>14077</v>
      </c>
    </row>
    <row r="131" spans="1:24" ht="78.75">
      <c r="A131" s="1160" t="s">
        <v>818</v>
      </c>
      <c r="B131" s="1127" t="s">
        <v>843</v>
      </c>
      <c r="C131" s="1187"/>
      <c r="D131" s="874">
        <f t="shared" si="29"/>
        <v>2640</v>
      </c>
      <c r="E131" s="879"/>
      <c r="F131" s="970">
        <v>2640</v>
      </c>
      <c r="G131" s="874">
        <f t="shared" si="30"/>
        <v>2640</v>
      </c>
      <c r="H131" s="1083"/>
      <c r="I131" s="970">
        <v>2640</v>
      </c>
      <c r="J131" s="874">
        <f t="shared" si="31"/>
        <v>0</v>
      </c>
      <c r="K131" s="879">
        <v>0</v>
      </c>
      <c r="L131" s="879">
        <v>0</v>
      </c>
      <c r="M131" s="876">
        <f t="shared" si="26"/>
        <v>0</v>
      </c>
      <c r="N131" s="877">
        <f t="shared" si="27"/>
        <v>0</v>
      </c>
      <c r="O131" s="877">
        <f t="shared" si="28"/>
        <v>0</v>
      </c>
      <c r="P131" s="1065">
        <f t="shared" si="32"/>
        <v>0</v>
      </c>
      <c r="Q131" s="1065">
        <f t="shared" si="32"/>
        <v>0</v>
      </c>
      <c r="R131" s="1065">
        <f t="shared" si="32"/>
        <v>0</v>
      </c>
      <c r="S131" s="1099" t="s">
        <v>886</v>
      </c>
      <c r="T131" s="1100" t="s">
        <v>892</v>
      </c>
      <c r="U131" s="1099">
        <v>414</v>
      </c>
      <c r="V131" s="1099">
        <v>14078</v>
      </c>
    </row>
    <row r="132" spans="1:24" ht="78.75">
      <c r="A132" s="1160" t="s">
        <v>819</v>
      </c>
      <c r="B132" s="1127" t="s">
        <v>844</v>
      </c>
      <c r="C132" s="1187"/>
      <c r="D132" s="874">
        <f t="shared" si="29"/>
        <v>2930</v>
      </c>
      <c r="E132" s="879"/>
      <c r="F132" s="970">
        <v>2930</v>
      </c>
      <c r="G132" s="874">
        <f t="shared" si="30"/>
        <v>2930</v>
      </c>
      <c r="H132" s="1083"/>
      <c r="I132" s="970">
        <v>2930</v>
      </c>
      <c r="J132" s="874">
        <f t="shared" si="31"/>
        <v>0</v>
      </c>
      <c r="K132" s="879">
        <v>0</v>
      </c>
      <c r="L132" s="879">
        <v>0</v>
      </c>
      <c r="M132" s="876">
        <f t="shared" si="26"/>
        <v>0</v>
      </c>
      <c r="N132" s="877">
        <f t="shared" si="27"/>
        <v>0</v>
      </c>
      <c r="O132" s="877">
        <f t="shared" si="28"/>
        <v>0</v>
      </c>
      <c r="P132" s="1065">
        <f t="shared" si="32"/>
        <v>0</v>
      </c>
      <c r="Q132" s="1065">
        <f t="shared" si="32"/>
        <v>0</v>
      </c>
      <c r="R132" s="1065">
        <f t="shared" si="32"/>
        <v>0</v>
      </c>
      <c r="S132" s="1099" t="s">
        <v>886</v>
      </c>
      <c r="T132" s="1100" t="s">
        <v>892</v>
      </c>
      <c r="U132" s="1099">
        <v>414</v>
      </c>
      <c r="V132" s="1099">
        <v>14079</v>
      </c>
    </row>
    <row r="133" spans="1:24" ht="78.75">
      <c r="A133" s="1160" t="s">
        <v>762</v>
      </c>
      <c r="B133" s="1127" t="s">
        <v>845</v>
      </c>
      <c r="C133" s="1187"/>
      <c r="D133" s="874">
        <f t="shared" si="29"/>
        <v>5180</v>
      </c>
      <c r="E133" s="1085"/>
      <c r="F133" s="970">
        <v>5180</v>
      </c>
      <c r="G133" s="874">
        <f t="shared" si="30"/>
        <v>5180</v>
      </c>
      <c r="H133" s="1085"/>
      <c r="I133" s="970">
        <v>5180</v>
      </c>
      <c r="J133" s="874">
        <f t="shared" si="31"/>
        <v>0</v>
      </c>
      <c r="K133" s="879">
        <v>0</v>
      </c>
      <c r="L133" s="879">
        <v>0</v>
      </c>
      <c r="M133" s="876">
        <f t="shared" si="26"/>
        <v>0</v>
      </c>
      <c r="N133" s="877">
        <f t="shared" si="27"/>
        <v>0</v>
      </c>
      <c r="O133" s="877">
        <f t="shared" si="28"/>
        <v>0</v>
      </c>
      <c r="P133" s="1065">
        <f t="shared" si="32"/>
        <v>0</v>
      </c>
      <c r="Q133" s="1065">
        <f t="shared" si="32"/>
        <v>0</v>
      </c>
      <c r="R133" s="1065">
        <f t="shared" si="32"/>
        <v>0</v>
      </c>
      <c r="S133" s="1099" t="s">
        <v>886</v>
      </c>
      <c r="T133" s="1100" t="s">
        <v>892</v>
      </c>
      <c r="U133" s="1099">
        <v>414</v>
      </c>
      <c r="V133" s="1099">
        <v>14080</v>
      </c>
    </row>
    <row r="134" spans="1:24" ht="52.5">
      <c r="A134" s="1160" t="s">
        <v>743</v>
      </c>
      <c r="B134" s="1127" t="s">
        <v>846</v>
      </c>
      <c r="C134" s="1187"/>
      <c r="D134" s="874">
        <f t="shared" si="29"/>
        <v>2930</v>
      </c>
      <c r="E134" s="1085"/>
      <c r="F134" s="970">
        <v>2930</v>
      </c>
      <c r="G134" s="874">
        <f t="shared" si="30"/>
        <v>2930</v>
      </c>
      <c r="H134" s="1085"/>
      <c r="I134" s="970">
        <v>2930</v>
      </c>
      <c r="J134" s="874">
        <f t="shared" si="31"/>
        <v>0</v>
      </c>
      <c r="K134" s="879">
        <v>0</v>
      </c>
      <c r="L134" s="879">
        <v>0</v>
      </c>
      <c r="M134" s="876">
        <f t="shared" si="26"/>
        <v>0</v>
      </c>
      <c r="N134" s="877">
        <f t="shared" si="27"/>
        <v>0</v>
      </c>
      <c r="O134" s="877">
        <f t="shared" si="28"/>
        <v>0</v>
      </c>
      <c r="P134" s="1065">
        <f t="shared" si="32"/>
        <v>0</v>
      </c>
      <c r="Q134" s="1065">
        <f t="shared" si="32"/>
        <v>0</v>
      </c>
      <c r="R134" s="1065">
        <f t="shared" si="32"/>
        <v>0</v>
      </c>
      <c r="S134" s="1099" t="s">
        <v>886</v>
      </c>
      <c r="T134" s="1100" t="s">
        <v>892</v>
      </c>
      <c r="U134" s="1099">
        <v>414</v>
      </c>
      <c r="V134" s="1099">
        <v>14081</v>
      </c>
    </row>
    <row r="135" spans="1:24" ht="78.75">
      <c r="A135" s="1160" t="s">
        <v>744</v>
      </c>
      <c r="B135" s="1127" t="s">
        <v>847</v>
      </c>
      <c r="C135" s="1187"/>
      <c r="D135" s="874">
        <f t="shared" si="29"/>
        <v>2090</v>
      </c>
      <c r="E135" s="1085"/>
      <c r="F135" s="970">
        <v>2090</v>
      </c>
      <c r="G135" s="874">
        <f t="shared" si="30"/>
        <v>2090</v>
      </c>
      <c r="H135" s="1085"/>
      <c r="I135" s="970">
        <v>2090</v>
      </c>
      <c r="J135" s="874">
        <f t="shared" si="31"/>
        <v>0</v>
      </c>
      <c r="K135" s="879">
        <v>0</v>
      </c>
      <c r="L135" s="879">
        <v>0</v>
      </c>
      <c r="M135" s="876">
        <f t="shared" si="26"/>
        <v>0</v>
      </c>
      <c r="N135" s="877">
        <f t="shared" si="27"/>
        <v>0</v>
      </c>
      <c r="O135" s="877">
        <f t="shared" si="28"/>
        <v>0</v>
      </c>
      <c r="P135" s="1065">
        <f t="shared" si="32"/>
        <v>0</v>
      </c>
      <c r="Q135" s="1065">
        <f t="shared" si="32"/>
        <v>0</v>
      </c>
      <c r="R135" s="1065">
        <f t="shared" si="32"/>
        <v>0</v>
      </c>
      <c r="S135" s="1099" t="s">
        <v>886</v>
      </c>
      <c r="T135" s="1100" t="s">
        <v>892</v>
      </c>
      <c r="U135" s="1099">
        <v>414</v>
      </c>
      <c r="V135" s="1099">
        <v>14082</v>
      </c>
    </row>
    <row r="136" spans="1:24" ht="78.75">
      <c r="A136" s="1160" t="s">
        <v>745</v>
      </c>
      <c r="B136" s="1127" t="s">
        <v>848</v>
      </c>
      <c r="C136" s="1187"/>
      <c r="D136" s="874">
        <f t="shared" si="29"/>
        <v>2230</v>
      </c>
      <c r="E136" s="1085"/>
      <c r="F136" s="970">
        <v>2230</v>
      </c>
      <c r="G136" s="874">
        <f t="shared" si="30"/>
        <v>2230</v>
      </c>
      <c r="H136" s="1085"/>
      <c r="I136" s="970">
        <v>2230</v>
      </c>
      <c r="J136" s="874">
        <f t="shared" si="31"/>
        <v>0</v>
      </c>
      <c r="K136" s="879">
        <v>0</v>
      </c>
      <c r="L136" s="879">
        <v>0</v>
      </c>
      <c r="M136" s="876">
        <f t="shared" si="26"/>
        <v>0</v>
      </c>
      <c r="N136" s="877">
        <f t="shared" si="27"/>
        <v>0</v>
      </c>
      <c r="O136" s="877">
        <f t="shared" si="28"/>
        <v>0</v>
      </c>
      <c r="P136" s="1065">
        <f t="shared" si="32"/>
        <v>0</v>
      </c>
      <c r="Q136" s="1065">
        <f t="shared" si="32"/>
        <v>0</v>
      </c>
      <c r="R136" s="1065">
        <f t="shared" si="32"/>
        <v>0</v>
      </c>
      <c r="S136" s="1099" t="s">
        <v>886</v>
      </c>
      <c r="T136" s="1100" t="s">
        <v>892</v>
      </c>
      <c r="U136" s="1099">
        <v>414</v>
      </c>
      <c r="V136" s="1099">
        <v>14083</v>
      </c>
    </row>
    <row r="137" spans="1:24" ht="52.5">
      <c r="A137" s="1160" t="s">
        <v>746</v>
      </c>
      <c r="B137" s="1127" t="s">
        <v>849</v>
      </c>
      <c r="C137" s="1187"/>
      <c r="D137" s="874">
        <f t="shared" si="29"/>
        <v>1650</v>
      </c>
      <c r="E137" s="1085"/>
      <c r="F137" s="970">
        <v>1650</v>
      </c>
      <c r="G137" s="874">
        <f t="shared" si="30"/>
        <v>1650</v>
      </c>
      <c r="H137" s="1085"/>
      <c r="I137" s="970">
        <v>1650</v>
      </c>
      <c r="J137" s="874">
        <f t="shared" si="31"/>
        <v>0</v>
      </c>
      <c r="K137" s="879">
        <v>0</v>
      </c>
      <c r="L137" s="879">
        <v>0</v>
      </c>
      <c r="M137" s="876">
        <f t="shared" si="26"/>
        <v>0</v>
      </c>
      <c r="N137" s="877">
        <f t="shared" si="27"/>
        <v>0</v>
      </c>
      <c r="O137" s="877">
        <f t="shared" si="28"/>
        <v>0</v>
      </c>
      <c r="P137" s="1065">
        <f t="shared" si="32"/>
        <v>0</v>
      </c>
      <c r="Q137" s="1065">
        <f t="shared" si="32"/>
        <v>0</v>
      </c>
      <c r="R137" s="1065">
        <f t="shared" si="32"/>
        <v>0</v>
      </c>
      <c r="S137" s="1099" t="s">
        <v>886</v>
      </c>
      <c r="T137" s="1100" t="s">
        <v>892</v>
      </c>
      <c r="U137" s="1099">
        <v>414</v>
      </c>
      <c r="V137" s="1099">
        <v>14084</v>
      </c>
    </row>
    <row r="138" spans="1:24" ht="52.5">
      <c r="A138" s="1160" t="s">
        <v>747</v>
      </c>
      <c r="B138" s="1127" t="s">
        <v>850</v>
      </c>
      <c r="C138" s="1187"/>
      <c r="D138" s="874">
        <f t="shared" si="29"/>
        <v>2640</v>
      </c>
      <c r="E138" s="1085"/>
      <c r="F138" s="970">
        <v>2640</v>
      </c>
      <c r="G138" s="874">
        <f t="shared" si="30"/>
        <v>2640</v>
      </c>
      <c r="H138" s="1085"/>
      <c r="I138" s="970">
        <v>2640</v>
      </c>
      <c r="J138" s="874">
        <f t="shared" si="31"/>
        <v>0</v>
      </c>
      <c r="K138" s="879">
        <v>0</v>
      </c>
      <c r="L138" s="879">
        <v>0</v>
      </c>
      <c r="M138" s="876">
        <f t="shared" si="26"/>
        <v>0</v>
      </c>
      <c r="N138" s="877">
        <f t="shared" si="27"/>
        <v>0</v>
      </c>
      <c r="O138" s="877">
        <f t="shared" si="28"/>
        <v>0</v>
      </c>
      <c r="P138" s="1065">
        <f t="shared" si="32"/>
        <v>0</v>
      </c>
      <c r="Q138" s="1065">
        <f t="shared" si="32"/>
        <v>0</v>
      </c>
      <c r="R138" s="1065">
        <f t="shared" si="32"/>
        <v>0</v>
      </c>
      <c r="S138" s="1099" t="s">
        <v>886</v>
      </c>
      <c r="T138" s="1100" t="s">
        <v>892</v>
      </c>
      <c r="U138" s="1099">
        <v>414</v>
      </c>
      <c r="V138" s="1099">
        <v>14085</v>
      </c>
    </row>
    <row r="139" spans="1:24" ht="74.25" customHeight="1">
      <c r="A139" s="1160" t="s">
        <v>748</v>
      </c>
      <c r="B139" s="1127" t="s">
        <v>851</v>
      </c>
      <c r="C139" s="1187"/>
      <c r="D139" s="874">
        <f t="shared" si="29"/>
        <v>3420</v>
      </c>
      <c r="E139" s="1085"/>
      <c r="F139" s="970">
        <v>3420</v>
      </c>
      <c r="G139" s="874">
        <f t="shared" si="30"/>
        <v>3420</v>
      </c>
      <c r="H139" s="1085"/>
      <c r="I139" s="970">
        <v>3420</v>
      </c>
      <c r="J139" s="874">
        <f t="shared" si="31"/>
        <v>0</v>
      </c>
      <c r="K139" s="879">
        <v>0</v>
      </c>
      <c r="L139" s="879">
        <v>0</v>
      </c>
      <c r="M139" s="876">
        <f t="shared" si="26"/>
        <v>0</v>
      </c>
      <c r="N139" s="877">
        <f t="shared" si="27"/>
        <v>0</v>
      </c>
      <c r="O139" s="877">
        <f t="shared" si="28"/>
        <v>0</v>
      </c>
      <c r="P139" s="1065">
        <f t="shared" si="32"/>
        <v>0</v>
      </c>
      <c r="Q139" s="1065">
        <f t="shared" si="32"/>
        <v>0</v>
      </c>
      <c r="R139" s="1065">
        <f t="shared" si="32"/>
        <v>0</v>
      </c>
      <c r="S139" s="1099" t="s">
        <v>886</v>
      </c>
      <c r="T139" s="1100" t="s">
        <v>892</v>
      </c>
      <c r="U139" s="1099">
        <v>414</v>
      </c>
      <c r="V139" s="1099">
        <v>14086</v>
      </c>
    </row>
    <row r="140" spans="1:24" ht="52.5">
      <c r="A140" s="1160" t="s">
        <v>749</v>
      </c>
      <c r="B140" s="1127" t="s">
        <v>852</v>
      </c>
      <c r="C140" s="1187"/>
      <c r="D140" s="874">
        <f t="shared" si="29"/>
        <v>2230</v>
      </c>
      <c r="E140" s="1085"/>
      <c r="F140" s="970">
        <v>2230</v>
      </c>
      <c r="G140" s="874">
        <f t="shared" si="30"/>
        <v>2230</v>
      </c>
      <c r="H140" s="1085"/>
      <c r="I140" s="970">
        <v>2230</v>
      </c>
      <c r="J140" s="874">
        <f t="shared" si="31"/>
        <v>0</v>
      </c>
      <c r="K140" s="879">
        <v>0</v>
      </c>
      <c r="L140" s="879">
        <v>0</v>
      </c>
      <c r="M140" s="876">
        <f t="shared" si="26"/>
        <v>0</v>
      </c>
      <c r="N140" s="877">
        <f t="shared" si="27"/>
        <v>0</v>
      </c>
      <c r="O140" s="877">
        <f t="shared" si="28"/>
        <v>0</v>
      </c>
      <c r="P140" s="1065">
        <f t="shared" si="32"/>
        <v>0</v>
      </c>
      <c r="Q140" s="1065">
        <f t="shared" si="32"/>
        <v>0</v>
      </c>
      <c r="R140" s="1065">
        <f t="shared" si="32"/>
        <v>0</v>
      </c>
      <c r="S140" s="1099" t="s">
        <v>886</v>
      </c>
      <c r="T140" s="1100" t="s">
        <v>892</v>
      </c>
      <c r="U140" s="1099">
        <v>414</v>
      </c>
      <c r="V140" s="1099">
        <v>14087</v>
      </c>
    </row>
    <row r="141" spans="1:24" ht="52.5">
      <c r="A141" s="1160" t="s">
        <v>750</v>
      </c>
      <c r="B141" s="1127" t="s">
        <v>853</v>
      </c>
      <c r="C141" s="1187"/>
      <c r="D141" s="874">
        <f t="shared" si="29"/>
        <v>2930</v>
      </c>
      <c r="E141" s="879"/>
      <c r="F141" s="970">
        <v>2930</v>
      </c>
      <c r="G141" s="874">
        <f t="shared" si="30"/>
        <v>2930</v>
      </c>
      <c r="H141" s="1083"/>
      <c r="I141" s="970">
        <v>2930</v>
      </c>
      <c r="J141" s="874">
        <f t="shared" si="31"/>
        <v>0</v>
      </c>
      <c r="K141" s="879">
        <v>0</v>
      </c>
      <c r="L141" s="879">
        <v>0</v>
      </c>
      <c r="M141" s="876">
        <f t="shared" si="26"/>
        <v>0</v>
      </c>
      <c r="N141" s="877">
        <f t="shared" si="27"/>
        <v>0</v>
      </c>
      <c r="O141" s="877">
        <f t="shared" si="28"/>
        <v>0</v>
      </c>
      <c r="P141" s="1065">
        <f t="shared" si="32"/>
        <v>0</v>
      </c>
      <c r="Q141" s="1065">
        <f t="shared" si="32"/>
        <v>0</v>
      </c>
      <c r="R141" s="1065">
        <f t="shared" si="32"/>
        <v>0</v>
      </c>
      <c r="S141" s="1099" t="s">
        <v>886</v>
      </c>
      <c r="T141" s="1100" t="s">
        <v>892</v>
      </c>
      <c r="U141" s="1099">
        <v>414</v>
      </c>
      <c r="V141" s="1099">
        <v>14088</v>
      </c>
    </row>
    <row r="142" spans="1:24" s="515" customFormat="1" ht="125.25" customHeight="1">
      <c r="A142" s="1157" t="s">
        <v>751</v>
      </c>
      <c r="B142" s="987" t="s">
        <v>864</v>
      </c>
      <c r="C142" s="1188"/>
      <c r="D142" s="874">
        <f t="shared" si="29"/>
        <v>23733</v>
      </c>
      <c r="E142" s="1085">
        <v>0</v>
      </c>
      <c r="F142" s="1085">
        <v>23733</v>
      </c>
      <c r="G142" s="874">
        <f>SUM(H142:I142)</f>
        <v>23733</v>
      </c>
      <c r="H142" s="1085">
        <v>0</v>
      </c>
      <c r="I142" s="1085">
        <v>23733</v>
      </c>
      <c r="J142" s="874">
        <f t="shared" si="31"/>
        <v>0</v>
      </c>
      <c r="K142" s="1085">
        <v>0</v>
      </c>
      <c r="L142" s="1085">
        <v>0</v>
      </c>
      <c r="M142" s="876">
        <f t="shared" si="26"/>
        <v>0</v>
      </c>
      <c r="N142" s="877">
        <f t="shared" si="27"/>
        <v>0</v>
      </c>
      <c r="O142" s="877">
        <f t="shared" si="28"/>
        <v>0</v>
      </c>
      <c r="P142" s="1065">
        <f t="shared" si="32"/>
        <v>0</v>
      </c>
      <c r="Q142" s="1065">
        <f t="shared" si="32"/>
        <v>0</v>
      </c>
      <c r="R142" s="1065">
        <f t="shared" si="32"/>
        <v>0</v>
      </c>
      <c r="S142" s="1099" t="s">
        <v>872</v>
      </c>
      <c r="T142" s="1100">
        <v>1130390400</v>
      </c>
      <c r="U142" s="1099">
        <v>414</v>
      </c>
      <c r="V142" s="1099">
        <v>10122</v>
      </c>
      <c r="W142" s="1129"/>
      <c r="X142" s="783"/>
    </row>
    <row r="143" spans="1:24" ht="52.5">
      <c r="A143" s="1160" t="s">
        <v>854</v>
      </c>
      <c r="B143" s="1127" t="s">
        <v>522</v>
      </c>
      <c r="C143" s="1187"/>
      <c r="D143" s="874">
        <f t="shared" si="29"/>
        <v>54207.7</v>
      </c>
      <c r="E143" s="879"/>
      <c r="F143" s="970">
        <v>54207.7</v>
      </c>
      <c r="G143" s="874">
        <f t="shared" si="30"/>
        <v>54207.7</v>
      </c>
      <c r="H143" s="1083"/>
      <c r="I143" s="970">
        <v>54207.7</v>
      </c>
      <c r="J143" s="874">
        <f t="shared" si="31"/>
        <v>0</v>
      </c>
      <c r="K143" s="879">
        <v>0</v>
      </c>
      <c r="L143" s="879">
        <v>0</v>
      </c>
      <c r="M143" s="876">
        <f t="shared" si="26"/>
        <v>0</v>
      </c>
      <c r="N143" s="877">
        <f t="shared" si="27"/>
        <v>0</v>
      </c>
      <c r="O143" s="877">
        <f t="shared" si="28"/>
        <v>0</v>
      </c>
      <c r="P143" s="1065">
        <f t="shared" si="32"/>
        <v>0</v>
      </c>
      <c r="Q143" s="1065">
        <f t="shared" si="32"/>
        <v>0</v>
      </c>
      <c r="R143" s="1065">
        <f t="shared" si="32"/>
        <v>0</v>
      </c>
      <c r="S143" s="1099" t="s">
        <v>886</v>
      </c>
      <c r="T143" s="1100">
        <v>1900290400</v>
      </c>
      <c r="U143" s="1099">
        <v>414</v>
      </c>
      <c r="V143" s="1099">
        <v>10123</v>
      </c>
    </row>
    <row r="144" spans="1:24" ht="52.5">
      <c r="A144" s="1160" t="s">
        <v>820</v>
      </c>
      <c r="B144" s="1127" t="s">
        <v>919</v>
      </c>
      <c r="C144" s="1187"/>
      <c r="D144" s="874">
        <f t="shared" si="29"/>
        <v>37461.300000000003</v>
      </c>
      <c r="E144" s="879"/>
      <c r="F144" s="970">
        <v>37461.300000000003</v>
      </c>
      <c r="G144" s="874">
        <f t="shared" si="30"/>
        <v>37461.300000000003</v>
      </c>
      <c r="H144" s="1083"/>
      <c r="I144" s="970">
        <v>37461.300000000003</v>
      </c>
      <c r="J144" s="874">
        <f t="shared" si="31"/>
        <v>0</v>
      </c>
      <c r="K144" s="879">
        <v>0</v>
      </c>
      <c r="L144" s="879">
        <v>0</v>
      </c>
      <c r="M144" s="876">
        <f t="shared" si="26"/>
        <v>0</v>
      </c>
      <c r="N144" s="877">
        <f t="shared" si="27"/>
        <v>0</v>
      </c>
      <c r="O144" s="877">
        <f t="shared" si="28"/>
        <v>0</v>
      </c>
      <c r="P144" s="1065">
        <f t="shared" si="32"/>
        <v>0</v>
      </c>
      <c r="Q144" s="1065">
        <f t="shared" si="32"/>
        <v>0</v>
      </c>
      <c r="R144" s="1065">
        <f t="shared" si="32"/>
        <v>0</v>
      </c>
      <c r="S144" s="1099" t="s">
        <v>886</v>
      </c>
      <c r="T144" s="1100">
        <v>1900290400</v>
      </c>
      <c r="U144" s="1099">
        <v>414</v>
      </c>
      <c r="V144" s="1099">
        <v>10124</v>
      </c>
    </row>
    <row r="145" spans="1:24" s="914" customFormat="1" ht="67.5" customHeight="1">
      <c r="A145" s="1160"/>
      <c r="B145" s="1050" t="s">
        <v>444</v>
      </c>
      <c r="C145" s="1189"/>
      <c r="D145" s="1051">
        <f t="shared" si="29"/>
        <v>2368067.4</v>
      </c>
      <c r="E145" s="1052">
        <f>SUM(E146:E205)</f>
        <v>2117595.4</v>
      </c>
      <c r="F145" s="1051">
        <f>SUM(F147:F205)</f>
        <v>250472</v>
      </c>
      <c r="G145" s="1051">
        <f t="shared" si="30"/>
        <v>2244030.1</v>
      </c>
      <c r="H145" s="1051">
        <f>SUM(H146:H205)</f>
        <v>2001045.4</v>
      </c>
      <c r="I145" s="1051">
        <f>SUM(I146:I205)</f>
        <v>242984.7</v>
      </c>
      <c r="J145" s="1051">
        <f t="shared" si="31"/>
        <v>42206.6</v>
      </c>
      <c r="K145" s="1051">
        <f>SUM(K146:K205)</f>
        <v>27760.7</v>
      </c>
      <c r="L145" s="1051">
        <f>SUM(L146:L205)</f>
        <v>14445.9</v>
      </c>
      <c r="M145" s="1053">
        <f t="shared" si="26"/>
        <v>1.9</v>
      </c>
      <c r="N145" s="1053">
        <f t="shared" si="27"/>
        <v>1.4</v>
      </c>
      <c r="O145" s="1053">
        <f t="shared" si="28"/>
        <v>5.9</v>
      </c>
      <c r="P145" s="1065">
        <f t="shared" si="32"/>
        <v>124037.3</v>
      </c>
      <c r="Q145" s="1065">
        <f t="shared" si="32"/>
        <v>116550</v>
      </c>
      <c r="R145" s="1065">
        <f t="shared" si="32"/>
        <v>7487.3</v>
      </c>
      <c r="S145" s="1114"/>
      <c r="T145" s="1100"/>
      <c r="U145" s="1099"/>
      <c r="V145" s="1099"/>
      <c r="W145" s="1098"/>
      <c r="X145" s="913"/>
    </row>
    <row r="146" spans="1:24" ht="52.5" hidden="1">
      <c r="A146" s="1160"/>
      <c r="B146" s="937" t="s">
        <v>797</v>
      </c>
      <c r="C146" s="1186"/>
      <c r="D146" s="874">
        <f t="shared" si="29"/>
        <v>0</v>
      </c>
      <c r="E146" s="1068">
        <v>0</v>
      </c>
      <c r="F146" s="1085"/>
      <c r="G146" s="874">
        <f t="shared" si="30"/>
        <v>0</v>
      </c>
      <c r="H146" s="1085"/>
      <c r="I146" s="1085"/>
      <c r="J146" s="874">
        <f t="shared" si="31"/>
        <v>0</v>
      </c>
      <c r="K146" s="1085"/>
      <c r="L146" s="1085"/>
      <c r="M146" s="876">
        <f t="shared" si="26"/>
        <v>0</v>
      </c>
      <c r="N146" s="877">
        <f t="shared" si="27"/>
        <v>0</v>
      </c>
      <c r="O146" s="877">
        <f t="shared" si="28"/>
        <v>0</v>
      </c>
      <c r="P146" s="1065">
        <f t="shared" si="32"/>
        <v>0</v>
      </c>
      <c r="Q146" s="1065">
        <f t="shared" si="32"/>
        <v>0</v>
      </c>
      <c r="R146" s="1065">
        <f t="shared" si="32"/>
        <v>0</v>
      </c>
    </row>
    <row r="147" spans="1:24" ht="105">
      <c r="A147" s="1157" t="s">
        <v>834</v>
      </c>
      <c r="B147" s="955" t="s">
        <v>648</v>
      </c>
      <c r="C147" s="1190"/>
      <c r="D147" s="874">
        <f t="shared" si="29"/>
        <v>800</v>
      </c>
      <c r="E147" s="1085">
        <v>0</v>
      </c>
      <c r="F147" s="1085">
        <v>800</v>
      </c>
      <c r="G147" s="874">
        <f t="shared" si="30"/>
        <v>800</v>
      </c>
      <c r="H147" s="1085">
        <v>0</v>
      </c>
      <c r="I147" s="1085">
        <v>800</v>
      </c>
      <c r="J147" s="874">
        <f t="shared" si="31"/>
        <v>0</v>
      </c>
      <c r="K147" s="1085">
        <v>0</v>
      </c>
      <c r="L147" s="1085">
        <v>0</v>
      </c>
      <c r="M147" s="876">
        <f t="shared" si="26"/>
        <v>0</v>
      </c>
      <c r="N147" s="877">
        <f t="shared" si="27"/>
        <v>0</v>
      </c>
      <c r="O147" s="877">
        <f t="shared" si="28"/>
        <v>0</v>
      </c>
      <c r="P147" s="1065">
        <f t="shared" si="32"/>
        <v>0</v>
      </c>
      <c r="Q147" s="1065">
        <f t="shared" si="32"/>
        <v>0</v>
      </c>
      <c r="R147" s="1065">
        <f t="shared" si="32"/>
        <v>0</v>
      </c>
      <c r="S147" s="1099" t="s">
        <v>886</v>
      </c>
      <c r="T147" s="1100">
        <v>1820190400</v>
      </c>
      <c r="U147" s="1099">
        <v>414</v>
      </c>
      <c r="V147" s="1099">
        <v>14054</v>
      </c>
    </row>
    <row r="148" spans="1:24" ht="78.75">
      <c r="A148" s="1157" t="s">
        <v>835</v>
      </c>
      <c r="B148" s="956" t="s">
        <v>649</v>
      </c>
      <c r="C148" s="1176"/>
      <c r="D148" s="874">
        <f t="shared" si="29"/>
        <v>100</v>
      </c>
      <c r="E148" s="1085">
        <v>0</v>
      </c>
      <c r="F148" s="1085">
        <v>100</v>
      </c>
      <c r="G148" s="874">
        <f t="shared" si="30"/>
        <v>100</v>
      </c>
      <c r="H148" s="1085">
        <v>0</v>
      </c>
      <c r="I148" s="1085">
        <v>100</v>
      </c>
      <c r="J148" s="874">
        <f t="shared" si="31"/>
        <v>0</v>
      </c>
      <c r="K148" s="1128"/>
      <c r="L148" s="1128"/>
      <c r="M148" s="876">
        <f t="shared" si="26"/>
        <v>0</v>
      </c>
      <c r="N148" s="877">
        <f t="shared" si="27"/>
        <v>0</v>
      </c>
      <c r="O148" s="877">
        <f t="shared" si="28"/>
        <v>0</v>
      </c>
      <c r="P148" s="1065">
        <f t="shared" si="32"/>
        <v>0</v>
      </c>
      <c r="Q148" s="1065">
        <f t="shared" si="32"/>
        <v>0</v>
      </c>
      <c r="R148" s="1065">
        <f t="shared" si="32"/>
        <v>0</v>
      </c>
      <c r="S148" s="1099" t="s">
        <v>886</v>
      </c>
      <c r="T148" s="1100">
        <v>1820190400</v>
      </c>
      <c r="U148" s="1099">
        <v>414</v>
      </c>
      <c r="V148" s="1099">
        <v>14056</v>
      </c>
    </row>
    <row r="149" spans="1:24" ht="78.75">
      <c r="A149" s="1157" t="s">
        <v>826</v>
      </c>
      <c r="B149" s="956" t="s">
        <v>650</v>
      </c>
      <c r="C149" s="1176"/>
      <c r="D149" s="874">
        <f t="shared" si="29"/>
        <v>1500</v>
      </c>
      <c r="E149" s="1085">
        <v>0</v>
      </c>
      <c r="F149" s="1085">
        <v>1500</v>
      </c>
      <c r="G149" s="874">
        <f t="shared" si="30"/>
        <v>1500</v>
      </c>
      <c r="H149" s="1085">
        <v>0</v>
      </c>
      <c r="I149" s="1085">
        <v>1500</v>
      </c>
      <c r="J149" s="874">
        <f t="shared" si="31"/>
        <v>0</v>
      </c>
      <c r="K149" s="1128"/>
      <c r="L149" s="1128"/>
      <c r="M149" s="876">
        <f t="shared" si="26"/>
        <v>0</v>
      </c>
      <c r="N149" s="877">
        <f t="shared" si="27"/>
        <v>0</v>
      </c>
      <c r="O149" s="877">
        <f t="shared" si="28"/>
        <v>0</v>
      </c>
      <c r="P149" s="1065">
        <f t="shared" si="32"/>
        <v>0</v>
      </c>
      <c r="Q149" s="1065">
        <f t="shared" si="32"/>
        <v>0</v>
      </c>
      <c r="R149" s="1065">
        <f t="shared" si="32"/>
        <v>0</v>
      </c>
      <c r="S149" s="1099" t="s">
        <v>886</v>
      </c>
      <c r="T149" s="1100">
        <v>1820190400</v>
      </c>
      <c r="U149" s="1099">
        <v>414</v>
      </c>
      <c r="V149" s="1099">
        <v>14055</v>
      </c>
    </row>
    <row r="150" spans="1:24" ht="105">
      <c r="A150" s="1160" t="s">
        <v>827</v>
      </c>
      <c r="B150" s="956" t="s">
        <v>651</v>
      </c>
      <c r="C150" s="1176"/>
      <c r="D150" s="874">
        <f t="shared" si="29"/>
        <v>100</v>
      </c>
      <c r="E150" s="1085">
        <v>0</v>
      </c>
      <c r="F150" s="1085">
        <v>100</v>
      </c>
      <c r="G150" s="874">
        <f t="shared" si="30"/>
        <v>100</v>
      </c>
      <c r="H150" s="1085">
        <v>0</v>
      </c>
      <c r="I150" s="1085">
        <v>100</v>
      </c>
      <c r="J150" s="874">
        <f t="shared" si="31"/>
        <v>0</v>
      </c>
      <c r="K150" s="1128"/>
      <c r="L150" s="1128"/>
      <c r="M150" s="876">
        <f t="shared" si="26"/>
        <v>0</v>
      </c>
      <c r="N150" s="877">
        <f t="shared" si="27"/>
        <v>0</v>
      </c>
      <c r="O150" s="877">
        <f t="shared" si="28"/>
        <v>0</v>
      </c>
      <c r="P150" s="1065">
        <f t="shared" si="32"/>
        <v>0</v>
      </c>
      <c r="Q150" s="1065">
        <f t="shared" si="32"/>
        <v>0</v>
      </c>
      <c r="R150" s="1065">
        <f t="shared" si="32"/>
        <v>0</v>
      </c>
      <c r="S150" s="1099" t="s">
        <v>886</v>
      </c>
      <c r="T150" s="1100">
        <v>1820190400</v>
      </c>
      <c r="U150" s="1099">
        <v>414</v>
      </c>
      <c r="V150" s="1099">
        <v>14021</v>
      </c>
    </row>
    <row r="151" spans="1:24" ht="111" customHeight="1">
      <c r="A151" s="1160" t="s">
        <v>752</v>
      </c>
      <c r="B151" s="956" t="s">
        <v>830</v>
      </c>
      <c r="C151" s="1176"/>
      <c r="D151" s="874">
        <f t="shared" si="29"/>
        <v>2800</v>
      </c>
      <c r="E151" s="1085">
        <v>0</v>
      </c>
      <c r="F151" s="1085">
        <f>100+2700</f>
        <v>2800</v>
      </c>
      <c r="G151" s="874">
        <f t="shared" si="30"/>
        <v>2800</v>
      </c>
      <c r="H151" s="1085">
        <v>0</v>
      </c>
      <c r="I151" s="1085">
        <v>2800</v>
      </c>
      <c r="J151" s="874">
        <f t="shared" si="31"/>
        <v>0</v>
      </c>
      <c r="K151" s="1128"/>
      <c r="L151" s="1128"/>
      <c r="M151" s="876">
        <f t="shared" si="26"/>
        <v>0</v>
      </c>
      <c r="N151" s="877">
        <f t="shared" si="27"/>
        <v>0</v>
      </c>
      <c r="O151" s="877">
        <f t="shared" si="28"/>
        <v>0</v>
      </c>
      <c r="P151" s="1065">
        <f t="shared" si="32"/>
        <v>0</v>
      </c>
      <c r="Q151" s="1065">
        <f t="shared" si="32"/>
        <v>0</v>
      </c>
      <c r="R151" s="1065">
        <f t="shared" si="32"/>
        <v>0</v>
      </c>
      <c r="S151" s="1099" t="s">
        <v>886</v>
      </c>
      <c r="T151" s="1100">
        <v>1820190400</v>
      </c>
      <c r="U151" s="1099">
        <v>414</v>
      </c>
      <c r="V151" s="1099">
        <v>14046</v>
      </c>
    </row>
    <row r="152" spans="1:24" ht="78.75">
      <c r="A152" s="1160" t="s">
        <v>753</v>
      </c>
      <c r="B152" s="956" t="s">
        <v>831</v>
      </c>
      <c r="C152" s="1176"/>
      <c r="D152" s="874">
        <f t="shared" si="29"/>
        <v>3100</v>
      </c>
      <c r="E152" s="1085">
        <v>0</v>
      </c>
      <c r="F152" s="1085">
        <f>100+3000</f>
        <v>3100</v>
      </c>
      <c r="G152" s="874">
        <f t="shared" si="30"/>
        <v>3100</v>
      </c>
      <c r="H152" s="1085">
        <v>0</v>
      </c>
      <c r="I152" s="1085">
        <v>3100</v>
      </c>
      <c r="J152" s="874">
        <f t="shared" si="31"/>
        <v>0</v>
      </c>
      <c r="K152" s="1128"/>
      <c r="L152" s="1128"/>
      <c r="M152" s="876">
        <f t="shared" si="26"/>
        <v>0</v>
      </c>
      <c r="N152" s="877">
        <f t="shared" si="27"/>
        <v>0</v>
      </c>
      <c r="O152" s="877">
        <f t="shared" si="28"/>
        <v>0</v>
      </c>
      <c r="P152" s="1065">
        <f t="shared" si="32"/>
        <v>0</v>
      </c>
      <c r="Q152" s="1065">
        <f t="shared" si="32"/>
        <v>0</v>
      </c>
      <c r="R152" s="1065">
        <f t="shared" si="32"/>
        <v>0</v>
      </c>
      <c r="S152" s="1099" t="s">
        <v>886</v>
      </c>
      <c r="T152" s="1100">
        <v>1820190400</v>
      </c>
      <c r="U152" s="1099">
        <v>414</v>
      </c>
      <c r="V152" s="1099">
        <v>14048</v>
      </c>
    </row>
    <row r="153" spans="1:24" ht="85.5" customHeight="1">
      <c r="A153" s="1160" t="s">
        <v>754</v>
      </c>
      <c r="B153" s="956" t="s">
        <v>833</v>
      </c>
      <c r="C153" s="1176"/>
      <c r="D153" s="874">
        <f t="shared" si="29"/>
        <v>2200</v>
      </c>
      <c r="E153" s="1085">
        <v>0</v>
      </c>
      <c r="F153" s="1085">
        <v>2200</v>
      </c>
      <c r="G153" s="874">
        <f t="shared" si="30"/>
        <v>2200</v>
      </c>
      <c r="H153" s="1085">
        <v>0</v>
      </c>
      <c r="I153" s="1085">
        <v>2200</v>
      </c>
      <c r="J153" s="874">
        <f t="shared" si="31"/>
        <v>0</v>
      </c>
      <c r="K153" s="1128"/>
      <c r="L153" s="1128"/>
      <c r="M153" s="876">
        <f t="shared" si="26"/>
        <v>0</v>
      </c>
      <c r="N153" s="877">
        <f t="shared" si="27"/>
        <v>0</v>
      </c>
      <c r="O153" s="877">
        <f t="shared" si="28"/>
        <v>0</v>
      </c>
      <c r="P153" s="1065">
        <f t="shared" si="32"/>
        <v>0</v>
      </c>
      <c r="Q153" s="1065">
        <f t="shared" si="32"/>
        <v>0</v>
      </c>
      <c r="R153" s="1065">
        <f t="shared" si="32"/>
        <v>0</v>
      </c>
      <c r="S153" s="1099" t="s">
        <v>886</v>
      </c>
      <c r="T153" s="1100">
        <v>1820190400</v>
      </c>
      <c r="U153" s="1099">
        <v>414</v>
      </c>
      <c r="V153" s="1099">
        <v>14047</v>
      </c>
    </row>
    <row r="154" spans="1:24" ht="84.75" customHeight="1">
      <c r="A154" s="1160" t="s">
        <v>1061</v>
      </c>
      <c r="B154" s="955" t="s">
        <v>705</v>
      </c>
      <c r="C154" s="1190"/>
      <c r="D154" s="874">
        <f t="shared" si="29"/>
        <v>53585.7</v>
      </c>
      <c r="E154" s="1085">
        <v>50369.9</v>
      </c>
      <c r="F154" s="1085">
        <v>3215.8</v>
      </c>
      <c r="G154" s="874">
        <f t="shared" si="30"/>
        <v>53585.7</v>
      </c>
      <c r="H154" s="1085">
        <v>50369.9</v>
      </c>
      <c r="I154" s="1085">
        <v>3215.8</v>
      </c>
      <c r="J154" s="874">
        <f t="shared" si="31"/>
        <v>0</v>
      </c>
      <c r="K154" s="2420"/>
      <c r="L154" s="2420"/>
      <c r="M154" s="2425">
        <f>IF(J154=0,0,J154/G154:G160*100)</f>
        <v>0</v>
      </c>
      <c r="N154" s="2418">
        <f>IF(K154=0,0,K154/H154:H160*100)</f>
        <v>0</v>
      </c>
      <c r="O154" s="2418">
        <f>IF(L154=0,0,L154/I154:I160*100)</f>
        <v>0</v>
      </c>
      <c r="P154" s="1065">
        <f t="shared" si="32"/>
        <v>0</v>
      </c>
      <c r="Q154" s="1065">
        <f t="shared" si="32"/>
        <v>0</v>
      </c>
      <c r="R154" s="1065">
        <f t="shared" si="32"/>
        <v>0</v>
      </c>
      <c r="S154" s="2456" t="s">
        <v>886</v>
      </c>
      <c r="T154" s="2456" t="s">
        <v>912</v>
      </c>
      <c r="U154" s="2456">
        <v>414</v>
      </c>
      <c r="V154" s="2456" t="s">
        <v>890</v>
      </c>
      <c r="W154" s="2452"/>
    </row>
    <row r="155" spans="1:24" ht="78.75">
      <c r="A155" s="1160" t="s">
        <v>911</v>
      </c>
      <c r="B155" s="956" t="s">
        <v>704</v>
      </c>
      <c r="C155" s="1176"/>
      <c r="D155" s="874">
        <f t="shared" si="29"/>
        <v>28400</v>
      </c>
      <c r="E155" s="1085">
        <v>26696</v>
      </c>
      <c r="F155" s="1085">
        <v>1704</v>
      </c>
      <c r="G155" s="874">
        <f t="shared" si="30"/>
        <v>28400</v>
      </c>
      <c r="H155" s="1085">
        <v>26696</v>
      </c>
      <c r="I155" s="1085">
        <v>1704</v>
      </c>
      <c r="J155" s="874">
        <f t="shared" si="31"/>
        <v>0</v>
      </c>
      <c r="K155" s="2421"/>
      <c r="L155" s="2421"/>
      <c r="M155" s="2426"/>
      <c r="N155" s="2428"/>
      <c r="O155" s="2428"/>
      <c r="P155" s="1065">
        <f t="shared" si="32"/>
        <v>0</v>
      </c>
      <c r="Q155" s="1065">
        <f t="shared" si="32"/>
        <v>0</v>
      </c>
      <c r="R155" s="1065">
        <f t="shared" si="32"/>
        <v>0</v>
      </c>
      <c r="S155" s="2456"/>
      <c r="T155" s="2456"/>
      <c r="U155" s="2456"/>
      <c r="V155" s="2456"/>
      <c r="W155" s="2452"/>
    </row>
    <row r="156" spans="1:24" ht="78.75">
      <c r="A156" s="1160" t="s">
        <v>913</v>
      </c>
      <c r="B156" s="956" t="s">
        <v>703</v>
      </c>
      <c r="C156" s="1176"/>
      <c r="D156" s="874">
        <f t="shared" si="29"/>
        <v>54300</v>
      </c>
      <c r="E156" s="1085">
        <v>51042</v>
      </c>
      <c r="F156" s="1085">
        <v>3258</v>
      </c>
      <c r="G156" s="874">
        <f t="shared" si="30"/>
        <v>54300</v>
      </c>
      <c r="H156" s="1085">
        <v>51042</v>
      </c>
      <c r="I156" s="1085">
        <v>3258</v>
      </c>
      <c r="J156" s="874">
        <f t="shared" si="31"/>
        <v>0</v>
      </c>
      <c r="K156" s="2421"/>
      <c r="L156" s="2421"/>
      <c r="M156" s="2426"/>
      <c r="N156" s="2428"/>
      <c r="O156" s="2428"/>
      <c r="P156" s="1065">
        <f t="shared" si="32"/>
        <v>0</v>
      </c>
      <c r="Q156" s="1065">
        <f t="shared" si="32"/>
        <v>0</v>
      </c>
      <c r="R156" s="1065">
        <f t="shared" si="32"/>
        <v>0</v>
      </c>
      <c r="S156" s="2456"/>
      <c r="T156" s="2456"/>
      <c r="U156" s="2456"/>
      <c r="V156" s="2456"/>
      <c r="W156" s="2452"/>
    </row>
    <row r="157" spans="1:24" ht="78.75">
      <c r="A157" s="1160" t="s">
        <v>914</v>
      </c>
      <c r="B157" s="956" t="s">
        <v>702</v>
      </c>
      <c r="C157" s="1176"/>
      <c r="D157" s="874">
        <f t="shared" si="29"/>
        <v>56697.8</v>
      </c>
      <c r="E157" s="1085">
        <v>53295.9</v>
      </c>
      <c r="F157" s="1085">
        <v>3401.9</v>
      </c>
      <c r="G157" s="874">
        <f t="shared" si="30"/>
        <v>56697.8</v>
      </c>
      <c r="H157" s="1085">
        <v>53295.9</v>
      </c>
      <c r="I157" s="1085">
        <v>3401.9</v>
      </c>
      <c r="J157" s="874">
        <f t="shared" si="31"/>
        <v>0</v>
      </c>
      <c r="K157" s="2421"/>
      <c r="L157" s="2421"/>
      <c r="M157" s="2426"/>
      <c r="N157" s="2428"/>
      <c r="O157" s="2428"/>
      <c r="P157" s="1065">
        <f t="shared" si="32"/>
        <v>0</v>
      </c>
      <c r="Q157" s="1065">
        <f t="shared" si="32"/>
        <v>0</v>
      </c>
      <c r="R157" s="1065">
        <f t="shared" si="32"/>
        <v>0</v>
      </c>
      <c r="S157" s="2456"/>
      <c r="T157" s="2456"/>
      <c r="U157" s="2456"/>
      <c r="V157" s="2456"/>
      <c r="W157" s="2452"/>
    </row>
    <row r="158" spans="1:24" ht="52.5">
      <c r="A158" s="1160" t="s">
        <v>934</v>
      </c>
      <c r="B158" s="956" t="s">
        <v>832</v>
      </c>
      <c r="C158" s="1176"/>
      <c r="D158" s="874">
        <f t="shared" si="29"/>
        <v>8000</v>
      </c>
      <c r="E158" s="1085">
        <v>7520</v>
      </c>
      <c r="F158" s="1085">
        <v>480</v>
      </c>
      <c r="G158" s="874">
        <f t="shared" si="30"/>
        <v>8000</v>
      </c>
      <c r="H158" s="1085">
        <v>7520</v>
      </c>
      <c r="I158" s="1085">
        <v>480</v>
      </c>
      <c r="J158" s="874">
        <f t="shared" si="31"/>
        <v>0</v>
      </c>
      <c r="K158" s="2421"/>
      <c r="L158" s="2421"/>
      <c r="M158" s="2426"/>
      <c r="N158" s="2428"/>
      <c r="O158" s="2428"/>
      <c r="P158" s="1065">
        <f t="shared" si="32"/>
        <v>0</v>
      </c>
      <c r="Q158" s="1065">
        <f t="shared" si="32"/>
        <v>0</v>
      </c>
      <c r="R158" s="1065">
        <f t="shared" si="32"/>
        <v>0</v>
      </c>
      <c r="S158" s="2456"/>
      <c r="T158" s="2456"/>
      <c r="U158" s="2456"/>
      <c r="V158" s="2456"/>
      <c r="W158" s="2452"/>
    </row>
    <row r="159" spans="1:24" ht="52.5">
      <c r="A159" s="1160" t="s">
        <v>1024</v>
      </c>
      <c r="B159" s="956" t="s">
        <v>775</v>
      </c>
      <c r="C159" s="1176"/>
      <c r="D159" s="874">
        <f t="shared" si="29"/>
        <v>20200</v>
      </c>
      <c r="E159" s="1085">
        <v>18988</v>
      </c>
      <c r="F159" s="1085">
        <v>1212</v>
      </c>
      <c r="G159" s="874">
        <f t="shared" si="30"/>
        <v>20200</v>
      </c>
      <c r="H159" s="1085">
        <v>18988</v>
      </c>
      <c r="I159" s="1085">
        <v>1212</v>
      </c>
      <c r="J159" s="874">
        <f t="shared" si="31"/>
        <v>0</v>
      </c>
      <c r="K159" s="2421"/>
      <c r="L159" s="2421"/>
      <c r="M159" s="2426"/>
      <c r="N159" s="2428"/>
      <c r="O159" s="2428"/>
      <c r="P159" s="1065">
        <f t="shared" si="32"/>
        <v>0</v>
      </c>
      <c r="Q159" s="1065">
        <f t="shared" si="32"/>
        <v>0</v>
      </c>
      <c r="R159" s="1065">
        <f t="shared" si="32"/>
        <v>0</v>
      </c>
      <c r="S159" s="2456"/>
      <c r="T159" s="2456"/>
      <c r="U159" s="2456"/>
      <c r="V159" s="2456"/>
      <c r="W159" s="2452"/>
    </row>
    <row r="160" spans="1:24" ht="52.5">
      <c r="A160" s="1160" t="s">
        <v>1025</v>
      </c>
      <c r="B160" s="956" t="s">
        <v>774</v>
      </c>
      <c r="C160" s="1176"/>
      <c r="D160" s="874">
        <f t="shared" si="29"/>
        <v>20500</v>
      </c>
      <c r="E160" s="1085">
        <v>19270</v>
      </c>
      <c r="F160" s="1085">
        <v>1230</v>
      </c>
      <c r="G160" s="874">
        <f t="shared" si="30"/>
        <v>20500</v>
      </c>
      <c r="H160" s="1085">
        <v>19270</v>
      </c>
      <c r="I160" s="1085">
        <v>1230</v>
      </c>
      <c r="J160" s="874">
        <f t="shared" si="31"/>
        <v>0</v>
      </c>
      <c r="K160" s="2422"/>
      <c r="L160" s="2422"/>
      <c r="M160" s="2427"/>
      <c r="N160" s="2419"/>
      <c r="O160" s="2419"/>
      <c r="P160" s="1065">
        <f t="shared" si="32"/>
        <v>0</v>
      </c>
      <c r="Q160" s="1065">
        <f t="shared" si="32"/>
        <v>0</v>
      </c>
      <c r="R160" s="1065">
        <f t="shared" si="32"/>
        <v>0</v>
      </c>
      <c r="S160" s="2456"/>
      <c r="T160" s="2456"/>
      <c r="U160" s="2456"/>
      <c r="V160" s="2456"/>
      <c r="W160" s="2452"/>
    </row>
    <row r="161" spans="1:24" ht="78.75">
      <c r="A161" s="1160" t="s">
        <v>755</v>
      </c>
      <c r="B161" s="901" t="s">
        <v>465</v>
      </c>
      <c r="C161" s="1185"/>
      <c r="D161" s="874">
        <f t="shared" si="29"/>
        <v>18259.5</v>
      </c>
      <c r="E161" s="1085">
        <f>7398.4+9765.43</f>
        <v>17163.8</v>
      </c>
      <c r="F161" s="1085">
        <f>472.3+623.38</f>
        <v>1095.7</v>
      </c>
      <c r="G161" s="874">
        <f t="shared" si="30"/>
        <v>7870.7</v>
      </c>
      <c r="H161" s="1085">
        <v>7398.4</v>
      </c>
      <c r="I161" s="1198">
        <v>472.3</v>
      </c>
      <c r="J161" s="874">
        <f t="shared" si="31"/>
        <v>0</v>
      </c>
      <c r="K161" s="1085">
        <v>0</v>
      </c>
      <c r="L161" s="1085">
        <v>0</v>
      </c>
      <c r="M161" s="876">
        <f t="shared" ref="M161:M174" si="33">IF(J161=0,0,J161/G161*100)</f>
        <v>0</v>
      </c>
      <c r="N161" s="877">
        <f t="shared" ref="N161:N174" si="34">IF(K161=0,0,K161/H161*100)</f>
        <v>0</v>
      </c>
      <c r="O161" s="877">
        <f t="shared" ref="O161:O174" si="35">IF(L161=0,0,L161/I161*100)</f>
        <v>0</v>
      </c>
      <c r="P161" s="1065">
        <f t="shared" si="32"/>
        <v>10388.799999999999</v>
      </c>
      <c r="Q161" s="1065">
        <f t="shared" si="32"/>
        <v>9765.4</v>
      </c>
      <c r="R161" s="1065">
        <f t="shared" si="32"/>
        <v>623.4</v>
      </c>
      <c r="S161" s="1099" t="s">
        <v>886</v>
      </c>
      <c r="T161" s="1100" t="s">
        <v>901</v>
      </c>
      <c r="U161" s="1099">
        <v>414</v>
      </c>
      <c r="V161" s="1099" t="s">
        <v>890</v>
      </c>
    </row>
    <row r="162" spans="1:24" ht="78.75">
      <c r="A162" s="1160" t="s">
        <v>756</v>
      </c>
      <c r="B162" s="1084" t="s">
        <v>537</v>
      </c>
      <c r="C162" s="1174"/>
      <c r="D162" s="874">
        <f t="shared" si="29"/>
        <v>10370</v>
      </c>
      <c r="E162" s="1085">
        <f>8589.3+1158.49</f>
        <v>9747.7999999999993</v>
      </c>
      <c r="F162" s="1085">
        <f>548.3+73.9</f>
        <v>622.20000000000005</v>
      </c>
      <c r="G162" s="874">
        <f t="shared" si="30"/>
        <v>9137.6</v>
      </c>
      <c r="H162" s="1085">
        <v>8589.2999999999993</v>
      </c>
      <c r="I162" s="1198">
        <v>548.29999999999995</v>
      </c>
      <c r="J162" s="874">
        <f t="shared" si="31"/>
        <v>0</v>
      </c>
      <c r="K162" s="1085">
        <v>0</v>
      </c>
      <c r="L162" s="1085">
        <v>0</v>
      </c>
      <c r="M162" s="876">
        <f t="shared" si="33"/>
        <v>0</v>
      </c>
      <c r="N162" s="877">
        <f t="shared" si="34"/>
        <v>0</v>
      </c>
      <c r="O162" s="877">
        <f t="shared" si="35"/>
        <v>0</v>
      </c>
      <c r="P162" s="1065">
        <f t="shared" si="32"/>
        <v>1232.4000000000001</v>
      </c>
      <c r="Q162" s="1065">
        <f t="shared" si="32"/>
        <v>1158.5</v>
      </c>
      <c r="R162" s="1065">
        <f t="shared" si="32"/>
        <v>73.900000000000006</v>
      </c>
      <c r="S162" s="1099" t="s">
        <v>886</v>
      </c>
      <c r="T162" s="1100" t="s">
        <v>907</v>
      </c>
      <c r="U162" s="1099">
        <v>414</v>
      </c>
      <c r="V162" s="1099" t="s">
        <v>890</v>
      </c>
    </row>
    <row r="163" spans="1:24" ht="78.75">
      <c r="A163" s="1160" t="s">
        <v>757</v>
      </c>
      <c r="B163" s="1084" t="s">
        <v>587</v>
      </c>
      <c r="C163" s="1174"/>
      <c r="D163" s="874">
        <f t="shared" si="29"/>
        <v>16203.2</v>
      </c>
      <c r="E163" s="1085">
        <f>12178.9+3052.05</f>
        <v>15231</v>
      </c>
      <c r="F163" s="1085">
        <f>777.4+194.83</f>
        <v>972.2</v>
      </c>
      <c r="G163" s="874">
        <f t="shared" si="30"/>
        <v>12956.3</v>
      </c>
      <c r="H163" s="1085">
        <v>12178.9</v>
      </c>
      <c r="I163" s="1198">
        <v>777.4</v>
      </c>
      <c r="J163" s="874">
        <f t="shared" si="31"/>
        <v>1408.6</v>
      </c>
      <c r="K163" s="1085">
        <v>1324.1</v>
      </c>
      <c r="L163" s="1085">
        <v>84.5</v>
      </c>
      <c r="M163" s="876">
        <f t="shared" si="33"/>
        <v>10.9</v>
      </c>
      <c r="N163" s="877">
        <f t="shared" si="34"/>
        <v>10.9</v>
      </c>
      <c r="O163" s="877">
        <f t="shared" si="35"/>
        <v>10.9</v>
      </c>
      <c r="P163" s="1065">
        <f t="shared" ref="P163:R174" si="36">D163-G163</f>
        <v>3246.9</v>
      </c>
      <c r="Q163" s="1065">
        <f t="shared" si="36"/>
        <v>3052.1</v>
      </c>
      <c r="R163" s="1065">
        <f t="shared" si="36"/>
        <v>194.8</v>
      </c>
      <c r="S163" s="1099" t="s">
        <v>886</v>
      </c>
      <c r="T163" s="1100" t="s">
        <v>900</v>
      </c>
      <c r="U163" s="1099">
        <v>414</v>
      </c>
      <c r="V163" s="1099" t="s">
        <v>890</v>
      </c>
    </row>
    <row r="164" spans="1:24" ht="105">
      <c r="A164" s="1160" t="s">
        <v>758</v>
      </c>
      <c r="B164" s="955" t="s">
        <v>588</v>
      </c>
      <c r="C164" s="1190"/>
      <c r="D164" s="874">
        <f t="shared" si="29"/>
        <v>22869.1</v>
      </c>
      <c r="E164" s="1085">
        <f>18886.8+2610.06</f>
        <v>21496.9</v>
      </c>
      <c r="F164" s="1085">
        <f>1205.6+166.61</f>
        <v>1372.2</v>
      </c>
      <c r="G164" s="874">
        <f t="shared" si="30"/>
        <v>20092.400000000001</v>
      </c>
      <c r="H164" s="1085">
        <v>18886.8</v>
      </c>
      <c r="I164" s="1198">
        <v>1205.5999999999999</v>
      </c>
      <c r="J164" s="874">
        <f t="shared" si="31"/>
        <v>0</v>
      </c>
      <c r="K164" s="1085">
        <v>0</v>
      </c>
      <c r="L164" s="1085">
        <v>0</v>
      </c>
      <c r="M164" s="876">
        <f t="shared" si="33"/>
        <v>0</v>
      </c>
      <c r="N164" s="877">
        <f t="shared" si="34"/>
        <v>0</v>
      </c>
      <c r="O164" s="877">
        <f t="shared" si="35"/>
        <v>0</v>
      </c>
      <c r="P164" s="1065">
        <f t="shared" si="36"/>
        <v>2776.7</v>
      </c>
      <c r="Q164" s="1065">
        <f t="shared" si="36"/>
        <v>2610.1</v>
      </c>
      <c r="R164" s="1065">
        <f t="shared" si="36"/>
        <v>166.6</v>
      </c>
      <c r="S164" s="1099" t="s">
        <v>886</v>
      </c>
      <c r="T164" s="1100" t="s">
        <v>903</v>
      </c>
      <c r="U164" s="1099">
        <v>414</v>
      </c>
      <c r="V164" s="1099" t="s">
        <v>890</v>
      </c>
    </row>
    <row r="165" spans="1:24" ht="78.75" customHeight="1">
      <c r="A165" s="895">
        <v>104</v>
      </c>
      <c r="B165" s="955" t="s">
        <v>589</v>
      </c>
      <c r="C165" s="1190"/>
      <c r="D165" s="874">
        <f t="shared" si="29"/>
        <v>10547.8</v>
      </c>
      <c r="E165" s="1085">
        <f>8642.5+1272.44</f>
        <v>9914.9</v>
      </c>
      <c r="F165" s="1085">
        <f>551.7+81.23</f>
        <v>632.9</v>
      </c>
      <c r="G165" s="874">
        <f t="shared" si="30"/>
        <v>9194.2000000000007</v>
      </c>
      <c r="H165" s="1085">
        <v>8642.5</v>
      </c>
      <c r="I165" s="1198">
        <v>551.70000000000005</v>
      </c>
      <c r="J165" s="874">
        <f t="shared" si="31"/>
        <v>0</v>
      </c>
      <c r="K165" s="1085">
        <v>0</v>
      </c>
      <c r="L165" s="1085">
        <v>0</v>
      </c>
      <c r="M165" s="876">
        <f t="shared" si="33"/>
        <v>0</v>
      </c>
      <c r="N165" s="877">
        <f t="shared" si="34"/>
        <v>0</v>
      </c>
      <c r="O165" s="877">
        <f t="shared" si="35"/>
        <v>0</v>
      </c>
      <c r="P165" s="1065">
        <f t="shared" si="36"/>
        <v>1353.6</v>
      </c>
      <c r="Q165" s="1065">
        <f t="shared" si="36"/>
        <v>1272.4000000000001</v>
      </c>
      <c r="R165" s="1065">
        <f t="shared" si="36"/>
        <v>81.2</v>
      </c>
      <c r="S165" s="1099" t="s">
        <v>886</v>
      </c>
      <c r="T165" s="1100" t="s">
        <v>904</v>
      </c>
      <c r="U165" s="1099">
        <v>414</v>
      </c>
      <c r="V165" s="1099" t="s">
        <v>890</v>
      </c>
    </row>
    <row r="166" spans="1:24" ht="78.75">
      <c r="A166" s="895">
        <v>105</v>
      </c>
      <c r="B166" s="955" t="s">
        <v>616</v>
      </c>
      <c r="C166" s="1190"/>
      <c r="D166" s="874">
        <f t="shared" si="29"/>
        <v>64593.7</v>
      </c>
      <c r="E166" s="1085">
        <f>17561.3+43156.37</f>
        <v>60717.7</v>
      </c>
      <c r="F166" s="1085">
        <f>1121.1+2754.89</f>
        <v>3876</v>
      </c>
      <c r="G166" s="874">
        <f t="shared" si="30"/>
        <v>18682.400000000001</v>
      </c>
      <c r="H166" s="1085">
        <v>17561.3</v>
      </c>
      <c r="I166" s="1198">
        <v>1121.0999999999999</v>
      </c>
      <c r="J166" s="874">
        <f t="shared" si="31"/>
        <v>0</v>
      </c>
      <c r="K166" s="1085">
        <v>0</v>
      </c>
      <c r="L166" s="1085">
        <v>0</v>
      </c>
      <c r="M166" s="876">
        <f t="shared" si="33"/>
        <v>0</v>
      </c>
      <c r="N166" s="877">
        <f t="shared" si="34"/>
        <v>0</v>
      </c>
      <c r="O166" s="877">
        <f t="shared" si="35"/>
        <v>0</v>
      </c>
      <c r="P166" s="1065">
        <f t="shared" si="36"/>
        <v>45911.3</v>
      </c>
      <c r="Q166" s="1065">
        <f t="shared" si="36"/>
        <v>43156.4</v>
      </c>
      <c r="R166" s="1065">
        <f t="shared" si="36"/>
        <v>2754.9</v>
      </c>
      <c r="S166" s="1099" t="s">
        <v>886</v>
      </c>
      <c r="T166" s="1100" t="s">
        <v>905</v>
      </c>
      <c r="U166" s="1099">
        <v>414</v>
      </c>
      <c r="V166" s="1099" t="s">
        <v>890</v>
      </c>
    </row>
    <row r="167" spans="1:24" ht="105">
      <c r="A167" s="895">
        <v>106</v>
      </c>
      <c r="B167" s="955" t="s">
        <v>591</v>
      </c>
      <c r="C167" s="1190"/>
      <c r="D167" s="874">
        <f t="shared" si="29"/>
        <v>36681.5</v>
      </c>
      <c r="E167" s="1085">
        <f>32344.5+2136.03</f>
        <v>34480.5</v>
      </c>
      <c r="F167" s="1085">
        <f>2064.6+136.35</f>
        <v>2201</v>
      </c>
      <c r="G167" s="874">
        <f t="shared" si="30"/>
        <v>34409.1</v>
      </c>
      <c r="H167" s="1085">
        <v>32344.5</v>
      </c>
      <c r="I167" s="1198">
        <v>2064.6</v>
      </c>
      <c r="J167" s="874">
        <f t="shared" si="31"/>
        <v>0</v>
      </c>
      <c r="K167" s="1085">
        <v>0</v>
      </c>
      <c r="L167" s="1085">
        <v>0</v>
      </c>
      <c r="M167" s="876">
        <f t="shared" si="33"/>
        <v>0</v>
      </c>
      <c r="N167" s="877">
        <f t="shared" si="34"/>
        <v>0</v>
      </c>
      <c r="O167" s="877">
        <f t="shared" si="35"/>
        <v>0</v>
      </c>
      <c r="P167" s="1065">
        <f t="shared" si="36"/>
        <v>2272.4</v>
      </c>
      <c r="Q167" s="1065">
        <f t="shared" si="36"/>
        <v>2136</v>
      </c>
      <c r="R167" s="1065">
        <f t="shared" si="36"/>
        <v>136.4</v>
      </c>
      <c r="S167" s="1099" t="s">
        <v>886</v>
      </c>
      <c r="T167" s="1100" t="s">
        <v>906</v>
      </c>
      <c r="U167" s="1099">
        <v>414</v>
      </c>
      <c r="V167" s="1099" t="s">
        <v>890</v>
      </c>
    </row>
    <row r="168" spans="1:24" ht="78.75">
      <c r="A168" s="895">
        <v>107</v>
      </c>
      <c r="B168" s="1084" t="s">
        <v>575</v>
      </c>
      <c r="C168" s="1174"/>
      <c r="D168" s="874">
        <f t="shared" si="29"/>
        <v>5568.4</v>
      </c>
      <c r="E168" s="1085">
        <f>2306.5+2927.68</f>
        <v>5234.2</v>
      </c>
      <c r="F168" s="1085">
        <f>147.3+186.89</f>
        <v>334.2</v>
      </c>
      <c r="G168" s="874">
        <f t="shared" si="30"/>
        <v>2453.8000000000002</v>
      </c>
      <c r="H168" s="1085">
        <v>2306.5</v>
      </c>
      <c r="I168" s="1198">
        <v>147.30000000000001</v>
      </c>
      <c r="J168" s="874">
        <f t="shared" si="31"/>
        <v>0</v>
      </c>
      <c r="K168" s="1085">
        <v>0</v>
      </c>
      <c r="L168" s="1085">
        <v>0</v>
      </c>
      <c r="M168" s="876">
        <f t="shared" si="33"/>
        <v>0</v>
      </c>
      <c r="N168" s="877">
        <f t="shared" si="34"/>
        <v>0</v>
      </c>
      <c r="O168" s="877">
        <f t="shared" si="35"/>
        <v>0</v>
      </c>
      <c r="P168" s="1065">
        <f t="shared" si="36"/>
        <v>3114.6</v>
      </c>
      <c r="Q168" s="1065">
        <f t="shared" si="36"/>
        <v>2927.7</v>
      </c>
      <c r="R168" s="1065">
        <f t="shared" si="36"/>
        <v>186.9</v>
      </c>
      <c r="S168" s="1099" t="s">
        <v>886</v>
      </c>
      <c r="T168" s="1100" t="s">
        <v>902</v>
      </c>
      <c r="U168" s="1099">
        <v>414</v>
      </c>
      <c r="V168" s="1099" t="s">
        <v>890</v>
      </c>
    </row>
    <row r="169" spans="1:24" ht="63.75" customHeight="1">
      <c r="A169" s="1160" t="s">
        <v>1062</v>
      </c>
      <c r="B169" s="1084" t="s">
        <v>660</v>
      </c>
      <c r="C169" s="1174"/>
      <c r="D169" s="874">
        <f t="shared" si="29"/>
        <v>14883.1</v>
      </c>
      <c r="E169" s="1085">
        <f>6906.5+7083.4</f>
        <v>13989.9</v>
      </c>
      <c r="F169" s="1085">
        <f>441.1+452.1</f>
        <v>893.2</v>
      </c>
      <c r="G169" s="874">
        <f t="shared" si="30"/>
        <v>7347.6</v>
      </c>
      <c r="H169" s="1085">
        <v>6906.5</v>
      </c>
      <c r="I169" s="1198">
        <v>441.1</v>
      </c>
      <c r="J169" s="874">
        <f t="shared" si="31"/>
        <v>1360.3</v>
      </c>
      <c r="K169" s="1085">
        <v>1278.7</v>
      </c>
      <c r="L169" s="1085">
        <v>81.599999999999994</v>
      </c>
      <c r="M169" s="876">
        <f t="shared" si="33"/>
        <v>18.5</v>
      </c>
      <c r="N169" s="877">
        <f t="shared" si="34"/>
        <v>18.5</v>
      </c>
      <c r="O169" s="877">
        <f t="shared" si="35"/>
        <v>18.5</v>
      </c>
      <c r="P169" s="1065">
        <f t="shared" si="36"/>
        <v>7535.5</v>
      </c>
      <c r="Q169" s="1065">
        <f t="shared" si="36"/>
        <v>7083.4</v>
      </c>
      <c r="R169" s="1065">
        <f t="shared" si="36"/>
        <v>452.1</v>
      </c>
      <c r="S169" s="1099" t="s">
        <v>886</v>
      </c>
      <c r="T169" s="1100" t="s">
        <v>908</v>
      </c>
      <c r="U169" s="1099">
        <v>414</v>
      </c>
      <c r="V169" s="1099" t="s">
        <v>890</v>
      </c>
    </row>
    <row r="170" spans="1:24" ht="52.5">
      <c r="A170" s="1160" t="s">
        <v>828</v>
      </c>
      <c r="B170" s="1084" t="s">
        <v>659</v>
      </c>
      <c r="C170" s="1174"/>
      <c r="D170" s="874">
        <f t="shared" si="29"/>
        <v>5350.5</v>
      </c>
      <c r="E170" s="1085">
        <f>4104.3+925.11</f>
        <v>5029.3999999999996</v>
      </c>
      <c r="F170" s="1085">
        <f>262.1+59</f>
        <v>321.10000000000002</v>
      </c>
      <c r="G170" s="874">
        <f t="shared" si="30"/>
        <v>4366.3999999999996</v>
      </c>
      <c r="H170" s="1085">
        <v>4104.3</v>
      </c>
      <c r="I170" s="1198">
        <v>262.10000000000002</v>
      </c>
      <c r="J170" s="874">
        <f t="shared" si="31"/>
        <v>0</v>
      </c>
      <c r="K170" s="1085">
        <v>0</v>
      </c>
      <c r="L170" s="1085">
        <v>0</v>
      </c>
      <c r="M170" s="876">
        <f t="shared" si="33"/>
        <v>0</v>
      </c>
      <c r="N170" s="877">
        <f t="shared" si="34"/>
        <v>0</v>
      </c>
      <c r="O170" s="877">
        <f t="shared" si="35"/>
        <v>0</v>
      </c>
      <c r="P170" s="1065">
        <f t="shared" si="36"/>
        <v>984.1</v>
      </c>
      <c r="Q170" s="1065">
        <f t="shared" si="36"/>
        <v>925.1</v>
      </c>
      <c r="R170" s="1065">
        <f t="shared" si="36"/>
        <v>59</v>
      </c>
      <c r="S170" s="1099" t="s">
        <v>886</v>
      </c>
      <c r="T170" s="1100" t="s">
        <v>909</v>
      </c>
      <c r="U170" s="1099">
        <v>414</v>
      </c>
      <c r="V170" s="1099" t="s">
        <v>910</v>
      </c>
    </row>
    <row r="171" spans="1:24" ht="78.75">
      <c r="A171" s="1160" t="s">
        <v>829</v>
      </c>
      <c r="B171" s="1163" t="s">
        <v>459</v>
      </c>
      <c r="C171" s="895"/>
      <c r="D171" s="874">
        <f t="shared" si="29"/>
        <v>3006.6</v>
      </c>
      <c r="E171" s="879">
        <f>2610.1+215.98</f>
        <v>2826.1</v>
      </c>
      <c r="F171" s="879">
        <f>166.7+13.79</f>
        <v>180.5</v>
      </c>
      <c r="G171" s="874">
        <f t="shared" si="30"/>
        <v>2776.8</v>
      </c>
      <c r="H171" s="879">
        <v>2610.1</v>
      </c>
      <c r="I171" s="879">
        <v>166.7</v>
      </c>
      <c r="J171" s="874">
        <f t="shared" si="31"/>
        <v>0</v>
      </c>
      <c r="K171" s="879">
        <v>0</v>
      </c>
      <c r="L171" s="879">
        <v>0</v>
      </c>
      <c r="M171" s="876">
        <f t="shared" si="33"/>
        <v>0</v>
      </c>
      <c r="N171" s="877">
        <f t="shared" si="34"/>
        <v>0</v>
      </c>
      <c r="O171" s="877">
        <f t="shared" si="35"/>
        <v>0</v>
      </c>
      <c r="P171" s="1065">
        <f t="shared" si="36"/>
        <v>229.8</v>
      </c>
      <c r="Q171" s="1065">
        <f t="shared" si="36"/>
        <v>216</v>
      </c>
      <c r="R171" s="1065">
        <f t="shared" si="36"/>
        <v>13.8</v>
      </c>
      <c r="S171" s="1099" t="s">
        <v>886</v>
      </c>
      <c r="T171" s="1100" t="s">
        <v>889</v>
      </c>
      <c r="U171" s="1099">
        <v>414</v>
      </c>
      <c r="V171" s="1099" t="s">
        <v>890</v>
      </c>
    </row>
    <row r="172" spans="1:24" s="515" customFormat="1" ht="52.5">
      <c r="A172" s="1160" t="s">
        <v>821</v>
      </c>
      <c r="B172" s="1075" t="s">
        <v>568</v>
      </c>
      <c r="C172" s="1176"/>
      <c r="D172" s="874">
        <f t="shared" si="29"/>
        <v>4391.5</v>
      </c>
      <c r="E172" s="879">
        <f>3674.8+453.18</f>
        <v>4128</v>
      </c>
      <c r="F172" s="879">
        <f>234.6+28.93</f>
        <v>263.5</v>
      </c>
      <c r="G172" s="874">
        <f t="shared" si="30"/>
        <v>3909.4</v>
      </c>
      <c r="H172" s="879">
        <v>3674.8</v>
      </c>
      <c r="I172" s="879">
        <v>234.6</v>
      </c>
      <c r="J172" s="874">
        <f t="shared" si="31"/>
        <v>0</v>
      </c>
      <c r="K172" s="879">
        <v>0</v>
      </c>
      <c r="L172" s="879">
        <v>0</v>
      </c>
      <c r="M172" s="876">
        <f t="shared" si="33"/>
        <v>0</v>
      </c>
      <c r="N172" s="877">
        <f t="shared" si="34"/>
        <v>0</v>
      </c>
      <c r="O172" s="877">
        <f t="shared" si="35"/>
        <v>0</v>
      </c>
      <c r="P172" s="1065">
        <f t="shared" si="36"/>
        <v>482.1</v>
      </c>
      <c r="Q172" s="1065">
        <f t="shared" si="36"/>
        <v>453.2</v>
      </c>
      <c r="R172" s="1065">
        <f t="shared" si="36"/>
        <v>28.9</v>
      </c>
      <c r="S172" s="1099" t="s">
        <v>886</v>
      </c>
      <c r="T172" s="1100" t="s">
        <v>891</v>
      </c>
      <c r="U172" s="1099">
        <v>414</v>
      </c>
      <c r="V172" s="1099" t="s">
        <v>890</v>
      </c>
      <c r="W172" s="1129"/>
      <c r="X172" s="783"/>
    </row>
    <row r="173" spans="1:24" s="515" customFormat="1" ht="78.75">
      <c r="A173" s="1160" t="s">
        <v>822</v>
      </c>
      <c r="B173" s="900" t="s">
        <v>693</v>
      </c>
      <c r="C173" s="1160"/>
      <c r="D173" s="874">
        <f t="shared" si="29"/>
        <v>23921.1</v>
      </c>
      <c r="E173" s="879">
        <f>18560.9+3924.8</f>
        <v>22485.7</v>
      </c>
      <c r="F173" s="879">
        <f>1184.8+250.55</f>
        <v>1435.4</v>
      </c>
      <c r="G173" s="874">
        <f t="shared" si="30"/>
        <v>19745.7</v>
      </c>
      <c r="H173" s="879">
        <v>18560.900000000001</v>
      </c>
      <c r="I173" s="879">
        <v>1184.8</v>
      </c>
      <c r="J173" s="874">
        <f t="shared" si="31"/>
        <v>0</v>
      </c>
      <c r="K173" s="879">
        <v>0</v>
      </c>
      <c r="L173" s="879">
        <v>0</v>
      </c>
      <c r="M173" s="876">
        <f t="shared" si="33"/>
        <v>0</v>
      </c>
      <c r="N173" s="877">
        <f t="shared" si="34"/>
        <v>0</v>
      </c>
      <c r="O173" s="877">
        <f t="shared" si="35"/>
        <v>0</v>
      </c>
      <c r="P173" s="1065">
        <f t="shared" si="36"/>
        <v>4175.3999999999996</v>
      </c>
      <c r="Q173" s="1065">
        <f t="shared" si="36"/>
        <v>3924.8</v>
      </c>
      <c r="R173" s="1065">
        <f t="shared" si="36"/>
        <v>250.6</v>
      </c>
      <c r="S173" s="1099" t="s">
        <v>866</v>
      </c>
      <c r="T173" s="1100" t="s">
        <v>884</v>
      </c>
      <c r="U173" s="1099">
        <v>414</v>
      </c>
      <c r="V173" s="1099" t="s">
        <v>885</v>
      </c>
      <c r="W173" s="1129"/>
      <c r="X173" s="783"/>
    </row>
    <row r="174" spans="1:24" s="515" customFormat="1" ht="52.5">
      <c r="A174" s="1160" t="s">
        <v>823</v>
      </c>
      <c r="B174" s="987" t="s">
        <v>794</v>
      </c>
      <c r="C174" s="1188"/>
      <c r="D174" s="874">
        <f t="shared" si="29"/>
        <v>264888.5</v>
      </c>
      <c r="E174" s="879">
        <f>160380+75158.5+12733.8</f>
        <v>248272.3</v>
      </c>
      <c r="F174" s="988">
        <f>15758.6+857.6</f>
        <v>16616.2</v>
      </c>
      <c r="G174" s="874">
        <f t="shared" si="30"/>
        <v>251297.1</v>
      </c>
      <c r="H174" s="879">
        <v>235538.5</v>
      </c>
      <c r="I174" s="988">
        <v>15758.6</v>
      </c>
      <c r="J174" s="874">
        <f t="shared" si="31"/>
        <v>30</v>
      </c>
      <c r="K174" s="879">
        <v>28.1</v>
      </c>
      <c r="L174" s="879">
        <v>1.9</v>
      </c>
      <c r="M174" s="876">
        <f t="shared" si="33"/>
        <v>0</v>
      </c>
      <c r="N174" s="877">
        <f t="shared" si="34"/>
        <v>0</v>
      </c>
      <c r="O174" s="877">
        <f t="shared" si="35"/>
        <v>0</v>
      </c>
      <c r="P174" s="1065">
        <f t="shared" si="36"/>
        <v>13591.4</v>
      </c>
      <c r="Q174" s="1065">
        <f t="shared" si="36"/>
        <v>12733.8</v>
      </c>
      <c r="R174" s="1065">
        <f t="shared" si="36"/>
        <v>857.6</v>
      </c>
      <c r="S174" s="1099" t="s">
        <v>866</v>
      </c>
      <c r="T174" s="1100" t="s">
        <v>896</v>
      </c>
      <c r="U174" s="1099">
        <v>414</v>
      </c>
      <c r="V174" s="1099" t="s">
        <v>897</v>
      </c>
      <c r="W174" s="1129"/>
      <c r="X174" s="783"/>
    </row>
    <row r="175" spans="1:24" s="515" customFormat="1" ht="125.25" hidden="1" customHeight="1">
      <c r="A175" s="1137"/>
      <c r="B175" s="987"/>
      <c r="C175" s="1188"/>
      <c r="D175" s="874"/>
      <c r="E175" s="1085"/>
      <c r="F175" s="1085"/>
      <c r="G175" s="874"/>
      <c r="H175" s="1085"/>
      <c r="I175" s="1085"/>
      <c r="J175" s="874"/>
      <c r="K175" s="1085"/>
      <c r="L175" s="1085"/>
      <c r="M175" s="876"/>
      <c r="N175" s="877"/>
      <c r="O175" s="877"/>
      <c r="P175" s="1065"/>
      <c r="Q175" s="1065"/>
      <c r="R175" s="1065"/>
      <c r="S175" s="1099"/>
      <c r="T175" s="1100"/>
      <c r="U175" s="1099"/>
      <c r="V175" s="1099"/>
      <c r="W175" s="1129"/>
      <c r="X175" s="783"/>
    </row>
    <row r="176" spans="1:24" ht="78.75">
      <c r="A176" s="2404" t="s">
        <v>1063</v>
      </c>
      <c r="B176" s="1084" t="s">
        <v>644</v>
      </c>
      <c r="C176" s="1174"/>
      <c r="D176" s="874">
        <f t="shared" si="29"/>
        <v>20270</v>
      </c>
      <c r="E176" s="1085">
        <v>0</v>
      </c>
      <c r="F176" s="1085">
        <f>8390+11880</f>
        <v>20270</v>
      </c>
      <c r="G176" s="874">
        <f t="shared" si="30"/>
        <v>20270</v>
      </c>
      <c r="H176" s="1085">
        <v>0</v>
      </c>
      <c r="I176" s="1085">
        <f>8390+11880</f>
        <v>20270</v>
      </c>
      <c r="J176" s="874">
        <f t="shared" si="31"/>
        <v>12665.1</v>
      </c>
      <c r="K176" s="1085">
        <v>0</v>
      </c>
      <c r="L176" s="1085">
        <v>12665.1</v>
      </c>
      <c r="M176" s="876">
        <f t="shared" ref="M176:O180" si="37">IF(J176=0,0,J176/G176*100)</f>
        <v>62.5</v>
      </c>
      <c r="N176" s="877">
        <f t="shared" si="37"/>
        <v>0</v>
      </c>
      <c r="O176" s="877">
        <f t="shared" si="37"/>
        <v>62.5</v>
      </c>
      <c r="P176" s="1065">
        <f t="shared" ref="P176:R191" si="38">D176-G176</f>
        <v>0</v>
      </c>
      <c r="Q176" s="1065">
        <f t="shared" si="38"/>
        <v>0</v>
      </c>
      <c r="R176" s="1065">
        <f t="shared" si="38"/>
        <v>0</v>
      </c>
      <c r="S176" s="1099" t="s">
        <v>872</v>
      </c>
      <c r="T176" s="1100">
        <v>1130390420</v>
      </c>
      <c r="U176" s="1099">
        <v>414</v>
      </c>
      <c r="V176" s="1099">
        <v>14019</v>
      </c>
    </row>
    <row r="177" spans="1:24" ht="52.5">
      <c r="A177" s="2405"/>
      <c r="B177" s="1084" t="s">
        <v>478</v>
      </c>
      <c r="C177" s="1174"/>
      <c r="D177" s="874">
        <f t="shared" si="29"/>
        <v>444195.7</v>
      </c>
      <c r="E177" s="1085">
        <f>412659.9+4883.9</f>
        <v>417543.8</v>
      </c>
      <c r="F177" s="1068">
        <f>26340.05+311.8</f>
        <v>26651.85</v>
      </c>
      <c r="G177" s="874">
        <f t="shared" si="30"/>
        <v>439000.1</v>
      </c>
      <c r="H177" s="1085">
        <v>412660</v>
      </c>
      <c r="I177" s="1068">
        <v>26340.05</v>
      </c>
      <c r="J177" s="874">
        <f t="shared" si="31"/>
        <v>350.4</v>
      </c>
      <c r="K177" s="1085">
        <v>329.4</v>
      </c>
      <c r="L177" s="1085">
        <v>21</v>
      </c>
      <c r="M177" s="876">
        <f t="shared" si="37"/>
        <v>0.1</v>
      </c>
      <c r="N177" s="877">
        <f t="shared" si="37"/>
        <v>0.1</v>
      </c>
      <c r="O177" s="877">
        <f t="shared" si="37"/>
        <v>0.1</v>
      </c>
      <c r="P177" s="1065">
        <f t="shared" si="38"/>
        <v>5195.6000000000004</v>
      </c>
      <c r="Q177" s="1065">
        <f t="shared" si="38"/>
        <v>4883.8</v>
      </c>
      <c r="R177" s="1065">
        <f t="shared" si="38"/>
        <v>311.8</v>
      </c>
      <c r="S177" s="1099" t="s">
        <v>886</v>
      </c>
      <c r="T177" s="1100" t="s">
        <v>898</v>
      </c>
      <c r="U177" s="1099">
        <v>414</v>
      </c>
      <c r="V177" s="1099" t="s">
        <v>899</v>
      </c>
    </row>
    <row r="178" spans="1:24" s="515" customFormat="1" ht="52.5">
      <c r="A178" s="1160" t="s">
        <v>915</v>
      </c>
      <c r="B178" s="900" t="s">
        <v>499</v>
      </c>
      <c r="C178" s="1160"/>
      <c r="D178" s="874">
        <f t="shared" si="29"/>
        <v>9981.4</v>
      </c>
      <c r="E178" s="879">
        <f>8500+859.8</f>
        <v>9359.7999999999993</v>
      </c>
      <c r="F178" s="879">
        <f>564.5+57.1</f>
        <v>621.6</v>
      </c>
      <c r="G178" s="874">
        <f t="shared" si="30"/>
        <v>9064.5</v>
      </c>
      <c r="H178" s="879">
        <v>8500</v>
      </c>
      <c r="I178" s="879">
        <v>564.5</v>
      </c>
      <c r="J178" s="874">
        <f t="shared" si="31"/>
        <v>16.3</v>
      </c>
      <c r="K178" s="879">
        <v>15.3</v>
      </c>
      <c r="L178" s="879">
        <v>1</v>
      </c>
      <c r="M178" s="876">
        <f t="shared" si="37"/>
        <v>0.2</v>
      </c>
      <c r="N178" s="877">
        <f t="shared" si="37"/>
        <v>0.2</v>
      </c>
      <c r="O178" s="877">
        <f t="shared" si="37"/>
        <v>0.2</v>
      </c>
      <c r="P178" s="1065">
        <f t="shared" si="38"/>
        <v>916.9</v>
      </c>
      <c r="Q178" s="1065">
        <f t="shared" si="38"/>
        <v>859.8</v>
      </c>
      <c r="R178" s="1065">
        <f t="shared" si="38"/>
        <v>57.1</v>
      </c>
      <c r="S178" s="1099" t="s">
        <v>871</v>
      </c>
      <c r="T178" s="1100" t="s">
        <v>870</v>
      </c>
      <c r="U178" s="1099">
        <v>414</v>
      </c>
      <c r="V178" s="1099" t="s">
        <v>873</v>
      </c>
      <c r="W178" s="1129"/>
      <c r="X178" s="783"/>
    </row>
    <row r="179" spans="1:24" ht="57" customHeight="1">
      <c r="A179" s="1157" t="s">
        <v>916</v>
      </c>
      <c r="B179" s="900" t="s">
        <v>768</v>
      </c>
      <c r="C179" s="1160"/>
      <c r="D179" s="874">
        <f t="shared" si="29"/>
        <v>8900</v>
      </c>
      <c r="E179" s="879">
        <v>0</v>
      </c>
      <c r="F179" s="879">
        <v>8900</v>
      </c>
      <c r="G179" s="874">
        <f t="shared" si="30"/>
        <v>8900</v>
      </c>
      <c r="H179" s="879">
        <v>0</v>
      </c>
      <c r="I179" s="879">
        <v>8900</v>
      </c>
      <c r="J179" s="874">
        <f t="shared" si="31"/>
        <v>0</v>
      </c>
      <c r="K179" s="879">
        <v>0</v>
      </c>
      <c r="L179" s="879">
        <v>0</v>
      </c>
      <c r="M179" s="876">
        <f t="shared" si="37"/>
        <v>0</v>
      </c>
      <c r="N179" s="877">
        <f t="shared" si="37"/>
        <v>0</v>
      </c>
      <c r="O179" s="877">
        <f t="shared" si="37"/>
        <v>0</v>
      </c>
      <c r="P179" s="1065">
        <f>D179-G179</f>
        <v>0</v>
      </c>
      <c r="Q179" s="1065">
        <f t="shared" si="38"/>
        <v>0</v>
      </c>
      <c r="R179" s="1065">
        <f t="shared" si="38"/>
        <v>0</v>
      </c>
      <c r="S179" s="1099" t="s">
        <v>872</v>
      </c>
      <c r="T179" s="1100">
        <v>1130390420</v>
      </c>
      <c r="U179" s="1099">
        <v>414</v>
      </c>
      <c r="V179" s="1099">
        <v>14009</v>
      </c>
    </row>
    <row r="180" spans="1:24" ht="52.5">
      <c r="A180" s="1160" t="s">
        <v>860</v>
      </c>
      <c r="B180" s="900" t="s">
        <v>769</v>
      </c>
      <c r="C180" s="1160"/>
      <c r="D180" s="874">
        <f t="shared" si="29"/>
        <v>21489</v>
      </c>
      <c r="E180" s="879">
        <v>0</v>
      </c>
      <c r="F180" s="879">
        <v>21489</v>
      </c>
      <c r="G180" s="874">
        <f t="shared" si="30"/>
        <v>21489</v>
      </c>
      <c r="H180" s="879">
        <v>0</v>
      </c>
      <c r="I180" s="879">
        <v>21489</v>
      </c>
      <c r="J180" s="874">
        <f t="shared" si="31"/>
        <v>0</v>
      </c>
      <c r="K180" s="879">
        <v>0</v>
      </c>
      <c r="L180" s="879">
        <v>0</v>
      </c>
      <c r="M180" s="876">
        <f t="shared" si="37"/>
        <v>0</v>
      </c>
      <c r="N180" s="877">
        <f t="shared" si="37"/>
        <v>0</v>
      </c>
      <c r="O180" s="877">
        <f t="shared" si="37"/>
        <v>0</v>
      </c>
      <c r="P180" s="1065">
        <f>D180-G180</f>
        <v>0</v>
      </c>
      <c r="Q180" s="1065">
        <f t="shared" si="38"/>
        <v>0</v>
      </c>
      <c r="R180" s="1065">
        <f t="shared" si="38"/>
        <v>0</v>
      </c>
      <c r="S180" s="1099" t="s">
        <v>872</v>
      </c>
      <c r="T180" s="1100">
        <v>1130390420</v>
      </c>
      <c r="U180" s="1099">
        <v>414</v>
      </c>
      <c r="V180" s="1099">
        <v>14053</v>
      </c>
    </row>
    <row r="181" spans="1:24" ht="42.75" customHeight="1">
      <c r="A181" s="1160" t="s">
        <v>1064</v>
      </c>
      <c r="B181" s="900" t="s">
        <v>692</v>
      </c>
      <c r="C181" s="1160"/>
      <c r="D181" s="874">
        <f>SUM(E181:F181)</f>
        <v>22300</v>
      </c>
      <c r="E181" s="879">
        <f>22300*0.9396914446</f>
        <v>20955.099999999999</v>
      </c>
      <c r="F181" s="879">
        <f>22300*(1-0.9396914446)</f>
        <v>1344.9</v>
      </c>
      <c r="G181" s="874">
        <f>SUM(H181:I181)</f>
        <v>22300</v>
      </c>
      <c r="H181" s="879">
        <f>22300*0.9396914446</f>
        <v>20955.099999999999</v>
      </c>
      <c r="I181" s="879">
        <f>22300*(1-0.9396914446)</f>
        <v>1344.9</v>
      </c>
      <c r="J181" s="2450">
        <f>SUM(K181:L181)</f>
        <v>0</v>
      </c>
      <c r="K181" s="2440">
        <v>0</v>
      </c>
      <c r="L181" s="2440">
        <v>0</v>
      </c>
      <c r="M181" s="2446">
        <f>IF(J181=0,0,J181/G181:G182*100)</f>
        <v>0</v>
      </c>
      <c r="N181" s="2415">
        <f>IF(K181=0,0,K181/H181:H182*100)</f>
        <v>0</v>
      </c>
      <c r="O181" s="2415">
        <f>IF(L181=0,0,L181/I181:I182*100)</f>
        <v>0</v>
      </c>
      <c r="P181" s="1065">
        <f>D181-G181</f>
        <v>0</v>
      </c>
      <c r="Q181" s="1065">
        <f t="shared" si="38"/>
        <v>0</v>
      </c>
      <c r="R181" s="1065">
        <f t="shared" si="38"/>
        <v>0</v>
      </c>
      <c r="S181" s="2409" t="s">
        <v>874</v>
      </c>
      <c r="T181" s="2445" t="s">
        <v>875</v>
      </c>
      <c r="U181" s="2409">
        <v>414</v>
      </c>
      <c r="V181" s="2409" t="s">
        <v>876</v>
      </c>
      <c r="W181" s="2452"/>
    </row>
    <row r="182" spans="1:24" ht="33" customHeight="1">
      <c r="A182" s="1160" t="s">
        <v>935</v>
      </c>
      <c r="B182" s="900" t="s">
        <v>691</v>
      </c>
      <c r="C182" s="1160"/>
      <c r="D182" s="874">
        <f t="shared" si="29"/>
        <v>49000</v>
      </c>
      <c r="E182" s="879">
        <f>49000*0.9396914446</f>
        <v>46044.9</v>
      </c>
      <c r="F182" s="879">
        <f>49000*(1-0.9396914446)</f>
        <v>2955.1</v>
      </c>
      <c r="G182" s="874">
        <f t="shared" si="30"/>
        <v>49000</v>
      </c>
      <c r="H182" s="879">
        <f>49000*0.9396914446</f>
        <v>46044.9</v>
      </c>
      <c r="I182" s="879">
        <f>49000*(1-0.9396914446)</f>
        <v>2955.1</v>
      </c>
      <c r="J182" s="2451"/>
      <c r="K182" s="2441"/>
      <c r="L182" s="2441"/>
      <c r="M182" s="2448"/>
      <c r="N182" s="2417"/>
      <c r="O182" s="2417"/>
      <c r="P182" s="1065">
        <f t="shared" si="38"/>
        <v>0</v>
      </c>
      <c r="Q182" s="1065">
        <f t="shared" si="38"/>
        <v>0</v>
      </c>
      <c r="R182" s="1065">
        <f t="shared" si="38"/>
        <v>0</v>
      </c>
      <c r="S182" s="2409"/>
      <c r="T182" s="2445"/>
      <c r="U182" s="2409"/>
      <c r="V182" s="2409"/>
      <c r="W182" s="2452"/>
    </row>
    <row r="183" spans="1:24" ht="52.5" hidden="1">
      <c r="A183" s="895"/>
      <c r="B183" s="955" t="s">
        <v>840</v>
      </c>
      <c r="C183" s="1190"/>
      <c r="D183" s="874">
        <f t="shared" si="29"/>
        <v>0</v>
      </c>
      <c r="E183" s="1085">
        <v>0</v>
      </c>
      <c r="F183" s="1085"/>
      <c r="G183" s="874">
        <f t="shared" si="30"/>
        <v>0</v>
      </c>
      <c r="H183" s="1085"/>
      <c r="I183" s="1085"/>
      <c r="J183" s="874">
        <f t="shared" si="31"/>
        <v>0</v>
      </c>
      <c r="K183" s="1085"/>
      <c r="L183" s="1085"/>
      <c r="M183" s="876">
        <f t="shared" ref="M183:O184" si="39">IF(J183=0,0,J183/G183*100)</f>
        <v>0</v>
      </c>
      <c r="N183" s="877">
        <f t="shared" si="39"/>
        <v>0</v>
      </c>
      <c r="O183" s="877">
        <f t="shared" si="39"/>
        <v>0</v>
      </c>
      <c r="P183" s="1065">
        <f>D183-G183</f>
        <v>0</v>
      </c>
      <c r="Q183" s="1065">
        <f t="shared" si="38"/>
        <v>0</v>
      </c>
      <c r="R183" s="1065">
        <f t="shared" si="38"/>
        <v>0</v>
      </c>
    </row>
    <row r="184" spans="1:24" ht="52.5">
      <c r="A184" s="1160" t="s">
        <v>1026</v>
      </c>
      <c r="B184" s="955" t="s">
        <v>767</v>
      </c>
      <c r="C184" s="1190"/>
      <c r="D184" s="874">
        <f t="shared" si="29"/>
        <v>5777.1</v>
      </c>
      <c r="E184" s="1085">
        <v>0</v>
      </c>
      <c r="F184" s="1085">
        <v>5777.1</v>
      </c>
      <c r="G184" s="874">
        <f t="shared" si="30"/>
        <v>5777.1</v>
      </c>
      <c r="H184" s="1085">
        <v>0</v>
      </c>
      <c r="I184" s="1085">
        <v>5777.1</v>
      </c>
      <c r="J184" s="874">
        <f t="shared" si="31"/>
        <v>0</v>
      </c>
      <c r="K184" s="1085">
        <v>0</v>
      </c>
      <c r="L184" s="1085">
        <v>0</v>
      </c>
      <c r="M184" s="876">
        <f t="shared" si="39"/>
        <v>0</v>
      </c>
      <c r="N184" s="877">
        <f t="shared" si="39"/>
        <v>0</v>
      </c>
      <c r="O184" s="877">
        <f t="shared" si="39"/>
        <v>0</v>
      </c>
      <c r="P184" s="1065">
        <f>D184-G184</f>
        <v>0</v>
      </c>
      <c r="Q184" s="1065">
        <f t="shared" si="38"/>
        <v>0</v>
      </c>
      <c r="R184" s="1065">
        <f t="shared" si="38"/>
        <v>0</v>
      </c>
      <c r="S184" s="1099" t="s">
        <v>872</v>
      </c>
      <c r="T184" s="1100">
        <v>1130490420</v>
      </c>
      <c r="U184" s="1099">
        <v>414</v>
      </c>
      <c r="V184" s="1099">
        <v>14007</v>
      </c>
    </row>
    <row r="185" spans="1:24" ht="26.25">
      <c r="A185" s="1160" t="s">
        <v>1027</v>
      </c>
      <c r="B185" s="955" t="s">
        <v>763</v>
      </c>
      <c r="C185" s="1190"/>
      <c r="D185" s="874">
        <f t="shared" si="29"/>
        <v>32800</v>
      </c>
      <c r="E185" s="1085">
        <v>30832</v>
      </c>
      <c r="F185" s="1085">
        <v>1968</v>
      </c>
      <c r="G185" s="874">
        <f t="shared" si="30"/>
        <v>32800</v>
      </c>
      <c r="H185" s="1085">
        <v>30832</v>
      </c>
      <c r="I185" s="1085">
        <v>1968</v>
      </c>
      <c r="J185" s="2450">
        <f>SUM(K185:L187)</f>
        <v>0</v>
      </c>
      <c r="K185" s="2420"/>
      <c r="L185" s="2420"/>
      <c r="M185" s="2446">
        <f>IF(J185=0,0,J185/G185:G187*100)</f>
        <v>0</v>
      </c>
      <c r="N185" s="2415">
        <f>IF(K185=0,0,K185/H185:H187*100)</f>
        <v>0</v>
      </c>
      <c r="O185" s="2415">
        <f>IF(L185=0,0,L185/I185:I187*100)</f>
        <v>0</v>
      </c>
      <c r="P185" s="1065">
        <f t="shared" si="38"/>
        <v>0</v>
      </c>
      <c r="Q185" s="1065">
        <f t="shared" si="38"/>
        <v>0</v>
      </c>
      <c r="R185" s="1065">
        <f t="shared" si="38"/>
        <v>0</v>
      </c>
      <c r="S185" s="2409" t="s">
        <v>872</v>
      </c>
      <c r="T185" s="2445" t="s">
        <v>878</v>
      </c>
      <c r="U185" s="2409">
        <v>414</v>
      </c>
      <c r="V185" s="2409" t="s">
        <v>879</v>
      </c>
      <c r="W185" s="2449"/>
    </row>
    <row r="186" spans="1:24" ht="26.25">
      <c r="A186" s="895">
        <v>118</v>
      </c>
      <c r="B186" s="955" t="s">
        <v>765</v>
      </c>
      <c r="C186" s="1190"/>
      <c r="D186" s="874">
        <f t="shared" si="29"/>
        <v>1200</v>
      </c>
      <c r="E186" s="1085">
        <v>1128</v>
      </c>
      <c r="F186" s="1085">
        <v>72</v>
      </c>
      <c r="G186" s="874">
        <f t="shared" si="30"/>
        <v>1200</v>
      </c>
      <c r="H186" s="1085">
        <v>1128</v>
      </c>
      <c r="I186" s="1085">
        <v>72</v>
      </c>
      <c r="J186" s="2457"/>
      <c r="K186" s="2421"/>
      <c r="L186" s="2421"/>
      <c r="M186" s="2447"/>
      <c r="N186" s="2416"/>
      <c r="O186" s="2416"/>
      <c r="P186" s="1065">
        <f t="shared" si="38"/>
        <v>0</v>
      </c>
      <c r="Q186" s="1065">
        <f t="shared" si="38"/>
        <v>0</v>
      </c>
      <c r="R186" s="1065">
        <f t="shared" si="38"/>
        <v>0</v>
      </c>
      <c r="S186" s="2409"/>
      <c r="T186" s="2445"/>
      <c r="U186" s="2409"/>
      <c r="V186" s="2409"/>
      <c r="W186" s="2449"/>
    </row>
    <row r="187" spans="1:24" ht="26.25">
      <c r="A187" s="895">
        <v>119</v>
      </c>
      <c r="B187" s="955" t="s">
        <v>766</v>
      </c>
      <c r="C187" s="1190"/>
      <c r="D187" s="874">
        <f t="shared" si="29"/>
        <v>1500</v>
      </c>
      <c r="E187" s="1085">
        <v>1410</v>
      </c>
      <c r="F187" s="1085">
        <v>90</v>
      </c>
      <c r="G187" s="874">
        <f t="shared" si="30"/>
        <v>1500</v>
      </c>
      <c r="H187" s="1085">
        <v>1410</v>
      </c>
      <c r="I187" s="1085">
        <v>90</v>
      </c>
      <c r="J187" s="2451"/>
      <c r="K187" s="2422"/>
      <c r="L187" s="2422"/>
      <c r="M187" s="2448"/>
      <c r="N187" s="2417"/>
      <c r="O187" s="2417"/>
      <c r="P187" s="1065">
        <f t="shared" si="38"/>
        <v>0</v>
      </c>
      <c r="Q187" s="1065">
        <f t="shared" si="38"/>
        <v>0</v>
      </c>
      <c r="R187" s="1065">
        <f t="shared" si="38"/>
        <v>0</v>
      </c>
      <c r="S187" s="2409"/>
      <c r="T187" s="2445"/>
      <c r="U187" s="2409"/>
      <c r="V187" s="2409"/>
      <c r="W187" s="2449"/>
    </row>
    <row r="188" spans="1:24" ht="52.5" hidden="1">
      <c r="A188" s="945"/>
      <c r="B188" s="937" t="s">
        <v>798</v>
      </c>
      <c r="C188" s="1186"/>
      <c r="D188" s="874">
        <f t="shared" si="29"/>
        <v>0</v>
      </c>
      <c r="E188" s="1085">
        <v>0</v>
      </c>
      <c r="F188" s="1085"/>
      <c r="G188" s="874">
        <f t="shared" si="30"/>
        <v>0</v>
      </c>
      <c r="H188" s="1085"/>
      <c r="I188" s="1085"/>
      <c r="J188" s="874">
        <f t="shared" ref="J188:J227" si="40">SUM(K188:L188)</f>
        <v>0</v>
      </c>
      <c r="K188" s="1085"/>
      <c r="L188" s="1085"/>
      <c r="M188" s="876">
        <f t="shared" ref="M188:M230" si="41">IF(J188=0,0,J188/G188*100)</f>
        <v>0</v>
      </c>
      <c r="N188" s="877">
        <f t="shared" ref="N188:N230" si="42">IF(K188=0,0,K188/H188*100)</f>
        <v>0</v>
      </c>
      <c r="O188" s="877">
        <f t="shared" ref="O188:O230" si="43">IF(L188=0,0,L188/I188*100)</f>
        <v>0</v>
      </c>
      <c r="P188" s="1065">
        <f t="shared" si="38"/>
        <v>0</v>
      </c>
      <c r="Q188" s="1065">
        <f t="shared" si="38"/>
        <v>0</v>
      </c>
      <c r="R188" s="1065">
        <f t="shared" si="38"/>
        <v>0</v>
      </c>
    </row>
    <row r="189" spans="1:24" ht="60" customHeight="1">
      <c r="A189" s="1160" t="s">
        <v>104</v>
      </c>
      <c r="B189" s="900" t="s">
        <v>463</v>
      </c>
      <c r="C189" s="1160"/>
      <c r="D189" s="874">
        <f t="shared" si="29"/>
        <v>19846.5</v>
      </c>
      <c r="E189" s="879">
        <f>18651.8+3.79</f>
        <v>18655.599999999999</v>
      </c>
      <c r="F189" s="879">
        <f>1190.7+0.2</f>
        <v>1190.9000000000001</v>
      </c>
      <c r="G189" s="874">
        <f t="shared" si="30"/>
        <v>19842.5</v>
      </c>
      <c r="H189" s="879">
        <v>18651.8</v>
      </c>
      <c r="I189" s="879">
        <v>1190.7</v>
      </c>
      <c r="J189" s="874">
        <f t="shared" si="40"/>
        <v>30</v>
      </c>
      <c r="K189" s="879">
        <v>28.2</v>
      </c>
      <c r="L189" s="879">
        <v>1.8</v>
      </c>
      <c r="M189" s="876">
        <f t="shared" si="41"/>
        <v>0.2</v>
      </c>
      <c r="N189" s="877">
        <f t="shared" si="42"/>
        <v>0.2</v>
      </c>
      <c r="O189" s="877">
        <f t="shared" si="43"/>
        <v>0.2</v>
      </c>
      <c r="P189" s="1065">
        <f t="shared" si="38"/>
        <v>4</v>
      </c>
      <c r="Q189" s="1065">
        <f t="shared" si="38"/>
        <v>3.8</v>
      </c>
      <c r="R189" s="1065">
        <f t="shared" si="38"/>
        <v>0.2</v>
      </c>
      <c r="S189" s="1099" t="s">
        <v>923</v>
      </c>
      <c r="T189" s="1100" t="s">
        <v>924</v>
      </c>
      <c r="U189" s="1099">
        <v>414</v>
      </c>
      <c r="V189" s="1099" t="s">
        <v>922</v>
      </c>
    </row>
    <row r="190" spans="1:24" ht="52.5">
      <c r="A190" s="1160" t="s">
        <v>1065</v>
      </c>
      <c r="B190" s="900" t="s">
        <v>592</v>
      </c>
      <c r="C190" s="1160"/>
      <c r="D190" s="874">
        <f t="shared" si="29"/>
        <v>28317.1</v>
      </c>
      <c r="E190" s="879">
        <f>11848.8+14769.21</f>
        <v>26618</v>
      </c>
      <c r="F190" s="879">
        <f>756.4+942.7</f>
        <v>1699.1</v>
      </c>
      <c r="G190" s="874">
        <f t="shared" si="30"/>
        <v>12605.2</v>
      </c>
      <c r="H190" s="879">
        <v>11848.8</v>
      </c>
      <c r="I190" s="879">
        <v>756.4</v>
      </c>
      <c r="J190" s="874">
        <f t="shared" si="40"/>
        <v>0</v>
      </c>
      <c r="K190" s="879">
        <v>0</v>
      </c>
      <c r="L190" s="879">
        <v>0</v>
      </c>
      <c r="M190" s="876">
        <f t="shared" si="41"/>
        <v>0</v>
      </c>
      <c r="N190" s="877">
        <f t="shared" si="42"/>
        <v>0</v>
      </c>
      <c r="O190" s="877">
        <f t="shared" si="43"/>
        <v>0</v>
      </c>
      <c r="P190" s="1065">
        <f t="shared" si="38"/>
        <v>15711.9</v>
      </c>
      <c r="Q190" s="1065">
        <f t="shared" si="38"/>
        <v>14769.2</v>
      </c>
      <c r="R190" s="1065">
        <f t="shared" si="38"/>
        <v>942.7</v>
      </c>
      <c r="S190" s="1099" t="s">
        <v>923</v>
      </c>
      <c r="T190" s="1100" t="s">
        <v>925</v>
      </c>
      <c r="U190" s="1099">
        <v>414</v>
      </c>
      <c r="V190" s="1099" t="s">
        <v>922</v>
      </c>
    </row>
    <row r="191" spans="1:24" ht="52.5">
      <c r="A191" s="1160" t="s">
        <v>855</v>
      </c>
      <c r="B191" s="900" t="s">
        <v>776</v>
      </c>
      <c r="C191" s="1160"/>
      <c r="D191" s="874">
        <f t="shared" si="29"/>
        <v>29452.3</v>
      </c>
      <c r="E191" s="879">
        <v>27685.1</v>
      </c>
      <c r="F191" s="879">
        <v>1767.2</v>
      </c>
      <c r="G191" s="874">
        <f t="shared" si="30"/>
        <v>29452.3</v>
      </c>
      <c r="H191" s="879">
        <v>27685.1</v>
      </c>
      <c r="I191" s="879">
        <v>1767.2</v>
      </c>
      <c r="J191" s="874">
        <f t="shared" si="40"/>
        <v>0</v>
      </c>
      <c r="K191" s="879">
        <v>0</v>
      </c>
      <c r="L191" s="879">
        <v>0</v>
      </c>
      <c r="M191" s="876">
        <f t="shared" si="41"/>
        <v>0</v>
      </c>
      <c r="N191" s="877">
        <f t="shared" si="42"/>
        <v>0</v>
      </c>
      <c r="O191" s="877">
        <f t="shared" si="43"/>
        <v>0</v>
      </c>
      <c r="P191" s="1065">
        <f t="shared" si="38"/>
        <v>0</v>
      </c>
      <c r="Q191" s="1065">
        <f t="shared" si="38"/>
        <v>0</v>
      </c>
      <c r="R191" s="1065">
        <f t="shared" si="38"/>
        <v>0</v>
      </c>
      <c r="S191" s="1099" t="s">
        <v>920</v>
      </c>
      <c r="T191" s="1100" t="s">
        <v>921</v>
      </c>
      <c r="U191" s="1099">
        <v>414</v>
      </c>
      <c r="V191" s="1099" t="s">
        <v>922</v>
      </c>
    </row>
    <row r="192" spans="1:24" ht="52.5" hidden="1">
      <c r="A192" s="945"/>
      <c r="B192" s="937" t="s">
        <v>799</v>
      </c>
      <c r="C192" s="1186"/>
      <c r="D192" s="874">
        <f t="shared" si="29"/>
        <v>0</v>
      </c>
      <c r="E192" s="1085">
        <v>0</v>
      </c>
      <c r="F192" s="1085"/>
      <c r="G192" s="874">
        <f t="shared" si="30"/>
        <v>0</v>
      </c>
      <c r="H192" s="1085"/>
      <c r="I192" s="1085"/>
      <c r="J192" s="874">
        <f t="shared" si="40"/>
        <v>0</v>
      </c>
      <c r="K192" s="1085"/>
      <c r="L192" s="1085"/>
      <c r="M192" s="876">
        <f t="shared" si="41"/>
        <v>0</v>
      </c>
      <c r="N192" s="877">
        <f t="shared" si="42"/>
        <v>0</v>
      </c>
      <c r="O192" s="877">
        <f t="shared" si="43"/>
        <v>0</v>
      </c>
      <c r="P192" s="1065">
        <f t="shared" ref="P192:R207" si="44">D192-G192</f>
        <v>0</v>
      </c>
      <c r="Q192" s="1065">
        <f t="shared" si="44"/>
        <v>0</v>
      </c>
      <c r="R192" s="1065">
        <f t="shared" si="44"/>
        <v>0</v>
      </c>
    </row>
    <row r="193" spans="1:24" ht="81.75" customHeight="1">
      <c r="A193" s="2442" t="s">
        <v>856</v>
      </c>
      <c r="B193" s="901" t="s">
        <v>638</v>
      </c>
      <c r="C193" s="1185"/>
      <c r="D193" s="874">
        <f t="shared" ref="D193:D227" si="45">SUM(E193:F193)</f>
        <v>15520</v>
      </c>
      <c r="E193" s="879">
        <v>0</v>
      </c>
      <c r="F193" s="879">
        <v>15520</v>
      </c>
      <c r="G193" s="874">
        <f t="shared" ref="G193:G227" si="46">SUM(H193:I193)</f>
        <v>15520</v>
      </c>
      <c r="H193" s="879">
        <v>0</v>
      </c>
      <c r="I193" s="879">
        <v>15520</v>
      </c>
      <c r="J193" s="874">
        <f t="shared" si="40"/>
        <v>0</v>
      </c>
      <c r="K193" s="879">
        <v>0</v>
      </c>
      <c r="L193" s="879">
        <v>0</v>
      </c>
      <c r="M193" s="876">
        <f t="shared" si="41"/>
        <v>0</v>
      </c>
      <c r="N193" s="877">
        <f t="shared" si="42"/>
        <v>0</v>
      </c>
      <c r="O193" s="877">
        <f t="shared" si="43"/>
        <v>0</v>
      </c>
      <c r="P193" s="1065">
        <f t="shared" si="44"/>
        <v>0</v>
      </c>
      <c r="Q193" s="1065">
        <f t="shared" si="44"/>
        <v>0</v>
      </c>
      <c r="R193" s="1065">
        <f t="shared" si="44"/>
        <v>0</v>
      </c>
      <c r="S193" s="1099" t="s">
        <v>928</v>
      </c>
      <c r="T193" s="1100" t="s">
        <v>929</v>
      </c>
      <c r="U193" s="1099">
        <v>414</v>
      </c>
      <c r="V193" s="1099">
        <v>14003</v>
      </c>
    </row>
    <row r="194" spans="1:24" ht="52.5">
      <c r="A194" s="2442"/>
      <c r="B194" s="990" t="s">
        <v>694</v>
      </c>
      <c r="C194" s="1176"/>
      <c r="D194" s="874">
        <f t="shared" si="45"/>
        <v>251200</v>
      </c>
      <c r="E194" s="879">
        <v>236128</v>
      </c>
      <c r="F194" s="879">
        <v>15072</v>
      </c>
      <c r="G194" s="874">
        <f t="shared" si="46"/>
        <v>251200</v>
      </c>
      <c r="H194" s="879">
        <v>236128</v>
      </c>
      <c r="I194" s="879">
        <v>15072</v>
      </c>
      <c r="J194" s="874">
        <f t="shared" si="40"/>
        <v>0</v>
      </c>
      <c r="K194" s="879">
        <v>0</v>
      </c>
      <c r="L194" s="879">
        <v>0</v>
      </c>
      <c r="M194" s="876">
        <f t="shared" si="41"/>
        <v>0</v>
      </c>
      <c r="N194" s="877">
        <f t="shared" si="42"/>
        <v>0</v>
      </c>
      <c r="O194" s="877">
        <f t="shared" si="43"/>
        <v>0</v>
      </c>
      <c r="P194" s="1065">
        <f t="shared" si="44"/>
        <v>0</v>
      </c>
      <c r="Q194" s="1065">
        <f t="shared" si="44"/>
        <v>0</v>
      </c>
      <c r="R194" s="1065">
        <f t="shared" si="44"/>
        <v>0</v>
      </c>
      <c r="S194" s="1099" t="s">
        <v>928</v>
      </c>
      <c r="T194" s="1100" t="s">
        <v>931</v>
      </c>
      <c r="U194" s="1099">
        <v>414</v>
      </c>
      <c r="V194" s="1099" t="s">
        <v>930</v>
      </c>
    </row>
    <row r="195" spans="1:24" ht="89.25" customHeight="1">
      <c r="A195" s="2442" t="s">
        <v>857</v>
      </c>
      <c r="B195" s="900" t="s">
        <v>646</v>
      </c>
      <c r="C195" s="1160"/>
      <c r="D195" s="874">
        <f t="shared" si="45"/>
        <v>7500</v>
      </c>
      <c r="E195" s="1085">
        <v>0</v>
      </c>
      <c r="F195" s="1085">
        <v>7500</v>
      </c>
      <c r="G195" s="874">
        <f t="shared" si="46"/>
        <v>7500</v>
      </c>
      <c r="H195" s="1085">
        <v>0</v>
      </c>
      <c r="I195" s="1085">
        <v>7500</v>
      </c>
      <c r="J195" s="874">
        <f t="shared" si="40"/>
        <v>0</v>
      </c>
      <c r="K195" s="1085">
        <v>0</v>
      </c>
      <c r="L195" s="1085">
        <v>0</v>
      </c>
      <c r="M195" s="876">
        <f t="shared" si="41"/>
        <v>0</v>
      </c>
      <c r="N195" s="877">
        <f t="shared" si="42"/>
        <v>0</v>
      </c>
      <c r="O195" s="877">
        <f t="shared" si="43"/>
        <v>0</v>
      </c>
      <c r="P195" s="1065">
        <f t="shared" si="44"/>
        <v>0</v>
      </c>
      <c r="Q195" s="1065">
        <f t="shared" si="44"/>
        <v>0</v>
      </c>
      <c r="R195" s="1065">
        <f t="shared" si="44"/>
        <v>0</v>
      </c>
      <c r="S195" s="1099" t="s">
        <v>928</v>
      </c>
      <c r="T195" s="1100" t="s">
        <v>929</v>
      </c>
      <c r="U195" s="1099">
        <v>414</v>
      </c>
      <c r="V195" s="1099">
        <v>14036</v>
      </c>
    </row>
    <row r="196" spans="1:24" ht="52.5">
      <c r="A196" s="2442"/>
      <c r="B196" s="990" t="s">
        <v>695</v>
      </c>
      <c r="C196" s="1176"/>
      <c r="D196" s="874">
        <f t="shared" si="45"/>
        <v>142468</v>
      </c>
      <c r="E196" s="879">
        <v>133919.9</v>
      </c>
      <c r="F196" s="879">
        <v>8548.1</v>
      </c>
      <c r="G196" s="874">
        <f t="shared" si="46"/>
        <v>142468</v>
      </c>
      <c r="H196" s="879">
        <v>133919.9</v>
      </c>
      <c r="I196" s="879">
        <v>8548.1</v>
      </c>
      <c r="J196" s="874">
        <f t="shared" si="40"/>
        <v>0</v>
      </c>
      <c r="K196" s="879">
        <v>0</v>
      </c>
      <c r="L196" s="879">
        <v>0</v>
      </c>
      <c r="M196" s="876">
        <f t="shared" si="41"/>
        <v>0</v>
      </c>
      <c r="N196" s="877">
        <f t="shared" si="42"/>
        <v>0</v>
      </c>
      <c r="O196" s="877">
        <f t="shared" si="43"/>
        <v>0</v>
      </c>
      <c r="P196" s="1065">
        <f t="shared" si="44"/>
        <v>0</v>
      </c>
      <c r="Q196" s="1065">
        <f t="shared" si="44"/>
        <v>0</v>
      </c>
      <c r="R196" s="1065">
        <f t="shared" si="44"/>
        <v>0</v>
      </c>
      <c r="S196" s="1099" t="s">
        <v>928</v>
      </c>
      <c r="T196" s="1100" t="s">
        <v>1030</v>
      </c>
      <c r="U196" s="1099">
        <v>414</v>
      </c>
      <c r="V196" s="1099" t="s">
        <v>930</v>
      </c>
    </row>
    <row r="197" spans="1:24" ht="52.5" hidden="1">
      <c r="A197" s="945"/>
      <c r="B197" s="937" t="s">
        <v>800</v>
      </c>
      <c r="C197" s="1186"/>
      <c r="D197" s="881">
        <f t="shared" si="45"/>
        <v>0</v>
      </c>
      <c r="E197" s="1068">
        <v>0</v>
      </c>
      <c r="F197" s="1085"/>
      <c r="G197" s="874">
        <f t="shared" si="46"/>
        <v>0</v>
      </c>
      <c r="H197" s="1085"/>
      <c r="I197" s="1085"/>
      <c r="J197" s="874">
        <f t="shared" si="40"/>
        <v>0</v>
      </c>
      <c r="K197" s="1085"/>
      <c r="L197" s="1085"/>
      <c r="M197" s="876">
        <f t="shared" si="41"/>
        <v>0</v>
      </c>
      <c r="N197" s="877">
        <f t="shared" si="42"/>
        <v>0</v>
      </c>
      <c r="O197" s="877">
        <f t="shared" si="43"/>
        <v>0</v>
      </c>
      <c r="P197" s="1065">
        <f t="shared" si="44"/>
        <v>0</v>
      </c>
      <c r="Q197" s="1065">
        <f t="shared" si="44"/>
        <v>0</v>
      </c>
      <c r="R197" s="1065">
        <f t="shared" si="44"/>
        <v>0</v>
      </c>
    </row>
    <row r="198" spans="1:24" ht="87.75" customHeight="1">
      <c r="A198" s="2442" t="s">
        <v>858</v>
      </c>
      <c r="B198" s="1078" t="s">
        <v>642</v>
      </c>
      <c r="C198" s="1191"/>
      <c r="D198" s="874">
        <f t="shared" si="45"/>
        <v>6308.4</v>
      </c>
      <c r="E198" s="879">
        <v>0</v>
      </c>
      <c r="F198" s="879">
        <v>6308.4</v>
      </c>
      <c r="G198" s="874">
        <f t="shared" si="46"/>
        <v>6308.4</v>
      </c>
      <c r="H198" s="879">
        <v>0</v>
      </c>
      <c r="I198" s="879">
        <v>6308.4</v>
      </c>
      <c r="J198" s="874">
        <f t="shared" si="40"/>
        <v>0</v>
      </c>
      <c r="K198" s="879">
        <v>0</v>
      </c>
      <c r="L198" s="879">
        <v>0</v>
      </c>
      <c r="M198" s="876">
        <f t="shared" si="41"/>
        <v>0</v>
      </c>
      <c r="N198" s="877">
        <f t="shared" si="42"/>
        <v>0</v>
      </c>
      <c r="O198" s="877">
        <f t="shared" si="43"/>
        <v>0</v>
      </c>
      <c r="P198" s="1065">
        <f t="shared" si="44"/>
        <v>0</v>
      </c>
      <c r="Q198" s="1065">
        <f t="shared" si="44"/>
        <v>0</v>
      </c>
      <c r="R198" s="1065">
        <f t="shared" si="44"/>
        <v>0</v>
      </c>
      <c r="S198" s="1099" t="s">
        <v>945</v>
      </c>
      <c r="T198" s="1100" t="s">
        <v>946</v>
      </c>
      <c r="U198" s="1099">
        <v>414</v>
      </c>
      <c r="V198" s="1099">
        <v>14001</v>
      </c>
    </row>
    <row r="199" spans="1:24" ht="61.5" customHeight="1">
      <c r="A199" s="2442"/>
      <c r="B199" s="990" t="s">
        <v>698</v>
      </c>
      <c r="C199" s="1176"/>
      <c r="D199" s="874">
        <f t="shared" si="45"/>
        <v>96270.7</v>
      </c>
      <c r="E199" s="879">
        <v>90460.9</v>
      </c>
      <c r="F199" s="885">
        <v>5809.75</v>
      </c>
      <c r="G199" s="874">
        <f t="shared" si="46"/>
        <v>96270.7</v>
      </c>
      <c r="H199" s="879">
        <v>90460.9</v>
      </c>
      <c r="I199" s="885">
        <v>5809.75</v>
      </c>
      <c r="J199" s="874">
        <f t="shared" si="40"/>
        <v>0</v>
      </c>
      <c r="K199" s="879">
        <v>0</v>
      </c>
      <c r="L199" s="879">
        <v>0</v>
      </c>
      <c r="M199" s="876">
        <f t="shared" si="41"/>
        <v>0</v>
      </c>
      <c r="N199" s="877">
        <f t="shared" si="42"/>
        <v>0</v>
      </c>
      <c r="O199" s="877">
        <f t="shared" si="43"/>
        <v>0</v>
      </c>
      <c r="P199" s="1065">
        <f t="shared" si="44"/>
        <v>0</v>
      </c>
      <c r="Q199" s="1065">
        <f t="shared" si="44"/>
        <v>0</v>
      </c>
      <c r="R199" s="1065">
        <f t="shared" si="44"/>
        <v>0</v>
      </c>
      <c r="S199" s="1130" t="s">
        <v>936</v>
      </c>
      <c r="T199" s="1100" t="s">
        <v>940</v>
      </c>
      <c r="U199" s="1099">
        <v>414</v>
      </c>
      <c r="V199" s="1099" t="s">
        <v>939</v>
      </c>
    </row>
    <row r="200" spans="1:24" ht="65.25" customHeight="1">
      <c r="A200" s="1160" t="s">
        <v>859</v>
      </c>
      <c r="B200" s="990" t="s">
        <v>697</v>
      </c>
      <c r="C200" s="1176"/>
      <c r="D200" s="874">
        <f t="shared" si="45"/>
        <v>150000</v>
      </c>
      <c r="E200" s="879">
        <v>140955</v>
      </c>
      <c r="F200" s="879">
        <v>9045</v>
      </c>
      <c r="G200" s="874">
        <f t="shared" si="46"/>
        <v>150000</v>
      </c>
      <c r="H200" s="879">
        <v>140955</v>
      </c>
      <c r="I200" s="879">
        <v>9045</v>
      </c>
      <c r="J200" s="874">
        <f t="shared" si="40"/>
        <v>25173.1</v>
      </c>
      <c r="K200" s="879">
        <v>23654.799999999999</v>
      </c>
      <c r="L200" s="879">
        <v>1518.3</v>
      </c>
      <c r="M200" s="876">
        <f t="shared" si="41"/>
        <v>16.8</v>
      </c>
      <c r="N200" s="877">
        <f t="shared" si="42"/>
        <v>16.8</v>
      </c>
      <c r="O200" s="877">
        <f t="shared" si="43"/>
        <v>16.8</v>
      </c>
      <c r="P200" s="1065">
        <f t="shared" si="44"/>
        <v>0</v>
      </c>
      <c r="Q200" s="1065">
        <f t="shared" si="44"/>
        <v>0</v>
      </c>
      <c r="R200" s="1065">
        <f t="shared" si="44"/>
        <v>0</v>
      </c>
      <c r="S200" s="1130" t="s">
        <v>936</v>
      </c>
      <c r="T200" s="1100" t="s">
        <v>941</v>
      </c>
      <c r="U200" s="1099">
        <v>414</v>
      </c>
      <c r="V200" s="1099" t="s">
        <v>939</v>
      </c>
    </row>
    <row r="201" spans="1:24" ht="78.75">
      <c r="A201" s="1160" t="s">
        <v>917</v>
      </c>
      <c r="B201" s="990" t="s">
        <v>942</v>
      </c>
      <c r="C201" s="1176"/>
      <c r="D201" s="874">
        <f t="shared" si="45"/>
        <v>34500</v>
      </c>
      <c r="E201" s="879">
        <v>32419.7</v>
      </c>
      <c r="F201" s="879">
        <v>2080.3000000000002</v>
      </c>
      <c r="G201" s="874">
        <f t="shared" si="46"/>
        <v>34500</v>
      </c>
      <c r="H201" s="879">
        <v>32419.7</v>
      </c>
      <c r="I201" s="879">
        <v>2080.3000000000002</v>
      </c>
      <c r="J201" s="874">
        <f t="shared" si="40"/>
        <v>0</v>
      </c>
      <c r="K201" s="879">
        <v>0</v>
      </c>
      <c r="L201" s="879">
        <v>0</v>
      </c>
      <c r="M201" s="876">
        <f t="shared" si="41"/>
        <v>0</v>
      </c>
      <c r="N201" s="877">
        <f t="shared" si="42"/>
        <v>0</v>
      </c>
      <c r="O201" s="877">
        <f t="shared" si="43"/>
        <v>0</v>
      </c>
      <c r="P201" s="1065">
        <f t="shared" si="44"/>
        <v>0</v>
      </c>
      <c r="Q201" s="1065">
        <f t="shared" si="44"/>
        <v>0</v>
      </c>
      <c r="R201" s="1065">
        <f t="shared" si="44"/>
        <v>0</v>
      </c>
      <c r="S201" s="1099" t="s">
        <v>936</v>
      </c>
      <c r="T201" s="1100" t="s">
        <v>943</v>
      </c>
      <c r="U201" s="1099">
        <v>414</v>
      </c>
      <c r="V201" s="1099" t="s">
        <v>939</v>
      </c>
    </row>
    <row r="202" spans="1:24" ht="78.75">
      <c r="A202" s="1160" t="s">
        <v>918</v>
      </c>
      <c r="B202" s="901" t="s">
        <v>462</v>
      </c>
      <c r="C202" s="1185"/>
      <c r="D202" s="874">
        <f t="shared" si="45"/>
        <v>16153.6</v>
      </c>
      <c r="E202" s="879">
        <f>13560+1620.2</f>
        <v>15180.2</v>
      </c>
      <c r="F202" s="879">
        <f>869.4+104</f>
        <v>973.4</v>
      </c>
      <c r="G202" s="874">
        <f t="shared" si="46"/>
        <v>14429.4</v>
      </c>
      <c r="H202" s="879">
        <v>13560</v>
      </c>
      <c r="I202" s="879">
        <v>869.4</v>
      </c>
      <c r="J202" s="874">
        <f t="shared" si="40"/>
        <v>1014.3</v>
      </c>
      <c r="K202" s="879">
        <v>953.1</v>
      </c>
      <c r="L202" s="879">
        <v>61.2</v>
      </c>
      <c r="M202" s="876">
        <f t="shared" si="41"/>
        <v>7</v>
      </c>
      <c r="N202" s="877">
        <f t="shared" si="42"/>
        <v>7</v>
      </c>
      <c r="O202" s="877">
        <f t="shared" si="43"/>
        <v>7</v>
      </c>
      <c r="P202" s="1065">
        <f>D202-G202</f>
        <v>1724.2</v>
      </c>
      <c r="Q202" s="1065">
        <f t="shared" si="44"/>
        <v>1620.2</v>
      </c>
      <c r="R202" s="1065">
        <f t="shared" si="44"/>
        <v>104</v>
      </c>
      <c r="S202" s="1099" t="s">
        <v>936</v>
      </c>
      <c r="T202" s="1100" t="s">
        <v>938</v>
      </c>
      <c r="U202" s="1099">
        <v>414</v>
      </c>
      <c r="V202" s="1099" t="s">
        <v>939</v>
      </c>
    </row>
    <row r="203" spans="1:24" s="515" customFormat="1" ht="52.5">
      <c r="A203" s="2442" t="s">
        <v>1028</v>
      </c>
      <c r="B203" s="900" t="s">
        <v>700</v>
      </c>
      <c r="C203" s="1160"/>
      <c r="D203" s="874">
        <f t="shared" si="45"/>
        <v>18000</v>
      </c>
      <c r="E203" s="879">
        <v>0</v>
      </c>
      <c r="F203" s="879">
        <v>18000</v>
      </c>
      <c r="G203" s="874">
        <f t="shared" si="46"/>
        <v>18000</v>
      </c>
      <c r="H203" s="879">
        <v>0</v>
      </c>
      <c r="I203" s="879">
        <v>18000</v>
      </c>
      <c r="J203" s="874">
        <f t="shared" si="40"/>
        <v>0</v>
      </c>
      <c r="K203" s="879">
        <v>0</v>
      </c>
      <c r="L203" s="879">
        <v>0</v>
      </c>
      <c r="M203" s="876">
        <f t="shared" si="41"/>
        <v>0</v>
      </c>
      <c r="N203" s="877">
        <f t="shared" si="42"/>
        <v>0</v>
      </c>
      <c r="O203" s="877">
        <f t="shared" si="43"/>
        <v>0</v>
      </c>
      <c r="P203" s="1065">
        <f>D203-G203</f>
        <v>0</v>
      </c>
      <c r="Q203" s="1065">
        <f t="shared" si="44"/>
        <v>0</v>
      </c>
      <c r="R203" s="1065">
        <f t="shared" si="44"/>
        <v>0</v>
      </c>
      <c r="S203" s="1099" t="s">
        <v>949</v>
      </c>
      <c r="T203" s="1100" t="s">
        <v>950</v>
      </c>
      <c r="U203" s="1099">
        <v>414</v>
      </c>
      <c r="V203" s="1099">
        <v>14052</v>
      </c>
      <c r="W203" s="1129"/>
      <c r="X203" s="783"/>
    </row>
    <row r="204" spans="1:24" s="515" customFormat="1" ht="52.5">
      <c r="A204" s="2442"/>
      <c r="B204" s="900" t="s">
        <v>699</v>
      </c>
      <c r="C204" s="1160"/>
      <c r="D204" s="874">
        <f t="shared" si="45"/>
        <v>151300</v>
      </c>
      <c r="E204" s="879">
        <v>142200</v>
      </c>
      <c r="F204" s="879">
        <v>9100</v>
      </c>
      <c r="G204" s="874">
        <f t="shared" si="46"/>
        <v>151300</v>
      </c>
      <c r="H204" s="879">
        <v>142200</v>
      </c>
      <c r="I204" s="879">
        <v>9100</v>
      </c>
      <c r="J204" s="874">
        <f t="shared" si="40"/>
        <v>0</v>
      </c>
      <c r="K204" s="879">
        <v>0</v>
      </c>
      <c r="L204" s="879">
        <v>0</v>
      </c>
      <c r="M204" s="876">
        <f t="shared" si="41"/>
        <v>0</v>
      </c>
      <c r="N204" s="877">
        <f t="shared" si="42"/>
        <v>0</v>
      </c>
      <c r="O204" s="877">
        <f t="shared" si="43"/>
        <v>0</v>
      </c>
      <c r="P204" s="1065">
        <f>D204-G204</f>
        <v>0</v>
      </c>
      <c r="Q204" s="1065">
        <f t="shared" si="44"/>
        <v>0</v>
      </c>
      <c r="R204" s="1065">
        <f t="shared" si="44"/>
        <v>0</v>
      </c>
      <c r="S204" s="1099" t="s">
        <v>949</v>
      </c>
      <c r="T204" s="1100" t="s">
        <v>952</v>
      </c>
      <c r="U204" s="1099">
        <v>414</v>
      </c>
      <c r="V204" s="1099" t="s">
        <v>953</v>
      </c>
      <c r="W204" s="1129"/>
      <c r="X204" s="783"/>
    </row>
    <row r="205" spans="1:24" ht="52.5">
      <c r="A205" s="1160" t="s">
        <v>1029</v>
      </c>
      <c r="B205" s="900" t="s">
        <v>461</v>
      </c>
      <c r="C205" s="1160"/>
      <c r="D205" s="874">
        <f t="shared" si="45"/>
        <v>29999.7</v>
      </c>
      <c r="E205" s="879">
        <f>25201.1+2998.27</f>
        <v>28199.4</v>
      </c>
      <c r="F205" s="879">
        <f>1608.9+191.41</f>
        <v>1800.3</v>
      </c>
      <c r="G205" s="874">
        <f t="shared" si="46"/>
        <v>26810</v>
      </c>
      <c r="H205" s="879">
        <v>25201.1</v>
      </c>
      <c r="I205" s="879">
        <v>1608.9</v>
      </c>
      <c r="J205" s="874">
        <f t="shared" si="40"/>
        <v>158.5</v>
      </c>
      <c r="K205" s="879">
        <v>149</v>
      </c>
      <c r="L205" s="879">
        <v>9.5</v>
      </c>
      <c r="M205" s="876">
        <f t="shared" si="41"/>
        <v>0.6</v>
      </c>
      <c r="N205" s="877">
        <f t="shared" si="42"/>
        <v>0.6</v>
      </c>
      <c r="O205" s="877">
        <f t="shared" si="43"/>
        <v>0.6</v>
      </c>
      <c r="P205" s="1065">
        <f>D205-G205</f>
        <v>3189.7</v>
      </c>
      <c r="Q205" s="1065">
        <f t="shared" si="44"/>
        <v>2998.3</v>
      </c>
      <c r="R205" s="1065">
        <f t="shared" si="44"/>
        <v>191.4</v>
      </c>
      <c r="S205" s="1099" t="s">
        <v>954</v>
      </c>
      <c r="T205" s="1100" t="s">
        <v>957</v>
      </c>
      <c r="U205" s="1099">
        <v>414</v>
      </c>
      <c r="V205" s="1099" t="s">
        <v>958</v>
      </c>
    </row>
    <row r="206" spans="1:24" s="914" customFormat="1" ht="75" customHeight="1">
      <c r="A206" s="2401" t="s">
        <v>456</v>
      </c>
      <c r="B206" s="2401"/>
      <c r="C206" s="1167"/>
      <c r="D206" s="917">
        <f t="shared" si="45"/>
        <v>1216852.3999999999</v>
      </c>
      <c r="E206" s="917">
        <f>SUM(E207,E227)</f>
        <v>909500</v>
      </c>
      <c r="F206" s="917">
        <f>SUM(F207,F227)</f>
        <v>307352.40000000002</v>
      </c>
      <c r="G206" s="917">
        <f t="shared" si="46"/>
        <v>1214960.1000000001</v>
      </c>
      <c r="H206" s="917">
        <f>SUM(H207,H227)</f>
        <v>907801.2</v>
      </c>
      <c r="I206" s="917">
        <f>SUM(I207,I227)</f>
        <v>307158.90000000002</v>
      </c>
      <c r="J206" s="917">
        <f t="shared" si="40"/>
        <v>24451.200000000001</v>
      </c>
      <c r="K206" s="917">
        <f>SUM(K207,K227)</f>
        <v>9733.1</v>
      </c>
      <c r="L206" s="917">
        <f>SUM(L207,L227)</f>
        <v>14718.1</v>
      </c>
      <c r="M206" s="918">
        <f t="shared" si="41"/>
        <v>2</v>
      </c>
      <c r="N206" s="920">
        <f t="shared" si="42"/>
        <v>1.1000000000000001</v>
      </c>
      <c r="O206" s="920">
        <f t="shared" si="43"/>
        <v>4.8</v>
      </c>
      <c r="P206" s="1065">
        <f t="shared" ref="P206:R249" si="47">D206-G206</f>
        <v>1892.3</v>
      </c>
      <c r="Q206" s="1065">
        <f t="shared" si="44"/>
        <v>1698.8</v>
      </c>
      <c r="R206" s="1065">
        <f t="shared" si="44"/>
        <v>193.5</v>
      </c>
      <c r="S206" s="1099"/>
      <c r="T206" s="1100"/>
      <c r="U206" s="1099"/>
      <c r="V206" s="1099"/>
      <c r="W206" s="1098"/>
      <c r="X206" s="913"/>
    </row>
    <row r="207" spans="1:24" s="914" customFormat="1" ht="121.5" customHeight="1">
      <c r="A207" s="944" t="s">
        <v>6</v>
      </c>
      <c r="B207" s="925" t="s">
        <v>439</v>
      </c>
      <c r="C207" s="1169"/>
      <c r="D207" s="926">
        <f t="shared" si="45"/>
        <v>134186</v>
      </c>
      <c r="E207" s="926">
        <f>SUM(E208,E221,E223,E225)</f>
        <v>0</v>
      </c>
      <c r="F207" s="926">
        <f>SUM(F208,F221,F223,F225)</f>
        <v>134186</v>
      </c>
      <c r="G207" s="926">
        <f>SUM(H207:I207)</f>
        <v>134186</v>
      </c>
      <c r="H207" s="926">
        <f>SUM(H208,H221,H223,H225)</f>
        <v>0</v>
      </c>
      <c r="I207" s="926">
        <f>SUM(I208,I221,I223,I225)</f>
        <v>134186</v>
      </c>
      <c r="J207" s="926">
        <f t="shared" si="40"/>
        <v>0</v>
      </c>
      <c r="K207" s="926">
        <f>SUM(K208,K221,K223,K225)</f>
        <v>0</v>
      </c>
      <c r="L207" s="926">
        <f>SUM(L208,L221,L223,L225)</f>
        <v>0</v>
      </c>
      <c r="M207" s="927">
        <f t="shared" si="41"/>
        <v>0</v>
      </c>
      <c r="N207" s="928">
        <f t="shared" si="42"/>
        <v>0</v>
      </c>
      <c r="O207" s="928">
        <f t="shared" si="43"/>
        <v>0</v>
      </c>
      <c r="P207" s="1065">
        <f t="shared" si="47"/>
        <v>0</v>
      </c>
      <c r="Q207" s="1065">
        <f t="shared" si="44"/>
        <v>0</v>
      </c>
      <c r="R207" s="1065">
        <f t="shared" si="44"/>
        <v>0</v>
      </c>
      <c r="S207" s="1099"/>
      <c r="T207" s="1100"/>
      <c r="U207" s="1099"/>
      <c r="V207" s="1099"/>
      <c r="W207" s="1098"/>
      <c r="X207" s="913"/>
    </row>
    <row r="208" spans="1:24">
      <c r="A208" s="1160"/>
      <c r="B208" s="898" t="s">
        <v>283</v>
      </c>
      <c r="C208" s="1173"/>
      <c r="D208" s="874">
        <f t="shared" si="45"/>
        <v>127656</v>
      </c>
      <c r="E208" s="875">
        <f>SUM(E209:E220)</f>
        <v>0</v>
      </c>
      <c r="F208" s="875">
        <f>SUM(F209:F220)</f>
        <v>127656</v>
      </c>
      <c r="G208" s="874">
        <f>SUM(H208:I208)</f>
        <v>127656</v>
      </c>
      <c r="H208" s="875">
        <f>SUM(H209:H220)</f>
        <v>0</v>
      </c>
      <c r="I208" s="875">
        <f>SUM(I209:I220)</f>
        <v>127656</v>
      </c>
      <c r="J208" s="874">
        <f t="shared" si="40"/>
        <v>0</v>
      </c>
      <c r="K208" s="875">
        <f>SUM(K209:K220)</f>
        <v>0</v>
      </c>
      <c r="L208" s="875">
        <f>SUM(L209:L220)</f>
        <v>0</v>
      </c>
      <c r="M208" s="876">
        <f t="shared" si="41"/>
        <v>0</v>
      </c>
      <c r="N208" s="877">
        <f t="shared" si="42"/>
        <v>0</v>
      </c>
      <c r="O208" s="877">
        <f t="shared" si="43"/>
        <v>0</v>
      </c>
      <c r="P208" s="1065">
        <f t="shared" si="47"/>
        <v>0</v>
      </c>
      <c r="Q208" s="1065">
        <f t="shared" si="47"/>
        <v>0</v>
      </c>
      <c r="R208" s="1065">
        <f t="shared" si="47"/>
        <v>0</v>
      </c>
    </row>
    <row r="209" spans="1:22" ht="52.5">
      <c r="A209" s="1166" t="s">
        <v>538</v>
      </c>
      <c r="B209" s="1165" t="s">
        <v>1080</v>
      </c>
      <c r="C209" s="895"/>
      <c r="D209" s="874">
        <f t="shared" si="45"/>
        <v>19450</v>
      </c>
      <c r="E209" s="1085">
        <v>0</v>
      </c>
      <c r="F209" s="1085">
        <v>19450</v>
      </c>
      <c r="G209" s="874">
        <f t="shared" si="46"/>
        <v>19450</v>
      </c>
      <c r="H209" s="1085">
        <v>0</v>
      </c>
      <c r="I209" s="1085">
        <v>19450</v>
      </c>
      <c r="J209" s="1083">
        <f t="shared" si="40"/>
        <v>0</v>
      </c>
      <c r="K209" s="1083">
        <v>0</v>
      </c>
      <c r="L209" s="1083">
        <v>0</v>
      </c>
      <c r="M209" s="877">
        <f t="shared" si="41"/>
        <v>0</v>
      </c>
      <c r="N209" s="877">
        <f t="shared" si="42"/>
        <v>0</v>
      </c>
      <c r="O209" s="877">
        <f t="shared" si="43"/>
        <v>0</v>
      </c>
      <c r="P209" s="1065"/>
      <c r="Q209" s="1065"/>
      <c r="R209" s="1065"/>
      <c r="S209" s="1099" t="s">
        <v>999</v>
      </c>
      <c r="T209" s="1100">
        <v>1110243180</v>
      </c>
      <c r="U209" s="1099">
        <v>522</v>
      </c>
      <c r="V209" s="1099" t="s">
        <v>1019</v>
      </c>
    </row>
    <row r="210" spans="1:22" ht="78.75">
      <c r="A210" s="1166" t="s">
        <v>539</v>
      </c>
      <c r="B210" s="1165" t="s">
        <v>1081</v>
      </c>
      <c r="C210" s="895"/>
      <c r="D210" s="874">
        <f>SUM(E210:F210)</f>
        <v>3235</v>
      </c>
      <c r="E210" s="1085">
        <v>0</v>
      </c>
      <c r="F210" s="1085">
        <v>3235</v>
      </c>
      <c r="G210" s="874">
        <f>SUM(H210:I210)</f>
        <v>3235</v>
      </c>
      <c r="H210" s="1085">
        <v>0</v>
      </c>
      <c r="I210" s="1085">
        <v>3235</v>
      </c>
      <c r="J210" s="1083">
        <f>SUM(K210:L210)</f>
        <v>0</v>
      </c>
      <c r="K210" s="1083">
        <v>0</v>
      </c>
      <c r="L210" s="1083">
        <v>0</v>
      </c>
      <c r="M210" s="877">
        <f>IF(J210=0,0,J210/G210*100)</f>
        <v>0</v>
      </c>
      <c r="N210" s="877">
        <f>IF(K210=0,0,K210/H210*100)</f>
        <v>0</v>
      </c>
      <c r="O210" s="877">
        <f>IF(L210=0,0,L210/I210*100)</f>
        <v>0</v>
      </c>
      <c r="P210" s="1065"/>
      <c r="Q210" s="1065"/>
      <c r="R210" s="1065"/>
      <c r="S210" s="1099" t="s">
        <v>999</v>
      </c>
      <c r="T210" s="1100">
        <v>1110243180</v>
      </c>
      <c r="U210" s="1099">
        <v>522</v>
      </c>
      <c r="V210" s="1099" t="s">
        <v>1019</v>
      </c>
    </row>
    <row r="211" spans="1:22" ht="52.5">
      <c r="A211" s="1166" t="s">
        <v>19</v>
      </c>
      <c r="B211" s="1165" t="s">
        <v>1082</v>
      </c>
      <c r="C211" s="895"/>
      <c r="D211" s="874">
        <f t="shared" si="45"/>
        <v>4116</v>
      </c>
      <c r="E211" s="1085">
        <v>0</v>
      </c>
      <c r="F211" s="1085">
        <v>4116</v>
      </c>
      <c r="G211" s="874">
        <f t="shared" si="46"/>
        <v>4116</v>
      </c>
      <c r="H211" s="1085">
        <v>0</v>
      </c>
      <c r="I211" s="1085">
        <v>4116</v>
      </c>
      <c r="J211" s="1083">
        <f t="shared" si="40"/>
        <v>0</v>
      </c>
      <c r="K211" s="1083">
        <v>0</v>
      </c>
      <c r="L211" s="1083">
        <v>0</v>
      </c>
      <c r="M211" s="877">
        <f t="shared" si="41"/>
        <v>0</v>
      </c>
      <c r="N211" s="877">
        <f t="shared" si="42"/>
        <v>0</v>
      </c>
      <c r="O211" s="877">
        <f t="shared" si="43"/>
        <v>0</v>
      </c>
      <c r="P211" s="1065"/>
      <c r="Q211" s="1065"/>
      <c r="R211" s="1065"/>
      <c r="S211" s="1099" t="s">
        <v>999</v>
      </c>
      <c r="T211" s="1100">
        <v>1110243180</v>
      </c>
      <c r="U211" s="1099">
        <v>522</v>
      </c>
      <c r="V211" s="1099" t="s">
        <v>1019</v>
      </c>
    </row>
    <row r="212" spans="1:22" ht="78.75">
      <c r="A212" s="1166" t="s">
        <v>20</v>
      </c>
      <c r="B212" s="1165" t="s">
        <v>1083</v>
      </c>
      <c r="C212" s="895"/>
      <c r="D212" s="874">
        <f>SUM(E212:F212)</f>
        <v>10687</v>
      </c>
      <c r="E212" s="1085">
        <v>0</v>
      </c>
      <c r="F212" s="1085">
        <v>10687</v>
      </c>
      <c r="G212" s="874">
        <f>SUM(H212:I212)</f>
        <v>10687</v>
      </c>
      <c r="H212" s="1085">
        <v>0</v>
      </c>
      <c r="I212" s="1085">
        <v>10687</v>
      </c>
      <c r="J212" s="1083">
        <f>SUM(K212:L212)</f>
        <v>0</v>
      </c>
      <c r="K212" s="1083">
        <v>0</v>
      </c>
      <c r="L212" s="1083">
        <v>0</v>
      </c>
      <c r="M212" s="877">
        <f t="shared" ref="M212:O213" si="48">IF(J212=0,0,J212/G212*100)</f>
        <v>0</v>
      </c>
      <c r="N212" s="877">
        <f t="shared" si="48"/>
        <v>0</v>
      </c>
      <c r="O212" s="877">
        <f t="shared" si="48"/>
        <v>0</v>
      </c>
      <c r="P212" s="1065"/>
      <c r="Q212" s="1065"/>
      <c r="R212" s="1065"/>
      <c r="S212" s="1099" t="s">
        <v>999</v>
      </c>
      <c r="T212" s="1100">
        <v>1110243180</v>
      </c>
      <c r="U212" s="1099">
        <v>522</v>
      </c>
      <c r="V212" s="1099" t="s">
        <v>1019</v>
      </c>
    </row>
    <row r="213" spans="1:22" ht="78.75">
      <c r="A213" s="1166" t="s">
        <v>467</v>
      </c>
      <c r="B213" s="1165" t="s">
        <v>1084</v>
      </c>
      <c r="C213" s="895"/>
      <c r="D213" s="874">
        <f>SUM(E213:F213)</f>
        <v>3822</v>
      </c>
      <c r="E213" s="1085">
        <v>0</v>
      </c>
      <c r="F213" s="1085">
        <v>3822</v>
      </c>
      <c r="G213" s="874">
        <f>SUM(H213:I213)</f>
        <v>3822</v>
      </c>
      <c r="H213" s="1085">
        <v>0</v>
      </c>
      <c r="I213" s="1085">
        <v>3822</v>
      </c>
      <c r="J213" s="1083">
        <f>SUM(K213:L213)</f>
        <v>0</v>
      </c>
      <c r="K213" s="1083">
        <v>0</v>
      </c>
      <c r="L213" s="1083">
        <v>0</v>
      </c>
      <c r="M213" s="877">
        <f t="shared" si="48"/>
        <v>0</v>
      </c>
      <c r="N213" s="877">
        <f t="shared" si="48"/>
        <v>0</v>
      </c>
      <c r="O213" s="877">
        <f t="shared" si="48"/>
        <v>0</v>
      </c>
      <c r="P213" s="1065"/>
      <c r="Q213" s="1065"/>
      <c r="R213" s="1065"/>
      <c r="S213" s="1099" t="s">
        <v>999</v>
      </c>
      <c r="T213" s="1100">
        <v>1110243180</v>
      </c>
      <c r="U213" s="1099">
        <v>522</v>
      </c>
      <c r="V213" s="1099" t="s">
        <v>1019</v>
      </c>
    </row>
    <row r="214" spans="1:22" ht="78.75">
      <c r="A214" s="1166" t="s">
        <v>468</v>
      </c>
      <c r="B214" s="1165" t="s">
        <v>1085</v>
      </c>
      <c r="C214" s="895"/>
      <c r="D214" s="874">
        <f t="shared" si="45"/>
        <v>1176</v>
      </c>
      <c r="E214" s="1085">
        <v>0</v>
      </c>
      <c r="F214" s="1085">
        <v>1176</v>
      </c>
      <c r="G214" s="874">
        <f t="shared" si="46"/>
        <v>1176</v>
      </c>
      <c r="H214" s="1085">
        <v>0</v>
      </c>
      <c r="I214" s="1085">
        <v>1176</v>
      </c>
      <c r="J214" s="1083">
        <f t="shared" si="40"/>
        <v>0</v>
      </c>
      <c r="K214" s="1083">
        <v>0</v>
      </c>
      <c r="L214" s="1083">
        <v>0</v>
      </c>
      <c r="M214" s="877">
        <f t="shared" si="41"/>
        <v>0</v>
      </c>
      <c r="N214" s="877">
        <f t="shared" si="42"/>
        <v>0</v>
      </c>
      <c r="O214" s="877">
        <f t="shared" si="43"/>
        <v>0</v>
      </c>
      <c r="P214" s="1065"/>
      <c r="Q214" s="1065"/>
      <c r="R214" s="1065"/>
      <c r="S214" s="1099" t="s">
        <v>999</v>
      </c>
      <c r="T214" s="1100">
        <v>1110243180</v>
      </c>
      <c r="U214" s="1099">
        <v>522</v>
      </c>
      <c r="V214" s="1099" t="s">
        <v>1019</v>
      </c>
    </row>
    <row r="215" spans="1:22" ht="78.75">
      <c r="A215" s="1166" t="s">
        <v>685</v>
      </c>
      <c r="B215" s="1165" t="s">
        <v>1086</v>
      </c>
      <c r="C215" s="895"/>
      <c r="D215" s="874">
        <f t="shared" ref="D215:D220" si="49">SUM(E215:F215)</f>
        <v>17670</v>
      </c>
      <c r="E215" s="1085">
        <v>0</v>
      </c>
      <c r="F215" s="1085">
        <v>17670</v>
      </c>
      <c r="G215" s="874">
        <f t="shared" ref="G215:G220" si="50">SUM(H215:I215)</f>
        <v>17670</v>
      </c>
      <c r="H215" s="1085">
        <v>0</v>
      </c>
      <c r="I215" s="1085">
        <v>17670</v>
      </c>
      <c r="J215" s="1083">
        <f t="shared" ref="J215:J220" si="51">SUM(K215:L215)</f>
        <v>0</v>
      </c>
      <c r="K215" s="1083">
        <v>0</v>
      </c>
      <c r="L215" s="1083">
        <v>0</v>
      </c>
      <c r="M215" s="877">
        <f t="shared" ref="M215:M220" si="52">IF(J215=0,0,J215/G215*100)</f>
        <v>0</v>
      </c>
      <c r="N215" s="877">
        <f t="shared" ref="N215:N220" si="53">IF(K215=0,0,K215/H215*100)</f>
        <v>0</v>
      </c>
      <c r="O215" s="877">
        <f t="shared" ref="O215:O220" si="54">IF(L215=0,0,L215/I215*100)</f>
        <v>0</v>
      </c>
      <c r="P215" s="1065"/>
      <c r="Q215" s="1065"/>
      <c r="R215" s="1065"/>
      <c r="S215" s="1099" t="s">
        <v>999</v>
      </c>
      <c r="T215" s="1100">
        <v>1110243180</v>
      </c>
      <c r="U215" s="1099">
        <v>522</v>
      </c>
      <c r="V215" s="1099" t="s">
        <v>1019</v>
      </c>
    </row>
    <row r="216" spans="1:22" ht="105">
      <c r="A216" s="1166" t="s">
        <v>687</v>
      </c>
      <c r="B216" s="1165" t="s">
        <v>1087</v>
      </c>
      <c r="C216" s="895"/>
      <c r="D216" s="874">
        <f t="shared" si="49"/>
        <v>20000</v>
      </c>
      <c r="E216" s="1085">
        <v>0</v>
      </c>
      <c r="F216" s="1085">
        <v>20000</v>
      </c>
      <c r="G216" s="874">
        <f t="shared" si="50"/>
        <v>20000</v>
      </c>
      <c r="H216" s="1085">
        <v>0</v>
      </c>
      <c r="I216" s="1085">
        <v>20000</v>
      </c>
      <c r="J216" s="1083">
        <f t="shared" si="51"/>
        <v>0</v>
      </c>
      <c r="K216" s="1083">
        <v>0</v>
      </c>
      <c r="L216" s="1083">
        <v>0</v>
      </c>
      <c r="M216" s="877">
        <f t="shared" si="52"/>
        <v>0</v>
      </c>
      <c r="N216" s="877">
        <f t="shared" si="53"/>
        <v>0</v>
      </c>
      <c r="O216" s="877">
        <f t="shared" si="54"/>
        <v>0</v>
      </c>
      <c r="P216" s="1065"/>
      <c r="Q216" s="1065"/>
      <c r="R216" s="1065"/>
      <c r="S216" s="1099" t="s">
        <v>999</v>
      </c>
      <c r="T216" s="1100">
        <v>1110243180</v>
      </c>
      <c r="U216" s="1099">
        <v>522</v>
      </c>
      <c r="V216" s="1099" t="s">
        <v>1019</v>
      </c>
    </row>
    <row r="217" spans="1:22" ht="78.75">
      <c r="A217" s="1166" t="s">
        <v>686</v>
      </c>
      <c r="B217" s="1165" t="s">
        <v>1088</v>
      </c>
      <c r="C217" s="895"/>
      <c r="D217" s="874">
        <f t="shared" si="49"/>
        <v>15000</v>
      </c>
      <c r="E217" s="1085">
        <v>0</v>
      </c>
      <c r="F217" s="1085">
        <v>15000</v>
      </c>
      <c r="G217" s="874">
        <f t="shared" si="50"/>
        <v>15000</v>
      </c>
      <c r="H217" s="1085">
        <v>0</v>
      </c>
      <c r="I217" s="1085">
        <v>15000</v>
      </c>
      <c r="J217" s="1083">
        <f t="shared" si="51"/>
        <v>0</v>
      </c>
      <c r="K217" s="1083">
        <v>0</v>
      </c>
      <c r="L217" s="1083">
        <v>0</v>
      </c>
      <c r="M217" s="877">
        <f t="shared" si="52"/>
        <v>0</v>
      </c>
      <c r="N217" s="877">
        <f t="shared" si="53"/>
        <v>0</v>
      </c>
      <c r="O217" s="877">
        <f t="shared" si="54"/>
        <v>0</v>
      </c>
      <c r="P217" s="1065"/>
      <c r="Q217" s="1065"/>
      <c r="R217" s="1065"/>
      <c r="S217" s="1099" t="s">
        <v>999</v>
      </c>
      <c r="T217" s="1100">
        <v>1110243180</v>
      </c>
      <c r="U217" s="1099">
        <v>522</v>
      </c>
      <c r="V217" s="1099" t="s">
        <v>1019</v>
      </c>
    </row>
    <row r="218" spans="1:22" ht="78.75">
      <c r="A218" s="1166" t="s">
        <v>688</v>
      </c>
      <c r="B218" s="1165" t="s">
        <v>1089</v>
      </c>
      <c r="C218" s="895"/>
      <c r="D218" s="874">
        <f t="shared" si="49"/>
        <v>9000</v>
      </c>
      <c r="E218" s="1085">
        <v>0</v>
      </c>
      <c r="F218" s="1085">
        <v>9000</v>
      </c>
      <c r="G218" s="874">
        <f t="shared" si="50"/>
        <v>9000</v>
      </c>
      <c r="H218" s="1085">
        <v>0</v>
      </c>
      <c r="I218" s="1085">
        <v>9000</v>
      </c>
      <c r="J218" s="1083">
        <f t="shared" si="51"/>
        <v>0</v>
      </c>
      <c r="K218" s="1083">
        <v>0</v>
      </c>
      <c r="L218" s="1083">
        <v>0</v>
      </c>
      <c r="M218" s="877">
        <f t="shared" si="52"/>
        <v>0</v>
      </c>
      <c r="N218" s="877">
        <f t="shared" si="53"/>
        <v>0</v>
      </c>
      <c r="O218" s="877">
        <f t="shared" si="54"/>
        <v>0</v>
      </c>
      <c r="P218" s="1065"/>
      <c r="Q218" s="1065"/>
      <c r="R218" s="1065"/>
      <c r="S218" s="1099" t="s">
        <v>999</v>
      </c>
      <c r="T218" s="1100">
        <v>1110243180</v>
      </c>
      <c r="U218" s="1099">
        <v>522</v>
      </c>
      <c r="V218" s="1099" t="s">
        <v>1019</v>
      </c>
    </row>
    <row r="219" spans="1:22" ht="78.75">
      <c r="A219" s="1166" t="s">
        <v>98</v>
      </c>
      <c r="B219" s="1165" t="s">
        <v>1090</v>
      </c>
      <c r="C219" s="895"/>
      <c r="D219" s="874">
        <f t="shared" si="49"/>
        <v>3500</v>
      </c>
      <c r="E219" s="1085">
        <v>0</v>
      </c>
      <c r="F219" s="1085">
        <v>3500</v>
      </c>
      <c r="G219" s="874">
        <f t="shared" si="50"/>
        <v>3500</v>
      </c>
      <c r="H219" s="1085">
        <v>0</v>
      </c>
      <c r="I219" s="1085">
        <v>3500</v>
      </c>
      <c r="J219" s="1083">
        <f t="shared" si="51"/>
        <v>0</v>
      </c>
      <c r="K219" s="1083">
        <v>0</v>
      </c>
      <c r="L219" s="1083">
        <v>0</v>
      </c>
      <c r="M219" s="877">
        <f t="shared" si="52"/>
        <v>0</v>
      </c>
      <c r="N219" s="877">
        <f t="shared" si="53"/>
        <v>0</v>
      </c>
      <c r="O219" s="877">
        <f t="shared" si="54"/>
        <v>0</v>
      </c>
      <c r="P219" s="1065"/>
      <c r="Q219" s="1065"/>
      <c r="R219" s="1065"/>
      <c r="S219" s="1099" t="s">
        <v>999</v>
      </c>
      <c r="T219" s="1100">
        <v>1110243180</v>
      </c>
      <c r="U219" s="1099">
        <v>522</v>
      </c>
      <c r="V219" s="1099" t="s">
        <v>1019</v>
      </c>
    </row>
    <row r="220" spans="1:22" ht="78.75">
      <c r="A220" s="1166" t="s">
        <v>99</v>
      </c>
      <c r="B220" s="1165" t="s">
        <v>1090</v>
      </c>
      <c r="C220" s="895"/>
      <c r="D220" s="874">
        <f t="shared" si="49"/>
        <v>20000</v>
      </c>
      <c r="E220" s="1085">
        <v>0</v>
      </c>
      <c r="F220" s="1085">
        <v>20000</v>
      </c>
      <c r="G220" s="874">
        <f t="shared" si="50"/>
        <v>20000</v>
      </c>
      <c r="H220" s="1085">
        <v>0</v>
      </c>
      <c r="I220" s="1085">
        <v>20000</v>
      </c>
      <c r="J220" s="1083">
        <f t="shared" si="51"/>
        <v>0</v>
      </c>
      <c r="K220" s="1083">
        <v>0</v>
      </c>
      <c r="L220" s="1083">
        <v>0</v>
      </c>
      <c r="M220" s="877">
        <f t="shared" si="52"/>
        <v>0</v>
      </c>
      <c r="N220" s="877">
        <f t="shared" si="53"/>
        <v>0</v>
      </c>
      <c r="O220" s="877">
        <f t="shared" si="54"/>
        <v>0</v>
      </c>
      <c r="P220" s="1065"/>
      <c r="Q220" s="1065"/>
      <c r="R220" s="1065"/>
      <c r="S220" s="1099" t="s">
        <v>999</v>
      </c>
      <c r="T220" s="1100">
        <v>1110243180</v>
      </c>
      <c r="U220" s="1099">
        <v>522</v>
      </c>
      <c r="V220" s="1099" t="s">
        <v>1019</v>
      </c>
    </row>
    <row r="221" spans="1:22" ht="37.5" customHeight="1">
      <c r="A221" s="1160"/>
      <c r="B221" s="898" t="s">
        <v>457</v>
      </c>
      <c r="C221" s="1173"/>
      <c r="D221" s="874">
        <f t="shared" si="45"/>
        <v>1325</v>
      </c>
      <c r="E221" s="875">
        <f>SUM(E222)</f>
        <v>0</v>
      </c>
      <c r="F221" s="875">
        <f>SUM(F222)</f>
        <v>1325</v>
      </c>
      <c r="G221" s="874">
        <f t="shared" si="46"/>
        <v>1325</v>
      </c>
      <c r="H221" s="875">
        <f>SUM(H222)</f>
        <v>0</v>
      </c>
      <c r="I221" s="875">
        <f>SUM(I222)</f>
        <v>1325</v>
      </c>
      <c r="J221" s="874">
        <f t="shared" si="40"/>
        <v>0</v>
      </c>
      <c r="K221" s="875">
        <f>SUM(K222)</f>
        <v>0</v>
      </c>
      <c r="L221" s="875">
        <f>SUM(L222)</f>
        <v>0</v>
      </c>
      <c r="M221" s="882">
        <f t="shared" si="41"/>
        <v>0</v>
      </c>
      <c r="N221" s="875">
        <f t="shared" si="42"/>
        <v>0</v>
      </c>
      <c r="O221" s="875">
        <f t="shared" si="43"/>
        <v>0</v>
      </c>
      <c r="P221" s="1065">
        <f t="shared" ref="P221:R225" si="55">D221-G221</f>
        <v>0</v>
      </c>
      <c r="Q221" s="1065">
        <f t="shared" si="55"/>
        <v>0</v>
      </c>
      <c r="R221" s="1065">
        <f t="shared" si="55"/>
        <v>0</v>
      </c>
    </row>
    <row r="222" spans="1:22" ht="105">
      <c r="A222" s="1166" t="s">
        <v>100</v>
      </c>
      <c r="B222" s="1165" t="s">
        <v>1093</v>
      </c>
      <c r="C222" s="895"/>
      <c r="D222" s="1083">
        <f t="shared" si="45"/>
        <v>1325</v>
      </c>
      <c r="E222" s="879">
        <v>0</v>
      </c>
      <c r="F222" s="879">
        <v>1325</v>
      </c>
      <c r="G222" s="1083">
        <f t="shared" si="46"/>
        <v>1325</v>
      </c>
      <c r="H222" s="879">
        <v>0</v>
      </c>
      <c r="I222" s="879">
        <v>1325</v>
      </c>
      <c r="J222" s="1083">
        <f t="shared" si="40"/>
        <v>0</v>
      </c>
      <c r="K222" s="879">
        <v>0</v>
      </c>
      <c r="L222" s="879">
        <v>0</v>
      </c>
      <c r="M222" s="877">
        <f t="shared" si="41"/>
        <v>0</v>
      </c>
      <c r="N222" s="877">
        <f t="shared" si="42"/>
        <v>0</v>
      </c>
      <c r="O222" s="877">
        <f t="shared" si="43"/>
        <v>0</v>
      </c>
      <c r="P222" s="1065">
        <f t="shared" si="55"/>
        <v>0</v>
      </c>
      <c r="Q222" s="1065">
        <f t="shared" si="55"/>
        <v>0</v>
      </c>
      <c r="R222" s="1065">
        <f t="shared" si="55"/>
        <v>0</v>
      </c>
      <c r="S222" s="1099" t="s">
        <v>999</v>
      </c>
      <c r="T222" s="1100">
        <v>1110243180</v>
      </c>
      <c r="U222" s="1099">
        <v>522</v>
      </c>
      <c r="V222" s="1099" t="s">
        <v>1019</v>
      </c>
    </row>
    <row r="223" spans="1:22" ht="34.5" customHeight="1">
      <c r="A223" s="991"/>
      <c r="B223" s="898" t="s">
        <v>68</v>
      </c>
      <c r="C223" s="1173"/>
      <c r="D223" s="874">
        <f t="shared" si="45"/>
        <v>671</v>
      </c>
      <c r="E223" s="875">
        <f>SUM(E224)</f>
        <v>0</v>
      </c>
      <c r="F223" s="875">
        <f>SUM(F224)</f>
        <v>671</v>
      </c>
      <c r="G223" s="874">
        <f t="shared" si="46"/>
        <v>671</v>
      </c>
      <c r="H223" s="875">
        <f>SUM(H224)</f>
        <v>0</v>
      </c>
      <c r="I223" s="875">
        <f>SUM(I224)</f>
        <v>671</v>
      </c>
      <c r="J223" s="874">
        <f t="shared" si="40"/>
        <v>0</v>
      </c>
      <c r="K223" s="875">
        <f>SUM(K224)</f>
        <v>0</v>
      </c>
      <c r="L223" s="875">
        <f>SUM(L224)</f>
        <v>0</v>
      </c>
      <c r="M223" s="876">
        <f t="shared" si="41"/>
        <v>0</v>
      </c>
      <c r="N223" s="877">
        <f t="shared" si="42"/>
        <v>0</v>
      </c>
      <c r="O223" s="877">
        <f t="shared" si="43"/>
        <v>0</v>
      </c>
      <c r="P223" s="1065">
        <f t="shared" si="55"/>
        <v>0</v>
      </c>
      <c r="Q223" s="1065">
        <f t="shared" si="55"/>
        <v>0</v>
      </c>
      <c r="R223" s="1065">
        <f t="shared" si="55"/>
        <v>0</v>
      </c>
    </row>
    <row r="224" spans="1:22" ht="105">
      <c r="A224" s="1166" t="s">
        <v>101</v>
      </c>
      <c r="B224" s="1165" t="s">
        <v>1091</v>
      </c>
      <c r="C224" s="895"/>
      <c r="D224" s="1083">
        <f t="shared" si="45"/>
        <v>671</v>
      </c>
      <c r="E224" s="1085">
        <v>0</v>
      </c>
      <c r="F224" s="1085">
        <v>671</v>
      </c>
      <c r="G224" s="1083">
        <f t="shared" si="46"/>
        <v>671</v>
      </c>
      <c r="H224" s="1085">
        <v>0</v>
      </c>
      <c r="I224" s="1085">
        <v>671</v>
      </c>
      <c r="J224" s="1083">
        <f t="shared" si="40"/>
        <v>0</v>
      </c>
      <c r="K224" s="1083">
        <v>0</v>
      </c>
      <c r="L224" s="1083">
        <v>0</v>
      </c>
      <c r="M224" s="877">
        <f t="shared" si="41"/>
        <v>0</v>
      </c>
      <c r="N224" s="877">
        <f t="shared" si="42"/>
        <v>0</v>
      </c>
      <c r="O224" s="877">
        <f t="shared" si="43"/>
        <v>0</v>
      </c>
      <c r="P224" s="1065">
        <f t="shared" si="55"/>
        <v>0</v>
      </c>
      <c r="Q224" s="1065">
        <f t="shared" si="55"/>
        <v>0</v>
      </c>
      <c r="R224" s="1065">
        <f t="shared" si="55"/>
        <v>0</v>
      </c>
      <c r="S224" s="1099" t="s">
        <v>999</v>
      </c>
      <c r="T224" s="1100">
        <v>1110243180</v>
      </c>
      <c r="U224" s="1099">
        <v>522</v>
      </c>
      <c r="V224" s="1099" t="s">
        <v>1019</v>
      </c>
    </row>
    <row r="225" spans="1:24" ht="34.5" customHeight="1">
      <c r="A225" s="1166"/>
      <c r="B225" s="898" t="s">
        <v>431</v>
      </c>
      <c r="C225" s="1173"/>
      <c r="D225" s="874">
        <f t="shared" si="45"/>
        <v>4534</v>
      </c>
      <c r="E225" s="875">
        <f>SUM(E226)</f>
        <v>0</v>
      </c>
      <c r="F225" s="875">
        <f>SUM(F226)</f>
        <v>4534</v>
      </c>
      <c r="G225" s="874">
        <f t="shared" si="46"/>
        <v>4534</v>
      </c>
      <c r="H225" s="875">
        <f>SUM(H226)</f>
        <v>0</v>
      </c>
      <c r="I225" s="875">
        <f>SUM(I226)</f>
        <v>4534</v>
      </c>
      <c r="J225" s="874">
        <f t="shared" si="40"/>
        <v>0</v>
      </c>
      <c r="K225" s="875">
        <f>SUM(K226)</f>
        <v>0</v>
      </c>
      <c r="L225" s="875">
        <f>SUM(L226)</f>
        <v>0</v>
      </c>
      <c r="M225" s="876">
        <f t="shared" si="41"/>
        <v>0</v>
      </c>
      <c r="N225" s="877">
        <f t="shared" si="42"/>
        <v>0</v>
      </c>
      <c r="O225" s="877">
        <f t="shared" si="43"/>
        <v>0</v>
      </c>
      <c r="P225" s="1065">
        <f t="shared" si="55"/>
        <v>0</v>
      </c>
      <c r="Q225" s="1065">
        <f t="shared" si="55"/>
        <v>0</v>
      </c>
      <c r="R225" s="1065">
        <f t="shared" si="55"/>
        <v>0</v>
      </c>
    </row>
    <row r="226" spans="1:24" ht="131.25">
      <c r="A226" s="1166" t="s">
        <v>102</v>
      </c>
      <c r="B226" s="1165" t="s">
        <v>1092</v>
      </c>
      <c r="C226" s="895"/>
      <c r="D226" s="1083">
        <f t="shared" si="45"/>
        <v>4534</v>
      </c>
      <c r="E226" s="1085">
        <v>0</v>
      </c>
      <c r="F226" s="1085">
        <v>4534</v>
      </c>
      <c r="G226" s="1083">
        <f t="shared" si="46"/>
        <v>4534</v>
      </c>
      <c r="H226" s="1085">
        <v>0</v>
      </c>
      <c r="I226" s="1085">
        <v>4534</v>
      </c>
      <c r="J226" s="1083">
        <f t="shared" si="40"/>
        <v>0</v>
      </c>
      <c r="K226" s="1083">
        <v>0</v>
      </c>
      <c r="L226" s="1083">
        <v>0</v>
      </c>
      <c r="M226" s="877">
        <f t="shared" si="41"/>
        <v>0</v>
      </c>
      <c r="N226" s="877">
        <f t="shared" si="42"/>
        <v>0</v>
      </c>
      <c r="O226" s="877">
        <f t="shared" si="43"/>
        <v>0</v>
      </c>
      <c r="P226" s="1065"/>
      <c r="Q226" s="1065"/>
      <c r="R226" s="1065"/>
      <c r="S226" s="1099" t="s">
        <v>999</v>
      </c>
      <c r="T226" s="1100">
        <v>1110243180</v>
      </c>
      <c r="U226" s="1099">
        <v>522</v>
      </c>
      <c r="V226" s="1099" t="s">
        <v>1019</v>
      </c>
    </row>
    <row r="227" spans="1:24" s="914" customFormat="1" ht="87.75" customHeight="1">
      <c r="A227" s="945" t="s">
        <v>2</v>
      </c>
      <c r="B227" s="925" t="s">
        <v>222</v>
      </c>
      <c r="C227" s="1169"/>
      <c r="D227" s="926">
        <f t="shared" si="45"/>
        <v>1082666.3999999999</v>
      </c>
      <c r="E227" s="926">
        <f>SUM(E228,E245)</f>
        <v>909500</v>
      </c>
      <c r="F227" s="926">
        <f>SUM(F228,F245)</f>
        <v>173166.4</v>
      </c>
      <c r="G227" s="926">
        <f t="shared" si="46"/>
        <v>1080774.1000000001</v>
      </c>
      <c r="H227" s="926">
        <f>SUM(H228,H245)</f>
        <v>907801.2</v>
      </c>
      <c r="I227" s="926">
        <f>SUM(I228,I245)</f>
        <v>172972.9</v>
      </c>
      <c r="J227" s="926">
        <f t="shared" si="40"/>
        <v>24451.200000000001</v>
      </c>
      <c r="K227" s="926">
        <f>SUM(K228,K245)</f>
        <v>9733.1</v>
      </c>
      <c r="L227" s="926">
        <f>SUM(L228,L245)</f>
        <v>14718.1</v>
      </c>
      <c r="M227" s="927">
        <f t="shared" si="41"/>
        <v>2.2999999999999998</v>
      </c>
      <c r="N227" s="928">
        <f t="shared" si="42"/>
        <v>1.1000000000000001</v>
      </c>
      <c r="O227" s="928">
        <f t="shared" si="43"/>
        <v>8.5</v>
      </c>
      <c r="P227" s="1065">
        <f t="shared" si="47"/>
        <v>1892.3</v>
      </c>
      <c r="Q227" s="1065">
        <f t="shared" si="47"/>
        <v>1698.8</v>
      </c>
      <c r="R227" s="1065">
        <f t="shared" si="47"/>
        <v>193.5</v>
      </c>
      <c r="S227" s="1099"/>
      <c r="T227" s="1100"/>
      <c r="U227" s="1099"/>
      <c r="V227" s="1099"/>
      <c r="W227" s="1098"/>
      <c r="X227" s="913"/>
    </row>
    <row r="228" spans="1:24" s="914" customFormat="1" ht="63.75" customHeight="1">
      <c r="A228" s="944" t="s">
        <v>246</v>
      </c>
      <c r="B228" s="932" t="s">
        <v>41</v>
      </c>
      <c r="C228" s="1182"/>
      <c r="D228" s="933">
        <f>E228+F228</f>
        <v>967706.4</v>
      </c>
      <c r="E228" s="933">
        <f>SUM(E243,E229)</f>
        <v>909500</v>
      </c>
      <c r="F228" s="933">
        <f>SUM(F243,F229)</f>
        <v>58206.400000000001</v>
      </c>
      <c r="G228" s="933">
        <f>H228+I228</f>
        <v>965814.1</v>
      </c>
      <c r="H228" s="933">
        <f>SUM(H243,H229)</f>
        <v>907801.2</v>
      </c>
      <c r="I228" s="933">
        <f>SUM(I243,I229)</f>
        <v>58012.9</v>
      </c>
      <c r="J228" s="933">
        <f>K228+L228</f>
        <v>10355.299999999999</v>
      </c>
      <c r="K228" s="933">
        <f>SUM(K243,K229)</f>
        <v>9733.1</v>
      </c>
      <c r="L228" s="933">
        <f>SUM(L243,L229)</f>
        <v>622.20000000000005</v>
      </c>
      <c r="M228" s="935">
        <f t="shared" si="41"/>
        <v>1.1000000000000001</v>
      </c>
      <c r="N228" s="936">
        <f t="shared" si="42"/>
        <v>1.1000000000000001</v>
      </c>
      <c r="O228" s="936">
        <f t="shared" si="43"/>
        <v>1.1000000000000001</v>
      </c>
      <c r="P228" s="1065">
        <f t="shared" si="47"/>
        <v>1892.3</v>
      </c>
      <c r="Q228" s="1065">
        <f t="shared" si="47"/>
        <v>1698.8</v>
      </c>
      <c r="R228" s="1065">
        <f t="shared" si="47"/>
        <v>193.5</v>
      </c>
      <c r="S228" s="1099"/>
      <c r="T228" s="1100"/>
      <c r="U228" s="1099"/>
      <c r="V228" s="1099"/>
      <c r="W228" s="1098"/>
      <c r="X228" s="913"/>
    </row>
    <row r="229" spans="1:24" s="959" customFormat="1" ht="59.25" customHeight="1">
      <c r="A229" s="957" t="s">
        <v>247</v>
      </c>
      <c r="B229" s="1054" t="s">
        <v>446</v>
      </c>
      <c r="C229" s="1192"/>
      <c r="D229" s="1055">
        <f>SUM(E229:F229)</f>
        <v>907600</v>
      </c>
      <c r="E229" s="1056">
        <f>SUM(E230:E242)</f>
        <v>853000</v>
      </c>
      <c r="F229" s="1056">
        <f>SUM(F230:F242)</f>
        <v>54600</v>
      </c>
      <c r="G229" s="1051">
        <f t="shared" ref="G229:G248" si="56">SUM(H229:I229)</f>
        <v>905707.7</v>
      </c>
      <c r="H229" s="1056">
        <f>SUM(H231:H242)</f>
        <v>851301.2</v>
      </c>
      <c r="I229" s="1056">
        <f>SUM(I231:I242)</f>
        <v>54406.5</v>
      </c>
      <c r="J229" s="1051">
        <f t="shared" ref="J229:J248" si="57">SUM(K229:L229)</f>
        <v>10355.299999999999</v>
      </c>
      <c r="K229" s="1056">
        <f>SUM(K231:K242)</f>
        <v>9733.1</v>
      </c>
      <c r="L229" s="1056">
        <f>SUM(L231:L242)</f>
        <v>622.20000000000005</v>
      </c>
      <c r="M229" s="1053">
        <f t="shared" si="41"/>
        <v>1.1000000000000001</v>
      </c>
      <c r="N229" s="1053">
        <f t="shared" si="42"/>
        <v>1.1000000000000001</v>
      </c>
      <c r="O229" s="1053">
        <f t="shared" si="43"/>
        <v>1.1000000000000001</v>
      </c>
      <c r="P229" s="1065">
        <f t="shared" si="47"/>
        <v>1892.3</v>
      </c>
      <c r="Q229" s="1065">
        <f t="shared" si="47"/>
        <v>1698.8</v>
      </c>
      <c r="R229" s="1065">
        <f t="shared" si="47"/>
        <v>193.5</v>
      </c>
      <c r="S229" s="1099"/>
      <c r="T229" s="1100"/>
      <c r="U229" s="1099"/>
      <c r="V229" s="1099"/>
      <c r="W229" s="1115"/>
      <c r="X229" s="1116"/>
    </row>
    <row r="230" spans="1:24" s="959" customFormat="1">
      <c r="A230" s="895"/>
      <c r="B230" s="937" t="s">
        <v>1000</v>
      </c>
      <c r="C230" s="1186"/>
      <c r="D230" s="871">
        <f>SUM(E230:F230)</f>
        <v>1892.3</v>
      </c>
      <c r="E230" s="884">
        <v>1698.8</v>
      </c>
      <c r="F230" s="887">
        <v>193.5</v>
      </c>
      <c r="G230" s="874">
        <f>H230+I230</f>
        <v>0</v>
      </c>
      <c r="H230" s="887">
        <v>0</v>
      </c>
      <c r="I230" s="887">
        <v>0</v>
      </c>
      <c r="J230" s="874">
        <f>SUM(K230:L230)</f>
        <v>0</v>
      </c>
      <c r="K230" s="884">
        <v>0</v>
      </c>
      <c r="L230" s="887">
        <v>0</v>
      </c>
      <c r="M230" s="876">
        <f t="shared" si="41"/>
        <v>0</v>
      </c>
      <c r="N230" s="877">
        <f t="shared" si="42"/>
        <v>0</v>
      </c>
      <c r="O230" s="877">
        <f t="shared" si="43"/>
        <v>0</v>
      </c>
      <c r="P230" s="1065"/>
      <c r="Q230" s="1065"/>
      <c r="R230" s="1065"/>
      <c r="S230" s="1099" t="s">
        <v>999</v>
      </c>
      <c r="T230" s="1100" t="s">
        <v>1001</v>
      </c>
      <c r="U230" s="1099">
        <v>414</v>
      </c>
      <c r="V230" s="1099"/>
      <c r="W230" s="1115"/>
      <c r="X230" s="1116"/>
    </row>
    <row r="231" spans="1:24" ht="52.5" customHeight="1">
      <c r="A231" s="895">
        <v>1</v>
      </c>
      <c r="B231" s="937" t="s">
        <v>668</v>
      </c>
      <c r="C231" s="1186"/>
      <c r="D231" s="871">
        <f t="shared" ref="D231:D248" si="58">SUM(E231:F231)</f>
        <v>452152</v>
      </c>
      <c r="E231" s="884">
        <v>425019.2</v>
      </c>
      <c r="F231" s="887">
        <v>27132.799999999999</v>
      </c>
      <c r="G231" s="874">
        <f>H231+I231</f>
        <v>452152</v>
      </c>
      <c r="H231" s="887">
        <f>E231</f>
        <v>425019.2</v>
      </c>
      <c r="I231" s="887">
        <f>F231</f>
        <v>27132.799999999999</v>
      </c>
      <c r="J231" s="874">
        <f>SUM(K231:L231)</f>
        <v>188.7</v>
      </c>
      <c r="K231" s="884">
        <v>177.4</v>
      </c>
      <c r="L231" s="887">
        <v>11.3</v>
      </c>
      <c r="M231" s="876">
        <f t="shared" ref="M231:M248" si="59">IF(J231=0,0,J231/G231*100)</f>
        <v>0</v>
      </c>
      <c r="N231" s="877">
        <f t="shared" ref="N231:N248" si="60">IF(K231=0,0,K231/H231*100)</f>
        <v>0</v>
      </c>
      <c r="O231" s="877">
        <f t="shared" ref="O231:O248" si="61">IF(L231=0,0,L231/I231*100)</f>
        <v>0</v>
      </c>
      <c r="P231" s="1065">
        <f t="shared" si="47"/>
        <v>0</v>
      </c>
      <c r="Q231" s="1065">
        <f t="shared" si="47"/>
        <v>0</v>
      </c>
      <c r="R231" s="1065">
        <f t="shared" si="47"/>
        <v>0</v>
      </c>
      <c r="S231" s="1099" t="s">
        <v>999</v>
      </c>
      <c r="T231" s="1100" t="s">
        <v>1005</v>
      </c>
      <c r="U231" s="1099">
        <v>414</v>
      </c>
      <c r="V231" s="1099" t="s">
        <v>1006</v>
      </c>
    </row>
    <row r="232" spans="1:24" ht="52.5">
      <c r="A232" s="895">
        <v>2</v>
      </c>
      <c r="B232" s="1163" t="s">
        <v>470</v>
      </c>
      <c r="C232" s="895"/>
      <c r="D232" s="871">
        <f t="shared" si="58"/>
        <v>50107.7</v>
      </c>
      <c r="E232" s="887">
        <v>47101.2</v>
      </c>
      <c r="F232" s="887">
        <v>3006.5</v>
      </c>
      <c r="G232" s="871">
        <f t="shared" si="56"/>
        <v>50107.7</v>
      </c>
      <c r="H232" s="887">
        <v>47101.2</v>
      </c>
      <c r="I232" s="887">
        <v>3006.5</v>
      </c>
      <c r="J232" s="871">
        <f t="shared" si="57"/>
        <v>4796.7</v>
      </c>
      <c r="K232" s="887">
        <v>4508.8999999999996</v>
      </c>
      <c r="L232" s="887">
        <v>287.8</v>
      </c>
      <c r="M232" s="872">
        <f t="shared" si="59"/>
        <v>9.6</v>
      </c>
      <c r="N232" s="873">
        <f t="shared" si="60"/>
        <v>9.6</v>
      </c>
      <c r="O232" s="873">
        <f t="shared" si="61"/>
        <v>9.6</v>
      </c>
      <c r="P232" s="1065">
        <f t="shared" si="47"/>
        <v>0</v>
      </c>
      <c r="Q232" s="1065">
        <f t="shared" si="47"/>
        <v>0</v>
      </c>
      <c r="R232" s="1065">
        <f t="shared" si="47"/>
        <v>0</v>
      </c>
      <c r="S232" s="1099" t="s">
        <v>999</v>
      </c>
      <c r="T232" s="1100" t="s">
        <v>1010</v>
      </c>
      <c r="U232" s="1099">
        <v>414</v>
      </c>
      <c r="V232" s="1099" t="s">
        <v>1011</v>
      </c>
    </row>
    <row r="233" spans="1:24" ht="78.75">
      <c r="A233" s="895">
        <v>3</v>
      </c>
      <c r="B233" s="1163" t="s">
        <v>622</v>
      </c>
      <c r="C233" s="895"/>
      <c r="D233" s="871">
        <f>SUM(E233:F233)</f>
        <v>64810.2</v>
      </c>
      <c r="E233" s="887">
        <v>60910.9</v>
      </c>
      <c r="F233" s="887">
        <v>3899.3</v>
      </c>
      <c r="G233" s="871">
        <f>SUM(H233:I233)</f>
        <v>64810.2</v>
      </c>
      <c r="H233" s="887">
        <f t="shared" ref="H233:I240" si="62">E233</f>
        <v>60910.9</v>
      </c>
      <c r="I233" s="887">
        <f t="shared" si="62"/>
        <v>3899.3</v>
      </c>
      <c r="J233" s="871">
        <f>SUM(K233:L233)</f>
        <v>0</v>
      </c>
      <c r="K233" s="887"/>
      <c r="L233" s="887"/>
      <c r="M233" s="872">
        <f t="shared" si="59"/>
        <v>0</v>
      </c>
      <c r="N233" s="873">
        <f t="shared" si="60"/>
        <v>0</v>
      </c>
      <c r="O233" s="873">
        <f t="shared" si="61"/>
        <v>0</v>
      </c>
      <c r="P233" s="1065">
        <f t="shared" si="47"/>
        <v>0</v>
      </c>
      <c r="Q233" s="1065">
        <f t="shared" si="47"/>
        <v>0</v>
      </c>
      <c r="R233" s="1065">
        <f t="shared" si="47"/>
        <v>0</v>
      </c>
      <c r="S233" s="1099" t="s">
        <v>999</v>
      </c>
      <c r="T233" s="1100" t="s">
        <v>1016</v>
      </c>
      <c r="U233" s="1099">
        <v>414</v>
      </c>
      <c r="V233" s="1099" t="s">
        <v>1004</v>
      </c>
    </row>
    <row r="234" spans="1:24" ht="78.75">
      <c r="A234" s="895">
        <v>4</v>
      </c>
      <c r="B234" s="1163" t="s">
        <v>837</v>
      </c>
      <c r="C234" s="895"/>
      <c r="D234" s="871">
        <f t="shared" si="58"/>
        <v>38427.4</v>
      </c>
      <c r="E234" s="887">
        <v>36115.4</v>
      </c>
      <c r="F234" s="887">
        <v>2312</v>
      </c>
      <c r="G234" s="871">
        <f t="shared" si="56"/>
        <v>38427.4</v>
      </c>
      <c r="H234" s="887">
        <f t="shared" si="62"/>
        <v>36115.4</v>
      </c>
      <c r="I234" s="887">
        <f t="shared" si="62"/>
        <v>2312</v>
      </c>
      <c r="J234" s="871">
        <f t="shared" si="57"/>
        <v>0</v>
      </c>
      <c r="K234" s="887"/>
      <c r="L234" s="887"/>
      <c r="M234" s="872">
        <f t="shared" si="59"/>
        <v>0</v>
      </c>
      <c r="N234" s="873">
        <f t="shared" si="60"/>
        <v>0</v>
      </c>
      <c r="O234" s="873">
        <f t="shared" si="61"/>
        <v>0</v>
      </c>
      <c r="P234" s="1065">
        <f t="shared" si="47"/>
        <v>0</v>
      </c>
      <c r="Q234" s="1065">
        <f t="shared" si="47"/>
        <v>0</v>
      </c>
      <c r="R234" s="1065">
        <f t="shared" si="47"/>
        <v>0</v>
      </c>
      <c r="S234" s="1099" t="s">
        <v>999</v>
      </c>
      <c r="T234" s="1100" t="s">
        <v>1015</v>
      </c>
      <c r="U234" s="1099">
        <v>414</v>
      </c>
      <c r="V234" s="1099" t="s">
        <v>1004</v>
      </c>
    </row>
    <row r="235" spans="1:24" ht="78.75">
      <c r="A235" s="895">
        <v>5</v>
      </c>
      <c r="B235" s="1163" t="s">
        <v>620</v>
      </c>
      <c r="C235" s="895"/>
      <c r="D235" s="871">
        <f>SUM(E235:F235)</f>
        <v>115978.8</v>
      </c>
      <c r="E235" s="887">
        <v>109001</v>
      </c>
      <c r="F235" s="887">
        <v>6977.8</v>
      </c>
      <c r="G235" s="871">
        <f>SUM(H235:I235)</f>
        <v>115978.8</v>
      </c>
      <c r="H235" s="887">
        <f t="shared" si="62"/>
        <v>109001</v>
      </c>
      <c r="I235" s="887">
        <f t="shared" si="62"/>
        <v>6977.8</v>
      </c>
      <c r="J235" s="871">
        <f>SUM(K235:L235)</f>
        <v>0</v>
      </c>
      <c r="K235" s="887"/>
      <c r="L235" s="887"/>
      <c r="M235" s="872">
        <f t="shared" si="59"/>
        <v>0</v>
      </c>
      <c r="N235" s="873">
        <f t="shared" si="60"/>
        <v>0</v>
      </c>
      <c r="O235" s="873">
        <f t="shared" si="61"/>
        <v>0</v>
      </c>
      <c r="P235" s="1065">
        <f t="shared" si="47"/>
        <v>0</v>
      </c>
      <c r="Q235" s="1065">
        <f t="shared" si="47"/>
        <v>0</v>
      </c>
      <c r="R235" s="1065">
        <f t="shared" si="47"/>
        <v>0</v>
      </c>
      <c r="S235" s="1099" t="s">
        <v>999</v>
      </c>
      <c r="T235" s="1100" t="s">
        <v>1014</v>
      </c>
      <c r="U235" s="1099">
        <v>414</v>
      </c>
      <c r="V235" s="1099" t="s">
        <v>1004</v>
      </c>
    </row>
    <row r="236" spans="1:24" ht="52.5">
      <c r="A236" s="895">
        <v>6</v>
      </c>
      <c r="B236" s="1163" t="s">
        <v>471</v>
      </c>
      <c r="C236" s="895"/>
      <c r="D236" s="871">
        <f t="shared" si="58"/>
        <v>9500</v>
      </c>
      <c r="E236" s="887">
        <v>8928.4</v>
      </c>
      <c r="F236" s="887">
        <v>571.6</v>
      </c>
      <c r="G236" s="871">
        <f t="shared" si="56"/>
        <v>9500</v>
      </c>
      <c r="H236" s="887">
        <f t="shared" si="62"/>
        <v>8928.4</v>
      </c>
      <c r="I236" s="887">
        <f t="shared" si="62"/>
        <v>571.6</v>
      </c>
      <c r="J236" s="871">
        <f t="shared" si="57"/>
        <v>603.4</v>
      </c>
      <c r="K236" s="887">
        <v>567.1</v>
      </c>
      <c r="L236" s="887">
        <v>36.299999999999997</v>
      </c>
      <c r="M236" s="872">
        <f t="shared" si="59"/>
        <v>6.4</v>
      </c>
      <c r="N236" s="873">
        <f t="shared" si="60"/>
        <v>6.4</v>
      </c>
      <c r="O236" s="873">
        <f t="shared" si="61"/>
        <v>6.4</v>
      </c>
      <c r="P236" s="1065">
        <f t="shared" si="47"/>
        <v>0</v>
      </c>
      <c r="Q236" s="1065">
        <f t="shared" si="47"/>
        <v>0</v>
      </c>
      <c r="R236" s="1065">
        <f t="shared" si="47"/>
        <v>0</v>
      </c>
      <c r="S236" s="1099" t="s">
        <v>999</v>
      </c>
      <c r="T236" s="1100" t="s">
        <v>1012</v>
      </c>
      <c r="U236" s="1099">
        <v>414</v>
      </c>
      <c r="V236" s="1099" t="s">
        <v>1004</v>
      </c>
    </row>
    <row r="237" spans="1:24" ht="61.5" customHeight="1">
      <c r="A237" s="895">
        <v>7</v>
      </c>
      <c r="B237" s="1163" t="s">
        <v>472</v>
      </c>
      <c r="C237" s="895"/>
      <c r="D237" s="871">
        <f t="shared" si="58"/>
        <v>16500</v>
      </c>
      <c r="E237" s="887">
        <v>15507.2</v>
      </c>
      <c r="F237" s="887">
        <v>992.8</v>
      </c>
      <c r="G237" s="871">
        <f t="shared" si="56"/>
        <v>16500</v>
      </c>
      <c r="H237" s="887">
        <f t="shared" si="62"/>
        <v>15507.2</v>
      </c>
      <c r="I237" s="887">
        <f t="shared" si="62"/>
        <v>992.8</v>
      </c>
      <c r="J237" s="871">
        <f t="shared" si="57"/>
        <v>550.1</v>
      </c>
      <c r="K237" s="887">
        <v>517</v>
      </c>
      <c r="L237" s="887">
        <v>33.1</v>
      </c>
      <c r="M237" s="872">
        <f t="shared" si="59"/>
        <v>3.3</v>
      </c>
      <c r="N237" s="873">
        <f t="shared" si="60"/>
        <v>3.3</v>
      </c>
      <c r="O237" s="873">
        <f t="shared" si="61"/>
        <v>3.3</v>
      </c>
      <c r="P237" s="1065">
        <f t="shared" si="47"/>
        <v>0</v>
      </c>
      <c r="Q237" s="1065">
        <f t="shared" si="47"/>
        <v>0</v>
      </c>
      <c r="R237" s="1065">
        <f t="shared" si="47"/>
        <v>0</v>
      </c>
      <c r="S237" s="1099" t="s">
        <v>999</v>
      </c>
      <c r="T237" s="1100" t="s">
        <v>1007</v>
      </c>
      <c r="U237" s="1099">
        <v>414</v>
      </c>
      <c r="V237" s="1099" t="s">
        <v>1004</v>
      </c>
    </row>
    <row r="238" spans="1:24" ht="67.5" customHeight="1">
      <c r="A238" s="895">
        <v>8</v>
      </c>
      <c r="B238" s="1163" t="s">
        <v>473</v>
      </c>
      <c r="C238" s="895"/>
      <c r="D238" s="871">
        <f t="shared" si="58"/>
        <v>10549.1</v>
      </c>
      <c r="E238" s="887">
        <v>9914.4</v>
      </c>
      <c r="F238" s="887">
        <v>634.70000000000005</v>
      </c>
      <c r="G238" s="871">
        <f t="shared" si="56"/>
        <v>10549.1</v>
      </c>
      <c r="H238" s="887">
        <f t="shared" si="62"/>
        <v>9914.4</v>
      </c>
      <c r="I238" s="887">
        <f t="shared" si="62"/>
        <v>634.70000000000005</v>
      </c>
      <c r="J238" s="871">
        <f t="shared" si="57"/>
        <v>880.9</v>
      </c>
      <c r="K238" s="887">
        <v>827.9</v>
      </c>
      <c r="L238" s="887">
        <v>53</v>
      </c>
      <c r="M238" s="872">
        <f t="shared" si="59"/>
        <v>8.4</v>
      </c>
      <c r="N238" s="873">
        <f t="shared" si="60"/>
        <v>8.4</v>
      </c>
      <c r="O238" s="873">
        <f t="shared" si="61"/>
        <v>8.4</v>
      </c>
      <c r="P238" s="1065">
        <f t="shared" si="47"/>
        <v>0</v>
      </c>
      <c r="Q238" s="1065">
        <f t="shared" si="47"/>
        <v>0</v>
      </c>
      <c r="R238" s="1065">
        <f t="shared" si="47"/>
        <v>0</v>
      </c>
      <c r="S238" s="1099" t="s">
        <v>999</v>
      </c>
      <c r="T238" s="1100" t="s">
        <v>1003</v>
      </c>
      <c r="U238" s="1099">
        <v>414</v>
      </c>
      <c r="V238" s="1099" t="s">
        <v>1004</v>
      </c>
    </row>
    <row r="239" spans="1:24" ht="67.5" customHeight="1">
      <c r="A239" s="895">
        <v>9</v>
      </c>
      <c r="B239" s="1163" t="s">
        <v>474</v>
      </c>
      <c r="C239" s="895"/>
      <c r="D239" s="871">
        <f>SUM(E239:F239)</f>
        <v>26243.8</v>
      </c>
      <c r="E239" s="887">
        <v>24664.799999999999</v>
      </c>
      <c r="F239" s="887">
        <v>1579</v>
      </c>
      <c r="G239" s="871">
        <f>SUM(H239:I239)</f>
        <v>26243.8</v>
      </c>
      <c r="H239" s="887">
        <f t="shared" si="62"/>
        <v>24664.799999999999</v>
      </c>
      <c r="I239" s="887">
        <f t="shared" si="62"/>
        <v>1579</v>
      </c>
      <c r="J239" s="871">
        <f>SUM(K239:L239)</f>
        <v>3335.5</v>
      </c>
      <c r="K239" s="887">
        <v>3134.8</v>
      </c>
      <c r="L239" s="887">
        <v>200.7</v>
      </c>
      <c r="M239" s="872">
        <f t="shared" si="59"/>
        <v>12.7</v>
      </c>
      <c r="N239" s="873">
        <f t="shared" si="60"/>
        <v>12.7</v>
      </c>
      <c r="O239" s="873">
        <f t="shared" si="61"/>
        <v>12.7</v>
      </c>
      <c r="P239" s="1065">
        <f t="shared" si="47"/>
        <v>0</v>
      </c>
      <c r="Q239" s="1065">
        <f t="shared" si="47"/>
        <v>0</v>
      </c>
      <c r="R239" s="1065">
        <f t="shared" si="47"/>
        <v>0</v>
      </c>
      <c r="S239" s="1099" t="s">
        <v>999</v>
      </c>
      <c r="T239" s="1100" t="s">
        <v>1013</v>
      </c>
      <c r="U239" s="1099">
        <v>414</v>
      </c>
      <c r="V239" s="1099" t="s">
        <v>1004</v>
      </c>
    </row>
    <row r="240" spans="1:24" ht="52.5">
      <c r="A240" s="895">
        <v>10</v>
      </c>
      <c r="B240" s="1163" t="s">
        <v>617</v>
      </c>
      <c r="C240" s="895"/>
      <c r="D240" s="871">
        <f t="shared" si="58"/>
        <v>81990.7</v>
      </c>
      <c r="E240" s="887">
        <v>77057.899999999994</v>
      </c>
      <c r="F240" s="887">
        <v>4932.8</v>
      </c>
      <c r="G240" s="871">
        <f t="shared" si="56"/>
        <v>81990.7</v>
      </c>
      <c r="H240" s="887">
        <f t="shared" si="62"/>
        <v>77057.899999999994</v>
      </c>
      <c r="I240" s="887">
        <f t="shared" si="62"/>
        <v>4932.8</v>
      </c>
      <c r="J240" s="871">
        <f t="shared" si="57"/>
        <v>0</v>
      </c>
      <c r="K240" s="887"/>
      <c r="L240" s="887"/>
      <c r="M240" s="872">
        <f t="shared" si="59"/>
        <v>0</v>
      </c>
      <c r="N240" s="873">
        <f t="shared" si="60"/>
        <v>0</v>
      </c>
      <c r="O240" s="873">
        <f t="shared" si="61"/>
        <v>0</v>
      </c>
      <c r="P240" s="1065">
        <f t="shared" si="47"/>
        <v>0</v>
      </c>
      <c r="Q240" s="1065">
        <f t="shared" si="47"/>
        <v>0</v>
      </c>
      <c r="R240" s="1065">
        <f t="shared" si="47"/>
        <v>0</v>
      </c>
      <c r="S240" s="1099" t="s">
        <v>999</v>
      </c>
      <c r="T240" s="1100" t="s">
        <v>1002</v>
      </c>
      <c r="U240" s="1099">
        <v>414</v>
      </c>
      <c r="V240" s="1099" t="s">
        <v>1004</v>
      </c>
    </row>
    <row r="241" spans="1:24" ht="52.5" hidden="1">
      <c r="A241" s="895">
        <v>12</v>
      </c>
      <c r="B241" s="1163" t="s">
        <v>618</v>
      </c>
      <c r="C241" s="895"/>
      <c r="D241" s="871">
        <f t="shared" si="58"/>
        <v>0</v>
      </c>
      <c r="E241" s="887"/>
      <c r="F241" s="887"/>
      <c r="G241" s="871">
        <f t="shared" si="56"/>
        <v>0</v>
      </c>
      <c r="H241" s="887">
        <f>E241</f>
        <v>0</v>
      </c>
      <c r="I241" s="887">
        <f>F241</f>
        <v>0</v>
      </c>
      <c r="J241" s="871">
        <f t="shared" si="57"/>
        <v>0</v>
      </c>
      <c r="K241" s="887"/>
      <c r="L241" s="887"/>
      <c r="M241" s="872">
        <f t="shared" si="59"/>
        <v>0</v>
      </c>
      <c r="N241" s="873">
        <f t="shared" si="60"/>
        <v>0</v>
      </c>
      <c r="O241" s="873">
        <f t="shared" si="61"/>
        <v>0</v>
      </c>
      <c r="P241" s="1065">
        <f t="shared" si="47"/>
        <v>0</v>
      </c>
      <c r="Q241" s="1065">
        <f t="shared" si="47"/>
        <v>0</v>
      </c>
      <c r="R241" s="1065">
        <f t="shared" si="47"/>
        <v>0</v>
      </c>
      <c r="S241" s="1099" t="s">
        <v>999</v>
      </c>
      <c r="U241" s="1099">
        <v>414</v>
      </c>
      <c r="V241" s="1099" t="s">
        <v>1009</v>
      </c>
    </row>
    <row r="242" spans="1:24" ht="52.5">
      <c r="A242" s="895">
        <v>11</v>
      </c>
      <c r="B242" s="1163" t="s">
        <v>619</v>
      </c>
      <c r="C242" s="895"/>
      <c r="D242" s="871">
        <f>SUM(E242:F242)</f>
        <v>39448</v>
      </c>
      <c r="E242" s="887">
        <v>37080.800000000003</v>
      </c>
      <c r="F242" s="887">
        <v>2367.1999999999998</v>
      </c>
      <c r="G242" s="871">
        <f>SUM(H242:I242)</f>
        <v>39448</v>
      </c>
      <c r="H242" s="887">
        <f>E242</f>
        <v>37080.800000000003</v>
      </c>
      <c r="I242" s="887">
        <f>F242</f>
        <v>2367.1999999999998</v>
      </c>
      <c r="J242" s="871">
        <f>SUM(K242:L242)</f>
        <v>0</v>
      </c>
      <c r="K242" s="887"/>
      <c r="L242" s="887"/>
      <c r="M242" s="872">
        <f t="shared" si="59"/>
        <v>0</v>
      </c>
      <c r="N242" s="873">
        <f t="shared" si="60"/>
        <v>0</v>
      </c>
      <c r="O242" s="873">
        <f t="shared" si="61"/>
        <v>0</v>
      </c>
      <c r="P242" s="1065">
        <f t="shared" si="47"/>
        <v>0</v>
      </c>
      <c r="Q242" s="1065">
        <f t="shared" si="47"/>
        <v>0</v>
      </c>
      <c r="R242" s="1065">
        <f t="shared" si="47"/>
        <v>0</v>
      </c>
      <c r="S242" s="1099" t="s">
        <v>999</v>
      </c>
      <c r="T242" s="1100" t="s">
        <v>1008</v>
      </c>
      <c r="U242" s="1099">
        <v>414</v>
      </c>
      <c r="V242" s="1099" t="s">
        <v>1006</v>
      </c>
    </row>
    <row r="243" spans="1:24" s="914" customFormat="1" ht="81">
      <c r="A243" s="944" t="s">
        <v>248</v>
      </c>
      <c r="B243" s="947" t="s">
        <v>656</v>
      </c>
      <c r="C243" s="1193"/>
      <c r="D243" s="948">
        <f>SUM(E243:F243)</f>
        <v>60106.400000000001</v>
      </c>
      <c r="E243" s="949">
        <f>E244</f>
        <v>56500</v>
      </c>
      <c r="F243" s="949">
        <f>F244</f>
        <v>3606.4</v>
      </c>
      <c r="G243" s="950">
        <f>SUM(H243:I243)</f>
        <v>60106.400000000001</v>
      </c>
      <c r="H243" s="949">
        <f>H244</f>
        <v>56500</v>
      </c>
      <c r="I243" s="949">
        <f>I244</f>
        <v>3606.4</v>
      </c>
      <c r="J243" s="950">
        <f>SUM(K243:L243)</f>
        <v>0</v>
      </c>
      <c r="K243" s="949">
        <f>K244</f>
        <v>0</v>
      </c>
      <c r="L243" s="949">
        <f>L244</f>
        <v>0</v>
      </c>
      <c r="M243" s="951">
        <f t="shared" si="59"/>
        <v>0</v>
      </c>
      <c r="N243" s="952">
        <f t="shared" si="60"/>
        <v>0</v>
      </c>
      <c r="O243" s="952">
        <f t="shared" si="61"/>
        <v>0</v>
      </c>
      <c r="P243" s="1065">
        <f t="shared" si="47"/>
        <v>0</v>
      </c>
      <c r="Q243" s="1065">
        <f t="shared" si="47"/>
        <v>0</v>
      </c>
      <c r="R243" s="1065">
        <f t="shared" si="47"/>
        <v>0</v>
      </c>
      <c r="S243" s="1099"/>
      <c r="T243" s="1100"/>
      <c r="U243" s="1099"/>
      <c r="V243" s="1099"/>
      <c r="W243" s="1098"/>
      <c r="X243" s="913"/>
    </row>
    <row r="244" spans="1:24" ht="67.5" customHeight="1">
      <c r="A244" s="895">
        <v>12</v>
      </c>
      <c r="B244" s="937" t="s">
        <v>623</v>
      </c>
      <c r="C244" s="1186"/>
      <c r="D244" s="871">
        <f>SUM(E244:F244)</f>
        <v>60106.400000000001</v>
      </c>
      <c r="E244" s="884">
        <v>56500</v>
      </c>
      <c r="F244" s="887">
        <v>3606.4</v>
      </c>
      <c r="G244" s="871">
        <f>SUM(H244:I244)</f>
        <v>60106.400000000001</v>
      </c>
      <c r="H244" s="884">
        <v>56500</v>
      </c>
      <c r="I244" s="887">
        <v>3606.4</v>
      </c>
      <c r="J244" s="874">
        <f>SUM(K244:L244)</f>
        <v>0</v>
      </c>
      <c r="K244" s="884">
        <v>0</v>
      </c>
      <c r="L244" s="887">
        <v>0</v>
      </c>
      <c r="M244" s="876">
        <f t="shared" si="59"/>
        <v>0</v>
      </c>
      <c r="N244" s="877">
        <f t="shared" si="60"/>
        <v>0</v>
      </c>
      <c r="O244" s="877">
        <f t="shared" si="61"/>
        <v>0</v>
      </c>
      <c r="P244" s="1065">
        <f t="shared" si="47"/>
        <v>0</v>
      </c>
      <c r="Q244" s="1065">
        <f t="shared" si="47"/>
        <v>0</v>
      </c>
      <c r="R244" s="1065">
        <f t="shared" si="47"/>
        <v>0</v>
      </c>
      <c r="S244" s="1099" t="s">
        <v>999</v>
      </c>
      <c r="T244" s="1100" t="s">
        <v>1017</v>
      </c>
      <c r="U244" s="1099">
        <v>414</v>
      </c>
      <c r="V244" s="1099" t="s">
        <v>1018</v>
      </c>
    </row>
    <row r="245" spans="1:24" s="914" customFormat="1" ht="69" customHeight="1">
      <c r="A245" s="944" t="s">
        <v>249</v>
      </c>
      <c r="B245" s="932" t="s">
        <v>39</v>
      </c>
      <c r="C245" s="1182"/>
      <c r="D245" s="933">
        <f t="shared" si="58"/>
        <v>114960</v>
      </c>
      <c r="E245" s="933">
        <f>SUM(E246:E248)</f>
        <v>0</v>
      </c>
      <c r="F245" s="933">
        <f>SUM(F246:F248)</f>
        <v>114960</v>
      </c>
      <c r="G245" s="933">
        <f t="shared" si="56"/>
        <v>114960</v>
      </c>
      <c r="H245" s="933">
        <f>SUM(H246:H248)</f>
        <v>0</v>
      </c>
      <c r="I245" s="933">
        <f>SUM(I246:I248)</f>
        <v>114960</v>
      </c>
      <c r="J245" s="933">
        <f t="shared" si="57"/>
        <v>14095.9</v>
      </c>
      <c r="K245" s="933">
        <f>SUM(K246:K248)</f>
        <v>0</v>
      </c>
      <c r="L245" s="933">
        <f>SUM(L246:L248)</f>
        <v>14095.9</v>
      </c>
      <c r="M245" s="935">
        <f t="shared" si="59"/>
        <v>12.3</v>
      </c>
      <c r="N245" s="936">
        <f t="shared" si="60"/>
        <v>0</v>
      </c>
      <c r="O245" s="936">
        <f t="shared" si="61"/>
        <v>12.3</v>
      </c>
      <c r="P245" s="1065">
        <f t="shared" si="47"/>
        <v>0</v>
      </c>
      <c r="Q245" s="1065">
        <f t="shared" si="47"/>
        <v>0</v>
      </c>
      <c r="R245" s="1065">
        <f t="shared" si="47"/>
        <v>0</v>
      </c>
      <c r="S245" s="1099"/>
      <c r="T245" s="1100"/>
      <c r="U245" s="1099"/>
      <c r="V245" s="1099"/>
      <c r="W245" s="1098"/>
      <c r="X245" s="913"/>
    </row>
    <row r="246" spans="1:24" s="736" customFormat="1" ht="78.75">
      <c r="A246" s="895">
        <v>13</v>
      </c>
      <c r="B246" s="903" t="s">
        <v>706</v>
      </c>
      <c r="C246" s="1194"/>
      <c r="D246" s="871">
        <f>SUM(E246:F246)</f>
        <v>2760</v>
      </c>
      <c r="E246" s="887">
        <v>0</v>
      </c>
      <c r="F246" s="887">
        <v>2760</v>
      </c>
      <c r="G246" s="871">
        <f>SUM(H246:I246)</f>
        <v>2760</v>
      </c>
      <c r="H246" s="887">
        <v>0</v>
      </c>
      <c r="I246" s="887">
        <v>2760</v>
      </c>
      <c r="J246" s="871">
        <f>SUM(K246:L246)</f>
        <v>0</v>
      </c>
      <c r="K246" s="887">
        <v>0</v>
      </c>
      <c r="L246" s="887">
        <v>0</v>
      </c>
      <c r="M246" s="872">
        <f t="shared" si="59"/>
        <v>0</v>
      </c>
      <c r="N246" s="873">
        <f t="shared" si="60"/>
        <v>0</v>
      </c>
      <c r="O246" s="873">
        <f t="shared" si="61"/>
        <v>0</v>
      </c>
      <c r="P246" s="1065">
        <f t="shared" si="47"/>
        <v>0</v>
      </c>
      <c r="Q246" s="1065">
        <f t="shared" si="47"/>
        <v>0</v>
      </c>
      <c r="R246" s="1065">
        <f t="shared" si="47"/>
        <v>0</v>
      </c>
      <c r="S246" s="1099" t="s">
        <v>999</v>
      </c>
      <c r="T246" s="1100">
        <v>1110290400</v>
      </c>
      <c r="U246" s="1099">
        <v>414</v>
      </c>
      <c r="V246" s="1099">
        <v>10119</v>
      </c>
      <c r="W246" s="1098"/>
    </row>
    <row r="247" spans="1:24" s="736" customFormat="1" ht="52.5">
      <c r="A247" s="895"/>
      <c r="B247" s="903" t="s">
        <v>268</v>
      </c>
      <c r="C247" s="1194"/>
      <c r="D247" s="871">
        <f>SUM(E247:F247)</f>
        <v>700</v>
      </c>
      <c r="E247" s="887">
        <v>0</v>
      </c>
      <c r="F247" s="887">
        <v>700</v>
      </c>
      <c r="G247" s="871">
        <f>SUM(H247:I247)</f>
        <v>700</v>
      </c>
      <c r="H247" s="887">
        <v>0</v>
      </c>
      <c r="I247" s="887">
        <v>700</v>
      </c>
      <c r="J247" s="871">
        <f>SUM(K247:L247)</f>
        <v>63</v>
      </c>
      <c r="K247" s="887">
        <v>0</v>
      </c>
      <c r="L247" s="887">
        <v>63</v>
      </c>
      <c r="M247" s="872">
        <f t="shared" si="59"/>
        <v>9</v>
      </c>
      <c r="N247" s="873">
        <f t="shared" si="60"/>
        <v>0</v>
      </c>
      <c r="O247" s="873">
        <f t="shared" si="61"/>
        <v>9</v>
      </c>
      <c r="P247" s="1065">
        <f>D247-G247</f>
        <v>0</v>
      </c>
      <c r="Q247" s="1065">
        <f t="shared" si="47"/>
        <v>0</v>
      </c>
      <c r="R247" s="1065">
        <f t="shared" si="47"/>
        <v>0</v>
      </c>
      <c r="S247" s="1099" t="s">
        <v>999</v>
      </c>
      <c r="T247" s="1100">
        <v>1110290400</v>
      </c>
      <c r="U247" s="1099">
        <v>414</v>
      </c>
      <c r="V247" s="1099">
        <v>10044</v>
      </c>
      <c r="W247" s="1098"/>
    </row>
    <row r="248" spans="1:24" s="736" customFormat="1" ht="42.75" customHeight="1">
      <c r="A248" s="895"/>
      <c r="B248" s="903" t="s">
        <v>263</v>
      </c>
      <c r="C248" s="1194"/>
      <c r="D248" s="871">
        <f t="shared" si="58"/>
        <v>111500</v>
      </c>
      <c r="E248" s="887">
        <v>0</v>
      </c>
      <c r="F248" s="887">
        <v>111500</v>
      </c>
      <c r="G248" s="871">
        <f t="shared" si="56"/>
        <v>111500</v>
      </c>
      <c r="H248" s="887">
        <v>0</v>
      </c>
      <c r="I248" s="887">
        <v>111500</v>
      </c>
      <c r="J248" s="871">
        <f t="shared" si="57"/>
        <v>14032.9</v>
      </c>
      <c r="K248" s="887"/>
      <c r="L248" s="887">
        <v>14032.9</v>
      </c>
      <c r="M248" s="872">
        <f t="shared" si="59"/>
        <v>12.6</v>
      </c>
      <c r="N248" s="873">
        <f t="shared" si="60"/>
        <v>0</v>
      </c>
      <c r="O248" s="873">
        <f t="shared" si="61"/>
        <v>12.6</v>
      </c>
      <c r="P248" s="1065">
        <f t="shared" si="47"/>
        <v>0</v>
      </c>
      <c r="Q248" s="1065">
        <f t="shared" si="47"/>
        <v>0</v>
      </c>
      <c r="R248" s="1065">
        <f t="shared" si="47"/>
        <v>0</v>
      </c>
      <c r="S248" s="1099" t="s">
        <v>999</v>
      </c>
      <c r="T248" s="1100">
        <v>1110290400</v>
      </c>
      <c r="U248" s="1099">
        <v>414</v>
      </c>
      <c r="V248" s="1099">
        <v>10001</v>
      </c>
      <c r="W248" s="1098"/>
    </row>
    <row r="249" spans="1:24">
      <c r="A249" s="1102"/>
      <c r="B249" s="1079" t="s">
        <v>432</v>
      </c>
      <c r="C249" s="1160"/>
      <c r="D249" s="1080"/>
      <c r="E249" s="1079"/>
      <c r="F249" s="1079"/>
      <c r="G249" s="1080"/>
      <c r="H249" s="1079"/>
      <c r="I249" s="1079"/>
      <c r="J249" s="1203"/>
      <c r="K249" s="1082"/>
      <c r="L249" s="1082"/>
      <c r="M249" s="1081"/>
      <c r="N249" s="1082"/>
      <c r="O249" s="1082"/>
      <c r="P249" s="1065">
        <f t="shared" si="47"/>
        <v>0</v>
      </c>
      <c r="Q249" s="1065">
        <f t="shared" si="47"/>
        <v>0</v>
      </c>
      <c r="R249" s="1065">
        <f t="shared" si="47"/>
        <v>0</v>
      </c>
    </row>
    <row r="250" spans="1:24" ht="175.5" customHeight="1">
      <c r="A250" s="2439" t="s">
        <v>836</v>
      </c>
      <c r="B250" s="2443"/>
      <c r="C250" s="1195"/>
      <c r="D250" s="893">
        <f t="shared" ref="D250:D255" si="63">SUM(E250:F250)</f>
        <v>865629.1</v>
      </c>
      <c r="E250" s="894">
        <f>SUM(E91,E20:E21)</f>
        <v>853456.8</v>
      </c>
      <c r="F250" s="894">
        <f>SUM(F91,F20:F21)</f>
        <v>12172.3</v>
      </c>
      <c r="G250" s="893">
        <f t="shared" ref="G250:G255" si="64">SUM(H250:I250)</f>
        <v>865629.1</v>
      </c>
      <c r="H250" s="894">
        <f>SUM(H91,H20:H21)</f>
        <v>853456.8</v>
      </c>
      <c r="I250" s="894">
        <f>SUM(I91,I20:I21)</f>
        <v>12172.3</v>
      </c>
      <c r="J250" s="893">
        <f t="shared" ref="J250:J255" si="65">SUM(K250:L250)</f>
        <v>14456.5</v>
      </c>
      <c r="K250" s="894">
        <f>SUM(K91,K20:K21)</f>
        <v>9709.4</v>
      </c>
      <c r="L250" s="894">
        <f>SUM(L91,L20:L21)</f>
        <v>4747.1000000000004</v>
      </c>
      <c r="M250" s="893">
        <f t="shared" ref="M250:M256" si="66">SUM(N250:O250)</f>
        <v>2.2000000000000002</v>
      </c>
      <c r="N250" s="894">
        <f>SUM(N228,N126,N70)</f>
        <v>1.1000000000000001</v>
      </c>
      <c r="O250" s="894">
        <f>SUM(O228,O126,O70)</f>
        <v>1.1000000000000001</v>
      </c>
      <c r="P250" s="1065">
        <f t="shared" ref="P250:R256" si="67">D250-G250</f>
        <v>0</v>
      </c>
      <c r="Q250" s="1065">
        <f t="shared" si="67"/>
        <v>0</v>
      </c>
      <c r="R250" s="1065">
        <f t="shared" si="67"/>
        <v>0</v>
      </c>
    </row>
    <row r="251" spans="1:24">
      <c r="A251" s="2439" t="s">
        <v>1094</v>
      </c>
      <c r="B251" s="2443"/>
      <c r="C251" s="1195"/>
      <c r="D251" s="893">
        <f t="shared" si="63"/>
        <v>798330.1</v>
      </c>
      <c r="E251" s="894">
        <f>SUM(E19,E103,E128,E101,E102)</f>
        <v>708797.4</v>
      </c>
      <c r="F251" s="894">
        <f>SUM(F19,F103,F128,F101,F102)</f>
        <v>89532.7</v>
      </c>
      <c r="G251" s="893">
        <f t="shared" si="64"/>
        <v>754861.7</v>
      </c>
      <c r="H251" s="894">
        <f>SUM(H19,H103,H128,H101,H102)</f>
        <v>665763.69999999995</v>
      </c>
      <c r="I251" s="894">
        <f>SUM(I19,I103,I128,I101,I102)</f>
        <v>89098</v>
      </c>
      <c r="J251" s="893">
        <f t="shared" si="65"/>
        <v>47.5</v>
      </c>
      <c r="K251" s="894">
        <f>SUM(K19,K103,K128,K101,K102)</f>
        <v>24.5</v>
      </c>
      <c r="L251" s="894">
        <f>SUM(L19,L103,L128,L101,L102)</f>
        <v>23</v>
      </c>
      <c r="M251" s="893">
        <f>SUM(N251:O251)</f>
        <v>5.8</v>
      </c>
      <c r="N251" s="894">
        <f>SUM(N229,N127,N71)</f>
        <v>2.9</v>
      </c>
      <c r="O251" s="894">
        <f>SUM(O229,O127,O71)</f>
        <v>2.9</v>
      </c>
      <c r="P251" s="1065"/>
      <c r="Q251" s="1065"/>
      <c r="R251" s="1065"/>
    </row>
    <row r="252" spans="1:24" ht="72" customHeight="1">
      <c r="A252" s="2439" t="s">
        <v>780</v>
      </c>
      <c r="B252" s="2443"/>
      <c r="C252" s="1195"/>
      <c r="D252" s="893">
        <f t="shared" si="63"/>
        <v>3487177.1</v>
      </c>
      <c r="E252" s="894">
        <f>E145+E71+E229-E254</f>
        <v>3276914.9</v>
      </c>
      <c r="F252" s="894">
        <f>F145+F71+F229-F254</f>
        <v>210262.2</v>
      </c>
      <c r="G252" s="893">
        <f t="shared" si="64"/>
        <v>3270290.4</v>
      </c>
      <c r="H252" s="894">
        <f>H145+H71+H229-H254</f>
        <v>3073167</v>
      </c>
      <c r="I252" s="894">
        <f>I145+I71+I229-I254</f>
        <v>197123.4</v>
      </c>
      <c r="J252" s="893">
        <f t="shared" si="65"/>
        <v>44133.8</v>
      </c>
      <c r="K252" s="894">
        <f>K145+K71+K229-K254</f>
        <v>41476.5</v>
      </c>
      <c r="L252" s="894">
        <f>L145+L71+L229-L254</f>
        <v>2657.3</v>
      </c>
      <c r="M252" s="893">
        <f t="shared" si="66"/>
        <v>13.1</v>
      </c>
      <c r="N252" s="894">
        <f>SUM(N229,N145,N71)</f>
        <v>4.3</v>
      </c>
      <c r="O252" s="894">
        <f>SUM(O229,O145,O71)</f>
        <v>8.8000000000000007</v>
      </c>
      <c r="P252" s="1065">
        <f t="shared" si="67"/>
        <v>216886.7</v>
      </c>
      <c r="Q252" s="1065">
        <f t="shared" si="67"/>
        <v>203747.9</v>
      </c>
      <c r="R252" s="1065">
        <f t="shared" si="67"/>
        <v>13138.8</v>
      </c>
    </row>
    <row r="253" spans="1:24" ht="65.25" customHeight="1">
      <c r="A253" s="2439" t="s">
        <v>1031</v>
      </c>
      <c r="B253" s="2439"/>
      <c r="C253" s="895"/>
      <c r="D253" s="893">
        <f t="shared" si="63"/>
        <v>371098.1</v>
      </c>
      <c r="E253" s="894">
        <f>SUM(E254:E255)</f>
        <v>0</v>
      </c>
      <c r="F253" s="894">
        <f>SUM(F254:F255)</f>
        <v>371098.1</v>
      </c>
      <c r="G253" s="893">
        <f t="shared" si="64"/>
        <v>371098.1</v>
      </c>
      <c r="H253" s="894">
        <f>SUM(H254:H255)</f>
        <v>0</v>
      </c>
      <c r="I253" s="894">
        <f>SUM(I254:I255)</f>
        <v>371098.1</v>
      </c>
      <c r="J253" s="893">
        <f t="shared" si="65"/>
        <v>34804.300000000003</v>
      </c>
      <c r="K253" s="894">
        <f>SUM(K254:K255)</f>
        <v>0</v>
      </c>
      <c r="L253" s="894">
        <f>SUM(L254:L255)</f>
        <v>34804.300000000003</v>
      </c>
      <c r="M253" s="893">
        <f t="shared" si="66"/>
        <v>0</v>
      </c>
      <c r="N253" s="894">
        <f t="shared" ref="N253:O256" si="68">SUM(N231,N154,N72)</f>
        <v>0</v>
      </c>
      <c r="O253" s="894">
        <f t="shared" si="68"/>
        <v>0</v>
      </c>
      <c r="P253" s="1065">
        <f t="shared" si="67"/>
        <v>0</v>
      </c>
      <c r="Q253" s="1065">
        <f t="shared" si="67"/>
        <v>0</v>
      </c>
      <c r="R253" s="1065">
        <f t="shared" si="67"/>
        <v>0</v>
      </c>
    </row>
    <row r="254" spans="1:24" ht="31.5" customHeight="1">
      <c r="A254" s="895"/>
      <c r="B254" s="1163" t="s">
        <v>778</v>
      </c>
      <c r="C254" s="895"/>
      <c r="D254" s="893">
        <f t="shared" si="63"/>
        <v>114364.5</v>
      </c>
      <c r="E254" s="873">
        <f>SUM(E147,E148,E149,E152,E179,E180,E184,E193,E195,E198,E203,E153,E150,E176,E151)</f>
        <v>0</v>
      </c>
      <c r="F254" s="873">
        <f>SUM(F147,F148,F149,F150,F151,F153,F152,F176,F180,F184,F193,F195,F198,F203,F179)</f>
        <v>114364.5</v>
      </c>
      <c r="G254" s="893">
        <f t="shared" si="64"/>
        <v>114364.5</v>
      </c>
      <c r="H254" s="873">
        <f>SUM(H147,H148,H149,H152,H179,H180,H184,H193,H195,H198,H203,H153,H150,H176,H151)</f>
        <v>0</v>
      </c>
      <c r="I254" s="873">
        <f>SUM(I147,I148,I149,I150,I151,I153,I152,I176,I180,I184,I193,I195,I198,I203,I179)</f>
        <v>114364.5</v>
      </c>
      <c r="J254" s="893">
        <f t="shared" si="65"/>
        <v>12665.1</v>
      </c>
      <c r="K254" s="873">
        <f>SUM(K147,K148,K149,K152,K179,K180,K184,K193,K195,K198,K203,K153,K150,K176,K151)</f>
        <v>0</v>
      </c>
      <c r="L254" s="873">
        <f>SUM(L147,L148,L149,L150,L151,L153,L152,L176,L180,L184,L193,L195,L198,L203,L179)</f>
        <v>12665.1</v>
      </c>
      <c r="M254" s="893">
        <f t="shared" si="66"/>
        <v>19.2</v>
      </c>
      <c r="N254" s="894">
        <f t="shared" si="68"/>
        <v>9.6</v>
      </c>
      <c r="O254" s="894">
        <f t="shared" si="68"/>
        <v>9.6</v>
      </c>
      <c r="P254" s="1065">
        <f t="shared" si="67"/>
        <v>0</v>
      </c>
      <c r="Q254" s="1065">
        <f t="shared" si="67"/>
        <v>0</v>
      </c>
      <c r="R254" s="1065">
        <f t="shared" si="67"/>
        <v>0</v>
      </c>
      <c r="S254" s="1114"/>
    </row>
    <row r="255" spans="1:24" ht="31.5" customHeight="1">
      <c r="A255" s="895"/>
      <c r="B255" s="1163" t="s">
        <v>779</v>
      </c>
      <c r="C255" s="895"/>
      <c r="D255" s="893">
        <f t="shared" si="63"/>
        <v>256733.6</v>
      </c>
      <c r="E255" s="873">
        <f>SUM(E106:E118,E93:E100,E119:E123,E124:E127,E104,E129:E141)</f>
        <v>0</v>
      </c>
      <c r="F255" s="873">
        <f>SUM(F106:F118,F93:F100,F119:F123,F124:F127,F104,F129:F141)</f>
        <v>256733.6</v>
      </c>
      <c r="G255" s="893">
        <f t="shared" si="64"/>
        <v>256733.6</v>
      </c>
      <c r="H255" s="873">
        <f>SUM(H106:H118,H93:H100,H119:H123,H124:H127,H104,H129:H141)</f>
        <v>0</v>
      </c>
      <c r="I255" s="873">
        <f>SUM(I106:I118,I93:I100,I119:I123,I124:I127,I104,I129:I141)</f>
        <v>256733.6</v>
      </c>
      <c r="J255" s="893">
        <f t="shared" si="65"/>
        <v>22139.200000000001</v>
      </c>
      <c r="K255" s="873">
        <f>SUM(K106:K118,K93:K100,K119:K123,K124:K127,K104,K129:K141)</f>
        <v>0</v>
      </c>
      <c r="L255" s="873">
        <f>SUM(L106:L118,L93:L100,L119:L123,L124:L127,L104,L129:L141)</f>
        <v>22139.200000000001</v>
      </c>
      <c r="M255" s="893">
        <f t="shared" si="66"/>
        <v>0</v>
      </c>
      <c r="N255" s="894">
        <f t="shared" si="68"/>
        <v>0</v>
      </c>
      <c r="O255" s="894">
        <f t="shared" si="68"/>
        <v>0</v>
      </c>
      <c r="P255" s="1065">
        <f t="shared" si="67"/>
        <v>0</v>
      </c>
      <c r="Q255" s="1065">
        <f t="shared" si="67"/>
        <v>0</v>
      </c>
      <c r="R255" s="1065">
        <f t="shared" si="67"/>
        <v>0</v>
      </c>
    </row>
    <row r="256" spans="1:24" ht="63.75" customHeight="1">
      <c r="A256" s="2444" t="s">
        <v>1032</v>
      </c>
      <c r="B256" s="2444"/>
      <c r="C256" s="895"/>
      <c r="D256" s="876">
        <f>E256+F256</f>
        <v>1621351.8</v>
      </c>
      <c r="E256" s="879">
        <f>E13-E252-E253-E250</f>
        <v>765297.4</v>
      </c>
      <c r="F256" s="879">
        <f>F13-F252-F253-F250</f>
        <v>856054.4</v>
      </c>
      <c r="G256" s="876">
        <f>H256+I256</f>
        <v>1577883.4</v>
      </c>
      <c r="H256" s="879">
        <f>H13-H252-H253-H250</f>
        <v>722263.7</v>
      </c>
      <c r="I256" s="879">
        <f>I13-I252-I253-I250</f>
        <v>855619.7</v>
      </c>
      <c r="J256" s="882">
        <f>K256+L256</f>
        <v>14455.9</v>
      </c>
      <c r="K256" s="879">
        <f>K13-K252-K253-K250</f>
        <v>24.5</v>
      </c>
      <c r="L256" s="879">
        <f>L13-L252-L253-L250</f>
        <v>14431.4</v>
      </c>
      <c r="M256" s="893">
        <f t="shared" si="66"/>
        <v>0</v>
      </c>
      <c r="N256" s="894">
        <f t="shared" si="68"/>
        <v>0</v>
      </c>
      <c r="O256" s="894">
        <f t="shared" si="68"/>
        <v>0</v>
      </c>
      <c r="P256" s="1065">
        <f t="shared" si="67"/>
        <v>43468.4</v>
      </c>
      <c r="Q256" s="1065">
        <f t="shared" si="67"/>
        <v>43033.7</v>
      </c>
      <c r="R256" s="1065">
        <f t="shared" si="67"/>
        <v>434.7</v>
      </c>
    </row>
    <row r="257" spans="1:24" ht="38.25" customHeight="1">
      <c r="A257" s="1103"/>
      <c r="B257" s="797"/>
      <c r="C257" s="1103"/>
      <c r="D257" s="799"/>
      <c r="E257" s="799"/>
      <c r="F257" s="799"/>
      <c r="G257" s="799"/>
      <c r="H257" s="799"/>
      <c r="I257" s="799"/>
      <c r="J257" s="1204"/>
      <c r="K257" s="799"/>
      <c r="L257" s="799"/>
      <c r="M257" s="799"/>
      <c r="N257" s="799"/>
      <c r="O257" s="799"/>
      <c r="P257" s="807" t="s">
        <v>813</v>
      </c>
      <c r="Q257" s="1070" t="s">
        <v>814</v>
      </c>
      <c r="R257" s="1070" t="s">
        <v>815</v>
      </c>
    </row>
    <row r="258" spans="1:24" s="939" customFormat="1" ht="33">
      <c r="A258" s="1104"/>
      <c r="B258" s="939" t="s">
        <v>1079</v>
      </c>
      <c r="C258" s="1196"/>
      <c r="D258" s="940"/>
      <c r="E258" s="941"/>
      <c r="F258" s="941"/>
      <c r="G258" s="941"/>
      <c r="H258" s="942"/>
      <c r="I258" s="942"/>
      <c r="J258" s="1205"/>
      <c r="K258" s="942"/>
      <c r="L258" s="2399" t="s">
        <v>1078</v>
      </c>
      <c r="M258" s="2400"/>
      <c r="N258" s="943"/>
      <c r="O258" s="943"/>
      <c r="P258" s="807"/>
      <c r="Q258" s="778"/>
      <c r="R258" s="778">
        <f>R143+R144</f>
        <v>0</v>
      </c>
      <c r="S258" s="1138" t="s">
        <v>1034</v>
      </c>
      <c r="T258" s="1100"/>
      <c r="U258" s="1099"/>
      <c r="V258" s="1099"/>
      <c r="W258" s="1098"/>
      <c r="X258" s="1117"/>
    </row>
    <row r="259" spans="1:24">
      <c r="A259" s="1105"/>
      <c r="B259" s="791" t="s">
        <v>1071</v>
      </c>
      <c r="C259" s="1105"/>
      <c r="D259" s="793"/>
      <c r="F259" s="2372"/>
      <c r="G259" s="2373"/>
      <c r="H259" s="756"/>
      <c r="P259" s="807"/>
      <c r="Q259" s="778">
        <f>Q227</f>
        <v>1698.8</v>
      </c>
      <c r="R259" s="778">
        <f>R227</f>
        <v>193.5</v>
      </c>
      <c r="S259" s="1138" t="s">
        <v>1033</v>
      </c>
    </row>
    <row r="260" spans="1:24">
      <c r="A260" s="1105"/>
      <c r="B260" s="791"/>
      <c r="C260" s="1105"/>
      <c r="D260" s="793"/>
      <c r="F260" s="1156"/>
      <c r="G260" s="1014"/>
      <c r="H260" s="756"/>
      <c r="P260" s="807"/>
      <c r="Q260" s="1071"/>
      <c r="R260" s="1071"/>
      <c r="S260" s="1138"/>
    </row>
    <row r="261" spans="1:24">
      <c r="F261" s="742"/>
      <c r="P261" s="1071"/>
      <c r="Q261" s="778">
        <f>Q19</f>
        <v>43033.7</v>
      </c>
      <c r="R261" s="778">
        <f>R19</f>
        <v>434.7</v>
      </c>
      <c r="S261" s="1138" t="s">
        <v>816</v>
      </c>
    </row>
    <row r="262" spans="1:24">
      <c r="F262" s="742"/>
      <c r="P262" s="778"/>
      <c r="Q262" s="778"/>
      <c r="R262" s="778"/>
      <c r="S262" s="1138"/>
    </row>
    <row r="263" spans="1:24">
      <c r="P263" s="1071"/>
      <c r="Q263" s="1071"/>
      <c r="R263" s="778"/>
      <c r="S263" s="1138"/>
    </row>
    <row r="264" spans="1:24">
      <c r="Q264" s="756">
        <f>Q13-Q258-Q259-Q260-Q261-Q262-Q263</f>
        <v>202049.1</v>
      </c>
      <c r="R264" s="756">
        <f>R13-R258-R259-R260-R261-R262-R263</f>
        <v>12945.3</v>
      </c>
    </row>
    <row r="265" spans="1:24">
      <c r="Q265" s="1067"/>
      <c r="R265" s="1067"/>
    </row>
  </sheetData>
  <mergeCells count="99">
    <mergeCell ref="A1:B1"/>
    <mergeCell ref="L1:O1"/>
    <mergeCell ref="J3:M3"/>
    <mergeCell ref="A5:O5"/>
    <mergeCell ref="A6:O6"/>
    <mergeCell ref="A7:O7"/>
    <mergeCell ref="B10:B11"/>
    <mergeCell ref="C10:C11"/>
    <mergeCell ref="D10:D11"/>
    <mergeCell ref="A14:B14"/>
    <mergeCell ref="N10:O10"/>
    <mergeCell ref="J39:J40"/>
    <mergeCell ref="K39:K40"/>
    <mergeCell ref="A10:A11"/>
    <mergeCell ref="E10:F10"/>
    <mergeCell ref="G10:G11"/>
    <mergeCell ref="H10:I10"/>
    <mergeCell ref="J10:J11"/>
    <mergeCell ref="O39:O40"/>
    <mergeCell ref="N39:N40"/>
    <mergeCell ref="K9:L9"/>
    <mergeCell ref="M9:N9"/>
    <mergeCell ref="L39:L40"/>
    <mergeCell ref="M39:M40"/>
    <mergeCell ref="K10:L10"/>
    <mergeCell ref="M10:M11"/>
    <mergeCell ref="J66:J70"/>
    <mergeCell ref="K66:K70"/>
    <mergeCell ref="L66:L70"/>
    <mergeCell ref="M66:M70"/>
    <mergeCell ref="N66:N70"/>
    <mergeCell ref="S39:S40"/>
    <mergeCell ref="T39:T40"/>
    <mergeCell ref="U39:U40"/>
    <mergeCell ref="V39:V40"/>
    <mergeCell ref="W39:W40"/>
    <mergeCell ref="V101:V102"/>
    <mergeCell ref="W101:W102"/>
    <mergeCell ref="O66:O70"/>
    <mergeCell ref="V66:V70"/>
    <mergeCell ref="W66:W70"/>
    <mergeCell ref="S66:S70"/>
    <mergeCell ref="T66:T70"/>
    <mergeCell ref="U66:U70"/>
    <mergeCell ref="A104:A105"/>
    <mergeCell ref="J101:J102"/>
    <mergeCell ref="K101:K102"/>
    <mergeCell ref="L101:L102"/>
    <mergeCell ref="M101:M102"/>
    <mergeCell ref="U154:U160"/>
    <mergeCell ref="N101:N102"/>
    <mergeCell ref="O101:O102"/>
    <mergeCell ref="K154:K160"/>
    <mergeCell ref="L154:L160"/>
    <mergeCell ref="M154:M160"/>
    <mergeCell ref="N154:N160"/>
    <mergeCell ref="O154:O160"/>
    <mergeCell ref="S101:S102"/>
    <mergeCell ref="T101:T102"/>
    <mergeCell ref="U101:U102"/>
    <mergeCell ref="M181:M182"/>
    <mergeCell ref="N181:N182"/>
    <mergeCell ref="O181:O182"/>
    <mergeCell ref="S181:S182"/>
    <mergeCell ref="T154:T160"/>
    <mergeCell ref="V154:V160"/>
    <mergeCell ref="W154:W160"/>
    <mergeCell ref="T181:T182"/>
    <mergeCell ref="A251:B251"/>
    <mergeCell ref="A250:B250"/>
    <mergeCell ref="S185:S187"/>
    <mergeCell ref="T185:T187"/>
    <mergeCell ref="U185:U187"/>
    <mergeCell ref="V181:V182"/>
    <mergeCell ref="W181:W182"/>
    <mergeCell ref="U181:U182"/>
    <mergeCell ref="S154:S160"/>
    <mergeCell ref="A176:A177"/>
    <mergeCell ref="J181:J182"/>
    <mergeCell ref="K181:K182"/>
    <mergeCell ref="L181:L182"/>
    <mergeCell ref="V185:V187"/>
    <mergeCell ref="W185:W187"/>
    <mergeCell ref="A193:A194"/>
    <mergeCell ref="J185:J187"/>
    <mergeCell ref="K185:K187"/>
    <mergeCell ref="L185:L187"/>
    <mergeCell ref="M185:M187"/>
    <mergeCell ref="N185:N187"/>
    <mergeCell ref="O185:O187"/>
    <mergeCell ref="A253:B253"/>
    <mergeCell ref="A256:B256"/>
    <mergeCell ref="L258:M258"/>
    <mergeCell ref="F259:G259"/>
    <mergeCell ref="A195:A196"/>
    <mergeCell ref="A198:A199"/>
    <mergeCell ref="A203:A204"/>
    <mergeCell ref="A206:B206"/>
    <mergeCell ref="A252:B252"/>
  </mergeCells>
  <pageMargins left="0.19685039370078741" right="0.19685039370078741" top="0.23622047244094491" bottom="0.23622047244094491" header="0.15748031496062992" footer="0.19685039370078741"/>
  <pageSetup paperSize="9" scale="30" fitToHeight="11" orientation="landscape" r:id="rId1"/>
  <customProperties>
    <customPr name="krista_fm_consts" r:id="rId2"/>
  </customProperties>
</worksheet>
</file>

<file path=xl/worksheets/sheet21.xml><?xml version="1.0" encoding="utf-8"?>
<worksheet xmlns="http://schemas.openxmlformats.org/spreadsheetml/2006/main" xmlns:r="http://schemas.openxmlformats.org/officeDocument/2006/relationships">
  <sheetPr>
    <pageSetUpPr fitToPage="1"/>
  </sheetPr>
  <dimension ref="A1:X260"/>
  <sheetViews>
    <sheetView topLeftCell="A79" zoomScale="60" zoomScaleNormal="60" zoomScaleSheetLayoutView="40" workbookViewId="0">
      <selection activeCell="E93" sqref="E93"/>
    </sheetView>
  </sheetViews>
  <sheetFormatPr defaultColWidth="9.140625" defaultRowHeight="30"/>
  <cols>
    <col min="1" max="1" width="12.710937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0.28515625" style="714" customWidth="1"/>
    <col min="10" max="10" width="22.5703125" style="497" customWidth="1"/>
    <col min="11" max="11" width="22" style="497"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16384" width="9.140625" style="497"/>
  </cols>
  <sheetData>
    <row r="1" spans="1:24">
      <c r="A1" s="2359"/>
      <c r="B1" s="2359"/>
      <c r="C1" s="817"/>
      <c r="D1" s="817"/>
      <c r="E1" s="817"/>
      <c r="F1" s="817"/>
      <c r="G1" s="817"/>
      <c r="H1" s="817"/>
      <c r="I1" s="817"/>
      <c r="K1" s="2384"/>
      <c r="L1" s="2384"/>
      <c r="M1" s="2384"/>
      <c r="N1" s="2384"/>
    </row>
    <row r="2" spans="1:24" hidden="1">
      <c r="B2" s="1239"/>
      <c r="C2" s="714"/>
      <c r="D2" s="1239"/>
      <c r="E2" s="1239"/>
      <c r="L2" s="714"/>
    </row>
    <row r="3" spans="1:24" s="467" customFormat="1" hidden="1">
      <c r="A3" s="860"/>
      <c r="B3" s="859"/>
      <c r="C3" s="715"/>
      <c r="D3" s="716"/>
      <c r="E3" s="716"/>
      <c r="F3" s="715"/>
      <c r="G3" s="716"/>
      <c r="H3" s="716"/>
      <c r="I3" s="2312"/>
      <c r="J3" s="2312"/>
      <c r="K3" s="2312"/>
      <c r="L3" s="2312"/>
      <c r="N3" s="717"/>
      <c r="O3" s="1221"/>
      <c r="P3" s="1221"/>
      <c r="T3" s="1107"/>
      <c r="U3" s="1108"/>
      <c r="V3" s="1107"/>
      <c r="W3" s="1107"/>
      <c r="X3" s="1217"/>
    </row>
    <row r="4" spans="1:24"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row>
    <row r="5" spans="1:24" s="467" customFormat="1" ht="38.2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row>
    <row r="6" spans="1:24"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row>
    <row r="7" spans="1:24" s="467" customFormat="1" ht="38.25" customHeight="1">
      <c r="A7" s="2473" t="s">
        <v>1328</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row>
    <row r="8" spans="1:24" s="467" customFormat="1" ht="36" customHeight="1">
      <c r="A8" s="1072"/>
      <c r="B8" s="1072"/>
      <c r="C8" s="1064">
        <f>C14-C9</f>
        <v>6957.5</v>
      </c>
      <c r="D8" s="1064">
        <f>D14-D9</f>
        <v>6957.9</v>
      </c>
      <c r="E8" s="1064"/>
      <c r="F8" s="1064">
        <f>F14-F9</f>
        <v>15854.8</v>
      </c>
      <c r="G8" s="1064"/>
      <c r="H8" s="1064"/>
      <c r="I8" s="1200">
        <f>I14-I9</f>
        <v>0.1</v>
      </c>
      <c r="J8" s="1057"/>
      <c r="K8" s="1064"/>
      <c r="L8" s="1057"/>
      <c r="M8" s="1057"/>
      <c r="N8" s="1057"/>
      <c r="O8" s="1221"/>
      <c r="P8" s="1221"/>
      <c r="Q8" s="858"/>
      <c r="T8" s="1107"/>
      <c r="U8" s="1108"/>
      <c r="V8" s="1107"/>
      <c r="W8" s="1107"/>
      <c r="X8" s="1217"/>
    </row>
    <row r="9" spans="1:24" s="1063" customFormat="1" ht="25.5" customHeight="1">
      <c r="A9" s="1073"/>
      <c r="B9" s="1073"/>
      <c r="C9" s="1059">
        <v>4936384.47</v>
      </c>
      <c r="D9" s="1306">
        <v>3966910.8</v>
      </c>
      <c r="E9" s="1058"/>
      <c r="F9" s="1058">
        <v>4876408.7</v>
      </c>
      <c r="G9" s="1058"/>
      <c r="H9" s="1060"/>
      <c r="I9" s="1201">
        <v>184088.8</v>
      </c>
      <c r="J9" s="2423"/>
      <c r="K9" s="2423"/>
      <c r="N9" s="1062" t="s">
        <v>230</v>
      </c>
      <c r="O9" s="1221"/>
      <c r="P9" s="2423" t="s">
        <v>377</v>
      </c>
      <c r="Q9" s="2423"/>
      <c r="T9" s="1107"/>
      <c r="U9" s="1108"/>
      <c r="V9" s="1107"/>
      <c r="W9" s="1107"/>
      <c r="X9" s="1212"/>
    </row>
    <row r="10" spans="1:24" s="791" customFormat="1" ht="70.5" customHeight="1">
      <c r="A10" s="2394" t="s">
        <v>18</v>
      </c>
      <c r="B10" s="2395" t="s">
        <v>0</v>
      </c>
      <c r="C10" s="2396" t="s">
        <v>614</v>
      </c>
      <c r="D10" s="2424" t="s">
        <v>257</v>
      </c>
      <c r="E10" s="2424"/>
      <c r="F10" s="2396" t="s">
        <v>442</v>
      </c>
      <c r="G10" s="2424" t="s">
        <v>257</v>
      </c>
      <c r="H10" s="2424"/>
      <c r="I10" s="2407" t="s">
        <v>237</v>
      </c>
      <c r="J10" s="2424" t="s">
        <v>257</v>
      </c>
      <c r="K10" s="2424"/>
      <c r="L10" s="2396" t="s">
        <v>1313</v>
      </c>
      <c r="M10" s="2424" t="s">
        <v>448</v>
      </c>
      <c r="N10" s="2424"/>
      <c r="O10" s="2460" t="s">
        <v>1110</v>
      </c>
      <c r="P10" s="2460" t="s">
        <v>1106</v>
      </c>
      <c r="T10" s="1099"/>
      <c r="U10" s="1100"/>
      <c r="V10" s="1099"/>
      <c r="W10" s="1099"/>
      <c r="X10" s="1216"/>
    </row>
    <row r="11" spans="1:24" s="791" customFormat="1" ht="150" customHeight="1">
      <c r="A11" s="2394"/>
      <c r="B11" s="2395"/>
      <c r="C11" s="2396"/>
      <c r="D11" s="905" t="s">
        <v>1074</v>
      </c>
      <c r="E11" s="905" t="s">
        <v>258</v>
      </c>
      <c r="F11" s="2396"/>
      <c r="G11" s="905" t="s">
        <v>1074</v>
      </c>
      <c r="H11" s="905" t="s">
        <v>258</v>
      </c>
      <c r="I11" s="2408"/>
      <c r="J11" s="905" t="s">
        <v>1074</v>
      </c>
      <c r="K11" s="905" t="s">
        <v>258</v>
      </c>
      <c r="L11" s="2396"/>
      <c r="M11" s="905" t="s">
        <v>1074</v>
      </c>
      <c r="N11" s="905" t="s">
        <v>258</v>
      </c>
      <c r="O11" s="2461"/>
      <c r="P11" s="2461"/>
      <c r="T11" s="1099"/>
      <c r="U11" s="1100"/>
      <c r="V11" s="1099"/>
      <c r="W11" s="1099"/>
      <c r="X11" s="1216"/>
    </row>
    <row r="12" spans="1:24" ht="26.25">
      <c r="A12" s="263">
        <v>1</v>
      </c>
      <c r="B12" s="263">
        <v>2</v>
      </c>
      <c r="C12" s="263">
        <v>3</v>
      </c>
      <c r="D12" s="263">
        <v>4</v>
      </c>
      <c r="E12" s="263">
        <v>5</v>
      </c>
      <c r="F12" s="721">
        <v>7</v>
      </c>
      <c r="G12" s="721">
        <v>8</v>
      </c>
      <c r="H12" s="721">
        <v>9</v>
      </c>
      <c r="I12" s="721">
        <v>6</v>
      </c>
      <c r="J12" s="721">
        <v>7</v>
      </c>
      <c r="K12" s="721">
        <v>8</v>
      </c>
      <c r="L12" s="721">
        <v>9</v>
      </c>
      <c r="M12" s="721">
        <v>10</v>
      </c>
      <c r="N12" s="721">
        <v>11</v>
      </c>
      <c r="O12" s="30">
        <v>10</v>
      </c>
      <c r="P12" s="30">
        <v>11</v>
      </c>
      <c r="Q12" s="497" t="s">
        <v>791</v>
      </c>
      <c r="T12" s="1206"/>
      <c r="U12" s="1207"/>
      <c r="V12" s="1206"/>
      <c r="W12" s="1206"/>
    </row>
    <row r="13" spans="1:24" s="914" customFormat="1" ht="43.5" customHeight="1">
      <c r="A13" s="944"/>
      <c r="B13" s="1234" t="s">
        <v>10</v>
      </c>
      <c r="C13" s="917">
        <f>SUM(D13:E13)</f>
        <v>6143508.4000000004</v>
      </c>
      <c r="D13" s="917">
        <f>SUM(D14,D202)</f>
        <v>4883368.7</v>
      </c>
      <c r="E13" s="917">
        <f>SUM(E14,E202)</f>
        <v>1260139.7</v>
      </c>
      <c r="F13" s="917">
        <f>SUM(G13:H13)</f>
        <v>6090537.5999999996</v>
      </c>
      <c r="G13" s="917">
        <f>SUM(G14,G202)</f>
        <v>4850936.5</v>
      </c>
      <c r="H13" s="917">
        <f>SUM(H14,H202)</f>
        <v>1239601.1000000001</v>
      </c>
      <c r="I13" s="1307">
        <f>SUM(J13:K13)</f>
        <v>372605.4</v>
      </c>
      <c r="J13" s="1307">
        <f>SUM(J14,J202)</f>
        <v>288722.40000000002</v>
      </c>
      <c r="K13" s="1307">
        <f>SUM(K14,K202)</f>
        <v>83883</v>
      </c>
      <c r="L13" s="918">
        <f t="shared" ref="L13:N14" si="0">IF(I13=0,0,I13/F13*100)</f>
        <v>6.1</v>
      </c>
      <c r="M13" s="918">
        <f t="shared" si="0"/>
        <v>6</v>
      </c>
      <c r="N13" s="918">
        <f t="shared" si="0"/>
        <v>6.8</v>
      </c>
      <c r="O13" s="1232" t="s">
        <v>353</v>
      </c>
      <c r="P13" s="1232"/>
      <c r="Q13" s="1229">
        <f t="shared" ref="Q13:S78" si="1">C13-F13</f>
        <v>52970.8</v>
      </c>
      <c r="R13" s="1229">
        <f t="shared" si="1"/>
        <v>32432.2</v>
      </c>
      <c r="S13" s="1229">
        <f t="shared" si="1"/>
        <v>20538.599999999999</v>
      </c>
      <c r="T13" s="1230"/>
      <c r="U13" s="1231"/>
      <c r="V13" s="1230"/>
      <c r="W13" s="1230"/>
      <c r="X13" s="1216"/>
    </row>
    <row r="14" spans="1:24" s="914" customFormat="1" ht="71.25" customHeight="1">
      <c r="A14" s="2401" t="s">
        <v>453</v>
      </c>
      <c r="B14" s="2401"/>
      <c r="C14" s="917">
        <f>D14+E14</f>
        <v>4943342</v>
      </c>
      <c r="D14" s="917">
        <f>SUM(D16,D88)</f>
        <v>3973868.7</v>
      </c>
      <c r="E14" s="917">
        <f>SUM(E16,E88)</f>
        <v>969473.3</v>
      </c>
      <c r="F14" s="917">
        <f>G14+H14</f>
        <v>4892263.5</v>
      </c>
      <c r="G14" s="917">
        <f>SUM(G16,G88)</f>
        <v>3943135.3</v>
      </c>
      <c r="H14" s="917">
        <f>SUM(H16,H88)</f>
        <v>949128.2</v>
      </c>
      <c r="I14" s="917">
        <f>J14+K14</f>
        <v>184088.9</v>
      </c>
      <c r="J14" s="917">
        <f>SUM(J16,J88)</f>
        <v>127769.3</v>
      </c>
      <c r="K14" s="917">
        <f>SUM(K16,K88)</f>
        <v>56319.6</v>
      </c>
      <c r="L14" s="918">
        <f t="shared" si="0"/>
        <v>3.8</v>
      </c>
      <c r="M14" s="920">
        <f t="shared" si="0"/>
        <v>3.2</v>
      </c>
      <c r="N14" s="920">
        <f t="shared" si="0"/>
        <v>5.9</v>
      </c>
      <c r="O14" s="1232" t="s">
        <v>353</v>
      </c>
      <c r="P14" s="1232" t="s">
        <v>353</v>
      </c>
      <c r="Q14" s="1229">
        <f t="shared" si="1"/>
        <v>51078.5</v>
      </c>
      <c r="R14" s="1229">
        <f t="shared" si="1"/>
        <v>30733.4</v>
      </c>
      <c r="S14" s="1229">
        <f t="shared" si="1"/>
        <v>20345.099999999999</v>
      </c>
      <c r="T14" s="1230"/>
      <c r="U14" s="1231"/>
      <c r="V14" s="1230"/>
      <c r="W14" s="1230"/>
      <c r="X14" s="1216"/>
    </row>
    <row r="15" spans="1:24" s="914" customFormat="1" ht="54" hidden="1">
      <c r="A15" s="944" t="s">
        <v>6</v>
      </c>
      <c r="B15" s="1234" t="s">
        <v>437</v>
      </c>
      <c r="C15" s="922"/>
      <c r="D15" s="922"/>
      <c r="E15" s="922"/>
      <c r="F15" s="922"/>
      <c r="G15" s="922"/>
      <c r="H15" s="922"/>
      <c r="I15" s="922"/>
      <c r="J15" s="922"/>
      <c r="K15" s="922"/>
      <c r="L15" s="923"/>
      <c r="M15" s="924"/>
      <c r="N15" s="924"/>
      <c r="O15" s="1214"/>
      <c r="P15" s="1214"/>
      <c r="Q15" s="1065">
        <f t="shared" si="1"/>
        <v>0</v>
      </c>
      <c r="R15" s="1065">
        <f t="shared" si="1"/>
        <v>0</v>
      </c>
      <c r="S15" s="1065">
        <f t="shared" si="1"/>
        <v>0</v>
      </c>
      <c r="T15" s="1099"/>
      <c r="U15" s="1100"/>
      <c r="V15" s="1099"/>
      <c r="W15" s="1099"/>
      <c r="X15" s="1216"/>
    </row>
    <row r="16" spans="1:24" s="914" customFormat="1" ht="117" customHeight="1">
      <c r="A16" s="926" t="s">
        <v>6</v>
      </c>
      <c r="B16" s="1259" t="s">
        <v>439</v>
      </c>
      <c r="C16" s="926">
        <f>SUM(D16:E16)</f>
        <v>1359991.3</v>
      </c>
      <c r="D16" s="926">
        <f>SUM(D17)</f>
        <v>1097694.5</v>
      </c>
      <c r="E16" s="926">
        <f>SUM(E17)</f>
        <v>262296.8</v>
      </c>
      <c r="F16" s="926">
        <f>SUM(G16:H16)</f>
        <v>1312315.8999999999</v>
      </c>
      <c r="G16" s="926">
        <f>SUM(G17)</f>
        <v>1054660.8</v>
      </c>
      <c r="H16" s="926">
        <f>SUM(H17)</f>
        <v>257655.1</v>
      </c>
      <c r="I16" s="926">
        <f>SUM(J16:K16)</f>
        <v>46819.7</v>
      </c>
      <c r="J16" s="926">
        <f>SUM(J17)</f>
        <v>42247.199999999997</v>
      </c>
      <c r="K16" s="926">
        <f>SUM(K17)</f>
        <v>4572.5</v>
      </c>
      <c r="L16" s="927">
        <f t="shared" ref="L16:N37" si="2">IF(I16=0,0,I16/F16*100)</f>
        <v>3.6</v>
      </c>
      <c r="M16" s="928">
        <f t="shared" si="2"/>
        <v>4</v>
      </c>
      <c r="N16" s="928">
        <f t="shared" si="2"/>
        <v>1.8</v>
      </c>
      <c r="O16" s="1233" t="s">
        <v>353</v>
      </c>
      <c r="P16" s="1233" t="s">
        <v>353</v>
      </c>
      <c r="Q16" s="1065">
        <f t="shared" si="1"/>
        <v>47675.4</v>
      </c>
      <c r="R16" s="1065">
        <f t="shared" si="1"/>
        <v>43033.7</v>
      </c>
      <c r="S16" s="1065">
        <f t="shared" si="1"/>
        <v>4641.7</v>
      </c>
      <c r="T16" s="1114"/>
      <c r="U16" s="1100"/>
      <c r="V16" s="1099"/>
      <c r="W16" s="1099"/>
      <c r="X16" s="1216"/>
    </row>
    <row r="17" spans="1:24" s="914" customFormat="1" ht="63.75" customHeight="1">
      <c r="A17" s="929" t="s">
        <v>253</v>
      </c>
      <c r="B17" s="1260" t="s">
        <v>41</v>
      </c>
      <c r="C17" s="929">
        <f>SUM(D17:E17)</f>
        <v>1359991.3</v>
      </c>
      <c r="D17" s="929">
        <f>SUM(D18:D19,D20,D22,D25,D27,D30,D33,D35,D40,D44,D47,D49,D53,D58,D60,D62,D70,D64,D21,D56)</f>
        <v>1097694.5</v>
      </c>
      <c r="E17" s="929">
        <f>SUM(E18:E19,E20,E22,E25,E27,E30,E33,E35,E40,E44,E47,E49,E53,E58,E60,E62,E70,E64,E21,E56)</f>
        <v>262296.8</v>
      </c>
      <c r="F17" s="929">
        <f>SUM(G17:H17)</f>
        <v>1312315.8999999999</v>
      </c>
      <c r="G17" s="929">
        <f>SUM(G18:G19,G20,G22,G25,G27,G30,G33,G35,G40,G44,G47,G49,G53,G58,G60,G62,G70,G64,G21,G56)</f>
        <v>1054660.8</v>
      </c>
      <c r="H17" s="929">
        <f>SUM(H18:H19,H20,H22,H25,H27,H30,H33,H35,H40,H44,H47,H49,H53,H58,H60,H62,H70,H64,H21,H56)</f>
        <v>257655.1</v>
      </c>
      <c r="I17" s="929">
        <f>SUM(J17:K17)</f>
        <v>46819.7</v>
      </c>
      <c r="J17" s="929">
        <f>SUM(J18:J19,J20,J22,J25,J27,J30,J33,J35,J40,J44,J47,J49,J53,J58,J60,J62,J70,J64,J21,J56)</f>
        <v>42247.199999999997</v>
      </c>
      <c r="K17" s="929">
        <f>SUM(K18:K19,K20,K22,K25,K27,K30,K33,K35,K40,K44,K47,K49,K53,K58,K60,K62,K70,K64,K21,K56)</f>
        <v>4572.5</v>
      </c>
      <c r="L17" s="930">
        <f t="shared" si="2"/>
        <v>3.6</v>
      </c>
      <c r="M17" s="931">
        <f t="shared" si="2"/>
        <v>4</v>
      </c>
      <c r="N17" s="931">
        <f t="shared" si="2"/>
        <v>1.8</v>
      </c>
      <c r="O17" s="1228" t="s">
        <v>353</v>
      </c>
      <c r="P17" s="1228" t="s">
        <v>353</v>
      </c>
      <c r="Q17" s="1065">
        <f t="shared" si="1"/>
        <v>47675.4</v>
      </c>
      <c r="R17" s="1065">
        <f t="shared" si="1"/>
        <v>43033.7</v>
      </c>
      <c r="S17" s="1065">
        <f t="shared" si="1"/>
        <v>4641.7</v>
      </c>
      <c r="T17" s="1099"/>
      <c r="U17" s="1100"/>
      <c r="V17" s="1099"/>
      <c r="W17" s="1099"/>
      <c r="X17" s="1216"/>
    </row>
    <row r="18" spans="1:24" s="736" customFormat="1" ht="105" hidden="1">
      <c r="A18" s="1244" t="s">
        <v>538</v>
      </c>
      <c r="B18" s="1066" t="s">
        <v>434</v>
      </c>
      <c r="C18" s="871">
        <f t="shared" ref="C18:C69" si="3">SUM(D18:E18)</f>
        <v>0</v>
      </c>
      <c r="D18" s="972"/>
      <c r="E18" s="972"/>
      <c r="F18" s="871">
        <f t="shared" ref="F18:F69" si="4">SUM(G18:H18)</f>
        <v>0</v>
      </c>
      <c r="G18" s="972"/>
      <c r="H18" s="972"/>
      <c r="I18" s="871">
        <f t="shared" ref="I18:I61" si="5">SUM(J18:K18)</f>
        <v>0</v>
      </c>
      <c r="J18" s="894"/>
      <c r="K18" s="894"/>
      <c r="L18" s="872">
        <f t="shared" si="2"/>
        <v>0</v>
      </c>
      <c r="M18" s="873">
        <f t="shared" si="2"/>
        <v>0</v>
      </c>
      <c r="N18" s="873">
        <f t="shared" si="2"/>
        <v>0</v>
      </c>
      <c r="O18" s="1214"/>
      <c r="P18" s="1214"/>
      <c r="Q18" s="1065">
        <f t="shared" si="1"/>
        <v>0</v>
      </c>
      <c r="R18" s="1065">
        <f t="shared" si="1"/>
        <v>0</v>
      </c>
      <c r="S18" s="1065">
        <f t="shared" si="1"/>
        <v>0</v>
      </c>
      <c r="T18" s="1099"/>
      <c r="U18" s="1100"/>
      <c r="V18" s="1099"/>
      <c r="W18" s="1099"/>
      <c r="X18" s="1216"/>
    </row>
    <row r="19" spans="1:24" s="736" customFormat="1" ht="80.25" customHeight="1">
      <c r="A19" s="1244" t="s">
        <v>538</v>
      </c>
      <c r="B19" s="1066" t="s">
        <v>1076</v>
      </c>
      <c r="C19" s="871">
        <f t="shared" si="3"/>
        <v>43468.4</v>
      </c>
      <c r="D19" s="972">
        <v>43033.7</v>
      </c>
      <c r="E19" s="972">
        <v>434.7</v>
      </c>
      <c r="F19" s="871">
        <f t="shared" si="4"/>
        <v>0</v>
      </c>
      <c r="G19" s="972">
        <v>0</v>
      </c>
      <c r="H19" s="972">
        <v>0</v>
      </c>
      <c r="I19" s="871">
        <f t="shared" si="5"/>
        <v>0</v>
      </c>
      <c r="J19" s="894">
        <v>0</v>
      </c>
      <c r="K19" s="894">
        <v>0</v>
      </c>
      <c r="L19" s="872">
        <f t="shared" si="2"/>
        <v>0</v>
      </c>
      <c r="M19" s="873">
        <f t="shared" si="2"/>
        <v>0</v>
      </c>
      <c r="N19" s="873">
        <f t="shared" si="2"/>
        <v>0</v>
      </c>
      <c r="O19" s="1214" t="s">
        <v>1171</v>
      </c>
      <c r="P19" s="1214" t="s">
        <v>1107</v>
      </c>
      <c r="Q19" s="1065">
        <f t="shared" si="1"/>
        <v>43468.4</v>
      </c>
      <c r="R19" s="1065">
        <f t="shared" si="1"/>
        <v>43033.7</v>
      </c>
      <c r="S19" s="1065">
        <f t="shared" si="1"/>
        <v>434.7</v>
      </c>
      <c r="T19" s="1099" t="s">
        <v>866</v>
      </c>
      <c r="U19" s="1100" t="s">
        <v>865</v>
      </c>
      <c r="V19" s="1099">
        <v>522</v>
      </c>
      <c r="W19" s="1099"/>
      <c r="X19" s="2474"/>
    </row>
    <row r="20" spans="1:24" s="892" customFormat="1" ht="117" customHeight="1">
      <c r="A20" s="1244" t="s">
        <v>539</v>
      </c>
      <c r="B20" s="1066" t="s">
        <v>434</v>
      </c>
      <c r="C20" s="874">
        <f>SUM(D20:E20)</f>
        <v>14736.7</v>
      </c>
      <c r="D20" s="877">
        <v>14736.7</v>
      </c>
      <c r="E20" s="877">
        <v>0</v>
      </c>
      <c r="F20" s="882">
        <f>SUM(G20:H20)</f>
        <v>14736.7</v>
      </c>
      <c r="G20" s="877">
        <v>14736.7</v>
      </c>
      <c r="H20" s="877">
        <v>0</v>
      </c>
      <c r="I20" s="882">
        <f t="shared" si="5"/>
        <v>11326.4</v>
      </c>
      <c r="J20" s="883">
        <v>11326.4</v>
      </c>
      <c r="K20" s="883">
        <v>0</v>
      </c>
      <c r="L20" s="876">
        <f t="shared" si="2"/>
        <v>76.900000000000006</v>
      </c>
      <c r="M20" s="877">
        <f t="shared" si="2"/>
        <v>76.900000000000006</v>
      </c>
      <c r="N20" s="877">
        <f t="shared" si="2"/>
        <v>0</v>
      </c>
      <c r="O20" s="1248" t="s">
        <v>1172</v>
      </c>
      <c r="P20" s="1214" t="s">
        <v>1108</v>
      </c>
      <c r="Q20" s="1065">
        <f t="shared" si="1"/>
        <v>0</v>
      </c>
      <c r="R20" s="1065">
        <f t="shared" si="1"/>
        <v>0</v>
      </c>
      <c r="S20" s="1065">
        <f t="shared" si="1"/>
        <v>0</v>
      </c>
      <c r="T20" s="1099" t="s">
        <v>961</v>
      </c>
      <c r="U20" s="1100" t="s">
        <v>962</v>
      </c>
      <c r="V20" s="1099">
        <v>522</v>
      </c>
      <c r="W20" s="1099"/>
      <c r="X20" s="2475"/>
    </row>
    <row r="21" spans="1:24" s="892" customFormat="1" ht="118.5" customHeight="1">
      <c r="A21" s="1244" t="s">
        <v>19</v>
      </c>
      <c r="B21" s="1066" t="s">
        <v>792</v>
      </c>
      <c r="C21" s="874">
        <f t="shared" si="3"/>
        <v>741029.8</v>
      </c>
      <c r="D21" s="877">
        <v>733604.7</v>
      </c>
      <c r="E21" s="877">
        <v>7425.1</v>
      </c>
      <c r="F21" s="882">
        <f t="shared" si="4"/>
        <v>741029.8</v>
      </c>
      <c r="G21" s="877">
        <v>733604.7</v>
      </c>
      <c r="H21" s="877">
        <v>7425.1</v>
      </c>
      <c r="I21" s="882">
        <f t="shared" si="5"/>
        <v>0</v>
      </c>
      <c r="J21" s="883">
        <v>0</v>
      </c>
      <c r="K21" s="883">
        <v>0</v>
      </c>
      <c r="L21" s="876">
        <f t="shared" si="2"/>
        <v>0</v>
      </c>
      <c r="M21" s="877">
        <f t="shared" si="2"/>
        <v>0</v>
      </c>
      <c r="N21" s="877">
        <f t="shared" si="2"/>
        <v>0</v>
      </c>
      <c r="O21" s="1214" t="s">
        <v>1171</v>
      </c>
      <c r="P21" s="1214" t="s">
        <v>1109</v>
      </c>
      <c r="Q21" s="1065">
        <f t="shared" si="1"/>
        <v>0</v>
      </c>
      <c r="R21" s="1065">
        <f t="shared" si="1"/>
        <v>0</v>
      </c>
      <c r="S21" s="1065">
        <f t="shared" si="1"/>
        <v>0</v>
      </c>
      <c r="T21" s="1099" t="s">
        <v>963</v>
      </c>
      <c r="U21" s="1100" t="s">
        <v>964</v>
      </c>
      <c r="V21" s="1099">
        <v>522</v>
      </c>
      <c r="W21" s="1099"/>
      <c r="X21" s="2476"/>
    </row>
    <row r="22" spans="1:24">
      <c r="A22" s="1244"/>
      <c r="B22" s="898" t="s">
        <v>283</v>
      </c>
      <c r="C22" s="874">
        <f t="shared" si="3"/>
        <v>13903.1</v>
      </c>
      <c r="D22" s="875">
        <f>SUM(D24:D24)</f>
        <v>0</v>
      </c>
      <c r="E22" s="875">
        <f>SUM(E23:E24)</f>
        <v>13903.1</v>
      </c>
      <c r="F22" s="874">
        <f t="shared" si="4"/>
        <v>13903.1</v>
      </c>
      <c r="G22" s="875">
        <f>SUM(G24:G24)</f>
        <v>0</v>
      </c>
      <c r="H22" s="875">
        <f>SUM(H23:H24)</f>
        <v>13903.1</v>
      </c>
      <c r="I22" s="874">
        <f t="shared" si="5"/>
        <v>0</v>
      </c>
      <c r="J22" s="875">
        <f>SUM(J24:J24)</f>
        <v>0</v>
      </c>
      <c r="K22" s="875">
        <f>SUM(K24:K24)</f>
        <v>0</v>
      </c>
      <c r="L22" s="876">
        <f t="shared" si="2"/>
        <v>0</v>
      </c>
      <c r="M22" s="877">
        <f t="shared" si="2"/>
        <v>0</v>
      </c>
      <c r="N22" s="877">
        <f t="shared" si="2"/>
        <v>0</v>
      </c>
      <c r="O22" s="1214" t="s">
        <v>353</v>
      </c>
      <c r="P22" s="1214" t="s">
        <v>353</v>
      </c>
      <c r="Q22" s="1065">
        <f t="shared" si="1"/>
        <v>0</v>
      </c>
      <c r="R22" s="1065">
        <f t="shared" si="1"/>
        <v>0</v>
      </c>
      <c r="S22" s="1065">
        <f t="shared" si="1"/>
        <v>0</v>
      </c>
    </row>
    <row r="23" spans="1:24" ht="115.5" customHeight="1">
      <c r="A23" s="1244" t="s">
        <v>20</v>
      </c>
      <c r="B23" s="1279" t="s">
        <v>1119</v>
      </c>
      <c r="C23" s="871">
        <f>SUM(D23:E23)</f>
        <v>5016.7</v>
      </c>
      <c r="D23" s="1249">
        <v>0</v>
      </c>
      <c r="E23" s="1249">
        <v>5016.7</v>
      </c>
      <c r="F23" s="874">
        <f>SUM(G23:H23)</f>
        <v>5016.7</v>
      </c>
      <c r="G23" s="1085">
        <v>0</v>
      </c>
      <c r="H23" s="1085">
        <v>5016.7</v>
      </c>
      <c r="I23" s="1083">
        <f>SUM(J23:K23)</f>
        <v>0</v>
      </c>
      <c r="J23" s="1083">
        <v>0</v>
      </c>
      <c r="K23" s="1083">
        <v>0</v>
      </c>
      <c r="L23" s="877">
        <f t="shared" si="2"/>
        <v>0</v>
      </c>
      <c r="M23" s="877">
        <f t="shared" si="2"/>
        <v>0</v>
      </c>
      <c r="N23" s="877">
        <f t="shared" si="2"/>
        <v>0</v>
      </c>
      <c r="O23" s="1214" t="s">
        <v>1171</v>
      </c>
      <c r="P23" s="1214" t="s">
        <v>1120</v>
      </c>
      <c r="Q23" s="1065"/>
      <c r="R23" s="1065"/>
      <c r="S23" s="1065"/>
      <c r="T23" s="1099" t="s">
        <v>954</v>
      </c>
      <c r="U23" s="1100" t="s">
        <v>976</v>
      </c>
      <c r="V23" s="1099">
        <v>522</v>
      </c>
      <c r="W23" s="1099">
        <v>24356</v>
      </c>
    </row>
    <row r="24" spans="1:24" ht="95.25" customHeight="1">
      <c r="A24" s="1244" t="s">
        <v>467</v>
      </c>
      <c r="B24" s="1084" t="s">
        <v>770</v>
      </c>
      <c r="C24" s="871">
        <f>SUM(D24:E24)</f>
        <v>8886.4</v>
      </c>
      <c r="D24" s="1249">
        <v>0</v>
      </c>
      <c r="E24" s="1249">
        <v>8886.4</v>
      </c>
      <c r="F24" s="874">
        <f>SUM(G24:H24)</f>
        <v>8886.4</v>
      </c>
      <c r="G24" s="1085">
        <v>0</v>
      </c>
      <c r="H24" s="1085">
        <v>8886.4</v>
      </c>
      <c r="I24" s="1083">
        <f t="shared" si="5"/>
        <v>0</v>
      </c>
      <c r="J24" s="1083">
        <v>0</v>
      </c>
      <c r="K24" s="1083">
        <v>0</v>
      </c>
      <c r="L24" s="877">
        <f t="shared" si="2"/>
        <v>0</v>
      </c>
      <c r="M24" s="877">
        <f t="shared" si="2"/>
        <v>0</v>
      </c>
      <c r="N24" s="877">
        <f t="shared" si="2"/>
        <v>0</v>
      </c>
      <c r="O24" s="1214" t="s">
        <v>1124</v>
      </c>
      <c r="P24" s="1214" t="s">
        <v>1121</v>
      </c>
      <c r="Q24" s="1065">
        <f t="shared" si="1"/>
        <v>0</v>
      </c>
      <c r="R24" s="1065">
        <f t="shared" si="1"/>
        <v>0</v>
      </c>
      <c r="S24" s="1065">
        <f t="shared" si="1"/>
        <v>0</v>
      </c>
      <c r="T24" s="1099" t="s">
        <v>926</v>
      </c>
      <c r="U24" s="1100" t="s">
        <v>965</v>
      </c>
      <c r="V24" s="1099">
        <v>522</v>
      </c>
      <c r="W24" s="1099" t="s">
        <v>975</v>
      </c>
    </row>
    <row r="25" spans="1:24">
      <c r="A25" s="1244"/>
      <c r="B25" s="898" t="s">
        <v>724</v>
      </c>
      <c r="C25" s="871">
        <f t="shared" si="3"/>
        <v>8700</v>
      </c>
      <c r="D25" s="1250">
        <f>D26</f>
        <v>0</v>
      </c>
      <c r="E25" s="1250">
        <f>E26</f>
        <v>8700</v>
      </c>
      <c r="F25" s="874">
        <f t="shared" si="4"/>
        <v>8700</v>
      </c>
      <c r="G25" s="875">
        <f>G26</f>
        <v>0</v>
      </c>
      <c r="H25" s="875">
        <f>H26</f>
        <v>8700</v>
      </c>
      <c r="I25" s="874">
        <f t="shared" si="5"/>
        <v>0</v>
      </c>
      <c r="J25" s="875">
        <f>J26</f>
        <v>0</v>
      </c>
      <c r="K25" s="875">
        <f>K26</f>
        <v>0</v>
      </c>
      <c r="L25" s="876">
        <f t="shared" si="2"/>
        <v>0</v>
      </c>
      <c r="M25" s="877">
        <f t="shared" si="2"/>
        <v>0</v>
      </c>
      <c r="N25" s="877">
        <f t="shared" si="2"/>
        <v>0</v>
      </c>
      <c r="O25" s="1214" t="s">
        <v>353</v>
      </c>
      <c r="P25" s="1214" t="s">
        <v>353</v>
      </c>
      <c r="Q25" s="1065">
        <f t="shared" si="1"/>
        <v>0</v>
      </c>
      <c r="R25" s="1065">
        <f t="shared" si="1"/>
        <v>0</v>
      </c>
      <c r="S25" s="1065">
        <f t="shared" si="1"/>
        <v>0</v>
      </c>
    </row>
    <row r="26" spans="1:24" ht="150.75" customHeight="1">
      <c r="A26" s="1244" t="s">
        <v>468</v>
      </c>
      <c r="B26" s="1084" t="s">
        <v>861</v>
      </c>
      <c r="C26" s="894">
        <f t="shared" si="3"/>
        <v>8700</v>
      </c>
      <c r="D26" s="1249">
        <v>0</v>
      </c>
      <c r="E26" s="1249">
        <v>8700</v>
      </c>
      <c r="F26" s="1083">
        <f t="shared" si="4"/>
        <v>8700</v>
      </c>
      <c r="G26" s="1085">
        <v>0</v>
      </c>
      <c r="H26" s="1085">
        <v>8700</v>
      </c>
      <c r="I26" s="1083">
        <f t="shared" si="5"/>
        <v>0</v>
      </c>
      <c r="J26" s="1083">
        <v>0</v>
      </c>
      <c r="K26" s="1083">
        <v>0</v>
      </c>
      <c r="L26" s="877">
        <f t="shared" si="2"/>
        <v>0</v>
      </c>
      <c r="M26" s="877">
        <f t="shared" si="2"/>
        <v>0</v>
      </c>
      <c r="N26" s="877">
        <f t="shared" si="2"/>
        <v>0</v>
      </c>
      <c r="O26" s="1214" t="s">
        <v>1173</v>
      </c>
      <c r="P26" s="1248" t="s">
        <v>1122</v>
      </c>
      <c r="Q26" s="1065">
        <f t="shared" si="1"/>
        <v>0</v>
      </c>
      <c r="R26" s="1065">
        <f t="shared" si="1"/>
        <v>0</v>
      </c>
      <c r="S26" s="1065">
        <f t="shared" si="1"/>
        <v>0</v>
      </c>
      <c r="T26" s="1099" t="s">
        <v>886</v>
      </c>
      <c r="U26" s="1100" t="s">
        <v>966</v>
      </c>
      <c r="V26" s="1099">
        <v>522</v>
      </c>
      <c r="W26" s="1099" t="s">
        <v>977</v>
      </c>
    </row>
    <row r="27" spans="1:24" s="700" customFormat="1">
      <c r="A27" s="1244"/>
      <c r="B27" s="1074" t="s">
        <v>12</v>
      </c>
      <c r="C27" s="871">
        <f t="shared" si="3"/>
        <v>13835</v>
      </c>
      <c r="D27" s="1251">
        <f>SUM(D28:D29)</f>
        <v>0</v>
      </c>
      <c r="E27" s="1251">
        <f>SUM(E28:E29)</f>
        <v>13835</v>
      </c>
      <c r="F27" s="874">
        <f t="shared" si="4"/>
        <v>13835</v>
      </c>
      <c r="G27" s="880">
        <f>SUM(G28:G29)</f>
        <v>0</v>
      </c>
      <c r="H27" s="880">
        <f>SUM(H28:H29)</f>
        <v>13835</v>
      </c>
      <c r="I27" s="874">
        <f t="shared" si="5"/>
        <v>0</v>
      </c>
      <c r="J27" s="874">
        <f>SUM(J28:J29)</f>
        <v>0</v>
      </c>
      <c r="K27" s="874">
        <f>SUM(K28:K29)</f>
        <v>0</v>
      </c>
      <c r="L27" s="876">
        <f t="shared" si="2"/>
        <v>0</v>
      </c>
      <c r="M27" s="876">
        <f t="shared" si="2"/>
        <v>0</v>
      </c>
      <c r="N27" s="876">
        <f t="shared" si="2"/>
        <v>0</v>
      </c>
      <c r="O27" s="1214" t="s">
        <v>353</v>
      </c>
      <c r="P27" s="1215" t="s">
        <v>353</v>
      </c>
      <c r="Q27" s="1065">
        <f t="shared" si="1"/>
        <v>0</v>
      </c>
      <c r="R27" s="1065">
        <f t="shared" si="1"/>
        <v>0</v>
      </c>
      <c r="S27" s="1065">
        <f t="shared" si="1"/>
        <v>0</v>
      </c>
      <c r="T27" s="1099"/>
      <c r="U27" s="1100"/>
      <c r="V27" s="1099"/>
      <c r="W27" s="1099"/>
      <c r="X27" s="1218"/>
    </row>
    <row r="28" spans="1:24" ht="84" customHeight="1">
      <c r="A28" s="1244" t="s">
        <v>685</v>
      </c>
      <c r="B28" s="1075" t="s">
        <v>1037</v>
      </c>
      <c r="C28" s="871">
        <f t="shared" si="3"/>
        <v>7000</v>
      </c>
      <c r="D28" s="972">
        <v>0</v>
      </c>
      <c r="E28" s="972">
        <v>7000</v>
      </c>
      <c r="F28" s="874">
        <f t="shared" si="4"/>
        <v>7000</v>
      </c>
      <c r="G28" s="879">
        <v>0</v>
      </c>
      <c r="H28" s="879">
        <v>7000</v>
      </c>
      <c r="I28" s="874">
        <f t="shared" si="5"/>
        <v>0</v>
      </c>
      <c r="J28" s="1083">
        <v>0</v>
      </c>
      <c r="K28" s="1083">
        <v>0</v>
      </c>
      <c r="L28" s="876">
        <f t="shared" si="2"/>
        <v>0</v>
      </c>
      <c r="M28" s="877">
        <f t="shared" si="2"/>
        <v>0</v>
      </c>
      <c r="N28" s="877">
        <f t="shared" si="2"/>
        <v>0</v>
      </c>
      <c r="O28" s="1214" t="s">
        <v>1171</v>
      </c>
      <c r="P28" s="1214" t="s">
        <v>1111</v>
      </c>
      <c r="Q28" s="1065">
        <f t="shared" si="1"/>
        <v>0</v>
      </c>
      <c r="R28" s="1065">
        <f t="shared" si="1"/>
        <v>0</v>
      </c>
      <c r="S28" s="1065">
        <f t="shared" si="1"/>
        <v>0</v>
      </c>
      <c r="T28" s="1099" t="s">
        <v>886</v>
      </c>
      <c r="U28" s="1100" t="s">
        <v>970</v>
      </c>
      <c r="V28" s="1099">
        <v>522</v>
      </c>
      <c r="W28" s="1099">
        <v>24351</v>
      </c>
    </row>
    <row r="29" spans="1:24" ht="54" customHeight="1">
      <c r="A29" s="1244" t="s">
        <v>687</v>
      </c>
      <c r="B29" s="1075" t="s">
        <v>1038</v>
      </c>
      <c r="C29" s="871">
        <f>SUM(D29:E29)</f>
        <v>6835</v>
      </c>
      <c r="D29" s="972">
        <v>0</v>
      </c>
      <c r="E29" s="972">
        <v>6835</v>
      </c>
      <c r="F29" s="874">
        <f>SUM(G29:H29)</f>
        <v>6835</v>
      </c>
      <c r="G29" s="879">
        <v>0</v>
      </c>
      <c r="H29" s="879">
        <v>6835</v>
      </c>
      <c r="I29" s="874">
        <f t="shared" si="5"/>
        <v>0</v>
      </c>
      <c r="J29" s="1083">
        <v>0</v>
      </c>
      <c r="K29" s="1083">
        <v>0</v>
      </c>
      <c r="L29" s="876">
        <f t="shared" si="2"/>
        <v>0</v>
      </c>
      <c r="M29" s="877">
        <f t="shared" si="2"/>
        <v>0</v>
      </c>
      <c r="N29" s="877">
        <f t="shared" si="2"/>
        <v>0</v>
      </c>
      <c r="O29" s="1214" t="s">
        <v>1171</v>
      </c>
      <c r="P29" s="1214" t="s">
        <v>1123</v>
      </c>
      <c r="Q29" s="1065">
        <f t="shared" si="1"/>
        <v>0</v>
      </c>
      <c r="R29" s="1065">
        <f t="shared" si="1"/>
        <v>0</v>
      </c>
      <c r="S29" s="1065">
        <f t="shared" si="1"/>
        <v>0</v>
      </c>
      <c r="T29" s="1099" t="s">
        <v>886</v>
      </c>
      <c r="U29" s="1100" t="s">
        <v>968</v>
      </c>
      <c r="V29" s="1099">
        <v>522</v>
      </c>
      <c r="W29" s="1099" t="s">
        <v>969</v>
      </c>
    </row>
    <row r="30" spans="1:24" s="700" customFormat="1">
      <c r="A30" s="991"/>
      <c r="B30" s="1074" t="s">
        <v>729</v>
      </c>
      <c r="C30" s="871">
        <f t="shared" si="3"/>
        <v>8500</v>
      </c>
      <c r="D30" s="1251">
        <f>SUM(D31:D32)</f>
        <v>0</v>
      </c>
      <c r="E30" s="1251">
        <f>SUM(E31:E32)</f>
        <v>8500</v>
      </c>
      <c r="F30" s="874">
        <f t="shared" si="4"/>
        <v>8500</v>
      </c>
      <c r="G30" s="880">
        <f>SUM(G31:G32)</f>
        <v>0</v>
      </c>
      <c r="H30" s="880">
        <f>SUM(H31:H32)</f>
        <v>8500</v>
      </c>
      <c r="I30" s="874">
        <f t="shared" si="5"/>
        <v>0</v>
      </c>
      <c r="J30" s="874">
        <f>SUM(J31:J32)</f>
        <v>0</v>
      </c>
      <c r="K30" s="874">
        <f>SUM(K31:K32)</f>
        <v>0</v>
      </c>
      <c r="L30" s="876">
        <f t="shared" si="2"/>
        <v>0</v>
      </c>
      <c r="M30" s="876">
        <f t="shared" si="2"/>
        <v>0</v>
      </c>
      <c r="N30" s="876">
        <f t="shared" si="2"/>
        <v>0</v>
      </c>
      <c r="O30" s="1214" t="s">
        <v>353</v>
      </c>
      <c r="P30" s="1215" t="s">
        <v>353</v>
      </c>
      <c r="Q30" s="1065">
        <f t="shared" si="1"/>
        <v>0</v>
      </c>
      <c r="R30" s="1065">
        <f t="shared" si="1"/>
        <v>0</v>
      </c>
      <c r="S30" s="1065">
        <f t="shared" si="1"/>
        <v>0</v>
      </c>
      <c r="T30" s="1099"/>
      <c r="U30" s="1100"/>
      <c r="V30" s="1099"/>
      <c r="W30" s="1099"/>
      <c r="X30" s="1218"/>
    </row>
    <row r="31" spans="1:24" ht="67.5" customHeight="1">
      <c r="A31" s="1244" t="s">
        <v>686</v>
      </c>
      <c r="B31" s="1075" t="s">
        <v>1039</v>
      </c>
      <c r="C31" s="871">
        <f t="shared" si="3"/>
        <v>7000</v>
      </c>
      <c r="D31" s="972">
        <v>0</v>
      </c>
      <c r="E31" s="972">
        <v>7000</v>
      </c>
      <c r="F31" s="874">
        <f t="shared" si="4"/>
        <v>7000</v>
      </c>
      <c r="G31" s="879">
        <v>0</v>
      </c>
      <c r="H31" s="879">
        <v>7000</v>
      </c>
      <c r="I31" s="874">
        <f t="shared" si="5"/>
        <v>0</v>
      </c>
      <c r="J31" s="1083">
        <v>0</v>
      </c>
      <c r="K31" s="1083">
        <v>0</v>
      </c>
      <c r="L31" s="876">
        <f t="shared" si="2"/>
        <v>0</v>
      </c>
      <c r="M31" s="877">
        <f t="shared" si="2"/>
        <v>0</v>
      </c>
      <c r="N31" s="877">
        <f t="shared" si="2"/>
        <v>0</v>
      </c>
      <c r="O31" s="1214" t="s">
        <v>1174</v>
      </c>
      <c r="P31" s="1214" t="s">
        <v>1112</v>
      </c>
      <c r="Q31" s="1065">
        <f t="shared" si="1"/>
        <v>0</v>
      </c>
      <c r="R31" s="1065">
        <f t="shared" si="1"/>
        <v>0</v>
      </c>
      <c r="S31" s="1065">
        <f t="shared" si="1"/>
        <v>0</v>
      </c>
      <c r="T31" s="1099" t="s">
        <v>926</v>
      </c>
      <c r="U31" s="1100" t="s">
        <v>970</v>
      </c>
      <c r="V31" s="1099">
        <v>522</v>
      </c>
      <c r="W31" s="1099" t="s">
        <v>993</v>
      </c>
    </row>
    <row r="32" spans="1:24" ht="66" customHeight="1">
      <c r="A32" s="1244" t="s">
        <v>688</v>
      </c>
      <c r="B32" s="1075" t="s">
        <v>1040</v>
      </c>
      <c r="C32" s="871">
        <f t="shared" si="3"/>
        <v>1500</v>
      </c>
      <c r="D32" s="972">
        <v>0</v>
      </c>
      <c r="E32" s="972">
        <v>1500</v>
      </c>
      <c r="F32" s="874">
        <f t="shared" si="4"/>
        <v>1500</v>
      </c>
      <c r="G32" s="879">
        <v>0</v>
      </c>
      <c r="H32" s="879">
        <v>1500</v>
      </c>
      <c r="I32" s="874">
        <f t="shared" si="5"/>
        <v>0</v>
      </c>
      <c r="J32" s="1083">
        <v>0</v>
      </c>
      <c r="K32" s="1083">
        <v>0</v>
      </c>
      <c r="L32" s="876">
        <f t="shared" si="2"/>
        <v>0</v>
      </c>
      <c r="M32" s="877">
        <f t="shared" si="2"/>
        <v>0</v>
      </c>
      <c r="N32" s="877">
        <f t="shared" si="2"/>
        <v>0</v>
      </c>
      <c r="O32" s="1214" t="s">
        <v>1171</v>
      </c>
      <c r="P32" s="1214"/>
      <c r="Q32" s="1065">
        <f t="shared" si="1"/>
        <v>0</v>
      </c>
      <c r="R32" s="1065">
        <f t="shared" si="1"/>
        <v>0</v>
      </c>
      <c r="S32" s="1065">
        <f t="shared" si="1"/>
        <v>0</v>
      </c>
      <c r="T32" s="1099" t="s">
        <v>923</v>
      </c>
      <c r="U32" s="1100" t="s">
        <v>970</v>
      </c>
      <c r="V32" s="1099">
        <v>522</v>
      </c>
      <c r="W32" s="1099" t="s">
        <v>992</v>
      </c>
    </row>
    <row r="33" spans="1:24" s="700" customFormat="1">
      <c r="A33" s="1244"/>
      <c r="B33" s="1074" t="s">
        <v>615</v>
      </c>
      <c r="C33" s="871">
        <f t="shared" si="3"/>
        <v>10156</v>
      </c>
      <c r="D33" s="1251">
        <f>D34</f>
        <v>0</v>
      </c>
      <c r="E33" s="1251">
        <f>E34</f>
        <v>10156</v>
      </c>
      <c r="F33" s="874">
        <f t="shared" si="4"/>
        <v>10156</v>
      </c>
      <c r="G33" s="880">
        <f>G34</f>
        <v>0</v>
      </c>
      <c r="H33" s="880">
        <f>H34</f>
        <v>10156</v>
      </c>
      <c r="I33" s="874">
        <f t="shared" si="5"/>
        <v>0</v>
      </c>
      <c r="J33" s="874">
        <f>J34</f>
        <v>0</v>
      </c>
      <c r="K33" s="874">
        <f>K34</f>
        <v>0</v>
      </c>
      <c r="L33" s="876">
        <f t="shared" si="2"/>
        <v>0</v>
      </c>
      <c r="M33" s="876">
        <f t="shared" si="2"/>
        <v>0</v>
      </c>
      <c r="N33" s="876">
        <f t="shared" si="2"/>
        <v>0</v>
      </c>
      <c r="O33" s="1214" t="s">
        <v>353</v>
      </c>
      <c r="P33" s="1215" t="s">
        <v>353</v>
      </c>
      <c r="Q33" s="1065">
        <f t="shared" si="1"/>
        <v>0</v>
      </c>
      <c r="R33" s="1065">
        <f t="shared" si="1"/>
        <v>0</v>
      </c>
      <c r="S33" s="1065">
        <f t="shared" si="1"/>
        <v>0</v>
      </c>
      <c r="T33" s="1099"/>
      <c r="U33" s="1100"/>
      <c r="V33" s="1099"/>
      <c r="W33" s="1099"/>
      <c r="X33" s="1218"/>
    </row>
    <row r="34" spans="1:24" ht="55.5" customHeight="1">
      <c r="A34" s="1244" t="s">
        <v>98</v>
      </c>
      <c r="B34" s="1075" t="s">
        <v>673</v>
      </c>
      <c r="C34" s="871">
        <f t="shared" si="3"/>
        <v>10156</v>
      </c>
      <c r="D34" s="972">
        <v>0</v>
      </c>
      <c r="E34" s="972">
        <v>10156</v>
      </c>
      <c r="F34" s="874">
        <f t="shared" si="4"/>
        <v>10156</v>
      </c>
      <c r="G34" s="879">
        <v>0</v>
      </c>
      <c r="H34" s="879">
        <v>10156</v>
      </c>
      <c r="I34" s="874">
        <f t="shared" si="5"/>
        <v>0</v>
      </c>
      <c r="J34" s="1083">
        <v>0</v>
      </c>
      <c r="K34" s="1083">
        <v>0</v>
      </c>
      <c r="L34" s="876">
        <f t="shared" si="2"/>
        <v>0</v>
      </c>
      <c r="M34" s="877">
        <f t="shared" si="2"/>
        <v>0</v>
      </c>
      <c r="N34" s="877">
        <f t="shared" si="2"/>
        <v>0</v>
      </c>
      <c r="O34" s="1214" t="s">
        <v>1175</v>
      </c>
      <c r="P34" s="1214" t="s">
        <v>1113</v>
      </c>
      <c r="Q34" s="1065">
        <f t="shared" si="1"/>
        <v>0</v>
      </c>
      <c r="R34" s="1065">
        <f t="shared" si="1"/>
        <v>0</v>
      </c>
      <c r="S34" s="1065">
        <f t="shared" si="1"/>
        <v>0</v>
      </c>
      <c r="T34" s="1099" t="s">
        <v>926</v>
      </c>
      <c r="U34" s="1100" t="s">
        <v>965</v>
      </c>
      <c r="V34" s="1099">
        <v>522</v>
      </c>
      <c r="W34" s="1099">
        <v>24345</v>
      </c>
    </row>
    <row r="35" spans="1:24">
      <c r="A35" s="991"/>
      <c r="B35" s="898" t="s">
        <v>68</v>
      </c>
      <c r="C35" s="871">
        <f t="shared" si="3"/>
        <v>23520</v>
      </c>
      <c r="D35" s="1250">
        <f>SUM(D36:D39)</f>
        <v>0</v>
      </c>
      <c r="E35" s="1250">
        <f>SUM(E36:E39)</f>
        <v>23520</v>
      </c>
      <c r="F35" s="874">
        <f t="shared" si="4"/>
        <v>23520</v>
      </c>
      <c r="G35" s="875">
        <f>SUM(G36:G39)</f>
        <v>0</v>
      </c>
      <c r="H35" s="875">
        <f>SUM(H36:H39)</f>
        <v>23520</v>
      </c>
      <c r="I35" s="874">
        <f t="shared" si="5"/>
        <v>312.5</v>
      </c>
      <c r="J35" s="875">
        <f>SUM(J36:J39)</f>
        <v>0</v>
      </c>
      <c r="K35" s="875">
        <f>SUM(K36:K39)</f>
        <v>312.5</v>
      </c>
      <c r="L35" s="876">
        <f t="shared" si="2"/>
        <v>1.3</v>
      </c>
      <c r="M35" s="877">
        <f t="shared" si="2"/>
        <v>0</v>
      </c>
      <c r="N35" s="877">
        <f t="shared" si="2"/>
        <v>1.3</v>
      </c>
      <c r="O35" s="1214" t="s">
        <v>353</v>
      </c>
      <c r="P35" s="1214" t="s">
        <v>353</v>
      </c>
      <c r="Q35" s="1065">
        <f t="shared" si="1"/>
        <v>0</v>
      </c>
      <c r="R35" s="1065">
        <f t="shared" si="1"/>
        <v>0</v>
      </c>
      <c r="S35" s="1065">
        <f t="shared" si="1"/>
        <v>0</v>
      </c>
    </row>
    <row r="36" spans="1:24" ht="90" customHeight="1">
      <c r="A36" s="1244" t="s">
        <v>99</v>
      </c>
      <c r="B36" s="1084" t="s">
        <v>1041</v>
      </c>
      <c r="C36" s="894">
        <f t="shared" si="3"/>
        <v>1240</v>
      </c>
      <c r="D36" s="1249">
        <v>0</v>
      </c>
      <c r="E36" s="1249">
        <v>1240</v>
      </c>
      <c r="F36" s="1083">
        <f t="shared" si="4"/>
        <v>1240</v>
      </c>
      <c r="G36" s="1085">
        <v>0</v>
      </c>
      <c r="H36" s="1085">
        <v>1240</v>
      </c>
      <c r="I36" s="1083">
        <f t="shared" si="5"/>
        <v>312.5</v>
      </c>
      <c r="J36" s="1083">
        <v>0</v>
      </c>
      <c r="K36" s="1083">
        <v>312.5</v>
      </c>
      <c r="L36" s="877">
        <f t="shared" si="2"/>
        <v>25.2</v>
      </c>
      <c r="M36" s="877">
        <f t="shared" si="2"/>
        <v>0</v>
      </c>
      <c r="N36" s="877">
        <f t="shared" si="2"/>
        <v>25.2</v>
      </c>
      <c r="O36" s="1214" t="s">
        <v>1176</v>
      </c>
      <c r="P36" s="1214" t="s">
        <v>1125</v>
      </c>
      <c r="Q36" s="1065">
        <f t="shared" si="1"/>
        <v>0</v>
      </c>
      <c r="R36" s="1065">
        <f t="shared" si="1"/>
        <v>0</v>
      </c>
      <c r="S36" s="1065">
        <f t="shared" si="1"/>
        <v>0</v>
      </c>
      <c r="T36" s="1099" t="s">
        <v>886</v>
      </c>
      <c r="U36" s="1100" t="s">
        <v>967</v>
      </c>
      <c r="V36" s="1099">
        <v>522</v>
      </c>
      <c r="W36" s="1099" t="s">
        <v>969</v>
      </c>
    </row>
    <row r="37" spans="1:24" ht="89.25" customHeight="1">
      <c r="A37" s="1244" t="s">
        <v>100</v>
      </c>
      <c r="B37" s="1084" t="s">
        <v>1095</v>
      </c>
      <c r="C37" s="894">
        <f>SUM(D37:E37)</f>
        <v>6280</v>
      </c>
      <c r="D37" s="1249">
        <v>0</v>
      </c>
      <c r="E37" s="1249">
        <v>6280</v>
      </c>
      <c r="F37" s="1083">
        <f>SUM(G37:H37)</f>
        <v>6280</v>
      </c>
      <c r="G37" s="1085">
        <v>0</v>
      </c>
      <c r="H37" s="1085">
        <v>6280</v>
      </c>
      <c r="I37" s="1083">
        <f>SUM(J37:K37)</f>
        <v>0</v>
      </c>
      <c r="J37" s="1083">
        <v>0</v>
      </c>
      <c r="K37" s="1083">
        <v>0</v>
      </c>
      <c r="L37" s="877">
        <f t="shared" si="2"/>
        <v>0</v>
      </c>
      <c r="M37" s="877">
        <f t="shared" si="2"/>
        <v>0</v>
      </c>
      <c r="N37" s="877">
        <f t="shared" si="2"/>
        <v>0</v>
      </c>
      <c r="O37" s="1214" t="s">
        <v>1171</v>
      </c>
      <c r="P37" s="1214" t="s">
        <v>1128</v>
      </c>
      <c r="Q37" s="1065"/>
      <c r="R37" s="1065"/>
      <c r="S37" s="1065"/>
      <c r="T37" s="1099" t="s">
        <v>961</v>
      </c>
      <c r="U37" s="1100">
        <v>1240343280</v>
      </c>
      <c r="V37" s="1099">
        <v>522</v>
      </c>
      <c r="W37" s="1099" t="s">
        <v>971</v>
      </c>
    </row>
    <row r="38" spans="1:24" ht="166.5" customHeight="1">
      <c r="A38" s="1244" t="s">
        <v>101</v>
      </c>
      <c r="B38" s="1084" t="s">
        <v>1043</v>
      </c>
      <c r="C38" s="894">
        <f t="shared" si="3"/>
        <v>6000</v>
      </c>
      <c r="D38" s="1249">
        <v>0</v>
      </c>
      <c r="E38" s="1249">
        <v>6000</v>
      </c>
      <c r="F38" s="1083">
        <f t="shared" si="4"/>
        <v>6000</v>
      </c>
      <c r="G38" s="1085">
        <v>0</v>
      </c>
      <c r="H38" s="1085">
        <v>6000</v>
      </c>
      <c r="I38" s="2440">
        <f t="shared" si="5"/>
        <v>0</v>
      </c>
      <c r="J38" s="2440">
        <v>0</v>
      </c>
      <c r="K38" s="2440">
        <v>0</v>
      </c>
      <c r="L38" s="2418">
        <f>IF(I38=0,0,I38/F38:F39*100)</f>
        <v>0</v>
      </c>
      <c r="M38" s="2418">
        <f>IF(J38=0,0,J38/G38:G39*100)</f>
        <v>0</v>
      </c>
      <c r="N38" s="2418">
        <f>IF(K38=0,0,K38/H38:H39*100)</f>
        <v>0</v>
      </c>
      <c r="O38" s="1213" t="s">
        <v>1177</v>
      </c>
      <c r="P38" s="1213" t="s">
        <v>1126</v>
      </c>
      <c r="Q38" s="1065">
        <f t="shared" si="1"/>
        <v>0</v>
      </c>
      <c r="R38" s="1065">
        <f t="shared" si="1"/>
        <v>0</v>
      </c>
      <c r="S38" s="1065">
        <f t="shared" si="1"/>
        <v>0</v>
      </c>
      <c r="T38" s="2409" t="s">
        <v>886</v>
      </c>
      <c r="U38" s="2409" t="s">
        <v>966</v>
      </c>
      <c r="V38" s="2409">
        <v>522</v>
      </c>
      <c r="W38" s="2409" t="s">
        <v>977</v>
      </c>
      <c r="X38" s="2471"/>
    </row>
    <row r="39" spans="1:24" ht="198.75" customHeight="1">
      <c r="A39" s="1244" t="s">
        <v>102</v>
      </c>
      <c r="B39" s="1084" t="s">
        <v>1044</v>
      </c>
      <c r="C39" s="894">
        <f t="shared" si="3"/>
        <v>10000</v>
      </c>
      <c r="D39" s="1249">
        <v>0</v>
      </c>
      <c r="E39" s="1249">
        <v>10000</v>
      </c>
      <c r="F39" s="1083">
        <f t="shared" si="4"/>
        <v>10000</v>
      </c>
      <c r="G39" s="1085">
        <v>0</v>
      </c>
      <c r="H39" s="1085">
        <v>10000</v>
      </c>
      <c r="I39" s="2441"/>
      <c r="J39" s="2441"/>
      <c r="K39" s="2441"/>
      <c r="L39" s="2419"/>
      <c r="M39" s="2419"/>
      <c r="N39" s="2419"/>
      <c r="O39" s="1213" t="s">
        <v>1178</v>
      </c>
      <c r="P39" s="1213" t="s">
        <v>1127</v>
      </c>
      <c r="Q39" s="1065">
        <f t="shared" si="1"/>
        <v>0</v>
      </c>
      <c r="R39" s="1065">
        <f t="shared" si="1"/>
        <v>0</v>
      </c>
      <c r="S39" s="1065">
        <f t="shared" si="1"/>
        <v>0</v>
      </c>
      <c r="T39" s="2409"/>
      <c r="U39" s="2409"/>
      <c r="V39" s="2409"/>
      <c r="W39" s="2409"/>
      <c r="X39" s="2471"/>
    </row>
    <row r="40" spans="1:24">
      <c r="A40" s="1244"/>
      <c r="B40" s="898" t="s">
        <v>281</v>
      </c>
      <c r="C40" s="871">
        <f t="shared" si="3"/>
        <v>21207</v>
      </c>
      <c r="D40" s="1250">
        <f>SUM(D42:D43)</f>
        <v>0</v>
      </c>
      <c r="E40" s="1250">
        <f>SUM(E41:E43)</f>
        <v>21207</v>
      </c>
      <c r="F40" s="874">
        <f t="shared" si="4"/>
        <v>17000</v>
      </c>
      <c r="G40" s="875">
        <f>SUM(G42:G43)</f>
        <v>0</v>
      </c>
      <c r="H40" s="875">
        <f>SUM(H41:H43)</f>
        <v>17000</v>
      </c>
      <c r="I40" s="874">
        <f t="shared" si="5"/>
        <v>0</v>
      </c>
      <c r="J40" s="875">
        <f>SUM(J42:J43)</f>
        <v>0</v>
      </c>
      <c r="K40" s="875">
        <f>SUM(K42:K43)</f>
        <v>0</v>
      </c>
      <c r="L40" s="876">
        <f t="shared" ref="L40:N64" si="6">IF(I40=0,0,I40/F40*100)</f>
        <v>0</v>
      </c>
      <c r="M40" s="877">
        <f t="shared" si="6"/>
        <v>0</v>
      </c>
      <c r="N40" s="877">
        <f t="shared" si="6"/>
        <v>0</v>
      </c>
      <c r="O40" s="1214" t="s">
        <v>353</v>
      </c>
      <c r="P40" s="1214" t="s">
        <v>353</v>
      </c>
      <c r="Q40" s="1065">
        <f t="shared" si="1"/>
        <v>4207</v>
      </c>
      <c r="R40" s="1065">
        <f t="shared" si="1"/>
        <v>0</v>
      </c>
      <c r="S40" s="1065">
        <f t="shared" si="1"/>
        <v>4207</v>
      </c>
    </row>
    <row r="41" spans="1:24" ht="69.75">
      <c r="A41" s="1244" t="s">
        <v>103</v>
      </c>
      <c r="B41" s="1279" t="s">
        <v>682</v>
      </c>
      <c r="C41" s="894">
        <f>SUM(D41:E41)</f>
        <v>4207</v>
      </c>
      <c r="D41" s="1249">
        <v>0</v>
      </c>
      <c r="E41" s="1249">
        <v>4207</v>
      </c>
      <c r="F41" s="1083">
        <f>SUM(G41:H41)</f>
        <v>0</v>
      </c>
      <c r="G41" s="1085">
        <v>0</v>
      </c>
      <c r="H41" s="1085">
        <v>0</v>
      </c>
      <c r="I41" s="1083">
        <f>SUM(J41:K41)</f>
        <v>0</v>
      </c>
      <c r="J41" s="1083">
        <v>0</v>
      </c>
      <c r="K41" s="1083">
        <v>0</v>
      </c>
      <c r="L41" s="877">
        <f t="shared" si="6"/>
        <v>0</v>
      </c>
      <c r="M41" s="877">
        <f t="shared" si="6"/>
        <v>0</v>
      </c>
      <c r="N41" s="877">
        <f t="shared" si="6"/>
        <v>0</v>
      </c>
      <c r="O41" s="1214" t="s">
        <v>353</v>
      </c>
      <c r="P41" s="1214" t="s">
        <v>1114</v>
      </c>
      <c r="Q41" s="1065"/>
      <c r="R41" s="1065"/>
      <c r="S41" s="1065"/>
      <c r="T41" s="1099" t="s">
        <v>928</v>
      </c>
      <c r="U41" s="1100" t="s">
        <v>988</v>
      </c>
      <c r="V41" s="1099">
        <v>522</v>
      </c>
      <c r="W41" s="1099" t="s">
        <v>989</v>
      </c>
    </row>
    <row r="42" spans="1:24" ht="101.25" customHeight="1">
      <c r="A42" s="1244" t="s">
        <v>107</v>
      </c>
      <c r="B42" s="1084" t="s">
        <v>675</v>
      </c>
      <c r="C42" s="894">
        <f t="shared" si="3"/>
        <v>13000</v>
      </c>
      <c r="D42" s="1249">
        <v>0</v>
      </c>
      <c r="E42" s="1249">
        <v>13000</v>
      </c>
      <c r="F42" s="1083">
        <f t="shared" si="4"/>
        <v>13000</v>
      </c>
      <c r="G42" s="1085">
        <v>0</v>
      </c>
      <c r="H42" s="1085">
        <v>13000</v>
      </c>
      <c r="I42" s="1083">
        <f t="shared" si="5"/>
        <v>0</v>
      </c>
      <c r="J42" s="1083">
        <v>0</v>
      </c>
      <c r="K42" s="1083">
        <v>0</v>
      </c>
      <c r="L42" s="877">
        <f t="shared" si="6"/>
        <v>0</v>
      </c>
      <c r="M42" s="877">
        <f t="shared" si="6"/>
        <v>0</v>
      </c>
      <c r="N42" s="877">
        <f t="shared" si="6"/>
        <v>0</v>
      </c>
      <c r="O42" s="1248" t="s">
        <v>1179</v>
      </c>
      <c r="P42" s="1248" t="s">
        <v>1130</v>
      </c>
      <c r="Q42" s="1067">
        <f t="shared" si="1"/>
        <v>0</v>
      </c>
      <c r="R42" s="1067">
        <f t="shared" si="1"/>
        <v>0</v>
      </c>
      <c r="S42" s="1067">
        <f t="shared" si="1"/>
        <v>0</v>
      </c>
      <c r="T42" s="1222" t="s">
        <v>886</v>
      </c>
      <c r="U42" s="1223" t="s">
        <v>967</v>
      </c>
      <c r="V42" s="1222">
        <v>522</v>
      </c>
      <c r="W42" s="1222" t="s">
        <v>983</v>
      </c>
    </row>
    <row r="43" spans="1:24" ht="131.25">
      <c r="A43" s="1244" t="s">
        <v>108</v>
      </c>
      <c r="B43" s="1084" t="s">
        <v>1045</v>
      </c>
      <c r="C43" s="894">
        <f t="shared" si="3"/>
        <v>4000</v>
      </c>
      <c r="D43" s="1249">
        <v>0</v>
      </c>
      <c r="E43" s="1249">
        <v>4000</v>
      </c>
      <c r="F43" s="1083">
        <f t="shared" si="4"/>
        <v>4000</v>
      </c>
      <c r="G43" s="1085">
        <v>0</v>
      </c>
      <c r="H43" s="1085">
        <v>4000</v>
      </c>
      <c r="I43" s="1083">
        <f t="shared" si="5"/>
        <v>0</v>
      </c>
      <c r="J43" s="1083">
        <v>0</v>
      </c>
      <c r="K43" s="1083">
        <v>0</v>
      </c>
      <c r="L43" s="877">
        <f t="shared" si="6"/>
        <v>0</v>
      </c>
      <c r="M43" s="877">
        <f t="shared" si="6"/>
        <v>0</v>
      </c>
      <c r="N43" s="877">
        <f t="shared" si="6"/>
        <v>0</v>
      </c>
      <c r="O43" s="1214" t="s">
        <v>1115</v>
      </c>
      <c r="P43" s="1214" t="s">
        <v>1129</v>
      </c>
      <c r="Q43" s="1065">
        <f t="shared" si="1"/>
        <v>0</v>
      </c>
      <c r="R43" s="1065">
        <f t="shared" si="1"/>
        <v>0</v>
      </c>
      <c r="S43" s="1065">
        <f t="shared" si="1"/>
        <v>0</v>
      </c>
      <c r="T43" s="1099" t="s">
        <v>886</v>
      </c>
      <c r="U43" s="1100">
        <v>510243220</v>
      </c>
      <c r="V43" s="1099">
        <v>522</v>
      </c>
      <c r="W43" s="1099" t="s">
        <v>979</v>
      </c>
    </row>
    <row r="44" spans="1:24">
      <c r="A44" s="1244"/>
      <c r="B44" s="898" t="s">
        <v>431</v>
      </c>
      <c r="C44" s="871">
        <f t="shared" si="3"/>
        <v>10900</v>
      </c>
      <c r="D44" s="1250">
        <f>D46</f>
        <v>0</v>
      </c>
      <c r="E44" s="1250">
        <f>SUM(E45:E46)</f>
        <v>10900</v>
      </c>
      <c r="F44" s="874">
        <f t="shared" si="4"/>
        <v>10900</v>
      </c>
      <c r="G44" s="875">
        <f>G46</f>
        <v>0</v>
      </c>
      <c r="H44" s="875">
        <f>SUM(H45:H46)</f>
        <v>10900</v>
      </c>
      <c r="I44" s="874">
        <f t="shared" si="5"/>
        <v>2286.1999999999998</v>
      </c>
      <c r="J44" s="875">
        <f>J46</f>
        <v>0</v>
      </c>
      <c r="K44" s="875">
        <f>K46</f>
        <v>2286.1999999999998</v>
      </c>
      <c r="L44" s="876">
        <f t="shared" si="6"/>
        <v>21</v>
      </c>
      <c r="M44" s="877">
        <f t="shared" si="6"/>
        <v>0</v>
      </c>
      <c r="N44" s="877">
        <f t="shared" si="6"/>
        <v>21</v>
      </c>
      <c r="O44" s="1214" t="s">
        <v>353</v>
      </c>
      <c r="P44" s="1214" t="s">
        <v>353</v>
      </c>
      <c r="Q44" s="1065">
        <f t="shared" si="1"/>
        <v>0</v>
      </c>
      <c r="R44" s="1065">
        <f t="shared" si="1"/>
        <v>0</v>
      </c>
      <c r="S44" s="1065">
        <f t="shared" si="1"/>
        <v>0</v>
      </c>
    </row>
    <row r="45" spans="1:24" ht="86.25" customHeight="1">
      <c r="A45" s="1244" t="s">
        <v>106</v>
      </c>
      <c r="B45" s="1279" t="s">
        <v>1096</v>
      </c>
      <c r="C45" s="894">
        <f t="shared" si="3"/>
        <v>6500</v>
      </c>
      <c r="D45" s="1249">
        <v>0</v>
      </c>
      <c r="E45" s="1249">
        <v>6500</v>
      </c>
      <c r="F45" s="1083">
        <f>SUM(G45:H45)</f>
        <v>6500</v>
      </c>
      <c r="G45" s="1085">
        <v>0</v>
      </c>
      <c r="H45" s="1085">
        <v>6500</v>
      </c>
      <c r="I45" s="1083">
        <f>SUM(J45:K45)</f>
        <v>0</v>
      </c>
      <c r="J45" s="1083">
        <v>0</v>
      </c>
      <c r="K45" s="1083">
        <v>0</v>
      </c>
      <c r="L45" s="877">
        <f t="shared" si="6"/>
        <v>0</v>
      </c>
      <c r="M45" s="877">
        <f t="shared" si="6"/>
        <v>0</v>
      </c>
      <c r="N45" s="877">
        <f t="shared" si="6"/>
        <v>0</v>
      </c>
      <c r="O45" s="1214" t="s">
        <v>1171</v>
      </c>
      <c r="P45" s="1214" t="s">
        <v>1128</v>
      </c>
      <c r="Q45" s="1065"/>
      <c r="R45" s="1065"/>
      <c r="S45" s="1065"/>
      <c r="T45" s="1099" t="s">
        <v>961</v>
      </c>
      <c r="U45" s="1100">
        <v>1240343280</v>
      </c>
      <c r="V45" s="1099">
        <v>522</v>
      </c>
      <c r="W45" s="1099" t="s">
        <v>971</v>
      </c>
    </row>
    <row r="46" spans="1:24" ht="111" customHeight="1">
      <c r="A46" s="1244" t="s">
        <v>109</v>
      </c>
      <c r="B46" s="1084" t="s">
        <v>676</v>
      </c>
      <c r="C46" s="894">
        <f t="shared" si="3"/>
        <v>4400</v>
      </c>
      <c r="D46" s="1249">
        <v>0</v>
      </c>
      <c r="E46" s="1249">
        <v>4400</v>
      </c>
      <c r="F46" s="1083">
        <f t="shared" si="4"/>
        <v>4400</v>
      </c>
      <c r="G46" s="1085">
        <v>0</v>
      </c>
      <c r="H46" s="1085">
        <v>4400</v>
      </c>
      <c r="I46" s="1083">
        <f t="shared" si="5"/>
        <v>2286.1999999999998</v>
      </c>
      <c r="J46" s="1083">
        <v>0</v>
      </c>
      <c r="K46" s="1083">
        <v>2286.1999999999998</v>
      </c>
      <c r="L46" s="877">
        <f t="shared" si="6"/>
        <v>52</v>
      </c>
      <c r="M46" s="877">
        <f t="shared" si="6"/>
        <v>0</v>
      </c>
      <c r="N46" s="877">
        <f t="shared" si="6"/>
        <v>52</v>
      </c>
      <c r="O46" s="1214" t="s">
        <v>1180</v>
      </c>
      <c r="P46" s="1214" t="s">
        <v>1131</v>
      </c>
      <c r="Q46" s="1065">
        <f t="shared" si="1"/>
        <v>0</v>
      </c>
      <c r="R46" s="1065">
        <f t="shared" si="1"/>
        <v>0</v>
      </c>
      <c r="S46" s="1065">
        <f t="shared" si="1"/>
        <v>0</v>
      </c>
      <c r="T46" s="1099" t="s">
        <v>886</v>
      </c>
      <c r="U46" s="1100" t="s">
        <v>972</v>
      </c>
      <c r="V46" s="1099">
        <v>522</v>
      </c>
      <c r="W46" s="1099" t="s">
        <v>978</v>
      </c>
    </row>
    <row r="47" spans="1:24">
      <c r="A47" s="1244"/>
      <c r="B47" s="898" t="s">
        <v>583</v>
      </c>
      <c r="C47" s="871">
        <f t="shared" si="3"/>
        <v>2500</v>
      </c>
      <c r="D47" s="1250">
        <f>D48</f>
        <v>0</v>
      </c>
      <c r="E47" s="1250">
        <f>E48</f>
        <v>2500</v>
      </c>
      <c r="F47" s="874">
        <f t="shared" si="4"/>
        <v>2500</v>
      </c>
      <c r="G47" s="875">
        <f>G48</f>
        <v>0</v>
      </c>
      <c r="H47" s="875">
        <f>H48</f>
        <v>2500</v>
      </c>
      <c r="I47" s="874">
        <f t="shared" si="5"/>
        <v>0</v>
      </c>
      <c r="J47" s="875">
        <f>J48</f>
        <v>0</v>
      </c>
      <c r="K47" s="875">
        <f>K48</f>
        <v>0</v>
      </c>
      <c r="L47" s="876">
        <f t="shared" si="6"/>
        <v>0</v>
      </c>
      <c r="M47" s="877">
        <f t="shared" si="6"/>
        <v>0</v>
      </c>
      <c r="N47" s="877">
        <f t="shared" si="6"/>
        <v>0</v>
      </c>
      <c r="O47" s="1214" t="s">
        <v>353</v>
      </c>
      <c r="P47" s="1214" t="s">
        <v>353</v>
      </c>
      <c r="Q47" s="1065">
        <f t="shared" si="1"/>
        <v>0</v>
      </c>
      <c r="R47" s="1065">
        <f t="shared" si="1"/>
        <v>0</v>
      </c>
      <c r="S47" s="1065">
        <f t="shared" si="1"/>
        <v>0</v>
      </c>
    </row>
    <row r="48" spans="1:24" s="1216" customFormat="1" ht="69.75">
      <c r="A48" s="1244" t="s">
        <v>117</v>
      </c>
      <c r="B48" s="1084" t="s">
        <v>1046</v>
      </c>
      <c r="C48" s="894">
        <f t="shared" si="3"/>
        <v>2500</v>
      </c>
      <c r="D48" s="1249">
        <v>0</v>
      </c>
      <c r="E48" s="1249">
        <v>2500</v>
      </c>
      <c r="F48" s="1083">
        <f t="shared" si="4"/>
        <v>2500</v>
      </c>
      <c r="G48" s="1085">
        <v>0</v>
      </c>
      <c r="H48" s="1085">
        <v>2500</v>
      </c>
      <c r="I48" s="1083">
        <f t="shared" si="5"/>
        <v>0</v>
      </c>
      <c r="J48" s="1083">
        <v>0</v>
      </c>
      <c r="K48" s="1083">
        <v>0</v>
      </c>
      <c r="L48" s="877">
        <f t="shared" si="6"/>
        <v>0</v>
      </c>
      <c r="M48" s="877">
        <f t="shared" si="6"/>
        <v>0</v>
      </c>
      <c r="N48" s="877">
        <f t="shared" si="6"/>
        <v>0</v>
      </c>
      <c r="O48" s="1214" t="s">
        <v>1181</v>
      </c>
      <c r="P48" s="1214" t="s">
        <v>1132</v>
      </c>
      <c r="Q48" s="1065">
        <f t="shared" si="1"/>
        <v>0</v>
      </c>
      <c r="R48" s="1065">
        <f t="shared" si="1"/>
        <v>0</v>
      </c>
      <c r="S48" s="1065">
        <f t="shared" si="1"/>
        <v>0</v>
      </c>
      <c r="T48" s="1099" t="s">
        <v>886</v>
      </c>
      <c r="U48" s="1100" t="s">
        <v>967</v>
      </c>
      <c r="V48" s="1099">
        <v>522</v>
      </c>
      <c r="W48" s="1099" t="s">
        <v>969</v>
      </c>
    </row>
    <row r="49" spans="1:23" s="1216" customFormat="1">
      <c r="A49" s="1244"/>
      <c r="B49" s="898" t="s">
        <v>709</v>
      </c>
      <c r="C49" s="871">
        <f>SUM(D49:E49)</f>
        <v>57350</v>
      </c>
      <c r="D49" s="1250">
        <f>SUM(D51:D52)</f>
        <v>0</v>
      </c>
      <c r="E49" s="1250">
        <f>SUM(E50:E52)</f>
        <v>57350</v>
      </c>
      <c r="F49" s="874">
        <f>SUM(G49:H49)</f>
        <v>57350</v>
      </c>
      <c r="G49" s="875">
        <f>SUM(G51:G52)</f>
        <v>0</v>
      </c>
      <c r="H49" s="875">
        <f>SUM(H50:H52)</f>
        <v>57350</v>
      </c>
      <c r="I49" s="874">
        <f>SUM(J49:K49)</f>
        <v>0</v>
      </c>
      <c r="J49" s="875">
        <f>SUM(J51:J52)</f>
        <v>0</v>
      </c>
      <c r="K49" s="875">
        <f>SUM(K51:K52)</f>
        <v>0</v>
      </c>
      <c r="L49" s="876">
        <f t="shared" si="6"/>
        <v>0</v>
      </c>
      <c r="M49" s="877">
        <f t="shared" si="6"/>
        <v>0</v>
      </c>
      <c r="N49" s="877">
        <f t="shared" si="6"/>
        <v>0</v>
      </c>
      <c r="O49" s="1214" t="s">
        <v>353</v>
      </c>
      <c r="P49" s="1214" t="s">
        <v>353</v>
      </c>
      <c r="Q49" s="1065">
        <f t="shared" si="1"/>
        <v>0</v>
      </c>
      <c r="R49" s="1065">
        <f t="shared" si="1"/>
        <v>0</v>
      </c>
      <c r="S49" s="1065">
        <f t="shared" si="1"/>
        <v>0</v>
      </c>
      <c r="T49" s="1099"/>
      <c r="U49" s="1100"/>
      <c r="V49" s="1099"/>
      <c r="W49" s="1099"/>
    </row>
    <row r="50" spans="1:23" s="1216" customFormat="1" ht="78.75">
      <c r="A50" s="1244" t="s">
        <v>118</v>
      </c>
      <c r="B50" s="1279" t="s">
        <v>1047</v>
      </c>
      <c r="C50" s="894">
        <f>SUM(D50:E50)</f>
        <v>35000</v>
      </c>
      <c r="D50" s="1249">
        <v>0</v>
      </c>
      <c r="E50" s="1249">
        <v>35000</v>
      </c>
      <c r="F50" s="1083">
        <f>SUM(G50:H50)</f>
        <v>35000</v>
      </c>
      <c r="G50" s="1085">
        <v>0</v>
      </c>
      <c r="H50" s="1085">
        <v>35000</v>
      </c>
      <c r="I50" s="1083">
        <f t="shared" si="5"/>
        <v>0</v>
      </c>
      <c r="J50" s="1083">
        <v>0</v>
      </c>
      <c r="K50" s="1083">
        <v>0</v>
      </c>
      <c r="L50" s="877">
        <f t="shared" si="6"/>
        <v>0</v>
      </c>
      <c r="M50" s="877">
        <f t="shared" si="6"/>
        <v>0</v>
      </c>
      <c r="N50" s="877">
        <f t="shared" si="6"/>
        <v>0</v>
      </c>
      <c r="O50" s="1214" t="s">
        <v>1171</v>
      </c>
      <c r="P50" s="1214" t="s">
        <v>1133</v>
      </c>
      <c r="Q50" s="1065"/>
      <c r="R50" s="1065"/>
      <c r="S50" s="1065"/>
      <c r="T50" s="1099" t="s">
        <v>961</v>
      </c>
      <c r="U50" s="1100" t="s">
        <v>990</v>
      </c>
      <c r="V50" s="1099">
        <v>522</v>
      </c>
      <c r="W50" s="1099">
        <v>24357</v>
      </c>
    </row>
    <row r="51" spans="1:23" s="1216" customFormat="1" ht="78.75">
      <c r="A51" s="1244" t="s">
        <v>154</v>
      </c>
      <c r="B51" s="1084" t="s">
        <v>1048</v>
      </c>
      <c r="C51" s="894">
        <f>SUM(D51:E51)</f>
        <v>4500</v>
      </c>
      <c r="D51" s="1249">
        <v>0</v>
      </c>
      <c r="E51" s="1249">
        <v>4500</v>
      </c>
      <c r="F51" s="1083">
        <f>SUM(G51:H51)</f>
        <v>4500</v>
      </c>
      <c r="G51" s="1085">
        <v>0</v>
      </c>
      <c r="H51" s="1085">
        <v>4500</v>
      </c>
      <c r="I51" s="1083">
        <f t="shared" si="5"/>
        <v>0</v>
      </c>
      <c r="J51" s="1083">
        <v>0</v>
      </c>
      <c r="K51" s="1083">
        <v>0</v>
      </c>
      <c r="L51" s="877">
        <f t="shared" si="6"/>
        <v>0</v>
      </c>
      <c r="M51" s="877">
        <f t="shared" si="6"/>
        <v>0</v>
      </c>
      <c r="N51" s="877">
        <f t="shared" si="6"/>
        <v>0</v>
      </c>
      <c r="O51" s="1214" t="s">
        <v>1171</v>
      </c>
      <c r="P51" s="1214" t="s">
        <v>1116</v>
      </c>
      <c r="Q51" s="1065">
        <f t="shared" si="1"/>
        <v>0</v>
      </c>
      <c r="R51" s="1065">
        <f t="shared" si="1"/>
        <v>0</v>
      </c>
      <c r="S51" s="1065">
        <f t="shared" si="1"/>
        <v>0</v>
      </c>
      <c r="T51" s="1099" t="s">
        <v>886</v>
      </c>
      <c r="U51" s="1100" t="s">
        <v>967</v>
      </c>
      <c r="V51" s="1099">
        <v>522</v>
      </c>
      <c r="W51" s="1099" t="s">
        <v>991</v>
      </c>
    </row>
    <row r="52" spans="1:23" s="1216" customFormat="1" ht="78.75">
      <c r="A52" s="1244" t="s">
        <v>155</v>
      </c>
      <c r="B52" s="1084" t="s">
        <v>1049</v>
      </c>
      <c r="C52" s="894">
        <f t="shared" si="3"/>
        <v>17850</v>
      </c>
      <c r="D52" s="1249">
        <v>0</v>
      </c>
      <c r="E52" s="1249">
        <v>17850</v>
      </c>
      <c r="F52" s="1083">
        <f t="shared" si="4"/>
        <v>17850</v>
      </c>
      <c r="G52" s="1085">
        <v>0</v>
      </c>
      <c r="H52" s="1085">
        <v>17850</v>
      </c>
      <c r="I52" s="1083">
        <f t="shared" si="5"/>
        <v>0</v>
      </c>
      <c r="J52" s="1083">
        <v>0</v>
      </c>
      <c r="K52" s="1083">
        <v>0</v>
      </c>
      <c r="L52" s="877">
        <f t="shared" si="6"/>
        <v>0</v>
      </c>
      <c r="M52" s="877">
        <f t="shared" si="6"/>
        <v>0</v>
      </c>
      <c r="N52" s="877">
        <f t="shared" si="6"/>
        <v>0</v>
      </c>
      <c r="O52" s="1214" t="s">
        <v>1171</v>
      </c>
      <c r="P52" s="1214" t="s">
        <v>1116</v>
      </c>
      <c r="Q52" s="1065">
        <f t="shared" si="1"/>
        <v>0</v>
      </c>
      <c r="R52" s="1065">
        <f t="shared" si="1"/>
        <v>0</v>
      </c>
      <c r="S52" s="1065">
        <f t="shared" si="1"/>
        <v>0</v>
      </c>
      <c r="T52" s="1099" t="s">
        <v>886</v>
      </c>
      <c r="U52" s="1100" t="s">
        <v>967</v>
      </c>
      <c r="V52" s="1099">
        <v>522</v>
      </c>
      <c r="W52" s="1099" t="s">
        <v>969</v>
      </c>
    </row>
    <row r="53" spans="1:23" s="1216" customFormat="1">
      <c r="A53" s="1244"/>
      <c r="B53" s="898" t="s">
        <v>333</v>
      </c>
      <c r="C53" s="871">
        <f t="shared" si="3"/>
        <v>9843</v>
      </c>
      <c r="D53" s="1250">
        <f>SUM(D54:D55)</f>
        <v>0</v>
      </c>
      <c r="E53" s="1250">
        <f>SUM(E54:E55)</f>
        <v>9843</v>
      </c>
      <c r="F53" s="874">
        <f t="shared" si="4"/>
        <v>9843</v>
      </c>
      <c r="G53" s="875">
        <f>SUM(G54:G55)</f>
        <v>0</v>
      </c>
      <c r="H53" s="875">
        <f>SUM(H54:H55)</f>
        <v>9843</v>
      </c>
      <c r="I53" s="874">
        <f>SUM(J53:K53)</f>
        <v>0</v>
      </c>
      <c r="J53" s="875">
        <f>SUM(J54:J55)</f>
        <v>0</v>
      </c>
      <c r="K53" s="875">
        <f>SUM(K54:K55)</f>
        <v>0</v>
      </c>
      <c r="L53" s="876">
        <f t="shared" si="6"/>
        <v>0</v>
      </c>
      <c r="M53" s="877">
        <f t="shared" si="6"/>
        <v>0</v>
      </c>
      <c r="N53" s="877">
        <f t="shared" si="6"/>
        <v>0</v>
      </c>
      <c r="O53" s="1214" t="s">
        <v>353</v>
      </c>
      <c r="P53" s="1214" t="s">
        <v>353</v>
      </c>
      <c r="Q53" s="1065">
        <f t="shared" si="1"/>
        <v>0</v>
      </c>
      <c r="R53" s="1065">
        <f t="shared" si="1"/>
        <v>0</v>
      </c>
      <c r="S53" s="1065">
        <f t="shared" si="1"/>
        <v>0</v>
      </c>
      <c r="T53" s="1099"/>
      <c r="U53" s="1100"/>
      <c r="V53" s="1099"/>
      <c r="W53" s="1099"/>
    </row>
    <row r="54" spans="1:23" s="1216" customFormat="1" ht="52.5">
      <c r="A54" s="1244" t="s">
        <v>156</v>
      </c>
      <c r="B54" s="1084" t="s">
        <v>1051</v>
      </c>
      <c r="C54" s="894">
        <f>SUM(D54:E54)</f>
        <v>3000</v>
      </c>
      <c r="D54" s="1249">
        <v>0</v>
      </c>
      <c r="E54" s="1249">
        <v>3000</v>
      </c>
      <c r="F54" s="1083">
        <f>SUM(G54:H54)</f>
        <v>3000</v>
      </c>
      <c r="G54" s="1085">
        <v>0</v>
      </c>
      <c r="H54" s="1085">
        <v>3000</v>
      </c>
      <c r="I54" s="1083">
        <f t="shared" si="5"/>
        <v>0</v>
      </c>
      <c r="J54" s="1083">
        <v>0</v>
      </c>
      <c r="K54" s="1083">
        <v>0</v>
      </c>
      <c r="L54" s="877">
        <f t="shared" si="6"/>
        <v>0</v>
      </c>
      <c r="M54" s="877">
        <f t="shared" si="6"/>
        <v>0</v>
      </c>
      <c r="N54" s="877">
        <f t="shared" si="6"/>
        <v>0</v>
      </c>
      <c r="O54" s="1214" t="s">
        <v>1171</v>
      </c>
      <c r="P54" s="1214" t="s">
        <v>1116</v>
      </c>
      <c r="Q54" s="1065">
        <f t="shared" si="1"/>
        <v>0</v>
      </c>
      <c r="R54" s="1065">
        <f t="shared" si="1"/>
        <v>0</v>
      </c>
      <c r="S54" s="1065">
        <f t="shared" si="1"/>
        <v>0</v>
      </c>
      <c r="T54" s="1099" t="s">
        <v>886</v>
      </c>
      <c r="U54" s="1100" t="s">
        <v>967</v>
      </c>
      <c r="V54" s="1099">
        <v>522</v>
      </c>
      <c r="W54" s="1099" t="s">
        <v>994</v>
      </c>
    </row>
    <row r="55" spans="1:23" s="1216" customFormat="1" ht="52.5">
      <c r="A55" s="1244" t="s">
        <v>122</v>
      </c>
      <c r="B55" s="1084" t="s">
        <v>1050</v>
      </c>
      <c r="C55" s="894">
        <f t="shared" si="3"/>
        <v>6843</v>
      </c>
      <c r="D55" s="1249">
        <v>0</v>
      </c>
      <c r="E55" s="1249">
        <v>6843</v>
      </c>
      <c r="F55" s="1083">
        <f t="shared" si="4"/>
        <v>6843</v>
      </c>
      <c r="G55" s="1085">
        <v>0</v>
      </c>
      <c r="H55" s="1085">
        <v>6843</v>
      </c>
      <c r="I55" s="1083">
        <f t="shared" si="5"/>
        <v>0</v>
      </c>
      <c r="J55" s="1083">
        <v>0</v>
      </c>
      <c r="K55" s="1083">
        <v>0</v>
      </c>
      <c r="L55" s="877">
        <f t="shared" si="6"/>
        <v>0</v>
      </c>
      <c r="M55" s="877">
        <f t="shared" si="6"/>
        <v>0</v>
      </c>
      <c r="N55" s="877">
        <f t="shared" si="6"/>
        <v>0</v>
      </c>
      <c r="O55" s="1214" t="s">
        <v>1171</v>
      </c>
      <c r="P55" s="1214" t="s">
        <v>1116</v>
      </c>
      <c r="Q55" s="1065">
        <f t="shared" si="1"/>
        <v>0</v>
      </c>
      <c r="R55" s="1065">
        <f t="shared" si="1"/>
        <v>0</v>
      </c>
      <c r="S55" s="1065">
        <f t="shared" si="1"/>
        <v>0</v>
      </c>
      <c r="T55" s="1099" t="s">
        <v>886</v>
      </c>
      <c r="U55" s="1100" t="s">
        <v>967</v>
      </c>
      <c r="V55" s="1099">
        <v>522</v>
      </c>
      <c r="W55" s="1099" t="s">
        <v>995</v>
      </c>
    </row>
    <row r="56" spans="1:23" s="1216" customFormat="1">
      <c r="A56" s="1244"/>
      <c r="B56" s="898" t="s">
        <v>443</v>
      </c>
      <c r="C56" s="871">
        <f>SUM(D56:E56)</f>
        <v>4368</v>
      </c>
      <c r="D56" s="1250">
        <f>D57</f>
        <v>0</v>
      </c>
      <c r="E56" s="1250">
        <f>E57</f>
        <v>4368</v>
      </c>
      <c r="F56" s="874">
        <f>SUM(G56:H56)</f>
        <v>4368</v>
      </c>
      <c r="G56" s="875">
        <f>G57</f>
        <v>0</v>
      </c>
      <c r="H56" s="875">
        <f>H57</f>
        <v>4368</v>
      </c>
      <c r="I56" s="874">
        <f>SUM(J56:K56)</f>
        <v>0</v>
      </c>
      <c r="J56" s="875">
        <f>J57</f>
        <v>0</v>
      </c>
      <c r="K56" s="875">
        <f>K57</f>
        <v>0</v>
      </c>
      <c r="L56" s="876">
        <f t="shared" si="6"/>
        <v>0</v>
      </c>
      <c r="M56" s="877">
        <f t="shared" si="6"/>
        <v>0</v>
      </c>
      <c r="N56" s="877">
        <f t="shared" si="6"/>
        <v>0</v>
      </c>
      <c r="O56" s="1214" t="s">
        <v>353</v>
      </c>
      <c r="P56" s="1214" t="s">
        <v>353</v>
      </c>
      <c r="Q56" s="1065">
        <f t="shared" si="1"/>
        <v>0</v>
      </c>
      <c r="R56" s="1065">
        <f t="shared" si="1"/>
        <v>0</v>
      </c>
      <c r="S56" s="1065">
        <f t="shared" si="1"/>
        <v>0</v>
      </c>
      <c r="T56" s="1099"/>
      <c r="U56" s="1100"/>
      <c r="V56" s="1099"/>
      <c r="W56" s="1099"/>
    </row>
    <row r="57" spans="1:23" s="1216" customFormat="1" ht="52.5">
      <c r="A57" s="1244" t="s">
        <v>123</v>
      </c>
      <c r="B57" s="1084" t="s">
        <v>1052</v>
      </c>
      <c r="C57" s="894">
        <f>SUM(D57:E57)</f>
        <v>4368</v>
      </c>
      <c r="D57" s="1249">
        <v>0</v>
      </c>
      <c r="E57" s="1249">
        <v>4368</v>
      </c>
      <c r="F57" s="1083">
        <f>SUM(G57:H57)</f>
        <v>4368</v>
      </c>
      <c r="G57" s="1085">
        <v>0</v>
      </c>
      <c r="H57" s="1085">
        <v>4368</v>
      </c>
      <c r="I57" s="1083">
        <f t="shared" si="5"/>
        <v>0</v>
      </c>
      <c r="J57" s="1083">
        <v>0</v>
      </c>
      <c r="K57" s="1083">
        <v>0</v>
      </c>
      <c r="L57" s="877">
        <f t="shared" si="6"/>
        <v>0</v>
      </c>
      <c r="M57" s="877">
        <f t="shared" si="6"/>
        <v>0</v>
      </c>
      <c r="N57" s="877">
        <f t="shared" si="6"/>
        <v>0</v>
      </c>
      <c r="O57" s="1214" t="s">
        <v>1171</v>
      </c>
      <c r="P57" s="1214" t="s">
        <v>1116</v>
      </c>
      <c r="Q57" s="1065">
        <f t="shared" si="1"/>
        <v>0</v>
      </c>
      <c r="R57" s="1065">
        <f t="shared" si="1"/>
        <v>0</v>
      </c>
      <c r="S57" s="1065">
        <f t="shared" si="1"/>
        <v>0</v>
      </c>
      <c r="T57" s="1099" t="s">
        <v>886</v>
      </c>
      <c r="U57" s="1100" t="s">
        <v>967</v>
      </c>
      <c r="V57" s="1099">
        <v>522</v>
      </c>
      <c r="W57" s="1099" t="s">
        <v>986</v>
      </c>
    </row>
    <row r="58" spans="1:23" s="1216" customFormat="1">
      <c r="A58" s="1244"/>
      <c r="B58" s="898" t="s">
        <v>90</v>
      </c>
      <c r="C58" s="871">
        <f t="shared" si="3"/>
        <v>1300</v>
      </c>
      <c r="D58" s="1250">
        <f>D59</f>
        <v>0</v>
      </c>
      <c r="E58" s="1250">
        <f>E59</f>
        <v>1300</v>
      </c>
      <c r="F58" s="874">
        <f t="shared" si="4"/>
        <v>1300</v>
      </c>
      <c r="G58" s="875">
        <f>G59</f>
        <v>0</v>
      </c>
      <c r="H58" s="875">
        <f>H59</f>
        <v>1300</v>
      </c>
      <c r="I58" s="874">
        <f>SUM(J58:K58)</f>
        <v>0</v>
      </c>
      <c r="J58" s="875">
        <f>J59</f>
        <v>0</v>
      </c>
      <c r="K58" s="875">
        <f>K59</f>
        <v>0</v>
      </c>
      <c r="L58" s="876">
        <f t="shared" si="6"/>
        <v>0</v>
      </c>
      <c r="M58" s="877">
        <f t="shared" si="6"/>
        <v>0</v>
      </c>
      <c r="N58" s="877">
        <f t="shared" si="6"/>
        <v>0</v>
      </c>
      <c r="O58" s="1214" t="s">
        <v>353</v>
      </c>
      <c r="P58" s="1214" t="s">
        <v>353</v>
      </c>
      <c r="Q58" s="1065">
        <f t="shared" si="1"/>
        <v>0</v>
      </c>
      <c r="R58" s="1065">
        <f t="shared" si="1"/>
        <v>0</v>
      </c>
      <c r="S58" s="1065">
        <f t="shared" si="1"/>
        <v>0</v>
      </c>
      <c r="T58" s="1099"/>
      <c r="U58" s="1100"/>
      <c r="V58" s="1099"/>
      <c r="W58" s="1099"/>
    </row>
    <row r="59" spans="1:23" s="1216" customFormat="1" ht="60" customHeight="1">
      <c r="A59" s="1244" t="s">
        <v>124</v>
      </c>
      <c r="B59" s="1084" t="s">
        <v>1053</v>
      </c>
      <c r="C59" s="894">
        <f t="shared" si="3"/>
        <v>1300</v>
      </c>
      <c r="D59" s="1249">
        <v>0</v>
      </c>
      <c r="E59" s="1249">
        <v>1300</v>
      </c>
      <c r="F59" s="1083">
        <f t="shared" si="4"/>
        <v>1300</v>
      </c>
      <c r="G59" s="1085">
        <v>0</v>
      </c>
      <c r="H59" s="1085">
        <v>1300</v>
      </c>
      <c r="I59" s="1083">
        <f t="shared" si="5"/>
        <v>0</v>
      </c>
      <c r="J59" s="1083">
        <v>0</v>
      </c>
      <c r="K59" s="1083">
        <v>0</v>
      </c>
      <c r="L59" s="877">
        <f t="shared" si="6"/>
        <v>0</v>
      </c>
      <c r="M59" s="877">
        <f t="shared" si="6"/>
        <v>0</v>
      </c>
      <c r="N59" s="877">
        <f t="shared" si="6"/>
        <v>0</v>
      </c>
      <c r="O59" s="1214" t="s">
        <v>1182</v>
      </c>
      <c r="P59" s="1214" t="s">
        <v>1134</v>
      </c>
      <c r="Q59" s="1065">
        <f t="shared" si="1"/>
        <v>0</v>
      </c>
      <c r="R59" s="1065">
        <f t="shared" si="1"/>
        <v>0</v>
      </c>
      <c r="S59" s="1065">
        <f t="shared" si="1"/>
        <v>0</v>
      </c>
      <c r="T59" s="1099" t="s">
        <v>886</v>
      </c>
      <c r="U59" s="1100">
        <v>520343220</v>
      </c>
      <c r="V59" s="1099">
        <v>522</v>
      </c>
      <c r="W59" s="1099" t="s">
        <v>994</v>
      </c>
    </row>
    <row r="60" spans="1:23" s="1216" customFormat="1">
      <c r="A60" s="1244"/>
      <c r="B60" s="898" t="s">
        <v>712</v>
      </c>
      <c r="C60" s="871">
        <f t="shared" si="3"/>
        <v>2300</v>
      </c>
      <c r="D60" s="1250">
        <f>D61</f>
        <v>0</v>
      </c>
      <c r="E60" s="1250">
        <f>E61</f>
        <v>2300</v>
      </c>
      <c r="F60" s="874">
        <f t="shared" si="4"/>
        <v>2300</v>
      </c>
      <c r="G60" s="875">
        <f>G61</f>
        <v>0</v>
      </c>
      <c r="H60" s="875">
        <f>H61</f>
        <v>2300</v>
      </c>
      <c r="I60" s="874">
        <f>SUM(J60:K60)</f>
        <v>0</v>
      </c>
      <c r="J60" s="875">
        <f>J61</f>
        <v>0</v>
      </c>
      <c r="K60" s="875">
        <f>K61</f>
        <v>0</v>
      </c>
      <c r="L60" s="876">
        <f t="shared" si="6"/>
        <v>0</v>
      </c>
      <c r="M60" s="877">
        <f t="shared" si="6"/>
        <v>0</v>
      </c>
      <c r="N60" s="877">
        <f t="shared" si="6"/>
        <v>0</v>
      </c>
      <c r="O60" s="1214" t="s">
        <v>353</v>
      </c>
      <c r="P60" s="1214" t="s">
        <v>353</v>
      </c>
      <c r="Q60" s="1065">
        <f t="shared" si="1"/>
        <v>0</v>
      </c>
      <c r="R60" s="1065">
        <f t="shared" si="1"/>
        <v>0</v>
      </c>
      <c r="S60" s="1065">
        <f t="shared" si="1"/>
        <v>0</v>
      </c>
      <c r="T60" s="1099"/>
      <c r="U60" s="1100"/>
      <c r="V60" s="1099"/>
      <c r="W60" s="1099"/>
    </row>
    <row r="61" spans="1:23" s="1216" customFormat="1" ht="55.5" customHeight="1">
      <c r="A61" s="1244" t="s">
        <v>125</v>
      </c>
      <c r="B61" s="1084" t="s">
        <v>1054</v>
      </c>
      <c r="C61" s="894">
        <f t="shared" si="3"/>
        <v>2300</v>
      </c>
      <c r="D61" s="1249">
        <v>0</v>
      </c>
      <c r="E61" s="1249">
        <v>2300</v>
      </c>
      <c r="F61" s="1083">
        <f t="shared" si="4"/>
        <v>2300</v>
      </c>
      <c r="G61" s="1085">
        <v>0</v>
      </c>
      <c r="H61" s="1085">
        <v>2300</v>
      </c>
      <c r="I61" s="1083">
        <f t="shared" si="5"/>
        <v>0</v>
      </c>
      <c r="J61" s="1083">
        <v>0</v>
      </c>
      <c r="K61" s="1083">
        <v>0</v>
      </c>
      <c r="L61" s="877">
        <f t="shared" si="6"/>
        <v>0</v>
      </c>
      <c r="M61" s="877">
        <f t="shared" si="6"/>
        <v>0</v>
      </c>
      <c r="N61" s="877">
        <f t="shared" si="6"/>
        <v>0</v>
      </c>
      <c r="O61" s="1214" t="s">
        <v>1183</v>
      </c>
      <c r="P61" s="1214" t="s">
        <v>1135</v>
      </c>
      <c r="Q61" s="1065">
        <f t="shared" si="1"/>
        <v>0</v>
      </c>
      <c r="R61" s="1065">
        <f t="shared" si="1"/>
        <v>0</v>
      </c>
      <c r="S61" s="1065">
        <f t="shared" si="1"/>
        <v>0</v>
      </c>
      <c r="T61" s="1099" t="s">
        <v>886</v>
      </c>
      <c r="U61" s="1100" t="s">
        <v>967</v>
      </c>
      <c r="V61" s="1099">
        <v>522</v>
      </c>
      <c r="W61" s="1099" t="s">
        <v>983</v>
      </c>
    </row>
    <row r="62" spans="1:23" s="1216" customFormat="1">
      <c r="A62" s="1244"/>
      <c r="B62" s="898" t="s">
        <v>46</v>
      </c>
      <c r="C62" s="871">
        <f t="shared" si="3"/>
        <v>12500</v>
      </c>
      <c r="D62" s="1250">
        <f>D63</f>
        <v>0</v>
      </c>
      <c r="E62" s="1250">
        <f>E63</f>
        <v>12500</v>
      </c>
      <c r="F62" s="874">
        <f t="shared" si="4"/>
        <v>12500</v>
      </c>
      <c r="G62" s="875">
        <f>G63</f>
        <v>0</v>
      </c>
      <c r="H62" s="875">
        <f>H63</f>
        <v>12500</v>
      </c>
      <c r="I62" s="874">
        <f>SUM(J62:K62)</f>
        <v>0</v>
      </c>
      <c r="J62" s="875">
        <f>J63</f>
        <v>0</v>
      </c>
      <c r="K62" s="875">
        <f>K63</f>
        <v>0</v>
      </c>
      <c r="L62" s="876">
        <f t="shared" si="6"/>
        <v>0</v>
      </c>
      <c r="M62" s="877">
        <f t="shared" si="6"/>
        <v>0</v>
      </c>
      <c r="N62" s="877">
        <f t="shared" si="6"/>
        <v>0</v>
      </c>
      <c r="O62" s="1214" t="s">
        <v>353</v>
      </c>
      <c r="P62" s="1214" t="s">
        <v>353</v>
      </c>
      <c r="Q62" s="1065">
        <f t="shared" si="1"/>
        <v>0</v>
      </c>
      <c r="R62" s="1065">
        <f t="shared" si="1"/>
        <v>0</v>
      </c>
      <c r="S62" s="1065">
        <f t="shared" si="1"/>
        <v>0</v>
      </c>
      <c r="T62" s="1099"/>
      <c r="U62" s="1100"/>
      <c r="V62" s="1099"/>
      <c r="W62" s="1099"/>
    </row>
    <row r="63" spans="1:23" s="1216" customFormat="1" ht="120" customHeight="1">
      <c r="A63" s="1244" t="s">
        <v>126</v>
      </c>
      <c r="B63" s="1084" t="s">
        <v>1055</v>
      </c>
      <c r="C63" s="894">
        <f t="shared" si="3"/>
        <v>12500</v>
      </c>
      <c r="D63" s="1249">
        <v>0</v>
      </c>
      <c r="E63" s="1249">
        <v>12500</v>
      </c>
      <c r="F63" s="1083">
        <f t="shared" si="4"/>
        <v>12500</v>
      </c>
      <c r="G63" s="1085">
        <v>0</v>
      </c>
      <c r="H63" s="1085">
        <v>12500</v>
      </c>
      <c r="I63" s="1083"/>
      <c r="J63" s="1083">
        <v>0</v>
      </c>
      <c r="K63" s="1083">
        <v>0</v>
      </c>
      <c r="L63" s="877">
        <f t="shared" si="6"/>
        <v>0</v>
      </c>
      <c r="M63" s="877">
        <f t="shared" si="6"/>
        <v>0</v>
      </c>
      <c r="N63" s="877">
        <f t="shared" si="6"/>
        <v>0</v>
      </c>
      <c r="O63" s="1214" t="s">
        <v>1184</v>
      </c>
      <c r="P63" s="1214" t="s">
        <v>1136</v>
      </c>
      <c r="Q63" s="1065">
        <f t="shared" si="1"/>
        <v>0</v>
      </c>
      <c r="R63" s="1065">
        <f t="shared" si="1"/>
        <v>0</v>
      </c>
      <c r="S63" s="1065">
        <f t="shared" si="1"/>
        <v>0</v>
      </c>
      <c r="T63" s="1099" t="s">
        <v>886</v>
      </c>
      <c r="U63" s="1100" t="s">
        <v>966</v>
      </c>
      <c r="V63" s="1099">
        <v>522</v>
      </c>
      <c r="W63" s="1099" t="s">
        <v>977</v>
      </c>
    </row>
    <row r="64" spans="1:23">
      <c r="A64" s="1244"/>
      <c r="B64" s="898" t="s">
        <v>457</v>
      </c>
      <c r="C64" s="871">
        <f t="shared" si="3"/>
        <v>34000</v>
      </c>
      <c r="D64" s="1250">
        <f>SUM(D65:D69)</f>
        <v>0</v>
      </c>
      <c r="E64" s="1250">
        <f>SUM(E65:E69)</f>
        <v>34000</v>
      </c>
      <c r="F64" s="874">
        <f t="shared" si="4"/>
        <v>34000</v>
      </c>
      <c r="G64" s="875">
        <f>SUM(G65:G69)</f>
        <v>0</v>
      </c>
      <c r="H64" s="875">
        <f>SUM(H65:H69)</f>
        <v>34000</v>
      </c>
      <c r="I64" s="874">
        <f>SUM(J64:K64)</f>
        <v>0</v>
      </c>
      <c r="J64" s="875">
        <f>SUM(J65:J69)</f>
        <v>0</v>
      </c>
      <c r="K64" s="875">
        <f>SUM(K65:K69)</f>
        <v>0</v>
      </c>
      <c r="L64" s="876">
        <f t="shared" si="6"/>
        <v>0</v>
      </c>
      <c r="M64" s="877">
        <f t="shared" si="6"/>
        <v>0</v>
      </c>
      <c r="N64" s="877">
        <f t="shared" si="6"/>
        <v>0</v>
      </c>
      <c r="O64" s="1214" t="s">
        <v>353</v>
      </c>
      <c r="P64" s="1214" t="s">
        <v>353</v>
      </c>
      <c r="Q64" s="1065">
        <f t="shared" si="1"/>
        <v>0</v>
      </c>
      <c r="R64" s="1065">
        <f t="shared" si="1"/>
        <v>0</v>
      </c>
      <c r="S64" s="1065">
        <f t="shared" si="1"/>
        <v>0</v>
      </c>
    </row>
    <row r="65" spans="1:24" ht="105">
      <c r="A65" s="1244" t="s">
        <v>127</v>
      </c>
      <c r="B65" s="1084" t="s">
        <v>1056</v>
      </c>
      <c r="C65" s="894">
        <f t="shared" si="3"/>
        <v>10000</v>
      </c>
      <c r="D65" s="1249">
        <v>0</v>
      </c>
      <c r="E65" s="1249">
        <v>10000</v>
      </c>
      <c r="F65" s="1083">
        <f t="shared" si="4"/>
        <v>10000</v>
      </c>
      <c r="G65" s="1085">
        <v>0</v>
      </c>
      <c r="H65" s="1085">
        <v>10000</v>
      </c>
      <c r="I65" s="2440">
        <f>SUM(J65:K69)</f>
        <v>0</v>
      </c>
      <c r="J65" s="2440">
        <v>0</v>
      </c>
      <c r="K65" s="2440">
        <v>0</v>
      </c>
      <c r="L65" s="2415">
        <f>IF(I65=0,0,I65/F65:F69*100)</f>
        <v>0</v>
      </c>
      <c r="M65" s="2415">
        <f>IF(J65=0,0,J65/G65:G69*100)</f>
        <v>0</v>
      </c>
      <c r="N65" s="2415">
        <f>IF(K65=0,0,K65/H65:H69*100)</f>
        <v>0</v>
      </c>
      <c r="O65" s="1214" t="s">
        <v>1171</v>
      </c>
      <c r="P65" s="1213" t="s">
        <v>1137</v>
      </c>
      <c r="Q65" s="1065">
        <f t="shared" si="1"/>
        <v>0</v>
      </c>
      <c r="R65" s="1065">
        <f t="shared" si="1"/>
        <v>0</v>
      </c>
      <c r="S65" s="1065">
        <f t="shared" si="1"/>
        <v>0</v>
      </c>
      <c r="T65" s="2410" t="s">
        <v>886</v>
      </c>
      <c r="U65" s="2410" t="s">
        <v>966</v>
      </c>
      <c r="V65" s="2410">
        <v>522</v>
      </c>
      <c r="W65" s="2410" t="s">
        <v>979</v>
      </c>
      <c r="X65" s="2465"/>
    </row>
    <row r="66" spans="1:24" ht="164.25" customHeight="1">
      <c r="A66" s="1244" t="s">
        <v>128</v>
      </c>
      <c r="B66" s="1084" t="s">
        <v>1057</v>
      </c>
      <c r="C66" s="894">
        <f t="shared" si="3"/>
        <v>6400</v>
      </c>
      <c r="D66" s="1249">
        <v>0</v>
      </c>
      <c r="E66" s="1249">
        <v>6400</v>
      </c>
      <c r="F66" s="1083">
        <f t="shared" si="4"/>
        <v>6400</v>
      </c>
      <c r="G66" s="1085">
        <v>0</v>
      </c>
      <c r="H66" s="1085">
        <v>6400</v>
      </c>
      <c r="I66" s="2458"/>
      <c r="J66" s="2458"/>
      <c r="K66" s="2458"/>
      <c r="L66" s="2416"/>
      <c r="M66" s="2416"/>
      <c r="N66" s="2416"/>
      <c r="O66" s="1214" t="s">
        <v>1171</v>
      </c>
      <c r="P66" s="2472" t="s">
        <v>1138</v>
      </c>
      <c r="Q66" s="1065">
        <f t="shared" si="1"/>
        <v>0</v>
      </c>
      <c r="R66" s="1065">
        <f t="shared" si="1"/>
        <v>0</v>
      </c>
      <c r="S66" s="1065">
        <f t="shared" si="1"/>
        <v>0</v>
      </c>
      <c r="T66" s="2410"/>
      <c r="U66" s="2410"/>
      <c r="V66" s="2410"/>
      <c r="W66" s="2410"/>
      <c r="X66" s="2465"/>
    </row>
    <row r="67" spans="1:24" ht="157.5">
      <c r="A67" s="1244" t="s">
        <v>158</v>
      </c>
      <c r="B67" s="1084" t="s">
        <v>1058</v>
      </c>
      <c r="C67" s="894">
        <f t="shared" si="3"/>
        <v>4600</v>
      </c>
      <c r="D67" s="1249">
        <v>0</v>
      </c>
      <c r="E67" s="1249">
        <v>4600</v>
      </c>
      <c r="F67" s="1083">
        <f t="shared" si="4"/>
        <v>4600</v>
      </c>
      <c r="G67" s="1085">
        <v>0</v>
      </c>
      <c r="H67" s="1085">
        <v>4600</v>
      </c>
      <c r="I67" s="2458"/>
      <c r="J67" s="2458"/>
      <c r="K67" s="2458"/>
      <c r="L67" s="2416"/>
      <c r="M67" s="2416"/>
      <c r="N67" s="2416"/>
      <c r="O67" s="1214" t="s">
        <v>1171</v>
      </c>
      <c r="P67" s="2472"/>
      <c r="Q67" s="1065">
        <f t="shared" si="1"/>
        <v>0</v>
      </c>
      <c r="R67" s="1065">
        <f t="shared" si="1"/>
        <v>0</v>
      </c>
      <c r="S67" s="1065">
        <f t="shared" si="1"/>
        <v>0</v>
      </c>
      <c r="T67" s="2410"/>
      <c r="U67" s="2410"/>
      <c r="V67" s="2410"/>
      <c r="W67" s="2410"/>
      <c r="X67" s="2465"/>
    </row>
    <row r="68" spans="1:24" ht="141" customHeight="1">
      <c r="A68" s="1244" t="s">
        <v>129</v>
      </c>
      <c r="B68" s="1084" t="s">
        <v>1059</v>
      </c>
      <c r="C68" s="894">
        <f t="shared" si="3"/>
        <v>10000</v>
      </c>
      <c r="D68" s="1249">
        <v>0</v>
      </c>
      <c r="E68" s="1249">
        <v>10000</v>
      </c>
      <c r="F68" s="1083">
        <f t="shared" si="4"/>
        <v>10000</v>
      </c>
      <c r="G68" s="1085">
        <v>0</v>
      </c>
      <c r="H68" s="1085">
        <v>10000</v>
      </c>
      <c r="I68" s="2458"/>
      <c r="J68" s="2458"/>
      <c r="K68" s="2458"/>
      <c r="L68" s="2416"/>
      <c r="M68" s="2416"/>
      <c r="N68" s="2416"/>
      <c r="O68" s="1214" t="s">
        <v>1171</v>
      </c>
      <c r="P68" s="1213" t="s">
        <v>1137</v>
      </c>
      <c r="Q68" s="1065">
        <f t="shared" si="1"/>
        <v>0</v>
      </c>
      <c r="R68" s="1065">
        <f t="shared" si="1"/>
        <v>0</v>
      </c>
      <c r="S68" s="1065">
        <f t="shared" si="1"/>
        <v>0</v>
      </c>
      <c r="T68" s="2410"/>
      <c r="U68" s="2410"/>
      <c r="V68" s="2410"/>
      <c r="W68" s="2410"/>
      <c r="X68" s="2465"/>
    </row>
    <row r="69" spans="1:24" ht="150" customHeight="1">
      <c r="A69" s="1244" t="s">
        <v>159</v>
      </c>
      <c r="B69" s="1084" t="s">
        <v>1060</v>
      </c>
      <c r="C69" s="894">
        <f t="shared" si="3"/>
        <v>3000</v>
      </c>
      <c r="D69" s="1249">
        <v>0</v>
      </c>
      <c r="E69" s="1249">
        <v>3000</v>
      </c>
      <c r="F69" s="1083">
        <f t="shared" si="4"/>
        <v>3000</v>
      </c>
      <c r="G69" s="1085">
        <v>0</v>
      </c>
      <c r="H69" s="1085">
        <v>3000</v>
      </c>
      <c r="I69" s="2441"/>
      <c r="J69" s="2441"/>
      <c r="K69" s="2441"/>
      <c r="L69" s="2417"/>
      <c r="M69" s="2417"/>
      <c r="N69" s="2417"/>
      <c r="O69" s="1214" t="s">
        <v>1171</v>
      </c>
      <c r="P69" s="1213" t="s">
        <v>1137</v>
      </c>
      <c r="Q69" s="1065">
        <f t="shared" si="1"/>
        <v>0</v>
      </c>
      <c r="R69" s="1065">
        <f t="shared" si="1"/>
        <v>0</v>
      </c>
      <c r="S69" s="1065">
        <f t="shared" si="1"/>
        <v>0</v>
      </c>
      <c r="T69" s="2410"/>
      <c r="U69" s="2410"/>
      <c r="V69" s="2410"/>
      <c r="W69" s="2410"/>
      <c r="X69" s="2465"/>
    </row>
    <row r="70" spans="1:24" s="914" customFormat="1" ht="92.25" customHeight="1">
      <c r="A70" s="1090"/>
      <c r="B70" s="1277" t="s">
        <v>444</v>
      </c>
      <c r="C70" s="1090">
        <f>D70+E70</f>
        <v>325874.3</v>
      </c>
      <c r="D70" s="1090">
        <f>SUM(D71,D74,D77,D79,D81,D83,D86)</f>
        <v>306319.40000000002</v>
      </c>
      <c r="E70" s="1090">
        <f>SUM(E71,E74,E77,E79,E81,E83,E86)</f>
        <v>19554.900000000001</v>
      </c>
      <c r="F70" s="1090">
        <f>G70+H70</f>
        <v>325874.3</v>
      </c>
      <c r="G70" s="1091">
        <f>SUM(G71,G74,G77,G79,G81,G83,G86)</f>
        <v>306319.40000000002</v>
      </c>
      <c r="H70" s="1091">
        <f>SUM(H71,H74,H77,H81,H79,H83,H86)</f>
        <v>19554.900000000001</v>
      </c>
      <c r="I70" s="1090">
        <f>J70+K70</f>
        <v>32894.6</v>
      </c>
      <c r="J70" s="1090">
        <f>SUM(J71,J74,J77,J79,J81,J83,J86)</f>
        <v>30920.799999999999</v>
      </c>
      <c r="K70" s="1090">
        <f>SUM(K71,K74,K77,K81,K79,K83,K86)</f>
        <v>1973.8</v>
      </c>
      <c r="L70" s="1092">
        <f t="shared" ref="L70:N90" si="7">IF(I70=0,0,I70/F70*100)</f>
        <v>10.1</v>
      </c>
      <c r="M70" s="1093">
        <f t="shared" si="7"/>
        <v>10.1</v>
      </c>
      <c r="N70" s="1093">
        <f t="shared" si="7"/>
        <v>10.1</v>
      </c>
      <c r="O70" s="1224" t="s">
        <v>1117</v>
      </c>
      <c r="P70" s="1224" t="s">
        <v>1117</v>
      </c>
      <c r="Q70" s="1065">
        <f t="shared" si="1"/>
        <v>0</v>
      </c>
      <c r="R70" s="1065">
        <f t="shared" si="1"/>
        <v>0</v>
      </c>
      <c r="S70" s="1065">
        <f t="shared" si="1"/>
        <v>0</v>
      </c>
      <c r="T70" s="1099"/>
      <c r="U70" s="1100"/>
      <c r="V70" s="1099"/>
      <c r="W70" s="1099"/>
      <c r="X70" s="1216"/>
    </row>
    <row r="71" spans="1:24">
      <c r="A71" s="1244"/>
      <c r="B71" s="1236" t="s">
        <v>431</v>
      </c>
      <c r="C71" s="871">
        <f t="shared" ref="C71:C120" si="8">SUM(D71:E71)</f>
        <v>53340.2</v>
      </c>
      <c r="D71" s="1251">
        <f>D72+D73</f>
        <v>50139.4</v>
      </c>
      <c r="E71" s="1251">
        <f>E72+E73</f>
        <v>3200.8</v>
      </c>
      <c r="F71" s="874">
        <f t="shared" ref="F71:F120" si="9">SUM(G71:H71)</f>
        <v>53340.2</v>
      </c>
      <c r="G71" s="880">
        <f>G72+G73</f>
        <v>50139.4</v>
      </c>
      <c r="H71" s="880">
        <f>H72+H73</f>
        <v>3200.8</v>
      </c>
      <c r="I71" s="874">
        <f t="shared" ref="I71:I120" si="10">SUM(J71:K71)</f>
        <v>15377.1</v>
      </c>
      <c r="J71" s="874">
        <f>J72+J73</f>
        <v>14454.3</v>
      </c>
      <c r="K71" s="874">
        <f>K72+K73</f>
        <v>922.8</v>
      </c>
      <c r="L71" s="877">
        <f t="shared" si="7"/>
        <v>28.8</v>
      </c>
      <c r="M71" s="877">
        <f t="shared" si="7"/>
        <v>28.8</v>
      </c>
      <c r="N71" s="877">
        <f t="shared" si="7"/>
        <v>28.8</v>
      </c>
      <c r="O71" s="1214" t="s">
        <v>1117</v>
      </c>
      <c r="P71" s="1214" t="s">
        <v>1117</v>
      </c>
      <c r="Q71" s="1065">
        <f t="shared" si="1"/>
        <v>0</v>
      </c>
      <c r="R71" s="1065">
        <f t="shared" si="1"/>
        <v>0</v>
      </c>
      <c r="S71" s="1065">
        <f t="shared" si="1"/>
        <v>0</v>
      </c>
    </row>
    <row r="72" spans="1:24" ht="36.75" customHeight="1">
      <c r="A72" s="895">
        <v>35</v>
      </c>
      <c r="B72" s="1075" t="s">
        <v>690</v>
      </c>
      <c r="C72" s="894">
        <f t="shared" si="8"/>
        <v>11063.4</v>
      </c>
      <c r="D72" s="972">
        <f>10318.8+80.6</f>
        <v>10399.4</v>
      </c>
      <c r="E72" s="972">
        <f>658.8+5.15</f>
        <v>664</v>
      </c>
      <c r="F72" s="1083">
        <f t="shared" si="9"/>
        <v>11063.4</v>
      </c>
      <c r="G72" s="879">
        <f>D72</f>
        <v>10399.4</v>
      </c>
      <c r="H72" s="879">
        <f>E72</f>
        <v>664</v>
      </c>
      <c r="I72" s="1083">
        <f t="shared" si="10"/>
        <v>6921.7</v>
      </c>
      <c r="J72" s="1083">
        <v>6506.3</v>
      </c>
      <c r="K72" s="1083">
        <v>415.4</v>
      </c>
      <c r="L72" s="877">
        <f t="shared" si="7"/>
        <v>62.6</v>
      </c>
      <c r="M72" s="877">
        <f t="shared" si="7"/>
        <v>62.6</v>
      </c>
      <c r="N72" s="877">
        <f t="shared" si="7"/>
        <v>62.6</v>
      </c>
      <c r="O72" s="1214" t="s">
        <v>1185</v>
      </c>
      <c r="P72" s="1214" t="s">
        <v>1143</v>
      </c>
      <c r="Q72" s="1065">
        <f t="shared" si="1"/>
        <v>0</v>
      </c>
      <c r="R72" s="1065">
        <f t="shared" si="1"/>
        <v>0</v>
      </c>
      <c r="S72" s="1065">
        <f t="shared" si="1"/>
        <v>0</v>
      </c>
      <c r="T72" s="1099" t="s">
        <v>954</v>
      </c>
      <c r="U72" s="1100" t="s">
        <v>974</v>
      </c>
      <c r="V72" s="1099">
        <v>522</v>
      </c>
      <c r="W72" s="1099" t="s">
        <v>958</v>
      </c>
    </row>
    <row r="73" spans="1:24" ht="36.75" customHeight="1">
      <c r="A73" s="1244" t="s">
        <v>160</v>
      </c>
      <c r="B73" s="1075" t="s">
        <v>689</v>
      </c>
      <c r="C73" s="894">
        <f t="shared" si="8"/>
        <v>42276.800000000003</v>
      </c>
      <c r="D73" s="972">
        <f>7948+31792</f>
        <v>39740</v>
      </c>
      <c r="E73" s="972">
        <f>507.4+2029.44</f>
        <v>2536.8000000000002</v>
      </c>
      <c r="F73" s="1083">
        <f t="shared" si="9"/>
        <v>42276.800000000003</v>
      </c>
      <c r="G73" s="879">
        <f>D73</f>
        <v>39740</v>
      </c>
      <c r="H73" s="879">
        <f>E73</f>
        <v>2536.8000000000002</v>
      </c>
      <c r="I73" s="1083">
        <f t="shared" si="10"/>
        <v>8455.4</v>
      </c>
      <c r="J73" s="1083">
        <v>7948</v>
      </c>
      <c r="K73" s="1083">
        <v>507.4</v>
      </c>
      <c r="L73" s="877">
        <f>I73/C73*100</f>
        <v>20</v>
      </c>
      <c r="M73" s="877">
        <f>J73/D73*100</f>
        <v>20</v>
      </c>
      <c r="N73" s="877">
        <f>K73/E73*100</f>
        <v>20</v>
      </c>
      <c r="O73" s="1214" t="s">
        <v>1186</v>
      </c>
      <c r="P73" s="1214" t="s">
        <v>1144</v>
      </c>
      <c r="Q73" s="1065">
        <f t="shared" si="1"/>
        <v>0</v>
      </c>
      <c r="R73" s="1065">
        <f t="shared" si="1"/>
        <v>0</v>
      </c>
      <c r="S73" s="1065">
        <f t="shared" si="1"/>
        <v>0</v>
      </c>
      <c r="T73" s="1099" t="s">
        <v>886</v>
      </c>
      <c r="U73" s="1100" t="s">
        <v>973</v>
      </c>
      <c r="V73" s="1099">
        <v>522</v>
      </c>
      <c r="W73" s="1099" t="s">
        <v>890</v>
      </c>
      <c r="X73" s="1225"/>
    </row>
    <row r="74" spans="1:24">
      <c r="A74" s="1244"/>
      <c r="B74" s="898" t="s">
        <v>457</v>
      </c>
      <c r="C74" s="871">
        <f t="shared" si="8"/>
        <v>39454.5</v>
      </c>
      <c r="D74" s="1252">
        <f>SUM(D75:D76)</f>
        <v>37086.9</v>
      </c>
      <c r="E74" s="1252">
        <f>SUM(E75:E76)</f>
        <v>2367.6</v>
      </c>
      <c r="F74" s="874">
        <f t="shared" si="9"/>
        <v>39454.5</v>
      </c>
      <c r="G74" s="881">
        <f>SUM(G75:G76)</f>
        <v>37086.9</v>
      </c>
      <c r="H74" s="881">
        <f>SUM(H75:H76)</f>
        <v>2367.6</v>
      </c>
      <c r="I74" s="874">
        <f t="shared" si="10"/>
        <v>0</v>
      </c>
      <c r="J74" s="881">
        <f>SUM(J75:J76)</f>
        <v>0</v>
      </c>
      <c r="K74" s="881">
        <f>SUM(K75:K76)</f>
        <v>0</v>
      </c>
      <c r="L74" s="882">
        <f t="shared" si="7"/>
        <v>0</v>
      </c>
      <c r="M74" s="875">
        <f t="shared" si="7"/>
        <v>0</v>
      </c>
      <c r="N74" s="875">
        <f t="shared" si="7"/>
        <v>0</v>
      </c>
      <c r="O74" s="1214" t="s">
        <v>1117</v>
      </c>
      <c r="P74" s="1214" t="s">
        <v>1117</v>
      </c>
      <c r="Q74" s="1065">
        <f t="shared" si="1"/>
        <v>0</v>
      </c>
      <c r="R74" s="1065">
        <f t="shared" si="1"/>
        <v>0</v>
      </c>
      <c r="S74" s="1065">
        <f t="shared" si="1"/>
        <v>0</v>
      </c>
    </row>
    <row r="75" spans="1:24" ht="116.25">
      <c r="A75" s="1244" t="s">
        <v>532</v>
      </c>
      <c r="B75" s="1247" t="s">
        <v>838</v>
      </c>
      <c r="C75" s="894">
        <f t="shared" si="8"/>
        <v>8075.8</v>
      </c>
      <c r="D75" s="972">
        <f>7572.8+18.33</f>
        <v>7591.1</v>
      </c>
      <c r="E75" s="972">
        <f>483.5+1.17</f>
        <v>484.7</v>
      </c>
      <c r="F75" s="1083">
        <f t="shared" si="9"/>
        <v>8075.8</v>
      </c>
      <c r="G75" s="879">
        <f>D75</f>
        <v>7591.1</v>
      </c>
      <c r="H75" s="879">
        <f>E75</f>
        <v>484.7</v>
      </c>
      <c r="I75" s="1083">
        <f t="shared" si="10"/>
        <v>0</v>
      </c>
      <c r="J75" s="1083">
        <v>0</v>
      </c>
      <c r="K75" s="1083">
        <v>0</v>
      </c>
      <c r="L75" s="877">
        <f t="shared" si="7"/>
        <v>0</v>
      </c>
      <c r="M75" s="877">
        <f t="shared" si="7"/>
        <v>0</v>
      </c>
      <c r="N75" s="877">
        <f t="shared" si="7"/>
        <v>0</v>
      </c>
      <c r="O75" s="1248" t="s">
        <v>1187</v>
      </c>
      <c r="P75" s="1248" t="s">
        <v>1145</v>
      </c>
      <c r="Q75" s="1065">
        <f t="shared" si="1"/>
        <v>0</v>
      </c>
      <c r="R75" s="1065">
        <f t="shared" si="1"/>
        <v>0</v>
      </c>
      <c r="S75" s="1065">
        <f t="shared" si="1"/>
        <v>0</v>
      </c>
      <c r="T75" s="1099">
        <v>1102</v>
      </c>
      <c r="U75" s="1100" t="s">
        <v>981</v>
      </c>
      <c r="V75" s="1099">
        <v>522</v>
      </c>
      <c r="W75" s="1099" t="s">
        <v>958</v>
      </c>
    </row>
    <row r="76" spans="1:24" ht="47.25" customHeight="1">
      <c r="A76" s="895">
        <v>38</v>
      </c>
      <c r="B76" s="1075" t="s">
        <v>678</v>
      </c>
      <c r="C76" s="894">
        <f t="shared" si="8"/>
        <v>31378.7</v>
      </c>
      <c r="D76" s="972">
        <f>5899.2+23596.6</f>
        <v>29495.8</v>
      </c>
      <c r="E76" s="972">
        <f>376.6+1506.29</f>
        <v>1882.9</v>
      </c>
      <c r="F76" s="1083">
        <f t="shared" si="9"/>
        <v>31378.7</v>
      </c>
      <c r="G76" s="879">
        <f>D76</f>
        <v>29495.8</v>
      </c>
      <c r="H76" s="879">
        <f>E76</f>
        <v>1882.9</v>
      </c>
      <c r="I76" s="1083">
        <f t="shared" si="10"/>
        <v>0</v>
      </c>
      <c r="J76" s="1083">
        <v>0</v>
      </c>
      <c r="K76" s="1083">
        <v>0</v>
      </c>
      <c r="L76" s="877">
        <f t="shared" si="7"/>
        <v>0</v>
      </c>
      <c r="M76" s="877">
        <f t="shared" si="7"/>
        <v>0</v>
      </c>
      <c r="N76" s="877">
        <f t="shared" si="7"/>
        <v>0</v>
      </c>
      <c r="O76" s="1214" t="s">
        <v>1188</v>
      </c>
      <c r="P76" s="1214" t="s">
        <v>1139</v>
      </c>
      <c r="Q76" s="1065">
        <f t="shared" si="1"/>
        <v>0</v>
      </c>
      <c r="R76" s="1065">
        <f t="shared" si="1"/>
        <v>0</v>
      </c>
      <c r="S76" s="1065">
        <f t="shared" si="1"/>
        <v>0</v>
      </c>
      <c r="T76" s="1099" t="s">
        <v>886</v>
      </c>
      <c r="U76" s="1100" t="s">
        <v>980</v>
      </c>
      <c r="V76" s="1099">
        <v>522</v>
      </c>
      <c r="W76" s="1099" t="s">
        <v>890</v>
      </c>
    </row>
    <row r="77" spans="1:24">
      <c r="A77" s="1244"/>
      <c r="B77" s="898" t="s">
        <v>433</v>
      </c>
      <c r="C77" s="871">
        <f t="shared" si="8"/>
        <v>14049.3</v>
      </c>
      <c r="D77" s="1250">
        <f>D78</f>
        <v>13206.1</v>
      </c>
      <c r="E77" s="1250">
        <f>E78</f>
        <v>843.2</v>
      </c>
      <c r="F77" s="874">
        <f t="shared" si="9"/>
        <v>14049.3</v>
      </c>
      <c r="G77" s="875">
        <f>G78</f>
        <v>13206.1</v>
      </c>
      <c r="H77" s="875">
        <f>H78</f>
        <v>843.2</v>
      </c>
      <c r="I77" s="874">
        <f t="shared" si="10"/>
        <v>3862.8</v>
      </c>
      <c r="J77" s="875">
        <f>J78</f>
        <v>3631</v>
      </c>
      <c r="K77" s="875">
        <f>K78</f>
        <v>231.8</v>
      </c>
      <c r="L77" s="882">
        <f t="shared" si="7"/>
        <v>27.5</v>
      </c>
      <c r="M77" s="883">
        <f t="shared" si="7"/>
        <v>27.5</v>
      </c>
      <c r="N77" s="883">
        <f t="shared" si="7"/>
        <v>27.5</v>
      </c>
      <c r="O77" s="1214" t="s">
        <v>353</v>
      </c>
      <c r="P77" s="1214" t="s">
        <v>353</v>
      </c>
      <c r="Q77" s="1065">
        <f t="shared" si="1"/>
        <v>0</v>
      </c>
      <c r="R77" s="1065">
        <f t="shared" si="1"/>
        <v>0</v>
      </c>
      <c r="S77" s="1065">
        <f t="shared" si="1"/>
        <v>0</v>
      </c>
    </row>
    <row r="78" spans="1:24" ht="40.5" customHeight="1">
      <c r="A78" s="1244" t="s">
        <v>536</v>
      </c>
      <c r="B78" s="1084" t="s">
        <v>679</v>
      </c>
      <c r="C78" s="894">
        <f t="shared" si="8"/>
        <v>14049.3</v>
      </c>
      <c r="D78" s="1249">
        <v>13206.1</v>
      </c>
      <c r="E78" s="1249">
        <v>843.2</v>
      </c>
      <c r="F78" s="1083">
        <f t="shared" si="9"/>
        <v>14049.3</v>
      </c>
      <c r="G78" s="879">
        <f>D78</f>
        <v>13206.1</v>
      </c>
      <c r="H78" s="879">
        <f>E78</f>
        <v>843.2</v>
      </c>
      <c r="I78" s="1083">
        <f t="shared" si="10"/>
        <v>3862.8</v>
      </c>
      <c r="J78" s="1085">
        <v>3631</v>
      </c>
      <c r="K78" s="1085">
        <v>231.8</v>
      </c>
      <c r="L78" s="877">
        <f t="shared" si="7"/>
        <v>27.5</v>
      </c>
      <c r="M78" s="877">
        <f t="shared" si="7"/>
        <v>27.5</v>
      </c>
      <c r="N78" s="877">
        <f t="shared" si="7"/>
        <v>27.5</v>
      </c>
      <c r="O78" s="1241" t="s">
        <v>1140</v>
      </c>
      <c r="P78" s="1241" t="s">
        <v>1141</v>
      </c>
      <c r="Q78" s="1065">
        <f t="shared" si="1"/>
        <v>0</v>
      </c>
      <c r="R78" s="1065">
        <f t="shared" si="1"/>
        <v>0</v>
      </c>
      <c r="S78" s="1065">
        <f t="shared" si="1"/>
        <v>0</v>
      </c>
      <c r="T78" s="1099" t="s">
        <v>954</v>
      </c>
      <c r="U78" s="1100" t="s">
        <v>982</v>
      </c>
      <c r="V78" s="1099">
        <v>522</v>
      </c>
      <c r="W78" s="1099" t="s">
        <v>958</v>
      </c>
    </row>
    <row r="79" spans="1:24">
      <c r="A79" s="895"/>
      <c r="B79" s="898" t="s">
        <v>458</v>
      </c>
      <c r="C79" s="871">
        <f t="shared" si="8"/>
        <v>11408.7</v>
      </c>
      <c r="D79" s="1250">
        <f>D80</f>
        <v>10724</v>
      </c>
      <c r="E79" s="1250">
        <f>E80</f>
        <v>684.7</v>
      </c>
      <c r="F79" s="874">
        <f t="shared" si="9"/>
        <v>11408.7</v>
      </c>
      <c r="G79" s="875">
        <f>G80</f>
        <v>10724</v>
      </c>
      <c r="H79" s="875">
        <f>H80</f>
        <v>684.7</v>
      </c>
      <c r="I79" s="874">
        <f t="shared" si="10"/>
        <v>161.69999999999999</v>
      </c>
      <c r="J79" s="875">
        <f>J80</f>
        <v>152</v>
      </c>
      <c r="K79" s="875">
        <f>K80</f>
        <v>9.6999999999999993</v>
      </c>
      <c r="L79" s="882">
        <f t="shared" si="7"/>
        <v>1.4</v>
      </c>
      <c r="M79" s="883">
        <f t="shared" si="7"/>
        <v>1.4</v>
      </c>
      <c r="N79" s="883">
        <f t="shared" si="7"/>
        <v>1.4</v>
      </c>
      <c r="O79" s="1214" t="s">
        <v>353</v>
      </c>
      <c r="P79" s="1214" t="s">
        <v>353</v>
      </c>
      <c r="Q79" s="1065">
        <f t="shared" ref="Q79:S94" si="11">C79-F79</f>
        <v>0</v>
      </c>
      <c r="R79" s="1065">
        <f t="shared" si="11"/>
        <v>0</v>
      </c>
      <c r="S79" s="1065">
        <f t="shared" si="11"/>
        <v>0</v>
      </c>
    </row>
    <row r="80" spans="1:24" ht="50.25" customHeight="1">
      <c r="A80" s="1244" t="s">
        <v>131</v>
      </c>
      <c r="B80" s="1084" t="s">
        <v>680</v>
      </c>
      <c r="C80" s="894">
        <f t="shared" si="8"/>
        <v>11408.7</v>
      </c>
      <c r="D80" s="1249">
        <v>10724</v>
      </c>
      <c r="E80" s="1249">
        <v>684.7</v>
      </c>
      <c r="F80" s="1083">
        <f t="shared" si="9"/>
        <v>11408.7</v>
      </c>
      <c r="G80" s="879">
        <f>D80</f>
        <v>10724</v>
      </c>
      <c r="H80" s="879">
        <f>E80</f>
        <v>684.7</v>
      </c>
      <c r="I80" s="1083">
        <f t="shared" si="10"/>
        <v>161.69999999999999</v>
      </c>
      <c r="J80" s="1083">
        <v>152</v>
      </c>
      <c r="K80" s="1083">
        <v>9.6999999999999993</v>
      </c>
      <c r="L80" s="877">
        <f t="shared" si="7"/>
        <v>1.4</v>
      </c>
      <c r="M80" s="877">
        <f t="shared" si="7"/>
        <v>1.4</v>
      </c>
      <c r="N80" s="877">
        <f t="shared" si="7"/>
        <v>1.4</v>
      </c>
      <c r="O80" s="1214" t="s">
        <v>1189</v>
      </c>
      <c r="P80" s="1248" t="s">
        <v>1142</v>
      </c>
      <c r="Q80" s="1065">
        <f t="shared" si="11"/>
        <v>0</v>
      </c>
      <c r="R80" s="1065">
        <f t="shared" si="11"/>
        <v>0</v>
      </c>
      <c r="S80" s="1065">
        <f t="shared" si="11"/>
        <v>0</v>
      </c>
      <c r="T80" s="1099" t="s">
        <v>954</v>
      </c>
      <c r="U80" s="1100" t="s">
        <v>997</v>
      </c>
      <c r="V80" s="1099">
        <v>522</v>
      </c>
      <c r="W80" s="1099" t="s">
        <v>958</v>
      </c>
    </row>
    <row r="81" spans="1:24">
      <c r="A81" s="895"/>
      <c r="B81" s="898" t="s">
        <v>443</v>
      </c>
      <c r="C81" s="871">
        <f t="shared" si="8"/>
        <v>55847.5</v>
      </c>
      <c r="D81" s="1250">
        <f>D82</f>
        <v>52496.6</v>
      </c>
      <c r="E81" s="1250">
        <f>E82</f>
        <v>3350.9</v>
      </c>
      <c r="F81" s="874">
        <f t="shared" si="9"/>
        <v>55847.5</v>
      </c>
      <c r="G81" s="875">
        <f>G82</f>
        <v>52496.6</v>
      </c>
      <c r="H81" s="875">
        <f>H82</f>
        <v>3350.9</v>
      </c>
      <c r="I81" s="874">
        <f t="shared" si="10"/>
        <v>374.1</v>
      </c>
      <c r="J81" s="875">
        <f>J82</f>
        <v>351.7</v>
      </c>
      <c r="K81" s="875">
        <f>K82</f>
        <v>22.4</v>
      </c>
      <c r="L81" s="876">
        <f t="shared" si="7"/>
        <v>0.7</v>
      </c>
      <c r="M81" s="877">
        <f t="shared" si="7"/>
        <v>0.7</v>
      </c>
      <c r="N81" s="877">
        <f t="shared" si="7"/>
        <v>0.7</v>
      </c>
      <c r="O81" s="1214" t="s">
        <v>353</v>
      </c>
      <c r="P81" s="1214" t="s">
        <v>353</v>
      </c>
      <c r="Q81" s="1065">
        <f t="shared" si="11"/>
        <v>0</v>
      </c>
      <c r="R81" s="1065">
        <f t="shared" si="11"/>
        <v>0</v>
      </c>
      <c r="S81" s="1065">
        <f t="shared" si="11"/>
        <v>0</v>
      </c>
    </row>
    <row r="82" spans="1:24" ht="50.25" customHeight="1">
      <c r="A82" s="1244" t="s">
        <v>555</v>
      </c>
      <c r="B82" s="1084" t="s">
        <v>681</v>
      </c>
      <c r="C82" s="894">
        <f t="shared" si="8"/>
        <v>55847.5</v>
      </c>
      <c r="D82" s="1249">
        <f>52494.2+2.4</f>
        <v>52496.6</v>
      </c>
      <c r="E82" s="1249">
        <f>3350.7+0.16</f>
        <v>3350.9</v>
      </c>
      <c r="F82" s="1083">
        <f t="shared" si="9"/>
        <v>55847.5</v>
      </c>
      <c r="G82" s="879">
        <f>D82</f>
        <v>52496.6</v>
      </c>
      <c r="H82" s="879">
        <f>E82</f>
        <v>3350.9</v>
      </c>
      <c r="I82" s="1083">
        <f t="shared" si="10"/>
        <v>374.1</v>
      </c>
      <c r="J82" s="1083">
        <v>351.7</v>
      </c>
      <c r="K82" s="1289">
        <v>22.4</v>
      </c>
      <c r="L82" s="877">
        <f t="shared" si="7"/>
        <v>0.7</v>
      </c>
      <c r="M82" s="877">
        <f t="shared" si="7"/>
        <v>0.7</v>
      </c>
      <c r="N82" s="877">
        <f t="shared" si="7"/>
        <v>0.7</v>
      </c>
      <c r="O82" s="1248" t="s">
        <v>1190</v>
      </c>
      <c r="P82" s="1214" t="s">
        <v>1146</v>
      </c>
      <c r="Q82" s="1065">
        <f t="shared" si="11"/>
        <v>0</v>
      </c>
      <c r="R82" s="1065">
        <f t="shared" si="11"/>
        <v>0</v>
      </c>
      <c r="S82" s="1065">
        <f t="shared" si="11"/>
        <v>0</v>
      </c>
      <c r="T82" s="1099" t="s">
        <v>874</v>
      </c>
      <c r="U82" s="1100" t="s">
        <v>984</v>
      </c>
      <c r="V82" s="1099">
        <v>522</v>
      </c>
      <c r="W82" s="1099" t="s">
        <v>985</v>
      </c>
    </row>
    <row r="83" spans="1:24">
      <c r="A83" s="895"/>
      <c r="B83" s="898" t="s">
        <v>281</v>
      </c>
      <c r="C83" s="871">
        <f t="shared" si="8"/>
        <v>115657.60000000001</v>
      </c>
      <c r="D83" s="1250">
        <f>SUM(D84:D85)</f>
        <v>108717.1</v>
      </c>
      <c r="E83" s="1250">
        <f>SUM(E84:E85)</f>
        <v>6940.5</v>
      </c>
      <c r="F83" s="874">
        <f t="shared" si="9"/>
        <v>115657.60000000001</v>
      </c>
      <c r="G83" s="875">
        <f>SUM(G84:G85)</f>
        <v>108717.1</v>
      </c>
      <c r="H83" s="875">
        <f>SUM(H84:H85)</f>
        <v>6940.5</v>
      </c>
      <c r="I83" s="874">
        <f t="shared" si="10"/>
        <v>12341.9</v>
      </c>
      <c r="J83" s="875">
        <f>SUM(J84:J85)</f>
        <v>11601.4</v>
      </c>
      <c r="K83" s="875">
        <f>SUM(K84:K85)</f>
        <v>740.5</v>
      </c>
      <c r="L83" s="876">
        <f t="shared" si="7"/>
        <v>10.7</v>
      </c>
      <c r="M83" s="877">
        <f t="shared" si="7"/>
        <v>10.7</v>
      </c>
      <c r="N83" s="877">
        <f t="shared" si="7"/>
        <v>10.7</v>
      </c>
      <c r="O83" s="1214" t="s">
        <v>353</v>
      </c>
      <c r="P83" s="1214" t="s">
        <v>353</v>
      </c>
      <c r="Q83" s="1065">
        <f t="shared" si="11"/>
        <v>0</v>
      </c>
      <c r="R83" s="1065">
        <f t="shared" si="11"/>
        <v>0</v>
      </c>
      <c r="S83" s="1065">
        <f t="shared" si="11"/>
        <v>0</v>
      </c>
    </row>
    <row r="84" spans="1:24" ht="66" customHeight="1">
      <c r="A84" s="1242" t="s">
        <v>1308</v>
      </c>
      <c r="B84" s="1086" t="s">
        <v>682</v>
      </c>
      <c r="C84" s="1253">
        <f t="shared" si="8"/>
        <v>84139</v>
      </c>
      <c r="D84" s="1254">
        <f>75135.3+3954.5</f>
        <v>79089.8</v>
      </c>
      <c r="E84" s="1249">
        <f>4796.7+252.5</f>
        <v>5049.2</v>
      </c>
      <c r="F84" s="1245">
        <f t="shared" si="9"/>
        <v>84139</v>
      </c>
      <c r="G84" s="879">
        <f>D84</f>
        <v>79089.8</v>
      </c>
      <c r="H84" s="879">
        <f>E84</f>
        <v>5049.2</v>
      </c>
      <c r="I84" s="1245">
        <f t="shared" si="10"/>
        <v>12341.9</v>
      </c>
      <c r="J84" s="1245">
        <v>11601.4</v>
      </c>
      <c r="K84" s="1289">
        <v>740.5</v>
      </c>
      <c r="L84" s="1243">
        <f t="shared" si="7"/>
        <v>14.7</v>
      </c>
      <c r="M84" s="1243">
        <f t="shared" si="7"/>
        <v>14.7</v>
      </c>
      <c r="N84" s="883">
        <f t="shared" si="7"/>
        <v>14.7</v>
      </c>
      <c r="O84" s="1214" t="s">
        <v>1147</v>
      </c>
      <c r="P84" s="1214" t="s">
        <v>1148</v>
      </c>
      <c r="Q84" s="1065">
        <f t="shared" si="11"/>
        <v>0</v>
      </c>
      <c r="R84" s="1065">
        <f t="shared" si="11"/>
        <v>0</v>
      </c>
      <c r="S84" s="1065">
        <f t="shared" si="11"/>
        <v>0</v>
      </c>
      <c r="T84" s="1099" t="s">
        <v>928</v>
      </c>
      <c r="U84" s="1100" t="s">
        <v>987</v>
      </c>
      <c r="V84" s="1099">
        <v>522</v>
      </c>
      <c r="W84" s="1099" t="s">
        <v>930</v>
      </c>
    </row>
    <row r="85" spans="1:24" ht="45.75" customHeight="1">
      <c r="A85" s="1244" t="s">
        <v>556</v>
      </c>
      <c r="B85" s="1084" t="s">
        <v>683</v>
      </c>
      <c r="C85" s="894">
        <f t="shared" si="8"/>
        <v>31518.6</v>
      </c>
      <c r="D85" s="1249">
        <f>29034.8+592.5</f>
        <v>29627.3</v>
      </c>
      <c r="E85" s="1249">
        <f>1853.5+37.83</f>
        <v>1891.3</v>
      </c>
      <c r="F85" s="1083">
        <f t="shared" si="9"/>
        <v>31518.6</v>
      </c>
      <c r="G85" s="879">
        <f>D85</f>
        <v>29627.3</v>
      </c>
      <c r="H85" s="879">
        <f>E85</f>
        <v>1891.3</v>
      </c>
      <c r="I85" s="1083">
        <f t="shared" si="10"/>
        <v>0</v>
      </c>
      <c r="J85" s="1083">
        <v>0</v>
      </c>
      <c r="K85" s="1083">
        <v>0</v>
      </c>
      <c r="L85" s="877">
        <f t="shared" si="7"/>
        <v>0</v>
      </c>
      <c r="M85" s="877">
        <f t="shared" si="7"/>
        <v>0</v>
      </c>
      <c r="N85" s="877">
        <f t="shared" si="7"/>
        <v>0</v>
      </c>
      <c r="O85" s="1214" t="s">
        <v>1191</v>
      </c>
      <c r="P85" s="1214" t="s">
        <v>1118</v>
      </c>
      <c r="Q85" s="1065">
        <f t="shared" si="11"/>
        <v>0</v>
      </c>
      <c r="R85" s="1065">
        <f t="shared" si="11"/>
        <v>0</v>
      </c>
      <c r="S85" s="1065">
        <f t="shared" si="11"/>
        <v>0</v>
      </c>
      <c r="T85" s="1099" t="s">
        <v>954</v>
      </c>
      <c r="U85" s="1100" t="s">
        <v>998</v>
      </c>
      <c r="V85" s="1099">
        <v>522</v>
      </c>
      <c r="W85" s="1099" t="s">
        <v>958</v>
      </c>
    </row>
    <row r="86" spans="1:24">
      <c r="A86" s="1244"/>
      <c r="B86" s="898" t="s">
        <v>583</v>
      </c>
      <c r="C86" s="871">
        <f t="shared" si="8"/>
        <v>36116.5</v>
      </c>
      <c r="D86" s="1250">
        <f>SUM(D87:D87)</f>
        <v>33949.300000000003</v>
      </c>
      <c r="E86" s="1250">
        <f>SUM(E87:E87)</f>
        <v>2167.1999999999998</v>
      </c>
      <c r="F86" s="874">
        <f t="shared" si="9"/>
        <v>36116.5</v>
      </c>
      <c r="G86" s="875">
        <f>SUM(G87:G87)</f>
        <v>33949.300000000003</v>
      </c>
      <c r="H86" s="875">
        <f>SUM(H87:H87)</f>
        <v>2167.1999999999998</v>
      </c>
      <c r="I86" s="874">
        <f t="shared" si="10"/>
        <v>777</v>
      </c>
      <c r="J86" s="875">
        <f>SUM(J87:J87)</f>
        <v>730.4</v>
      </c>
      <c r="K86" s="875">
        <f>SUM(K87:K87)</f>
        <v>46.6</v>
      </c>
      <c r="L86" s="876">
        <f t="shared" si="7"/>
        <v>2.2000000000000002</v>
      </c>
      <c r="M86" s="877">
        <f t="shared" si="7"/>
        <v>2.2000000000000002</v>
      </c>
      <c r="N86" s="877">
        <f t="shared" si="7"/>
        <v>2.2000000000000002</v>
      </c>
      <c r="O86" s="1214" t="s">
        <v>353</v>
      </c>
      <c r="P86" s="1214" t="s">
        <v>353</v>
      </c>
      <c r="Q86" s="1065">
        <f t="shared" si="11"/>
        <v>0</v>
      </c>
      <c r="R86" s="1065">
        <f t="shared" si="11"/>
        <v>0</v>
      </c>
      <c r="S86" s="1065">
        <f t="shared" si="11"/>
        <v>0</v>
      </c>
    </row>
    <row r="87" spans="1:24" ht="39" customHeight="1">
      <c r="A87" s="1244" t="s">
        <v>162</v>
      </c>
      <c r="B87" s="1075" t="s">
        <v>684</v>
      </c>
      <c r="C87" s="894">
        <f t="shared" si="8"/>
        <v>36116.5</v>
      </c>
      <c r="D87" s="1249">
        <f>8487.1+25462.18</f>
        <v>33949.300000000003</v>
      </c>
      <c r="E87" s="1249">
        <f>541.8+1625.38</f>
        <v>2167.1999999999998</v>
      </c>
      <c r="F87" s="1083">
        <f t="shared" si="9"/>
        <v>36116.5</v>
      </c>
      <c r="G87" s="879">
        <f>D87</f>
        <v>33949.300000000003</v>
      </c>
      <c r="H87" s="879">
        <f>E87</f>
        <v>2167.1999999999998</v>
      </c>
      <c r="I87" s="1083">
        <f t="shared" si="10"/>
        <v>777</v>
      </c>
      <c r="J87" s="1083">
        <v>730.4</v>
      </c>
      <c r="K87" s="1289">
        <v>46.6</v>
      </c>
      <c r="L87" s="877">
        <f t="shared" si="7"/>
        <v>2.2000000000000002</v>
      </c>
      <c r="M87" s="877">
        <f t="shared" si="7"/>
        <v>2.2000000000000002</v>
      </c>
      <c r="N87" s="877">
        <f t="shared" si="7"/>
        <v>2.2000000000000002</v>
      </c>
      <c r="O87" s="1214" t="s">
        <v>1149</v>
      </c>
      <c r="P87" s="1214" t="s">
        <v>1150</v>
      </c>
      <c r="Q87" s="1065">
        <f t="shared" si="11"/>
        <v>0</v>
      </c>
      <c r="R87" s="1065">
        <f t="shared" si="11"/>
        <v>0</v>
      </c>
      <c r="S87" s="1065">
        <f t="shared" si="11"/>
        <v>0</v>
      </c>
      <c r="T87" s="1099" t="s">
        <v>886</v>
      </c>
      <c r="U87" s="1100" t="s">
        <v>996</v>
      </c>
      <c r="V87" s="1099">
        <v>522</v>
      </c>
      <c r="W87" s="1099" t="s">
        <v>890</v>
      </c>
    </row>
    <row r="88" spans="1:24" s="914" customFormat="1" ht="135" customHeight="1">
      <c r="A88" s="1047" t="s">
        <v>2</v>
      </c>
      <c r="B88" s="1275" t="s">
        <v>313</v>
      </c>
      <c r="C88" s="1047">
        <f t="shared" si="8"/>
        <v>3583350.7</v>
      </c>
      <c r="D88" s="1047">
        <f>D89</f>
        <v>2876174.2</v>
      </c>
      <c r="E88" s="1047">
        <f>E89</f>
        <v>707176.5</v>
      </c>
      <c r="F88" s="1047">
        <f t="shared" si="9"/>
        <v>3579947.6</v>
      </c>
      <c r="G88" s="1047">
        <f>G89</f>
        <v>2888474.5</v>
      </c>
      <c r="H88" s="1047">
        <f>H89</f>
        <v>691473.1</v>
      </c>
      <c r="I88" s="1047">
        <f t="shared" si="10"/>
        <v>137269.20000000001</v>
      </c>
      <c r="J88" s="1047">
        <f>J89</f>
        <v>85522.1</v>
      </c>
      <c r="K88" s="1047">
        <f>K89</f>
        <v>51747.1</v>
      </c>
      <c r="L88" s="1048">
        <f t="shared" si="7"/>
        <v>3.8</v>
      </c>
      <c r="M88" s="1049">
        <f t="shared" si="7"/>
        <v>3</v>
      </c>
      <c r="N88" s="1049">
        <f t="shared" si="7"/>
        <v>7.5</v>
      </c>
      <c r="O88" s="1227" t="s">
        <v>353</v>
      </c>
      <c r="P88" s="1227" t="s">
        <v>353</v>
      </c>
      <c r="Q88" s="1065">
        <f t="shared" si="11"/>
        <v>3403.1</v>
      </c>
      <c r="R88" s="1065">
        <f t="shared" si="11"/>
        <v>-12300.3</v>
      </c>
      <c r="S88" s="1065">
        <f t="shared" si="11"/>
        <v>15703.4</v>
      </c>
      <c r="T88" s="1099"/>
      <c r="U88" s="1100"/>
      <c r="V88" s="1099"/>
      <c r="W88" s="1099"/>
      <c r="X88" s="1216"/>
    </row>
    <row r="89" spans="1:24" s="914" customFormat="1" ht="63.75" customHeight="1">
      <c r="A89" s="933" t="s">
        <v>246</v>
      </c>
      <c r="B89" s="1276" t="s">
        <v>41</v>
      </c>
      <c r="C89" s="933">
        <f t="shared" si="8"/>
        <v>3583350.7</v>
      </c>
      <c r="D89" s="933">
        <f>SUM(D90:D144)</f>
        <v>2876174.2</v>
      </c>
      <c r="E89" s="933">
        <f>SUM(E90:E144)</f>
        <v>707176.5</v>
      </c>
      <c r="F89" s="933">
        <f>SUM(G89:H89)</f>
        <v>3579947.6</v>
      </c>
      <c r="G89" s="934">
        <f>SUM(G90:G144)</f>
        <v>2888474.5</v>
      </c>
      <c r="H89" s="934">
        <f>SUM(H90:H144)</f>
        <v>691473.1</v>
      </c>
      <c r="I89" s="933">
        <f t="shared" si="10"/>
        <v>137269.20000000001</v>
      </c>
      <c r="J89" s="933">
        <f>SUM(J90:J144)</f>
        <v>85522.1</v>
      </c>
      <c r="K89" s="933">
        <f>SUM(K90:K144)</f>
        <v>51747.1</v>
      </c>
      <c r="L89" s="935">
        <f t="shared" si="7"/>
        <v>3.8</v>
      </c>
      <c r="M89" s="936">
        <f t="shared" si="7"/>
        <v>3</v>
      </c>
      <c r="N89" s="936">
        <f t="shared" si="7"/>
        <v>7.5</v>
      </c>
      <c r="O89" s="1226" t="s">
        <v>353</v>
      </c>
      <c r="P89" s="1226" t="s">
        <v>353</v>
      </c>
      <c r="Q89" s="1065">
        <f t="shared" si="11"/>
        <v>3403.1</v>
      </c>
      <c r="R89" s="1065">
        <f t="shared" si="11"/>
        <v>-12300.3</v>
      </c>
      <c r="S89" s="1065">
        <f t="shared" si="11"/>
        <v>15703.4</v>
      </c>
      <c r="T89" s="1099"/>
      <c r="U89" s="1100"/>
      <c r="V89" s="1099"/>
      <c r="W89" s="1099"/>
      <c r="X89" s="1216"/>
    </row>
    <row r="90" spans="1:24" s="892" customFormat="1" ht="111" customHeight="1">
      <c r="A90" s="1120" t="s">
        <v>824</v>
      </c>
      <c r="B90" s="1066" t="s">
        <v>434</v>
      </c>
      <c r="C90" s="871">
        <f>SUM(D90:E90)</f>
        <v>109862.6</v>
      </c>
      <c r="D90" s="873">
        <v>105115.4</v>
      </c>
      <c r="E90" s="873">
        <v>4747.2</v>
      </c>
      <c r="F90" s="882">
        <f t="shared" si="9"/>
        <v>109862.6</v>
      </c>
      <c r="G90" s="877">
        <f>105115.4</f>
        <v>105115.4</v>
      </c>
      <c r="H90" s="877">
        <v>4747.2</v>
      </c>
      <c r="I90" s="882">
        <f t="shared" si="10"/>
        <v>4747.1000000000004</v>
      </c>
      <c r="J90" s="883">
        <v>0</v>
      </c>
      <c r="K90" s="883">
        <v>4747.1000000000004</v>
      </c>
      <c r="L90" s="876">
        <f t="shared" si="7"/>
        <v>4.3</v>
      </c>
      <c r="M90" s="877">
        <f t="shared" si="7"/>
        <v>0</v>
      </c>
      <c r="N90" s="877">
        <f t="shared" si="7"/>
        <v>100</v>
      </c>
      <c r="O90" s="1214" t="s">
        <v>353</v>
      </c>
      <c r="P90" s="1214" t="s">
        <v>1099</v>
      </c>
      <c r="Q90" s="1065">
        <f t="shared" si="11"/>
        <v>0</v>
      </c>
      <c r="R90" s="1065">
        <f t="shared" si="11"/>
        <v>0</v>
      </c>
      <c r="S90" s="1065">
        <f t="shared" si="11"/>
        <v>0</v>
      </c>
      <c r="T90" s="1099" t="s">
        <v>880</v>
      </c>
      <c r="U90" s="1100" t="s">
        <v>881</v>
      </c>
      <c r="V90" s="1099" t="s">
        <v>882</v>
      </c>
      <c r="W90" s="1099"/>
      <c r="X90" s="1216"/>
    </row>
    <row r="91" spans="1:24" ht="104.25" customHeight="1">
      <c r="A91" s="1244" t="s">
        <v>545</v>
      </c>
      <c r="B91" s="973" t="s">
        <v>793</v>
      </c>
      <c r="C91" s="871">
        <f t="shared" si="8"/>
        <v>5176.2</v>
      </c>
      <c r="D91" s="972">
        <v>0</v>
      </c>
      <c r="E91" s="972">
        <v>5176.2</v>
      </c>
      <c r="F91" s="874">
        <f>SUM(G91:H91)</f>
        <v>5176.2</v>
      </c>
      <c r="G91" s="879">
        <v>0</v>
      </c>
      <c r="H91" s="879">
        <v>5176.2</v>
      </c>
      <c r="I91" s="874">
        <f t="shared" si="10"/>
        <v>0</v>
      </c>
      <c r="J91" s="1083">
        <v>0</v>
      </c>
      <c r="K91" s="1083">
        <v>0</v>
      </c>
      <c r="L91" s="876">
        <v>0</v>
      </c>
      <c r="M91" s="877">
        <f t="shared" ref="M91:N99" si="12">IF(J91=0,0,J91/G91*100)</f>
        <v>0</v>
      </c>
      <c r="N91" s="877">
        <f t="shared" si="12"/>
        <v>0</v>
      </c>
      <c r="O91" s="1214" t="s">
        <v>1192</v>
      </c>
      <c r="P91" s="1214" t="s">
        <v>1151</v>
      </c>
      <c r="Q91" s="1065">
        <f t="shared" si="11"/>
        <v>0</v>
      </c>
      <c r="R91" s="1065">
        <f t="shared" si="11"/>
        <v>0</v>
      </c>
      <c r="S91" s="1065">
        <f t="shared" si="11"/>
        <v>0</v>
      </c>
      <c r="T91" s="1099" t="s">
        <v>886</v>
      </c>
      <c r="U91" s="1100" t="s">
        <v>895</v>
      </c>
      <c r="V91" s="1099">
        <v>414</v>
      </c>
      <c r="W91" s="1099">
        <v>30131</v>
      </c>
    </row>
    <row r="92" spans="1:24" ht="65.25" customHeight="1">
      <c r="A92" s="1244" t="s">
        <v>557</v>
      </c>
      <c r="B92" s="973" t="s">
        <v>661</v>
      </c>
      <c r="C92" s="871">
        <f t="shared" si="8"/>
        <v>10224.4</v>
      </c>
      <c r="D92" s="972">
        <v>0</v>
      </c>
      <c r="E92" s="972">
        <v>10224.4</v>
      </c>
      <c r="F92" s="874">
        <f t="shared" si="9"/>
        <v>10224.4</v>
      </c>
      <c r="G92" s="879">
        <v>0</v>
      </c>
      <c r="H92" s="879">
        <v>10224.4</v>
      </c>
      <c r="I92" s="874">
        <f t="shared" si="10"/>
        <v>0</v>
      </c>
      <c r="J92" s="1083">
        <v>0</v>
      </c>
      <c r="K92" s="1083">
        <v>0</v>
      </c>
      <c r="L92" s="876">
        <v>0</v>
      </c>
      <c r="M92" s="877">
        <f t="shared" si="12"/>
        <v>0</v>
      </c>
      <c r="N92" s="877">
        <f t="shared" si="12"/>
        <v>0</v>
      </c>
      <c r="O92" s="1214" t="s">
        <v>1222</v>
      </c>
      <c r="P92" s="1214" t="s">
        <v>1152</v>
      </c>
      <c r="Q92" s="1065">
        <f t="shared" si="11"/>
        <v>0</v>
      </c>
      <c r="R92" s="1065">
        <f t="shared" si="11"/>
        <v>0</v>
      </c>
      <c r="S92" s="1065">
        <f t="shared" si="11"/>
        <v>0</v>
      </c>
      <c r="T92" s="1099" t="s">
        <v>886</v>
      </c>
      <c r="U92" s="1100" t="s">
        <v>887</v>
      </c>
      <c r="V92" s="1099">
        <v>414</v>
      </c>
      <c r="W92" s="1099">
        <v>14037</v>
      </c>
    </row>
    <row r="93" spans="1:24" ht="65.25" customHeight="1">
      <c r="A93" s="1244" t="s">
        <v>558</v>
      </c>
      <c r="B93" s="973" t="s">
        <v>662</v>
      </c>
      <c r="C93" s="871">
        <f t="shared" si="8"/>
        <v>2373</v>
      </c>
      <c r="D93" s="972">
        <v>0</v>
      </c>
      <c r="E93" s="972">
        <v>2373</v>
      </c>
      <c r="F93" s="874">
        <f t="shared" si="9"/>
        <v>2373</v>
      </c>
      <c r="G93" s="879">
        <v>0</v>
      </c>
      <c r="H93" s="879">
        <v>2373</v>
      </c>
      <c r="I93" s="874">
        <f t="shared" si="10"/>
        <v>0</v>
      </c>
      <c r="J93" s="1083">
        <v>0</v>
      </c>
      <c r="K93" s="1083">
        <v>0</v>
      </c>
      <c r="L93" s="876">
        <v>0</v>
      </c>
      <c r="M93" s="877">
        <f t="shared" si="12"/>
        <v>0</v>
      </c>
      <c r="N93" s="877">
        <f t="shared" si="12"/>
        <v>0</v>
      </c>
      <c r="O93" s="1214" t="s">
        <v>1224</v>
      </c>
      <c r="P93" s="1214" t="s">
        <v>1154</v>
      </c>
      <c r="Q93" s="1065">
        <f t="shared" si="11"/>
        <v>0</v>
      </c>
      <c r="R93" s="1065">
        <f t="shared" si="11"/>
        <v>0</v>
      </c>
      <c r="S93" s="1065">
        <f t="shared" si="11"/>
        <v>0</v>
      </c>
      <c r="T93" s="1099" t="s">
        <v>886</v>
      </c>
      <c r="U93" s="1100" t="s">
        <v>888</v>
      </c>
      <c r="V93" s="1099">
        <v>141</v>
      </c>
      <c r="W93" s="1099">
        <v>14038</v>
      </c>
    </row>
    <row r="94" spans="1:24" ht="103.5" customHeight="1">
      <c r="A94" s="1244" t="s">
        <v>559</v>
      </c>
      <c r="B94" s="973" t="s">
        <v>663</v>
      </c>
      <c r="C94" s="871">
        <f t="shared" si="8"/>
        <v>4074.6</v>
      </c>
      <c r="D94" s="972">
        <v>0</v>
      </c>
      <c r="E94" s="972">
        <v>4074.6</v>
      </c>
      <c r="F94" s="874">
        <f t="shared" si="9"/>
        <v>4074.6</v>
      </c>
      <c r="G94" s="879">
        <v>0</v>
      </c>
      <c r="H94" s="879">
        <v>4074.6</v>
      </c>
      <c r="I94" s="874">
        <f t="shared" si="10"/>
        <v>0</v>
      </c>
      <c r="J94" s="1083">
        <v>0</v>
      </c>
      <c r="K94" s="1083">
        <v>0</v>
      </c>
      <c r="L94" s="876">
        <v>0</v>
      </c>
      <c r="M94" s="877">
        <f t="shared" si="12"/>
        <v>0</v>
      </c>
      <c r="N94" s="877">
        <f t="shared" si="12"/>
        <v>0</v>
      </c>
      <c r="O94" s="1214" t="s">
        <v>1223</v>
      </c>
      <c r="P94" s="1214" t="s">
        <v>1153</v>
      </c>
      <c r="Q94" s="1065">
        <f t="shared" si="11"/>
        <v>0</v>
      </c>
      <c r="R94" s="1065">
        <f t="shared" si="11"/>
        <v>0</v>
      </c>
      <c r="S94" s="1065">
        <f t="shared" si="11"/>
        <v>0</v>
      </c>
      <c r="T94" s="1099" t="s">
        <v>886</v>
      </c>
      <c r="U94" s="1100" t="s">
        <v>888</v>
      </c>
      <c r="V94" s="1099">
        <v>414</v>
      </c>
      <c r="W94" s="1099">
        <v>14039</v>
      </c>
    </row>
    <row r="95" spans="1:24" ht="180" customHeight="1">
      <c r="A95" s="1244" t="s">
        <v>560</v>
      </c>
      <c r="B95" s="973" t="s">
        <v>805</v>
      </c>
      <c r="C95" s="871">
        <f t="shared" si="8"/>
        <v>10000</v>
      </c>
      <c r="D95" s="972">
        <v>0</v>
      </c>
      <c r="E95" s="972">
        <v>10000</v>
      </c>
      <c r="F95" s="874">
        <f>SUM(G95:H95)</f>
        <v>10000</v>
      </c>
      <c r="G95" s="879">
        <v>0</v>
      </c>
      <c r="H95" s="879">
        <v>10000</v>
      </c>
      <c r="I95" s="874">
        <f t="shared" si="10"/>
        <v>0</v>
      </c>
      <c r="J95" s="1083">
        <v>0</v>
      </c>
      <c r="K95" s="1083">
        <v>0</v>
      </c>
      <c r="L95" s="876">
        <v>0</v>
      </c>
      <c r="M95" s="877">
        <f t="shared" si="12"/>
        <v>0</v>
      </c>
      <c r="N95" s="877">
        <f t="shared" si="12"/>
        <v>0</v>
      </c>
      <c r="O95" s="1214" t="s">
        <v>1192</v>
      </c>
      <c r="P95" s="1214" t="s">
        <v>1155</v>
      </c>
      <c r="Q95" s="1065">
        <f t="shared" ref="Q95:S110" si="13">C95-F95</f>
        <v>0</v>
      </c>
      <c r="R95" s="1065">
        <f t="shared" si="13"/>
        <v>0</v>
      </c>
      <c r="S95" s="1065">
        <f t="shared" si="13"/>
        <v>0</v>
      </c>
      <c r="T95" s="1099" t="s">
        <v>866</v>
      </c>
      <c r="U95" s="1100" t="s">
        <v>883</v>
      </c>
      <c r="V95" s="1099">
        <v>414</v>
      </c>
      <c r="W95" s="1099">
        <v>14051</v>
      </c>
    </row>
    <row r="96" spans="1:24" ht="116.25">
      <c r="A96" s="1244" t="s">
        <v>561</v>
      </c>
      <c r="B96" s="973" t="s">
        <v>664</v>
      </c>
      <c r="C96" s="871">
        <f t="shared" si="8"/>
        <v>1519</v>
      </c>
      <c r="D96" s="972">
        <v>0</v>
      </c>
      <c r="E96" s="972">
        <v>1519</v>
      </c>
      <c r="F96" s="874">
        <f t="shared" si="9"/>
        <v>1519</v>
      </c>
      <c r="G96" s="879">
        <v>0</v>
      </c>
      <c r="H96" s="879">
        <v>1519</v>
      </c>
      <c r="I96" s="874">
        <f t="shared" si="10"/>
        <v>0</v>
      </c>
      <c r="J96" s="1083">
        <v>0</v>
      </c>
      <c r="K96" s="1083">
        <v>0</v>
      </c>
      <c r="L96" s="876">
        <v>0</v>
      </c>
      <c r="M96" s="877">
        <f t="shared" si="12"/>
        <v>0</v>
      </c>
      <c r="N96" s="877">
        <f t="shared" si="12"/>
        <v>0</v>
      </c>
      <c r="O96" s="1214" t="s">
        <v>1225</v>
      </c>
      <c r="P96" s="1214" t="s">
        <v>1156</v>
      </c>
      <c r="Q96" s="1065">
        <f t="shared" si="13"/>
        <v>0</v>
      </c>
      <c r="R96" s="1065">
        <f t="shared" si="13"/>
        <v>0</v>
      </c>
      <c r="S96" s="1065">
        <f t="shared" si="13"/>
        <v>0</v>
      </c>
      <c r="T96" s="1099" t="s">
        <v>886</v>
      </c>
      <c r="U96" s="1100" t="s">
        <v>892</v>
      </c>
      <c r="V96" s="1099">
        <v>414</v>
      </c>
      <c r="W96" s="1099">
        <v>14041</v>
      </c>
    </row>
    <row r="97" spans="1:24" ht="116.25">
      <c r="A97" s="1244" t="s">
        <v>563</v>
      </c>
      <c r="B97" s="973" t="s">
        <v>665</v>
      </c>
      <c r="C97" s="871">
        <f t="shared" si="8"/>
        <v>1519</v>
      </c>
      <c r="D97" s="972">
        <v>0</v>
      </c>
      <c r="E97" s="972">
        <v>1519</v>
      </c>
      <c r="F97" s="874">
        <f t="shared" si="9"/>
        <v>1519</v>
      </c>
      <c r="G97" s="879">
        <v>0</v>
      </c>
      <c r="H97" s="879">
        <v>1519</v>
      </c>
      <c r="I97" s="874">
        <f t="shared" si="10"/>
        <v>0</v>
      </c>
      <c r="J97" s="1083">
        <v>0</v>
      </c>
      <c r="K97" s="1083">
        <v>0</v>
      </c>
      <c r="L97" s="876">
        <v>0</v>
      </c>
      <c r="M97" s="877">
        <f t="shared" si="12"/>
        <v>0</v>
      </c>
      <c r="N97" s="877">
        <f t="shared" si="12"/>
        <v>0</v>
      </c>
      <c r="O97" s="1214" t="s">
        <v>1226</v>
      </c>
      <c r="P97" s="1214" t="s">
        <v>1156</v>
      </c>
      <c r="Q97" s="1065">
        <f t="shared" si="13"/>
        <v>0</v>
      </c>
      <c r="R97" s="1065">
        <f t="shared" si="13"/>
        <v>0</v>
      </c>
      <c r="S97" s="1065">
        <f t="shared" si="13"/>
        <v>0</v>
      </c>
      <c r="T97" s="1099" t="s">
        <v>886</v>
      </c>
      <c r="U97" s="1100" t="s">
        <v>892</v>
      </c>
      <c r="V97" s="1099">
        <v>414</v>
      </c>
      <c r="W97" s="1099">
        <v>14042</v>
      </c>
    </row>
    <row r="98" spans="1:24" ht="116.25">
      <c r="A98" s="1244" t="s">
        <v>573</v>
      </c>
      <c r="B98" s="973" t="s">
        <v>666</v>
      </c>
      <c r="C98" s="871">
        <f t="shared" si="8"/>
        <v>1400</v>
      </c>
      <c r="D98" s="972">
        <v>0</v>
      </c>
      <c r="E98" s="972">
        <v>1400</v>
      </c>
      <c r="F98" s="874">
        <f t="shared" si="9"/>
        <v>1400</v>
      </c>
      <c r="G98" s="879">
        <v>0</v>
      </c>
      <c r="H98" s="879">
        <v>1400</v>
      </c>
      <c r="I98" s="874">
        <f t="shared" si="10"/>
        <v>0</v>
      </c>
      <c r="J98" s="1083">
        <v>0</v>
      </c>
      <c r="K98" s="1083">
        <v>0</v>
      </c>
      <c r="L98" s="876">
        <v>0</v>
      </c>
      <c r="M98" s="877">
        <f t="shared" si="12"/>
        <v>0</v>
      </c>
      <c r="N98" s="877">
        <f t="shared" si="12"/>
        <v>0</v>
      </c>
      <c r="O98" s="1214" t="s">
        <v>1227</v>
      </c>
      <c r="P98" s="1214" t="s">
        <v>1157</v>
      </c>
      <c r="Q98" s="1065">
        <f t="shared" si="13"/>
        <v>0</v>
      </c>
      <c r="R98" s="1065">
        <f t="shared" si="13"/>
        <v>0</v>
      </c>
      <c r="S98" s="1065">
        <f t="shared" si="13"/>
        <v>0</v>
      </c>
      <c r="T98" s="1099" t="s">
        <v>886</v>
      </c>
      <c r="U98" s="1100" t="s">
        <v>892</v>
      </c>
      <c r="V98" s="1099">
        <v>414</v>
      </c>
      <c r="W98" s="1099">
        <v>14043</v>
      </c>
    </row>
    <row r="99" spans="1:24" ht="90.75" customHeight="1">
      <c r="A99" s="1244" t="s">
        <v>624</v>
      </c>
      <c r="B99" s="973" t="s">
        <v>1170</v>
      </c>
      <c r="C99" s="871">
        <f t="shared" si="8"/>
        <v>28000</v>
      </c>
      <c r="D99" s="972">
        <v>0</v>
      </c>
      <c r="E99" s="972">
        <v>28000</v>
      </c>
      <c r="F99" s="874">
        <f t="shared" si="9"/>
        <v>28000</v>
      </c>
      <c r="G99" s="879">
        <v>0</v>
      </c>
      <c r="H99" s="879">
        <v>28000</v>
      </c>
      <c r="I99" s="874">
        <f t="shared" si="10"/>
        <v>0</v>
      </c>
      <c r="J99" s="1083">
        <v>0</v>
      </c>
      <c r="K99" s="1083">
        <v>0</v>
      </c>
      <c r="L99" s="876">
        <v>0</v>
      </c>
      <c r="M99" s="877">
        <f t="shared" si="12"/>
        <v>0</v>
      </c>
      <c r="N99" s="877">
        <f t="shared" si="12"/>
        <v>0</v>
      </c>
      <c r="O99" s="1214" t="s">
        <v>1192</v>
      </c>
      <c r="P99" s="1214" t="s">
        <v>1158</v>
      </c>
      <c r="Q99" s="1065">
        <f t="shared" si="13"/>
        <v>0</v>
      </c>
      <c r="R99" s="1065">
        <f t="shared" si="13"/>
        <v>0</v>
      </c>
      <c r="S99" s="1065">
        <f t="shared" si="13"/>
        <v>0</v>
      </c>
      <c r="T99" s="1099" t="s">
        <v>886</v>
      </c>
      <c r="U99" s="1100" t="s">
        <v>893</v>
      </c>
      <c r="V99" s="1099">
        <v>414</v>
      </c>
      <c r="W99" s="1099">
        <v>14044</v>
      </c>
    </row>
    <row r="100" spans="1:24" ht="63" customHeight="1">
      <c r="A100" s="1244" t="s">
        <v>105</v>
      </c>
      <c r="B100" s="1075" t="s">
        <v>771</v>
      </c>
      <c r="C100" s="871">
        <f t="shared" si="8"/>
        <v>319980.59999999998</v>
      </c>
      <c r="D100" s="972">
        <f>319980.6*0.90202494621</f>
        <v>288630.5</v>
      </c>
      <c r="E100" s="972">
        <f>319980.6*(1-0.90202494621)</f>
        <v>31350.1</v>
      </c>
      <c r="F100" s="874">
        <f t="shared" si="9"/>
        <v>319980.59999999998</v>
      </c>
      <c r="G100" s="879">
        <f>319980.6*0.90202494621</f>
        <v>288630.5</v>
      </c>
      <c r="H100" s="879">
        <f>319980.6*(1-0.90202494621)</f>
        <v>31350.1</v>
      </c>
      <c r="I100" s="2450">
        <f t="shared" si="10"/>
        <v>0</v>
      </c>
      <c r="J100" s="2440">
        <v>0</v>
      </c>
      <c r="K100" s="2440">
        <v>0</v>
      </c>
      <c r="L100" s="2433">
        <f>IF(I100=0,0,I100/F100:F101*_G101100)</f>
        <v>0</v>
      </c>
      <c r="M100" s="2429">
        <f>IF(J100=0,0,J100/G100:G101*100)</f>
        <v>0</v>
      </c>
      <c r="N100" s="2429">
        <f>IF(K100=0,0,K100/H100:H101*100)</f>
        <v>0</v>
      </c>
      <c r="O100" s="1214" t="s">
        <v>1192</v>
      </c>
      <c r="P100" s="1213" t="s">
        <v>1159</v>
      </c>
      <c r="Q100" s="1065">
        <f t="shared" si="13"/>
        <v>0</v>
      </c>
      <c r="R100" s="1065">
        <f t="shared" si="13"/>
        <v>0</v>
      </c>
      <c r="S100" s="1065">
        <f t="shared" si="13"/>
        <v>0</v>
      </c>
      <c r="T100" s="2409" t="s">
        <v>926</v>
      </c>
      <c r="U100" s="2445" t="s">
        <v>927</v>
      </c>
      <c r="V100" s="2409">
        <v>414</v>
      </c>
      <c r="W100" s="2409"/>
      <c r="X100" s="2471"/>
    </row>
    <row r="101" spans="1:24" ht="95.25" customHeight="1">
      <c r="A101" s="1244" t="s">
        <v>1023</v>
      </c>
      <c r="B101" s="1075" t="s">
        <v>772</v>
      </c>
      <c r="C101" s="871">
        <f t="shared" si="8"/>
        <v>359978.2</v>
      </c>
      <c r="D101" s="972">
        <f>359978.2*0.90202494621</f>
        <v>324709.3</v>
      </c>
      <c r="E101" s="972">
        <f>359978.2*(1-0.90202494621)</f>
        <v>35268.9</v>
      </c>
      <c r="F101" s="874">
        <f t="shared" si="9"/>
        <v>359978.2</v>
      </c>
      <c r="G101" s="879">
        <f>359978.2*0.90202494621</f>
        <v>324709.3</v>
      </c>
      <c r="H101" s="879">
        <f>359978.2*(1-0.90202494621)</f>
        <v>35268.9</v>
      </c>
      <c r="I101" s="2451"/>
      <c r="J101" s="2441"/>
      <c r="K101" s="2441"/>
      <c r="L101" s="2434"/>
      <c r="M101" s="2430"/>
      <c r="N101" s="2430"/>
      <c r="O101" s="1214" t="s">
        <v>1192</v>
      </c>
      <c r="P101" s="1213" t="s">
        <v>1160</v>
      </c>
      <c r="Q101" s="1065">
        <f t="shared" si="13"/>
        <v>0</v>
      </c>
      <c r="R101" s="1065">
        <f t="shared" si="13"/>
        <v>0</v>
      </c>
      <c r="S101" s="1065">
        <f t="shared" si="13"/>
        <v>0</v>
      </c>
      <c r="T101" s="2409"/>
      <c r="U101" s="2445"/>
      <c r="V101" s="2409"/>
      <c r="W101" s="2409"/>
      <c r="X101" s="2471"/>
    </row>
    <row r="102" spans="1:24" ht="66.75" customHeight="1">
      <c r="A102" s="1244" t="s">
        <v>625</v>
      </c>
      <c r="B102" s="1247" t="s">
        <v>460</v>
      </c>
      <c r="C102" s="871">
        <f t="shared" si="8"/>
        <v>53626</v>
      </c>
      <c r="D102" s="1308">
        <f>20123.6</f>
        <v>20123.599999999999</v>
      </c>
      <c r="E102" s="1308">
        <f>21202.4+12300</f>
        <v>33502.400000000001</v>
      </c>
      <c r="F102" s="874">
        <f t="shared" si="9"/>
        <v>53626.3</v>
      </c>
      <c r="G102" s="879">
        <v>32423.9</v>
      </c>
      <c r="H102" s="879">
        <v>21202.400000000001</v>
      </c>
      <c r="I102" s="874">
        <f t="shared" si="10"/>
        <v>47.5</v>
      </c>
      <c r="J102" s="1083">
        <v>24.5</v>
      </c>
      <c r="K102" s="1083">
        <v>23</v>
      </c>
      <c r="L102" s="876">
        <f t="shared" ref="L102:N117" si="14">IF(I102=0,0,I102/F102*100)</f>
        <v>0.1</v>
      </c>
      <c r="M102" s="877">
        <f t="shared" si="14"/>
        <v>0.1</v>
      </c>
      <c r="N102" s="877">
        <f t="shared" si="14"/>
        <v>0.1</v>
      </c>
      <c r="O102" s="1214" t="s">
        <v>1228</v>
      </c>
      <c r="P102" s="1214" t="s">
        <v>1161</v>
      </c>
      <c r="Q102" s="1065">
        <f t="shared" si="13"/>
        <v>-0.3</v>
      </c>
      <c r="R102" s="1065">
        <f t="shared" si="13"/>
        <v>-12300.3</v>
      </c>
      <c r="S102" s="1065">
        <f t="shared" si="13"/>
        <v>12300</v>
      </c>
      <c r="T102" s="1099" t="s">
        <v>954</v>
      </c>
      <c r="V102" s="1099" t="s">
        <v>959</v>
      </c>
      <c r="W102" s="1099" t="s">
        <v>960</v>
      </c>
    </row>
    <row r="103" spans="1:24" ht="80.25" customHeight="1">
      <c r="A103" s="2404" t="s">
        <v>626</v>
      </c>
      <c r="B103" s="975" t="s">
        <v>645</v>
      </c>
      <c r="C103" s="871">
        <f t="shared" si="8"/>
        <v>1929.7</v>
      </c>
      <c r="D103" s="1249">
        <v>0</v>
      </c>
      <c r="E103" s="1249">
        <v>1929.7</v>
      </c>
      <c r="F103" s="874">
        <f t="shared" si="9"/>
        <v>1929.7</v>
      </c>
      <c r="G103" s="1085">
        <v>0</v>
      </c>
      <c r="H103" s="1085">
        <v>1929.7</v>
      </c>
      <c r="I103" s="874">
        <f t="shared" si="10"/>
        <v>689.2</v>
      </c>
      <c r="J103" s="1085">
        <v>0</v>
      </c>
      <c r="K103" s="1085">
        <v>689.2</v>
      </c>
      <c r="L103" s="876">
        <f t="shared" si="14"/>
        <v>35.700000000000003</v>
      </c>
      <c r="M103" s="877">
        <f t="shared" si="14"/>
        <v>0</v>
      </c>
      <c r="N103" s="877">
        <f t="shared" si="14"/>
        <v>35.700000000000003</v>
      </c>
      <c r="O103" s="1214" t="s">
        <v>1229</v>
      </c>
      <c r="P103" s="1214" t="s">
        <v>1162</v>
      </c>
      <c r="Q103" s="1065">
        <f t="shared" si="13"/>
        <v>0</v>
      </c>
      <c r="R103" s="1065">
        <f t="shared" si="13"/>
        <v>0</v>
      </c>
      <c r="S103" s="1065">
        <f t="shared" si="13"/>
        <v>0</v>
      </c>
      <c r="T103" s="1099" t="s">
        <v>867</v>
      </c>
      <c r="U103" s="1100">
        <v>1550190400</v>
      </c>
      <c r="V103" s="1099">
        <v>414</v>
      </c>
      <c r="W103" s="1099">
        <v>14024</v>
      </c>
    </row>
    <row r="104" spans="1:24" ht="78.75">
      <c r="A104" s="2405"/>
      <c r="B104" s="975" t="s">
        <v>707</v>
      </c>
      <c r="C104" s="871">
        <f t="shared" si="8"/>
        <v>30000</v>
      </c>
      <c r="D104" s="1249">
        <v>0</v>
      </c>
      <c r="E104" s="1249">
        <v>30000</v>
      </c>
      <c r="F104" s="874">
        <f t="shared" si="9"/>
        <v>30000</v>
      </c>
      <c r="G104" s="1085">
        <v>0</v>
      </c>
      <c r="H104" s="1085">
        <v>30000</v>
      </c>
      <c r="I104" s="874">
        <f t="shared" si="10"/>
        <v>0</v>
      </c>
      <c r="J104" s="1085">
        <v>0</v>
      </c>
      <c r="K104" s="1085">
        <v>0</v>
      </c>
      <c r="L104" s="876">
        <f t="shared" si="14"/>
        <v>0</v>
      </c>
      <c r="M104" s="877">
        <f t="shared" si="14"/>
        <v>0</v>
      </c>
      <c r="N104" s="877">
        <f t="shared" si="14"/>
        <v>0</v>
      </c>
      <c r="O104" s="1214" t="s">
        <v>1192</v>
      </c>
      <c r="P104" s="1214" t="s">
        <v>1163</v>
      </c>
      <c r="Q104" s="1065">
        <f t="shared" si="13"/>
        <v>0</v>
      </c>
      <c r="R104" s="1065">
        <f t="shared" si="13"/>
        <v>0</v>
      </c>
      <c r="S104" s="1065">
        <f t="shared" si="13"/>
        <v>0</v>
      </c>
      <c r="T104" s="1099" t="s">
        <v>868</v>
      </c>
      <c r="U104" s="1100">
        <v>1550190400</v>
      </c>
      <c r="V104" s="1099">
        <v>414</v>
      </c>
      <c r="W104" s="1099">
        <v>10120</v>
      </c>
    </row>
    <row r="105" spans="1:24" s="838" customFormat="1" ht="107.25" customHeight="1">
      <c r="A105" s="1244" t="s">
        <v>627</v>
      </c>
      <c r="B105" s="976" t="s">
        <v>839</v>
      </c>
      <c r="C105" s="871">
        <f t="shared" si="8"/>
        <v>2714.8</v>
      </c>
      <c r="D105" s="972">
        <v>0</v>
      </c>
      <c r="E105" s="972">
        <v>2714.8</v>
      </c>
      <c r="F105" s="874">
        <f t="shared" si="9"/>
        <v>2714.8</v>
      </c>
      <c r="G105" s="879">
        <v>0</v>
      </c>
      <c r="H105" s="879">
        <v>2714.8</v>
      </c>
      <c r="I105" s="874">
        <f t="shared" si="10"/>
        <v>0</v>
      </c>
      <c r="J105" s="1083">
        <v>0</v>
      </c>
      <c r="K105" s="970">
        <v>0</v>
      </c>
      <c r="L105" s="876">
        <f t="shared" si="14"/>
        <v>0</v>
      </c>
      <c r="M105" s="877">
        <f t="shared" si="14"/>
        <v>0</v>
      </c>
      <c r="N105" s="877">
        <f t="shared" si="14"/>
        <v>0</v>
      </c>
      <c r="O105" s="1214" t="s">
        <v>1230</v>
      </c>
      <c r="P105" s="1214" t="s">
        <v>1164</v>
      </c>
      <c r="Q105" s="1065">
        <f t="shared" si="13"/>
        <v>0</v>
      </c>
      <c r="R105" s="1065">
        <f t="shared" si="13"/>
        <v>0</v>
      </c>
      <c r="S105" s="1065">
        <f t="shared" si="13"/>
        <v>0</v>
      </c>
      <c r="T105" s="1121" t="s">
        <v>886</v>
      </c>
      <c r="U105" s="1122" t="s">
        <v>894</v>
      </c>
      <c r="V105" s="1121">
        <v>414</v>
      </c>
      <c r="W105" s="1121">
        <v>14031</v>
      </c>
      <c r="X105" s="1219"/>
    </row>
    <row r="106" spans="1:24" ht="95.25" customHeight="1">
      <c r="A106" s="1244" t="s">
        <v>628</v>
      </c>
      <c r="B106" s="976" t="s">
        <v>1072</v>
      </c>
      <c r="C106" s="871">
        <f t="shared" si="8"/>
        <v>2100</v>
      </c>
      <c r="D106" s="972">
        <v>0</v>
      </c>
      <c r="E106" s="972">
        <v>2100</v>
      </c>
      <c r="F106" s="874">
        <f t="shared" si="9"/>
        <v>2100</v>
      </c>
      <c r="G106" s="879">
        <v>0</v>
      </c>
      <c r="H106" s="879">
        <v>2100</v>
      </c>
      <c r="I106" s="874">
        <f t="shared" si="10"/>
        <v>0</v>
      </c>
      <c r="J106" s="1083">
        <v>0</v>
      </c>
      <c r="K106" s="970">
        <v>0</v>
      </c>
      <c r="L106" s="876">
        <f t="shared" si="14"/>
        <v>0</v>
      </c>
      <c r="M106" s="877">
        <f t="shared" si="14"/>
        <v>0</v>
      </c>
      <c r="N106" s="877">
        <f t="shared" si="14"/>
        <v>0</v>
      </c>
      <c r="O106" s="1214" t="s">
        <v>1231</v>
      </c>
      <c r="P106" s="1214" t="s">
        <v>1165</v>
      </c>
      <c r="Q106" s="1065">
        <f t="shared" si="13"/>
        <v>0</v>
      </c>
      <c r="R106" s="1065">
        <f t="shared" si="13"/>
        <v>0</v>
      </c>
      <c r="S106" s="1065">
        <f t="shared" si="13"/>
        <v>0</v>
      </c>
      <c r="T106" s="1099" t="s">
        <v>886</v>
      </c>
      <c r="U106" s="1100">
        <v>1900290400</v>
      </c>
      <c r="V106" s="1099">
        <v>414</v>
      </c>
      <c r="W106" s="1099">
        <v>14020</v>
      </c>
    </row>
    <row r="107" spans="1:24" ht="66.75" customHeight="1">
      <c r="A107" s="1244" t="s">
        <v>629</v>
      </c>
      <c r="B107" s="900" t="s">
        <v>641</v>
      </c>
      <c r="C107" s="871">
        <f t="shared" si="8"/>
        <v>8850</v>
      </c>
      <c r="D107" s="972">
        <v>0</v>
      </c>
      <c r="E107" s="972">
        <v>8850</v>
      </c>
      <c r="F107" s="874">
        <f t="shared" si="9"/>
        <v>8850</v>
      </c>
      <c r="G107" s="879">
        <v>0</v>
      </c>
      <c r="H107" s="879">
        <v>8850</v>
      </c>
      <c r="I107" s="874">
        <f t="shared" si="10"/>
        <v>0</v>
      </c>
      <c r="J107" s="1083">
        <v>0</v>
      </c>
      <c r="K107" s="1083">
        <v>0</v>
      </c>
      <c r="L107" s="876">
        <f t="shared" si="14"/>
        <v>0</v>
      </c>
      <c r="M107" s="877">
        <f t="shared" si="14"/>
        <v>0</v>
      </c>
      <c r="N107" s="877">
        <f t="shared" si="14"/>
        <v>0</v>
      </c>
      <c r="O107" s="1248" t="s">
        <v>1232</v>
      </c>
      <c r="P107" s="1248" t="s">
        <v>1166</v>
      </c>
      <c r="Q107" s="1065">
        <f t="shared" si="13"/>
        <v>0</v>
      </c>
      <c r="R107" s="1065">
        <f t="shared" si="13"/>
        <v>0</v>
      </c>
      <c r="S107" s="1065">
        <f t="shared" si="13"/>
        <v>0</v>
      </c>
      <c r="T107" s="1099" t="s">
        <v>947</v>
      </c>
      <c r="U107" s="1100" t="s">
        <v>948</v>
      </c>
      <c r="V107" s="1099">
        <v>414</v>
      </c>
      <c r="W107" s="1099">
        <v>14016</v>
      </c>
    </row>
    <row r="108" spans="1:24" ht="79.5" customHeight="1">
      <c r="A108" s="1244" t="s">
        <v>630</v>
      </c>
      <c r="B108" s="976" t="s">
        <v>647</v>
      </c>
      <c r="C108" s="871">
        <f t="shared" si="8"/>
        <v>39000</v>
      </c>
      <c r="D108" s="972">
        <v>0</v>
      </c>
      <c r="E108" s="972">
        <v>39000</v>
      </c>
      <c r="F108" s="874">
        <f t="shared" si="9"/>
        <v>39000</v>
      </c>
      <c r="G108" s="879">
        <v>0</v>
      </c>
      <c r="H108" s="879">
        <v>39000</v>
      </c>
      <c r="I108" s="874">
        <f t="shared" si="10"/>
        <v>21450</v>
      </c>
      <c r="J108" s="1083">
        <v>0</v>
      </c>
      <c r="K108" s="970">
        <v>21450</v>
      </c>
      <c r="L108" s="876">
        <f t="shared" si="14"/>
        <v>55</v>
      </c>
      <c r="M108" s="877">
        <f t="shared" si="14"/>
        <v>0</v>
      </c>
      <c r="N108" s="877">
        <f t="shared" si="14"/>
        <v>55</v>
      </c>
      <c r="O108" s="1214" t="s">
        <v>1233</v>
      </c>
      <c r="P108" s="1214" t="s">
        <v>1167</v>
      </c>
      <c r="Q108" s="1065">
        <f t="shared" si="13"/>
        <v>0</v>
      </c>
      <c r="R108" s="1065">
        <f t="shared" si="13"/>
        <v>0</v>
      </c>
      <c r="S108" s="1065">
        <f t="shared" si="13"/>
        <v>0</v>
      </c>
      <c r="T108" s="1099" t="s">
        <v>936</v>
      </c>
      <c r="U108" s="1100" t="s">
        <v>944</v>
      </c>
      <c r="V108" s="1099">
        <v>414</v>
      </c>
      <c r="W108" s="1099">
        <v>14050</v>
      </c>
    </row>
    <row r="109" spans="1:24" ht="78.75">
      <c r="A109" s="1244" t="s">
        <v>732</v>
      </c>
      <c r="B109" s="976" t="s">
        <v>804</v>
      </c>
      <c r="C109" s="871">
        <f t="shared" si="8"/>
        <v>2244.9</v>
      </c>
      <c r="D109" s="972">
        <v>0</v>
      </c>
      <c r="E109" s="972">
        <v>2244.9</v>
      </c>
      <c r="F109" s="874">
        <f t="shared" si="9"/>
        <v>2244.9</v>
      </c>
      <c r="G109" s="879">
        <v>0</v>
      </c>
      <c r="H109" s="879">
        <v>2244.9</v>
      </c>
      <c r="I109" s="874">
        <f t="shared" si="10"/>
        <v>0</v>
      </c>
      <c r="J109" s="1083">
        <v>0</v>
      </c>
      <c r="K109" s="970">
        <v>0</v>
      </c>
      <c r="L109" s="876">
        <f t="shared" si="14"/>
        <v>0</v>
      </c>
      <c r="M109" s="877">
        <f t="shared" si="14"/>
        <v>0</v>
      </c>
      <c r="N109" s="877">
        <f t="shared" si="14"/>
        <v>0</v>
      </c>
      <c r="O109" s="1214" t="s">
        <v>1192</v>
      </c>
      <c r="P109" s="1214" t="s">
        <v>1193</v>
      </c>
      <c r="Q109" s="1065">
        <f t="shared" si="13"/>
        <v>0</v>
      </c>
      <c r="R109" s="1065">
        <f t="shared" si="13"/>
        <v>0</v>
      </c>
      <c r="S109" s="1065">
        <f t="shared" si="13"/>
        <v>0</v>
      </c>
      <c r="T109" s="1099" t="s">
        <v>945</v>
      </c>
      <c r="U109" s="1100" t="s">
        <v>937</v>
      </c>
      <c r="V109" s="1099">
        <v>414</v>
      </c>
      <c r="W109" s="1099">
        <v>14071</v>
      </c>
    </row>
    <row r="110" spans="1:24" ht="93">
      <c r="A110" s="1244" t="s">
        <v>733</v>
      </c>
      <c r="B110" s="900" t="s">
        <v>637</v>
      </c>
      <c r="C110" s="871">
        <f t="shared" si="8"/>
        <v>4496.8</v>
      </c>
      <c r="D110" s="972">
        <v>0</v>
      </c>
      <c r="E110" s="972">
        <v>4496.8</v>
      </c>
      <c r="F110" s="874">
        <f t="shared" si="9"/>
        <v>4496.8</v>
      </c>
      <c r="G110" s="879">
        <v>0</v>
      </c>
      <c r="H110" s="879">
        <v>4496.8</v>
      </c>
      <c r="I110" s="874">
        <f t="shared" si="10"/>
        <v>0</v>
      </c>
      <c r="J110" s="1083">
        <v>0</v>
      </c>
      <c r="K110" s="1083">
        <v>0</v>
      </c>
      <c r="L110" s="876">
        <f t="shared" si="14"/>
        <v>0</v>
      </c>
      <c r="M110" s="877">
        <f t="shared" si="14"/>
        <v>0</v>
      </c>
      <c r="N110" s="877">
        <f t="shared" si="14"/>
        <v>0</v>
      </c>
      <c r="O110" s="1214" t="s">
        <v>1234</v>
      </c>
      <c r="P110" s="1214" t="s">
        <v>1194</v>
      </c>
      <c r="Q110" s="1065">
        <f t="shared" si="13"/>
        <v>0</v>
      </c>
      <c r="R110" s="1065">
        <f t="shared" si="13"/>
        <v>0</v>
      </c>
      <c r="S110" s="1065">
        <f t="shared" si="13"/>
        <v>0</v>
      </c>
      <c r="T110" s="1099" t="s">
        <v>949</v>
      </c>
      <c r="U110" s="1100" t="s">
        <v>951</v>
      </c>
      <c r="V110" s="1099">
        <v>414</v>
      </c>
      <c r="W110" s="1099">
        <v>14057</v>
      </c>
    </row>
    <row r="111" spans="1:24" ht="63" customHeight="1">
      <c r="A111" s="1244" t="s">
        <v>781</v>
      </c>
      <c r="B111" s="901" t="s">
        <v>639</v>
      </c>
      <c r="C111" s="871">
        <f t="shared" si="8"/>
        <v>1946</v>
      </c>
      <c r="D111" s="972">
        <v>0</v>
      </c>
      <c r="E111" s="972">
        <v>1946</v>
      </c>
      <c r="F111" s="874">
        <f t="shared" si="9"/>
        <v>1946</v>
      </c>
      <c r="G111" s="879">
        <v>0</v>
      </c>
      <c r="H111" s="879">
        <v>1946</v>
      </c>
      <c r="I111" s="874">
        <f t="shared" si="10"/>
        <v>695</v>
      </c>
      <c r="J111" s="1083">
        <v>0</v>
      </c>
      <c r="K111" s="1083">
        <v>695</v>
      </c>
      <c r="L111" s="876">
        <f t="shared" si="14"/>
        <v>35.700000000000003</v>
      </c>
      <c r="M111" s="877">
        <f t="shared" si="14"/>
        <v>0</v>
      </c>
      <c r="N111" s="877">
        <f t="shared" si="14"/>
        <v>35.700000000000003</v>
      </c>
      <c r="O111" s="1214" t="s">
        <v>1235</v>
      </c>
      <c r="P111" s="1214" t="s">
        <v>1195</v>
      </c>
      <c r="Q111" s="1065">
        <f t="shared" ref="Q111:S124" si="15">C111-F111</f>
        <v>0</v>
      </c>
      <c r="R111" s="1065">
        <f t="shared" si="15"/>
        <v>0</v>
      </c>
      <c r="S111" s="1065">
        <f t="shared" si="15"/>
        <v>0</v>
      </c>
      <c r="T111" s="1099" t="s">
        <v>954</v>
      </c>
      <c r="U111" s="1100" t="s">
        <v>956</v>
      </c>
      <c r="V111" s="1099">
        <v>414</v>
      </c>
      <c r="W111" s="1099">
        <v>14015</v>
      </c>
    </row>
    <row r="112" spans="1:24" s="1216" customFormat="1" ht="63" customHeight="1">
      <c r="A112" s="1244" t="s">
        <v>631</v>
      </c>
      <c r="B112" s="900" t="s">
        <v>643</v>
      </c>
      <c r="C112" s="871">
        <f t="shared" si="8"/>
        <v>2752.8</v>
      </c>
      <c r="D112" s="972">
        <v>0</v>
      </c>
      <c r="E112" s="972">
        <v>2752.8</v>
      </c>
      <c r="F112" s="874">
        <f t="shared" si="9"/>
        <v>2752.8</v>
      </c>
      <c r="G112" s="879">
        <v>0</v>
      </c>
      <c r="H112" s="879">
        <v>2752.8</v>
      </c>
      <c r="I112" s="874">
        <f t="shared" si="10"/>
        <v>0</v>
      </c>
      <c r="J112" s="1083">
        <v>0</v>
      </c>
      <c r="K112" s="1083">
        <v>0</v>
      </c>
      <c r="L112" s="876">
        <f t="shared" si="14"/>
        <v>0</v>
      </c>
      <c r="M112" s="877">
        <f t="shared" si="14"/>
        <v>0</v>
      </c>
      <c r="N112" s="877">
        <f t="shared" si="14"/>
        <v>0</v>
      </c>
      <c r="O112" s="1214" t="s">
        <v>1236</v>
      </c>
      <c r="P112" s="1214" t="s">
        <v>1196</v>
      </c>
      <c r="Q112" s="1065">
        <f t="shared" si="15"/>
        <v>0</v>
      </c>
      <c r="R112" s="1065">
        <f t="shared" si="15"/>
        <v>0</v>
      </c>
      <c r="S112" s="1065">
        <f t="shared" si="15"/>
        <v>0</v>
      </c>
      <c r="T112" s="1099" t="s">
        <v>954</v>
      </c>
      <c r="U112" s="1100" t="s">
        <v>956</v>
      </c>
      <c r="V112" s="1099">
        <v>141</v>
      </c>
      <c r="W112" s="1099">
        <v>14018</v>
      </c>
    </row>
    <row r="113" spans="1:23" s="1216" customFormat="1" ht="69.75" customHeight="1">
      <c r="A113" s="1244" t="s">
        <v>632</v>
      </c>
      <c r="B113" s="900" t="s">
        <v>801</v>
      </c>
      <c r="C113" s="871">
        <f t="shared" si="8"/>
        <v>10292.6</v>
      </c>
      <c r="D113" s="972">
        <v>0</v>
      </c>
      <c r="E113" s="972">
        <v>10292.6</v>
      </c>
      <c r="F113" s="874">
        <f t="shared" si="9"/>
        <v>10292.6</v>
      </c>
      <c r="G113" s="879">
        <v>0</v>
      </c>
      <c r="H113" s="879">
        <v>10292.6</v>
      </c>
      <c r="I113" s="874">
        <f t="shared" si="10"/>
        <v>0</v>
      </c>
      <c r="J113" s="1083">
        <v>0</v>
      </c>
      <c r="K113" s="1083">
        <v>0</v>
      </c>
      <c r="L113" s="876">
        <f t="shared" si="14"/>
        <v>0</v>
      </c>
      <c r="M113" s="877">
        <f t="shared" si="14"/>
        <v>0</v>
      </c>
      <c r="N113" s="877">
        <f t="shared" si="14"/>
        <v>0</v>
      </c>
      <c r="O113" s="1214" t="s">
        <v>1192</v>
      </c>
      <c r="P113" s="1214" t="s">
        <v>1197</v>
      </c>
      <c r="Q113" s="1065">
        <f t="shared" si="15"/>
        <v>0</v>
      </c>
      <c r="R113" s="1065">
        <f t="shared" si="15"/>
        <v>0</v>
      </c>
      <c r="S113" s="1065">
        <f t="shared" si="15"/>
        <v>0</v>
      </c>
      <c r="T113" s="1099" t="s">
        <v>954</v>
      </c>
      <c r="U113" s="1100" t="s">
        <v>955</v>
      </c>
      <c r="V113" s="1099">
        <v>414</v>
      </c>
      <c r="W113" s="1099">
        <v>14004</v>
      </c>
    </row>
    <row r="114" spans="1:23" s="1216" customFormat="1" ht="78.75">
      <c r="A114" s="1244" t="s">
        <v>633</v>
      </c>
      <c r="B114" s="900" t="s">
        <v>802</v>
      </c>
      <c r="C114" s="871">
        <f t="shared" si="8"/>
        <v>5000</v>
      </c>
      <c r="D114" s="972">
        <v>0</v>
      </c>
      <c r="E114" s="972">
        <v>5000</v>
      </c>
      <c r="F114" s="874">
        <f t="shared" si="9"/>
        <v>5000</v>
      </c>
      <c r="G114" s="879">
        <v>0</v>
      </c>
      <c r="H114" s="879">
        <v>5000</v>
      </c>
      <c r="I114" s="874">
        <f t="shared" si="10"/>
        <v>0</v>
      </c>
      <c r="J114" s="1083">
        <v>0</v>
      </c>
      <c r="K114" s="1083">
        <v>0</v>
      </c>
      <c r="L114" s="876">
        <f t="shared" si="14"/>
        <v>0</v>
      </c>
      <c r="M114" s="877">
        <f t="shared" si="14"/>
        <v>0</v>
      </c>
      <c r="N114" s="877">
        <f t="shared" si="14"/>
        <v>0</v>
      </c>
      <c r="O114" s="1214" t="s">
        <v>1192</v>
      </c>
      <c r="P114" s="1214" t="s">
        <v>1198</v>
      </c>
      <c r="Q114" s="1065">
        <f t="shared" si="15"/>
        <v>0</v>
      </c>
      <c r="R114" s="1065">
        <f t="shared" si="15"/>
        <v>0</v>
      </c>
      <c r="S114" s="1065">
        <f t="shared" si="15"/>
        <v>0</v>
      </c>
      <c r="T114" s="1099" t="s">
        <v>954</v>
      </c>
      <c r="U114" s="1100" t="s">
        <v>956</v>
      </c>
      <c r="V114" s="1099">
        <v>414</v>
      </c>
      <c r="W114" s="1099">
        <v>14060</v>
      </c>
    </row>
    <row r="115" spans="1:23" s="1216" customFormat="1" ht="52.5">
      <c r="A115" s="1244" t="s">
        <v>634</v>
      </c>
      <c r="B115" s="900" t="s">
        <v>812</v>
      </c>
      <c r="C115" s="871">
        <f t="shared" si="8"/>
        <v>1350</v>
      </c>
      <c r="D115" s="972">
        <v>0</v>
      </c>
      <c r="E115" s="972">
        <v>1350</v>
      </c>
      <c r="F115" s="874">
        <f t="shared" si="9"/>
        <v>1350</v>
      </c>
      <c r="G115" s="879">
        <v>0</v>
      </c>
      <c r="H115" s="879">
        <v>1350</v>
      </c>
      <c r="I115" s="874">
        <f t="shared" si="10"/>
        <v>0</v>
      </c>
      <c r="J115" s="1083">
        <v>0</v>
      </c>
      <c r="K115" s="1083">
        <v>0</v>
      </c>
      <c r="L115" s="876">
        <f t="shared" si="14"/>
        <v>0</v>
      </c>
      <c r="M115" s="877">
        <f t="shared" si="14"/>
        <v>0</v>
      </c>
      <c r="N115" s="877">
        <f t="shared" si="14"/>
        <v>0</v>
      </c>
      <c r="O115" s="1214" t="s">
        <v>1192</v>
      </c>
      <c r="P115" s="1214" t="s">
        <v>1199</v>
      </c>
      <c r="Q115" s="1065">
        <f t="shared" si="15"/>
        <v>0</v>
      </c>
      <c r="R115" s="1065">
        <f t="shared" si="15"/>
        <v>0</v>
      </c>
      <c r="S115" s="1065">
        <f t="shared" si="15"/>
        <v>0</v>
      </c>
      <c r="T115" s="1099" t="s">
        <v>954</v>
      </c>
      <c r="U115" s="1100" t="s">
        <v>956</v>
      </c>
      <c r="V115" s="1099">
        <v>414</v>
      </c>
      <c r="W115" s="1099">
        <v>14074</v>
      </c>
    </row>
    <row r="116" spans="1:23" s="1216" customFormat="1" ht="90.75" customHeight="1">
      <c r="A116" s="1244" t="s">
        <v>635</v>
      </c>
      <c r="B116" s="1125" t="s">
        <v>795</v>
      </c>
      <c r="C116" s="871">
        <f t="shared" si="8"/>
        <v>1230</v>
      </c>
      <c r="D116" s="1249">
        <v>0</v>
      </c>
      <c r="E116" s="1249">
        <v>1230</v>
      </c>
      <c r="F116" s="874">
        <f t="shared" si="9"/>
        <v>1230</v>
      </c>
      <c r="G116" s="1085">
        <v>0</v>
      </c>
      <c r="H116" s="1085">
        <v>1230</v>
      </c>
      <c r="I116" s="874">
        <f t="shared" si="10"/>
        <v>0</v>
      </c>
      <c r="J116" s="1085">
        <v>0</v>
      </c>
      <c r="K116" s="1085">
        <v>0</v>
      </c>
      <c r="L116" s="876">
        <f t="shared" si="14"/>
        <v>0</v>
      </c>
      <c r="M116" s="877">
        <f t="shared" si="14"/>
        <v>0</v>
      </c>
      <c r="N116" s="877">
        <f t="shared" si="14"/>
        <v>0</v>
      </c>
      <c r="O116" s="1214" t="s">
        <v>1192</v>
      </c>
      <c r="P116" s="1214" t="s">
        <v>1198</v>
      </c>
      <c r="Q116" s="1065">
        <f t="shared" si="15"/>
        <v>0</v>
      </c>
      <c r="R116" s="1065">
        <f t="shared" si="15"/>
        <v>0</v>
      </c>
      <c r="S116" s="1065">
        <f t="shared" si="15"/>
        <v>0</v>
      </c>
      <c r="T116" s="1099" t="s">
        <v>886</v>
      </c>
      <c r="U116" s="1100">
        <v>1820190400</v>
      </c>
      <c r="V116" s="1099">
        <v>414</v>
      </c>
      <c r="W116" s="1099">
        <v>14062</v>
      </c>
    </row>
    <row r="117" spans="1:23" s="1216" customFormat="1" ht="86.25" customHeight="1">
      <c r="A117" s="1244" t="s">
        <v>734</v>
      </c>
      <c r="B117" s="937" t="s">
        <v>796</v>
      </c>
      <c r="C117" s="871">
        <f t="shared" si="8"/>
        <v>1020</v>
      </c>
      <c r="D117" s="1249">
        <v>0</v>
      </c>
      <c r="E117" s="1249">
        <v>1020</v>
      </c>
      <c r="F117" s="874">
        <f t="shared" si="9"/>
        <v>1020</v>
      </c>
      <c r="G117" s="1085">
        <v>0</v>
      </c>
      <c r="H117" s="1085">
        <v>1020</v>
      </c>
      <c r="I117" s="874">
        <f t="shared" si="10"/>
        <v>0</v>
      </c>
      <c r="J117" s="1085">
        <v>0</v>
      </c>
      <c r="K117" s="1085">
        <v>0</v>
      </c>
      <c r="L117" s="876">
        <f t="shared" si="14"/>
        <v>0</v>
      </c>
      <c r="M117" s="877">
        <f t="shared" si="14"/>
        <v>0</v>
      </c>
      <c r="N117" s="877">
        <f t="shared" si="14"/>
        <v>0</v>
      </c>
      <c r="O117" s="1214" t="s">
        <v>1192</v>
      </c>
      <c r="P117" s="1214" t="s">
        <v>1198</v>
      </c>
      <c r="Q117" s="1065">
        <f t="shared" si="15"/>
        <v>0</v>
      </c>
      <c r="R117" s="1065">
        <f t="shared" si="15"/>
        <v>0</v>
      </c>
      <c r="S117" s="1065">
        <f t="shared" si="15"/>
        <v>0</v>
      </c>
      <c r="T117" s="1099" t="s">
        <v>886</v>
      </c>
      <c r="U117" s="1100">
        <v>1820190400</v>
      </c>
      <c r="V117" s="1099">
        <v>414</v>
      </c>
      <c r="W117" s="1099">
        <v>14063</v>
      </c>
    </row>
    <row r="118" spans="1:23" s="1216" customFormat="1" ht="93">
      <c r="A118" s="1244" t="s">
        <v>735</v>
      </c>
      <c r="B118" s="1126" t="s">
        <v>806</v>
      </c>
      <c r="C118" s="871">
        <f t="shared" si="8"/>
        <v>2100</v>
      </c>
      <c r="D118" s="1249">
        <v>0</v>
      </c>
      <c r="E118" s="1249">
        <v>2100</v>
      </c>
      <c r="F118" s="874">
        <f t="shared" si="9"/>
        <v>2100</v>
      </c>
      <c r="G118" s="1085">
        <v>0</v>
      </c>
      <c r="H118" s="1085">
        <v>2100</v>
      </c>
      <c r="I118" s="874">
        <f t="shared" si="10"/>
        <v>0</v>
      </c>
      <c r="J118" s="1085">
        <v>0</v>
      </c>
      <c r="K118" s="1085">
        <v>0</v>
      </c>
      <c r="L118" s="876">
        <f t="shared" ref="L118:N151" si="16">IF(I118=0,0,I118/F118*100)</f>
        <v>0</v>
      </c>
      <c r="M118" s="877">
        <f t="shared" si="16"/>
        <v>0</v>
      </c>
      <c r="N118" s="877">
        <f t="shared" si="16"/>
        <v>0</v>
      </c>
      <c r="O118" s="1214" t="s">
        <v>1192</v>
      </c>
      <c r="P118" s="1214" t="s">
        <v>1200</v>
      </c>
      <c r="Q118" s="1065">
        <f t="shared" si="15"/>
        <v>0</v>
      </c>
      <c r="R118" s="1065">
        <f t="shared" si="15"/>
        <v>0</v>
      </c>
      <c r="S118" s="1065">
        <f t="shared" si="15"/>
        <v>0</v>
      </c>
      <c r="T118" s="1099" t="s">
        <v>886</v>
      </c>
      <c r="U118" s="1100">
        <v>1820190400</v>
      </c>
      <c r="V118" s="1099">
        <v>414</v>
      </c>
      <c r="W118" s="1099">
        <v>14064</v>
      </c>
    </row>
    <row r="119" spans="1:23" s="1216" customFormat="1" ht="93">
      <c r="A119" s="1244" t="s">
        <v>636</v>
      </c>
      <c r="B119" s="1125" t="s">
        <v>807</v>
      </c>
      <c r="C119" s="871">
        <f t="shared" si="8"/>
        <v>2340</v>
      </c>
      <c r="D119" s="1249">
        <v>0</v>
      </c>
      <c r="E119" s="1249">
        <v>2340</v>
      </c>
      <c r="F119" s="874">
        <f t="shared" si="9"/>
        <v>2340</v>
      </c>
      <c r="G119" s="1085">
        <v>0</v>
      </c>
      <c r="H119" s="1085">
        <v>2340</v>
      </c>
      <c r="I119" s="874">
        <f t="shared" si="10"/>
        <v>0</v>
      </c>
      <c r="J119" s="1085">
        <v>0</v>
      </c>
      <c r="K119" s="1085">
        <v>0</v>
      </c>
      <c r="L119" s="876">
        <f t="shared" si="16"/>
        <v>0</v>
      </c>
      <c r="M119" s="877">
        <f t="shared" si="16"/>
        <v>0</v>
      </c>
      <c r="N119" s="877">
        <f t="shared" si="16"/>
        <v>0</v>
      </c>
      <c r="O119" s="1214" t="s">
        <v>1192</v>
      </c>
      <c r="P119" s="1214" t="s">
        <v>1201</v>
      </c>
      <c r="Q119" s="1065">
        <f t="shared" si="15"/>
        <v>0</v>
      </c>
      <c r="R119" s="1065">
        <f t="shared" si="15"/>
        <v>0</v>
      </c>
      <c r="S119" s="1065">
        <f t="shared" si="15"/>
        <v>0</v>
      </c>
      <c r="T119" s="1099" t="s">
        <v>886</v>
      </c>
      <c r="U119" s="1100">
        <v>1820190400</v>
      </c>
      <c r="V119" s="1099">
        <v>414</v>
      </c>
      <c r="W119" s="1099">
        <v>14065</v>
      </c>
    </row>
    <row r="120" spans="1:23" s="1216" customFormat="1" ht="111" customHeight="1">
      <c r="A120" s="1244" t="s">
        <v>736</v>
      </c>
      <c r="B120" s="1125" t="s">
        <v>808</v>
      </c>
      <c r="C120" s="871">
        <f t="shared" si="8"/>
        <v>2000</v>
      </c>
      <c r="D120" s="1249">
        <v>0</v>
      </c>
      <c r="E120" s="1249">
        <v>2000</v>
      </c>
      <c r="F120" s="874">
        <f t="shared" si="9"/>
        <v>2000</v>
      </c>
      <c r="G120" s="1085">
        <v>0</v>
      </c>
      <c r="H120" s="1085">
        <v>2000</v>
      </c>
      <c r="I120" s="874">
        <f t="shared" si="10"/>
        <v>0</v>
      </c>
      <c r="J120" s="1085">
        <v>0</v>
      </c>
      <c r="K120" s="1085">
        <v>0</v>
      </c>
      <c r="L120" s="876">
        <f t="shared" si="16"/>
        <v>0</v>
      </c>
      <c r="M120" s="877">
        <f t="shared" si="16"/>
        <v>0</v>
      </c>
      <c r="N120" s="877">
        <f t="shared" si="16"/>
        <v>0</v>
      </c>
      <c r="O120" s="1214" t="s">
        <v>1192</v>
      </c>
      <c r="P120" s="1214" t="s">
        <v>1202</v>
      </c>
      <c r="Q120" s="1065">
        <f t="shared" si="15"/>
        <v>0</v>
      </c>
      <c r="R120" s="1065">
        <f t="shared" si="15"/>
        <v>0</v>
      </c>
      <c r="S120" s="1065">
        <f t="shared" si="15"/>
        <v>0</v>
      </c>
      <c r="T120" s="1099" t="s">
        <v>886</v>
      </c>
      <c r="U120" s="1100">
        <v>1820190400</v>
      </c>
      <c r="V120" s="1099">
        <v>414</v>
      </c>
      <c r="W120" s="1099">
        <v>14066</v>
      </c>
    </row>
    <row r="121" spans="1:23" s="1216" customFormat="1" ht="117" customHeight="1">
      <c r="A121" s="1244" t="s">
        <v>737</v>
      </c>
      <c r="B121" s="900" t="s">
        <v>809</v>
      </c>
      <c r="C121" s="871">
        <f>SUM(D121:E121)</f>
        <v>6000</v>
      </c>
      <c r="D121" s="1249">
        <v>0</v>
      </c>
      <c r="E121" s="1249">
        <v>6000</v>
      </c>
      <c r="F121" s="874">
        <f>SUM(G121:H121)</f>
        <v>6000</v>
      </c>
      <c r="G121" s="1085">
        <v>0</v>
      </c>
      <c r="H121" s="1085">
        <v>6000</v>
      </c>
      <c r="I121" s="874">
        <f>SUM(J121:K121)</f>
        <v>0</v>
      </c>
      <c r="J121" s="1085">
        <v>0</v>
      </c>
      <c r="K121" s="1085">
        <v>0</v>
      </c>
      <c r="L121" s="876">
        <f t="shared" si="16"/>
        <v>0</v>
      </c>
      <c r="M121" s="877">
        <f t="shared" si="16"/>
        <v>0</v>
      </c>
      <c r="N121" s="877">
        <f t="shared" si="16"/>
        <v>0</v>
      </c>
      <c r="O121" s="1214" t="s">
        <v>1192</v>
      </c>
      <c r="P121" s="1214" t="s">
        <v>1203</v>
      </c>
      <c r="Q121" s="1065">
        <f t="shared" si="15"/>
        <v>0</v>
      </c>
      <c r="R121" s="1065">
        <f t="shared" si="15"/>
        <v>0</v>
      </c>
      <c r="S121" s="1065">
        <f t="shared" si="15"/>
        <v>0</v>
      </c>
      <c r="T121" s="1099" t="s">
        <v>928</v>
      </c>
      <c r="U121" s="1100" t="s">
        <v>929</v>
      </c>
      <c r="V121" s="1099">
        <v>414</v>
      </c>
      <c r="W121" s="1099">
        <v>14072</v>
      </c>
    </row>
    <row r="122" spans="1:23" s="1216" customFormat="1" ht="105">
      <c r="A122" s="1244" t="s">
        <v>738</v>
      </c>
      <c r="B122" s="900" t="s">
        <v>810</v>
      </c>
      <c r="C122" s="871">
        <f>SUM(D122:E122)</f>
        <v>6000</v>
      </c>
      <c r="D122" s="1249">
        <v>0</v>
      </c>
      <c r="E122" s="1249">
        <v>6000</v>
      </c>
      <c r="F122" s="874">
        <f>SUM(G122:H122)</f>
        <v>6000</v>
      </c>
      <c r="G122" s="1085">
        <v>0</v>
      </c>
      <c r="H122" s="1085">
        <v>6000</v>
      </c>
      <c r="I122" s="874">
        <f>SUM(J122:K122)</f>
        <v>0</v>
      </c>
      <c r="J122" s="1085">
        <v>0</v>
      </c>
      <c r="K122" s="1085">
        <v>0</v>
      </c>
      <c r="L122" s="876">
        <f t="shared" si="16"/>
        <v>0</v>
      </c>
      <c r="M122" s="877">
        <f t="shared" si="16"/>
        <v>0</v>
      </c>
      <c r="N122" s="877">
        <f t="shared" si="16"/>
        <v>0</v>
      </c>
      <c r="O122" s="1214" t="s">
        <v>1192</v>
      </c>
      <c r="P122" s="1214" t="s">
        <v>1203</v>
      </c>
      <c r="Q122" s="1065">
        <f t="shared" si="15"/>
        <v>0</v>
      </c>
      <c r="R122" s="1065">
        <f t="shared" si="15"/>
        <v>0</v>
      </c>
      <c r="S122" s="1065">
        <f t="shared" si="15"/>
        <v>0</v>
      </c>
      <c r="T122" s="1099" t="s">
        <v>936</v>
      </c>
      <c r="U122" s="1100" t="s">
        <v>937</v>
      </c>
      <c r="V122" s="1099">
        <v>414</v>
      </c>
      <c r="W122" s="1099">
        <v>14058</v>
      </c>
    </row>
    <row r="123" spans="1:23" s="1216" customFormat="1" ht="139.5">
      <c r="A123" s="1244" t="s">
        <v>739</v>
      </c>
      <c r="B123" s="990" t="s">
        <v>811</v>
      </c>
      <c r="C123" s="871">
        <f>SUM(D123:E123)</f>
        <v>16500</v>
      </c>
      <c r="D123" s="1249">
        <v>0</v>
      </c>
      <c r="E123" s="1249">
        <v>16500</v>
      </c>
      <c r="F123" s="874">
        <f>SUM(G123:H123)</f>
        <v>16500</v>
      </c>
      <c r="G123" s="1085">
        <v>0</v>
      </c>
      <c r="H123" s="1085">
        <v>16500</v>
      </c>
      <c r="I123" s="874">
        <f>SUM(J123:K123)</f>
        <v>0</v>
      </c>
      <c r="J123" s="1085">
        <v>0</v>
      </c>
      <c r="K123" s="1085">
        <v>0</v>
      </c>
      <c r="L123" s="876">
        <f t="shared" si="16"/>
        <v>0</v>
      </c>
      <c r="M123" s="877">
        <f t="shared" si="16"/>
        <v>0</v>
      </c>
      <c r="N123" s="877">
        <f t="shared" si="16"/>
        <v>0</v>
      </c>
      <c r="O123" s="1214" t="s">
        <v>1192</v>
      </c>
      <c r="P123" s="1214" t="s">
        <v>1204</v>
      </c>
      <c r="Q123" s="1065">
        <f t="shared" si="15"/>
        <v>0</v>
      </c>
      <c r="R123" s="1065">
        <f t="shared" si="15"/>
        <v>0</v>
      </c>
      <c r="S123" s="1065">
        <f t="shared" si="15"/>
        <v>0</v>
      </c>
      <c r="T123" s="1099" t="s">
        <v>936</v>
      </c>
      <c r="U123" s="1100" t="s">
        <v>937</v>
      </c>
      <c r="V123" s="1099">
        <v>414</v>
      </c>
      <c r="W123" s="1099">
        <v>14059</v>
      </c>
    </row>
    <row r="124" spans="1:23" s="1216" customFormat="1" ht="108" customHeight="1">
      <c r="A124" s="1244" t="s">
        <v>740</v>
      </c>
      <c r="B124" s="900" t="s">
        <v>640</v>
      </c>
      <c r="C124" s="871">
        <f>SUM(D124:E124)</f>
        <v>1400</v>
      </c>
      <c r="D124" s="972">
        <v>0</v>
      </c>
      <c r="E124" s="972">
        <v>1400</v>
      </c>
      <c r="F124" s="874">
        <f>SUM(G124:H124)</f>
        <v>1400</v>
      </c>
      <c r="G124" s="879">
        <v>0</v>
      </c>
      <c r="H124" s="879">
        <v>1400</v>
      </c>
      <c r="I124" s="874">
        <f>SUM(J124:K124)</f>
        <v>0</v>
      </c>
      <c r="J124" s="1083">
        <v>0</v>
      </c>
      <c r="K124" s="1083">
        <v>0</v>
      </c>
      <c r="L124" s="876">
        <f t="shared" si="16"/>
        <v>0</v>
      </c>
      <c r="M124" s="877">
        <f t="shared" si="16"/>
        <v>0</v>
      </c>
      <c r="N124" s="877">
        <f t="shared" si="16"/>
        <v>0</v>
      </c>
      <c r="O124" s="1214" t="s">
        <v>1237</v>
      </c>
      <c r="P124" s="1214" t="s">
        <v>1205</v>
      </c>
      <c r="Q124" s="1065">
        <f t="shared" si="15"/>
        <v>0</v>
      </c>
      <c r="R124" s="1065">
        <f t="shared" si="15"/>
        <v>0</v>
      </c>
      <c r="S124" s="1065">
        <f t="shared" si="15"/>
        <v>0</v>
      </c>
      <c r="T124" s="1099" t="s">
        <v>869</v>
      </c>
      <c r="U124" s="1100">
        <v>1410190420</v>
      </c>
      <c r="V124" s="1099">
        <v>414</v>
      </c>
      <c r="W124" s="1099">
        <v>14022</v>
      </c>
    </row>
    <row r="125" spans="1:23" s="1216" customFormat="1" ht="78.75">
      <c r="A125" s="1244" t="s">
        <v>741</v>
      </c>
      <c r="B125" s="1106" t="s">
        <v>863</v>
      </c>
      <c r="C125" s="871">
        <f>SUM(D125:E125)</f>
        <v>21276.6</v>
      </c>
      <c r="D125" s="972">
        <v>20000</v>
      </c>
      <c r="E125" s="972">
        <v>1276.5999999999999</v>
      </c>
      <c r="F125" s="874">
        <f>SUM(G125:H125)</f>
        <v>21276.6</v>
      </c>
      <c r="G125" s="879">
        <v>20000</v>
      </c>
      <c r="H125" s="879">
        <v>1276.5999999999999</v>
      </c>
      <c r="I125" s="874">
        <f>SUM(J125:K125)</f>
        <v>14800</v>
      </c>
      <c r="J125" s="1083">
        <v>13912</v>
      </c>
      <c r="K125" s="1083">
        <v>888</v>
      </c>
      <c r="L125" s="876">
        <f t="shared" si="16"/>
        <v>69.599999999999994</v>
      </c>
      <c r="M125" s="877">
        <f t="shared" si="16"/>
        <v>69.599999999999994</v>
      </c>
      <c r="N125" s="877">
        <f t="shared" si="16"/>
        <v>69.599999999999994</v>
      </c>
      <c r="O125" s="1214" t="s">
        <v>1192</v>
      </c>
      <c r="P125" s="1214" t="s">
        <v>1206</v>
      </c>
      <c r="Q125" s="1065"/>
      <c r="R125" s="1065"/>
      <c r="S125" s="1065"/>
      <c r="T125" s="1099" t="s">
        <v>928</v>
      </c>
      <c r="U125" s="1100" t="s">
        <v>932</v>
      </c>
      <c r="V125" s="1099">
        <v>414</v>
      </c>
      <c r="W125" s="1099" t="s">
        <v>933</v>
      </c>
    </row>
    <row r="126" spans="1:23" s="1216" customFormat="1" ht="57.75" customHeight="1">
      <c r="A126" s="1244" t="s">
        <v>742</v>
      </c>
      <c r="B126" s="1127" t="s">
        <v>841</v>
      </c>
      <c r="C126" s="871">
        <f t="shared" ref="C126:C194" si="17">SUM(D126:E126)</f>
        <v>1026</v>
      </c>
      <c r="D126" s="972">
        <v>0</v>
      </c>
      <c r="E126" s="1255">
        <v>1026</v>
      </c>
      <c r="F126" s="874">
        <f t="shared" ref="F126:F194" si="18">SUM(G126:H126)</f>
        <v>1026</v>
      </c>
      <c r="G126" s="1085">
        <v>0</v>
      </c>
      <c r="H126" s="970">
        <f>E126</f>
        <v>1026</v>
      </c>
      <c r="I126" s="874">
        <f t="shared" ref="I126:I183" si="19">SUM(J126:K126)</f>
        <v>0</v>
      </c>
      <c r="J126" s="1083">
        <v>0</v>
      </c>
      <c r="K126" s="1083">
        <v>0</v>
      </c>
      <c r="L126" s="876">
        <f t="shared" si="16"/>
        <v>0</v>
      </c>
      <c r="M126" s="877">
        <f t="shared" si="16"/>
        <v>0</v>
      </c>
      <c r="N126" s="877">
        <f t="shared" si="16"/>
        <v>0</v>
      </c>
      <c r="O126" s="1214" t="s">
        <v>1192</v>
      </c>
      <c r="P126" s="1214" t="s">
        <v>1207</v>
      </c>
      <c r="Q126" s="1065">
        <f t="shared" ref="Q126:S163" si="20">C126-F126</f>
        <v>0</v>
      </c>
      <c r="R126" s="1065">
        <f t="shared" si="20"/>
        <v>0</v>
      </c>
      <c r="S126" s="1065">
        <f t="shared" si="20"/>
        <v>0</v>
      </c>
      <c r="T126" s="1099" t="s">
        <v>886</v>
      </c>
      <c r="U126" s="1100" t="s">
        <v>892</v>
      </c>
      <c r="V126" s="1099">
        <v>414</v>
      </c>
      <c r="W126" s="1099">
        <v>14076</v>
      </c>
    </row>
    <row r="127" spans="1:23" s="1216" customFormat="1" ht="67.5" customHeight="1">
      <c r="A127" s="1244" t="s">
        <v>782</v>
      </c>
      <c r="B127" s="1127" t="s">
        <v>842</v>
      </c>
      <c r="C127" s="871">
        <f t="shared" si="17"/>
        <v>813</v>
      </c>
      <c r="D127" s="972">
        <v>0</v>
      </c>
      <c r="E127" s="1255">
        <v>813</v>
      </c>
      <c r="F127" s="874">
        <f t="shared" si="18"/>
        <v>813</v>
      </c>
      <c r="G127" s="1085">
        <v>0</v>
      </c>
      <c r="H127" s="970">
        <f t="shared" ref="H127:H142" si="21">E127</f>
        <v>813</v>
      </c>
      <c r="I127" s="874">
        <f t="shared" si="19"/>
        <v>0</v>
      </c>
      <c r="J127" s="1083">
        <v>0</v>
      </c>
      <c r="K127" s="1083">
        <v>0</v>
      </c>
      <c r="L127" s="876">
        <f t="shared" si="16"/>
        <v>0</v>
      </c>
      <c r="M127" s="877">
        <f t="shared" si="16"/>
        <v>0</v>
      </c>
      <c r="N127" s="877">
        <f t="shared" si="16"/>
        <v>0</v>
      </c>
      <c r="O127" s="1214" t="s">
        <v>1192</v>
      </c>
      <c r="P127" s="1214" t="s">
        <v>1208</v>
      </c>
      <c r="Q127" s="1065">
        <f t="shared" si="20"/>
        <v>0</v>
      </c>
      <c r="R127" s="1065">
        <f t="shared" si="20"/>
        <v>0</v>
      </c>
      <c r="S127" s="1065">
        <f t="shared" si="20"/>
        <v>0</v>
      </c>
      <c r="T127" s="1099" t="s">
        <v>886</v>
      </c>
      <c r="U127" s="1100" t="s">
        <v>892</v>
      </c>
      <c r="V127" s="1099">
        <v>414</v>
      </c>
      <c r="W127" s="1099">
        <v>14077</v>
      </c>
    </row>
    <row r="128" spans="1:23" ht="90.75" customHeight="1">
      <c r="A128" s="1244" t="s">
        <v>817</v>
      </c>
      <c r="B128" s="1127" t="s">
        <v>843</v>
      </c>
      <c r="C128" s="871">
        <f t="shared" si="17"/>
        <v>792</v>
      </c>
      <c r="D128" s="972">
        <v>0</v>
      </c>
      <c r="E128" s="1255">
        <v>792</v>
      </c>
      <c r="F128" s="874">
        <f t="shared" si="18"/>
        <v>792</v>
      </c>
      <c r="G128" s="1085">
        <v>0</v>
      </c>
      <c r="H128" s="970">
        <f t="shared" si="21"/>
        <v>792</v>
      </c>
      <c r="I128" s="874">
        <f t="shared" si="19"/>
        <v>0</v>
      </c>
      <c r="J128" s="1083">
        <v>0</v>
      </c>
      <c r="K128" s="1083">
        <v>0</v>
      </c>
      <c r="L128" s="876">
        <f t="shared" si="16"/>
        <v>0</v>
      </c>
      <c r="M128" s="877">
        <f t="shared" si="16"/>
        <v>0</v>
      </c>
      <c r="N128" s="877">
        <f t="shared" si="16"/>
        <v>0</v>
      </c>
      <c r="O128" s="1214" t="s">
        <v>1192</v>
      </c>
      <c r="P128" s="1214" t="s">
        <v>1209</v>
      </c>
      <c r="Q128" s="1065">
        <f t="shared" si="20"/>
        <v>0</v>
      </c>
      <c r="R128" s="1065">
        <f t="shared" si="20"/>
        <v>0</v>
      </c>
      <c r="S128" s="1065">
        <f t="shared" si="20"/>
        <v>0</v>
      </c>
      <c r="T128" s="1099" t="s">
        <v>886</v>
      </c>
      <c r="U128" s="1100" t="s">
        <v>892</v>
      </c>
      <c r="V128" s="1099">
        <v>414</v>
      </c>
      <c r="W128" s="1099">
        <v>14078</v>
      </c>
    </row>
    <row r="129" spans="1:24" ht="93">
      <c r="A129" s="1244" t="s">
        <v>818</v>
      </c>
      <c r="B129" s="1127" t="s">
        <v>844</v>
      </c>
      <c r="C129" s="871">
        <f t="shared" si="17"/>
        <v>879</v>
      </c>
      <c r="D129" s="972">
        <v>0</v>
      </c>
      <c r="E129" s="1255">
        <v>879</v>
      </c>
      <c r="F129" s="874">
        <f t="shared" si="18"/>
        <v>879</v>
      </c>
      <c r="G129" s="1085">
        <v>0</v>
      </c>
      <c r="H129" s="970">
        <f t="shared" si="21"/>
        <v>879</v>
      </c>
      <c r="I129" s="874">
        <f t="shared" si="19"/>
        <v>0</v>
      </c>
      <c r="J129" s="1083">
        <v>0</v>
      </c>
      <c r="K129" s="1083">
        <v>0</v>
      </c>
      <c r="L129" s="876">
        <f t="shared" si="16"/>
        <v>0</v>
      </c>
      <c r="M129" s="877">
        <f t="shared" si="16"/>
        <v>0</v>
      </c>
      <c r="N129" s="877">
        <f t="shared" si="16"/>
        <v>0</v>
      </c>
      <c r="O129" s="1214" t="s">
        <v>1192</v>
      </c>
      <c r="P129" s="1214" t="s">
        <v>1210</v>
      </c>
      <c r="Q129" s="1065">
        <f t="shared" si="20"/>
        <v>0</v>
      </c>
      <c r="R129" s="1065">
        <f t="shared" si="20"/>
        <v>0</v>
      </c>
      <c r="S129" s="1065">
        <f t="shared" si="20"/>
        <v>0</v>
      </c>
      <c r="T129" s="1099" t="s">
        <v>886</v>
      </c>
      <c r="U129" s="1100" t="s">
        <v>892</v>
      </c>
      <c r="V129" s="1099">
        <v>414</v>
      </c>
      <c r="W129" s="1099">
        <v>14079</v>
      </c>
    </row>
    <row r="130" spans="1:24" ht="93">
      <c r="A130" s="1244" t="s">
        <v>819</v>
      </c>
      <c r="B130" s="1127" t="s">
        <v>845</v>
      </c>
      <c r="C130" s="871">
        <f t="shared" si="17"/>
        <v>1554</v>
      </c>
      <c r="D130" s="1249">
        <v>0</v>
      </c>
      <c r="E130" s="1255">
        <v>1554</v>
      </c>
      <c r="F130" s="874">
        <f t="shared" si="18"/>
        <v>1554</v>
      </c>
      <c r="G130" s="1085">
        <v>0</v>
      </c>
      <c r="H130" s="970">
        <f t="shared" si="21"/>
        <v>1554</v>
      </c>
      <c r="I130" s="874">
        <f t="shared" si="19"/>
        <v>0</v>
      </c>
      <c r="J130" s="1083">
        <v>0</v>
      </c>
      <c r="K130" s="1083">
        <v>0</v>
      </c>
      <c r="L130" s="876">
        <f t="shared" si="16"/>
        <v>0</v>
      </c>
      <c r="M130" s="877">
        <f t="shared" si="16"/>
        <v>0</v>
      </c>
      <c r="N130" s="877">
        <f t="shared" si="16"/>
        <v>0</v>
      </c>
      <c r="O130" s="1214" t="s">
        <v>1192</v>
      </c>
      <c r="P130" s="1214" t="s">
        <v>1211</v>
      </c>
      <c r="Q130" s="1065">
        <f t="shared" si="20"/>
        <v>0</v>
      </c>
      <c r="R130" s="1065">
        <f t="shared" si="20"/>
        <v>0</v>
      </c>
      <c r="S130" s="1065">
        <f t="shared" si="20"/>
        <v>0</v>
      </c>
      <c r="T130" s="1099" t="s">
        <v>886</v>
      </c>
      <c r="U130" s="1100" t="s">
        <v>892</v>
      </c>
      <c r="V130" s="1099">
        <v>414</v>
      </c>
      <c r="W130" s="1099">
        <v>14080</v>
      </c>
    </row>
    <row r="131" spans="1:24" ht="57.75" customHeight="1">
      <c r="A131" s="1244" t="s">
        <v>762</v>
      </c>
      <c r="B131" s="1127" t="s">
        <v>846</v>
      </c>
      <c r="C131" s="871">
        <f t="shared" si="17"/>
        <v>879</v>
      </c>
      <c r="D131" s="1249">
        <v>0</v>
      </c>
      <c r="E131" s="1255">
        <v>879</v>
      </c>
      <c r="F131" s="874">
        <f t="shared" si="18"/>
        <v>879</v>
      </c>
      <c r="G131" s="1085">
        <v>0</v>
      </c>
      <c r="H131" s="970">
        <f t="shared" si="21"/>
        <v>879</v>
      </c>
      <c r="I131" s="874">
        <f t="shared" si="19"/>
        <v>0</v>
      </c>
      <c r="J131" s="1083">
        <v>0</v>
      </c>
      <c r="K131" s="1083">
        <v>0</v>
      </c>
      <c r="L131" s="876">
        <f t="shared" si="16"/>
        <v>0</v>
      </c>
      <c r="M131" s="877">
        <f t="shared" si="16"/>
        <v>0</v>
      </c>
      <c r="N131" s="877">
        <f t="shared" si="16"/>
        <v>0</v>
      </c>
      <c r="O131" s="1214" t="s">
        <v>1192</v>
      </c>
      <c r="P131" s="1214" t="s">
        <v>1212</v>
      </c>
      <c r="Q131" s="1065">
        <f t="shared" si="20"/>
        <v>0</v>
      </c>
      <c r="R131" s="1065">
        <f t="shared" si="20"/>
        <v>0</v>
      </c>
      <c r="S131" s="1065">
        <f t="shared" si="20"/>
        <v>0</v>
      </c>
      <c r="T131" s="1099" t="s">
        <v>886</v>
      </c>
      <c r="U131" s="1100" t="s">
        <v>892</v>
      </c>
      <c r="V131" s="1099">
        <v>414</v>
      </c>
      <c r="W131" s="1099">
        <v>14081</v>
      </c>
    </row>
    <row r="132" spans="1:24" ht="93">
      <c r="A132" s="1244" t="s">
        <v>743</v>
      </c>
      <c r="B132" s="1127" t="s">
        <v>847</v>
      </c>
      <c r="C132" s="871">
        <f t="shared" si="17"/>
        <v>627</v>
      </c>
      <c r="D132" s="1249">
        <v>0</v>
      </c>
      <c r="E132" s="1255">
        <v>627</v>
      </c>
      <c r="F132" s="874">
        <f t="shared" si="18"/>
        <v>627</v>
      </c>
      <c r="G132" s="1085">
        <v>0</v>
      </c>
      <c r="H132" s="970">
        <f t="shared" si="21"/>
        <v>627</v>
      </c>
      <c r="I132" s="874">
        <f t="shared" si="19"/>
        <v>0</v>
      </c>
      <c r="J132" s="1083">
        <v>0</v>
      </c>
      <c r="K132" s="1083">
        <v>0</v>
      </c>
      <c r="L132" s="876">
        <f t="shared" si="16"/>
        <v>0</v>
      </c>
      <c r="M132" s="877">
        <f t="shared" si="16"/>
        <v>0</v>
      </c>
      <c r="N132" s="877">
        <f t="shared" si="16"/>
        <v>0</v>
      </c>
      <c r="O132" s="1214" t="s">
        <v>1192</v>
      </c>
      <c r="P132" s="1214" t="s">
        <v>1213</v>
      </c>
      <c r="Q132" s="1065">
        <f t="shared" si="20"/>
        <v>0</v>
      </c>
      <c r="R132" s="1065">
        <f t="shared" si="20"/>
        <v>0</v>
      </c>
      <c r="S132" s="1065">
        <f t="shared" si="20"/>
        <v>0</v>
      </c>
      <c r="T132" s="1099" t="s">
        <v>886</v>
      </c>
      <c r="U132" s="1100" t="s">
        <v>892</v>
      </c>
      <c r="V132" s="1099">
        <v>414</v>
      </c>
      <c r="W132" s="1099">
        <v>14082</v>
      </c>
    </row>
    <row r="133" spans="1:24" ht="89.25" customHeight="1">
      <c r="A133" s="1244" t="s">
        <v>744</v>
      </c>
      <c r="B133" s="1127" t="s">
        <v>848</v>
      </c>
      <c r="C133" s="871">
        <f t="shared" si="17"/>
        <v>669</v>
      </c>
      <c r="D133" s="1249">
        <v>0</v>
      </c>
      <c r="E133" s="1255">
        <v>669</v>
      </c>
      <c r="F133" s="874">
        <f t="shared" si="18"/>
        <v>669</v>
      </c>
      <c r="G133" s="1085">
        <v>0</v>
      </c>
      <c r="H133" s="970">
        <f t="shared" si="21"/>
        <v>669</v>
      </c>
      <c r="I133" s="874">
        <f t="shared" si="19"/>
        <v>0</v>
      </c>
      <c r="J133" s="1083">
        <v>0</v>
      </c>
      <c r="K133" s="1083">
        <v>0</v>
      </c>
      <c r="L133" s="876">
        <f t="shared" si="16"/>
        <v>0</v>
      </c>
      <c r="M133" s="877">
        <f t="shared" si="16"/>
        <v>0</v>
      </c>
      <c r="N133" s="877">
        <f t="shared" si="16"/>
        <v>0</v>
      </c>
      <c r="O133" s="1214" t="s">
        <v>1192</v>
      </c>
      <c r="P133" s="1214" t="s">
        <v>1214</v>
      </c>
      <c r="Q133" s="1065">
        <f t="shared" si="20"/>
        <v>0</v>
      </c>
      <c r="R133" s="1065">
        <f t="shared" si="20"/>
        <v>0</v>
      </c>
      <c r="S133" s="1065">
        <f t="shared" si="20"/>
        <v>0</v>
      </c>
      <c r="T133" s="1099" t="s">
        <v>886</v>
      </c>
      <c r="U133" s="1100" t="s">
        <v>892</v>
      </c>
      <c r="V133" s="1099">
        <v>414</v>
      </c>
      <c r="W133" s="1099">
        <v>14083</v>
      </c>
    </row>
    <row r="134" spans="1:24" ht="54" customHeight="1">
      <c r="A134" s="1244" t="s">
        <v>745</v>
      </c>
      <c r="B134" s="1127" t="s">
        <v>849</v>
      </c>
      <c r="C134" s="871">
        <f t="shared" si="17"/>
        <v>495</v>
      </c>
      <c r="D134" s="1249">
        <v>0</v>
      </c>
      <c r="E134" s="1255">
        <v>495</v>
      </c>
      <c r="F134" s="874">
        <f t="shared" si="18"/>
        <v>495</v>
      </c>
      <c r="G134" s="1085">
        <v>0</v>
      </c>
      <c r="H134" s="970">
        <f t="shared" si="21"/>
        <v>495</v>
      </c>
      <c r="I134" s="874">
        <f t="shared" si="19"/>
        <v>0</v>
      </c>
      <c r="J134" s="1083">
        <v>0</v>
      </c>
      <c r="K134" s="1083">
        <v>0</v>
      </c>
      <c r="L134" s="876">
        <f t="shared" si="16"/>
        <v>0</v>
      </c>
      <c r="M134" s="877">
        <f t="shared" si="16"/>
        <v>0</v>
      </c>
      <c r="N134" s="877">
        <f t="shared" si="16"/>
        <v>0</v>
      </c>
      <c r="O134" s="1214" t="s">
        <v>1192</v>
      </c>
      <c r="P134" s="1214" t="s">
        <v>1215</v>
      </c>
      <c r="Q134" s="1065">
        <f t="shared" si="20"/>
        <v>0</v>
      </c>
      <c r="R134" s="1065">
        <f t="shared" si="20"/>
        <v>0</v>
      </c>
      <c r="S134" s="1065">
        <f t="shared" si="20"/>
        <v>0</v>
      </c>
      <c r="T134" s="1099" t="s">
        <v>886</v>
      </c>
      <c r="U134" s="1100" t="s">
        <v>892</v>
      </c>
      <c r="V134" s="1099">
        <v>414</v>
      </c>
      <c r="W134" s="1099">
        <v>14084</v>
      </c>
    </row>
    <row r="135" spans="1:24" ht="54" customHeight="1">
      <c r="A135" s="1244" t="s">
        <v>746</v>
      </c>
      <c r="B135" s="1127" t="s">
        <v>850</v>
      </c>
      <c r="C135" s="871">
        <f t="shared" si="17"/>
        <v>792</v>
      </c>
      <c r="D135" s="1249">
        <v>0</v>
      </c>
      <c r="E135" s="1255">
        <v>792</v>
      </c>
      <c r="F135" s="874">
        <f t="shared" si="18"/>
        <v>792</v>
      </c>
      <c r="G135" s="1085">
        <v>0</v>
      </c>
      <c r="H135" s="970">
        <f t="shared" si="21"/>
        <v>792</v>
      </c>
      <c r="I135" s="874">
        <f t="shared" si="19"/>
        <v>0</v>
      </c>
      <c r="J135" s="1083">
        <v>0</v>
      </c>
      <c r="K135" s="1083">
        <v>0</v>
      </c>
      <c r="L135" s="876">
        <f t="shared" si="16"/>
        <v>0</v>
      </c>
      <c r="M135" s="877">
        <f t="shared" si="16"/>
        <v>0</v>
      </c>
      <c r="N135" s="877">
        <f t="shared" si="16"/>
        <v>0</v>
      </c>
      <c r="O135" s="1214" t="s">
        <v>1192</v>
      </c>
      <c r="P135" s="1214" t="s">
        <v>1216</v>
      </c>
      <c r="Q135" s="1065">
        <f t="shared" si="20"/>
        <v>0</v>
      </c>
      <c r="R135" s="1065">
        <f t="shared" si="20"/>
        <v>0</v>
      </c>
      <c r="S135" s="1065">
        <f t="shared" si="20"/>
        <v>0</v>
      </c>
      <c r="T135" s="1099" t="s">
        <v>886</v>
      </c>
      <c r="U135" s="1100" t="s">
        <v>892</v>
      </c>
      <c r="V135" s="1099">
        <v>414</v>
      </c>
      <c r="W135" s="1099">
        <v>14085</v>
      </c>
    </row>
    <row r="136" spans="1:24" ht="54" customHeight="1">
      <c r="A136" s="1244" t="s">
        <v>747</v>
      </c>
      <c r="B136" s="1127" t="s">
        <v>851</v>
      </c>
      <c r="C136" s="871">
        <f t="shared" si="17"/>
        <v>1026</v>
      </c>
      <c r="D136" s="1249">
        <v>0</v>
      </c>
      <c r="E136" s="1255">
        <v>1026</v>
      </c>
      <c r="F136" s="874">
        <f t="shared" si="18"/>
        <v>1026</v>
      </c>
      <c r="G136" s="1085">
        <v>0</v>
      </c>
      <c r="H136" s="970">
        <f t="shared" si="21"/>
        <v>1026</v>
      </c>
      <c r="I136" s="874">
        <f t="shared" si="19"/>
        <v>0</v>
      </c>
      <c r="J136" s="1083">
        <v>0</v>
      </c>
      <c r="K136" s="1083">
        <v>0</v>
      </c>
      <c r="L136" s="876">
        <f t="shared" si="16"/>
        <v>0</v>
      </c>
      <c r="M136" s="877">
        <f t="shared" si="16"/>
        <v>0</v>
      </c>
      <c r="N136" s="877">
        <f t="shared" si="16"/>
        <v>0</v>
      </c>
      <c r="O136" s="1214" t="s">
        <v>1192</v>
      </c>
      <c r="P136" s="1214" t="s">
        <v>1217</v>
      </c>
      <c r="Q136" s="1065">
        <f t="shared" si="20"/>
        <v>0</v>
      </c>
      <c r="R136" s="1065">
        <f t="shared" si="20"/>
        <v>0</v>
      </c>
      <c r="S136" s="1065">
        <f t="shared" si="20"/>
        <v>0</v>
      </c>
      <c r="T136" s="1099" t="s">
        <v>886</v>
      </c>
      <c r="U136" s="1100" t="s">
        <v>892</v>
      </c>
      <c r="V136" s="1099">
        <v>414</v>
      </c>
      <c r="W136" s="1099">
        <v>14086</v>
      </c>
    </row>
    <row r="137" spans="1:24" ht="54" customHeight="1">
      <c r="A137" s="1244" t="s">
        <v>748</v>
      </c>
      <c r="B137" s="1127" t="s">
        <v>852</v>
      </c>
      <c r="C137" s="871">
        <f t="shared" si="17"/>
        <v>669</v>
      </c>
      <c r="D137" s="1249">
        <v>0</v>
      </c>
      <c r="E137" s="1255">
        <v>669</v>
      </c>
      <c r="F137" s="874">
        <f t="shared" si="18"/>
        <v>669</v>
      </c>
      <c r="G137" s="1085">
        <v>0</v>
      </c>
      <c r="H137" s="970">
        <f t="shared" si="21"/>
        <v>669</v>
      </c>
      <c r="I137" s="874">
        <f t="shared" si="19"/>
        <v>0</v>
      </c>
      <c r="J137" s="1083">
        <v>0</v>
      </c>
      <c r="K137" s="1083">
        <v>0</v>
      </c>
      <c r="L137" s="876">
        <f t="shared" si="16"/>
        <v>0</v>
      </c>
      <c r="M137" s="877">
        <f t="shared" si="16"/>
        <v>0</v>
      </c>
      <c r="N137" s="877">
        <f t="shared" si="16"/>
        <v>0</v>
      </c>
      <c r="O137" s="1214" t="s">
        <v>1192</v>
      </c>
      <c r="P137" s="1214" t="s">
        <v>1218</v>
      </c>
      <c r="Q137" s="1065">
        <f t="shared" si="20"/>
        <v>0</v>
      </c>
      <c r="R137" s="1065">
        <f t="shared" si="20"/>
        <v>0</v>
      </c>
      <c r="S137" s="1065">
        <f t="shared" si="20"/>
        <v>0</v>
      </c>
      <c r="T137" s="1099" t="s">
        <v>886</v>
      </c>
      <c r="U137" s="1100" t="s">
        <v>892</v>
      </c>
      <c r="V137" s="1099">
        <v>414</v>
      </c>
      <c r="W137" s="1099">
        <v>14087</v>
      </c>
    </row>
    <row r="138" spans="1:24" ht="54" customHeight="1">
      <c r="A138" s="1244" t="s">
        <v>749</v>
      </c>
      <c r="B138" s="1127" t="s">
        <v>853</v>
      </c>
      <c r="C138" s="871">
        <f t="shared" si="17"/>
        <v>879</v>
      </c>
      <c r="D138" s="972">
        <v>0</v>
      </c>
      <c r="E138" s="1255">
        <v>879</v>
      </c>
      <c r="F138" s="874">
        <f t="shared" si="18"/>
        <v>879</v>
      </c>
      <c r="G138" s="1085">
        <v>0</v>
      </c>
      <c r="H138" s="970">
        <f t="shared" si="21"/>
        <v>879</v>
      </c>
      <c r="I138" s="874">
        <f t="shared" si="19"/>
        <v>0</v>
      </c>
      <c r="J138" s="1083">
        <v>0</v>
      </c>
      <c r="K138" s="1083">
        <v>0</v>
      </c>
      <c r="L138" s="876">
        <f t="shared" si="16"/>
        <v>0</v>
      </c>
      <c r="M138" s="877">
        <f t="shared" si="16"/>
        <v>0</v>
      </c>
      <c r="N138" s="877">
        <f t="shared" si="16"/>
        <v>0</v>
      </c>
      <c r="O138" s="1214" t="s">
        <v>1192</v>
      </c>
      <c r="P138" s="1214" t="s">
        <v>1212</v>
      </c>
      <c r="Q138" s="1065">
        <f t="shared" si="20"/>
        <v>0</v>
      </c>
      <c r="R138" s="1065">
        <f t="shared" si="20"/>
        <v>0</v>
      </c>
      <c r="S138" s="1065">
        <f t="shared" si="20"/>
        <v>0</v>
      </c>
      <c r="T138" s="1099" t="s">
        <v>886</v>
      </c>
      <c r="U138" s="1100" t="s">
        <v>892</v>
      </c>
      <c r="V138" s="1099">
        <v>414</v>
      </c>
      <c r="W138" s="1099">
        <v>14088</v>
      </c>
    </row>
    <row r="139" spans="1:24" s="515" customFormat="1" ht="115.5" customHeight="1">
      <c r="A139" s="1242" t="s">
        <v>750</v>
      </c>
      <c r="B139" s="987" t="s">
        <v>864</v>
      </c>
      <c r="C139" s="871">
        <f t="shared" si="17"/>
        <v>27147</v>
      </c>
      <c r="D139" s="1249">
        <v>0</v>
      </c>
      <c r="E139" s="1249">
        <v>27147</v>
      </c>
      <c r="F139" s="874">
        <f>SUM(G139:H139)</f>
        <v>27147</v>
      </c>
      <c r="G139" s="1085">
        <v>0</v>
      </c>
      <c r="H139" s="970">
        <f t="shared" si="21"/>
        <v>27147</v>
      </c>
      <c r="I139" s="874">
        <f t="shared" si="19"/>
        <v>0</v>
      </c>
      <c r="J139" s="1085">
        <v>0</v>
      </c>
      <c r="K139" s="1085">
        <v>0</v>
      </c>
      <c r="L139" s="876">
        <f t="shared" si="16"/>
        <v>0</v>
      </c>
      <c r="M139" s="877">
        <f t="shared" si="16"/>
        <v>0</v>
      </c>
      <c r="N139" s="877">
        <f t="shared" si="16"/>
        <v>0</v>
      </c>
      <c r="O139" s="1214" t="s">
        <v>1192</v>
      </c>
      <c r="P139" s="1214" t="s">
        <v>1219</v>
      </c>
      <c r="Q139" s="1065">
        <f t="shared" si="20"/>
        <v>0</v>
      </c>
      <c r="R139" s="1065">
        <f t="shared" si="20"/>
        <v>0</v>
      </c>
      <c r="S139" s="1065">
        <f t="shared" si="20"/>
        <v>0</v>
      </c>
      <c r="T139" s="1099" t="s">
        <v>872</v>
      </c>
      <c r="U139" s="1100">
        <v>1130390400</v>
      </c>
      <c r="V139" s="1099">
        <v>414</v>
      </c>
      <c r="W139" s="1099">
        <v>10122</v>
      </c>
      <c r="X139" s="1220"/>
    </row>
    <row r="140" spans="1:24" s="515" customFormat="1" ht="54" customHeight="1">
      <c r="A140" s="1273" t="s">
        <v>751</v>
      </c>
      <c r="B140" s="1278" t="s">
        <v>1317</v>
      </c>
      <c r="C140" s="871">
        <f>SUM(D140:E140)</f>
        <v>4800</v>
      </c>
      <c r="D140" s="1249">
        <v>0</v>
      </c>
      <c r="E140" s="1249">
        <v>4800</v>
      </c>
      <c r="F140" s="874">
        <f>SUM(G140:H140)</f>
        <v>4800</v>
      </c>
      <c r="G140" s="1085">
        <v>0</v>
      </c>
      <c r="H140" s="970">
        <f t="shared" si="21"/>
        <v>4800</v>
      </c>
      <c r="I140" s="874">
        <f>SUM(J140:K140)</f>
        <v>0</v>
      </c>
      <c r="J140" s="1085">
        <v>0</v>
      </c>
      <c r="K140" s="1085">
        <v>0</v>
      </c>
      <c r="L140" s="876">
        <f>IF(I140=0,0,I140/F140*100)</f>
        <v>0</v>
      </c>
      <c r="M140" s="877">
        <f>IF(J140=0,0,J140/G140*100)</f>
        <v>0</v>
      </c>
      <c r="N140" s="877">
        <f>IF(K140=0,0,K140/H140*100)</f>
        <v>0</v>
      </c>
      <c r="O140" s="1214"/>
      <c r="P140" s="1214"/>
      <c r="Q140" s="1065"/>
      <c r="R140" s="1065"/>
      <c r="S140" s="1065"/>
      <c r="T140" s="1099"/>
      <c r="U140" s="1100"/>
      <c r="V140" s="1099"/>
      <c r="W140" s="1099"/>
      <c r="X140" s="1220"/>
    </row>
    <row r="141" spans="1:24" ht="58.5" customHeight="1">
      <c r="A141" s="1274" t="s">
        <v>854</v>
      </c>
      <c r="B141" s="1127" t="s">
        <v>522</v>
      </c>
      <c r="C141" s="871">
        <f t="shared" si="17"/>
        <v>54207.7</v>
      </c>
      <c r="D141" s="972">
        <v>0</v>
      </c>
      <c r="E141" s="1255">
        <v>54207.7</v>
      </c>
      <c r="F141" s="874">
        <f t="shared" si="18"/>
        <v>54207.7</v>
      </c>
      <c r="G141" s="1083">
        <v>0</v>
      </c>
      <c r="H141" s="970">
        <f t="shared" si="21"/>
        <v>54207.7</v>
      </c>
      <c r="I141" s="874">
        <f t="shared" si="19"/>
        <v>0</v>
      </c>
      <c r="J141" s="1083">
        <v>0</v>
      </c>
      <c r="K141" s="1083">
        <v>0</v>
      </c>
      <c r="L141" s="876">
        <f t="shared" si="16"/>
        <v>0</v>
      </c>
      <c r="M141" s="877">
        <f t="shared" si="16"/>
        <v>0</v>
      </c>
      <c r="N141" s="877">
        <f t="shared" si="16"/>
        <v>0</v>
      </c>
      <c r="O141" s="1214" t="s">
        <v>1238</v>
      </c>
      <c r="P141" s="1214" t="s">
        <v>1220</v>
      </c>
      <c r="Q141" s="1065">
        <f t="shared" si="20"/>
        <v>0</v>
      </c>
      <c r="R141" s="1065">
        <f t="shared" si="20"/>
        <v>0</v>
      </c>
      <c r="S141" s="1065">
        <f t="shared" si="20"/>
        <v>0</v>
      </c>
      <c r="T141" s="1099" t="s">
        <v>886</v>
      </c>
      <c r="U141" s="1100">
        <v>1900290400</v>
      </c>
      <c r="V141" s="1099">
        <v>414</v>
      </c>
      <c r="W141" s="1099">
        <v>10123</v>
      </c>
    </row>
    <row r="142" spans="1:24" ht="69" customHeight="1">
      <c r="A142" s="1274" t="s">
        <v>820</v>
      </c>
      <c r="B142" s="1127" t="s">
        <v>919</v>
      </c>
      <c r="C142" s="871">
        <f t="shared" si="17"/>
        <v>37461.300000000003</v>
      </c>
      <c r="D142" s="972">
        <v>0</v>
      </c>
      <c r="E142" s="1255">
        <v>37461.300000000003</v>
      </c>
      <c r="F142" s="874">
        <f t="shared" si="18"/>
        <v>37461.300000000003</v>
      </c>
      <c r="G142" s="1083">
        <v>0</v>
      </c>
      <c r="H142" s="970">
        <f t="shared" si="21"/>
        <v>37461.300000000003</v>
      </c>
      <c r="I142" s="874">
        <f t="shared" si="19"/>
        <v>0</v>
      </c>
      <c r="J142" s="1083">
        <v>0</v>
      </c>
      <c r="K142" s="1083">
        <v>0</v>
      </c>
      <c r="L142" s="876">
        <f t="shared" si="16"/>
        <v>0</v>
      </c>
      <c r="M142" s="877">
        <f t="shared" si="16"/>
        <v>0</v>
      </c>
      <c r="N142" s="877">
        <f t="shared" si="16"/>
        <v>0</v>
      </c>
      <c r="O142" s="1214" t="s">
        <v>1239</v>
      </c>
      <c r="P142" s="1214" t="s">
        <v>1221</v>
      </c>
      <c r="Q142" s="1065">
        <f t="shared" si="20"/>
        <v>0</v>
      </c>
      <c r="R142" s="1065">
        <f t="shared" si="20"/>
        <v>0</v>
      </c>
      <c r="S142" s="1065">
        <f t="shared" si="20"/>
        <v>0</v>
      </c>
      <c r="T142" s="1099" t="s">
        <v>886</v>
      </c>
      <c r="U142" s="1100">
        <v>1900290400</v>
      </c>
      <c r="V142" s="1099">
        <v>414</v>
      </c>
      <c r="W142" s="1099">
        <v>10124</v>
      </c>
    </row>
    <row r="143" spans="1:24" ht="56.25" customHeight="1">
      <c r="A143" s="1284" t="s">
        <v>834</v>
      </c>
      <c r="B143" s="1127" t="s">
        <v>1318</v>
      </c>
      <c r="C143" s="871">
        <f t="shared" si="17"/>
        <v>3403.5</v>
      </c>
      <c r="D143" s="972">
        <v>0</v>
      </c>
      <c r="E143" s="1255">
        <v>3403.5</v>
      </c>
      <c r="F143" s="1286">
        <f t="shared" si="18"/>
        <v>0</v>
      </c>
      <c r="G143" s="1287"/>
      <c r="H143" s="970"/>
      <c r="I143" s="1286">
        <f t="shared" si="19"/>
        <v>0</v>
      </c>
      <c r="J143" s="1287"/>
      <c r="K143" s="1287"/>
      <c r="L143" s="876">
        <f>IF(I143=0,0,I143/F143*100)</f>
        <v>0</v>
      </c>
      <c r="M143" s="877">
        <f>IF(J143=0,0,J143/G143*100)</f>
        <v>0</v>
      </c>
      <c r="N143" s="877">
        <f>IF(K143=0,0,K143/H143*100)</f>
        <v>0</v>
      </c>
      <c r="O143" s="1214"/>
      <c r="P143" s="1214"/>
      <c r="Q143" s="1065"/>
      <c r="R143" s="1065"/>
      <c r="S143" s="1065"/>
    </row>
    <row r="144" spans="1:24" s="914" customFormat="1" ht="72.75" customHeight="1">
      <c r="A144" s="1051"/>
      <c r="B144" s="1261" t="s">
        <v>444</v>
      </c>
      <c r="C144" s="1051">
        <f t="shared" si="17"/>
        <v>2364953.4</v>
      </c>
      <c r="D144" s="1051">
        <f>SUM(D145:D201)</f>
        <v>2117595.4</v>
      </c>
      <c r="E144" s="1051">
        <f>SUM(E145:E201)</f>
        <v>247358</v>
      </c>
      <c r="F144" s="1051">
        <f t="shared" si="18"/>
        <v>2364953.5</v>
      </c>
      <c r="G144" s="1051">
        <f>SUM(G145:G201)</f>
        <v>2117595.4</v>
      </c>
      <c r="H144" s="1051">
        <f>SUM(H145:H201)</f>
        <v>247358.1</v>
      </c>
      <c r="I144" s="1051">
        <f>SUM(J144:K144)</f>
        <v>94840.4</v>
      </c>
      <c r="J144" s="1051">
        <f>SUM(J145:J201)</f>
        <v>71585.600000000006</v>
      </c>
      <c r="K144" s="1051">
        <f>SUM(K145:K201)</f>
        <v>23254.799999999999</v>
      </c>
      <c r="L144" s="1053">
        <f t="shared" si="16"/>
        <v>4</v>
      </c>
      <c r="M144" s="1053">
        <f t="shared" si="16"/>
        <v>3.4</v>
      </c>
      <c r="N144" s="1053">
        <f t="shared" si="16"/>
        <v>9.4</v>
      </c>
      <c r="O144" s="1214"/>
      <c r="P144" s="1214"/>
      <c r="Q144" s="1065">
        <f t="shared" si="20"/>
        <v>-0.1</v>
      </c>
      <c r="R144" s="1065">
        <f t="shared" si="20"/>
        <v>0</v>
      </c>
      <c r="S144" s="1065">
        <f t="shared" si="20"/>
        <v>-0.1</v>
      </c>
      <c r="T144" s="1114"/>
      <c r="U144" s="1100"/>
      <c r="V144" s="1099"/>
      <c r="W144" s="1099"/>
      <c r="X144" s="1216"/>
    </row>
    <row r="145" spans="1:24" ht="120" customHeight="1">
      <c r="A145" s="1283" t="s">
        <v>835</v>
      </c>
      <c r="B145" s="955" t="s">
        <v>648</v>
      </c>
      <c r="C145" s="871">
        <f t="shared" si="17"/>
        <v>800</v>
      </c>
      <c r="D145" s="1249">
        <v>0</v>
      </c>
      <c r="E145" s="1249">
        <v>800</v>
      </c>
      <c r="F145" s="874">
        <f t="shared" si="18"/>
        <v>800</v>
      </c>
      <c r="G145" s="1085">
        <f>D145</f>
        <v>0</v>
      </c>
      <c r="H145" s="1085">
        <f>E145</f>
        <v>800</v>
      </c>
      <c r="I145" s="874">
        <f t="shared" si="19"/>
        <v>800</v>
      </c>
      <c r="J145" s="1085">
        <v>0</v>
      </c>
      <c r="K145" s="1085">
        <v>800</v>
      </c>
      <c r="L145" s="876">
        <f t="shared" si="16"/>
        <v>100</v>
      </c>
      <c r="M145" s="877">
        <f t="shared" si="16"/>
        <v>0</v>
      </c>
      <c r="N145" s="877">
        <f t="shared" si="16"/>
        <v>100</v>
      </c>
      <c r="O145" s="1214" t="s">
        <v>1290</v>
      </c>
      <c r="P145" s="1214" t="s">
        <v>1240</v>
      </c>
      <c r="Q145" s="1065">
        <f t="shared" si="20"/>
        <v>0</v>
      </c>
      <c r="R145" s="1065">
        <f t="shared" si="20"/>
        <v>0</v>
      </c>
      <c r="S145" s="1065">
        <f t="shared" si="20"/>
        <v>0</v>
      </c>
      <c r="T145" s="1099" t="s">
        <v>886</v>
      </c>
      <c r="U145" s="1100">
        <v>1820190400</v>
      </c>
      <c r="V145" s="1099">
        <v>414</v>
      </c>
      <c r="W145" s="1099">
        <v>14054</v>
      </c>
    </row>
    <row r="146" spans="1:24" s="736" customFormat="1" ht="103.5" customHeight="1">
      <c r="A146" s="1283" t="s">
        <v>826</v>
      </c>
      <c r="B146" s="956" t="s">
        <v>649</v>
      </c>
      <c r="C146" s="871">
        <f t="shared" si="17"/>
        <v>100</v>
      </c>
      <c r="D146" s="1249">
        <v>0</v>
      </c>
      <c r="E146" s="1249">
        <v>100</v>
      </c>
      <c r="F146" s="874">
        <f t="shared" si="18"/>
        <v>100</v>
      </c>
      <c r="G146" s="1085">
        <f t="shared" ref="G146:G201" si="22">D146</f>
        <v>0</v>
      </c>
      <c r="H146" s="1085">
        <f t="shared" ref="H146:H201" si="23">E146</f>
        <v>100</v>
      </c>
      <c r="I146" s="874">
        <f t="shared" si="19"/>
        <v>0</v>
      </c>
      <c r="J146" s="1085">
        <v>0</v>
      </c>
      <c r="K146" s="1085">
        <v>0</v>
      </c>
      <c r="L146" s="876">
        <f t="shared" si="16"/>
        <v>0</v>
      </c>
      <c r="M146" s="877">
        <f t="shared" si="16"/>
        <v>0</v>
      </c>
      <c r="N146" s="877">
        <f t="shared" si="16"/>
        <v>0</v>
      </c>
      <c r="O146" s="1214" t="s">
        <v>1291</v>
      </c>
      <c r="P146" s="1214" t="s">
        <v>1241</v>
      </c>
      <c r="Q146" s="1065">
        <f t="shared" si="20"/>
        <v>0</v>
      </c>
      <c r="R146" s="1065">
        <f t="shared" si="20"/>
        <v>0</v>
      </c>
      <c r="S146" s="1065">
        <f t="shared" si="20"/>
        <v>0</v>
      </c>
      <c r="T146" s="1099" t="s">
        <v>886</v>
      </c>
      <c r="U146" s="1100">
        <v>1820190400</v>
      </c>
      <c r="V146" s="1099">
        <v>414</v>
      </c>
      <c r="W146" s="1099">
        <v>14056</v>
      </c>
      <c r="X146" s="1216"/>
    </row>
    <row r="147" spans="1:24" s="736" customFormat="1" ht="78.75" customHeight="1">
      <c r="A147" s="1283" t="s">
        <v>827</v>
      </c>
      <c r="B147" s="956" t="s">
        <v>650</v>
      </c>
      <c r="C147" s="871">
        <f t="shared" si="17"/>
        <v>1500</v>
      </c>
      <c r="D147" s="1249">
        <v>0</v>
      </c>
      <c r="E147" s="1249">
        <v>1500</v>
      </c>
      <c r="F147" s="874">
        <f t="shared" si="18"/>
        <v>1500</v>
      </c>
      <c r="G147" s="1085">
        <f t="shared" si="22"/>
        <v>0</v>
      </c>
      <c r="H147" s="1085">
        <f t="shared" si="23"/>
        <v>1500</v>
      </c>
      <c r="I147" s="874">
        <f t="shared" si="19"/>
        <v>0</v>
      </c>
      <c r="J147" s="1085">
        <v>0</v>
      </c>
      <c r="K147" s="1085">
        <v>0</v>
      </c>
      <c r="L147" s="876">
        <f t="shared" si="16"/>
        <v>0</v>
      </c>
      <c r="M147" s="877">
        <f t="shared" si="16"/>
        <v>0</v>
      </c>
      <c r="N147" s="877">
        <f t="shared" si="16"/>
        <v>0</v>
      </c>
      <c r="O147" s="1214" t="s">
        <v>1292</v>
      </c>
      <c r="P147" s="1214" t="s">
        <v>1242</v>
      </c>
      <c r="Q147" s="1065">
        <f t="shared" si="20"/>
        <v>0</v>
      </c>
      <c r="R147" s="1065">
        <f t="shared" si="20"/>
        <v>0</v>
      </c>
      <c r="S147" s="1065">
        <f t="shared" si="20"/>
        <v>0</v>
      </c>
      <c r="T147" s="1099" t="s">
        <v>886</v>
      </c>
      <c r="U147" s="1100">
        <v>1820190400</v>
      </c>
      <c r="V147" s="1099">
        <v>414</v>
      </c>
      <c r="W147" s="1099">
        <v>14055</v>
      </c>
      <c r="X147" s="1216"/>
    </row>
    <row r="148" spans="1:24" s="736" customFormat="1" ht="129.75" customHeight="1">
      <c r="A148" s="1284" t="s">
        <v>752</v>
      </c>
      <c r="B148" s="956" t="s">
        <v>651</v>
      </c>
      <c r="C148" s="871">
        <f t="shared" si="17"/>
        <v>100</v>
      </c>
      <c r="D148" s="1249">
        <v>0</v>
      </c>
      <c r="E148" s="1249">
        <v>100</v>
      </c>
      <c r="F148" s="874">
        <f t="shared" si="18"/>
        <v>100</v>
      </c>
      <c r="G148" s="1085">
        <f t="shared" si="22"/>
        <v>0</v>
      </c>
      <c r="H148" s="1085">
        <f t="shared" si="23"/>
        <v>100</v>
      </c>
      <c r="I148" s="874">
        <f t="shared" si="19"/>
        <v>100</v>
      </c>
      <c r="J148" s="1085">
        <v>0</v>
      </c>
      <c r="K148" s="1085">
        <v>100</v>
      </c>
      <c r="L148" s="876">
        <f t="shared" si="16"/>
        <v>100</v>
      </c>
      <c r="M148" s="877">
        <f t="shared" si="16"/>
        <v>0</v>
      </c>
      <c r="N148" s="877">
        <f t="shared" si="16"/>
        <v>100</v>
      </c>
      <c r="O148" s="1214" t="s">
        <v>1293</v>
      </c>
      <c r="P148" s="1214" t="s">
        <v>1101</v>
      </c>
      <c r="Q148" s="1065">
        <f t="shared" si="20"/>
        <v>0</v>
      </c>
      <c r="R148" s="1065">
        <f t="shared" si="20"/>
        <v>0</v>
      </c>
      <c r="S148" s="1065">
        <f t="shared" si="20"/>
        <v>0</v>
      </c>
      <c r="T148" s="1099" t="s">
        <v>886</v>
      </c>
      <c r="U148" s="1100">
        <v>1820190400</v>
      </c>
      <c r="V148" s="1099">
        <v>414</v>
      </c>
      <c r="W148" s="1099">
        <v>14021</v>
      </c>
      <c r="X148" s="1216"/>
    </row>
    <row r="149" spans="1:24" s="736" customFormat="1" ht="92.25" customHeight="1">
      <c r="A149" s="1284" t="s">
        <v>753</v>
      </c>
      <c r="B149" s="956" t="s">
        <v>830</v>
      </c>
      <c r="C149" s="871">
        <f t="shared" si="17"/>
        <v>2800</v>
      </c>
      <c r="D149" s="1249">
        <v>0</v>
      </c>
      <c r="E149" s="1249">
        <f>100+2700</f>
        <v>2800</v>
      </c>
      <c r="F149" s="874">
        <f t="shared" si="18"/>
        <v>2800</v>
      </c>
      <c r="G149" s="1085">
        <f t="shared" si="22"/>
        <v>0</v>
      </c>
      <c r="H149" s="1085">
        <f t="shared" si="23"/>
        <v>2800</v>
      </c>
      <c r="I149" s="874">
        <f t="shared" si="19"/>
        <v>0</v>
      </c>
      <c r="J149" s="1085">
        <v>0</v>
      </c>
      <c r="K149" s="1085">
        <v>0</v>
      </c>
      <c r="L149" s="876">
        <f t="shared" si="16"/>
        <v>0</v>
      </c>
      <c r="M149" s="877">
        <f t="shared" si="16"/>
        <v>0</v>
      </c>
      <c r="N149" s="877">
        <f t="shared" si="16"/>
        <v>0</v>
      </c>
      <c r="O149" s="1214" t="s">
        <v>1192</v>
      </c>
      <c r="P149" s="1214" t="s">
        <v>1243</v>
      </c>
      <c r="Q149" s="1065">
        <f t="shared" si="20"/>
        <v>0</v>
      </c>
      <c r="R149" s="1065">
        <f t="shared" si="20"/>
        <v>0</v>
      </c>
      <c r="S149" s="1065">
        <f t="shared" si="20"/>
        <v>0</v>
      </c>
      <c r="T149" s="1099" t="s">
        <v>886</v>
      </c>
      <c r="U149" s="1100">
        <v>1820190400</v>
      </c>
      <c r="V149" s="1099">
        <v>414</v>
      </c>
      <c r="W149" s="1099">
        <v>14046</v>
      </c>
      <c r="X149" s="1216"/>
    </row>
    <row r="150" spans="1:24" s="736" customFormat="1" ht="84.75" customHeight="1">
      <c r="A150" s="1284" t="s">
        <v>754</v>
      </c>
      <c r="B150" s="956" t="s">
        <v>831</v>
      </c>
      <c r="C150" s="871">
        <f t="shared" si="17"/>
        <v>3100</v>
      </c>
      <c r="D150" s="1249">
        <v>0</v>
      </c>
      <c r="E150" s="1249">
        <f>100+3000</f>
        <v>3100</v>
      </c>
      <c r="F150" s="874">
        <f t="shared" si="18"/>
        <v>3100</v>
      </c>
      <c r="G150" s="1085">
        <f t="shared" si="22"/>
        <v>0</v>
      </c>
      <c r="H150" s="1085">
        <f t="shared" si="23"/>
        <v>3100</v>
      </c>
      <c r="I150" s="874">
        <f t="shared" si="19"/>
        <v>0</v>
      </c>
      <c r="J150" s="1085">
        <v>0</v>
      </c>
      <c r="K150" s="1085">
        <v>0</v>
      </c>
      <c r="L150" s="876">
        <f t="shared" si="16"/>
        <v>0</v>
      </c>
      <c r="M150" s="877">
        <f t="shared" si="16"/>
        <v>0</v>
      </c>
      <c r="N150" s="877">
        <f t="shared" si="16"/>
        <v>0</v>
      </c>
      <c r="O150" s="1214" t="s">
        <v>1294</v>
      </c>
      <c r="P150" s="1214" t="s">
        <v>1244</v>
      </c>
      <c r="Q150" s="1065">
        <f t="shared" si="20"/>
        <v>0</v>
      </c>
      <c r="R150" s="1065">
        <f t="shared" si="20"/>
        <v>0</v>
      </c>
      <c r="S150" s="1065">
        <f t="shared" si="20"/>
        <v>0</v>
      </c>
      <c r="T150" s="1099" t="s">
        <v>886</v>
      </c>
      <c r="U150" s="1100">
        <v>1820190400</v>
      </c>
      <c r="V150" s="1099">
        <v>414</v>
      </c>
      <c r="W150" s="1099">
        <v>14048</v>
      </c>
      <c r="X150" s="1216"/>
    </row>
    <row r="151" spans="1:24" s="736" customFormat="1" ht="84.75" customHeight="1">
      <c r="A151" s="1284" t="s">
        <v>755</v>
      </c>
      <c r="B151" s="956" t="s">
        <v>833</v>
      </c>
      <c r="C151" s="871">
        <f t="shared" si="17"/>
        <v>2200</v>
      </c>
      <c r="D151" s="1249">
        <v>0</v>
      </c>
      <c r="E151" s="1249">
        <v>2200</v>
      </c>
      <c r="F151" s="874">
        <f t="shared" si="18"/>
        <v>2200</v>
      </c>
      <c r="G151" s="1085">
        <f t="shared" si="22"/>
        <v>0</v>
      </c>
      <c r="H151" s="1085">
        <f t="shared" si="23"/>
        <v>2200</v>
      </c>
      <c r="I151" s="874">
        <f t="shared" si="19"/>
        <v>0</v>
      </c>
      <c r="J151" s="1085">
        <v>0</v>
      </c>
      <c r="K151" s="1085">
        <v>0</v>
      </c>
      <c r="L151" s="876">
        <f t="shared" si="16"/>
        <v>0</v>
      </c>
      <c r="M151" s="877">
        <f t="shared" si="16"/>
        <v>0</v>
      </c>
      <c r="N151" s="877">
        <f t="shared" si="16"/>
        <v>0</v>
      </c>
      <c r="O151" s="1214" t="s">
        <v>1295</v>
      </c>
      <c r="P151" s="1214" t="s">
        <v>1245</v>
      </c>
      <c r="Q151" s="1065">
        <f t="shared" si="20"/>
        <v>0</v>
      </c>
      <c r="R151" s="1065">
        <f t="shared" si="20"/>
        <v>0</v>
      </c>
      <c r="S151" s="1065">
        <f t="shared" si="20"/>
        <v>0</v>
      </c>
      <c r="T151" s="1099" t="s">
        <v>886</v>
      </c>
      <c r="U151" s="1100">
        <v>1820190400</v>
      </c>
      <c r="V151" s="1099">
        <v>414</v>
      </c>
      <c r="W151" s="1099">
        <v>14047</v>
      </c>
      <c r="X151" s="1216"/>
    </row>
    <row r="152" spans="1:24" s="736" customFormat="1" ht="78.75">
      <c r="A152" s="1284" t="s">
        <v>911</v>
      </c>
      <c r="B152" s="955" t="s">
        <v>705</v>
      </c>
      <c r="C152" s="871">
        <f t="shared" si="17"/>
        <v>53585.7</v>
      </c>
      <c r="D152" s="1249">
        <v>50369.9</v>
      </c>
      <c r="E152" s="1249">
        <v>3215.8</v>
      </c>
      <c r="F152" s="874">
        <f t="shared" si="18"/>
        <v>53585.7</v>
      </c>
      <c r="G152" s="1085">
        <f t="shared" si="22"/>
        <v>50369.9</v>
      </c>
      <c r="H152" s="1085">
        <f t="shared" si="23"/>
        <v>3215.8</v>
      </c>
      <c r="I152" s="874">
        <f t="shared" si="19"/>
        <v>0</v>
      </c>
      <c r="J152" s="2466">
        <v>0</v>
      </c>
      <c r="K152" s="2466">
        <v>0</v>
      </c>
      <c r="L152" s="2469">
        <f>IF(I152=0,0,I152/F152:F158*100)</f>
        <v>0</v>
      </c>
      <c r="M152" s="2470">
        <f>IF(J152=0,0,J152/G152:G158*100)</f>
        <v>0</v>
      </c>
      <c r="N152" s="2470">
        <f>IF(K152=0,0,K152/H152:H158*100)</f>
        <v>0</v>
      </c>
      <c r="O152" s="1214" t="s">
        <v>1192</v>
      </c>
      <c r="P152" s="1214" t="s">
        <v>1219</v>
      </c>
      <c r="Q152" s="1065">
        <f t="shared" si="20"/>
        <v>0</v>
      </c>
      <c r="R152" s="1065">
        <f t="shared" si="20"/>
        <v>0</v>
      </c>
      <c r="S152" s="1065">
        <f t="shared" si="20"/>
        <v>0</v>
      </c>
      <c r="T152" s="2456" t="s">
        <v>886</v>
      </c>
      <c r="U152" s="2456" t="s">
        <v>912</v>
      </c>
      <c r="V152" s="2456">
        <v>414</v>
      </c>
      <c r="W152" s="2456" t="s">
        <v>890</v>
      </c>
      <c r="X152" s="2468"/>
    </row>
    <row r="153" spans="1:24" s="736" customFormat="1" ht="93">
      <c r="A153" s="1284" t="s">
        <v>913</v>
      </c>
      <c r="B153" s="956" t="s">
        <v>704</v>
      </c>
      <c r="C153" s="871">
        <f t="shared" si="17"/>
        <v>28400</v>
      </c>
      <c r="D153" s="1249">
        <v>26696</v>
      </c>
      <c r="E153" s="1249">
        <v>1704</v>
      </c>
      <c r="F153" s="874">
        <f t="shared" si="18"/>
        <v>28400</v>
      </c>
      <c r="G153" s="1085">
        <f t="shared" si="22"/>
        <v>26696</v>
      </c>
      <c r="H153" s="1085">
        <f t="shared" si="23"/>
        <v>1704</v>
      </c>
      <c r="I153" s="874">
        <f t="shared" si="19"/>
        <v>0</v>
      </c>
      <c r="J153" s="2466"/>
      <c r="K153" s="2466"/>
      <c r="L153" s="2469"/>
      <c r="M153" s="2470"/>
      <c r="N153" s="2470"/>
      <c r="O153" s="1214" t="s">
        <v>1192</v>
      </c>
      <c r="P153" s="1214" t="s">
        <v>1246</v>
      </c>
      <c r="Q153" s="1065">
        <f t="shared" si="20"/>
        <v>0</v>
      </c>
      <c r="R153" s="1065">
        <f t="shared" si="20"/>
        <v>0</v>
      </c>
      <c r="S153" s="1065">
        <f t="shared" si="20"/>
        <v>0</v>
      </c>
      <c r="T153" s="2456"/>
      <c r="U153" s="2456"/>
      <c r="V153" s="2456"/>
      <c r="W153" s="2456"/>
      <c r="X153" s="2468"/>
    </row>
    <row r="154" spans="1:24" s="736" customFormat="1" ht="83.25" customHeight="1">
      <c r="A154" s="1284" t="s">
        <v>914</v>
      </c>
      <c r="B154" s="956" t="s">
        <v>703</v>
      </c>
      <c r="C154" s="871">
        <f t="shared" si="17"/>
        <v>54300</v>
      </c>
      <c r="D154" s="1249">
        <v>51042</v>
      </c>
      <c r="E154" s="1249">
        <v>3258</v>
      </c>
      <c r="F154" s="874">
        <f t="shared" si="18"/>
        <v>54300</v>
      </c>
      <c r="G154" s="1085">
        <f t="shared" si="22"/>
        <v>51042</v>
      </c>
      <c r="H154" s="1085">
        <f t="shared" si="23"/>
        <v>3258</v>
      </c>
      <c r="I154" s="874">
        <f t="shared" si="19"/>
        <v>0</v>
      </c>
      <c r="J154" s="2466"/>
      <c r="K154" s="2466"/>
      <c r="L154" s="2469"/>
      <c r="M154" s="2470"/>
      <c r="N154" s="2470"/>
      <c r="O154" s="1214" t="s">
        <v>1192</v>
      </c>
      <c r="P154" s="1214" t="s">
        <v>1247</v>
      </c>
      <c r="Q154" s="1065">
        <f t="shared" si="20"/>
        <v>0</v>
      </c>
      <c r="R154" s="1065">
        <f t="shared" si="20"/>
        <v>0</v>
      </c>
      <c r="S154" s="1065">
        <f t="shared" si="20"/>
        <v>0</v>
      </c>
      <c r="T154" s="2456"/>
      <c r="U154" s="2456"/>
      <c r="V154" s="2456"/>
      <c r="W154" s="2456"/>
      <c r="X154" s="2468"/>
    </row>
    <row r="155" spans="1:24" s="736" customFormat="1" ht="86.25" customHeight="1">
      <c r="A155" s="1284" t="s">
        <v>934</v>
      </c>
      <c r="B155" s="956" t="s">
        <v>702</v>
      </c>
      <c r="C155" s="871">
        <f t="shared" si="17"/>
        <v>56697.8</v>
      </c>
      <c r="D155" s="1249">
        <v>53295.9</v>
      </c>
      <c r="E155" s="1249">
        <v>3401.9</v>
      </c>
      <c r="F155" s="874">
        <f t="shared" si="18"/>
        <v>56697.8</v>
      </c>
      <c r="G155" s="1085">
        <f t="shared" si="22"/>
        <v>53295.9</v>
      </c>
      <c r="H155" s="1085">
        <f t="shared" si="23"/>
        <v>3401.9</v>
      </c>
      <c r="I155" s="874">
        <f t="shared" si="19"/>
        <v>0</v>
      </c>
      <c r="J155" s="2466"/>
      <c r="K155" s="2466"/>
      <c r="L155" s="2469"/>
      <c r="M155" s="2470"/>
      <c r="N155" s="2470"/>
      <c r="O155" s="1214" t="s">
        <v>1192</v>
      </c>
      <c r="P155" s="1214" t="s">
        <v>1219</v>
      </c>
      <c r="Q155" s="1065">
        <f t="shared" si="20"/>
        <v>0</v>
      </c>
      <c r="R155" s="1065">
        <f t="shared" si="20"/>
        <v>0</v>
      </c>
      <c r="S155" s="1065">
        <f t="shared" si="20"/>
        <v>0</v>
      </c>
      <c r="T155" s="2456"/>
      <c r="U155" s="2456"/>
      <c r="V155" s="2456"/>
      <c r="W155" s="2456"/>
      <c r="X155" s="2468"/>
    </row>
    <row r="156" spans="1:24" s="736" customFormat="1" ht="58.5" customHeight="1">
      <c r="A156" s="1284" t="s">
        <v>1024</v>
      </c>
      <c r="B156" s="956" t="s">
        <v>832</v>
      </c>
      <c r="C156" s="871">
        <f t="shared" si="17"/>
        <v>8000</v>
      </c>
      <c r="D156" s="1249">
        <v>7520</v>
      </c>
      <c r="E156" s="1249">
        <v>480</v>
      </c>
      <c r="F156" s="874">
        <f t="shared" si="18"/>
        <v>8000</v>
      </c>
      <c r="G156" s="1085">
        <f t="shared" si="22"/>
        <v>7520</v>
      </c>
      <c r="H156" s="1085">
        <f t="shared" si="23"/>
        <v>480</v>
      </c>
      <c r="I156" s="874">
        <f t="shared" si="19"/>
        <v>0</v>
      </c>
      <c r="J156" s="2466"/>
      <c r="K156" s="2466"/>
      <c r="L156" s="2469"/>
      <c r="M156" s="2470"/>
      <c r="N156" s="2470"/>
      <c r="O156" s="1214" t="s">
        <v>1192</v>
      </c>
      <c r="P156" s="1214" t="s">
        <v>1219</v>
      </c>
      <c r="Q156" s="1065">
        <f t="shared" si="20"/>
        <v>0</v>
      </c>
      <c r="R156" s="1065">
        <f t="shared" si="20"/>
        <v>0</v>
      </c>
      <c r="S156" s="1065">
        <f t="shared" si="20"/>
        <v>0</v>
      </c>
      <c r="T156" s="2456"/>
      <c r="U156" s="2456"/>
      <c r="V156" s="2456"/>
      <c r="W156" s="2456"/>
      <c r="X156" s="2468"/>
    </row>
    <row r="157" spans="1:24" s="736" customFormat="1" ht="60" customHeight="1">
      <c r="A157" s="1284" t="s">
        <v>1025</v>
      </c>
      <c r="B157" s="956" t="s">
        <v>775</v>
      </c>
      <c r="C157" s="871">
        <f t="shared" si="17"/>
        <v>20200</v>
      </c>
      <c r="D157" s="1249">
        <v>18988</v>
      </c>
      <c r="E157" s="1249">
        <v>1212</v>
      </c>
      <c r="F157" s="874">
        <f t="shared" si="18"/>
        <v>20200</v>
      </c>
      <c r="G157" s="1085">
        <f t="shared" si="22"/>
        <v>18988</v>
      </c>
      <c r="H157" s="1085">
        <f t="shared" si="23"/>
        <v>1212</v>
      </c>
      <c r="I157" s="874">
        <f t="shared" si="19"/>
        <v>0</v>
      </c>
      <c r="J157" s="2466"/>
      <c r="K157" s="2466"/>
      <c r="L157" s="2469"/>
      <c r="M157" s="2470"/>
      <c r="N157" s="2470"/>
      <c r="O157" s="1214" t="s">
        <v>1192</v>
      </c>
      <c r="P157" s="1214" t="s">
        <v>1219</v>
      </c>
      <c r="Q157" s="1065">
        <f t="shared" si="20"/>
        <v>0</v>
      </c>
      <c r="R157" s="1065">
        <f t="shared" si="20"/>
        <v>0</v>
      </c>
      <c r="S157" s="1065">
        <f t="shared" si="20"/>
        <v>0</v>
      </c>
      <c r="T157" s="2456"/>
      <c r="U157" s="2456"/>
      <c r="V157" s="2456"/>
      <c r="W157" s="2456"/>
      <c r="X157" s="2468"/>
    </row>
    <row r="158" spans="1:24" s="736" customFormat="1" ht="60" customHeight="1">
      <c r="A158" s="1284" t="s">
        <v>1319</v>
      </c>
      <c r="B158" s="956" t="s">
        <v>774</v>
      </c>
      <c r="C158" s="871">
        <f t="shared" si="17"/>
        <v>20500</v>
      </c>
      <c r="D158" s="1249">
        <v>19270</v>
      </c>
      <c r="E158" s="1249">
        <v>1230</v>
      </c>
      <c r="F158" s="874">
        <f t="shared" si="18"/>
        <v>20500</v>
      </c>
      <c r="G158" s="1085">
        <f t="shared" si="22"/>
        <v>19270</v>
      </c>
      <c r="H158" s="1085">
        <f t="shared" si="23"/>
        <v>1230</v>
      </c>
      <c r="I158" s="874">
        <f t="shared" si="19"/>
        <v>0</v>
      </c>
      <c r="J158" s="2466"/>
      <c r="K158" s="2466"/>
      <c r="L158" s="2469"/>
      <c r="M158" s="2470"/>
      <c r="N158" s="2470"/>
      <c r="O158" s="1214" t="s">
        <v>1192</v>
      </c>
      <c r="P158" s="1214" t="s">
        <v>1219</v>
      </c>
      <c r="Q158" s="1065">
        <f t="shared" si="20"/>
        <v>0</v>
      </c>
      <c r="R158" s="1065">
        <f t="shared" si="20"/>
        <v>0</v>
      </c>
      <c r="S158" s="1065">
        <f t="shared" si="20"/>
        <v>0</v>
      </c>
      <c r="T158" s="2456"/>
      <c r="U158" s="2456"/>
      <c r="V158" s="2456"/>
      <c r="W158" s="2456"/>
      <c r="X158" s="2468"/>
    </row>
    <row r="159" spans="1:24" ht="105.75" customHeight="1">
      <c r="A159" s="1284" t="s">
        <v>756</v>
      </c>
      <c r="B159" s="955" t="s">
        <v>588</v>
      </c>
      <c r="C159" s="871">
        <f>SUM(D159:E159)</f>
        <v>100</v>
      </c>
      <c r="D159" s="1249">
        <v>0</v>
      </c>
      <c r="E159" s="1249">
        <v>100</v>
      </c>
      <c r="F159" s="1286">
        <f>SUM(G159:H159)</f>
        <v>100</v>
      </c>
      <c r="G159" s="1285">
        <f t="shared" ref="G159:H161" si="24">D159</f>
        <v>0</v>
      </c>
      <c r="H159" s="1285">
        <f t="shared" si="24"/>
        <v>100</v>
      </c>
      <c r="I159" s="1286">
        <f>SUM(J159:K159)</f>
        <v>29.5</v>
      </c>
      <c r="J159" s="1285">
        <v>0</v>
      </c>
      <c r="K159" s="1285">
        <v>29.5</v>
      </c>
      <c r="L159" s="876">
        <f t="shared" ref="L159:N161" si="25">IF(I159=0,0,I159/F159*100)</f>
        <v>29.5</v>
      </c>
      <c r="M159" s="877">
        <f t="shared" si="25"/>
        <v>0</v>
      </c>
      <c r="N159" s="877">
        <f t="shared" si="25"/>
        <v>29.5</v>
      </c>
      <c r="O159" s="1214" t="s">
        <v>1192</v>
      </c>
      <c r="P159" s="1214" t="s">
        <v>1251</v>
      </c>
      <c r="Q159" s="1065">
        <f t="shared" si="20"/>
        <v>0</v>
      </c>
      <c r="R159" s="1065">
        <f t="shared" si="20"/>
        <v>0</v>
      </c>
      <c r="S159" s="1065">
        <f t="shared" si="20"/>
        <v>0</v>
      </c>
      <c r="T159" s="1099" t="s">
        <v>886</v>
      </c>
      <c r="U159" s="1100" t="s">
        <v>903</v>
      </c>
      <c r="V159" s="1099">
        <v>414</v>
      </c>
      <c r="W159" s="1099" t="s">
        <v>890</v>
      </c>
    </row>
    <row r="160" spans="1:24" ht="105.75" customHeight="1">
      <c r="A160" s="895">
        <v>102</v>
      </c>
      <c r="B160" s="955" t="s">
        <v>589</v>
      </c>
      <c r="C160" s="871">
        <f>SUM(D160:E160)</f>
        <v>100</v>
      </c>
      <c r="D160" s="1249">
        <v>0</v>
      </c>
      <c r="E160" s="1249">
        <v>100</v>
      </c>
      <c r="F160" s="1286">
        <f>SUM(G160:H160)</f>
        <v>100</v>
      </c>
      <c r="G160" s="1285">
        <f t="shared" si="24"/>
        <v>0</v>
      </c>
      <c r="H160" s="1285">
        <f t="shared" si="24"/>
        <v>100</v>
      </c>
      <c r="I160" s="1286">
        <f>SUM(J160:K160)</f>
        <v>29.6</v>
      </c>
      <c r="J160" s="1285">
        <v>0</v>
      </c>
      <c r="K160" s="1285">
        <v>29.6</v>
      </c>
      <c r="L160" s="876">
        <f t="shared" si="25"/>
        <v>29.6</v>
      </c>
      <c r="M160" s="877">
        <f t="shared" si="25"/>
        <v>0</v>
      </c>
      <c r="N160" s="877">
        <f t="shared" si="25"/>
        <v>29.6</v>
      </c>
      <c r="O160" s="1214" t="s">
        <v>1285</v>
      </c>
      <c r="P160" s="1214" t="s">
        <v>1252</v>
      </c>
      <c r="Q160" s="1065">
        <f t="shared" si="20"/>
        <v>0</v>
      </c>
      <c r="R160" s="1065">
        <f t="shared" si="20"/>
        <v>0</v>
      </c>
      <c r="S160" s="1065">
        <f t="shared" si="20"/>
        <v>0</v>
      </c>
      <c r="T160" s="1099" t="s">
        <v>886</v>
      </c>
      <c r="U160" s="1100" t="s">
        <v>904</v>
      </c>
      <c r="V160" s="1099">
        <v>414</v>
      </c>
      <c r="W160" s="1099" t="s">
        <v>890</v>
      </c>
    </row>
    <row r="161" spans="1:24" ht="105.75" customHeight="1">
      <c r="A161" s="895">
        <v>103</v>
      </c>
      <c r="B161" s="955" t="s">
        <v>591</v>
      </c>
      <c r="C161" s="871">
        <f>SUM(D161:E161)</f>
        <v>100</v>
      </c>
      <c r="D161" s="1249">
        <v>0</v>
      </c>
      <c r="E161" s="1249">
        <v>100</v>
      </c>
      <c r="F161" s="1286">
        <f>SUM(G161:H161)</f>
        <v>100</v>
      </c>
      <c r="G161" s="1285">
        <f t="shared" si="24"/>
        <v>0</v>
      </c>
      <c r="H161" s="1285">
        <f t="shared" si="24"/>
        <v>100</v>
      </c>
      <c r="I161" s="1286">
        <f>SUM(J161:K161)</f>
        <v>29.6</v>
      </c>
      <c r="J161" s="1285">
        <v>0</v>
      </c>
      <c r="K161" s="1285">
        <v>29.6</v>
      </c>
      <c r="L161" s="876">
        <f t="shared" si="25"/>
        <v>29.6</v>
      </c>
      <c r="M161" s="877">
        <f t="shared" si="25"/>
        <v>0</v>
      </c>
      <c r="N161" s="877">
        <f t="shared" si="25"/>
        <v>29.6</v>
      </c>
      <c r="O161" s="1214" t="s">
        <v>1192</v>
      </c>
      <c r="P161" s="1214" t="s">
        <v>1254</v>
      </c>
      <c r="Q161" s="1065">
        <f t="shared" si="20"/>
        <v>0</v>
      </c>
      <c r="R161" s="1065">
        <f t="shared" si="20"/>
        <v>0</v>
      </c>
      <c r="S161" s="1065">
        <f t="shared" si="20"/>
        <v>0</v>
      </c>
      <c r="T161" s="1099" t="s">
        <v>886</v>
      </c>
      <c r="U161" s="1100" t="s">
        <v>906</v>
      </c>
      <c r="V161" s="1099">
        <v>414</v>
      </c>
      <c r="W161" s="1099" t="s">
        <v>890</v>
      </c>
    </row>
    <row r="162" spans="1:24" s="736" customFormat="1" ht="96.75" customHeight="1">
      <c r="A162" s="1284" t="s">
        <v>759</v>
      </c>
      <c r="B162" s="901" t="s">
        <v>465</v>
      </c>
      <c r="C162" s="871">
        <f t="shared" si="17"/>
        <v>18259.5</v>
      </c>
      <c r="D162" s="1249">
        <f>7398.4+9765.43</f>
        <v>17163.8</v>
      </c>
      <c r="E162" s="1249">
        <f>472.3+623.38</f>
        <v>1095.7</v>
      </c>
      <c r="F162" s="874">
        <f t="shared" si="18"/>
        <v>18259.5</v>
      </c>
      <c r="G162" s="1085">
        <f t="shared" si="22"/>
        <v>17163.8</v>
      </c>
      <c r="H162" s="1085">
        <f t="shared" si="23"/>
        <v>1095.7</v>
      </c>
      <c r="I162" s="874">
        <f t="shared" si="19"/>
        <v>0</v>
      </c>
      <c r="J162" s="1085">
        <v>0</v>
      </c>
      <c r="K162" s="1085">
        <v>0</v>
      </c>
      <c r="L162" s="876">
        <f t="shared" ref="L162:N177" si="26">IF(I162=0,0,I162/F162*100)</f>
        <v>0</v>
      </c>
      <c r="M162" s="877">
        <f t="shared" si="26"/>
        <v>0</v>
      </c>
      <c r="N162" s="877">
        <f t="shared" si="26"/>
        <v>0</v>
      </c>
      <c r="O162" s="1214" t="s">
        <v>1282</v>
      </c>
      <c r="P162" s="1214" t="s">
        <v>1248</v>
      </c>
      <c r="Q162" s="1065">
        <f t="shared" si="20"/>
        <v>0</v>
      </c>
      <c r="R162" s="1065">
        <f t="shared" si="20"/>
        <v>0</v>
      </c>
      <c r="S162" s="1065">
        <f t="shared" si="20"/>
        <v>0</v>
      </c>
      <c r="T162" s="1099" t="s">
        <v>886</v>
      </c>
      <c r="U162" s="1100" t="s">
        <v>901</v>
      </c>
      <c r="V162" s="1099">
        <v>414</v>
      </c>
      <c r="W162" s="1099" t="s">
        <v>890</v>
      </c>
      <c r="X162" s="1216"/>
    </row>
    <row r="163" spans="1:24" s="736" customFormat="1" ht="90.75" customHeight="1">
      <c r="A163" s="1284" t="s">
        <v>760</v>
      </c>
      <c r="B163" s="1084" t="s">
        <v>537</v>
      </c>
      <c r="C163" s="871">
        <f t="shared" si="17"/>
        <v>10370</v>
      </c>
      <c r="D163" s="1249">
        <f>8589.3+1158.49</f>
        <v>9747.7999999999993</v>
      </c>
      <c r="E163" s="1249">
        <f>548.3+73.9</f>
        <v>622.20000000000005</v>
      </c>
      <c r="F163" s="874">
        <f t="shared" si="18"/>
        <v>10370</v>
      </c>
      <c r="G163" s="1085">
        <f t="shared" si="22"/>
        <v>9747.7999999999993</v>
      </c>
      <c r="H163" s="1085">
        <f t="shared" si="23"/>
        <v>622.20000000000005</v>
      </c>
      <c r="I163" s="871">
        <f t="shared" si="19"/>
        <v>2384.8000000000002</v>
      </c>
      <c r="J163" s="1249">
        <v>2241.6999999999998</v>
      </c>
      <c r="K163" s="1249">
        <v>143.1</v>
      </c>
      <c r="L163" s="876">
        <f t="shared" si="26"/>
        <v>23</v>
      </c>
      <c r="M163" s="877">
        <f t="shared" si="26"/>
        <v>23</v>
      </c>
      <c r="N163" s="877">
        <f t="shared" si="26"/>
        <v>23</v>
      </c>
      <c r="O163" s="1214" t="s">
        <v>1283</v>
      </c>
      <c r="P163" s="1214" t="s">
        <v>1249</v>
      </c>
      <c r="Q163" s="1065">
        <f t="shared" si="20"/>
        <v>0</v>
      </c>
      <c r="R163" s="1065">
        <f t="shared" si="20"/>
        <v>0</v>
      </c>
      <c r="S163" s="1065">
        <f t="shared" si="20"/>
        <v>0</v>
      </c>
      <c r="T163" s="1099" t="s">
        <v>886</v>
      </c>
      <c r="U163" s="1100" t="s">
        <v>907</v>
      </c>
      <c r="V163" s="1099">
        <v>414</v>
      </c>
      <c r="W163" s="1099" t="s">
        <v>890</v>
      </c>
      <c r="X163" s="1216"/>
    </row>
    <row r="164" spans="1:24" s="736" customFormat="1" ht="93">
      <c r="A164" s="1284" t="s">
        <v>761</v>
      </c>
      <c r="B164" s="1084" t="s">
        <v>587</v>
      </c>
      <c r="C164" s="871">
        <f t="shared" si="17"/>
        <v>16203.2</v>
      </c>
      <c r="D164" s="1249">
        <f>12178.9+3052.05</f>
        <v>15231</v>
      </c>
      <c r="E164" s="1249">
        <f>777.4+194.83</f>
        <v>972.2</v>
      </c>
      <c r="F164" s="874">
        <f t="shared" si="18"/>
        <v>16203.2</v>
      </c>
      <c r="G164" s="1085">
        <f t="shared" si="22"/>
        <v>15231</v>
      </c>
      <c r="H164" s="1085">
        <f t="shared" si="23"/>
        <v>972.2</v>
      </c>
      <c r="I164" s="874">
        <f t="shared" si="19"/>
        <v>2383.3000000000002</v>
      </c>
      <c r="J164" s="1085">
        <v>2240.3000000000002</v>
      </c>
      <c r="K164" s="1085">
        <v>143</v>
      </c>
      <c r="L164" s="876">
        <f t="shared" si="26"/>
        <v>14.7</v>
      </c>
      <c r="M164" s="877">
        <f t="shared" si="26"/>
        <v>14.7</v>
      </c>
      <c r="N164" s="877">
        <f t="shared" si="26"/>
        <v>14.7</v>
      </c>
      <c r="O164" s="1214" t="s">
        <v>1284</v>
      </c>
      <c r="P164" s="1214" t="s">
        <v>1250</v>
      </c>
      <c r="Q164" s="1065">
        <f t="shared" ref="Q164:S179" si="27">C164-F164</f>
        <v>0</v>
      </c>
      <c r="R164" s="1065">
        <f t="shared" si="27"/>
        <v>0</v>
      </c>
      <c r="S164" s="1065">
        <f t="shared" si="27"/>
        <v>0</v>
      </c>
      <c r="T164" s="1099" t="s">
        <v>886</v>
      </c>
      <c r="U164" s="1100" t="s">
        <v>900</v>
      </c>
      <c r="V164" s="1099">
        <v>414</v>
      </c>
      <c r="W164" s="1099" t="s">
        <v>890</v>
      </c>
      <c r="X164" s="1216"/>
    </row>
    <row r="165" spans="1:24" ht="136.5" customHeight="1">
      <c r="A165" s="1284" t="s">
        <v>1325</v>
      </c>
      <c r="B165" s="955" t="s">
        <v>588</v>
      </c>
      <c r="C165" s="871">
        <f t="shared" si="17"/>
        <v>22869.1</v>
      </c>
      <c r="D165" s="1249">
        <f>18886.8+2610.06</f>
        <v>21496.9</v>
      </c>
      <c r="E165" s="1249">
        <f>1205.6+166.61</f>
        <v>1372.2</v>
      </c>
      <c r="F165" s="874">
        <f t="shared" si="18"/>
        <v>22869.1</v>
      </c>
      <c r="G165" s="1085">
        <f t="shared" si="22"/>
        <v>21496.9</v>
      </c>
      <c r="H165" s="1085">
        <f t="shared" si="23"/>
        <v>1372.2</v>
      </c>
      <c r="I165" s="874">
        <f t="shared" si="19"/>
        <v>0</v>
      </c>
      <c r="J165" s="1085">
        <v>0</v>
      </c>
      <c r="K165" s="1085">
        <v>0</v>
      </c>
      <c r="L165" s="876">
        <f t="shared" si="26"/>
        <v>0</v>
      </c>
      <c r="M165" s="877">
        <f t="shared" si="26"/>
        <v>0</v>
      </c>
      <c r="N165" s="877">
        <f t="shared" si="26"/>
        <v>0</v>
      </c>
      <c r="O165" s="1214" t="s">
        <v>1192</v>
      </c>
      <c r="P165" s="1214" t="s">
        <v>1251</v>
      </c>
      <c r="Q165" s="1065">
        <f t="shared" si="27"/>
        <v>0</v>
      </c>
      <c r="R165" s="1065">
        <f t="shared" si="27"/>
        <v>0</v>
      </c>
      <c r="S165" s="1065">
        <f t="shared" si="27"/>
        <v>0</v>
      </c>
      <c r="T165" s="1099" t="s">
        <v>886</v>
      </c>
      <c r="U165" s="1100" t="s">
        <v>903</v>
      </c>
      <c r="V165" s="1099">
        <v>414</v>
      </c>
      <c r="W165" s="1099" t="s">
        <v>890</v>
      </c>
    </row>
    <row r="166" spans="1:24" ht="105" customHeight="1">
      <c r="A166" s="895" t="s">
        <v>1326</v>
      </c>
      <c r="B166" s="955" t="s">
        <v>589</v>
      </c>
      <c r="C166" s="871">
        <f t="shared" si="17"/>
        <v>10547.8</v>
      </c>
      <c r="D166" s="1249">
        <f>8642.5+1272.44</f>
        <v>9914.9</v>
      </c>
      <c r="E166" s="1249">
        <f>551.7+81.23</f>
        <v>632.9</v>
      </c>
      <c r="F166" s="874">
        <f t="shared" si="18"/>
        <v>10547.8</v>
      </c>
      <c r="G166" s="1085">
        <f t="shared" si="22"/>
        <v>9914.9</v>
      </c>
      <c r="H166" s="1085">
        <f t="shared" si="23"/>
        <v>632.9</v>
      </c>
      <c r="I166" s="874">
        <f t="shared" si="19"/>
        <v>0</v>
      </c>
      <c r="J166" s="1085">
        <v>0</v>
      </c>
      <c r="K166" s="1085">
        <v>0</v>
      </c>
      <c r="L166" s="876">
        <f t="shared" si="26"/>
        <v>0</v>
      </c>
      <c r="M166" s="877">
        <f t="shared" si="26"/>
        <v>0</v>
      </c>
      <c r="N166" s="877">
        <f t="shared" si="26"/>
        <v>0</v>
      </c>
      <c r="O166" s="1214" t="s">
        <v>1285</v>
      </c>
      <c r="P166" s="1214" t="s">
        <v>1252</v>
      </c>
      <c r="Q166" s="1065">
        <f t="shared" si="27"/>
        <v>0</v>
      </c>
      <c r="R166" s="1065">
        <f t="shared" si="27"/>
        <v>0</v>
      </c>
      <c r="S166" s="1065">
        <f t="shared" si="27"/>
        <v>0</v>
      </c>
      <c r="T166" s="1099" t="s">
        <v>886</v>
      </c>
      <c r="U166" s="1100" t="s">
        <v>904</v>
      </c>
      <c r="V166" s="1099">
        <v>414</v>
      </c>
      <c r="W166" s="1099" t="s">
        <v>890</v>
      </c>
    </row>
    <row r="167" spans="1:24" ht="88.5" customHeight="1">
      <c r="A167" s="895">
        <v>107</v>
      </c>
      <c r="B167" s="955" t="s">
        <v>616</v>
      </c>
      <c r="C167" s="871">
        <f t="shared" si="17"/>
        <v>64593.7</v>
      </c>
      <c r="D167" s="1249">
        <f>17561.3+43156.37</f>
        <v>60717.7</v>
      </c>
      <c r="E167" s="1249">
        <f>1121.1+2754.89</f>
        <v>3876</v>
      </c>
      <c r="F167" s="874">
        <f t="shared" si="18"/>
        <v>64593.7</v>
      </c>
      <c r="G167" s="1085">
        <f t="shared" si="22"/>
        <v>60717.7</v>
      </c>
      <c r="H167" s="1085">
        <f t="shared" si="23"/>
        <v>3876</v>
      </c>
      <c r="I167" s="874">
        <f t="shared" si="19"/>
        <v>0</v>
      </c>
      <c r="J167" s="1085">
        <v>0</v>
      </c>
      <c r="K167" s="1085">
        <v>0</v>
      </c>
      <c r="L167" s="876">
        <f t="shared" si="26"/>
        <v>0</v>
      </c>
      <c r="M167" s="877">
        <f t="shared" si="26"/>
        <v>0</v>
      </c>
      <c r="N167" s="877">
        <f t="shared" si="26"/>
        <v>0</v>
      </c>
      <c r="O167" s="1214" t="s">
        <v>1192</v>
      </c>
      <c r="P167" s="1214" t="s">
        <v>1253</v>
      </c>
      <c r="Q167" s="1065">
        <f t="shared" si="27"/>
        <v>0</v>
      </c>
      <c r="R167" s="1065">
        <f t="shared" si="27"/>
        <v>0</v>
      </c>
      <c r="S167" s="1065">
        <f t="shared" si="27"/>
        <v>0</v>
      </c>
      <c r="T167" s="1099" t="s">
        <v>886</v>
      </c>
      <c r="U167" s="1100" t="s">
        <v>905</v>
      </c>
      <c r="V167" s="1099">
        <v>414</v>
      </c>
      <c r="W167" s="1099" t="s">
        <v>890</v>
      </c>
    </row>
    <row r="168" spans="1:24" ht="118.5" customHeight="1">
      <c r="A168" s="895" t="s">
        <v>1327</v>
      </c>
      <c r="B168" s="955" t="s">
        <v>591</v>
      </c>
      <c r="C168" s="871">
        <f t="shared" si="17"/>
        <v>36681.5</v>
      </c>
      <c r="D168" s="1249">
        <f>32344.5+2136.03</f>
        <v>34480.5</v>
      </c>
      <c r="E168" s="1249">
        <f>2064.6+136.35</f>
        <v>2201</v>
      </c>
      <c r="F168" s="874">
        <f t="shared" si="18"/>
        <v>36681.5</v>
      </c>
      <c r="G168" s="1085">
        <f t="shared" si="22"/>
        <v>34480.5</v>
      </c>
      <c r="H168" s="1085">
        <f t="shared" si="23"/>
        <v>2201</v>
      </c>
      <c r="I168" s="874">
        <f t="shared" si="19"/>
        <v>0</v>
      </c>
      <c r="J168" s="1085">
        <v>0</v>
      </c>
      <c r="K168" s="1085">
        <v>0</v>
      </c>
      <c r="L168" s="876">
        <f t="shared" si="26"/>
        <v>0</v>
      </c>
      <c r="M168" s="877">
        <f t="shared" si="26"/>
        <v>0</v>
      </c>
      <c r="N168" s="877">
        <f t="shared" si="26"/>
        <v>0</v>
      </c>
      <c r="O168" s="1214" t="s">
        <v>1192</v>
      </c>
      <c r="P168" s="1214" t="s">
        <v>1254</v>
      </c>
      <c r="Q168" s="1065">
        <f t="shared" si="27"/>
        <v>0</v>
      </c>
      <c r="R168" s="1065">
        <f t="shared" si="27"/>
        <v>0</v>
      </c>
      <c r="S168" s="1065">
        <f t="shared" si="27"/>
        <v>0</v>
      </c>
      <c r="T168" s="1099" t="s">
        <v>886</v>
      </c>
      <c r="U168" s="1100" t="s">
        <v>906</v>
      </c>
      <c r="V168" s="1099">
        <v>414</v>
      </c>
      <c r="W168" s="1099" t="s">
        <v>890</v>
      </c>
    </row>
    <row r="169" spans="1:24" ht="93">
      <c r="A169" s="895">
        <v>108</v>
      </c>
      <c r="B169" s="1084" t="s">
        <v>575</v>
      </c>
      <c r="C169" s="871">
        <f t="shared" si="17"/>
        <v>5568.4</v>
      </c>
      <c r="D169" s="1249">
        <f>2306.5+2927.68</f>
        <v>5234.2</v>
      </c>
      <c r="E169" s="1249">
        <f>147.3+186.89</f>
        <v>334.2</v>
      </c>
      <c r="F169" s="874">
        <f t="shared" si="18"/>
        <v>5568.4</v>
      </c>
      <c r="G169" s="1085">
        <f t="shared" si="22"/>
        <v>5234.2</v>
      </c>
      <c r="H169" s="1085">
        <f t="shared" si="23"/>
        <v>334.2</v>
      </c>
      <c r="I169" s="874">
        <f t="shared" si="19"/>
        <v>0</v>
      </c>
      <c r="J169" s="1085">
        <v>0</v>
      </c>
      <c r="K169" s="1085">
        <v>0</v>
      </c>
      <c r="L169" s="876">
        <f t="shared" si="26"/>
        <v>0</v>
      </c>
      <c r="M169" s="877">
        <f t="shared" si="26"/>
        <v>0</v>
      </c>
      <c r="N169" s="877">
        <f t="shared" si="26"/>
        <v>0</v>
      </c>
      <c r="O169" s="1214" t="s">
        <v>1192</v>
      </c>
      <c r="P169" s="1214" t="s">
        <v>1102</v>
      </c>
      <c r="Q169" s="1065">
        <f t="shared" si="27"/>
        <v>0</v>
      </c>
      <c r="R169" s="1065">
        <f t="shared" si="27"/>
        <v>0</v>
      </c>
      <c r="S169" s="1065">
        <f t="shared" si="27"/>
        <v>0</v>
      </c>
      <c r="T169" s="1099" t="s">
        <v>886</v>
      </c>
      <c r="U169" s="1100" t="s">
        <v>902</v>
      </c>
      <c r="V169" s="1099">
        <v>414</v>
      </c>
      <c r="W169" s="1099" t="s">
        <v>890</v>
      </c>
    </row>
    <row r="170" spans="1:24" ht="63" customHeight="1">
      <c r="A170" s="1284" t="s">
        <v>828</v>
      </c>
      <c r="B170" s="1084" t="s">
        <v>660</v>
      </c>
      <c r="C170" s="871">
        <f t="shared" si="17"/>
        <v>14883.1</v>
      </c>
      <c r="D170" s="1249">
        <f>6906.5+7083.4</f>
        <v>13989.9</v>
      </c>
      <c r="E170" s="1249">
        <f>441.1+452.1</f>
        <v>893.2</v>
      </c>
      <c r="F170" s="874">
        <f t="shared" si="18"/>
        <v>14883.1</v>
      </c>
      <c r="G170" s="1085">
        <f t="shared" si="22"/>
        <v>13989.9</v>
      </c>
      <c r="H170" s="1085">
        <f t="shared" si="23"/>
        <v>893.2</v>
      </c>
      <c r="I170" s="874">
        <f t="shared" si="19"/>
        <v>3366.4</v>
      </c>
      <c r="J170" s="1085">
        <v>3164.4</v>
      </c>
      <c r="K170" s="1085">
        <v>202</v>
      </c>
      <c r="L170" s="876">
        <f t="shared" si="26"/>
        <v>22.6</v>
      </c>
      <c r="M170" s="877">
        <f t="shared" si="26"/>
        <v>22.6</v>
      </c>
      <c r="N170" s="877">
        <f t="shared" si="26"/>
        <v>22.6</v>
      </c>
      <c r="O170" s="1214" t="s">
        <v>1286</v>
      </c>
      <c r="P170" s="1214" t="s">
        <v>1255</v>
      </c>
      <c r="Q170" s="1065">
        <f t="shared" si="27"/>
        <v>0</v>
      </c>
      <c r="R170" s="1065">
        <f t="shared" si="27"/>
        <v>0</v>
      </c>
      <c r="S170" s="1065">
        <f t="shared" si="27"/>
        <v>0</v>
      </c>
      <c r="T170" s="1099" t="s">
        <v>886</v>
      </c>
      <c r="U170" s="1100" t="s">
        <v>908</v>
      </c>
      <c r="V170" s="1099">
        <v>414</v>
      </c>
      <c r="W170" s="1099" t="s">
        <v>890</v>
      </c>
    </row>
    <row r="171" spans="1:24" ht="63" customHeight="1">
      <c r="A171" s="1284" t="s">
        <v>829</v>
      </c>
      <c r="B171" s="1084" t="s">
        <v>659</v>
      </c>
      <c r="C171" s="871">
        <f t="shared" si="17"/>
        <v>5350.5</v>
      </c>
      <c r="D171" s="1249">
        <f>4104.3+925.11</f>
        <v>5029.3999999999996</v>
      </c>
      <c r="E171" s="1249">
        <f>262.1+59</f>
        <v>321.10000000000002</v>
      </c>
      <c r="F171" s="874">
        <f t="shared" si="18"/>
        <v>5350.5</v>
      </c>
      <c r="G171" s="1085">
        <f t="shared" si="22"/>
        <v>5029.3999999999996</v>
      </c>
      <c r="H171" s="1085">
        <f t="shared" si="23"/>
        <v>321.10000000000002</v>
      </c>
      <c r="I171" s="874">
        <f t="shared" si="19"/>
        <v>0</v>
      </c>
      <c r="J171" s="1085">
        <v>0</v>
      </c>
      <c r="K171" s="1085">
        <v>0</v>
      </c>
      <c r="L171" s="876">
        <f t="shared" si="26"/>
        <v>0</v>
      </c>
      <c r="M171" s="877">
        <f t="shared" si="26"/>
        <v>0</v>
      </c>
      <c r="N171" s="877">
        <f t="shared" si="26"/>
        <v>0</v>
      </c>
      <c r="O171" s="1214" t="s">
        <v>1287</v>
      </c>
      <c r="P171" s="1214" t="s">
        <v>1256</v>
      </c>
      <c r="Q171" s="1065">
        <f t="shared" si="27"/>
        <v>0</v>
      </c>
      <c r="R171" s="1065">
        <f t="shared" si="27"/>
        <v>0</v>
      </c>
      <c r="S171" s="1065">
        <f t="shared" si="27"/>
        <v>0</v>
      </c>
      <c r="T171" s="1099" t="s">
        <v>886</v>
      </c>
      <c r="U171" s="1100" t="s">
        <v>909</v>
      </c>
      <c r="V171" s="1099">
        <v>414</v>
      </c>
      <c r="W171" s="1099" t="s">
        <v>910</v>
      </c>
    </row>
    <row r="172" spans="1:24" ht="86.25" customHeight="1">
      <c r="A172" s="1284" t="s">
        <v>821</v>
      </c>
      <c r="B172" s="1247" t="s">
        <v>459</v>
      </c>
      <c r="C172" s="871">
        <f t="shared" si="17"/>
        <v>3006.6</v>
      </c>
      <c r="D172" s="972">
        <f>2610.1+215.98</f>
        <v>2826.1</v>
      </c>
      <c r="E172" s="972">
        <f>166.7+13.79</f>
        <v>180.5</v>
      </c>
      <c r="F172" s="874">
        <f t="shared" si="18"/>
        <v>3006.6</v>
      </c>
      <c r="G172" s="1085">
        <f t="shared" si="22"/>
        <v>2826.1</v>
      </c>
      <c r="H172" s="1085">
        <f t="shared" si="23"/>
        <v>180.5</v>
      </c>
      <c r="I172" s="874">
        <f t="shared" si="19"/>
        <v>0</v>
      </c>
      <c r="J172" s="1083">
        <v>0</v>
      </c>
      <c r="K172" s="1083">
        <v>0</v>
      </c>
      <c r="L172" s="876">
        <f t="shared" si="26"/>
        <v>0</v>
      </c>
      <c r="M172" s="877">
        <f t="shared" si="26"/>
        <v>0</v>
      </c>
      <c r="N172" s="877">
        <f t="shared" si="26"/>
        <v>0</v>
      </c>
      <c r="O172" s="1214" t="s">
        <v>1288</v>
      </c>
      <c r="P172" s="1214" t="s">
        <v>1257</v>
      </c>
      <c r="Q172" s="1065">
        <f t="shared" si="27"/>
        <v>0</v>
      </c>
      <c r="R172" s="1065">
        <f t="shared" si="27"/>
        <v>0</v>
      </c>
      <c r="S172" s="1065">
        <f t="shared" si="27"/>
        <v>0</v>
      </c>
      <c r="T172" s="1099" t="s">
        <v>886</v>
      </c>
      <c r="U172" s="1100" t="s">
        <v>889</v>
      </c>
      <c r="V172" s="1099">
        <v>414</v>
      </c>
      <c r="W172" s="1099" t="s">
        <v>890</v>
      </c>
    </row>
    <row r="173" spans="1:24" s="515" customFormat="1" ht="72.75" customHeight="1">
      <c r="A173" s="1284" t="s">
        <v>822</v>
      </c>
      <c r="B173" s="1075" t="s">
        <v>568</v>
      </c>
      <c r="C173" s="871">
        <f t="shared" si="17"/>
        <v>4391.5</v>
      </c>
      <c r="D173" s="972">
        <f>3674.8+453.18</f>
        <v>4128</v>
      </c>
      <c r="E173" s="972">
        <f>234.6+28.93</f>
        <v>263.5</v>
      </c>
      <c r="F173" s="874">
        <f t="shared" si="18"/>
        <v>4391.5</v>
      </c>
      <c r="G173" s="1085">
        <f t="shared" si="22"/>
        <v>4128</v>
      </c>
      <c r="H173" s="1085">
        <f t="shared" si="23"/>
        <v>263.5</v>
      </c>
      <c r="I173" s="874">
        <f t="shared" si="19"/>
        <v>0</v>
      </c>
      <c r="J173" s="1083">
        <v>0</v>
      </c>
      <c r="K173" s="1083">
        <v>0</v>
      </c>
      <c r="L173" s="876">
        <f t="shared" si="26"/>
        <v>0</v>
      </c>
      <c r="M173" s="877">
        <f t="shared" si="26"/>
        <v>0</v>
      </c>
      <c r="N173" s="877">
        <f t="shared" si="26"/>
        <v>0</v>
      </c>
      <c r="O173" s="1214" t="s">
        <v>1289</v>
      </c>
      <c r="P173" s="1214" t="s">
        <v>1258</v>
      </c>
      <c r="Q173" s="1065">
        <f t="shared" si="27"/>
        <v>0</v>
      </c>
      <c r="R173" s="1065">
        <f t="shared" si="27"/>
        <v>0</v>
      </c>
      <c r="S173" s="1065">
        <f t="shared" si="27"/>
        <v>0</v>
      </c>
      <c r="T173" s="1099" t="s">
        <v>886</v>
      </c>
      <c r="U173" s="1100" t="s">
        <v>891</v>
      </c>
      <c r="V173" s="1099">
        <v>414</v>
      </c>
      <c r="W173" s="1099" t="s">
        <v>890</v>
      </c>
      <c r="X173" s="1220"/>
    </row>
    <row r="174" spans="1:24" s="515" customFormat="1" ht="81.75" customHeight="1">
      <c r="A174" s="1284" t="s">
        <v>823</v>
      </c>
      <c r="B174" s="900" t="s">
        <v>693</v>
      </c>
      <c r="C174" s="871">
        <f t="shared" si="17"/>
        <v>23921.1</v>
      </c>
      <c r="D174" s="972">
        <f>18560.9+3924.8</f>
        <v>22485.7</v>
      </c>
      <c r="E174" s="972">
        <f>1184.8+250.55</f>
        <v>1435.4</v>
      </c>
      <c r="F174" s="874">
        <f t="shared" si="18"/>
        <v>23921.1</v>
      </c>
      <c r="G174" s="1085">
        <f t="shared" si="22"/>
        <v>22485.7</v>
      </c>
      <c r="H174" s="1085">
        <f t="shared" si="23"/>
        <v>1435.4</v>
      </c>
      <c r="I174" s="874">
        <f t="shared" si="19"/>
        <v>0</v>
      </c>
      <c r="J174" s="1083">
        <v>0</v>
      </c>
      <c r="K174" s="1083">
        <v>0</v>
      </c>
      <c r="L174" s="876">
        <f t="shared" si="26"/>
        <v>0</v>
      </c>
      <c r="M174" s="877">
        <f t="shared" si="26"/>
        <v>0</v>
      </c>
      <c r="N174" s="877">
        <f t="shared" si="26"/>
        <v>0</v>
      </c>
      <c r="O174" s="1214" t="s">
        <v>1192</v>
      </c>
      <c r="P174" s="1214" t="s">
        <v>1251</v>
      </c>
      <c r="Q174" s="1065">
        <f t="shared" si="27"/>
        <v>0</v>
      </c>
      <c r="R174" s="1065">
        <f t="shared" si="27"/>
        <v>0</v>
      </c>
      <c r="S174" s="1065">
        <f t="shared" si="27"/>
        <v>0</v>
      </c>
      <c r="T174" s="1099" t="s">
        <v>866</v>
      </c>
      <c r="U174" s="1100" t="s">
        <v>884</v>
      </c>
      <c r="V174" s="1099">
        <v>414</v>
      </c>
      <c r="W174" s="1099" t="s">
        <v>885</v>
      </c>
      <c r="X174" s="1220"/>
    </row>
    <row r="175" spans="1:24" s="515" customFormat="1" ht="63" customHeight="1">
      <c r="A175" s="1284" t="s">
        <v>915</v>
      </c>
      <c r="B175" s="987" t="s">
        <v>794</v>
      </c>
      <c r="C175" s="871">
        <f t="shared" si="17"/>
        <v>264888.5</v>
      </c>
      <c r="D175" s="972">
        <f>160380+75158.5+12733.8</f>
        <v>248272.3</v>
      </c>
      <c r="E175" s="1256">
        <f>15758.6+857.6</f>
        <v>16616.2</v>
      </c>
      <c r="F175" s="874">
        <f t="shared" si="18"/>
        <v>264888.5</v>
      </c>
      <c r="G175" s="1085">
        <f t="shared" si="22"/>
        <v>248272.3</v>
      </c>
      <c r="H175" s="1085">
        <f t="shared" si="23"/>
        <v>16616.2</v>
      </c>
      <c r="I175" s="874">
        <f t="shared" si="19"/>
        <v>28675.8</v>
      </c>
      <c r="J175" s="1083">
        <v>26866.6</v>
      </c>
      <c r="K175" s="1083">
        <v>1809.2</v>
      </c>
      <c r="L175" s="876">
        <f t="shared" si="26"/>
        <v>10.8</v>
      </c>
      <c r="M175" s="877">
        <f t="shared" si="26"/>
        <v>10.8</v>
      </c>
      <c r="N175" s="877">
        <f t="shared" si="26"/>
        <v>10.9</v>
      </c>
      <c r="O175" s="1214" t="s">
        <v>1296</v>
      </c>
      <c r="P175" s="1214" t="s">
        <v>1259</v>
      </c>
      <c r="Q175" s="1065">
        <f t="shared" si="27"/>
        <v>0</v>
      </c>
      <c r="R175" s="1065">
        <f t="shared" si="27"/>
        <v>0</v>
      </c>
      <c r="S175" s="1065">
        <f t="shared" si="27"/>
        <v>0</v>
      </c>
      <c r="T175" s="1099" t="s">
        <v>866</v>
      </c>
      <c r="U175" s="1100" t="s">
        <v>896</v>
      </c>
      <c r="V175" s="1099">
        <v>414</v>
      </c>
      <c r="W175" s="1099" t="s">
        <v>897</v>
      </c>
      <c r="X175" s="1220"/>
    </row>
    <row r="176" spans="1:24" ht="63" customHeight="1">
      <c r="A176" s="2404" t="s">
        <v>1322</v>
      </c>
      <c r="B176" s="1084" t="s">
        <v>644</v>
      </c>
      <c r="C176" s="871">
        <f t="shared" si="17"/>
        <v>16856</v>
      </c>
      <c r="D176" s="1249">
        <v>0</v>
      </c>
      <c r="E176" s="1249">
        <v>16856</v>
      </c>
      <c r="F176" s="874">
        <f t="shared" si="18"/>
        <v>16856</v>
      </c>
      <c r="G176" s="1085">
        <f t="shared" si="22"/>
        <v>0</v>
      </c>
      <c r="H176" s="1085">
        <f t="shared" si="23"/>
        <v>16856</v>
      </c>
      <c r="I176" s="874">
        <f t="shared" si="19"/>
        <v>15355.9</v>
      </c>
      <c r="J176" s="1085">
        <v>0</v>
      </c>
      <c r="K176" s="1085">
        <v>15355.9</v>
      </c>
      <c r="L176" s="876">
        <f t="shared" si="26"/>
        <v>91.1</v>
      </c>
      <c r="M176" s="877">
        <f t="shared" si="26"/>
        <v>0</v>
      </c>
      <c r="N176" s="877">
        <f t="shared" si="26"/>
        <v>91.1</v>
      </c>
      <c r="O176" s="1214" t="s">
        <v>1297</v>
      </c>
      <c r="P176" s="1214" t="s">
        <v>1260</v>
      </c>
      <c r="Q176" s="1065">
        <f t="shared" si="27"/>
        <v>0</v>
      </c>
      <c r="R176" s="1065">
        <f t="shared" si="27"/>
        <v>0</v>
      </c>
      <c r="S176" s="1065">
        <f t="shared" si="27"/>
        <v>0</v>
      </c>
      <c r="T176" s="1099" t="s">
        <v>872</v>
      </c>
      <c r="U176" s="1100">
        <v>1130390420</v>
      </c>
      <c r="V176" s="1099">
        <v>414</v>
      </c>
      <c r="W176" s="1099">
        <v>14019</v>
      </c>
    </row>
    <row r="177" spans="1:24" ht="63" customHeight="1">
      <c r="A177" s="2405"/>
      <c r="B177" s="1084" t="s">
        <v>478</v>
      </c>
      <c r="C177" s="871">
        <f t="shared" si="17"/>
        <v>444195.7</v>
      </c>
      <c r="D177" s="1249">
        <f>412659.9+4883.9</f>
        <v>417543.8</v>
      </c>
      <c r="E177" s="1257">
        <f>26340.05+311.8</f>
        <v>26651.85</v>
      </c>
      <c r="F177" s="874">
        <f t="shared" si="18"/>
        <v>444195.7</v>
      </c>
      <c r="G177" s="1085">
        <f t="shared" si="22"/>
        <v>417543.8</v>
      </c>
      <c r="H177" s="1085">
        <f t="shared" si="23"/>
        <v>26651.9</v>
      </c>
      <c r="I177" s="874">
        <f t="shared" si="19"/>
        <v>10686.1</v>
      </c>
      <c r="J177" s="1085">
        <v>10044.9</v>
      </c>
      <c r="K177" s="1085">
        <v>641.20000000000005</v>
      </c>
      <c r="L177" s="876">
        <f t="shared" si="26"/>
        <v>2.4</v>
      </c>
      <c r="M177" s="877">
        <f t="shared" si="26"/>
        <v>2.4</v>
      </c>
      <c r="N177" s="877">
        <f t="shared" si="26"/>
        <v>2.4</v>
      </c>
      <c r="O177" s="1214" t="s">
        <v>1298</v>
      </c>
      <c r="P177" s="1214" t="s">
        <v>1261</v>
      </c>
      <c r="Q177" s="1065">
        <f t="shared" si="27"/>
        <v>0</v>
      </c>
      <c r="R177" s="1065">
        <f t="shared" si="27"/>
        <v>0</v>
      </c>
      <c r="S177" s="1065">
        <f t="shared" si="27"/>
        <v>-0.1</v>
      </c>
      <c r="T177" s="1099" t="s">
        <v>886</v>
      </c>
      <c r="U177" s="1100" t="s">
        <v>898</v>
      </c>
      <c r="V177" s="1099">
        <v>414</v>
      </c>
      <c r="W177" s="1099" t="s">
        <v>899</v>
      </c>
    </row>
    <row r="178" spans="1:24" s="515" customFormat="1" ht="47.25" customHeight="1">
      <c r="A178" s="1284" t="s">
        <v>916</v>
      </c>
      <c r="B178" s="900" t="s">
        <v>499</v>
      </c>
      <c r="C178" s="871">
        <f t="shared" si="17"/>
        <v>9981.4</v>
      </c>
      <c r="D178" s="972">
        <f>8500+859.8</f>
        <v>9359.7999999999993</v>
      </c>
      <c r="E178" s="972">
        <f>564.5+57.1</f>
        <v>621.6</v>
      </c>
      <c r="F178" s="874">
        <f t="shared" si="18"/>
        <v>9981.4</v>
      </c>
      <c r="G178" s="1085">
        <f t="shared" si="22"/>
        <v>9359.7999999999993</v>
      </c>
      <c r="H178" s="1085">
        <f t="shared" si="23"/>
        <v>621.6</v>
      </c>
      <c r="I178" s="874">
        <f t="shared" si="19"/>
        <v>969.3</v>
      </c>
      <c r="J178" s="1083">
        <v>908.9</v>
      </c>
      <c r="K178" s="1083">
        <v>60.4</v>
      </c>
      <c r="L178" s="876">
        <f t="shared" ref="L178:N180" si="28">IF(I178=0,0,I178/F178*100)</f>
        <v>9.6999999999999993</v>
      </c>
      <c r="M178" s="877">
        <f t="shared" si="28"/>
        <v>9.6999999999999993</v>
      </c>
      <c r="N178" s="877">
        <f t="shared" si="28"/>
        <v>9.6999999999999993</v>
      </c>
      <c r="O178" s="1214" t="s">
        <v>1299</v>
      </c>
      <c r="P178" s="1214" t="s">
        <v>1262</v>
      </c>
      <c r="Q178" s="1065">
        <f t="shared" si="27"/>
        <v>0</v>
      </c>
      <c r="R178" s="1065">
        <f t="shared" si="27"/>
        <v>0</v>
      </c>
      <c r="S178" s="1065">
        <f t="shared" si="27"/>
        <v>0</v>
      </c>
      <c r="T178" s="1099" t="s">
        <v>871</v>
      </c>
      <c r="U178" s="1100" t="s">
        <v>870</v>
      </c>
      <c r="V178" s="1099">
        <v>414</v>
      </c>
      <c r="W178" s="1099" t="s">
        <v>873</v>
      </c>
      <c r="X178" s="1220"/>
    </row>
    <row r="179" spans="1:24" ht="54.75" customHeight="1">
      <c r="A179" s="1283" t="s">
        <v>860</v>
      </c>
      <c r="B179" s="900" t="s">
        <v>768</v>
      </c>
      <c r="C179" s="871">
        <f t="shared" si="17"/>
        <v>8900</v>
      </c>
      <c r="D179" s="972">
        <v>0</v>
      </c>
      <c r="E179" s="972">
        <v>8900</v>
      </c>
      <c r="F179" s="874">
        <f t="shared" si="18"/>
        <v>8900</v>
      </c>
      <c r="G179" s="1085">
        <f t="shared" si="22"/>
        <v>0</v>
      </c>
      <c r="H179" s="1085">
        <f t="shared" si="23"/>
        <v>8900</v>
      </c>
      <c r="I179" s="874">
        <f t="shared" si="19"/>
        <v>0</v>
      </c>
      <c r="J179" s="1083">
        <v>0</v>
      </c>
      <c r="K179" s="1083">
        <v>0</v>
      </c>
      <c r="L179" s="876">
        <f t="shared" si="28"/>
        <v>0</v>
      </c>
      <c r="M179" s="877">
        <f t="shared" si="28"/>
        <v>0</v>
      </c>
      <c r="N179" s="877">
        <f t="shared" si="28"/>
        <v>0</v>
      </c>
      <c r="O179" s="1214" t="s">
        <v>1300</v>
      </c>
      <c r="P179" s="1214" t="s">
        <v>1263</v>
      </c>
      <c r="Q179" s="1065">
        <f>C179-F179</f>
        <v>0</v>
      </c>
      <c r="R179" s="1065">
        <f t="shared" si="27"/>
        <v>0</v>
      </c>
      <c r="S179" s="1065">
        <f t="shared" si="27"/>
        <v>0</v>
      </c>
      <c r="T179" s="1099" t="s">
        <v>872</v>
      </c>
      <c r="U179" s="1100">
        <v>1130390420</v>
      </c>
      <c r="V179" s="1099">
        <v>414</v>
      </c>
      <c r="W179" s="1099">
        <v>14009</v>
      </c>
    </row>
    <row r="180" spans="1:24" ht="74.25" customHeight="1">
      <c r="A180" s="1284" t="s">
        <v>1026</v>
      </c>
      <c r="B180" s="900" t="s">
        <v>769</v>
      </c>
      <c r="C180" s="871">
        <f t="shared" si="17"/>
        <v>21489</v>
      </c>
      <c r="D180" s="972">
        <v>0</v>
      </c>
      <c r="E180" s="972">
        <v>21489</v>
      </c>
      <c r="F180" s="874">
        <f t="shared" si="18"/>
        <v>21489</v>
      </c>
      <c r="G180" s="1085">
        <f t="shared" si="22"/>
        <v>0</v>
      </c>
      <c r="H180" s="1085">
        <f t="shared" si="23"/>
        <v>21489</v>
      </c>
      <c r="I180" s="874">
        <f t="shared" si="19"/>
        <v>0</v>
      </c>
      <c r="J180" s="1083">
        <v>0</v>
      </c>
      <c r="K180" s="1083">
        <v>0</v>
      </c>
      <c r="L180" s="876">
        <f t="shared" si="28"/>
        <v>0</v>
      </c>
      <c r="M180" s="877">
        <f t="shared" si="28"/>
        <v>0</v>
      </c>
      <c r="N180" s="877">
        <f t="shared" si="28"/>
        <v>0</v>
      </c>
      <c r="O180" s="1214" t="s">
        <v>1301</v>
      </c>
      <c r="P180" s="1214" t="s">
        <v>1264</v>
      </c>
      <c r="Q180" s="1065">
        <f>C180-F180</f>
        <v>0</v>
      </c>
      <c r="R180" s="1065">
        <f t="shared" ref="Q180:S195" si="29">D180-G180</f>
        <v>0</v>
      </c>
      <c r="S180" s="1065">
        <f t="shared" si="29"/>
        <v>0</v>
      </c>
      <c r="T180" s="1099" t="s">
        <v>872</v>
      </c>
      <c r="U180" s="1100">
        <v>1130390420</v>
      </c>
      <c r="V180" s="1099">
        <v>414</v>
      </c>
      <c r="W180" s="1099">
        <v>14053</v>
      </c>
    </row>
    <row r="181" spans="1:24" s="736" customFormat="1" ht="26.25">
      <c r="A181" s="1284" t="s">
        <v>935</v>
      </c>
      <c r="B181" s="900" t="s">
        <v>692</v>
      </c>
      <c r="C181" s="871">
        <f>SUM(D181:E181)</f>
        <v>22300</v>
      </c>
      <c r="D181" s="972">
        <f>22300*0.9396914446</f>
        <v>20955.099999999999</v>
      </c>
      <c r="E181" s="972">
        <f>22300*(1-0.9396914446)</f>
        <v>1344.9</v>
      </c>
      <c r="F181" s="874">
        <f>SUM(G181:H181)</f>
        <v>22300</v>
      </c>
      <c r="G181" s="1085">
        <f t="shared" si="22"/>
        <v>20955.099999999999</v>
      </c>
      <c r="H181" s="1085">
        <f t="shared" si="23"/>
        <v>1344.9</v>
      </c>
      <c r="I181" s="2463">
        <f>SUM(J181:K181)</f>
        <v>0</v>
      </c>
      <c r="J181" s="2464">
        <v>0</v>
      </c>
      <c r="K181" s="2464">
        <v>0</v>
      </c>
      <c r="L181" s="2467">
        <f>IF(I181=0,0,I181/F181:F182*100)</f>
        <v>0</v>
      </c>
      <c r="M181" s="2462">
        <f>IF(J181=0,0,J181/G181:G182*100)</f>
        <v>0</v>
      </c>
      <c r="N181" s="2462">
        <f>IF(K181=0,0,K181/H181:H182*100)</f>
        <v>0</v>
      </c>
      <c r="O181" s="2460" t="s">
        <v>1192</v>
      </c>
      <c r="P181" s="2460" t="s">
        <v>1265</v>
      </c>
      <c r="Q181" s="1065">
        <f>C181-F181</f>
        <v>0</v>
      </c>
      <c r="R181" s="1065">
        <f t="shared" si="29"/>
        <v>0</v>
      </c>
      <c r="S181" s="1065">
        <f t="shared" si="29"/>
        <v>0</v>
      </c>
      <c r="T181" s="2409" t="s">
        <v>874</v>
      </c>
      <c r="U181" s="2445" t="s">
        <v>875</v>
      </c>
      <c r="V181" s="2409">
        <v>414</v>
      </c>
      <c r="W181" s="2409" t="s">
        <v>876</v>
      </c>
      <c r="X181" s="2468"/>
    </row>
    <row r="182" spans="1:24" s="736" customFormat="1" ht="26.25">
      <c r="A182" s="1284" t="s">
        <v>1027</v>
      </c>
      <c r="B182" s="900" t="s">
        <v>691</v>
      </c>
      <c r="C182" s="871">
        <f t="shared" si="17"/>
        <v>49000</v>
      </c>
      <c r="D182" s="972">
        <f>49000*0.9396914446</f>
        <v>46044.9</v>
      </c>
      <c r="E182" s="972">
        <f>49000*(1-0.9396914446)</f>
        <v>2955.1</v>
      </c>
      <c r="F182" s="874">
        <f t="shared" si="18"/>
        <v>49000</v>
      </c>
      <c r="G182" s="1085">
        <f t="shared" si="22"/>
        <v>46044.9</v>
      </c>
      <c r="H182" s="1085">
        <f t="shared" si="23"/>
        <v>2955.1</v>
      </c>
      <c r="I182" s="2463"/>
      <c r="J182" s="2464"/>
      <c r="K182" s="2464"/>
      <c r="L182" s="2467"/>
      <c r="M182" s="2462"/>
      <c r="N182" s="2462"/>
      <c r="O182" s="2461"/>
      <c r="P182" s="2461"/>
      <c r="Q182" s="1065">
        <f t="shared" si="29"/>
        <v>0</v>
      </c>
      <c r="R182" s="1065">
        <f t="shared" si="29"/>
        <v>0</v>
      </c>
      <c r="S182" s="1065">
        <f t="shared" si="29"/>
        <v>0</v>
      </c>
      <c r="T182" s="2409"/>
      <c r="U182" s="2445"/>
      <c r="V182" s="2409"/>
      <c r="W182" s="2409"/>
      <c r="X182" s="2468"/>
    </row>
    <row r="183" spans="1:24" s="736" customFormat="1" ht="70.5" customHeight="1">
      <c r="A183" s="1284" t="s">
        <v>1320</v>
      </c>
      <c r="B183" s="955" t="s">
        <v>767</v>
      </c>
      <c r="C183" s="871">
        <f t="shared" si="17"/>
        <v>5777.1</v>
      </c>
      <c r="D183" s="1249">
        <v>0</v>
      </c>
      <c r="E183" s="1249">
        <v>5777.1</v>
      </c>
      <c r="F183" s="874">
        <f t="shared" si="18"/>
        <v>5777.1</v>
      </c>
      <c r="G183" s="1085">
        <f t="shared" si="22"/>
        <v>0</v>
      </c>
      <c r="H183" s="1085">
        <f t="shared" si="23"/>
        <v>5777.1</v>
      </c>
      <c r="I183" s="874">
        <f t="shared" si="19"/>
        <v>0</v>
      </c>
      <c r="J183" s="1085">
        <v>0</v>
      </c>
      <c r="K183" s="1085">
        <v>0</v>
      </c>
      <c r="L183" s="876">
        <f>IF(I183=0,0,I183/F183*100)</f>
        <v>0</v>
      </c>
      <c r="M183" s="877">
        <f>IF(J183=0,0,J183/G183*100)</f>
        <v>0</v>
      </c>
      <c r="N183" s="877">
        <f>IF(K183=0,0,K183/H183*100)</f>
        <v>0</v>
      </c>
      <c r="O183" s="1214" t="s">
        <v>1302</v>
      </c>
      <c r="P183" s="1214" t="s">
        <v>1266</v>
      </c>
      <c r="Q183" s="1065">
        <f>C183-F183</f>
        <v>0</v>
      </c>
      <c r="R183" s="1065">
        <f t="shared" si="29"/>
        <v>0</v>
      </c>
      <c r="S183" s="1065">
        <f t="shared" si="29"/>
        <v>0</v>
      </c>
      <c r="T183" s="1099" t="s">
        <v>872</v>
      </c>
      <c r="U183" s="1100">
        <v>1130490420</v>
      </c>
      <c r="V183" s="1099">
        <v>414</v>
      </c>
      <c r="W183" s="1099">
        <v>14007</v>
      </c>
      <c r="X183" s="1216"/>
    </row>
    <row r="184" spans="1:24" s="736" customFormat="1" ht="37.5" customHeight="1">
      <c r="A184" s="1284" t="s">
        <v>1321</v>
      </c>
      <c r="B184" s="955" t="s">
        <v>763</v>
      </c>
      <c r="C184" s="871">
        <f t="shared" si="17"/>
        <v>32800</v>
      </c>
      <c r="D184" s="1249">
        <v>30832</v>
      </c>
      <c r="E184" s="1249">
        <v>1968</v>
      </c>
      <c r="F184" s="874">
        <f t="shared" si="18"/>
        <v>32800</v>
      </c>
      <c r="G184" s="1085">
        <f t="shared" si="22"/>
        <v>30832</v>
      </c>
      <c r="H184" s="1085">
        <f t="shared" si="23"/>
        <v>1968</v>
      </c>
      <c r="I184" s="2463">
        <f>SUM(J184:K186)</f>
        <v>0</v>
      </c>
      <c r="J184" s="2466">
        <v>0</v>
      </c>
      <c r="K184" s="2466">
        <v>0</v>
      </c>
      <c r="L184" s="2467">
        <f>IF(I184=0,0,I184/F184:F186*100)</f>
        <v>0</v>
      </c>
      <c r="M184" s="2462">
        <f>IF(J184=0,0,J184/G184:G186*100)</f>
        <v>0</v>
      </c>
      <c r="N184" s="2462">
        <f>IF(K184=0,0,K184/H184:H186*100)</f>
        <v>0</v>
      </c>
      <c r="O184" s="1214" t="s">
        <v>1267</v>
      </c>
      <c r="P184" s="1214" t="s">
        <v>1219</v>
      </c>
      <c r="Q184" s="1065">
        <f t="shared" si="29"/>
        <v>0</v>
      </c>
      <c r="R184" s="1065">
        <f t="shared" si="29"/>
        <v>0</v>
      </c>
      <c r="S184" s="1065">
        <f t="shared" si="29"/>
        <v>0</v>
      </c>
      <c r="T184" s="2409" t="s">
        <v>872</v>
      </c>
      <c r="U184" s="2445" t="s">
        <v>878</v>
      </c>
      <c r="V184" s="2409">
        <v>414</v>
      </c>
      <c r="W184" s="2409" t="s">
        <v>879</v>
      </c>
      <c r="X184" s="2465"/>
    </row>
    <row r="185" spans="1:24" s="736" customFormat="1" ht="37.5" customHeight="1">
      <c r="A185" s="895">
        <v>119</v>
      </c>
      <c r="B185" s="955" t="s">
        <v>765</v>
      </c>
      <c r="C185" s="871">
        <f t="shared" si="17"/>
        <v>1200</v>
      </c>
      <c r="D185" s="1249">
        <v>1128</v>
      </c>
      <c r="E185" s="1249">
        <v>72</v>
      </c>
      <c r="F185" s="874">
        <f t="shared" si="18"/>
        <v>1200</v>
      </c>
      <c r="G185" s="1085">
        <f t="shared" si="22"/>
        <v>1128</v>
      </c>
      <c r="H185" s="1085">
        <f t="shared" si="23"/>
        <v>72</v>
      </c>
      <c r="I185" s="2463"/>
      <c r="J185" s="2466"/>
      <c r="K185" s="2466"/>
      <c r="L185" s="2467"/>
      <c r="M185" s="2462"/>
      <c r="N185" s="2462"/>
      <c r="O185" s="1214" t="s">
        <v>1192</v>
      </c>
      <c r="P185" s="1214" t="s">
        <v>1219</v>
      </c>
      <c r="Q185" s="1065">
        <f t="shared" si="29"/>
        <v>0</v>
      </c>
      <c r="R185" s="1065">
        <f t="shared" si="29"/>
        <v>0</v>
      </c>
      <c r="S185" s="1065">
        <f t="shared" si="29"/>
        <v>0</v>
      </c>
      <c r="T185" s="2409"/>
      <c r="U185" s="2445"/>
      <c r="V185" s="2409"/>
      <c r="W185" s="2409"/>
      <c r="X185" s="2465"/>
    </row>
    <row r="186" spans="1:24" s="736" customFormat="1" ht="37.5" customHeight="1">
      <c r="A186" s="895">
        <v>120</v>
      </c>
      <c r="B186" s="955" t="s">
        <v>766</v>
      </c>
      <c r="C186" s="871">
        <f t="shared" si="17"/>
        <v>1500</v>
      </c>
      <c r="D186" s="1249">
        <v>1410</v>
      </c>
      <c r="E186" s="1249">
        <v>90</v>
      </c>
      <c r="F186" s="874">
        <f t="shared" si="18"/>
        <v>1500</v>
      </c>
      <c r="G186" s="1085">
        <f t="shared" si="22"/>
        <v>1410</v>
      </c>
      <c r="H186" s="1085">
        <f t="shared" si="23"/>
        <v>90</v>
      </c>
      <c r="I186" s="2463"/>
      <c r="J186" s="2466"/>
      <c r="K186" s="2466"/>
      <c r="L186" s="2467"/>
      <c r="M186" s="2462"/>
      <c r="N186" s="2462"/>
      <c r="O186" s="1214" t="s">
        <v>1267</v>
      </c>
      <c r="P186" s="1214" t="s">
        <v>1219</v>
      </c>
      <c r="Q186" s="1065">
        <f t="shared" si="29"/>
        <v>0</v>
      </c>
      <c r="R186" s="1065">
        <f t="shared" si="29"/>
        <v>0</v>
      </c>
      <c r="S186" s="1065">
        <f t="shared" si="29"/>
        <v>0</v>
      </c>
      <c r="T186" s="2409"/>
      <c r="U186" s="2445"/>
      <c r="V186" s="2409"/>
      <c r="W186" s="2409"/>
      <c r="X186" s="2465"/>
    </row>
    <row r="187" spans="1:24" s="736" customFormat="1" ht="54.75" customHeight="1">
      <c r="A187" s="1284" t="s">
        <v>1323</v>
      </c>
      <c r="B187" s="900" t="s">
        <v>463</v>
      </c>
      <c r="C187" s="871">
        <f t="shared" si="17"/>
        <v>19846.5</v>
      </c>
      <c r="D187" s="972">
        <f>18651.8+3.79</f>
        <v>18655.599999999999</v>
      </c>
      <c r="E187" s="972">
        <f>1190.7+0.2</f>
        <v>1190.9000000000001</v>
      </c>
      <c r="F187" s="874">
        <f t="shared" si="18"/>
        <v>19846.5</v>
      </c>
      <c r="G187" s="1085">
        <f t="shared" si="22"/>
        <v>18655.599999999999</v>
      </c>
      <c r="H187" s="1085">
        <f t="shared" si="23"/>
        <v>1190.9000000000001</v>
      </c>
      <c r="I187" s="874">
        <f t="shared" ref="I187:I222" si="30">SUM(J187:K187)</f>
        <v>30</v>
      </c>
      <c r="J187" s="1083">
        <v>28.2</v>
      </c>
      <c r="K187" s="1083">
        <v>1.8</v>
      </c>
      <c r="L187" s="876">
        <f t="shared" ref="L187:N225" si="31">IF(I187=0,0,I187/F187*100)</f>
        <v>0.2</v>
      </c>
      <c r="M187" s="877">
        <f t="shared" si="31"/>
        <v>0.2</v>
      </c>
      <c r="N187" s="877">
        <f t="shared" si="31"/>
        <v>0.2</v>
      </c>
      <c r="O187" s="1214" t="s">
        <v>1303</v>
      </c>
      <c r="P187" s="1214" t="s">
        <v>1268</v>
      </c>
      <c r="Q187" s="1065">
        <f t="shared" si="29"/>
        <v>0</v>
      </c>
      <c r="R187" s="1065">
        <f t="shared" si="29"/>
        <v>0</v>
      </c>
      <c r="S187" s="1065">
        <f t="shared" si="29"/>
        <v>0</v>
      </c>
      <c r="T187" s="1099" t="s">
        <v>923</v>
      </c>
      <c r="U187" s="1100" t="s">
        <v>924</v>
      </c>
      <c r="V187" s="1099">
        <v>414</v>
      </c>
      <c r="W187" s="1099" t="s">
        <v>922</v>
      </c>
      <c r="X187" s="1216"/>
    </row>
    <row r="188" spans="1:24" s="736" customFormat="1" ht="60" customHeight="1">
      <c r="A188" s="1284" t="s">
        <v>855</v>
      </c>
      <c r="B188" s="900" t="s">
        <v>592</v>
      </c>
      <c r="C188" s="871">
        <f t="shared" si="17"/>
        <v>28317.1</v>
      </c>
      <c r="D188" s="972">
        <f>11848.8+14769.21</f>
        <v>26618</v>
      </c>
      <c r="E188" s="972">
        <f>756.4+942.7</f>
        <v>1699.1</v>
      </c>
      <c r="F188" s="874">
        <f t="shared" si="18"/>
        <v>28317.1</v>
      </c>
      <c r="G188" s="1085">
        <f t="shared" si="22"/>
        <v>26618</v>
      </c>
      <c r="H188" s="1085">
        <f t="shared" si="23"/>
        <v>1699.1</v>
      </c>
      <c r="I188" s="874">
        <f t="shared" si="30"/>
        <v>0</v>
      </c>
      <c r="J188" s="1083">
        <v>0</v>
      </c>
      <c r="K188" s="1083">
        <v>0</v>
      </c>
      <c r="L188" s="876">
        <f t="shared" si="31"/>
        <v>0</v>
      </c>
      <c r="M188" s="877">
        <f t="shared" si="31"/>
        <v>0</v>
      </c>
      <c r="N188" s="877">
        <f t="shared" si="31"/>
        <v>0</v>
      </c>
      <c r="O188" s="1214" t="s">
        <v>1192</v>
      </c>
      <c r="P188" s="1214" t="s">
        <v>1253</v>
      </c>
      <c r="Q188" s="1065">
        <f t="shared" si="29"/>
        <v>0</v>
      </c>
      <c r="R188" s="1065">
        <f t="shared" si="29"/>
        <v>0</v>
      </c>
      <c r="S188" s="1065">
        <f t="shared" si="29"/>
        <v>0</v>
      </c>
      <c r="T188" s="1099" t="s">
        <v>923</v>
      </c>
      <c r="U188" s="1100" t="s">
        <v>925</v>
      </c>
      <c r="V188" s="1099">
        <v>414</v>
      </c>
      <c r="W188" s="1099" t="s">
        <v>922</v>
      </c>
      <c r="X188" s="1216"/>
    </row>
    <row r="189" spans="1:24" s="736" customFormat="1" ht="69.75">
      <c r="A189" s="1284" t="s">
        <v>856</v>
      </c>
      <c r="B189" s="900" t="s">
        <v>776</v>
      </c>
      <c r="C189" s="871">
        <f t="shared" si="17"/>
        <v>29452.3</v>
      </c>
      <c r="D189" s="972">
        <v>27685.1</v>
      </c>
      <c r="E189" s="972">
        <v>1767.2</v>
      </c>
      <c r="F189" s="874">
        <f t="shared" si="18"/>
        <v>29452.3</v>
      </c>
      <c r="G189" s="1085">
        <f t="shared" si="22"/>
        <v>27685.1</v>
      </c>
      <c r="H189" s="1085">
        <f t="shared" si="23"/>
        <v>1767.2</v>
      </c>
      <c r="I189" s="874">
        <f t="shared" si="30"/>
        <v>0</v>
      </c>
      <c r="J189" s="1083">
        <v>0</v>
      </c>
      <c r="K189" s="1083">
        <v>0</v>
      </c>
      <c r="L189" s="876">
        <f t="shared" si="31"/>
        <v>0</v>
      </c>
      <c r="M189" s="877">
        <f t="shared" si="31"/>
        <v>0</v>
      </c>
      <c r="N189" s="877">
        <f t="shared" si="31"/>
        <v>0</v>
      </c>
      <c r="O189" s="1214" t="s">
        <v>1192</v>
      </c>
      <c r="P189" s="1214" t="s">
        <v>1269</v>
      </c>
      <c r="Q189" s="1065">
        <f t="shared" si="29"/>
        <v>0</v>
      </c>
      <c r="R189" s="1065">
        <f t="shared" si="29"/>
        <v>0</v>
      </c>
      <c r="S189" s="1065">
        <f t="shared" si="29"/>
        <v>0</v>
      </c>
      <c r="T189" s="1099" t="s">
        <v>920</v>
      </c>
      <c r="U189" s="1100" t="s">
        <v>921</v>
      </c>
      <c r="V189" s="1099">
        <v>414</v>
      </c>
      <c r="W189" s="1099" t="s">
        <v>922</v>
      </c>
      <c r="X189" s="1216"/>
    </row>
    <row r="190" spans="1:24" s="736" customFormat="1" ht="78.75">
      <c r="A190" s="2442" t="s">
        <v>857</v>
      </c>
      <c r="B190" s="901" t="s">
        <v>638</v>
      </c>
      <c r="C190" s="871">
        <f t="shared" si="17"/>
        <v>15520</v>
      </c>
      <c r="D190" s="972">
        <v>0</v>
      </c>
      <c r="E190" s="972">
        <v>15520</v>
      </c>
      <c r="F190" s="874">
        <f t="shared" si="18"/>
        <v>15520</v>
      </c>
      <c r="G190" s="1085">
        <f t="shared" si="22"/>
        <v>0</v>
      </c>
      <c r="H190" s="1085">
        <f t="shared" si="23"/>
        <v>15520</v>
      </c>
      <c r="I190" s="874">
        <f t="shared" si="30"/>
        <v>0</v>
      </c>
      <c r="J190" s="1083">
        <v>0</v>
      </c>
      <c r="K190" s="1083">
        <v>0</v>
      </c>
      <c r="L190" s="876">
        <f t="shared" si="31"/>
        <v>0</v>
      </c>
      <c r="M190" s="877">
        <f t="shared" si="31"/>
        <v>0</v>
      </c>
      <c r="N190" s="877">
        <f t="shared" si="31"/>
        <v>0</v>
      </c>
      <c r="O190" s="1214" t="s">
        <v>1304</v>
      </c>
      <c r="P190" s="1214" t="s">
        <v>1270</v>
      </c>
      <c r="Q190" s="1065">
        <f t="shared" si="29"/>
        <v>0</v>
      </c>
      <c r="R190" s="1065">
        <f t="shared" si="29"/>
        <v>0</v>
      </c>
      <c r="S190" s="1065">
        <f t="shared" si="29"/>
        <v>0</v>
      </c>
      <c r="T190" s="1099" t="s">
        <v>928</v>
      </c>
      <c r="U190" s="1100" t="s">
        <v>929</v>
      </c>
      <c r="V190" s="1099">
        <v>414</v>
      </c>
      <c r="W190" s="1099">
        <v>14003</v>
      </c>
      <c r="X190" s="1216"/>
    </row>
    <row r="191" spans="1:24" s="736" customFormat="1" ht="67.5" customHeight="1">
      <c r="A191" s="2442"/>
      <c r="B191" s="990" t="s">
        <v>694</v>
      </c>
      <c r="C191" s="871">
        <f t="shared" si="17"/>
        <v>251200</v>
      </c>
      <c r="D191" s="972">
        <v>236128</v>
      </c>
      <c r="E191" s="972">
        <v>15072</v>
      </c>
      <c r="F191" s="874">
        <f t="shared" si="18"/>
        <v>251200</v>
      </c>
      <c r="G191" s="1085">
        <f t="shared" si="22"/>
        <v>236128</v>
      </c>
      <c r="H191" s="1085">
        <f t="shared" si="23"/>
        <v>15072</v>
      </c>
      <c r="I191" s="874">
        <f t="shared" si="30"/>
        <v>0</v>
      </c>
      <c r="J191" s="1083">
        <v>0</v>
      </c>
      <c r="K191" s="1083">
        <v>0</v>
      </c>
      <c r="L191" s="876">
        <f t="shared" si="31"/>
        <v>0</v>
      </c>
      <c r="M191" s="877">
        <f t="shared" si="31"/>
        <v>0</v>
      </c>
      <c r="N191" s="877">
        <f t="shared" si="31"/>
        <v>0</v>
      </c>
      <c r="O191" s="1214" t="s">
        <v>1192</v>
      </c>
      <c r="P191" s="1214" t="s">
        <v>1271</v>
      </c>
      <c r="Q191" s="1065">
        <f t="shared" si="29"/>
        <v>0</v>
      </c>
      <c r="R191" s="1065">
        <f t="shared" si="29"/>
        <v>0</v>
      </c>
      <c r="S191" s="1065">
        <f t="shared" si="29"/>
        <v>0</v>
      </c>
      <c r="T191" s="1099" t="s">
        <v>928</v>
      </c>
      <c r="U191" s="1100" t="s">
        <v>931</v>
      </c>
      <c r="V191" s="1099">
        <v>414</v>
      </c>
      <c r="W191" s="1099" t="s">
        <v>930</v>
      </c>
      <c r="X191" s="1216"/>
    </row>
    <row r="192" spans="1:24" s="736" customFormat="1" ht="87.75" customHeight="1">
      <c r="A192" s="2442" t="s">
        <v>858</v>
      </c>
      <c r="B192" s="900" t="s">
        <v>646</v>
      </c>
      <c r="C192" s="871">
        <f t="shared" si="17"/>
        <v>7500</v>
      </c>
      <c r="D192" s="1249">
        <v>0</v>
      </c>
      <c r="E192" s="1249">
        <v>7500</v>
      </c>
      <c r="F192" s="874">
        <f t="shared" si="18"/>
        <v>7500</v>
      </c>
      <c r="G192" s="1085">
        <f t="shared" si="22"/>
        <v>0</v>
      </c>
      <c r="H192" s="1085">
        <f t="shared" si="23"/>
        <v>7500</v>
      </c>
      <c r="I192" s="874">
        <f t="shared" si="30"/>
        <v>2235</v>
      </c>
      <c r="J192" s="1085">
        <v>0</v>
      </c>
      <c r="K192" s="1085">
        <v>2235</v>
      </c>
      <c r="L192" s="876">
        <f t="shared" si="31"/>
        <v>29.8</v>
      </c>
      <c r="M192" s="877">
        <f t="shared" si="31"/>
        <v>0</v>
      </c>
      <c r="N192" s="877">
        <f t="shared" si="31"/>
        <v>29.8</v>
      </c>
      <c r="O192" s="1214" t="s">
        <v>1272</v>
      </c>
      <c r="P192" s="1214" t="s">
        <v>1273</v>
      </c>
      <c r="Q192" s="1065">
        <f t="shared" si="29"/>
        <v>0</v>
      </c>
      <c r="R192" s="1065">
        <f t="shared" si="29"/>
        <v>0</v>
      </c>
      <c r="S192" s="1065">
        <f t="shared" si="29"/>
        <v>0</v>
      </c>
      <c r="T192" s="1099" t="s">
        <v>928</v>
      </c>
      <c r="U192" s="1100" t="s">
        <v>929</v>
      </c>
      <c r="V192" s="1099">
        <v>414</v>
      </c>
      <c r="W192" s="1099">
        <v>14036</v>
      </c>
      <c r="X192" s="1216"/>
    </row>
    <row r="193" spans="1:24" s="736" customFormat="1" ht="61.5" customHeight="1">
      <c r="A193" s="2442"/>
      <c r="B193" s="990" t="s">
        <v>695</v>
      </c>
      <c r="C193" s="871">
        <f t="shared" si="17"/>
        <v>142468</v>
      </c>
      <c r="D193" s="972">
        <v>133919.9</v>
      </c>
      <c r="E193" s="972">
        <v>8548.1</v>
      </c>
      <c r="F193" s="874">
        <f t="shared" si="18"/>
        <v>142468</v>
      </c>
      <c r="G193" s="1085">
        <f t="shared" si="22"/>
        <v>133919.9</v>
      </c>
      <c r="H193" s="1085">
        <f t="shared" si="23"/>
        <v>8548.1</v>
      </c>
      <c r="I193" s="874">
        <f t="shared" si="30"/>
        <v>0</v>
      </c>
      <c r="J193" s="1083">
        <v>0</v>
      </c>
      <c r="K193" s="1083">
        <v>0</v>
      </c>
      <c r="L193" s="876">
        <f t="shared" si="31"/>
        <v>0</v>
      </c>
      <c r="M193" s="877">
        <f t="shared" si="31"/>
        <v>0</v>
      </c>
      <c r="N193" s="877">
        <f t="shared" si="31"/>
        <v>0</v>
      </c>
      <c r="O193" s="1214" t="s">
        <v>1192</v>
      </c>
      <c r="P193" s="1214" t="s">
        <v>1274</v>
      </c>
      <c r="Q193" s="1065">
        <f t="shared" si="29"/>
        <v>0</v>
      </c>
      <c r="R193" s="1065">
        <f t="shared" si="29"/>
        <v>0</v>
      </c>
      <c r="S193" s="1065">
        <f t="shared" si="29"/>
        <v>0</v>
      </c>
      <c r="T193" s="1099" t="s">
        <v>928</v>
      </c>
      <c r="U193" s="1100" t="s">
        <v>1030</v>
      </c>
      <c r="V193" s="1099">
        <v>414</v>
      </c>
      <c r="W193" s="1099" t="s">
        <v>930</v>
      </c>
      <c r="X193" s="1216"/>
    </row>
    <row r="194" spans="1:24" s="736" customFormat="1" ht="93">
      <c r="A194" s="2442" t="s">
        <v>859</v>
      </c>
      <c r="B194" s="1078" t="s">
        <v>642</v>
      </c>
      <c r="C194" s="871">
        <f t="shared" si="17"/>
        <v>6308.4</v>
      </c>
      <c r="D194" s="972">
        <v>0</v>
      </c>
      <c r="E194" s="972">
        <v>6308.4</v>
      </c>
      <c r="F194" s="874">
        <f t="shared" si="18"/>
        <v>6308.4</v>
      </c>
      <c r="G194" s="1085">
        <f t="shared" si="22"/>
        <v>0</v>
      </c>
      <c r="H194" s="1085">
        <f t="shared" si="23"/>
        <v>6308.4</v>
      </c>
      <c r="I194" s="874">
        <f t="shared" si="30"/>
        <v>0</v>
      </c>
      <c r="J194" s="1083">
        <v>0</v>
      </c>
      <c r="K194" s="1083">
        <v>0</v>
      </c>
      <c r="L194" s="876">
        <f t="shared" si="31"/>
        <v>0</v>
      </c>
      <c r="M194" s="877">
        <f t="shared" si="31"/>
        <v>0</v>
      </c>
      <c r="N194" s="877">
        <f t="shared" si="31"/>
        <v>0</v>
      </c>
      <c r="O194" s="1214" t="s">
        <v>1305</v>
      </c>
      <c r="P194" s="1214" t="s">
        <v>1275</v>
      </c>
      <c r="Q194" s="1065">
        <f t="shared" si="29"/>
        <v>0</v>
      </c>
      <c r="R194" s="1065">
        <f t="shared" si="29"/>
        <v>0</v>
      </c>
      <c r="S194" s="1065">
        <f t="shared" si="29"/>
        <v>0</v>
      </c>
      <c r="T194" s="1099" t="s">
        <v>945</v>
      </c>
      <c r="U194" s="1100" t="s">
        <v>946</v>
      </c>
      <c r="V194" s="1099">
        <v>414</v>
      </c>
      <c r="W194" s="1099">
        <v>14001</v>
      </c>
      <c r="X194" s="1216"/>
    </row>
    <row r="195" spans="1:24" s="736" customFormat="1" ht="64.5" customHeight="1">
      <c r="A195" s="2442"/>
      <c r="B195" s="990" t="s">
        <v>698</v>
      </c>
      <c r="C195" s="871">
        <f t="shared" ref="C195:C222" si="32">SUM(D195:E195)</f>
        <v>96270.7</v>
      </c>
      <c r="D195" s="972">
        <v>90460.9</v>
      </c>
      <c r="E195" s="1258">
        <v>5809.75</v>
      </c>
      <c r="F195" s="874">
        <f t="shared" ref="F195:F222" si="33">SUM(G195:H195)</f>
        <v>96270.7</v>
      </c>
      <c r="G195" s="1085">
        <f t="shared" si="22"/>
        <v>90460.9</v>
      </c>
      <c r="H195" s="1085">
        <f t="shared" si="23"/>
        <v>5809.8</v>
      </c>
      <c r="I195" s="874">
        <f t="shared" si="30"/>
        <v>0</v>
      </c>
      <c r="J195" s="1083">
        <v>0</v>
      </c>
      <c r="K195" s="1083">
        <v>0</v>
      </c>
      <c r="L195" s="876">
        <f t="shared" si="31"/>
        <v>0</v>
      </c>
      <c r="M195" s="877">
        <f t="shared" si="31"/>
        <v>0</v>
      </c>
      <c r="N195" s="877">
        <f t="shared" si="31"/>
        <v>0</v>
      </c>
      <c r="O195" s="1214" t="s">
        <v>1192</v>
      </c>
      <c r="P195" s="1214" t="s">
        <v>1276</v>
      </c>
      <c r="Q195" s="1065">
        <f t="shared" si="29"/>
        <v>0</v>
      </c>
      <c r="R195" s="1065">
        <f t="shared" si="29"/>
        <v>0</v>
      </c>
      <c r="S195" s="1065">
        <f t="shared" si="29"/>
        <v>-0.1</v>
      </c>
      <c r="T195" s="1130" t="s">
        <v>936</v>
      </c>
      <c r="U195" s="1100" t="s">
        <v>940</v>
      </c>
      <c r="V195" s="1099">
        <v>414</v>
      </c>
      <c r="W195" s="1099" t="s">
        <v>939</v>
      </c>
      <c r="X195" s="1216"/>
    </row>
    <row r="196" spans="1:24" s="736" customFormat="1" ht="52.5" customHeight="1">
      <c r="A196" s="1284" t="s">
        <v>917</v>
      </c>
      <c r="B196" s="990" t="s">
        <v>697</v>
      </c>
      <c r="C196" s="871">
        <f t="shared" si="32"/>
        <v>150000</v>
      </c>
      <c r="D196" s="972">
        <v>140955</v>
      </c>
      <c r="E196" s="972">
        <v>9045</v>
      </c>
      <c r="F196" s="874">
        <f t="shared" si="33"/>
        <v>150000</v>
      </c>
      <c r="G196" s="1085">
        <f t="shared" si="22"/>
        <v>140955</v>
      </c>
      <c r="H196" s="1085">
        <f t="shared" si="23"/>
        <v>9045</v>
      </c>
      <c r="I196" s="874">
        <f t="shared" si="30"/>
        <v>26308</v>
      </c>
      <c r="J196" s="1083">
        <v>24721.3</v>
      </c>
      <c r="K196" s="1083">
        <v>1586.7</v>
      </c>
      <c r="L196" s="876">
        <f t="shared" si="31"/>
        <v>17.5</v>
      </c>
      <c r="M196" s="877">
        <f t="shared" si="31"/>
        <v>17.5</v>
      </c>
      <c r="N196" s="877">
        <f t="shared" si="31"/>
        <v>17.5</v>
      </c>
      <c r="O196" s="1214" t="s">
        <v>1306</v>
      </c>
      <c r="P196" s="1214" t="s">
        <v>1277</v>
      </c>
      <c r="Q196" s="1065">
        <f t="shared" ref="Q196:S201" si="34">C196-F196</f>
        <v>0</v>
      </c>
      <c r="R196" s="1065">
        <f t="shared" si="34"/>
        <v>0</v>
      </c>
      <c r="S196" s="1065">
        <f t="shared" si="34"/>
        <v>0</v>
      </c>
      <c r="T196" s="1130" t="s">
        <v>936</v>
      </c>
      <c r="U196" s="1100" t="s">
        <v>941</v>
      </c>
      <c r="V196" s="1099">
        <v>414</v>
      </c>
      <c r="W196" s="1099" t="s">
        <v>939</v>
      </c>
      <c r="X196" s="1216"/>
    </row>
    <row r="197" spans="1:24" ht="105">
      <c r="A197" s="1284" t="s">
        <v>918</v>
      </c>
      <c r="B197" s="990" t="s">
        <v>942</v>
      </c>
      <c r="C197" s="871">
        <f t="shared" si="32"/>
        <v>34500</v>
      </c>
      <c r="D197" s="972">
        <v>32419.7</v>
      </c>
      <c r="E197" s="972">
        <v>2080.3000000000002</v>
      </c>
      <c r="F197" s="874">
        <f t="shared" si="33"/>
        <v>34500</v>
      </c>
      <c r="G197" s="1085">
        <f t="shared" si="22"/>
        <v>32419.7</v>
      </c>
      <c r="H197" s="1085">
        <f t="shared" si="23"/>
        <v>2080.3000000000002</v>
      </c>
      <c r="I197" s="874">
        <f t="shared" si="30"/>
        <v>0</v>
      </c>
      <c r="J197" s="1083">
        <v>0</v>
      </c>
      <c r="K197" s="1083">
        <v>0</v>
      </c>
      <c r="L197" s="876">
        <f t="shared" si="31"/>
        <v>0</v>
      </c>
      <c r="M197" s="877">
        <f t="shared" si="31"/>
        <v>0</v>
      </c>
      <c r="N197" s="877">
        <f t="shared" si="31"/>
        <v>0</v>
      </c>
      <c r="O197" s="1214" t="s">
        <v>1192</v>
      </c>
      <c r="P197" s="1214" t="s">
        <v>1278</v>
      </c>
      <c r="Q197" s="1065">
        <f t="shared" si="34"/>
        <v>0</v>
      </c>
      <c r="R197" s="1065">
        <f t="shared" si="34"/>
        <v>0</v>
      </c>
      <c r="S197" s="1065">
        <f t="shared" si="34"/>
        <v>0</v>
      </c>
      <c r="T197" s="1099" t="s">
        <v>936</v>
      </c>
      <c r="U197" s="1100" t="s">
        <v>943</v>
      </c>
      <c r="V197" s="1099">
        <v>414</v>
      </c>
      <c r="W197" s="1099" t="s">
        <v>939</v>
      </c>
    </row>
    <row r="198" spans="1:24" ht="90.75" customHeight="1">
      <c r="A198" s="1284" t="s">
        <v>1028</v>
      </c>
      <c r="B198" s="901" t="s">
        <v>462</v>
      </c>
      <c r="C198" s="871">
        <f t="shared" si="32"/>
        <v>16153.6</v>
      </c>
      <c r="D198" s="972">
        <f>13560+1620.2</f>
        <v>15180.2</v>
      </c>
      <c r="E198" s="972">
        <f>869.4+104</f>
        <v>973.4</v>
      </c>
      <c r="F198" s="874">
        <f t="shared" si="33"/>
        <v>16153.6</v>
      </c>
      <c r="G198" s="1085">
        <f t="shared" si="22"/>
        <v>15180.2</v>
      </c>
      <c r="H198" s="1085">
        <f t="shared" si="23"/>
        <v>973.4</v>
      </c>
      <c r="I198" s="874">
        <f t="shared" si="30"/>
        <v>1014.3</v>
      </c>
      <c r="J198" s="1083">
        <v>953.1</v>
      </c>
      <c r="K198" s="1083">
        <v>61.2</v>
      </c>
      <c r="L198" s="876">
        <f t="shared" si="31"/>
        <v>6.3</v>
      </c>
      <c r="M198" s="877">
        <f t="shared" si="31"/>
        <v>6.3</v>
      </c>
      <c r="N198" s="877">
        <f t="shared" si="31"/>
        <v>6.3</v>
      </c>
      <c r="O198" s="1214" t="s">
        <v>1192</v>
      </c>
      <c r="P198" s="1214" t="s">
        <v>1279</v>
      </c>
      <c r="Q198" s="1065">
        <f t="shared" si="34"/>
        <v>0</v>
      </c>
      <c r="R198" s="1065">
        <f t="shared" si="34"/>
        <v>0</v>
      </c>
      <c r="S198" s="1065">
        <f t="shared" si="34"/>
        <v>0</v>
      </c>
      <c r="T198" s="1099" t="s">
        <v>936</v>
      </c>
      <c r="U198" s="1100" t="s">
        <v>938</v>
      </c>
      <c r="V198" s="1099">
        <v>414</v>
      </c>
      <c r="W198" s="1099" t="s">
        <v>939</v>
      </c>
    </row>
    <row r="199" spans="1:24" s="515" customFormat="1" ht="60.75" customHeight="1">
      <c r="A199" s="2442" t="s">
        <v>1029</v>
      </c>
      <c r="B199" s="900" t="s">
        <v>700</v>
      </c>
      <c r="C199" s="871">
        <f t="shared" si="32"/>
        <v>18000</v>
      </c>
      <c r="D199" s="972">
        <v>0</v>
      </c>
      <c r="E199" s="972">
        <v>18000</v>
      </c>
      <c r="F199" s="874">
        <f t="shared" si="33"/>
        <v>18000</v>
      </c>
      <c r="G199" s="1085">
        <f t="shared" si="22"/>
        <v>0</v>
      </c>
      <c r="H199" s="1085">
        <f t="shared" si="23"/>
        <v>18000</v>
      </c>
      <c r="I199" s="874">
        <f t="shared" si="30"/>
        <v>0</v>
      </c>
      <c r="J199" s="1083">
        <v>0</v>
      </c>
      <c r="K199" s="1083">
        <v>0</v>
      </c>
      <c r="L199" s="876">
        <f t="shared" si="31"/>
        <v>0</v>
      </c>
      <c r="M199" s="877">
        <f t="shared" si="31"/>
        <v>0</v>
      </c>
      <c r="N199" s="877">
        <f t="shared" si="31"/>
        <v>0</v>
      </c>
      <c r="O199" s="1214" t="s">
        <v>1307</v>
      </c>
      <c r="P199" s="1214" t="s">
        <v>1280</v>
      </c>
      <c r="Q199" s="1065">
        <f t="shared" si="34"/>
        <v>0</v>
      </c>
      <c r="R199" s="1065">
        <f t="shared" si="34"/>
        <v>0</v>
      </c>
      <c r="S199" s="1065">
        <f t="shared" si="34"/>
        <v>0</v>
      </c>
      <c r="T199" s="1099" t="s">
        <v>949</v>
      </c>
      <c r="U199" s="1100" t="s">
        <v>950</v>
      </c>
      <c r="V199" s="1099">
        <v>414</v>
      </c>
      <c r="W199" s="1099">
        <v>14052</v>
      </c>
      <c r="X199" s="1220"/>
    </row>
    <row r="200" spans="1:24" s="515" customFormat="1" ht="52.5">
      <c r="A200" s="2442"/>
      <c r="B200" s="900" t="s">
        <v>699</v>
      </c>
      <c r="C200" s="871">
        <f t="shared" si="32"/>
        <v>151300</v>
      </c>
      <c r="D200" s="972">
        <v>142200</v>
      </c>
      <c r="E200" s="972">
        <v>9100</v>
      </c>
      <c r="F200" s="874">
        <f t="shared" si="33"/>
        <v>151300</v>
      </c>
      <c r="G200" s="1085">
        <f t="shared" si="22"/>
        <v>142200</v>
      </c>
      <c r="H200" s="1085">
        <f t="shared" si="23"/>
        <v>9100</v>
      </c>
      <c r="I200" s="874">
        <f t="shared" si="30"/>
        <v>0</v>
      </c>
      <c r="J200" s="1083">
        <v>0</v>
      </c>
      <c r="K200" s="1083">
        <v>0</v>
      </c>
      <c r="L200" s="876">
        <f t="shared" si="31"/>
        <v>0</v>
      </c>
      <c r="M200" s="877">
        <f t="shared" si="31"/>
        <v>0</v>
      </c>
      <c r="N200" s="877">
        <f t="shared" si="31"/>
        <v>0</v>
      </c>
      <c r="O200" s="1214" t="s">
        <v>1192</v>
      </c>
      <c r="P200" s="1214" t="s">
        <v>1219</v>
      </c>
      <c r="Q200" s="1065">
        <f t="shared" si="34"/>
        <v>0</v>
      </c>
      <c r="R200" s="1065">
        <f t="shared" si="34"/>
        <v>0</v>
      </c>
      <c r="S200" s="1065">
        <f t="shared" si="34"/>
        <v>0</v>
      </c>
      <c r="T200" s="1099" t="s">
        <v>949</v>
      </c>
      <c r="U200" s="1100" t="s">
        <v>952</v>
      </c>
      <c r="V200" s="1099">
        <v>414</v>
      </c>
      <c r="W200" s="1099" t="s">
        <v>953</v>
      </c>
      <c r="X200" s="1220"/>
    </row>
    <row r="201" spans="1:24" ht="67.5" customHeight="1">
      <c r="A201" s="1284" t="s">
        <v>1324</v>
      </c>
      <c r="B201" s="900" t="s">
        <v>461</v>
      </c>
      <c r="C201" s="871">
        <f t="shared" si="32"/>
        <v>29999.7</v>
      </c>
      <c r="D201" s="972">
        <f>25201.1+2998.27</f>
        <v>28199.4</v>
      </c>
      <c r="E201" s="972">
        <f>1608.9+191.41</f>
        <v>1800.3</v>
      </c>
      <c r="F201" s="874">
        <f t="shared" si="33"/>
        <v>29999.7</v>
      </c>
      <c r="G201" s="1085">
        <f t="shared" si="22"/>
        <v>28199.4</v>
      </c>
      <c r="H201" s="1085">
        <f t="shared" si="23"/>
        <v>1800.3</v>
      </c>
      <c r="I201" s="874">
        <f t="shared" si="30"/>
        <v>442.8</v>
      </c>
      <c r="J201" s="1083">
        <v>416.2</v>
      </c>
      <c r="K201" s="1083">
        <v>26.6</v>
      </c>
      <c r="L201" s="876">
        <f t="shared" si="31"/>
        <v>1.5</v>
      </c>
      <c r="M201" s="877">
        <f t="shared" si="31"/>
        <v>1.5</v>
      </c>
      <c r="N201" s="877">
        <f t="shared" si="31"/>
        <v>1.5</v>
      </c>
      <c r="O201" s="1213" t="s">
        <v>1192</v>
      </c>
      <c r="P201" s="1214" t="s">
        <v>1281</v>
      </c>
      <c r="Q201" s="1065">
        <f t="shared" si="34"/>
        <v>0</v>
      </c>
      <c r="R201" s="1065">
        <f t="shared" si="34"/>
        <v>0</v>
      </c>
      <c r="S201" s="1065">
        <f t="shared" si="34"/>
        <v>0</v>
      </c>
      <c r="T201" s="1099" t="s">
        <v>954</v>
      </c>
      <c r="U201" s="1100" t="s">
        <v>957</v>
      </c>
      <c r="V201" s="1099">
        <v>414</v>
      </c>
      <c r="W201" s="1099" t="s">
        <v>958</v>
      </c>
    </row>
    <row r="202" spans="1:24" s="914" customFormat="1" ht="69.75" customHeight="1">
      <c r="A202" s="2401" t="s">
        <v>456</v>
      </c>
      <c r="B202" s="2401"/>
      <c r="C202" s="917">
        <f t="shared" si="32"/>
        <v>1200166.3999999999</v>
      </c>
      <c r="D202" s="917">
        <f>SUM(D203,D222)</f>
        <v>909500</v>
      </c>
      <c r="E202" s="917">
        <f>SUM(E203,E222)</f>
        <v>290666.40000000002</v>
      </c>
      <c r="F202" s="917">
        <f t="shared" si="33"/>
        <v>1198274.1000000001</v>
      </c>
      <c r="G202" s="917">
        <f>SUM(G203,G222)</f>
        <v>907801.2</v>
      </c>
      <c r="H202" s="917">
        <f>SUM(H203,H222)</f>
        <v>290472.90000000002</v>
      </c>
      <c r="I202" s="917">
        <f t="shared" si="30"/>
        <v>188516.5</v>
      </c>
      <c r="J202" s="917">
        <f>SUM(J203,J222)</f>
        <v>160953.1</v>
      </c>
      <c r="K202" s="917">
        <f>SUM(K203,K222)</f>
        <v>27563.4</v>
      </c>
      <c r="L202" s="918">
        <f t="shared" si="31"/>
        <v>15.7</v>
      </c>
      <c r="M202" s="920">
        <f t="shared" si="31"/>
        <v>17.7</v>
      </c>
      <c r="N202" s="920">
        <f t="shared" si="31"/>
        <v>9.5</v>
      </c>
      <c r="O202" s="1282"/>
      <c r="P202" s="1281" t="s">
        <v>1103</v>
      </c>
      <c r="Q202" s="1065">
        <f t="shared" ref="Q202:S244" si="35">C202-F202</f>
        <v>1892.3</v>
      </c>
      <c r="R202" s="1065">
        <f>D202-G202</f>
        <v>1698.8</v>
      </c>
      <c r="S202" s="1065">
        <f>E202-H202</f>
        <v>193.5</v>
      </c>
      <c r="T202" s="1099"/>
      <c r="U202" s="1100"/>
      <c r="V202" s="1099"/>
      <c r="W202" s="1099"/>
      <c r="X202" s="1216"/>
    </row>
    <row r="203" spans="1:24" s="914" customFormat="1" ht="120.75" customHeight="1">
      <c r="A203" s="1280" t="s">
        <v>6</v>
      </c>
      <c r="B203" s="925" t="s">
        <v>439</v>
      </c>
      <c r="C203" s="926">
        <f t="shared" si="32"/>
        <v>117500</v>
      </c>
      <c r="D203" s="926">
        <f>SUM(D204,D216,D218,D220)</f>
        <v>0</v>
      </c>
      <c r="E203" s="926">
        <f>SUM(E204,E216,E218,E220)</f>
        <v>117500</v>
      </c>
      <c r="F203" s="926">
        <f>SUM(G203:H203)</f>
        <v>117500</v>
      </c>
      <c r="G203" s="926">
        <f>SUM(G204,G216,G218,G220)</f>
        <v>0</v>
      </c>
      <c r="H203" s="926">
        <f>SUM(H204,H216,H218,H220)</f>
        <v>117500</v>
      </c>
      <c r="I203" s="926">
        <f t="shared" si="30"/>
        <v>0</v>
      </c>
      <c r="J203" s="926">
        <f>SUM(J204,J216,J218,J220)</f>
        <v>0</v>
      </c>
      <c r="K203" s="926">
        <f>SUM(K204,K216,K218,K220)</f>
        <v>0</v>
      </c>
      <c r="L203" s="927">
        <f t="shared" si="31"/>
        <v>0</v>
      </c>
      <c r="M203" s="928">
        <f t="shared" si="31"/>
        <v>0</v>
      </c>
      <c r="N203" s="928">
        <f t="shared" si="31"/>
        <v>0</v>
      </c>
      <c r="O203" s="1282"/>
      <c r="P203" s="1281" t="s">
        <v>1104</v>
      </c>
      <c r="Q203" s="1065">
        <f t="shared" si="35"/>
        <v>0</v>
      </c>
      <c r="R203" s="1065">
        <f>D203-G203</f>
        <v>0</v>
      </c>
      <c r="S203" s="1065">
        <f>E203-H203</f>
        <v>0</v>
      </c>
      <c r="T203" s="1099"/>
      <c r="U203" s="1100"/>
      <c r="V203" s="1099"/>
      <c r="W203" s="1099"/>
      <c r="X203" s="1216"/>
    </row>
    <row r="204" spans="1:24">
      <c r="A204" s="1244"/>
      <c r="B204" s="898" t="s">
        <v>283</v>
      </c>
      <c r="C204" s="874">
        <f t="shared" si="32"/>
        <v>112656</v>
      </c>
      <c r="D204" s="875">
        <f>SUM(D205:D215)</f>
        <v>0</v>
      </c>
      <c r="E204" s="875">
        <f>SUM(E205:E215)</f>
        <v>112656</v>
      </c>
      <c r="F204" s="874">
        <f>SUM(G204:H204)</f>
        <v>112656</v>
      </c>
      <c r="G204" s="875">
        <f>SUM(G205:G215)</f>
        <v>0</v>
      </c>
      <c r="H204" s="875">
        <f>SUM(H205:H215)</f>
        <v>112656</v>
      </c>
      <c r="I204" s="874">
        <f t="shared" si="30"/>
        <v>0</v>
      </c>
      <c r="J204" s="875">
        <f>SUM(J205:J215)</f>
        <v>0</v>
      </c>
      <c r="K204" s="875">
        <f>SUM(K205:K215)</f>
        <v>0</v>
      </c>
      <c r="L204" s="876">
        <f t="shared" si="31"/>
        <v>0</v>
      </c>
      <c r="M204" s="877">
        <f t="shared" si="31"/>
        <v>0</v>
      </c>
      <c r="N204" s="877">
        <f t="shared" si="31"/>
        <v>0</v>
      </c>
      <c r="O204" s="1282"/>
      <c r="P204" s="1281" t="s">
        <v>1100</v>
      </c>
      <c r="Q204" s="1065">
        <f t="shared" si="35"/>
        <v>0</v>
      </c>
      <c r="R204" s="1065">
        <f t="shared" si="35"/>
        <v>0</v>
      </c>
      <c r="S204" s="1065">
        <f t="shared" si="35"/>
        <v>0</v>
      </c>
    </row>
    <row r="205" spans="1:24" ht="73.5" customHeight="1">
      <c r="A205" s="1244" t="s">
        <v>538</v>
      </c>
      <c r="B205" s="1246" t="s">
        <v>1080</v>
      </c>
      <c r="C205" s="874">
        <f t="shared" si="32"/>
        <v>19450</v>
      </c>
      <c r="D205" s="1085">
        <v>0</v>
      </c>
      <c r="E205" s="1085">
        <v>19450</v>
      </c>
      <c r="F205" s="874">
        <f t="shared" si="33"/>
        <v>19450</v>
      </c>
      <c r="G205" s="1085">
        <v>0</v>
      </c>
      <c r="H205" s="1085">
        <v>19450</v>
      </c>
      <c r="I205" s="1083">
        <f t="shared" si="30"/>
        <v>0</v>
      </c>
      <c r="J205" s="1083">
        <v>0</v>
      </c>
      <c r="K205" s="1083">
        <v>0</v>
      </c>
      <c r="L205" s="877">
        <f t="shared" si="31"/>
        <v>0</v>
      </c>
      <c r="M205" s="877">
        <f t="shared" si="31"/>
        <v>0</v>
      </c>
      <c r="N205" s="877">
        <f t="shared" si="31"/>
        <v>0</v>
      </c>
      <c r="O205" s="1282"/>
      <c r="P205" s="1281" t="s">
        <v>1105</v>
      </c>
      <c r="Q205" s="1065"/>
      <c r="R205" s="1065"/>
      <c r="S205" s="1065"/>
      <c r="T205" s="1099" t="s">
        <v>999</v>
      </c>
      <c r="U205" s="1100">
        <v>1110243180</v>
      </c>
      <c r="V205" s="1099">
        <v>522</v>
      </c>
      <c r="W205" s="1099" t="s">
        <v>1019</v>
      </c>
    </row>
    <row r="206" spans="1:24" ht="78.75">
      <c r="A206" s="1244" t="s">
        <v>539</v>
      </c>
      <c r="B206" s="1246" t="s">
        <v>1081</v>
      </c>
      <c r="C206" s="874">
        <f t="shared" si="32"/>
        <v>3235</v>
      </c>
      <c r="D206" s="1085">
        <v>0</v>
      </c>
      <c r="E206" s="1085">
        <v>3235</v>
      </c>
      <c r="F206" s="874">
        <f t="shared" si="33"/>
        <v>3235</v>
      </c>
      <c r="G206" s="1085">
        <v>0</v>
      </c>
      <c r="H206" s="1085">
        <v>3235</v>
      </c>
      <c r="I206" s="1083">
        <f t="shared" si="30"/>
        <v>0</v>
      </c>
      <c r="J206" s="1083">
        <v>0</v>
      </c>
      <c r="K206" s="1083">
        <v>0</v>
      </c>
      <c r="L206" s="877">
        <f t="shared" si="31"/>
        <v>0</v>
      </c>
      <c r="M206" s="877">
        <f t="shared" si="31"/>
        <v>0</v>
      </c>
      <c r="N206" s="877">
        <f t="shared" si="31"/>
        <v>0</v>
      </c>
      <c r="O206" s="1282"/>
      <c r="Q206" s="1065"/>
      <c r="R206" s="1065"/>
      <c r="S206" s="1065"/>
      <c r="T206" s="1099" t="s">
        <v>999</v>
      </c>
      <c r="U206" s="1100">
        <v>1110243180</v>
      </c>
      <c r="V206" s="1099">
        <v>522</v>
      </c>
      <c r="W206" s="1099" t="s">
        <v>1019</v>
      </c>
    </row>
    <row r="207" spans="1:24" ht="61.5" customHeight="1">
      <c r="A207" s="1244" t="s">
        <v>19</v>
      </c>
      <c r="B207" s="1246" t="s">
        <v>1082</v>
      </c>
      <c r="C207" s="874">
        <f t="shared" si="32"/>
        <v>4116</v>
      </c>
      <c r="D207" s="1085">
        <v>0</v>
      </c>
      <c r="E207" s="1085">
        <v>4116</v>
      </c>
      <c r="F207" s="874">
        <f t="shared" si="33"/>
        <v>4116</v>
      </c>
      <c r="G207" s="1085">
        <v>0</v>
      </c>
      <c r="H207" s="1085">
        <v>4116</v>
      </c>
      <c r="I207" s="1083">
        <f t="shared" si="30"/>
        <v>0</v>
      </c>
      <c r="J207" s="1083">
        <v>0</v>
      </c>
      <c r="K207" s="1083">
        <v>0</v>
      </c>
      <c r="L207" s="877">
        <f t="shared" si="31"/>
        <v>0</v>
      </c>
      <c r="M207" s="877">
        <f t="shared" si="31"/>
        <v>0</v>
      </c>
      <c r="N207" s="877">
        <f t="shared" si="31"/>
        <v>0</v>
      </c>
      <c r="O207" s="1282"/>
      <c r="Q207" s="1065"/>
      <c r="R207" s="1065"/>
      <c r="S207" s="1065"/>
      <c r="T207" s="1099" t="s">
        <v>999</v>
      </c>
      <c r="U207" s="1100">
        <v>1110243180</v>
      </c>
      <c r="V207" s="1099">
        <v>522</v>
      </c>
      <c r="W207" s="1099" t="s">
        <v>1019</v>
      </c>
    </row>
    <row r="208" spans="1:24" ht="87.75" customHeight="1">
      <c r="A208" s="1244" t="s">
        <v>20</v>
      </c>
      <c r="B208" s="1246" t="s">
        <v>1083</v>
      </c>
      <c r="C208" s="874">
        <f t="shared" si="32"/>
        <v>10687</v>
      </c>
      <c r="D208" s="1085">
        <v>0</v>
      </c>
      <c r="E208" s="1085">
        <v>10687</v>
      </c>
      <c r="F208" s="874">
        <f t="shared" si="33"/>
        <v>10687</v>
      </c>
      <c r="G208" s="1085">
        <v>0</v>
      </c>
      <c r="H208" s="1085">
        <v>10687</v>
      </c>
      <c r="I208" s="1083">
        <f t="shared" si="30"/>
        <v>0</v>
      </c>
      <c r="J208" s="1083">
        <v>0</v>
      </c>
      <c r="K208" s="1083">
        <v>0</v>
      </c>
      <c r="L208" s="877">
        <f t="shared" si="31"/>
        <v>0</v>
      </c>
      <c r="M208" s="877">
        <f t="shared" si="31"/>
        <v>0</v>
      </c>
      <c r="N208" s="877">
        <f t="shared" si="31"/>
        <v>0</v>
      </c>
      <c r="O208" s="1282"/>
      <c r="Q208" s="1065"/>
      <c r="R208" s="1065"/>
      <c r="S208" s="1065"/>
      <c r="T208" s="1099" t="s">
        <v>999</v>
      </c>
      <c r="U208" s="1100">
        <v>1110243180</v>
      </c>
      <c r="V208" s="1099">
        <v>522</v>
      </c>
      <c r="W208" s="1099" t="s">
        <v>1019</v>
      </c>
    </row>
    <row r="209" spans="1:24" ht="95.25" customHeight="1">
      <c r="A209" s="1244" t="s">
        <v>467</v>
      </c>
      <c r="B209" s="1246" t="s">
        <v>1084</v>
      </c>
      <c r="C209" s="874">
        <f t="shared" si="32"/>
        <v>3822</v>
      </c>
      <c r="D209" s="1085">
        <v>0</v>
      </c>
      <c r="E209" s="1085">
        <v>3822</v>
      </c>
      <c r="F209" s="874">
        <f t="shared" si="33"/>
        <v>3822</v>
      </c>
      <c r="G209" s="1085">
        <v>0</v>
      </c>
      <c r="H209" s="1085">
        <v>3822</v>
      </c>
      <c r="I209" s="1083">
        <f t="shared" si="30"/>
        <v>0</v>
      </c>
      <c r="J209" s="1083">
        <v>0</v>
      </c>
      <c r="K209" s="1083">
        <v>0</v>
      </c>
      <c r="L209" s="877">
        <f t="shared" si="31"/>
        <v>0</v>
      </c>
      <c r="M209" s="877">
        <f t="shared" si="31"/>
        <v>0</v>
      </c>
      <c r="N209" s="877">
        <f t="shared" si="31"/>
        <v>0</v>
      </c>
      <c r="O209" s="1282"/>
      <c r="Q209" s="1065"/>
      <c r="R209" s="1065"/>
      <c r="S209" s="1065"/>
      <c r="T209" s="1099" t="s">
        <v>999</v>
      </c>
      <c r="U209" s="1100">
        <v>1110243180</v>
      </c>
      <c r="V209" s="1099">
        <v>522</v>
      </c>
      <c r="W209" s="1099" t="s">
        <v>1019</v>
      </c>
    </row>
    <row r="210" spans="1:24" ht="78.75">
      <c r="A210" s="1244" t="s">
        <v>468</v>
      </c>
      <c r="B210" s="1246" t="s">
        <v>1085</v>
      </c>
      <c r="C210" s="874">
        <f t="shared" si="32"/>
        <v>1176</v>
      </c>
      <c r="D210" s="1085">
        <v>0</v>
      </c>
      <c r="E210" s="1085">
        <v>1176</v>
      </c>
      <c r="F210" s="874">
        <f t="shared" si="33"/>
        <v>1176</v>
      </c>
      <c r="G210" s="1085">
        <v>0</v>
      </c>
      <c r="H210" s="1085">
        <v>1176</v>
      </c>
      <c r="I210" s="1083">
        <f t="shared" si="30"/>
        <v>0</v>
      </c>
      <c r="J210" s="1083">
        <v>0</v>
      </c>
      <c r="K210" s="1083">
        <v>0</v>
      </c>
      <c r="L210" s="877">
        <f t="shared" si="31"/>
        <v>0</v>
      </c>
      <c r="M210" s="877">
        <f t="shared" si="31"/>
        <v>0</v>
      </c>
      <c r="N210" s="877">
        <f t="shared" si="31"/>
        <v>0</v>
      </c>
      <c r="O210" s="1282"/>
      <c r="Q210" s="1065"/>
      <c r="R210" s="1065"/>
      <c r="S210" s="1065"/>
      <c r="T210" s="1099" t="s">
        <v>999</v>
      </c>
      <c r="U210" s="1100">
        <v>1110243180</v>
      </c>
      <c r="V210" s="1099">
        <v>522</v>
      </c>
      <c r="W210" s="1099" t="s">
        <v>1019</v>
      </c>
    </row>
    <row r="211" spans="1:24" ht="89.25" customHeight="1">
      <c r="A211" s="1244" t="s">
        <v>685</v>
      </c>
      <c r="B211" s="1246" t="s">
        <v>1086</v>
      </c>
      <c r="C211" s="874">
        <f t="shared" si="32"/>
        <v>17670</v>
      </c>
      <c r="D211" s="1085">
        <v>0</v>
      </c>
      <c r="E211" s="1085">
        <v>17670</v>
      </c>
      <c r="F211" s="874">
        <f t="shared" si="33"/>
        <v>17670</v>
      </c>
      <c r="G211" s="1085">
        <v>0</v>
      </c>
      <c r="H211" s="1085">
        <v>17670</v>
      </c>
      <c r="I211" s="1083">
        <f t="shared" si="30"/>
        <v>0</v>
      </c>
      <c r="J211" s="1083">
        <v>0</v>
      </c>
      <c r="K211" s="1083">
        <v>0</v>
      </c>
      <c r="L211" s="877">
        <f t="shared" si="31"/>
        <v>0</v>
      </c>
      <c r="M211" s="877">
        <f t="shared" si="31"/>
        <v>0</v>
      </c>
      <c r="N211" s="877">
        <f t="shared" si="31"/>
        <v>0</v>
      </c>
      <c r="O211" s="1282"/>
      <c r="Q211" s="1065"/>
      <c r="R211" s="1065"/>
      <c r="S211" s="1065"/>
      <c r="T211" s="1099" t="s">
        <v>999</v>
      </c>
      <c r="U211" s="1100">
        <v>1110243180</v>
      </c>
      <c r="V211" s="1099">
        <v>522</v>
      </c>
      <c r="W211" s="1099" t="s">
        <v>1019</v>
      </c>
    </row>
    <row r="212" spans="1:24" ht="115.5" customHeight="1">
      <c r="A212" s="1244" t="s">
        <v>687</v>
      </c>
      <c r="B212" s="1246" t="s">
        <v>1087</v>
      </c>
      <c r="C212" s="874">
        <f t="shared" si="32"/>
        <v>20000</v>
      </c>
      <c r="D212" s="1085">
        <v>0</v>
      </c>
      <c r="E212" s="1085">
        <v>20000</v>
      </c>
      <c r="F212" s="874">
        <f t="shared" si="33"/>
        <v>20000</v>
      </c>
      <c r="G212" s="1085">
        <v>0</v>
      </c>
      <c r="H212" s="1085">
        <v>20000</v>
      </c>
      <c r="I212" s="1083">
        <f t="shared" si="30"/>
        <v>0</v>
      </c>
      <c r="J212" s="1083">
        <v>0</v>
      </c>
      <c r="K212" s="1083">
        <v>0</v>
      </c>
      <c r="L212" s="877">
        <f t="shared" si="31"/>
        <v>0</v>
      </c>
      <c r="M212" s="877">
        <f t="shared" si="31"/>
        <v>0</v>
      </c>
      <c r="N212" s="877">
        <f t="shared" si="31"/>
        <v>0</v>
      </c>
      <c r="O212" s="1282"/>
      <c r="Q212" s="1065"/>
      <c r="R212" s="1065"/>
      <c r="S212" s="1065"/>
      <c r="T212" s="1099" t="s">
        <v>999</v>
      </c>
      <c r="U212" s="1100">
        <v>1110243180</v>
      </c>
      <c r="V212" s="1099">
        <v>522</v>
      </c>
      <c r="W212" s="1099" t="s">
        <v>1019</v>
      </c>
    </row>
    <row r="213" spans="1:24" ht="89.25" customHeight="1">
      <c r="A213" s="1244" t="s">
        <v>686</v>
      </c>
      <c r="B213" s="1246" t="s">
        <v>1089</v>
      </c>
      <c r="C213" s="874">
        <f t="shared" si="32"/>
        <v>9000</v>
      </c>
      <c r="D213" s="1085">
        <v>0</v>
      </c>
      <c r="E213" s="1085">
        <v>9000</v>
      </c>
      <c r="F213" s="874">
        <f t="shared" si="33"/>
        <v>9000</v>
      </c>
      <c r="G213" s="1085">
        <v>0</v>
      </c>
      <c r="H213" s="1085">
        <v>9000</v>
      </c>
      <c r="I213" s="1083">
        <f t="shared" si="30"/>
        <v>0</v>
      </c>
      <c r="J213" s="1083">
        <v>0</v>
      </c>
      <c r="K213" s="1083">
        <v>0</v>
      </c>
      <c r="L213" s="877">
        <f t="shared" si="31"/>
        <v>0</v>
      </c>
      <c r="M213" s="877">
        <f t="shared" si="31"/>
        <v>0</v>
      </c>
      <c r="N213" s="877">
        <f t="shared" si="31"/>
        <v>0</v>
      </c>
      <c r="O213" s="1282"/>
      <c r="Q213" s="1065"/>
      <c r="R213" s="1065"/>
      <c r="S213" s="1065"/>
      <c r="T213" s="1099" t="s">
        <v>999</v>
      </c>
      <c r="U213" s="1100">
        <v>1110243180</v>
      </c>
      <c r="V213" s="1099">
        <v>522</v>
      </c>
      <c r="W213" s="1099" t="s">
        <v>1019</v>
      </c>
    </row>
    <row r="214" spans="1:24" ht="87.75" customHeight="1">
      <c r="A214" s="1244" t="s">
        <v>688</v>
      </c>
      <c r="B214" s="1246" t="s">
        <v>1090</v>
      </c>
      <c r="C214" s="874">
        <f t="shared" si="32"/>
        <v>3500</v>
      </c>
      <c r="D214" s="1085">
        <v>0</v>
      </c>
      <c r="E214" s="1085">
        <v>3500</v>
      </c>
      <c r="F214" s="874">
        <f t="shared" si="33"/>
        <v>3500</v>
      </c>
      <c r="G214" s="1085">
        <v>0</v>
      </c>
      <c r="H214" s="1085">
        <v>3500</v>
      </c>
      <c r="I214" s="1083">
        <f t="shared" si="30"/>
        <v>0</v>
      </c>
      <c r="J214" s="1083">
        <v>0</v>
      </c>
      <c r="K214" s="1083">
        <v>0</v>
      </c>
      <c r="L214" s="877">
        <f t="shared" si="31"/>
        <v>0</v>
      </c>
      <c r="M214" s="877">
        <f t="shared" si="31"/>
        <v>0</v>
      </c>
      <c r="N214" s="877">
        <f t="shared" si="31"/>
        <v>0</v>
      </c>
      <c r="O214" s="1282"/>
      <c r="Q214" s="1065"/>
      <c r="R214" s="1065"/>
      <c r="S214" s="1065"/>
      <c r="T214" s="1099" t="s">
        <v>999</v>
      </c>
      <c r="U214" s="1100">
        <v>1110243180</v>
      </c>
      <c r="V214" s="1099">
        <v>522</v>
      </c>
      <c r="W214" s="1099" t="s">
        <v>1019</v>
      </c>
    </row>
    <row r="215" spans="1:24" ht="81.75" customHeight="1">
      <c r="A215" s="1244" t="s">
        <v>98</v>
      </c>
      <c r="B215" s="1246" t="s">
        <v>1090</v>
      </c>
      <c r="C215" s="874">
        <f t="shared" si="32"/>
        <v>20000</v>
      </c>
      <c r="D215" s="1085">
        <v>0</v>
      </c>
      <c r="E215" s="1085">
        <v>20000</v>
      </c>
      <c r="F215" s="874">
        <f t="shared" si="33"/>
        <v>20000</v>
      </c>
      <c r="G215" s="1085">
        <v>0</v>
      </c>
      <c r="H215" s="1085">
        <v>20000</v>
      </c>
      <c r="I215" s="1083">
        <f t="shared" si="30"/>
        <v>0</v>
      </c>
      <c r="J215" s="1083">
        <v>0</v>
      </c>
      <c r="K215" s="1083">
        <v>0</v>
      </c>
      <c r="L215" s="877">
        <f t="shared" si="31"/>
        <v>0</v>
      </c>
      <c r="M215" s="877">
        <f t="shared" si="31"/>
        <v>0</v>
      </c>
      <c r="N215" s="877">
        <f t="shared" si="31"/>
        <v>0</v>
      </c>
      <c r="O215" s="1282"/>
      <c r="Q215" s="1065"/>
      <c r="R215" s="1065"/>
      <c r="S215" s="1065"/>
      <c r="T215" s="1099" t="s">
        <v>999</v>
      </c>
      <c r="U215" s="1100">
        <v>1110243180</v>
      </c>
      <c r="V215" s="1099">
        <v>522</v>
      </c>
      <c r="W215" s="1099" t="s">
        <v>1019</v>
      </c>
    </row>
    <row r="216" spans="1:24">
      <c r="A216" s="1244"/>
      <c r="B216" s="898" t="s">
        <v>457</v>
      </c>
      <c r="C216" s="874">
        <f t="shared" si="32"/>
        <v>1325</v>
      </c>
      <c r="D216" s="875">
        <f>SUM(D217)</f>
        <v>0</v>
      </c>
      <c r="E216" s="875">
        <f>SUM(E217)</f>
        <v>1325</v>
      </c>
      <c r="F216" s="874">
        <f t="shared" si="33"/>
        <v>1325</v>
      </c>
      <c r="G216" s="875">
        <f>SUM(G217)</f>
        <v>0</v>
      </c>
      <c r="H216" s="875">
        <f>SUM(H217)</f>
        <v>1325</v>
      </c>
      <c r="I216" s="874">
        <f t="shared" si="30"/>
        <v>0</v>
      </c>
      <c r="J216" s="875">
        <f>SUM(J217)</f>
        <v>0</v>
      </c>
      <c r="K216" s="875">
        <f>SUM(K217)</f>
        <v>0</v>
      </c>
      <c r="L216" s="882">
        <f t="shared" si="31"/>
        <v>0</v>
      </c>
      <c r="M216" s="875">
        <f t="shared" si="31"/>
        <v>0</v>
      </c>
      <c r="N216" s="875">
        <f t="shared" si="31"/>
        <v>0</v>
      </c>
      <c r="O216" s="1282"/>
      <c r="Q216" s="1065">
        <f t="shared" ref="Q216:S220" si="36">C216-F216</f>
        <v>0</v>
      </c>
      <c r="R216" s="1065">
        <f t="shared" si="36"/>
        <v>0</v>
      </c>
      <c r="S216" s="1065">
        <f t="shared" si="36"/>
        <v>0</v>
      </c>
    </row>
    <row r="217" spans="1:24" ht="108" customHeight="1">
      <c r="A217" s="1244" t="s">
        <v>99</v>
      </c>
      <c r="B217" s="1246" t="s">
        <v>1093</v>
      </c>
      <c r="C217" s="1083">
        <f t="shared" si="32"/>
        <v>1325</v>
      </c>
      <c r="D217" s="879">
        <v>0</v>
      </c>
      <c r="E217" s="879">
        <v>1325</v>
      </c>
      <c r="F217" s="1083">
        <f t="shared" si="33"/>
        <v>1325</v>
      </c>
      <c r="G217" s="879">
        <v>0</v>
      </c>
      <c r="H217" s="879">
        <v>1325</v>
      </c>
      <c r="I217" s="1083">
        <f t="shared" si="30"/>
        <v>0</v>
      </c>
      <c r="J217" s="1083">
        <v>0</v>
      </c>
      <c r="K217" s="1083">
        <v>0</v>
      </c>
      <c r="L217" s="877">
        <f t="shared" si="31"/>
        <v>0</v>
      </c>
      <c r="M217" s="877">
        <f t="shared" si="31"/>
        <v>0</v>
      </c>
      <c r="N217" s="877">
        <f t="shared" si="31"/>
        <v>0</v>
      </c>
      <c r="O217" s="1282"/>
      <c r="Q217" s="1065">
        <f t="shared" si="36"/>
        <v>0</v>
      </c>
      <c r="R217" s="1065">
        <f t="shared" si="36"/>
        <v>0</v>
      </c>
      <c r="S217" s="1065">
        <f t="shared" si="36"/>
        <v>0</v>
      </c>
      <c r="T217" s="1099" t="s">
        <v>999</v>
      </c>
      <c r="U217" s="1100">
        <v>1110243180</v>
      </c>
      <c r="V217" s="1099">
        <v>522</v>
      </c>
      <c r="W217" s="1099" t="s">
        <v>1019</v>
      </c>
    </row>
    <row r="218" spans="1:24">
      <c r="A218" s="991"/>
      <c r="B218" s="898" t="s">
        <v>68</v>
      </c>
      <c r="C218" s="874">
        <f t="shared" si="32"/>
        <v>671</v>
      </c>
      <c r="D218" s="875">
        <f>SUM(D219)</f>
        <v>0</v>
      </c>
      <c r="E218" s="875">
        <f>SUM(E219)</f>
        <v>671</v>
      </c>
      <c r="F218" s="874">
        <f t="shared" si="33"/>
        <v>671</v>
      </c>
      <c r="G218" s="875">
        <f>SUM(G219)</f>
        <v>0</v>
      </c>
      <c r="H218" s="875">
        <f>SUM(H219)</f>
        <v>671</v>
      </c>
      <c r="I218" s="874">
        <f t="shared" si="30"/>
        <v>0</v>
      </c>
      <c r="J218" s="875">
        <f>SUM(J219)</f>
        <v>0</v>
      </c>
      <c r="K218" s="875">
        <f>SUM(K219)</f>
        <v>0</v>
      </c>
      <c r="L218" s="876">
        <f t="shared" si="31"/>
        <v>0</v>
      </c>
      <c r="M218" s="877">
        <f t="shared" si="31"/>
        <v>0</v>
      </c>
      <c r="N218" s="877">
        <f t="shared" si="31"/>
        <v>0</v>
      </c>
      <c r="O218" s="1282"/>
      <c r="Q218" s="1065">
        <f t="shared" si="36"/>
        <v>0</v>
      </c>
      <c r="R218" s="1065">
        <f t="shared" si="36"/>
        <v>0</v>
      </c>
      <c r="S218" s="1065">
        <f t="shared" si="36"/>
        <v>0</v>
      </c>
    </row>
    <row r="219" spans="1:24" ht="120.75" customHeight="1">
      <c r="A219" s="1244" t="s">
        <v>100</v>
      </c>
      <c r="B219" s="1246" t="s">
        <v>1091</v>
      </c>
      <c r="C219" s="1083">
        <f t="shared" si="32"/>
        <v>671</v>
      </c>
      <c r="D219" s="1085">
        <v>0</v>
      </c>
      <c r="E219" s="1085">
        <v>671</v>
      </c>
      <c r="F219" s="1083">
        <f t="shared" si="33"/>
        <v>671</v>
      </c>
      <c r="G219" s="1085">
        <v>0</v>
      </c>
      <c r="H219" s="1085">
        <v>671</v>
      </c>
      <c r="I219" s="1083">
        <f t="shared" si="30"/>
        <v>0</v>
      </c>
      <c r="J219" s="1083">
        <v>0</v>
      </c>
      <c r="K219" s="1083">
        <v>0</v>
      </c>
      <c r="L219" s="877">
        <f t="shared" si="31"/>
        <v>0</v>
      </c>
      <c r="M219" s="877">
        <f t="shared" si="31"/>
        <v>0</v>
      </c>
      <c r="N219" s="877">
        <f t="shared" si="31"/>
        <v>0</v>
      </c>
      <c r="O219" s="1282"/>
      <c r="Q219" s="1065">
        <f t="shared" si="36"/>
        <v>0</v>
      </c>
      <c r="R219" s="1065">
        <f t="shared" si="36"/>
        <v>0</v>
      </c>
      <c r="S219" s="1065">
        <f t="shared" si="36"/>
        <v>0</v>
      </c>
      <c r="T219" s="1099" t="s">
        <v>999</v>
      </c>
      <c r="U219" s="1100">
        <v>1110243180</v>
      </c>
      <c r="V219" s="1099">
        <v>522</v>
      </c>
      <c r="W219" s="1099" t="s">
        <v>1019</v>
      </c>
    </row>
    <row r="220" spans="1:24" ht="39" customHeight="1">
      <c r="A220" s="1244"/>
      <c r="B220" s="898" t="s">
        <v>431</v>
      </c>
      <c r="C220" s="874">
        <f t="shared" si="32"/>
        <v>2848</v>
      </c>
      <c r="D220" s="875">
        <f>SUM(D221)</f>
        <v>0</v>
      </c>
      <c r="E220" s="875">
        <f>SUM(E221)</f>
        <v>2848</v>
      </c>
      <c r="F220" s="874">
        <f t="shared" si="33"/>
        <v>2848</v>
      </c>
      <c r="G220" s="875">
        <f>SUM(G221)</f>
        <v>0</v>
      </c>
      <c r="H220" s="875">
        <f>SUM(H221)</f>
        <v>2848</v>
      </c>
      <c r="I220" s="874">
        <f t="shared" si="30"/>
        <v>0</v>
      </c>
      <c r="J220" s="875">
        <f>SUM(J221)</f>
        <v>0</v>
      </c>
      <c r="K220" s="875">
        <f>SUM(K221)</f>
        <v>0</v>
      </c>
      <c r="L220" s="876">
        <f t="shared" si="31"/>
        <v>0</v>
      </c>
      <c r="M220" s="877">
        <f t="shared" si="31"/>
        <v>0</v>
      </c>
      <c r="N220" s="877">
        <f t="shared" si="31"/>
        <v>0</v>
      </c>
      <c r="O220" s="1282"/>
      <c r="Q220" s="1065">
        <f t="shared" si="36"/>
        <v>0</v>
      </c>
      <c r="R220" s="1065">
        <f t="shared" si="36"/>
        <v>0</v>
      </c>
      <c r="S220" s="1065">
        <f t="shared" si="36"/>
        <v>0</v>
      </c>
    </row>
    <row r="221" spans="1:24" ht="130.5" customHeight="1">
      <c r="A221" s="1244" t="s">
        <v>101</v>
      </c>
      <c r="B221" s="1246" t="s">
        <v>1092</v>
      </c>
      <c r="C221" s="1083">
        <f t="shared" si="32"/>
        <v>2848</v>
      </c>
      <c r="D221" s="1085">
        <v>0</v>
      </c>
      <c r="E221" s="1085">
        <v>2848</v>
      </c>
      <c r="F221" s="1083">
        <f t="shared" si="33"/>
        <v>2848</v>
      </c>
      <c r="G221" s="1085">
        <v>0</v>
      </c>
      <c r="H221" s="1085">
        <f>E221</f>
        <v>2848</v>
      </c>
      <c r="I221" s="1083">
        <f t="shared" si="30"/>
        <v>0</v>
      </c>
      <c r="J221" s="1083">
        <v>0</v>
      </c>
      <c r="K221" s="1083">
        <v>0</v>
      </c>
      <c r="L221" s="877">
        <f t="shared" si="31"/>
        <v>0</v>
      </c>
      <c r="M221" s="877">
        <f t="shared" si="31"/>
        <v>0</v>
      </c>
      <c r="N221" s="877">
        <f t="shared" si="31"/>
        <v>0</v>
      </c>
      <c r="O221" s="1282"/>
      <c r="Q221" s="1065"/>
      <c r="R221" s="1065"/>
      <c r="S221" s="1065"/>
      <c r="T221" s="1099" t="s">
        <v>999</v>
      </c>
      <c r="U221" s="1100">
        <v>1110243180</v>
      </c>
      <c r="V221" s="1099">
        <v>522</v>
      </c>
      <c r="W221" s="1099" t="s">
        <v>1019</v>
      </c>
    </row>
    <row r="222" spans="1:24" s="914" customFormat="1" ht="87.75" customHeight="1">
      <c r="A222" s="1304" t="s">
        <v>2</v>
      </c>
      <c r="B222" s="925" t="s">
        <v>222</v>
      </c>
      <c r="C222" s="926">
        <f t="shared" si="32"/>
        <v>1082666.3999999999</v>
      </c>
      <c r="D222" s="926">
        <f>SUM(D223,D239)</f>
        <v>909500</v>
      </c>
      <c r="E222" s="926">
        <f>SUM(E223,E239)</f>
        <v>173166.4</v>
      </c>
      <c r="F222" s="926">
        <f t="shared" si="33"/>
        <v>1080774.1000000001</v>
      </c>
      <c r="G222" s="926">
        <f>SUM(G223,G239)</f>
        <v>907801.2</v>
      </c>
      <c r="H222" s="926">
        <f>SUM(H223,H239)</f>
        <v>172972.9</v>
      </c>
      <c r="I222" s="926">
        <f t="shared" si="30"/>
        <v>188516.5</v>
      </c>
      <c r="J222" s="926">
        <f>SUM(J223,J239)</f>
        <v>160953.1</v>
      </c>
      <c r="K222" s="926">
        <f>SUM(K223,K239)</f>
        <v>27563.4</v>
      </c>
      <c r="L222" s="927">
        <f t="shared" si="31"/>
        <v>17.399999999999999</v>
      </c>
      <c r="M222" s="928">
        <f t="shared" si="31"/>
        <v>17.7</v>
      </c>
      <c r="N222" s="928">
        <f t="shared" si="31"/>
        <v>15.9</v>
      </c>
      <c r="O222" s="1282"/>
      <c r="P222" s="1208"/>
      <c r="Q222" s="1065">
        <f t="shared" si="35"/>
        <v>1892.3</v>
      </c>
      <c r="R222" s="1065">
        <f t="shared" si="35"/>
        <v>1698.8</v>
      </c>
      <c r="S222" s="1065">
        <f t="shared" si="35"/>
        <v>193.5</v>
      </c>
      <c r="T222" s="1099"/>
      <c r="U222" s="1100"/>
      <c r="V222" s="1099"/>
      <c r="W222" s="1099"/>
      <c r="X222" s="1216"/>
    </row>
    <row r="223" spans="1:24" s="914" customFormat="1" ht="62.25" customHeight="1">
      <c r="A223" s="1305" t="s">
        <v>246</v>
      </c>
      <c r="B223" s="932" t="s">
        <v>41</v>
      </c>
      <c r="C223" s="933">
        <f>D223+E223</f>
        <v>967706.4</v>
      </c>
      <c r="D223" s="933">
        <f>SUM(D237,D224)</f>
        <v>909500</v>
      </c>
      <c r="E223" s="933">
        <f>SUM(E237,E224)</f>
        <v>58206.400000000001</v>
      </c>
      <c r="F223" s="933">
        <f>G223+H223</f>
        <v>965814.1</v>
      </c>
      <c r="G223" s="933">
        <f>SUM(G237,G224)</f>
        <v>907801.2</v>
      </c>
      <c r="H223" s="933">
        <f>SUM(H237,H224)</f>
        <v>58012.9</v>
      </c>
      <c r="I223" s="933">
        <f>J223+K223</f>
        <v>171232.2</v>
      </c>
      <c r="J223" s="933">
        <f>SUM(J237,J224)</f>
        <v>160953.1</v>
      </c>
      <c r="K223" s="933">
        <f>SUM(K237,K224)</f>
        <v>10279.1</v>
      </c>
      <c r="L223" s="935">
        <f t="shared" si="31"/>
        <v>17.7</v>
      </c>
      <c r="M223" s="936">
        <f t="shared" si="31"/>
        <v>17.7</v>
      </c>
      <c r="N223" s="936">
        <f t="shared" si="31"/>
        <v>17.7</v>
      </c>
      <c r="O223" s="1282"/>
      <c r="P223" s="1208"/>
      <c r="Q223" s="1065">
        <f t="shared" si="35"/>
        <v>1892.3</v>
      </c>
      <c r="R223" s="1065">
        <f t="shared" si="35"/>
        <v>1698.8</v>
      </c>
      <c r="S223" s="1065">
        <f t="shared" si="35"/>
        <v>193.5</v>
      </c>
      <c r="T223" s="1099"/>
      <c r="U223" s="1100"/>
      <c r="V223" s="1099"/>
      <c r="W223" s="1099"/>
      <c r="X223" s="1216"/>
    </row>
    <row r="224" spans="1:24" s="959" customFormat="1" ht="63.75" customHeight="1">
      <c r="A224" s="1189" t="s">
        <v>247</v>
      </c>
      <c r="B224" s="1054" t="s">
        <v>446</v>
      </c>
      <c r="C224" s="1055">
        <f>SUM(D224:E224)</f>
        <v>907600</v>
      </c>
      <c r="D224" s="1056">
        <f>SUM(D225:D236)</f>
        <v>853000</v>
      </c>
      <c r="E224" s="1056">
        <f>SUM(E225:E236)</f>
        <v>54600</v>
      </c>
      <c r="F224" s="1055">
        <f>SUM(G224:H224)</f>
        <v>905707.7</v>
      </c>
      <c r="G224" s="1056">
        <f>SUM(G225:G236)</f>
        <v>851301.2</v>
      </c>
      <c r="H224" s="1056">
        <f>SUM(H225:H236)</f>
        <v>54406.5</v>
      </c>
      <c r="I224" s="1055">
        <f>SUM(J224:K224)</f>
        <v>143995.5</v>
      </c>
      <c r="J224" s="1056">
        <f>SUM(J225:J236)</f>
        <v>135350.6</v>
      </c>
      <c r="K224" s="1056">
        <f>SUM(K225:K236)</f>
        <v>8644.9</v>
      </c>
      <c r="L224" s="1053">
        <f t="shared" si="31"/>
        <v>15.9</v>
      </c>
      <c r="M224" s="1053">
        <f t="shared" si="31"/>
        <v>15.9</v>
      </c>
      <c r="N224" s="1053">
        <f t="shared" si="31"/>
        <v>15.9</v>
      </c>
      <c r="O224" s="1282"/>
      <c r="P224" s="1208"/>
      <c r="Q224" s="1065">
        <f t="shared" si="35"/>
        <v>1892.3</v>
      </c>
      <c r="R224" s="1065">
        <f t="shared" si="35"/>
        <v>1698.8</v>
      </c>
      <c r="S224" s="1065">
        <f t="shared" si="35"/>
        <v>193.5</v>
      </c>
      <c r="T224" s="1099"/>
      <c r="U224" s="1100"/>
      <c r="V224" s="1099"/>
      <c r="W224" s="1099"/>
      <c r="X224" s="1218"/>
    </row>
    <row r="225" spans="1:24" s="959" customFormat="1" ht="39" customHeight="1">
      <c r="A225" s="895"/>
      <c r="B225" s="937" t="s">
        <v>1000</v>
      </c>
      <c r="C225" s="871">
        <f>SUM(D225:E225)</f>
        <v>1892.3</v>
      </c>
      <c r="D225" s="884">
        <v>1698.8</v>
      </c>
      <c r="E225" s="887">
        <v>193.5</v>
      </c>
      <c r="F225" s="874">
        <f>G225+H225</f>
        <v>0</v>
      </c>
      <c r="G225" s="887">
        <v>0</v>
      </c>
      <c r="H225" s="887">
        <v>0</v>
      </c>
      <c r="I225" s="874">
        <f t="shared" ref="I225:I243" si="37">SUM(J225:K225)</f>
        <v>0</v>
      </c>
      <c r="J225" s="884">
        <v>0</v>
      </c>
      <c r="K225" s="887">
        <v>0</v>
      </c>
      <c r="L225" s="876">
        <f t="shared" si="31"/>
        <v>0</v>
      </c>
      <c r="M225" s="877">
        <f t="shared" si="31"/>
        <v>0</v>
      </c>
      <c r="N225" s="877">
        <f t="shared" si="31"/>
        <v>0</v>
      </c>
      <c r="O225" s="1282"/>
      <c r="P225" s="1208"/>
      <c r="Q225" s="1065"/>
      <c r="R225" s="1065"/>
      <c r="S225" s="1065"/>
      <c r="T225" s="1099" t="s">
        <v>999</v>
      </c>
      <c r="U225" s="1100" t="s">
        <v>1001</v>
      </c>
      <c r="V225" s="1099">
        <v>414</v>
      </c>
      <c r="W225" s="1099"/>
      <c r="X225" s="1218"/>
    </row>
    <row r="226" spans="1:24" ht="61.5" customHeight="1">
      <c r="A226" s="895">
        <v>1</v>
      </c>
      <c r="B226" s="937" t="s">
        <v>668</v>
      </c>
      <c r="C226" s="871">
        <f t="shared" ref="C226:C243" si="38">SUM(D226:E226)</f>
        <v>452152</v>
      </c>
      <c r="D226" s="884">
        <v>425019.2</v>
      </c>
      <c r="E226" s="887">
        <v>27132.799999999999</v>
      </c>
      <c r="F226" s="874">
        <f>G226+H226</f>
        <v>452152</v>
      </c>
      <c r="G226" s="887">
        <f>D226</f>
        <v>425019.2</v>
      </c>
      <c r="H226" s="887">
        <f>E226</f>
        <v>27132.799999999999</v>
      </c>
      <c r="I226" s="874">
        <f t="shared" si="37"/>
        <v>103870.2</v>
      </c>
      <c r="J226" s="884">
        <v>97637.1</v>
      </c>
      <c r="K226" s="887">
        <v>6233.1</v>
      </c>
      <c r="L226" s="876">
        <f t="shared" ref="L226:N243" si="39">IF(I226=0,0,I226/F226*100)</f>
        <v>23</v>
      </c>
      <c r="M226" s="877">
        <f t="shared" si="39"/>
        <v>23</v>
      </c>
      <c r="N226" s="877">
        <f t="shared" si="39"/>
        <v>23</v>
      </c>
      <c r="O226" s="1282"/>
      <c r="Q226" s="1065">
        <f t="shared" si="35"/>
        <v>0</v>
      </c>
      <c r="R226" s="1065">
        <f t="shared" si="35"/>
        <v>0</v>
      </c>
      <c r="S226" s="1065">
        <f t="shared" si="35"/>
        <v>0</v>
      </c>
      <c r="T226" s="1099" t="s">
        <v>999</v>
      </c>
      <c r="U226" s="1100" t="s">
        <v>1005</v>
      </c>
      <c r="V226" s="1099">
        <v>414</v>
      </c>
      <c r="W226" s="1099" t="s">
        <v>1006</v>
      </c>
    </row>
    <row r="227" spans="1:24" ht="75" customHeight="1">
      <c r="A227" s="895">
        <v>2</v>
      </c>
      <c r="B227" s="1247" t="s">
        <v>470</v>
      </c>
      <c r="C227" s="871">
        <f t="shared" si="38"/>
        <v>50107.7</v>
      </c>
      <c r="D227" s="887">
        <v>47101.2</v>
      </c>
      <c r="E227" s="887">
        <v>3006.5</v>
      </c>
      <c r="F227" s="871">
        <f t="shared" ref="F227:F243" si="40">SUM(G227:H227)</f>
        <v>50107.7</v>
      </c>
      <c r="G227" s="887">
        <f t="shared" ref="G227:G236" si="41">D227</f>
        <v>47101.2</v>
      </c>
      <c r="H227" s="887">
        <f t="shared" ref="H227:H236" si="42">E227</f>
        <v>3006.5</v>
      </c>
      <c r="I227" s="871">
        <f t="shared" si="37"/>
        <v>14029.6</v>
      </c>
      <c r="J227" s="887">
        <v>13187.8</v>
      </c>
      <c r="K227" s="887">
        <v>841.8</v>
      </c>
      <c r="L227" s="872">
        <f t="shared" si="39"/>
        <v>28</v>
      </c>
      <c r="M227" s="873">
        <f t="shared" si="39"/>
        <v>28</v>
      </c>
      <c r="N227" s="873">
        <f t="shared" si="39"/>
        <v>28</v>
      </c>
      <c r="O227" s="1282"/>
      <c r="Q227" s="1065">
        <f t="shared" si="35"/>
        <v>0</v>
      </c>
      <c r="R227" s="1065">
        <f t="shared" si="35"/>
        <v>0</v>
      </c>
      <c r="S227" s="1065">
        <f t="shared" si="35"/>
        <v>0</v>
      </c>
      <c r="T227" s="1099" t="s">
        <v>999</v>
      </c>
      <c r="U227" s="1100" t="s">
        <v>1010</v>
      </c>
      <c r="V227" s="1099">
        <v>414</v>
      </c>
      <c r="W227" s="1099" t="s">
        <v>1011</v>
      </c>
    </row>
    <row r="228" spans="1:24" ht="90" customHeight="1">
      <c r="A228" s="895">
        <v>3</v>
      </c>
      <c r="B228" s="1247" t="s">
        <v>622</v>
      </c>
      <c r="C228" s="871">
        <f>SUM(D228:E228)</f>
        <v>64810.2</v>
      </c>
      <c r="D228" s="887">
        <v>60910.9</v>
      </c>
      <c r="E228" s="887">
        <v>3899.3</v>
      </c>
      <c r="F228" s="871">
        <f t="shared" si="40"/>
        <v>64810.2</v>
      </c>
      <c r="G228" s="887">
        <f t="shared" si="41"/>
        <v>60910.9</v>
      </c>
      <c r="H228" s="887">
        <f t="shared" si="42"/>
        <v>3899.3</v>
      </c>
      <c r="I228" s="871">
        <f t="shared" si="37"/>
        <v>0</v>
      </c>
      <c r="J228" s="887">
        <v>0</v>
      </c>
      <c r="K228" s="887">
        <v>0</v>
      </c>
      <c r="L228" s="872">
        <f t="shared" si="39"/>
        <v>0</v>
      </c>
      <c r="M228" s="873">
        <f t="shared" si="39"/>
        <v>0</v>
      </c>
      <c r="N228" s="873">
        <f t="shared" si="39"/>
        <v>0</v>
      </c>
      <c r="O228" s="1282"/>
      <c r="Q228" s="1065">
        <f t="shared" si="35"/>
        <v>0</v>
      </c>
      <c r="R228" s="1065">
        <f t="shared" si="35"/>
        <v>0</v>
      </c>
      <c r="S228" s="1065">
        <f t="shared" si="35"/>
        <v>0</v>
      </c>
      <c r="T228" s="1099" t="s">
        <v>999</v>
      </c>
      <c r="U228" s="1100" t="s">
        <v>1016</v>
      </c>
      <c r="V228" s="1099">
        <v>414</v>
      </c>
      <c r="W228" s="1099" t="s">
        <v>1004</v>
      </c>
    </row>
    <row r="229" spans="1:24" ht="90" customHeight="1">
      <c r="A229" s="895">
        <v>4</v>
      </c>
      <c r="B229" s="1247" t="s">
        <v>837</v>
      </c>
      <c r="C229" s="871">
        <f t="shared" si="38"/>
        <v>38427.4</v>
      </c>
      <c r="D229" s="887">
        <v>36115.4</v>
      </c>
      <c r="E229" s="887">
        <v>2312</v>
      </c>
      <c r="F229" s="871">
        <f t="shared" si="40"/>
        <v>38427.4</v>
      </c>
      <c r="G229" s="887">
        <f t="shared" si="41"/>
        <v>36115.4</v>
      </c>
      <c r="H229" s="887">
        <f t="shared" si="42"/>
        <v>2312</v>
      </c>
      <c r="I229" s="871">
        <f t="shared" si="37"/>
        <v>9300</v>
      </c>
      <c r="J229" s="887">
        <v>8740.5</v>
      </c>
      <c r="K229" s="887">
        <v>559.5</v>
      </c>
      <c r="L229" s="872">
        <f t="shared" si="39"/>
        <v>24.2</v>
      </c>
      <c r="M229" s="873">
        <f t="shared" si="39"/>
        <v>24.2</v>
      </c>
      <c r="N229" s="873">
        <f t="shared" si="39"/>
        <v>24.2</v>
      </c>
      <c r="O229" s="1282"/>
      <c r="Q229" s="1065">
        <f t="shared" si="35"/>
        <v>0</v>
      </c>
      <c r="R229" s="1065">
        <f t="shared" si="35"/>
        <v>0</v>
      </c>
      <c r="S229" s="1065">
        <f t="shared" si="35"/>
        <v>0</v>
      </c>
      <c r="T229" s="1099" t="s">
        <v>999</v>
      </c>
      <c r="U229" s="1100" t="s">
        <v>1015</v>
      </c>
      <c r="V229" s="1099">
        <v>414</v>
      </c>
      <c r="W229" s="1099" t="s">
        <v>1004</v>
      </c>
    </row>
    <row r="230" spans="1:24" ht="90" customHeight="1">
      <c r="A230" s="895">
        <v>5</v>
      </c>
      <c r="B230" s="1247" t="s">
        <v>620</v>
      </c>
      <c r="C230" s="871">
        <f>SUM(D230:E230)</f>
        <v>115978.8</v>
      </c>
      <c r="D230" s="887">
        <v>109001</v>
      </c>
      <c r="E230" s="887">
        <v>6977.8</v>
      </c>
      <c r="F230" s="871">
        <f t="shared" si="40"/>
        <v>115978.8</v>
      </c>
      <c r="G230" s="887">
        <f t="shared" si="41"/>
        <v>109001</v>
      </c>
      <c r="H230" s="887">
        <f t="shared" si="42"/>
        <v>6977.8</v>
      </c>
      <c r="I230" s="871">
        <f t="shared" si="37"/>
        <v>0</v>
      </c>
      <c r="J230" s="887">
        <v>0</v>
      </c>
      <c r="K230" s="887">
        <v>0</v>
      </c>
      <c r="L230" s="872">
        <f t="shared" si="39"/>
        <v>0</v>
      </c>
      <c r="M230" s="873">
        <f t="shared" si="39"/>
        <v>0</v>
      </c>
      <c r="N230" s="873">
        <f t="shared" si="39"/>
        <v>0</v>
      </c>
      <c r="O230" s="1282"/>
      <c r="Q230" s="1065">
        <f t="shared" si="35"/>
        <v>0</v>
      </c>
      <c r="R230" s="1065">
        <f t="shared" si="35"/>
        <v>0</v>
      </c>
      <c r="S230" s="1065">
        <f t="shared" si="35"/>
        <v>0</v>
      </c>
      <c r="T230" s="1099" t="s">
        <v>999</v>
      </c>
      <c r="U230" s="1100" t="s">
        <v>1014</v>
      </c>
      <c r="V230" s="1099">
        <v>414</v>
      </c>
      <c r="W230" s="1099" t="s">
        <v>1004</v>
      </c>
    </row>
    <row r="231" spans="1:24" ht="75" customHeight="1">
      <c r="A231" s="895">
        <v>6</v>
      </c>
      <c r="B231" s="1247" t="s">
        <v>471</v>
      </c>
      <c r="C231" s="871">
        <f t="shared" si="38"/>
        <v>9500</v>
      </c>
      <c r="D231" s="887">
        <v>8928.4</v>
      </c>
      <c r="E231" s="887">
        <v>571.6</v>
      </c>
      <c r="F231" s="871">
        <f t="shared" si="40"/>
        <v>9500</v>
      </c>
      <c r="G231" s="887">
        <f t="shared" si="41"/>
        <v>8928.4</v>
      </c>
      <c r="H231" s="887">
        <f t="shared" si="42"/>
        <v>571.6</v>
      </c>
      <c r="I231" s="871">
        <f t="shared" si="37"/>
        <v>614.6</v>
      </c>
      <c r="J231" s="887">
        <v>577.6</v>
      </c>
      <c r="K231" s="887">
        <v>37</v>
      </c>
      <c r="L231" s="872">
        <f t="shared" si="39"/>
        <v>6.5</v>
      </c>
      <c r="M231" s="873">
        <f t="shared" si="39"/>
        <v>6.5</v>
      </c>
      <c r="N231" s="873">
        <f t="shared" si="39"/>
        <v>6.5</v>
      </c>
      <c r="O231" s="1282"/>
      <c r="Q231" s="1065">
        <f t="shared" si="35"/>
        <v>0</v>
      </c>
      <c r="R231" s="1065">
        <f t="shared" si="35"/>
        <v>0</v>
      </c>
      <c r="S231" s="1065">
        <f t="shared" si="35"/>
        <v>0</v>
      </c>
      <c r="T231" s="1099" t="s">
        <v>999</v>
      </c>
      <c r="U231" s="1100" t="s">
        <v>1012</v>
      </c>
      <c r="V231" s="1099">
        <v>414</v>
      </c>
      <c r="W231" s="1099" t="s">
        <v>1004</v>
      </c>
    </row>
    <row r="232" spans="1:24" ht="75" customHeight="1">
      <c r="A232" s="895">
        <v>7</v>
      </c>
      <c r="B232" s="1247" t="s">
        <v>472</v>
      </c>
      <c r="C232" s="871">
        <f t="shared" si="38"/>
        <v>16500</v>
      </c>
      <c r="D232" s="887">
        <v>15507.2</v>
      </c>
      <c r="E232" s="887">
        <v>992.8</v>
      </c>
      <c r="F232" s="871">
        <f t="shared" si="40"/>
        <v>16500</v>
      </c>
      <c r="G232" s="887">
        <f t="shared" si="41"/>
        <v>15507.2</v>
      </c>
      <c r="H232" s="887">
        <f t="shared" si="42"/>
        <v>992.8</v>
      </c>
      <c r="I232" s="871">
        <f t="shared" si="37"/>
        <v>550.1</v>
      </c>
      <c r="J232" s="887">
        <v>517</v>
      </c>
      <c r="K232" s="887">
        <v>33.1</v>
      </c>
      <c r="L232" s="872">
        <f t="shared" si="39"/>
        <v>3.3</v>
      </c>
      <c r="M232" s="873">
        <f t="shared" si="39"/>
        <v>3.3</v>
      </c>
      <c r="N232" s="873">
        <f t="shared" si="39"/>
        <v>3.3</v>
      </c>
      <c r="O232" s="1282"/>
      <c r="Q232" s="1065">
        <f t="shared" si="35"/>
        <v>0</v>
      </c>
      <c r="R232" s="1065">
        <f t="shared" si="35"/>
        <v>0</v>
      </c>
      <c r="S232" s="1065">
        <f t="shared" si="35"/>
        <v>0</v>
      </c>
      <c r="T232" s="1099" t="s">
        <v>999</v>
      </c>
      <c r="U232" s="1100" t="s">
        <v>1007</v>
      </c>
      <c r="V232" s="1099">
        <v>414</v>
      </c>
      <c r="W232" s="1099" t="s">
        <v>1004</v>
      </c>
    </row>
    <row r="233" spans="1:24" ht="75" customHeight="1">
      <c r="A233" s="895">
        <v>8</v>
      </c>
      <c r="B233" s="1247" t="s">
        <v>473</v>
      </c>
      <c r="C233" s="871">
        <f t="shared" si="38"/>
        <v>10549.1</v>
      </c>
      <c r="D233" s="887">
        <v>9914.4</v>
      </c>
      <c r="E233" s="887">
        <v>634.70000000000005</v>
      </c>
      <c r="F233" s="871">
        <f t="shared" si="40"/>
        <v>10549.1</v>
      </c>
      <c r="G233" s="887">
        <f t="shared" si="41"/>
        <v>9914.4</v>
      </c>
      <c r="H233" s="887">
        <f t="shared" si="42"/>
        <v>634.70000000000005</v>
      </c>
      <c r="I233" s="871">
        <f t="shared" si="37"/>
        <v>4705.6000000000004</v>
      </c>
      <c r="J233" s="887">
        <v>4422.5</v>
      </c>
      <c r="K233" s="887">
        <v>283.10000000000002</v>
      </c>
      <c r="L233" s="872">
        <f t="shared" si="39"/>
        <v>44.6</v>
      </c>
      <c r="M233" s="873">
        <f t="shared" si="39"/>
        <v>44.6</v>
      </c>
      <c r="N233" s="873">
        <f t="shared" si="39"/>
        <v>44.6</v>
      </c>
      <c r="O233" s="1282"/>
      <c r="Q233" s="1065">
        <f t="shared" si="35"/>
        <v>0</v>
      </c>
      <c r="R233" s="1065">
        <f t="shared" si="35"/>
        <v>0</v>
      </c>
      <c r="S233" s="1065">
        <f t="shared" si="35"/>
        <v>0</v>
      </c>
      <c r="T233" s="1099" t="s">
        <v>999</v>
      </c>
      <c r="U233" s="1100" t="s">
        <v>1003</v>
      </c>
      <c r="V233" s="1099">
        <v>414</v>
      </c>
      <c r="W233" s="1099" t="s">
        <v>1004</v>
      </c>
    </row>
    <row r="234" spans="1:24" ht="75" customHeight="1">
      <c r="A234" s="895">
        <v>9</v>
      </c>
      <c r="B234" s="1247" t="s">
        <v>474</v>
      </c>
      <c r="C234" s="871">
        <f>SUM(D234:E234)</f>
        <v>26243.8</v>
      </c>
      <c r="D234" s="887">
        <v>24664.799999999999</v>
      </c>
      <c r="E234" s="887">
        <v>1579</v>
      </c>
      <c r="F234" s="871">
        <f t="shared" si="40"/>
        <v>26243.8</v>
      </c>
      <c r="G234" s="887">
        <f t="shared" si="41"/>
        <v>24664.799999999999</v>
      </c>
      <c r="H234" s="887">
        <f t="shared" si="42"/>
        <v>1579</v>
      </c>
      <c r="I234" s="871">
        <f t="shared" si="37"/>
        <v>10925.4</v>
      </c>
      <c r="J234" s="887">
        <v>10268.1</v>
      </c>
      <c r="K234" s="887">
        <v>657.3</v>
      </c>
      <c r="L234" s="872">
        <f t="shared" si="39"/>
        <v>41.6</v>
      </c>
      <c r="M234" s="873">
        <f t="shared" si="39"/>
        <v>41.6</v>
      </c>
      <c r="N234" s="873">
        <f t="shared" si="39"/>
        <v>41.6</v>
      </c>
      <c r="O234" s="1282"/>
      <c r="Q234" s="1065">
        <f t="shared" si="35"/>
        <v>0</v>
      </c>
      <c r="R234" s="1065">
        <f t="shared" si="35"/>
        <v>0</v>
      </c>
      <c r="S234" s="1065">
        <f t="shared" si="35"/>
        <v>0</v>
      </c>
      <c r="T234" s="1099" t="s">
        <v>999</v>
      </c>
      <c r="U234" s="1100" t="s">
        <v>1013</v>
      </c>
      <c r="V234" s="1099">
        <v>414</v>
      </c>
      <c r="W234" s="1099" t="s">
        <v>1004</v>
      </c>
    </row>
    <row r="235" spans="1:24" ht="75" customHeight="1">
      <c r="A235" s="895">
        <v>10</v>
      </c>
      <c r="B235" s="1247" t="s">
        <v>617</v>
      </c>
      <c r="C235" s="871">
        <f t="shared" si="38"/>
        <v>81990.7</v>
      </c>
      <c r="D235" s="887">
        <v>77057.899999999994</v>
      </c>
      <c r="E235" s="887">
        <v>4932.8</v>
      </c>
      <c r="F235" s="871">
        <f t="shared" si="40"/>
        <v>81990.7</v>
      </c>
      <c r="G235" s="887">
        <f t="shared" si="41"/>
        <v>77057.899999999994</v>
      </c>
      <c r="H235" s="887">
        <f t="shared" si="42"/>
        <v>4932.8</v>
      </c>
      <c r="I235" s="871">
        <f t="shared" si="37"/>
        <v>0</v>
      </c>
      <c r="J235" s="887">
        <v>0</v>
      </c>
      <c r="K235" s="887">
        <v>0</v>
      </c>
      <c r="L235" s="872">
        <f t="shared" si="39"/>
        <v>0</v>
      </c>
      <c r="M235" s="873">
        <f t="shared" si="39"/>
        <v>0</v>
      </c>
      <c r="N235" s="873">
        <f t="shared" si="39"/>
        <v>0</v>
      </c>
      <c r="O235" s="1282"/>
      <c r="Q235" s="1065">
        <f t="shared" si="35"/>
        <v>0</v>
      </c>
      <c r="R235" s="1065">
        <f t="shared" si="35"/>
        <v>0</v>
      </c>
      <c r="S235" s="1065">
        <f t="shared" si="35"/>
        <v>0</v>
      </c>
      <c r="T235" s="1099" t="s">
        <v>999</v>
      </c>
      <c r="U235" s="1100" t="s">
        <v>1002</v>
      </c>
      <c r="V235" s="1099">
        <v>414</v>
      </c>
      <c r="W235" s="1099" t="s">
        <v>1004</v>
      </c>
    </row>
    <row r="236" spans="1:24" ht="75" customHeight="1">
      <c r="A236" s="895">
        <v>12</v>
      </c>
      <c r="B236" s="1247" t="s">
        <v>619</v>
      </c>
      <c r="C236" s="871">
        <f>SUM(D236:E236)</f>
        <v>39448</v>
      </c>
      <c r="D236" s="887">
        <v>37080.800000000003</v>
      </c>
      <c r="E236" s="887">
        <v>2367.1999999999998</v>
      </c>
      <c r="F236" s="871">
        <f t="shared" si="40"/>
        <v>39448</v>
      </c>
      <c r="G236" s="887">
        <f t="shared" si="41"/>
        <v>37080.800000000003</v>
      </c>
      <c r="H236" s="887">
        <f t="shared" si="42"/>
        <v>2367.1999999999998</v>
      </c>
      <c r="I236" s="871">
        <f t="shared" si="37"/>
        <v>0</v>
      </c>
      <c r="J236" s="887">
        <v>0</v>
      </c>
      <c r="K236" s="887">
        <v>0</v>
      </c>
      <c r="L236" s="872">
        <f t="shared" si="39"/>
        <v>0</v>
      </c>
      <c r="M236" s="873">
        <f t="shared" si="39"/>
        <v>0</v>
      </c>
      <c r="N236" s="873">
        <f t="shared" si="39"/>
        <v>0</v>
      </c>
      <c r="O236" s="1282"/>
      <c r="Q236" s="1065">
        <f t="shared" si="35"/>
        <v>0</v>
      </c>
      <c r="R236" s="1065">
        <f t="shared" si="35"/>
        <v>0</v>
      </c>
      <c r="S236" s="1065">
        <f t="shared" si="35"/>
        <v>0</v>
      </c>
      <c r="T236" s="1099" t="s">
        <v>999</v>
      </c>
      <c r="U236" s="1100" t="s">
        <v>1008</v>
      </c>
      <c r="V236" s="1099">
        <v>414</v>
      </c>
      <c r="W236" s="1099" t="s">
        <v>1006</v>
      </c>
    </row>
    <row r="237" spans="1:24" s="914" customFormat="1" ht="110.25" customHeight="1">
      <c r="A237" s="944" t="s">
        <v>248</v>
      </c>
      <c r="B237" s="1234" t="s">
        <v>656</v>
      </c>
      <c r="C237" s="948">
        <f>SUM(D237:E237)</f>
        <v>60106.400000000001</v>
      </c>
      <c r="D237" s="949">
        <f>D238</f>
        <v>56500</v>
      </c>
      <c r="E237" s="949">
        <f>E238</f>
        <v>3606.4</v>
      </c>
      <c r="F237" s="950">
        <f t="shared" si="40"/>
        <v>60106.400000000001</v>
      </c>
      <c r="G237" s="949">
        <f>G238</f>
        <v>56500</v>
      </c>
      <c r="H237" s="949">
        <f>H238</f>
        <v>3606.4</v>
      </c>
      <c r="I237" s="950">
        <f t="shared" si="37"/>
        <v>27236.7</v>
      </c>
      <c r="J237" s="949">
        <f>J238</f>
        <v>25602.5</v>
      </c>
      <c r="K237" s="949">
        <f>K238</f>
        <v>1634.2</v>
      </c>
      <c r="L237" s="951">
        <f t="shared" si="39"/>
        <v>45.3</v>
      </c>
      <c r="M237" s="952">
        <f t="shared" si="39"/>
        <v>45.3</v>
      </c>
      <c r="N237" s="952">
        <f t="shared" si="39"/>
        <v>45.3</v>
      </c>
      <c r="O237" s="1282"/>
      <c r="P237" s="1208"/>
      <c r="Q237" s="1065">
        <f t="shared" si="35"/>
        <v>0</v>
      </c>
      <c r="R237" s="1065">
        <f t="shared" si="35"/>
        <v>0</v>
      </c>
      <c r="S237" s="1065">
        <f t="shared" si="35"/>
        <v>0</v>
      </c>
      <c r="T237" s="1099"/>
      <c r="U237" s="1100"/>
      <c r="V237" s="1099"/>
      <c r="W237" s="1099"/>
      <c r="X237" s="1216"/>
    </row>
    <row r="238" spans="1:24" ht="58.5" customHeight="1">
      <c r="A238" s="895">
        <v>13</v>
      </c>
      <c r="B238" s="937" t="s">
        <v>623</v>
      </c>
      <c r="C238" s="871">
        <f>SUM(D238:E238)</f>
        <v>60106.400000000001</v>
      </c>
      <c r="D238" s="884">
        <v>56500</v>
      </c>
      <c r="E238" s="887">
        <v>3606.4</v>
      </c>
      <c r="F238" s="871">
        <f t="shared" si="40"/>
        <v>60106.400000000001</v>
      </c>
      <c r="G238" s="884">
        <f>D238</f>
        <v>56500</v>
      </c>
      <c r="H238" s="884">
        <f>E238</f>
        <v>3606.4</v>
      </c>
      <c r="I238" s="874">
        <f t="shared" si="37"/>
        <v>27236.7</v>
      </c>
      <c r="J238" s="884">
        <v>25602.5</v>
      </c>
      <c r="K238" s="887">
        <v>1634.2</v>
      </c>
      <c r="L238" s="876">
        <f t="shared" si="39"/>
        <v>45.3</v>
      </c>
      <c r="M238" s="877">
        <f t="shared" si="39"/>
        <v>45.3</v>
      </c>
      <c r="N238" s="877">
        <f t="shared" si="39"/>
        <v>45.3</v>
      </c>
      <c r="O238" s="1282"/>
      <c r="Q238" s="1065">
        <f t="shared" si="35"/>
        <v>0</v>
      </c>
      <c r="R238" s="1065">
        <f t="shared" si="35"/>
        <v>0</v>
      </c>
      <c r="S238" s="1065">
        <f t="shared" si="35"/>
        <v>0</v>
      </c>
      <c r="T238" s="1099" t="s">
        <v>999</v>
      </c>
      <c r="U238" s="1100" t="s">
        <v>1017</v>
      </c>
      <c r="V238" s="1099">
        <v>414</v>
      </c>
      <c r="W238" s="1099" t="s">
        <v>1018</v>
      </c>
    </row>
    <row r="239" spans="1:24" s="914" customFormat="1" ht="56.25" customHeight="1">
      <c r="A239" s="944" t="s">
        <v>249</v>
      </c>
      <c r="B239" s="1235" t="s">
        <v>39</v>
      </c>
      <c r="C239" s="933">
        <f t="shared" si="38"/>
        <v>114960</v>
      </c>
      <c r="D239" s="933">
        <f>SUM(D240:D243)</f>
        <v>0</v>
      </c>
      <c r="E239" s="933">
        <f>SUM(E240:E243)</f>
        <v>114960</v>
      </c>
      <c r="F239" s="933">
        <f t="shared" si="40"/>
        <v>114960</v>
      </c>
      <c r="G239" s="933">
        <f>SUM(G240:G243)</f>
        <v>0</v>
      </c>
      <c r="H239" s="933">
        <f>SUM(H240:H243)</f>
        <v>114960</v>
      </c>
      <c r="I239" s="933">
        <f t="shared" si="37"/>
        <v>17284.3</v>
      </c>
      <c r="J239" s="933">
        <f>SUM(J240:J243)</f>
        <v>0</v>
      </c>
      <c r="K239" s="933">
        <f>SUM(K240:K243)</f>
        <v>17284.3</v>
      </c>
      <c r="L239" s="935">
        <f t="shared" si="39"/>
        <v>15</v>
      </c>
      <c r="M239" s="936">
        <f t="shared" si="39"/>
        <v>0</v>
      </c>
      <c r="N239" s="936">
        <f t="shared" si="39"/>
        <v>15</v>
      </c>
      <c r="O239" s="1282"/>
      <c r="P239" s="1208"/>
      <c r="Q239" s="1065">
        <f t="shared" si="35"/>
        <v>0</v>
      </c>
      <c r="R239" s="1065">
        <f t="shared" si="35"/>
        <v>0</v>
      </c>
      <c r="S239" s="1065">
        <f t="shared" si="35"/>
        <v>0</v>
      </c>
      <c r="T239" s="1099"/>
      <c r="U239" s="1100"/>
      <c r="V239" s="1099"/>
      <c r="W239" s="1099"/>
      <c r="X239" s="1216"/>
    </row>
    <row r="240" spans="1:24" s="736" customFormat="1" ht="58.5" customHeight="1">
      <c r="A240" s="895">
        <v>14</v>
      </c>
      <c r="B240" s="1238" t="s">
        <v>706</v>
      </c>
      <c r="C240" s="871">
        <f>SUM(D240:E240)</f>
        <v>2760</v>
      </c>
      <c r="D240" s="887">
        <v>0</v>
      </c>
      <c r="E240" s="887">
        <v>2760</v>
      </c>
      <c r="F240" s="871">
        <f t="shared" si="40"/>
        <v>2760</v>
      </c>
      <c r="G240" s="887">
        <f t="shared" ref="G240:H243" si="43">D240</f>
        <v>0</v>
      </c>
      <c r="H240" s="887">
        <f t="shared" si="43"/>
        <v>2760</v>
      </c>
      <c r="I240" s="871">
        <f t="shared" si="37"/>
        <v>0</v>
      </c>
      <c r="J240" s="887">
        <v>0</v>
      </c>
      <c r="K240" s="887">
        <v>0</v>
      </c>
      <c r="L240" s="872">
        <f t="shared" si="39"/>
        <v>0</v>
      </c>
      <c r="M240" s="873">
        <f t="shared" si="39"/>
        <v>0</v>
      </c>
      <c r="N240" s="873">
        <f t="shared" si="39"/>
        <v>0</v>
      </c>
      <c r="O240" s="1282"/>
      <c r="P240" s="1208"/>
      <c r="Q240" s="1065">
        <f t="shared" si="35"/>
        <v>0</v>
      </c>
      <c r="R240" s="1065">
        <f t="shared" si="35"/>
        <v>0</v>
      </c>
      <c r="S240" s="1065">
        <f t="shared" si="35"/>
        <v>0</v>
      </c>
      <c r="T240" s="1099" t="s">
        <v>999</v>
      </c>
      <c r="U240" s="1100">
        <v>1110290400</v>
      </c>
      <c r="V240" s="1099">
        <v>414</v>
      </c>
      <c r="W240" s="1099">
        <v>10119</v>
      </c>
      <c r="X240" s="1216"/>
    </row>
    <row r="241" spans="1:24" s="736" customFormat="1" ht="59.25" customHeight="1">
      <c r="A241" s="895"/>
      <c r="B241" s="1238" t="s">
        <v>1169</v>
      </c>
      <c r="C241" s="871">
        <f>SUM(D241:E241)</f>
        <v>12000</v>
      </c>
      <c r="D241" s="887">
        <v>0</v>
      </c>
      <c r="E241" s="887">
        <v>12000</v>
      </c>
      <c r="F241" s="871">
        <f t="shared" si="40"/>
        <v>12000</v>
      </c>
      <c r="G241" s="887">
        <f t="shared" si="43"/>
        <v>0</v>
      </c>
      <c r="H241" s="887">
        <f t="shared" si="43"/>
        <v>12000</v>
      </c>
      <c r="I241" s="871">
        <f t="shared" si="37"/>
        <v>0</v>
      </c>
      <c r="J241" s="887">
        <v>0</v>
      </c>
      <c r="K241" s="887">
        <v>0</v>
      </c>
      <c r="L241" s="872"/>
      <c r="M241" s="873"/>
      <c r="N241" s="873"/>
      <c r="O241" s="1282"/>
      <c r="P241" s="1208"/>
      <c r="Q241" s="1065"/>
      <c r="R241" s="1065"/>
      <c r="S241" s="1065"/>
      <c r="T241" s="1099"/>
      <c r="U241" s="1100"/>
      <c r="V241" s="1099"/>
      <c r="W241" s="1099"/>
      <c r="X241" s="1216"/>
    </row>
    <row r="242" spans="1:24" s="736" customFormat="1" ht="58.5" customHeight="1">
      <c r="A242" s="895"/>
      <c r="B242" s="1238" t="s">
        <v>268</v>
      </c>
      <c r="C242" s="871">
        <f>SUM(D242:E242)</f>
        <v>700</v>
      </c>
      <c r="D242" s="887">
        <v>0</v>
      </c>
      <c r="E242" s="887">
        <v>700</v>
      </c>
      <c r="F242" s="871">
        <f t="shared" si="40"/>
        <v>700</v>
      </c>
      <c r="G242" s="887">
        <f t="shared" si="43"/>
        <v>0</v>
      </c>
      <c r="H242" s="887">
        <f t="shared" si="43"/>
        <v>700</v>
      </c>
      <c r="I242" s="871">
        <f t="shared" si="37"/>
        <v>274.89999999999998</v>
      </c>
      <c r="J242" s="887">
        <v>0</v>
      </c>
      <c r="K242" s="887">
        <v>274.89999999999998</v>
      </c>
      <c r="L242" s="872">
        <f t="shared" si="39"/>
        <v>39.299999999999997</v>
      </c>
      <c r="M242" s="873">
        <f t="shared" si="39"/>
        <v>0</v>
      </c>
      <c r="N242" s="873">
        <f t="shared" si="39"/>
        <v>39.299999999999997</v>
      </c>
      <c r="O242" s="1282"/>
      <c r="P242" s="1208"/>
      <c r="Q242" s="1065">
        <f>C242-F242</f>
        <v>0</v>
      </c>
      <c r="R242" s="1065">
        <f t="shared" si="35"/>
        <v>0</v>
      </c>
      <c r="S242" s="1065">
        <f t="shared" si="35"/>
        <v>0</v>
      </c>
      <c r="T242" s="1099" t="s">
        <v>999</v>
      </c>
      <c r="U242" s="1100">
        <v>1110290400</v>
      </c>
      <c r="V242" s="1099">
        <v>414</v>
      </c>
      <c r="W242" s="1099">
        <v>10044</v>
      </c>
      <c r="X242" s="1216"/>
    </row>
    <row r="243" spans="1:24" s="736" customFormat="1" ht="29.25" customHeight="1">
      <c r="A243" s="895"/>
      <c r="B243" s="1238" t="s">
        <v>263</v>
      </c>
      <c r="C243" s="871">
        <f t="shared" si="38"/>
        <v>99500</v>
      </c>
      <c r="D243" s="887">
        <v>0</v>
      </c>
      <c r="E243" s="887">
        <v>99500</v>
      </c>
      <c r="F243" s="871">
        <f t="shared" si="40"/>
        <v>99500</v>
      </c>
      <c r="G243" s="887">
        <f t="shared" si="43"/>
        <v>0</v>
      </c>
      <c r="H243" s="887">
        <f t="shared" si="43"/>
        <v>99500</v>
      </c>
      <c r="I243" s="871">
        <f t="shared" si="37"/>
        <v>17009.400000000001</v>
      </c>
      <c r="J243" s="887">
        <v>0</v>
      </c>
      <c r="K243" s="887">
        <v>17009.400000000001</v>
      </c>
      <c r="L243" s="872">
        <f t="shared" si="39"/>
        <v>17.100000000000001</v>
      </c>
      <c r="M243" s="873">
        <f t="shared" si="39"/>
        <v>0</v>
      </c>
      <c r="N243" s="873">
        <f t="shared" si="39"/>
        <v>17.100000000000001</v>
      </c>
      <c r="O243" s="1282"/>
      <c r="P243" s="1208"/>
      <c r="Q243" s="1065">
        <f t="shared" si="35"/>
        <v>0</v>
      </c>
      <c r="R243" s="1065">
        <f t="shared" si="35"/>
        <v>0</v>
      </c>
      <c r="S243" s="1065">
        <f t="shared" si="35"/>
        <v>0</v>
      </c>
      <c r="T243" s="1099" t="s">
        <v>999</v>
      </c>
      <c r="U243" s="1100">
        <v>1110290400</v>
      </c>
      <c r="V243" s="1099">
        <v>414</v>
      </c>
      <c r="W243" s="1099">
        <v>10001</v>
      </c>
      <c r="X243" s="1216"/>
    </row>
    <row r="244" spans="1:24" ht="35.25" customHeight="1">
      <c r="A244" s="1102"/>
      <c r="B244" s="1079" t="s">
        <v>432</v>
      </c>
      <c r="C244" s="1080"/>
      <c r="D244" s="1079"/>
      <c r="E244" s="1079"/>
      <c r="F244" s="1080"/>
      <c r="G244" s="1079"/>
      <c r="H244" s="1079"/>
      <c r="I244" s="1203"/>
      <c r="J244" s="1210"/>
      <c r="K244" s="1210"/>
      <c r="L244" s="1081"/>
      <c r="M244" s="1082"/>
      <c r="N244" s="1082"/>
      <c r="O244" s="1282"/>
      <c r="Q244" s="1065">
        <f t="shared" si="35"/>
        <v>0</v>
      </c>
      <c r="R244" s="1065">
        <f t="shared" si="35"/>
        <v>0</v>
      </c>
      <c r="S244" s="1065">
        <f t="shared" si="35"/>
        <v>0</v>
      </c>
    </row>
    <row r="245" spans="1:24" ht="169.5" customHeight="1">
      <c r="A245" s="2402" t="s">
        <v>836</v>
      </c>
      <c r="B245" s="2406"/>
      <c r="C245" s="893">
        <f t="shared" ref="C245:C250" si="44">SUM(D245:E245)</f>
        <v>865629.1</v>
      </c>
      <c r="D245" s="894">
        <f>SUM(D90,D20:D21)</f>
        <v>853456.8</v>
      </c>
      <c r="E245" s="894">
        <f>SUM(E90,E20:E21)</f>
        <v>12172.3</v>
      </c>
      <c r="F245" s="893">
        <f t="shared" ref="F245:F250" si="45">SUM(G245:H245)</f>
        <v>865629.1</v>
      </c>
      <c r="G245" s="894">
        <f>SUM(G90,G20:G21)</f>
        <v>853456.8</v>
      </c>
      <c r="H245" s="894">
        <f>SUM(H90,H20:H21)</f>
        <v>12172.3</v>
      </c>
      <c r="I245" s="893">
        <f t="shared" ref="I245:I250" si="46">SUM(J245:K245)</f>
        <v>16073.5</v>
      </c>
      <c r="J245" s="894">
        <f>SUM(J90,J20:J21)</f>
        <v>11326.4</v>
      </c>
      <c r="K245" s="894">
        <f>SUM(K90,K20:K21)</f>
        <v>4747.1000000000004</v>
      </c>
      <c r="L245" s="893">
        <f t="shared" ref="L245:L251" si="47">SUM(M245:N245)</f>
        <v>35.4</v>
      </c>
      <c r="M245" s="894">
        <f>SUM(M223,M123,M69)</f>
        <v>17.7</v>
      </c>
      <c r="N245" s="894">
        <f>SUM(N223,N123,N69)</f>
        <v>17.7</v>
      </c>
      <c r="O245" s="1282"/>
      <c r="Q245" s="1065">
        <f t="shared" ref="Q245:S251" si="48">C245-F245</f>
        <v>0</v>
      </c>
      <c r="R245" s="1065">
        <f t="shared" si="48"/>
        <v>0</v>
      </c>
      <c r="S245" s="1065">
        <f t="shared" si="48"/>
        <v>0</v>
      </c>
    </row>
    <row r="246" spans="1:24" ht="63.75" customHeight="1">
      <c r="A246" s="2402" t="s">
        <v>1098</v>
      </c>
      <c r="B246" s="2406"/>
      <c r="C246" s="893">
        <f t="shared" si="44"/>
        <v>798329.8</v>
      </c>
      <c r="D246" s="894">
        <f>SUM(D19,D102,D100,D101,D125)</f>
        <v>696497.1</v>
      </c>
      <c r="E246" s="894">
        <f>SUM(E19,E102,E100,E101,E125)</f>
        <v>101832.7</v>
      </c>
      <c r="F246" s="893">
        <f>SUM(G246:H246)</f>
        <v>754861.7</v>
      </c>
      <c r="G246" s="894">
        <f>SUM(G19,G102,G100,G101,G125)</f>
        <v>665763.69999999995</v>
      </c>
      <c r="H246" s="894">
        <f>SUM(H19,H102,H100,H101,H125)</f>
        <v>89098</v>
      </c>
      <c r="I246" s="893">
        <f>SUM(J246:K246)</f>
        <v>14847.5</v>
      </c>
      <c r="J246" s="894">
        <f>SUM(J19,J102,J100,J101,J125)</f>
        <v>13936.5</v>
      </c>
      <c r="K246" s="894">
        <f>SUM(K19,K102,K100,K101,K125)</f>
        <v>911</v>
      </c>
      <c r="L246" s="893">
        <f t="shared" si="47"/>
        <v>52</v>
      </c>
      <c r="M246" s="894">
        <f>SUM(M224,M124,M70)</f>
        <v>26</v>
      </c>
      <c r="N246" s="894">
        <f>SUM(N224,N124,N70)</f>
        <v>26</v>
      </c>
      <c r="O246" s="1282"/>
      <c r="Q246" s="1065"/>
      <c r="R246" s="1065"/>
      <c r="S246" s="1065"/>
    </row>
    <row r="247" spans="1:24" ht="65.25" customHeight="1">
      <c r="A247" s="2402" t="s">
        <v>780</v>
      </c>
      <c r="B247" s="2406"/>
      <c r="C247" s="893">
        <f t="shared" si="44"/>
        <v>3487177.2</v>
      </c>
      <c r="D247" s="894">
        <f>D144+D70+D224-D249</f>
        <v>3276914.8</v>
      </c>
      <c r="E247" s="894">
        <f>E144+E70+E224-E249</f>
        <v>210262.39999999999</v>
      </c>
      <c r="F247" s="893">
        <f t="shared" si="45"/>
        <v>3485285</v>
      </c>
      <c r="G247" s="894">
        <f>G144+G70+G224-G249</f>
        <v>3275216</v>
      </c>
      <c r="H247" s="894">
        <f>H144+H70+H224-H249</f>
        <v>210069</v>
      </c>
      <c r="I247" s="893">
        <f t="shared" si="46"/>
        <v>253150.9</v>
      </c>
      <c r="J247" s="894">
        <f>J144+J70+J224-J249</f>
        <v>237857</v>
      </c>
      <c r="K247" s="894">
        <f>K144+K70+K224-K249</f>
        <v>15293.9</v>
      </c>
      <c r="L247" s="893">
        <f t="shared" si="47"/>
        <v>64.8</v>
      </c>
      <c r="M247" s="894">
        <f>SUM(M224,M144,M70)</f>
        <v>29.4</v>
      </c>
      <c r="N247" s="894">
        <f>SUM(N224,N144,N70)</f>
        <v>35.4</v>
      </c>
      <c r="O247" s="1282"/>
      <c r="Q247" s="1065">
        <f t="shared" si="48"/>
        <v>1892.2</v>
      </c>
      <c r="R247" s="1065">
        <f t="shared" si="48"/>
        <v>1698.8</v>
      </c>
      <c r="S247" s="1065">
        <f t="shared" si="48"/>
        <v>193.4</v>
      </c>
    </row>
    <row r="248" spans="1:24" ht="62.25" customHeight="1">
      <c r="A248" s="2402" t="s">
        <v>1031</v>
      </c>
      <c r="B248" s="2406"/>
      <c r="C248" s="893">
        <f t="shared" si="44"/>
        <v>310931.59999999998</v>
      </c>
      <c r="D248" s="894">
        <f>SUM(D249:D250)</f>
        <v>0</v>
      </c>
      <c r="E248" s="894">
        <f>SUM(E249:E250)</f>
        <v>310931.59999999998</v>
      </c>
      <c r="F248" s="893">
        <f t="shared" si="45"/>
        <v>307528.09999999998</v>
      </c>
      <c r="G248" s="894">
        <f>SUM(G249:G250)</f>
        <v>0</v>
      </c>
      <c r="H248" s="894">
        <f>SUM(H249:H250)</f>
        <v>307528.09999999998</v>
      </c>
      <c r="I248" s="893">
        <f t="shared" si="46"/>
        <v>41413.800000000003</v>
      </c>
      <c r="J248" s="894">
        <f>SUM(J249:J250)</f>
        <v>0</v>
      </c>
      <c r="K248" s="894">
        <f>SUM(K249:K250)</f>
        <v>41413.800000000003</v>
      </c>
      <c r="L248" s="893">
        <f t="shared" si="47"/>
        <v>103.6</v>
      </c>
      <c r="M248" s="894">
        <f t="shared" ref="M248:N251" si="49">SUM(M226,M152,M71)</f>
        <v>51.8</v>
      </c>
      <c r="N248" s="894">
        <f t="shared" si="49"/>
        <v>51.8</v>
      </c>
      <c r="O248" s="1282"/>
      <c r="Q248" s="1065">
        <f t="shared" si="48"/>
        <v>3403.5</v>
      </c>
      <c r="R248" s="1065">
        <f t="shared" si="48"/>
        <v>0</v>
      </c>
      <c r="S248" s="1065">
        <f t="shared" si="48"/>
        <v>3403.5</v>
      </c>
    </row>
    <row r="249" spans="1:24" ht="36" customHeight="1">
      <c r="A249" s="895"/>
      <c r="B249" s="1247" t="s">
        <v>778</v>
      </c>
      <c r="C249" s="893">
        <f t="shared" si="44"/>
        <v>111250.5</v>
      </c>
      <c r="D249" s="873">
        <f>SUM(D145,D146,D147,D148,D149,D151,D150,D176,D180,D183,D190,D192,D194,D199,D179,D159:D161)</f>
        <v>0</v>
      </c>
      <c r="E249" s="873">
        <f>SUM(E145,E146,E147,E148,E149,E151,E150,E176,E180,E183,E190,E192,E194,E199,E179,E159:E161)</f>
        <v>111250.5</v>
      </c>
      <c r="F249" s="893">
        <f t="shared" si="45"/>
        <v>111250.5</v>
      </c>
      <c r="G249" s="873">
        <f>SUM(G145,G146,G147,G148,G149,G151,G150,G176,G180,G183,G190,G192,G194,G199,G179,G159:G161)</f>
        <v>0</v>
      </c>
      <c r="H249" s="873">
        <f>SUM(H145,H146,H147,H148,H149,H151,H150,H176,H180,H183,H190,H192,H194,H199,H179,H159:H161)</f>
        <v>111250.5</v>
      </c>
      <c r="I249" s="893">
        <f t="shared" si="46"/>
        <v>18579.599999999999</v>
      </c>
      <c r="J249" s="873">
        <f>SUM(J145,J146,J147,J148,J149,J151,J150,J176,J180,J183,J190,J192,J194,J199,J179,J159:J161)</f>
        <v>0</v>
      </c>
      <c r="K249" s="873">
        <f>SUM(K145,K146,K147,K148,K149,K151,K150,K176,K180,K183,K190,K192,K194,K199,K179,K159:K161)</f>
        <v>18579.599999999999</v>
      </c>
      <c r="L249" s="893">
        <f t="shared" si="47"/>
        <v>181.2</v>
      </c>
      <c r="M249" s="894">
        <f t="shared" si="49"/>
        <v>90.6</v>
      </c>
      <c r="N249" s="894">
        <f t="shared" si="49"/>
        <v>90.6</v>
      </c>
      <c r="O249" s="1282"/>
      <c r="Q249" s="1065">
        <f t="shared" si="48"/>
        <v>0</v>
      </c>
      <c r="R249" s="1065">
        <f t="shared" si="48"/>
        <v>0</v>
      </c>
      <c r="S249" s="1065">
        <f t="shared" si="48"/>
        <v>0</v>
      </c>
      <c r="T249" s="1114"/>
    </row>
    <row r="250" spans="1:24" ht="36" customHeight="1">
      <c r="A250" s="895"/>
      <c r="B250" s="1247" t="s">
        <v>779</v>
      </c>
      <c r="C250" s="893">
        <f t="shared" si="44"/>
        <v>199681.1</v>
      </c>
      <c r="D250" s="873">
        <f>SUM(D105:D115,D92:D99,D116:D120,D121:D124,D103,D126:D138)</f>
        <v>0</v>
      </c>
      <c r="E250" s="873">
        <f>SUM(E105:E115,E92:E99,E116:E120,E121:E124,E103,E126:E138,E140,E143)</f>
        <v>199681.1</v>
      </c>
      <c r="F250" s="893">
        <f t="shared" si="45"/>
        <v>196277.6</v>
      </c>
      <c r="G250" s="873">
        <f>SUM(G105:G115,G92:G99,G116:G120,G121:G124,G103,G126:G138)</f>
        <v>0</v>
      </c>
      <c r="H250" s="873">
        <f>SUM(H105:H115,H92:H99,H116:H120,H121:H124,H103,H126:H138,H140,H143)</f>
        <v>196277.6</v>
      </c>
      <c r="I250" s="893">
        <f t="shared" si="46"/>
        <v>22834.2</v>
      </c>
      <c r="J250" s="873">
        <f>SUM(J105:J115,J92:J99,J116:J120,J121:J124,J103,J126:J138)</f>
        <v>0</v>
      </c>
      <c r="K250" s="873">
        <f>SUM(K105:K115,K92:K99,K116:K120,K121:K124,K103,K126:K138,K140,K143)</f>
        <v>22834.2</v>
      </c>
      <c r="L250" s="893">
        <f t="shared" si="47"/>
        <v>40</v>
      </c>
      <c r="M250" s="894">
        <f t="shared" si="49"/>
        <v>20</v>
      </c>
      <c r="N250" s="894">
        <f t="shared" si="49"/>
        <v>20</v>
      </c>
      <c r="O250" s="1282"/>
      <c r="Q250" s="1065">
        <f t="shared" si="48"/>
        <v>3403.5</v>
      </c>
      <c r="R250" s="1065">
        <f t="shared" si="48"/>
        <v>0</v>
      </c>
      <c r="S250" s="1065">
        <f t="shared" si="48"/>
        <v>3403.5</v>
      </c>
    </row>
    <row r="251" spans="1:24" ht="70.5" customHeight="1">
      <c r="A251" s="2397" t="s">
        <v>1316</v>
      </c>
      <c r="B251" s="2398"/>
      <c r="C251" s="876">
        <f>D251+E251</f>
        <v>681440.7</v>
      </c>
      <c r="D251" s="879">
        <f>D13-D245-D246-D247-D248</f>
        <v>56500</v>
      </c>
      <c r="E251" s="879">
        <f>E13-E245-E246-E247-E248</f>
        <v>624940.69999999995</v>
      </c>
      <c r="F251" s="876">
        <f>G251+H251</f>
        <v>677233.7</v>
      </c>
      <c r="G251" s="879">
        <f>G13-G245-G246-G247-G248</f>
        <v>56500</v>
      </c>
      <c r="H251" s="879">
        <f>H13-H245-H246-H247-H248</f>
        <v>620733.69999999995</v>
      </c>
      <c r="I251" s="876">
        <f>J251+K251</f>
        <v>47119.7</v>
      </c>
      <c r="J251" s="879">
        <f>J13-J245-J246-J247-J248</f>
        <v>25602.5</v>
      </c>
      <c r="K251" s="879">
        <f>K13-K245-K246-K247-K248</f>
        <v>21517.200000000001</v>
      </c>
      <c r="L251" s="893">
        <f t="shared" si="47"/>
        <v>48.4</v>
      </c>
      <c r="M251" s="894">
        <f t="shared" si="49"/>
        <v>24.2</v>
      </c>
      <c r="N251" s="894">
        <f t="shared" si="49"/>
        <v>24.2</v>
      </c>
      <c r="O251" s="1282"/>
      <c r="Q251" s="1065">
        <f t="shared" si="48"/>
        <v>4207</v>
      </c>
      <c r="R251" s="1065">
        <f t="shared" si="48"/>
        <v>0</v>
      </c>
      <c r="S251" s="1065">
        <f t="shared" si="48"/>
        <v>4207</v>
      </c>
    </row>
    <row r="252" spans="1:24" ht="60" customHeight="1">
      <c r="A252" s="1103"/>
      <c r="B252" s="797"/>
      <c r="C252" s="799"/>
      <c r="D252" s="799"/>
      <c r="E252" s="799"/>
      <c r="F252" s="799"/>
      <c r="G252" s="799"/>
      <c r="H252" s="799"/>
      <c r="I252" s="1204"/>
      <c r="J252" s="799"/>
      <c r="K252" s="799"/>
      <c r="L252" s="799"/>
      <c r="M252" s="799"/>
      <c r="N252" s="799"/>
      <c r="Q252" s="807" t="s">
        <v>813</v>
      </c>
      <c r="R252" s="1070" t="s">
        <v>814</v>
      </c>
      <c r="S252" s="1070" t="s">
        <v>815</v>
      </c>
    </row>
    <row r="253" spans="1:24" s="939" customFormat="1" ht="78.75" customHeight="1">
      <c r="A253" s="1104"/>
      <c r="B253" s="939" t="s">
        <v>310</v>
      </c>
      <c r="C253" s="940"/>
      <c r="D253" s="941"/>
      <c r="E253" s="1288"/>
      <c r="F253" s="941"/>
      <c r="G253" s="942"/>
      <c r="H253" s="942"/>
      <c r="I253" s="1205"/>
      <c r="J253" s="942"/>
      <c r="K253" s="2399" t="s">
        <v>613</v>
      </c>
      <c r="L253" s="2399"/>
      <c r="M253" s="943"/>
      <c r="N253" s="943"/>
      <c r="O253" s="1208"/>
      <c r="P253" s="1208"/>
      <c r="Q253" s="807"/>
      <c r="R253" s="778"/>
      <c r="S253" s="778">
        <f>S141+S142</f>
        <v>0</v>
      </c>
      <c r="T253" s="1138" t="s">
        <v>1034</v>
      </c>
      <c r="U253" s="1100"/>
      <c r="V253" s="1099"/>
      <c r="W253" s="1099"/>
      <c r="X253" s="1216"/>
    </row>
    <row r="254" spans="1:24" ht="88.5" customHeight="1">
      <c r="A254" s="1105"/>
      <c r="B254" s="791"/>
      <c r="C254" s="793"/>
      <c r="E254" s="2459"/>
      <c r="F254" s="2459"/>
      <c r="G254" s="756"/>
      <c r="Q254" s="807"/>
      <c r="R254" s="778">
        <f>R222</f>
        <v>1698.8</v>
      </c>
      <c r="S254" s="778">
        <f>S222</f>
        <v>193.5</v>
      </c>
      <c r="T254" s="1138" t="s">
        <v>1033</v>
      </c>
    </row>
    <row r="255" spans="1:24" ht="45" customHeight="1">
      <c r="A255" s="1105"/>
      <c r="B255" s="791"/>
      <c r="C255" s="793"/>
      <c r="E255" s="1240"/>
      <c r="F255" s="1014"/>
      <c r="G255" s="756"/>
      <c r="Q255" s="807"/>
      <c r="R255" s="1071"/>
      <c r="S255" s="1071"/>
      <c r="T255" s="1138"/>
    </row>
    <row r="256" spans="1:24" ht="58.5" customHeight="1">
      <c r="E256" s="742"/>
      <c r="Q256" s="1071"/>
      <c r="R256" s="778">
        <f>R19</f>
        <v>43033.7</v>
      </c>
      <c r="S256" s="778">
        <f>S19</f>
        <v>434.7</v>
      </c>
      <c r="T256" s="1138" t="s">
        <v>816</v>
      </c>
    </row>
    <row r="257" spans="5:20" ht="46.5" customHeight="1">
      <c r="E257" s="742"/>
      <c r="Q257" s="778"/>
      <c r="R257" s="778"/>
      <c r="S257" s="778"/>
      <c r="T257" s="1138"/>
    </row>
    <row r="258" spans="5:20" ht="47.25" customHeight="1">
      <c r="Q258" s="1071"/>
      <c r="R258" s="1071"/>
      <c r="S258" s="778"/>
      <c r="T258" s="1138"/>
    </row>
    <row r="259" spans="5:20" ht="45" customHeight="1">
      <c r="R259" s="756">
        <f>R13-R253-R254-R255-R256-R257-R258</f>
        <v>-12300.3</v>
      </c>
      <c r="S259" s="756">
        <f>S13-S253-S254-S255-S256-S257-S258</f>
        <v>19910.400000000001</v>
      </c>
    </row>
    <row r="260" spans="5:20" ht="56.25" customHeight="1">
      <c r="R260" s="1067"/>
      <c r="S260" s="1067"/>
    </row>
  </sheetData>
  <mergeCells count="104">
    <mergeCell ref="A1:B1"/>
    <mergeCell ref="K1:N1"/>
    <mergeCell ref="I3:L3"/>
    <mergeCell ref="A5:W5"/>
    <mergeCell ref="A6:W6"/>
    <mergeCell ref="A7:W7"/>
    <mergeCell ref="X19:X21"/>
    <mergeCell ref="J9:K9"/>
    <mergeCell ref="P9:Q9"/>
    <mergeCell ref="A10:A11"/>
    <mergeCell ref="B10:B11"/>
    <mergeCell ref="C10:C11"/>
    <mergeCell ref="D10:E10"/>
    <mergeCell ref="F10:F11"/>
    <mergeCell ref="G10:H10"/>
    <mergeCell ref="I10:I11"/>
    <mergeCell ref="L10:L11"/>
    <mergeCell ref="M10:N10"/>
    <mergeCell ref="O10:O11"/>
    <mergeCell ref="P10:P11"/>
    <mergeCell ref="A14:B14"/>
    <mergeCell ref="J10:K10"/>
    <mergeCell ref="I65:I69"/>
    <mergeCell ref="J65:J69"/>
    <mergeCell ref="K65:K69"/>
    <mergeCell ref="L65:L69"/>
    <mergeCell ref="M65:M69"/>
    <mergeCell ref="I38:I39"/>
    <mergeCell ref="J38:J39"/>
    <mergeCell ref="K38:K39"/>
    <mergeCell ref="L38:L39"/>
    <mergeCell ref="M38:M39"/>
    <mergeCell ref="W65:W69"/>
    <mergeCell ref="X65:X69"/>
    <mergeCell ref="P66:P67"/>
    <mergeCell ref="T38:T39"/>
    <mergeCell ref="U38:U39"/>
    <mergeCell ref="V38:V39"/>
    <mergeCell ref="W38:W39"/>
    <mergeCell ref="X38:X39"/>
    <mergeCell ref="N65:N69"/>
    <mergeCell ref="T65:T69"/>
    <mergeCell ref="U65:U69"/>
    <mergeCell ref="V65:V69"/>
    <mergeCell ref="N38:N39"/>
    <mergeCell ref="T100:T101"/>
    <mergeCell ref="U100:U101"/>
    <mergeCell ref="V100:V101"/>
    <mergeCell ref="W100:W101"/>
    <mergeCell ref="X100:X101"/>
    <mergeCell ref="A103:A104"/>
    <mergeCell ref="I100:I101"/>
    <mergeCell ref="J100:J101"/>
    <mergeCell ref="K100:K101"/>
    <mergeCell ref="L100:L101"/>
    <mergeCell ref="M100:M101"/>
    <mergeCell ref="N100:N101"/>
    <mergeCell ref="W152:W158"/>
    <mergeCell ref="X152:X158"/>
    <mergeCell ref="A176:A177"/>
    <mergeCell ref="J152:J158"/>
    <mergeCell ref="K152:K158"/>
    <mergeCell ref="L152:L158"/>
    <mergeCell ref="M152:M158"/>
    <mergeCell ref="N152:N158"/>
    <mergeCell ref="L181:L182"/>
    <mergeCell ref="M181:M182"/>
    <mergeCell ref="N181:N182"/>
    <mergeCell ref="T152:T158"/>
    <mergeCell ref="U152:U158"/>
    <mergeCell ref="V152:V158"/>
    <mergeCell ref="P181:P182"/>
    <mergeCell ref="T181:T182"/>
    <mergeCell ref="U181:U182"/>
    <mergeCell ref="V181:V182"/>
    <mergeCell ref="W181:W182"/>
    <mergeCell ref="X181:X182"/>
    <mergeCell ref="T184:T186"/>
    <mergeCell ref="U184:U186"/>
    <mergeCell ref="V184:V186"/>
    <mergeCell ref="W184:W186"/>
    <mergeCell ref="X184:X186"/>
    <mergeCell ref="I184:I186"/>
    <mergeCell ref="J184:J186"/>
    <mergeCell ref="K184:K186"/>
    <mergeCell ref="L184:L186"/>
    <mergeCell ref="M184:M186"/>
    <mergeCell ref="E254:F254"/>
    <mergeCell ref="A190:A191"/>
    <mergeCell ref="A192:A193"/>
    <mergeCell ref="A194:A195"/>
    <mergeCell ref="A199:A200"/>
    <mergeCell ref="A202:B202"/>
    <mergeCell ref="A245:B245"/>
    <mergeCell ref="O181:O182"/>
    <mergeCell ref="A246:B246"/>
    <mergeCell ref="A247:B247"/>
    <mergeCell ref="A248:B248"/>
    <mergeCell ref="A251:B251"/>
    <mergeCell ref="K253:L253"/>
    <mergeCell ref="N184:N186"/>
    <mergeCell ref="I181:I182"/>
    <mergeCell ref="J181:J182"/>
    <mergeCell ref="K181:K182"/>
  </mergeCells>
  <pageMargins left="0.19685039370078741" right="0.19685039370078741" top="0.23622047244094491" bottom="0.23622047244094491" header="0.15748031496062992" footer="0.19685039370078741"/>
  <pageSetup paperSize="9" scale="36" fitToHeight="20" orientation="landscape" r:id="rId1"/>
  <customProperties>
    <customPr name="krista_fm_consts" r:id="rId2"/>
  </customProperties>
</worksheet>
</file>

<file path=xl/worksheets/sheet22.xml><?xml version="1.0" encoding="utf-8"?>
<worksheet xmlns="http://schemas.openxmlformats.org/spreadsheetml/2006/main" xmlns:r="http://schemas.openxmlformats.org/officeDocument/2006/relationships">
  <dimension ref="A1:Y256"/>
  <sheetViews>
    <sheetView zoomScale="60" zoomScaleNormal="60" zoomScaleSheetLayoutView="40" workbookViewId="0">
      <pane xSplit="2" ySplit="12" topLeftCell="C167" activePane="bottomRight" state="frozen"/>
      <selection pane="topRight" activeCell="C1" sqref="C1"/>
      <selection pane="bottomLeft" activeCell="A12" sqref="A12"/>
      <selection pane="bottomRight" activeCell="B59" sqref="B59"/>
    </sheetView>
  </sheetViews>
  <sheetFormatPr defaultColWidth="9.140625" defaultRowHeight="30"/>
  <cols>
    <col min="1" max="1" width="12.7109375" style="1101" hidden="1" customWidth="1"/>
    <col min="2" max="2" width="122" style="497" customWidth="1"/>
    <col min="3" max="3" width="24.140625" style="700" customWidth="1"/>
    <col min="4" max="4" width="24.28515625" style="497" customWidth="1"/>
    <col min="5" max="5" width="23.28515625" style="497" customWidth="1"/>
    <col min="6" max="6" width="23.28515625" style="700" hidden="1" customWidth="1"/>
    <col min="7" max="7" width="25.85546875" style="497" hidden="1" customWidth="1"/>
    <col min="8" max="8" width="23.42578125" style="497" hidden="1" customWidth="1"/>
    <col min="9" max="9" width="20.28515625" style="714" customWidth="1"/>
    <col min="10" max="10" width="22.5703125" style="497" customWidth="1"/>
    <col min="11" max="11" width="22" style="497" bestFit="1"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41.7109375" style="736" hidden="1" customWidth="1"/>
    <col min="26" max="16384" width="9.140625" style="497"/>
  </cols>
  <sheetData>
    <row r="1" spans="1:25">
      <c r="A1" s="2359"/>
      <c r="B1" s="2359"/>
      <c r="C1" s="817"/>
      <c r="D1" s="817"/>
      <c r="E1" s="817"/>
      <c r="F1" s="817"/>
      <c r="G1" s="817"/>
      <c r="H1" s="817"/>
      <c r="I1" s="817"/>
      <c r="K1" s="2384"/>
      <c r="L1" s="2384"/>
      <c r="M1" s="2384"/>
      <c r="N1" s="2384"/>
    </row>
    <row r="2" spans="1:25" hidden="1">
      <c r="B2" s="1262"/>
      <c r="C2" s="714"/>
      <c r="D2" s="1262"/>
      <c r="E2" s="1262"/>
      <c r="L2" s="714"/>
    </row>
    <row r="3" spans="1:25" s="467" customFormat="1" hidden="1">
      <c r="A3" s="860"/>
      <c r="B3" s="859"/>
      <c r="C3" s="715"/>
      <c r="D3" s="716"/>
      <c r="E3" s="716"/>
      <c r="F3" s="715"/>
      <c r="G3" s="716"/>
      <c r="H3" s="716"/>
      <c r="I3" s="2312"/>
      <c r="J3" s="2312"/>
      <c r="K3" s="2312"/>
      <c r="L3" s="2312"/>
      <c r="N3" s="717"/>
      <c r="O3" s="1221"/>
      <c r="P3" s="1221"/>
      <c r="T3" s="1107"/>
      <c r="U3" s="1108"/>
      <c r="V3" s="1107"/>
      <c r="W3" s="1107"/>
      <c r="X3" s="1217"/>
      <c r="Y3" s="1110"/>
    </row>
    <row r="4" spans="1:25" s="467" customFormat="1" ht="43.5" hidden="1" customHeight="1">
      <c r="A4" s="860"/>
      <c r="B4" s="859"/>
      <c r="C4" s="815">
        <f>6162009.6</f>
        <v>6162009.5999999996</v>
      </c>
      <c r="D4" s="716"/>
      <c r="E4" s="716"/>
      <c r="F4" s="815">
        <v>5873905</v>
      </c>
      <c r="G4" s="469"/>
      <c r="H4" s="469"/>
      <c r="I4" s="1199">
        <v>2407625.6</v>
      </c>
      <c r="J4" s="469"/>
      <c r="K4" s="469"/>
      <c r="L4" s="1272"/>
      <c r="N4" s="717"/>
      <c r="O4" s="1221"/>
      <c r="P4" s="1221"/>
      <c r="T4" s="1107"/>
      <c r="U4" s="1108"/>
      <c r="V4" s="1107"/>
      <c r="W4" s="1107"/>
      <c r="X4" s="1217"/>
      <c r="Y4" s="1110"/>
    </row>
    <row r="5" spans="1:25" s="467" customFormat="1" ht="38.2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Y5" s="1110"/>
    </row>
    <row r="6" spans="1:25"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Y6" s="1110"/>
    </row>
    <row r="7" spans="1:25" s="467" customFormat="1" ht="38.25" customHeight="1">
      <c r="A7" s="2473" t="s">
        <v>1168</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Y7" s="1110"/>
    </row>
    <row r="8" spans="1:25" s="467" customFormat="1" ht="36" customHeight="1">
      <c r="A8" s="1072"/>
      <c r="B8" s="1072"/>
      <c r="C8" s="1064"/>
      <c r="D8" s="1064"/>
      <c r="E8" s="1064"/>
      <c r="F8" s="1064"/>
      <c r="G8" s="1064"/>
      <c r="H8" s="1064"/>
      <c r="I8" s="1200"/>
      <c r="J8" s="1057"/>
      <c r="K8" s="1064"/>
      <c r="L8" s="1057"/>
      <c r="M8" s="1057"/>
      <c r="N8" s="1057"/>
      <c r="O8" s="1221"/>
      <c r="P8" s="1221"/>
      <c r="Q8" s="858"/>
      <c r="T8" s="1107"/>
      <c r="U8" s="1108"/>
      <c r="V8" s="1107"/>
      <c r="W8" s="1107"/>
      <c r="X8" s="1217"/>
      <c r="Y8" s="1110"/>
    </row>
    <row r="9" spans="1:25" s="1063" customFormat="1" ht="20.25" customHeight="1">
      <c r="A9" s="1073"/>
      <c r="B9" s="1073"/>
      <c r="C9" s="1059"/>
      <c r="D9" s="1058"/>
      <c r="E9" s="1058"/>
      <c r="F9" s="1061"/>
      <c r="G9" s="1058"/>
      <c r="H9" s="1060"/>
      <c r="I9" s="1201"/>
      <c r="J9" s="2423"/>
      <c r="K9" s="2423"/>
      <c r="N9" s="1062" t="s">
        <v>1314</v>
      </c>
      <c r="O9" s="1221"/>
      <c r="P9" s="2423" t="s">
        <v>377</v>
      </c>
      <c r="Q9" s="2423"/>
      <c r="T9" s="1107"/>
      <c r="U9" s="1108"/>
      <c r="V9" s="1107"/>
      <c r="W9" s="1107"/>
      <c r="X9" s="1212"/>
      <c r="Y9" s="1111"/>
    </row>
    <row r="10" spans="1:25" s="791" customFormat="1" ht="70.5" customHeight="1">
      <c r="A10" s="2394" t="s">
        <v>18</v>
      </c>
      <c r="B10" s="2395" t="s">
        <v>0</v>
      </c>
      <c r="C10" s="2396" t="s">
        <v>614</v>
      </c>
      <c r="D10" s="2424" t="s">
        <v>257</v>
      </c>
      <c r="E10" s="2424"/>
      <c r="F10" s="2396" t="s">
        <v>442</v>
      </c>
      <c r="G10" s="2424" t="s">
        <v>257</v>
      </c>
      <c r="H10" s="2424"/>
      <c r="I10" s="2407" t="s">
        <v>237</v>
      </c>
      <c r="J10" s="2424" t="s">
        <v>257</v>
      </c>
      <c r="K10" s="2424"/>
      <c r="L10" s="2396" t="s">
        <v>1313</v>
      </c>
      <c r="M10" s="2424" t="s">
        <v>448</v>
      </c>
      <c r="N10" s="2424"/>
      <c r="O10" s="2460" t="s">
        <v>1110</v>
      </c>
      <c r="P10" s="2460" t="s">
        <v>1106</v>
      </c>
      <c r="T10" s="1099"/>
      <c r="U10" s="1100"/>
      <c r="V10" s="1099"/>
      <c r="W10" s="1099"/>
      <c r="X10" s="1216"/>
      <c r="Y10" s="1112"/>
    </row>
    <row r="11" spans="1:25" s="791" customFormat="1" ht="150" customHeight="1">
      <c r="A11" s="2394"/>
      <c r="B11" s="2395"/>
      <c r="C11" s="2396"/>
      <c r="D11" s="905" t="s">
        <v>1074</v>
      </c>
      <c r="E11" s="905" t="s">
        <v>258</v>
      </c>
      <c r="F11" s="2396"/>
      <c r="G11" s="905" t="s">
        <v>1074</v>
      </c>
      <c r="H11" s="905" t="s">
        <v>258</v>
      </c>
      <c r="I11" s="2408"/>
      <c r="J11" s="905" t="s">
        <v>1074</v>
      </c>
      <c r="K11" s="905" t="s">
        <v>258</v>
      </c>
      <c r="L11" s="2396"/>
      <c r="M11" s="905" t="s">
        <v>1074</v>
      </c>
      <c r="N11" s="905" t="s">
        <v>258</v>
      </c>
      <c r="O11" s="2461"/>
      <c r="P11" s="2461"/>
      <c r="T11" s="1099"/>
      <c r="U11" s="1100"/>
      <c r="V11" s="1099"/>
      <c r="W11" s="1099"/>
      <c r="X11" s="1216"/>
      <c r="Y11" s="1112"/>
    </row>
    <row r="12" spans="1:25" ht="26.25">
      <c r="A12" s="263">
        <v>1</v>
      </c>
      <c r="B12" s="263">
        <v>2</v>
      </c>
      <c r="C12" s="263">
        <v>3</v>
      </c>
      <c r="D12" s="263">
        <v>4</v>
      </c>
      <c r="E12" s="263">
        <v>5</v>
      </c>
      <c r="F12" s="721">
        <v>7</v>
      </c>
      <c r="G12" s="721">
        <v>8</v>
      </c>
      <c r="H12" s="721">
        <v>9</v>
      </c>
      <c r="I12" s="721">
        <v>6</v>
      </c>
      <c r="J12" s="721">
        <v>7</v>
      </c>
      <c r="K12" s="721">
        <v>8</v>
      </c>
      <c r="L12" s="721">
        <v>9</v>
      </c>
      <c r="M12" s="721">
        <v>10</v>
      </c>
      <c r="N12" s="721">
        <v>11</v>
      </c>
      <c r="O12" s="30">
        <v>10</v>
      </c>
      <c r="P12" s="30">
        <v>11</v>
      </c>
      <c r="Q12" s="497" t="s">
        <v>791</v>
      </c>
      <c r="T12" s="1206"/>
      <c r="U12" s="1207"/>
      <c r="V12" s="1206"/>
      <c r="W12" s="1206"/>
    </row>
    <row r="13" spans="1:25" s="914" customFormat="1" hidden="1">
      <c r="A13" s="944"/>
      <c r="B13" s="1234" t="s">
        <v>10</v>
      </c>
      <c r="C13" s="917">
        <f>SUM(D13:E13)</f>
        <v>6242398.5999999996</v>
      </c>
      <c r="D13" s="917">
        <f>SUM(D14,D198)</f>
        <v>4964014.5999999996</v>
      </c>
      <c r="E13" s="917">
        <f>SUM(E14,E198)</f>
        <v>1278384</v>
      </c>
      <c r="F13" s="917">
        <f>SUM(G13:H13)</f>
        <v>6106380.9000000004</v>
      </c>
      <c r="G13" s="917">
        <f>SUM(G14,G198)</f>
        <v>4670058.5</v>
      </c>
      <c r="H13" s="917">
        <f>SUM(H14,H198)</f>
        <v>1436322.4</v>
      </c>
      <c r="I13" s="917">
        <f>SUM(J13:K13)</f>
        <v>217127.3</v>
      </c>
      <c r="J13" s="917">
        <f>SUM(J14,J198)</f>
        <v>153907.9</v>
      </c>
      <c r="K13" s="917">
        <f>SUM(K14,K198)</f>
        <v>63219.4</v>
      </c>
      <c r="L13" s="918">
        <f t="shared" ref="L13:N14" si="0">IF(I13=0,0,I13/F13*100)</f>
        <v>3.6</v>
      </c>
      <c r="M13" s="918">
        <f t="shared" si="0"/>
        <v>3.3</v>
      </c>
      <c r="N13" s="918">
        <f t="shared" si="0"/>
        <v>4.4000000000000004</v>
      </c>
      <c r="O13" s="1232" t="s">
        <v>353</v>
      </c>
      <c r="P13" s="1232"/>
      <c r="Q13" s="1229">
        <f t="shared" ref="Q13:S78" si="1">C13-F13</f>
        <v>136017.70000000001</v>
      </c>
      <c r="R13" s="1229">
        <f t="shared" si="1"/>
        <v>293956.09999999998</v>
      </c>
      <c r="S13" s="1229">
        <f t="shared" si="1"/>
        <v>-157938.4</v>
      </c>
      <c r="T13" s="1230"/>
      <c r="U13" s="1231"/>
      <c r="V13" s="1230"/>
      <c r="W13" s="1230"/>
      <c r="X13" s="1216"/>
      <c r="Y13" s="913"/>
    </row>
    <row r="14" spans="1:25" s="914" customFormat="1" ht="71.25" hidden="1" customHeight="1">
      <c r="A14" s="2401" t="s">
        <v>453</v>
      </c>
      <c r="B14" s="2401"/>
      <c r="C14" s="917">
        <f>D14+E14</f>
        <v>5042232.2</v>
      </c>
      <c r="D14" s="917">
        <f>SUM(D16,D88)</f>
        <v>4054514.6</v>
      </c>
      <c r="E14" s="917">
        <f>SUM(E16,E88)</f>
        <v>987717.6</v>
      </c>
      <c r="F14" s="917">
        <f>G14+H14</f>
        <v>4903660.8</v>
      </c>
      <c r="G14" s="917">
        <f>SUM(G16,G88)</f>
        <v>3762257.3</v>
      </c>
      <c r="H14" s="917">
        <f>SUM(H16,H88)</f>
        <v>1141403.5</v>
      </c>
      <c r="I14" s="917">
        <f>SUM(J14:K14)</f>
        <v>102776.3</v>
      </c>
      <c r="J14" s="917">
        <f>SUM(J16,J89)</f>
        <v>59689.9</v>
      </c>
      <c r="K14" s="917">
        <f>SUM(K16,K89)</f>
        <v>43086.400000000001</v>
      </c>
      <c r="L14" s="918">
        <f t="shared" si="0"/>
        <v>2.1</v>
      </c>
      <c r="M14" s="920">
        <f t="shared" si="0"/>
        <v>1.6</v>
      </c>
      <c r="N14" s="920">
        <f t="shared" si="0"/>
        <v>3.8</v>
      </c>
      <c r="O14" s="1232" t="s">
        <v>353</v>
      </c>
      <c r="P14" s="1232" t="s">
        <v>353</v>
      </c>
      <c r="Q14" s="1229">
        <f t="shared" si="1"/>
        <v>138571.4</v>
      </c>
      <c r="R14" s="1229">
        <f t="shared" si="1"/>
        <v>292257.3</v>
      </c>
      <c r="S14" s="1229">
        <f t="shared" si="1"/>
        <v>-153685.9</v>
      </c>
      <c r="T14" s="1230"/>
      <c r="U14" s="1231"/>
      <c r="V14" s="1230"/>
      <c r="W14" s="1230"/>
      <c r="X14" s="1216"/>
      <c r="Y14" s="913"/>
    </row>
    <row r="15" spans="1:25" s="914" customFormat="1" ht="54" hidden="1">
      <c r="A15" s="944" t="s">
        <v>6</v>
      </c>
      <c r="B15" s="1234" t="s">
        <v>437</v>
      </c>
      <c r="C15" s="922"/>
      <c r="D15" s="922"/>
      <c r="E15" s="922"/>
      <c r="F15" s="922"/>
      <c r="G15" s="922"/>
      <c r="H15" s="922"/>
      <c r="I15" s="922"/>
      <c r="J15" s="922"/>
      <c r="K15" s="922"/>
      <c r="L15" s="923"/>
      <c r="M15" s="924"/>
      <c r="N15" s="924"/>
      <c r="O15" s="1214"/>
      <c r="P15" s="1214"/>
      <c r="Q15" s="1065">
        <f t="shared" si="1"/>
        <v>0</v>
      </c>
      <c r="R15" s="1065">
        <f t="shared" si="1"/>
        <v>0</v>
      </c>
      <c r="S15" s="1065">
        <f t="shared" si="1"/>
        <v>0</v>
      </c>
      <c r="T15" s="1099"/>
      <c r="U15" s="1100"/>
      <c r="V15" s="1099"/>
      <c r="W15" s="1099"/>
      <c r="X15" s="1216"/>
      <c r="Y15" s="913"/>
    </row>
    <row r="16" spans="1:25" s="914" customFormat="1" ht="117" hidden="1" customHeight="1">
      <c r="A16" s="926" t="s">
        <v>6</v>
      </c>
      <c r="B16" s="1259" t="s">
        <v>439</v>
      </c>
      <c r="C16" s="926">
        <f>SUM(D16:E16)</f>
        <v>1359991.2</v>
      </c>
      <c r="D16" s="926">
        <f>SUM(D17)</f>
        <v>1097694.6000000001</v>
      </c>
      <c r="E16" s="926">
        <f>SUM(E17)</f>
        <v>262296.59999999998</v>
      </c>
      <c r="F16" s="926">
        <f>SUM(G16:H16)</f>
        <v>1310874.7</v>
      </c>
      <c r="G16" s="926">
        <f>SUM(G17)</f>
        <v>969161.8</v>
      </c>
      <c r="H16" s="926">
        <f>SUM(H17)</f>
        <v>341712.9</v>
      </c>
      <c r="I16" s="926">
        <f t="shared" ref="I16:I61" si="2">SUM(J16:K16)</f>
        <v>32344.9</v>
      </c>
      <c r="J16" s="926">
        <f>SUM(J17)</f>
        <v>30692.9</v>
      </c>
      <c r="K16" s="926">
        <f>SUM(K17)</f>
        <v>1652</v>
      </c>
      <c r="L16" s="927">
        <f t="shared" ref="L16:N37" si="3">IF(I16=0,0,I16/F16*100)</f>
        <v>2.5</v>
      </c>
      <c r="M16" s="928">
        <f t="shared" si="3"/>
        <v>3.2</v>
      </c>
      <c r="N16" s="928">
        <f t="shared" si="3"/>
        <v>0.5</v>
      </c>
      <c r="O16" s="1233" t="s">
        <v>353</v>
      </c>
      <c r="P16" s="1233" t="s">
        <v>353</v>
      </c>
      <c r="Q16" s="1065">
        <f t="shared" si="1"/>
        <v>49116.5</v>
      </c>
      <c r="R16" s="1065">
        <f t="shared" si="1"/>
        <v>128532.8</v>
      </c>
      <c r="S16" s="1065">
        <f t="shared" si="1"/>
        <v>-79416.3</v>
      </c>
      <c r="T16" s="1114"/>
      <c r="U16" s="1100"/>
      <c r="V16" s="1099"/>
      <c r="W16" s="1099"/>
      <c r="X16" s="1216"/>
      <c r="Y16" s="913"/>
    </row>
    <row r="17" spans="1:25" s="914" customFormat="1" ht="63.75" hidden="1" customHeight="1">
      <c r="A17" s="929" t="s">
        <v>253</v>
      </c>
      <c r="B17" s="1260" t="s">
        <v>41</v>
      </c>
      <c r="C17" s="929">
        <f>SUM(D17:E17)</f>
        <v>1359991.2</v>
      </c>
      <c r="D17" s="929">
        <f>SUM(D18:D19,D20,D22,D25,D27,D30,D33,D35,D40,D44,D47,D49,D53,D58,D60,D62,D70,D64,D21,D56)</f>
        <v>1097694.6000000001</v>
      </c>
      <c r="E17" s="929">
        <f>SUM(E18:E19,E20,E22,E25,E27,E30,E33,E35,E40,E44,E47,E49,E53,E58,E60,E62,E70,E64,E21,E56)</f>
        <v>262296.59999999998</v>
      </c>
      <c r="F17" s="929">
        <f>SUM(G17:H17)</f>
        <v>1310874.7</v>
      </c>
      <c r="G17" s="929">
        <f>SUM(G18:G19,G20,G22,G25,G27,G30,G33,G35,G40,G44,G47,G49,G53,G58,G60,G62,G70,G64,G21,G56)</f>
        <v>969161.8</v>
      </c>
      <c r="H17" s="929">
        <f>SUM(H18:H19,H20,H22,H25,H27,H30,H33,H35,H40,H44,H47,H49,H53,H58,H60,H62,H70,H64,H21,H56)</f>
        <v>341712.9</v>
      </c>
      <c r="I17" s="929">
        <f t="shared" si="2"/>
        <v>32344.9</v>
      </c>
      <c r="J17" s="929">
        <f>SUM(J18:J19,J20,J22,J25,J27,J30,J33,J35,J40,J44,J47,J49,J53,J58,J60,J62,J70,J64,J21,J56)</f>
        <v>30692.9</v>
      </c>
      <c r="K17" s="929">
        <f>SUM(K18:K19,K20,K22,K25,K27,K30,K33,K35,K40,K44,K47,K49,K53,K58,K60,K62,K70,K64,K21,K56)</f>
        <v>1652</v>
      </c>
      <c r="L17" s="930">
        <f t="shared" si="3"/>
        <v>2.5</v>
      </c>
      <c r="M17" s="931">
        <f t="shared" si="3"/>
        <v>3.2</v>
      </c>
      <c r="N17" s="931">
        <f t="shared" si="3"/>
        <v>0.5</v>
      </c>
      <c r="O17" s="1228" t="s">
        <v>353</v>
      </c>
      <c r="P17" s="1228" t="s">
        <v>353</v>
      </c>
      <c r="Q17" s="1065">
        <f t="shared" si="1"/>
        <v>49116.5</v>
      </c>
      <c r="R17" s="1065">
        <f t="shared" si="1"/>
        <v>128532.8</v>
      </c>
      <c r="S17" s="1065">
        <f t="shared" si="1"/>
        <v>-79416.3</v>
      </c>
      <c r="T17" s="1099"/>
      <c r="U17" s="1100"/>
      <c r="V17" s="1099"/>
      <c r="W17" s="1099"/>
      <c r="X17" s="1216"/>
      <c r="Y17" s="913"/>
    </row>
    <row r="18" spans="1:25" s="736" customFormat="1" ht="105" hidden="1">
      <c r="A18" s="1267" t="s">
        <v>538</v>
      </c>
      <c r="B18" s="1066" t="s">
        <v>434</v>
      </c>
      <c r="C18" s="871">
        <f t="shared" ref="C18:C69" si="4">SUM(D18:E18)</f>
        <v>0</v>
      </c>
      <c r="D18" s="972"/>
      <c r="E18" s="972"/>
      <c r="F18" s="871">
        <f t="shared" ref="F18:F69" si="5">SUM(G18:H18)</f>
        <v>0</v>
      </c>
      <c r="G18" s="972"/>
      <c r="H18" s="972"/>
      <c r="I18" s="871">
        <f t="shared" si="2"/>
        <v>0</v>
      </c>
      <c r="J18" s="894"/>
      <c r="K18" s="894"/>
      <c r="L18" s="872">
        <f t="shared" si="3"/>
        <v>0</v>
      </c>
      <c r="M18" s="873">
        <f t="shared" si="3"/>
        <v>0</v>
      </c>
      <c r="N18" s="873">
        <f t="shared" si="3"/>
        <v>0</v>
      </c>
      <c r="O18" s="1214"/>
      <c r="P18" s="1214"/>
      <c r="Q18" s="1065">
        <f t="shared" si="1"/>
        <v>0</v>
      </c>
      <c r="R18" s="1065">
        <f t="shared" si="1"/>
        <v>0</v>
      </c>
      <c r="S18" s="1065">
        <f t="shared" si="1"/>
        <v>0</v>
      </c>
      <c r="T18" s="1099"/>
      <c r="U18" s="1100"/>
      <c r="V18" s="1099"/>
      <c r="W18" s="1099"/>
      <c r="X18" s="1216"/>
    </row>
    <row r="19" spans="1:25" s="736" customFormat="1" ht="90" customHeight="1">
      <c r="A19" s="1267" t="s">
        <v>538</v>
      </c>
      <c r="B19" s="1066" t="s">
        <v>1076</v>
      </c>
      <c r="C19" s="871">
        <f t="shared" si="4"/>
        <v>43468.4</v>
      </c>
      <c r="D19" s="972">
        <v>43033.7</v>
      </c>
      <c r="E19" s="972">
        <v>434.7</v>
      </c>
      <c r="F19" s="871">
        <f t="shared" si="5"/>
        <v>0</v>
      </c>
      <c r="G19" s="972">
        <v>0</v>
      </c>
      <c r="H19" s="972">
        <v>0</v>
      </c>
      <c r="I19" s="871">
        <f t="shared" si="2"/>
        <v>0</v>
      </c>
      <c r="J19" s="894">
        <v>0</v>
      </c>
      <c r="K19" s="894">
        <v>0</v>
      </c>
      <c r="L19" s="872">
        <f t="shared" si="3"/>
        <v>0</v>
      </c>
      <c r="M19" s="873">
        <f t="shared" si="3"/>
        <v>0</v>
      </c>
      <c r="N19" s="873">
        <f t="shared" si="3"/>
        <v>0</v>
      </c>
      <c r="O19" s="1214" t="s">
        <v>1171</v>
      </c>
      <c r="P19" s="1214" t="s">
        <v>1107</v>
      </c>
      <c r="Q19" s="1065">
        <f t="shared" si="1"/>
        <v>43468.4</v>
      </c>
      <c r="R19" s="1065">
        <f t="shared" si="1"/>
        <v>43033.7</v>
      </c>
      <c r="S19" s="1065">
        <f t="shared" si="1"/>
        <v>434.7</v>
      </c>
      <c r="T19" s="1099" t="s">
        <v>866</v>
      </c>
      <c r="U19" s="1100" t="s">
        <v>865</v>
      </c>
      <c r="V19" s="1099">
        <v>522</v>
      </c>
      <c r="W19" s="1099"/>
      <c r="X19" s="2480"/>
    </row>
    <row r="20" spans="1:25" s="892" customFormat="1" ht="139.5" hidden="1">
      <c r="A20" s="1267" t="s">
        <v>539</v>
      </c>
      <c r="B20" s="1066" t="s">
        <v>434</v>
      </c>
      <c r="C20" s="874">
        <f>SUM(D20:E20)</f>
        <v>14736.7</v>
      </c>
      <c r="D20" s="877">
        <v>14736.7</v>
      </c>
      <c r="E20" s="877">
        <v>0</v>
      </c>
      <c r="F20" s="882">
        <f>SUM(G20:H20)</f>
        <v>14736.7</v>
      </c>
      <c r="G20" s="877">
        <v>14736.7</v>
      </c>
      <c r="H20" s="877">
        <v>0</v>
      </c>
      <c r="I20" s="882">
        <f t="shared" si="2"/>
        <v>9709.4</v>
      </c>
      <c r="J20" s="1209">
        <v>9709.4</v>
      </c>
      <c r="K20" s="883">
        <v>0</v>
      </c>
      <c r="L20" s="876">
        <f t="shared" si="3"/>
        <v>65.900000000000006</v>
      </c>
      <c r="M20" s="877">
        <f t="shared" si="3"/>
        <v>65.900000000000006</v>
      </c>
      <c r="N20" s="877">
        <f t="shared" si="3"/>
        <v>0</v>
      </c>
      <c r="O20" s="1264" t="s">
        <v>1172</v>
      </c>
      <c r="P20" s="1214" t="s">
        <v>1108</v>
      </c>
      <c r="Q20" s="1065">
        <f t="shared" si="1"/>
        <v>0</v>
      </c>
      <c r="R20" s="1065">
        <f t="shared" si="1"/>
        <v>0</v>
      </c>
      <c r="S20" s="1065">
        <f t="shared" si="1"/>
        <v>0</v>
      </c>
      <c r="T20" s="1099" t="s">
        <v>961</v>
      </c>
      <c r="U20" s="1100" t="s">
        <v>962</v>
      </c>
      <c r="V20" s="1099">
        <v>522</v>
      </c>
      <c r="W20" s="1099"/>
      <c r="X20" s="2481"/>
      <c r="Y20" s="1118"/>
    </row>
    <row r="21" spans="1:25" s="892" customFormat="1" ht="139.5" hidden="1">
      <c r="A21" s="1267" t="s">
        <v>19</v>
      </c>
      <c r="B21" s="1066" t="s">
        <v>792</v>
      </c>
      <c r="C21" s="874">
        <f t="shared" si="4"/>
        <v>741029.8</v>
      </c>
      <c r="D21" s="877">
        <v>733604.7</v>
      </c>
      <c r="E21" s="877">
        <v>7425.1</v>
      </c>
      <c r="F21" s="882">
        <f t="shared" si="5"/>
        <v>741029.8</v>
      </c>
      <c r="G21" s="877">
        <v>733604.7</v>
      </c>
      <c r="H21" s="877">
        <v>7425.1</v>
      </c>
      <c r="I21" s="882">
        <f t="shared" si="2"/>
        <v>0</v>
      </c>
      <c r="J21" s="883">
        <v>0</v>
      </c>
      <c r="K21" s="883">
        <v>0</v>
      </c>
      <c r="L21" s="876">
        <f t="shared" si="3"/>
        <v>0</v>
      </c>
      <c r="M21" s="877">
        <f t="shared" si="3"/>
        <v>0</v>
      </c>
      <c r="N21" s="877">
        <f t="shared" si="3"/>
        <v>0</v>
      </c>
      <c r="O21" s="1214" t="s">
        <v>1171</v>
      </c>
      <c r="P21" s="1214" t="s">
        <v>1109</v>
      </c>
      <c r="Q21" s="1065">
        <f t="shared" si="1"/>
        <v>0</v>
      </c>
      <c r="R21" s="1065">
        <f t="shared" si="1"/>
        <v>0</v>
      </c>
      <c r="S21" s="1065">
        <f t="shared" si="1"/>
        <v>0</v>
      </c>
      <c r="T21" s="1099" t="s">
        <v>963</v>
      </c>
      <c r="U21" s="1100" t="s">
        <v>964</v>
      </c>
      <c r="V21" s="1099">
        <v>522</v>
      </c>
      <c r="W21" s="1099"/>
      <c r="X21" s="2482"/>
      <c r="Y21" s="1118"/>
    </row>
    <row r="22" spans="1:25" hidden="1">
      <c r="A22" s="1267"/>
      <c r="B22" s="898" t="s">
        <v>283</v>
      </c>
      <c r="C22" s="874">
        <f t="shared" si="4"/>
        <v>13903.1</v>
      </c>
      <c r="D22" s="875">
        <f>SUM(D24:D24)</f>
        <v>0</v>
      </c>
      <c r="E22" s="875">
        <f>SUM(E23:E24)</f>
        <v>13903.1</v>
      </c>
      <c r="F22" s="874">
        <f t="shared" si="5"/>
        <v>13903.1</v>
      </c>
      <c r="G22" s="875">
        <f>SUM(G24:G24)</f>
        <v>0</v>
      </c>
      <c r="H22" s="875">
        <f>SUM(H23:H24)</f>
        <v>13903.1</v>
      </c>
      <c r="I22" s="874">
        <f t="shared" si="2"/>
        <v>0</v>
      </c>
      <c r="J22" s="875">
        <f>SUM(J24:J24)</f>
        <v>0</v>
      </c>
      <c r="K22" s="875">
        <f>SUM(K24:K24)</f>
        <v>0</v>
      </c>
      <c r="L22" s="876">
        <f t="shared" si="3"/>
        <v>0</v>
      </c>
      <c r="M22" s="877">
        <f t="shared" si="3"/>
        <v>0</v>
      </c>
      <c r="N22" s="877">
        <f t="shared" si="3"/>
        <v>0</v>
      </c>
      <c r="O22" s="1214" t="s">
        <v>353</v>
      </c>
      <c r="P22" s="1214" t="s">
        <v>353</v>
      </c>
      <c r="Q22" s="1065">
        <f t="shared" si="1"/>
        <v>0</v>
      </c>
      <c r="R22" s="1065">
        <f t="shared" si="1"/>
        <v>0</v>
      </c>
      <c r="S22" s="1065">
        <f t="shared" si="1"/>
        <v>0</v>
      </c>
    </row>
    <row r="23" spans="1:25" ht="105" hidden="1">
      <c r="A23" s="1267" t="s">
        <v>20</v>
      </c>
      <c r="B23" s="1269" t="s">
        <v>1119</v>
      </c>
      <c r="C23" s="871">
        <f>SUM(D23:E23)</f>
        <v>5016.7</v>
      </c>
      <c r="D23" s="1249">
        <v>0</v>
      </c>
      <c r="E23" s="1249">
        <v>5016.7</v>
      </c>
      <c r="F23" s="874">
        <f>SUM(G23:H23)</f>
        <v>5016.7</v>
      </c>
      <c r="G23" s="1085">
        <v>0</v>
      </c>
      <c r="H23" s="1085">
        <v>5016.7</v>
      </c>
      <c r="I23" s="1083">
        <f>SUM(J23:K23)</f>
        <v>0</v>
      </c>
      <c r="J23" s="1083">
        <v>0</v>
      </c>
      <c r="K23" s="1083">
        <v>0</v>
      </c>
      <c r="L23" s="877">
        <f t="shared" si="3"/>
        <v>0</v>
      </c>
      <c r="M23" s="877">
        <f t="shared" si="3"/>
        <v>0</v>
      </c>
      <c r="N23" s="877">
        <f t="shared" si="3"/>
        <v>0</v>
      </c>
      <c r="O23" s="1214" t="s">
        <v>1171</v>
      </c>
      <c r="P23" s="1214" t="s">
        <v>1120</v>
      </c>
      <c r="Q23" s="1065"/>
      <c r="R23" s="1065"/>
      <c r="S23" s="1065"/>
      <c r="T23" s="1099" t="s">
        <v>954</v>
      </c>
      <c r="U23" s="1100" t="s">
        <v>976</v>
      </c>
      <c r="V23" s="1099">
        <v>522</v>
      </c>
      <c r="W23" s="1099">
        <v>24356</v>
      </c>
    </row>
    <row r="24" spans="1:25" ht="95.25" hidden="1" customHeight="1">
      <c r="A24" s="1267" t="s">
        <v>467</v>
      </c>
      <c r="B24" s="1084" t="s">
        <v>770</v>
      </c>
      <c r="C24" s="871">
        <f>SUM(D24:E24)</f>
        <v>8886.4</v>
      </c>
      <c r="D24" s="1249">
        <v>0</v>
      </c>
      <c r="E24" s="1249">
        <v>8886.4</v>
      </c>
      <c r="F24" s="874">
        <f>SUM(G24:H24)</f>
        <v>8886.4</v>
      </c>
      <c r="G24" s="1085">
        <v>0</v>
      </c>
      <c r="H24" s="1085">
        <v>8886.4</v>
      </c>
      <c r="I24" s="1083">
        <f t="shared" si="2"/>
        <v>0</v>
      </c>
      <c r="J24" s="1083">
        <v>0</v>
      </c>
      <c r="K24" s="1083">
        <v>0</v>
      </c>
      <c r="L24" s="877">
        <f t="shared" si="3"/>
        <v>0</v>
      </c>
      <c r="M24" s="877">
        <f t="shared" si="3"/>
        <v>0</v>
      </c>
      <c r="N24" s="877">
        <f t="shared" si="3"/>
        <v>0</v>
      </c>
      <c r="O24" s="1214" t="s">
        <v>1124</v>
      </c>
      <c r="P24" s="1214" t="s">
        <v>1121</v>
      </c>
      <c r="Q24" s="1065">
        <f t="shared" si="1"/>
        <v>0</v>
      </c>
      <c r="R24" s="1065">
        <f t="shared" si="1"/>
        <v>0</v>
      </c>
      <c r="S24" s="1065">
        <f t="shared" si="1"/>
        <v>0</v>
      </c>
      <c r="T24" s="1099" t="s">
        <v>926</v>
      </c>
      <c r="U24" s="1100" t="s">
        <v>965</v>
      </c>
      <c r="V24" s="1099">
        <v>522</v>
      </c>
      <c r="W24" s="1099" t="s">
        <v>975</v>
      </c>
    </row>
    <row r="25" spans="1:25" hidden="1">
      <c r="A25" s="1267"/>
      <c r="B25" s="898" t="s">
        <v>724</v>
      </c>
      <c r="C25" s="871">
        <f t="shared" si="4"/>
        <v>8700</v>
      </c>
      <c r="D25" s="1250">
        <f>D26</f>
        <v>0</v>
      </c>
      <c r="E25" s="1250">
        <f>E26</f>
        <v>8700</v>
      </c>
      <c r="F25" s="874">
        <f t="shared" si="5"/>
        <v>8700</v>
      </c>
      <c r="G25" s="875">
        <f>G26</f>
        <v>0</v>
      </c>
      <c r="H25" s="875">
        <f>H26</f>
        <v>8700</v>
      </c>
      <c r="I25" s="874">
        <f t="shared" si="2"/>
        <v>0</v>
      </c>
      <c r="J25" s="875">
        <f>J26</f>
        <v>0</v>
      </c>
      <c r="K25" s="875">
        <f>K26</f>
        <v>0</v>
      </c>
      <c r="L25" s="876">
        <f t="shared" si="3"/>
        <v>0</v>
      </c>
      <c r="M25" s="877">
        <f t="shared" si="3"/>
        <v>0</v>
      </c>
      <c r="N25" s="877">
        <f t="shared" si="3"/>
        <v>0</v>
      </c>
      <c r="O25" s="1214" t="s">
        <v>353</v>
      </c>
      <c r="P25" s="1214" t="s">
        <v>353</v>
      </c>
      <c r="Q25" s="1065">
        <f t="shared" si="1"/>
        <v>0</v>
      </c>
      <c r="R25" s="1065">
        <f t="shared" si="1"/>
        <v>0</v>
      </c>
      <c r="S25" s="1065">
        <f t="shared" si="1"/>
        <v>0</v>
      </c>
    </row>
    <row r="26" spans="1:25" ht="150.75" hidden="1" customHeight="1">
      <c r="A26" s="1267" t="s">
        <v>468</v>
      </c>
      <c r="B26" s="1084" t="s">
        <v>861</v>
      </c>
      <c r="C26" s="894">
        <f t="shared" si="4"/>
        <v>8700</v>
      </c>
      <c r="D26" s="1249">
        <v>0</v>
      </c>
      <c r="E26" s="1249">
        <v>8700</v>
      </c>
      <c r="F26" s="1083">
        <f t="shared" si="5"/>
        <v>8700</v>
      </c>
      <c r="G26" s="1085">
        <v>0</v>
      </c>
      <c r="H26" s="1085">
        <v>8700</v>
      </c>
      <c r="I26" s="1083">
        <f t="shared" si="2"/>
        <v>0</v>
      </c>
      <c r="J26" s="1083">
        <v>0</v>
      </c>
      <c r="K26" s="1083">
        <v>0</v>
      </c>
      <c r="L26" s="877">
        <f t="shared" si="3"/>
        <v>0</v>
      </c>
      <c r="M26" s="877">
        <f t="shared" si="3"/>
        <v>0</v>
      </c>
      <c r="N26" s="877">
        <f t="shared" si="3"/>
        <v>0</v>
      </c>
      <c r="O26" s="1214" t="s">
        <v>1173</v>
      </c>
      <c r="P26" s="1264" t="s">
        <v>1122</v>
      </c>
      <c r="Q26" s="1065">
        <f t="shared" si="1"/>
        <v>0</v>
      </c>
      <c r="R26" s="1065">
        <f t="shared" si="1"/>
        <v>0</v>
      </c>
      <c r="S26" s="1065">
        <f t="shared" si="1"/>
        <v>0</v>
      </c>
      <c r="T26" s="1099" t="s">
        <v>886</v>
      </c>
      <c r="U26" s="1100" t="s">
        <v>966</v>
      </c>
      <c r="V26" s="1099">
        <v>522</v>
      </c>
      <c r="W26" s="1099" t="s">
        <v>977</v>
      </c>
    </row>
    <row r="27" spans="1:25" s="700" customFormat="1" hidden="1">
      <c r="A27" s="1267"/>
      <c r="B27" s="1074" t="s">
        <v>12</v>
      </c>
      <c r="C27" s="871">
        <f t="shared" si="4"/>
        <v>13835</v>
      </c>
      <c r="D27" s="1251">
        <f>SUM(D28:D29)</f>
        <v>0</v>
      </c>
      <c r="E27" s="1251">
        <f>SUM(E28:E29)</f>
        <v>13835</v>
      </c>
      <c r="F27" s="874">
        <f t="shared" si="5"/>
        <v>13835</v>
      </c>
      <c r="G27" s="880">
        <f>SUM(G28:G29)</f>
        <v>0</v>
      </c>
      <c r="H27" s="880">
        <f>SUM(H28:H29)</f>
        <v>13835</v>
      </c>
      <c r="I27" s="874">
        <f t="shared" si="2"/>
        <v>0</v>
      </c>
      <c r="J27" s="874">
        <f>SUM(J28:J29)</f>
        <v>0</v>
      </c>
      <c r="K27" s="874">
        <f>SUM(K28:K29)</f>
        <v>0</v>
      </c>
      <c r="L27" s="876">
        <f t="shared" si="3"/>
        <v>0</v>
      </c>
      <c r="M27" s="876">
        <f t="shared" si="3"/>
        <v>0</v>
      </c>
      <c r="N27" s="876">
        <f t="shared" si="3"/>
        <v>0</v>
      </c>
      <c r="O27" s="1214" t="s">
        <v>353</v>
      </c>
      <c r="P27" s="1215" t="s">
        <v>353</v>
      </c>
      <c r="Q27" s="1065">
        <f t="shared" si="1"/>
        <v>0</v>
      </c>
      <c r="R27" s="1065">
        <f t="shared" si="1"/>
        <v>0</v>
      </c>
      <c r="S27" s="1065">
        <f t="shared" si="1"/>
        <v>0</v>
      </c>
      <c r="T27" s="1099"/>
      <c r="U27" s="1100"/>
      <c r="V27" s="1099"/>
      <c r="W27" s="1099"/>
      <c r="X27" s="1218"/>
      <c r="Y27" s="993"/>
    </row>
    <row r="28" spans="1:25" ht="116.25" hidden="1">
      <c r="A28" s="1267" t="s">
        <v>685</v>
      </c>
      <c r="B28" s="1075" t="s">
        <v>1037</v>
      </c>
      <c r="C28" s="871">
        <f t="shared" si="4"/>
        <v>7000</v>
      </c>
      <c r="D28" s="972">
        <v>0</v>
      </c>
      <c r="E28" s="972">
        <v>7000</v>
      </c>
      <c r="F28" s="874">
        <f t="shared" si="5"/>
        <v>7000</v>
      </c>
      <c r="G28" s="879">
        <v>0</v>
      </c>
      <c r="H28" s="879">
        <v>7000</v>
      </c>
      <c r="I28" s="874">
        <f t="shared" si="2"/>
        <v>0</v>
      </c>
      <c r="J28" s="1083">
        <v>0</v>
      </c>
      <c r="K28" s="1083">
        <v>0</v>
      </c>
      <c r="L28" s="876">
        <f t="shared" si="3"/>
        <v>0</v>
      </c>
      <c r="M28" s="877">
        <f t="shared" si="3"/>
        <v>0</v>
      </c>
      <c r="N28" s="877">
        <f t="shared" si="3"/>
        <v>0</v>
      </c>
      <c r="O28" s="1214" t="s">
        <v>1171</v>
      </c>
      <c r="P28" s="1214" t="s">
        <v>1111</v>
      </c>
      <c r="Q28" s="1065">
        <f t="shared" si="1"/>
        <v>0</v>
      </c>
      <c r="R28" s="1065">
        <f t="shared" si="1"/>
        <v>0</v>
      </c>
      <c r="S28" s="1065">
        <f t="shared" si="1"/>
        <v>0</v>
      </c>
      <c r="T28" s="1099" t="s">
        <v>886</v>
      </c>
      <c r="U28" s="1100" t="s">
        <v>970</v>
      </c>
      <c r="V28" s="1099">
        <v>522</v>
      </c>
      <c r="W28" s="1099">
        <v>24351</v>
      </c>
    </row>
    <row r="29" spans="1:25" ht="93" hidden="1">
      <c r="A29" s="1267" t="s">
        <v>687</v>
      </c>
      <c r="B29" s="1075" t="s">
        <v>1038</v>
      </c>
      <c r="C29" s="871">
        <f>SUM(D29:E29)</f>
        <v>6835</v>
      </c>
      <c r="D29" s="972">
        <v>0</v>
      </c>
      <c r="E29" s="972">
        <v>6835</v>
      </c>
      <c r="F29" s="874">
        <f>SUM(G29:H29)</f>
        <v>6835</v>
      </c>
      <c r="G29" s="879">
        <v>0</v>
      </c>
      <c r="H29" s="879">
        <v>6835</v>
      </c>
      <c r="I29" s="874">
        <f t="shared" si="2"/>
        <v>0</v>
      </c>
      <c r="J29" s="1083">
        <v>0</v>
      </c>
      <c r="K29" s="1083">
        <v>0</v>
      </c>
      <c r="L29" s="876">
        <f t="shared" si="3"/>
        <v>0</v>
      </c>
      <c r="M29" s="877">
        <f t="shared" si="3"/>
        <v>0</v>
      </c>
      <c r="N29" s="877">
        <f t="shared" si="3"/>
        <v>0</v>
      </c>
      <c r="O29" s="1214" t="s">
        <v>1171</v>
      </c>
      <c r="P29" s="1214" t="s">
        <v>1123</v>
      </c>
      <c r="Q29" s="1065">
        <f t="shared" si="1"/>
        <v>0</v>
      </c>
      <c r="R29" s="1065">
        <f t="shared" si="1"/>
        <v>0</v>
      </c>
      <c r="S29" s="1065">
        <f t="shared" si="1"/>
        <v>0</v>
      </c>
      <c r="T29" s="1099" t="s">
        <v>886</v>
      </c>
      <c r="U29" s="1100" t="s">
        <v>968</v>
      </c>
      <c r="V29" s="1099">
        <v>522</v>
      </c>
      <c r="W29" s="1099" t="s">
        <v>969</v>
      </c>
    </row>
    <row r="30" spans="1:25" s="700" customFormat="1" hidden="1">
      <c r="A30" s="991"/>
      <c r="B30" s="1074" t="s">
        <v>729</v>
      </c>
      <c r="C30" s="871">
        <f t="shared" si="4"/>
        <v>8500</v>
      </c>
      <c r="D30" s="1251">
        <f>SUM(D31:D32)</f>
        <v>0</v>
      </c>
      <c r="E30" s="1251">
        <f>SUM(E31:E32)</f>
        <v>8500</v>
      </c>
      <c r="F30" s="874">
        <f t="shared" si="5"/>
        <v>8500</v>
      </c>
      <c r="G30" s="880">
        <f>SUM(G31:G32)</f>
        <v>0</v>
      </c>
      <c r="H30" s="880">
        <f>SUM(H31:H32)</f>
        <v>8500</v>
      </c>
      <c r="I30" s="874">
        <f t="shared" si="2"/>
        <v>0</v>
      </c>
      <c r="J30" s="874">
        <f>SUM(J31:J32)</f>
        <v>0</v>
      </c>
      <c r="K30" s="874">
        <f>SUM(K31:K32)</f>
        <v>0</v>
      </c>
      <c r="L30" s="876">
        <f t="shared" si="3"/>
        <v>0</v>
      </c>
      <c r="M30" s="876">
        <f t="shared" si="3"/>
        <v>0</v>
      </c>
      <c r="N30" s="876">
        <f t="shared" si="3"/>
        <v>0</v>
      </c>
      <c r="O30" s="1214" t="s">
        <v>353</v>
      </c>
      <c r="P30" s="1215" t="s">
        <v>353</v>
      </c>
      <c r="Q30" s="1065">
        <f t="shared" si="1"/>
        <v>0</v>
      </c>
      <c r="R30" s="1065">
        <f t="shared" si="1"/>
        <v>0</v>
      </c>
      <c r="S30" s="1065">
        <f t="shared" si="1"/>
        <v>0</v>
      </c>
      <c r="T30" s="1099"/>
      <c r="U30" s="1100"/>
      <c r="V30" s="1099"/>
      <c r="W30" s="1099"/>
      <c r="X30" s="1218"/>
      <c r="Y30" s="993"/>
    </row>
    <row r="31" spans="1:25" ht="118.5" hidden="1" customHeight="1">
      <c r="A31" s="1267" t="s">
        <v>686</v>
      </c>
      <c r="B31" s="1075" t="s">
        <v>1039</v>
      </c>
      <c r="C31" s="871">
        <f t="shared" si="4"/>
        <v>7000</v>
      </c>
      <c r="D31" s="972">
        <v>0</v>
      </c>
      <c r="E31" s="972">
        <v>7000</v>
      </c>
      <c r="F31" s="874">
        <f t="shared" si="5"/>
        <v>7000</v>
      </c>
      <c r="G31" s="879">
        <v>0</v>
      </c>
      <c r="H31" s="879">
        <v>7000</v>
      </c>
      <c r="I31" s="874">
        <f t="shared" si="2"/>
        <v>0</v>
      </c>
      <c r="J31" s="1083">
        <v>0</v>
      </c>
      <c r="K31" s="1083">
        <v>0</v>
      </c>
      <c r="L31" s="876">
        <f t="shared" si="3"/>
        <v>0</v>
      </c>
      <c r="M31" s="877">
        <f t="shared" si="3"/>
        <v>0</v>
      </c>
      <c r="N31" s="877">
        <f t="shared" si="3"/>
        <v>0</v>
      </c>
      <c r="O31" s="1214" t="s">
        <v>1174</v>
      </c>
      <c r="P31" s="1214" t="s">
        <v>1112</v>
      </c>
      <c r="Q31" s="1065">
        <f t="shared" si="1"/>
        <v>0</v>
      </c>
      <c r="R31" s="1065">
        <f t="shared" si="1"/>
        <v>0</v>
      </c>
      <c r="S31" s="1065">
        <f t="shared" si="1"/>
        <v>0</v>
      </c>
      <c r="T31" s="1099" t="s">
        <v>926</v>
      </c>
      <c r="U31" s="1100" t="s">
        <v>970</v>
      </c>
      <c r="V31" s="1099">
        <v>522</v>
      </c>
      <c r="W31" s="1099" t="s">
        <v>993</v>
      </c>
    </row>
    <row r="32" spans="1:25" ht="52.5" hidden="1">
      <c r="A32" s="1267" t="s">
        <v>688</v>
      </c>
      <c r="B32" s="1075" t="s">
        <v>1040</v>
      </c>
      <c r="C32" s="871">
        <f t="shared" si="4"/>
        <v>1500</v>
      </c>
      <c r="D32" s="972">
        <v>0</v>
      </c>
      <c r="E32" s="972">
        <v>1500</v>
      </c>
      <c r="F32" s="874">
        <f t="shared" si="5"/>
        <v>1500</v>
      </c>
      <c r="G32" s="879">
        <v>0</v>
      </c>
      <c r="H32" s="879">
        <v>1500</v>
      </c>
      <c r="I32" s="874">
        <f t="shared" si="2"/>
        <v>0</v>
      </c>
      <c r="J32" s="1083">
        <v>0</v>
      </c>
      <c r="K32" s="1083">
        <v>0</v>
      </c>
      <c r="L32" s="876">
        <f t="shared" si="3"/>
        <v>0</v>
      </c>
      <c r="M32" s="877">
        <f t="shared" si="3"/>
        <v>0</v>
      </c>
      <c r="N32" s="877">
        <f t="shared" si="3"/>
        <v>0</v>
      </c>
      <c r="O32" s="1214" t="s">
        <v>1171</v>
      </c>
      <c r="P32" s="1214"/>
      <c r="Q32" s="1065">
        <f t="shared" si="1"/>
        <v>0</v>
      </c>
      <c r="R32" s="1065">
        <f t="shared" si="1"/>
        <v>0</v>
      </c>
      <c r="S32" s="1065">
        <f t="shared" si="1"/>
        <v>0</v>
      </c>
      <c r="T32" s="1099" t="s">
        <v>923</v>
      </c>
      <c r="U32" s="1100" t="s">
        <v>970</v>
      </c>
      <c r="V32" s="1099">
        <v>522</v>
      </c>
      <c r="W32" s="1099" t="s">
        <v>992</v>
      </c>
    </row>
    <row r="33" spans="1:25" s="700" customFormat="1" hidden="1">
      <c r="A33" s="1267"/>
      <c r="B33" s="1074" t="s">
        <v>615</v>
      </c>
      <c r="C33" s="871">
        <f t="shared" si="4"/>
        <v>10156</v>
      </c>
      <c r="D33" s="1251">
        <f>D34</f>
        <v>0</v>
      </c>
      <c r="E33" s="1251">
        <f>E34</f>
        <v>10156</v>
      </c>
      <c r="F33" s="874">
        <f t="shared" si="5"/>
        <v>10156</v>
      </c>
      <c r="G33" s="880">
        <f>G34</f>
        <v>0</v>
      </c>
      <c r="H33" s="880">
        <f>H34</f>
        <v>10156</v>
      </c>
      <c r="I33" s="874">
        <f t="shared" si="2"/>
        <v>0</v>
      </c>
      <c r="J33" s="874">
        <f>J34</f>
        <v>0</v>
      </c>
      <c r="K33" s="874">
        <f>K34</f>
        <v>0</v>
      </c>
      <c r="L33" s="876">
        <f t="shared" si="3"/>
        <v>0</v>
      </c>
      <c r="M33" s="876">
        <f t="shared" si="3"/>
        <v>0</v>
      </c>
      <c r="N33" s="876">
        <f t="shared" si="3"/>
        <v>0</v>
      </c>
      <c r="O33" s="1214" t="s">
        <v>353</v>
      </c>
      <c r="P33" s="1215" t="s">
        <v>353</v>
      </c>
      <c r="Q33" s="1065">
        <f t="shared" si="1"/>
        <v>0</v>
      </c>
      <c r="R33" s="1065">
        <f t="shared" si="1"/>
        <v>0</v>
      </c>
      <c r="S33" s="1065">
        <f t="shared" si="1"/>
        <v>0</v>
      </c>
      <c r="T33" s="1099"/>
      <c r="U33" s="1100"/>
      <c r="V33" s="1099"/>
      <c r="W33" s="1099"/>
      <c r="X33" s="1218"/>
      <c r="Y33" s="993"/>
    </row>
    <row r="34" spans="1:25" ht="93" hidden="1">
      <c r="A34" s="1267" t="s">
        <v>98</v>
      </c>
      <c r="B34" s="1075" t="s">
        <v>673</v>
      </c>
      <c r="C34" s="871">
        <f t="shared" si="4"/>
        <v>10156</v>
      </c>
      <c r="D34" s="972">
        <v>0</v>
      </c>
      <c r="E34" s="972">
        <v>10156</v>
      </c>
      <c r="F34" s="874">
        <f t="shared" si="5"/>
        <v>10156</v>
      </c>
      <c r="G34" s="879">
        <v>0</v>
      </c>
      <c r="H34" s="879">
        <v>10156</v>
      </c>
      <c r="I34" s="874">
        <f t="shared" si="2"/>
        <v>0</v>
      </c>
      <c r="J34" s="1083">
        <v>0</v>
      </c>
      <c r="K34" s="1083">
        <v>0</v>
      </c>
      <c r="L34" s="876">
        <f t="shared" si="3"/>
        <v>0</v>
      </c>
      <c r="M34" s="877">
        <f t="shared" si="3"/>
        <v>0</v>
      </c>
      <c r="N34" s="877">
        <f t="shared" si="3"/>
        <v>0</v>
      </c>
      <c r="O34" s="1214" t="s">
        <v>1175</v>
      </c>
      <c r="P34" s="1214" t="s">
        <v>1113</v>
      </c>
      <c r="Q34" s="1065">
        <f t="shared" si="1"/>
        <v>0</v>
      </c>
      <c r="R34" s="1065">
        <f t="shared" si="1"/>
        <v>0</v>
      </c>
      <c r="S34" s="1065">
        <f t="shared" si="1"/>
        <v>0</v>
      </c>
      <c r="T34" s="1099" t="s">
        <v>926</v>
      </c>
      <c r="U34" s="1100" t="s">
        <v>965</v>
      </c>
      <c r="V34" s="1099">
        <v>522</v>
      </c>
      <c r="W34" s="1099">
        <v>24345</v>
      </c>
    </row>
    <row r="35" spans="1:25" hidden="1">
      <c r="A35" s="991"/>
      <c r="B35" s="898" t="s">
        <v>68</v>
      </c>
      <c r="C35" s="871">
        <f t="shared" si="4"/>
        <v>23520</v>
      </c>
      <c r="D35" s="1250">
        <f>SUM(D36:D39)</f>
        <v>0</v>
      </c>
      <c r="E35" s="1250">
        <f>SUM(E36:E39)</f>
        <v>23520</v>
      </c>
      <c r="F35" s="874">
        <f t="shared" si="5"/>
        <v>23520</v>
      </c>
      <c r="G35" s="875">
        <f>SUM(G36:G39)</f>
        <v>0</v>
      </c>
      <c r="H35" s="875">
        <f>SUM(H36:H39)</f>
        <v>23520</v>
      </c>
      <c r="I35" s="874">
        <f t="shared" si="2"/>
        <v>312.5</v>
      </c>
      <c r="J35" s="875">
        <f>SUM(J36:J39)</f>
        <v>0</v>
      </c>
      <c r="K35" s="875">
        <f>SUM(K36:K39)</f>
        <v>312.5</v>
      </c>
      <c r="L35" s="876">
        <f t="shared" si="3"/>
        <v>1.3</v>
      </c>
      <c r="M35" s="877">
        <f t="shared" si="3"/>
        <v>0</v>
      </c>
      <c r="N35" s="877">
        <f t="shared" si="3"/>
        <v>1.3</v>
      </c>
      <c r="O35" s="1214" t="s">
        <v>353</v>
      </c>
      <c r="P35" s="1214" t="s">
        <v>353</v>
      </c>
      <c r="Q35" s="1065">
        <f t="shared" si="1"/>
        <v>0</v>
      </c>
      <c r="R35" s="1065">
        <f t="shared" si="1"/>
        <v>0</v>
      </c>
      <c r="S35" s="1065">
        <f t="shared" si="1"/>
        <v>0</v>
      </c>
    </row>
    <row r="36" spans="1:25" ht="126" hidden="1" customHeight="1">
      <c r="A36" s="1267" t="s">
        <v>99</v>
      </c>
      <c r="B36" s="1084" t="s">
        <v>1041</v>
      </c>
      <c r="C36" s="894">
        <f t="shared" si="4"/>
        <v>1240</v>
      </c>
      <c r="D36" s="1249">
        <v>0</v>
      </c>
      <c r="E36" s="1249">
        <v>1240</v>
      </c>
      <c r="F36" s="1083">
        <f t="shared" si="5"/>
        <v>1240</v>
      </c>
      <c r="G36" s="1085">
        <v>0</v>
      </c>
      <c r="H36" s="1085">
        <v>1240</v>
      </c>
      <c r="I36" s="1083">
        <f t="shared" si="2"/>
        <v>312.5</v>
      </c>
      <c r="J36" s="1083">
        <v>0</v>
      </c>
      <c r="K36" s="1083">
        <v>312.5</v>
      </c>
      <c r="L36" s="877">
        <f t="shared" si="3"/>
        <v>25.2</v>
      </c>
      <c r="M36" s="877">
        <f t="shared" si="3"/>
        <v>0</v>
      </c>
      <c r="N36" s="877">
        <f t="shared" si="3"/>
        <v>25.2</v>
      </c>
      <c r="O36" s="1214" t="s">
        <v>1176</v>
      </c>
      <c r="P36" s="1214" t="s">
        <v>1125</v>
      </c>
      <c r="Q36" s="1065">
        <f t="shared" si="1"/>
        <v>0</v>
      </c>
      <c r="R36" s="1065">
        <f t="shared" si="1"/>
        <v>0</v>
      </c>
      <c r="S36" s="1065">
        <f t="shared" si="1"/>
        <v>0</v>
      </c>
      <c r="T36" s="1099" t="s">
        <v>886</v>
      </c>
      <c r="U36" s="1100" t="s">
        <v>967</v>
      </c>
      <c r="V36" s="1099">
        <v>522</v>
      </c>
      <c r="W36" s="1099" t="s">
        <v>969</v>
      </c>
    </row>
    <row r="37" spans="1:25" ht="78.75" hidden="1">
      <c r="A37" s="1267" t="s">
        <v>100</v>
      </c>
      <c r="B37" s="1084" t="s">
        <v>1095</v>
      </c>
      <c r="C37" s="894">
        <f>SUM(D37:E37)</f>
        <v>6280</v>
      </c>
      <c r="D37" s="1249">
        <v>0</v>
      </c>
      <c r="E37" s="1249">
        <v>6280</v>
      </c>
      <c r="F37" s="1083">
        <f>SUM(G37:H37)</f>
        <v>6280</v>
      </c>
      <c r="G37" s="1085">
        <v>0</v>
      </c>
      <c r="H37" s="1085">
        <v>6280</v>
      </c>
      <c r="I37" s="1083">
        <f>SUM(J37:K37)</f>
        <v>0</v>
      </c>
      <c r="J37" s="1083">
        <v>0</v>
      </c>
      <c r="K37" s="1083">
        <v>0</v>
      </c>
      <c r="L37" s="877">
        <f t="shared" si="3"/>
        <v>0</v>
      </c>
      <c r="M37" s="877">
        <f t="shared" si="3"/>
        <v>0</v>
      </c>
      <c r="N37" s="877">
        <f t="shared" si="3"/>
        <v>0</v>
      </c>
      <c r="O37" s="1214" t="s">
        <v>1171</v>
      </c>
      <c r="P37" s="1214" t="s">
        <v>1128</v>
      </c>
      <c r="Q37" s="1065"/>
      <c r="R37" s="1065"/>
      <c r="S37" s="1065"/>
      <c r="T37" s="1099" t="s">
        <v>961</v>
      </c>
      <c r="U37" s="1100">
        <v>1240343280</v>
      </c>
      <c r="V37" s="1099">
        <v>522</v>
      </c>
      <c r="W37" s="1099" t="s">
        <v>971</v>
      </c>
    </row>
    <row r="38" spans="1:25" ht="166.5" hidden="1" customHeight="1">
      <c r="A38" s="1267" t="s">
        <v>101</v>
      </c>
      <c r="B38" s="1084" t="s">
        <v>1043</v>
      </c>
      <c r="C38" s="894">
        <f t="shared" si="4"/>
        <v>6000</v>
      </c>
      <c r="D38" s="1249">
        <v>0</v>
      </c>
      <c r="E38" s="1249">
        <v>6000</v>
      </c>
      <c r="F38" s="1083">
        <f t="shared" si="5"/>
        <v>6000</v>
      </c>
      <c r="G38" s="1085">
        <v>0</v>
      </c>
      <c r="H38" s="1085">
        <v>6000</v>
      </c>
      <c r="I38" s="2440">
        <f t="shared" si="2"/>
        <v>0</v>
      </c>
      <c r="J38" s="2440">
        <v>0</v>
      </c>
      <c r="K38" s="2440">
        <v>0</v>
      </c>
      <c r="L38" s="2418">
        <f>IF(I38=0,0,I38/F38:F39*100)</f>
        <v>0</v>
      </c>
      <c r="M38" s="2418">
        <f>IF(J38=0,0,J38/G38:G39*100)</f>
        <v>0</v>
      </c>
      <c r="N38" s="2418">
        <f>IF(K38=0,0,K38/H38:H39*100)</f>
        <v>0</v>
      </c>
      <c r="O38" s="1213" t="s">
        <v>1177</v>
      </c>
      <c r="P38" s="1213" t="s">
        <v>1126</v>
      </c>
      <c r="Q38" s="1065">
        <f t="shared" si="1"/>
        <v>0</v>
      </c>
      <c r="R38" s="1065">
        <f t="shared" si="1"/>
        <v>0</v>
      </c>
      <c r="S38" s="1065">
        <f t="shared" si="1"/>
        <v>0</v>
      </c>
      <c r="T38" s="2409" t="s">
        <v>886</v>
      </c>
      <c r="U38" s="2409" t="s">
        <v>966</v>
      </c>
      <c r="V38" s="2409">
        <v>522</v>
      </c>
      <c r="W38" s="2409" t="s">
        <v>977</v>
      </c>
      <c r="X38" s="2471"/>
    </row>
    <row r="39" spans="1:25" ht="183.75" hidden="1">
      <c r="A39" s="1267" t="s">
        <v>102</v>
      </c>
      <c r="B39" s="1084" t="s">
        <v>1044</v>
      </c>
      <c r="C39" s="894">
        <f t="shared" si="4"/>
        <v>10000</v>
      </c>
      <c r="D39" s="1249">
        <v>0</v>
      </c>
      <c r="E39" s="1249">
        <v>10000</v>
      </c>
      <c r="F39" s="1083">
        <f t="shared" si="5"/>
        <v>10000</v>
      </c>
      <c r="G39" s="1085">
        <v>0</v>
      </c>
      <c r="H39" s="1085">
        <v>10000</v>
      </c>
      <c r="I39" s="2441"/>
      <c r="J39" s="2441"/>
      <c r="K39" s="2441"/>
      <c r="L39" s="2419"/>
      <c r="M39" s="2419"/>
      <c r="N39" s="2419"/>
      <c r="O39" s="1213" t="s">
        <v>1178</v>
      </c>
      <c r="P39" s="1213" t="s">
        <v>1127</v>
      </c>
      <c r="Q39" s="1065">
        <f t="shared" si="1"/>
        <v>0</v>
      </c>
      <c r="R39" s="1065">
        <f t="shared" si="1"/>
        <v>0</v>
      </c>
      <c r="S39" s="1065">
        <f t="shared" si="1"/>
        <v>0</v>
      </c>
      <c r="T39" s="2409"/>
      <c r="U39" s="2409"/>
      <c r="V39" s="2409"/>
      <c r="W39" s="2409"/>
      <c r="X39" s="2471"/>
    </row>
    <row r="40" spans="1:25" hidden="1">
      <c r="A40" s="1267"/>
      <c r="B40" s="898" t="s">
        <v>281</v>
      </c>
      <c r="C40" s="871">
        <f t="shared" si="4"/>
        <v>21207</v>
      </c>
      <c r="D40" s="1250">
        <f>SUM(D42:D43)</f>
        <v>0</v>
      </c>
      <c r="E40" s="1250">
        <f>SUM(E41:E43)</f>
        <v>21207</v>
      </c>
      <c r="F40" s="874">
        <f t="shared" si="5"/>
        <v>21207</v>
      </c>
      <c r="G40" s="875">
        <f>SUM(G42:G43)</f>
        <v>0</v>
      </c>
      <c r="H40" s="875">
        <f>SUM(H41:H43)</f>
        <v>21207</v>
      </c>
      <c r="I40" s="874">
        <f t="shared" si="2"/>
        <v>0</v>
      </c>
      <c r="J40" s="875">
        <f>SUM(J42:J43)</f>
        <v>0</v>
      </c>
      <c r="K40" s="875">
        <f>SUM(K42:K43)</f>
        <v>0</v>
      </c>
      <c r="L40" s="876">
        <f t="shared" ref="L40:N64" si="6">IF(I40=0,0,I40/F40*100)</f>
        <v>0</v>
      </c>
      <c r="M40" s="877">
        <f t="shared" si="6"/>
        <v>0</v>
      </c>
      <c r="N40" s="877">
        <f t="shared" si="6"/>
        <v>0</v>
      </c>
      <c r="O40" s="1214" t="s">
        <v>353</v>
      </c>
      <c r="P40" s="1214" t="s">
        <v>353</v>
      </c>
      <c r="Q40" s="1065">
        <f t="shared" si="1"/>
        <v>0</v>
      </c>
      <c r="R40" s="1065">
        <f t="shared" si="1"/>
        <v>0</v>
      </c>
      <c r="S40" s="1065">
        <f t="shared" si="1"/>
        <v>0</v>
      </c>
    </row>
    <row r="41" spans="1:25" ht="69.75" hidden="1">
      <c r="A41" s="1267" t="s">
        <v>103</v>
      </c>
      <c r="B41" s="1269" t="s">
        <v>682</v>
      </c>
      <c r="C41" s="894">
        <f>SUM(D41:E41)</f>
        <v>4207</v>
      </c>
      <c r="D41" s="1249">
        <v>0</v>
      </c>
      <c r="E41" s="1249">
        <v>4207</v>
      </c>
      <c r="F41" s="1083">
        <f>SUM(G41:H41)</f>
        <v>4207</v>
      </c>
      <c r="G41" s="1085">
        <v>0</v>
      </c>
      <c r="H41" s="1085">
        <v>4207</v>
      </c>
      <c r="I41" s="1083">
        <f>SUM(J41:K41)</f>
        <v>0</v>
      </c>
      <c r="J41" s="1083">
        <v>0</v>
      </c>
      <c r="K41" s="1083">
        <v>0</v>
      </c>
      <c r="L41" s="877">
        <f t="shared" si="6"/>
        <v>0</v>
      </c>
      <c r="M41" s="877">
        <f t="shared" si="6"/>
        <v>0</v>
      </c>
      <c r="N41" s="877">
        <f t="shared" si="6"/>
        <v>0</v>
      </c>
      <c r="O41" s="1214" t="s">
        <v>353</v>
      </c>
      <c r="P41" s="1214" t="s">
        <v>1114</v>
      </c>
      <c r="Q41" s="1065"/>
      <c r="R41" s="1065"/>
      <c r="S41" s="1065"/>
      <c r="T41" s="1099" t="s">
        <v>928</v>
      </c>
      <c r="U41" s="1100" t="s">
        <v>988</v>
      </c>
      <c r="V41" s="1099">
        <v>522</v>
      </c>
      <c r="W41" s="1099" t="s">
        <v>989</v>
      </c>
    </row>
    <row r="42" spans="1:25" ht="101.25" customHeight="1">
      <c r="A42" s="1267" t="s">
        <v>107</v>
      </c>
      <c r="B42" s="1084" t="s">
        <v>675</v>
      </c>
      <c r="C42" s="894">
        <f t="shared" si="4"/>
        <v>13000</v>
      </c>
      <c r="D42" s="1249">
        <v>0</v>
      </c>
      <c r="E42" s="1249">
        <v>13000</v>
      </c>
      <c r="F42" s="1083">
        <f t="shared" si="5"/>
        <v>13000</v>
      </c>
      <c r="G42" s="1085">
        <v>0</v>
      </c>
      <c r="H42" s="1085">
        <v>13000</v>
      </c>
      <c r="I42" s="1083">
        <f t="shared" si="2"/>
        <v>0</v>
      </c>
      <c r="J42" s="1083">
        <v>0</v>
      </c>
      <c r="K42" s="1083">
        <v>0</v>
      </c>
      <c r="L42" s="877">
        <f t="shared" si="6"/>
        <v>0</v>
      </c>
      <c r="M42" s="877">
        <f t="shared" si="6"/>
        <v>0</v>
      </c>
      <c r="N42" s="877">
        <f t="shared" si="6"/>
        <v>0</v>
      </c>
      <c r="O42" s="1264" t="s">
        <v>1179</v>
      </c>
      <c r="P42" s="1264" t="s">
        <v>1130</v>
      </c>
      <c r="Q42" s="1067">
        <f t="shared" si="1"/>
        <v>0</v>
      </c>
      <c r="R42" s="1067">
        <f t="shared" si="1"/>
        <v>0</v>
      </c>
      <c r="S42" s="1067">
        <f t="shared" si="1"/>
        <v>0</v>
      </c>
      <c r="T42" s="1222" t="s">
        <v>886</v>
      </c>
      <c r="U42" s="1223" t="s">
        <v>967</v>
      </c>
      <c r="V42" s="1222">
        <v>522</v>
      </c>
      <c r="W42" s="1222" t="s">
        <v>983</v>
      </c>
    </row>
    <row r="43" spans="1:25" ht="131.25" hidden="1">
      <c r="A43" s="1267" t="s">
        <v>108</v>
      </c>
      <c r="B43" s="1084" t="s">
        <v>1045</v>
      </c>
      <c r="C43" s="894">
        <f t="shared" si="4"/>
        <v>4000</v>
      </c>
      <c r="D43" s="1249">
        <v>0</v>
      </c>
      <c r="E43" s="1249">
        <v>4000</v>
      </c>
      <c r="F43" s="1083">
        <f t="shared" si="5"/>
        <v>4000</v>
      </c>
      <c r="G43" s="1085">
        <v>0</v>
      </c>
      <c r="H43" s="1085">
        <v>4000</v>
      </c>
      <c r="I43" s="1083">
        <f t="shared" si="2"/>
        <v>0</v>
      </c>
      <c r="J43" s="1083">
        <v>0</v>
      </c>
      <c r="K43" s="1083">
        <v>0</v>
      </c>
      <c r="L43" s="877">
        <f t="shared" si="6"/>
        <v>0</v>
      </c>
      <c r="M43" s="877">
        <f t="shared" si="6"/>
        <v>0</v>
      </c>
      <c r="N43" s="877">
        <f t="shared" si="6"/>
        <v>0</v>
      </c>
      <c r="O43" s="1214" t="s">
        <v>1115</v>
      </c>
      <c r="P43" s="1214" t="s">
        <v>1129</v>
      </c>
      <c r="Q43" s="1065">
        <f t="shared" si="1"/>
        <v>0</v>
      </c>
      <c r="R43" s="1065">
        <f t="shared" si="1"/>
        <v>0</v>
      </c>
      <c r="S43" s="1065">
        <f t="shared" si="1"/>
        <v>0</v>
      </c>
      <c r="T43" s="1099" t="s">
        <v>886</v>
      </c>
      <c r="U43" s="1100">
        <v>510243220</v>
      </c>
      <c r="V43" s="1099">
        <v>522</v>
      </c>
      <c r="W43" s="1099" t="s">
        <v>979</v>
      </c>
    </row>
    <row r="44" spans="1:25" hidden="1">
      <c r="A44" s="1267"/>
      <c r="B44" s="898" t="s">
        <v>431</v>
      </c>
      <c r="C44" s="871">
        <f t="shared" si="4"/>
        <v>10900</v>
      </c>
      <c r="D44" s="1250">
        <f>D46</f>
        <v>0</v>
      </c>
      <c r="E44" s="1250">
        <f>SUM(E45:E46)</f>
        <v>10900</v>
      </c>
      <c r="F44" s="874">
        <f t="shared" si="5"/>
        <v>10900</v>
      </c>
      <c r="G44" s="875">
        <f>G46</f>
        <v>0</v>
      </c>
      <c r="H44" s="875">
        <f>SUM(H45:H46)</f>
        <v>10900</v>
      </c>
      <c r="I44" s="874">
        <f t="shared" si="2"/>
        <v>0</v>
      </c>
      <c r="J44" s="875">
        <f>J46</f>
        <v>0</v>
      </c>
      <c r="K44" s="875">
        <f>K46</f>
        <v>0</v>
      </c>
      <c r="L44" s="876">
        <f t="shared" si="6"/>
        <v>0</v>
      </c>
      <c r="M44" s="877">
        <f t="shared" si="6"/>
        <v>0</v>
      </c>
      <c r="N44" s="877">
        <f t="shared" si="6"/>
        <v>0</v>
      </c>
      <c r="O44" s="1214" t="s">
        <v>353</v>
      </c>
      <c r="P44" s="1214" t="s">
        <v>353</v>
      </c>
      <c r="Q44" s="1065">
        <f t="shared" si="1"/>
        <v>0</v>
      </c>
      <c r="R44" s="1065">
        <f t="shared" si="1"/>
        <v>0</v>
      </c>
      <c r="S44" s="1065">
        <f t="shared" si="1"/>
        <v>0</v>
      </c>
    </row>
    <row r="45" spans="1:25" ht="78.75" hidden="1">
      <c r="A45" s="1267" t="s">
        <v>106</v>
      </c>
      <c r="B45" s="1269" t="s">
        <v>1096</v>
      </c>
      <c r="C45" s="894">
        <f t="shared" si="4"/>
        <v>6500</v>
      </c>
      <c r="D45" s="1249">
        <v>0</v>
      </c>
      <c r="E45" s="1249">
        <v>6500</v>
      </c>
      <c r="F45" s="1083">
        <f>SUM(G45:H45)</f>
        <v>6500</v>
      </c>
      <c r="G45" s="1085">
        <v>0</v>
      </c>
      <c r="H45" s="1085">
        <v>6500</v>
      </c>
      <c r="I45" s="1083">
        <f>SUM(J45:K45)</f>
        <v>0</v>
      </c>
      <c r="J45" s="1083">
        <v>0</v>
      </c>
      <c r="K45" s="1083">
        <v>0</v>
      </c>
      <c r="L45" s="877">
        <f t="shared" si="6"/>
        <v>0</v>
      </c>
      <c r="M45" s="877">
        <f t="shared" si="6"/>
        <v>0</v>
      </c>
      <c r="N45" s="877">
        <f t="shared" si="6"/>
        <v>0</v>
      </c>
      <c r="O45" s="1214" t="s">
        <v>1171</v>
      </c>
      <c r="P45" s="1214" t="s">
        <v>1128</v>
      </c>
      <c r="Q45" s="1065"/>
      <c r="R45" s="1065"/>
      <c r="S45" s="1065"/>
      <c r="T45" s="1099" t="s">
        <v>961</v>
      </c>
      <c r="U45" s="1100">
        <v>1240343280</v>
      </c>
      <c r="V45" s="1099">
        <v>522</v>
      </c>
      <c r="W45" s="1099" t="s">
        <v>971</v>
      </c>
    </row>
    <row r="46" spans="1:25" ht="150" hidden="1" customHeight="1">
      <c r="A46" s="1267" t="s">
        <v>109</v>
      </c>
      <c r="B46" s="1084" t="s">
        <v>676</v>
      </c>
      <c r="C46" s="894">
        <f t="shared" si="4"/>
        <v>4400</v>
      </c>
      <c r="D46" s="1249">
        <v>0</v>
      </c>
      <c r="E46" s="1249">
        <v>4400</v>
      </c>
      <c r="F46" s="1083">
        <f t="shared" si="5"/>
        <v>4400</v>
      </c>
      <c r="G46" s="1085">
        <v>0</v>
      </c>
      <c r="H46" s="1085">
        <v>4400</v>
      </c>
      <c r="I46" s="1083">
        <f t="shared" si="2"/>
        <v>0</v>
      </c>
      <c r="J46" s="1083">
        <v>0</v>
      </c>
      <c r="K46" s="1083">
        <v>0</v>
      </c>
      <c r="L46" s="877">
        <f t="shared" si="6"/>
        <v>0</v>
      </c>
      <c r="M46" s="877">
        <f t="shared" si="6"/>
        <v>0</v>
      </c>
      <c r="N46" s="877">
        <f t="shared" si="6"/>
        <v>0</v>
      </c>
      <c r="O46" s="1214" t="s">
        <v>1180</v>
      </c>
      <c r="P46" s="1214" t="s">
        <v>1131</v>
      </c>
      <c r="Q46" s="1065">
        <f t="shared" si="1"/>
        <v>0</v>
      </c>
      <c r="R46" s="1065">
        <f t="shared" si="1"/>
        <v>0</v>
      </c>
      <c r="S46" s="1065">
        <f t="shared" si="1"/>
        <v>0</v>
      </c>
      <c r="T46" s="1099" t="s">
        <v>886</v>
      </c>
      <c r="U46" s="1100" t="s">
        <v>972</v>
      </c>
      <c r="V46" s="1099">
        <v>522</v>
      </c>
      <c r="W46" s="1099" t="s">
        <v>978</v>
      </c>
    </row>
    <row r="47" spans="1:25" hidden="1">
      <c r="A47" s="1267"/>
      <c r="B47" s="898" t="s">
        <v>583</v>
      </c>
      <c r="C47" s="871">
        <f t="shared" si="4"/>
        <v>2500</v>
      </c>
      <c r="D47" s="1250">
        <f>D48</f>
        <v>0</v>
      </c>
      <c r="E47" s="1250">
        <f>E48</f>
        <v>2500</v>
      </c>
      <c r="F47" s="874">
        <f t="shared" si="5"/>
        <v>2500</v>
      </c>
      <c r="G47" s="875">
        <f>G48</f>
        <v>0</v>
      </c>
      <c r="H47" s="875">
        <f>H48</f>
        <v>2500</v>
      </c>
      <c r="I47" s="874">
        <f t="shared" si="2"/>
        <v>0</v>
      </c>
      <c r="J47" s="875">
        <f>J48</f>
        <v>0</v>
      </c>
      <c r="K47" s="875">
        <f>K48</f>
        <v>0</v>
      </c>
      <c r="L47" s="876">
        <f t="shared" si="6"/>
        <v>0</v>
      </c>
      <c r="M47" s="877">
        <f t="shared" si="6"/>
        <v>0</v>
      </c>
      <c r="N47" s="877">
        <f t="shared" si="6"/>
        <v>0</v>
      </c>
      <c r="O47" s="1214" t="s">
        <v>353</v>
      </c>
      <c r="P47" s="1214" t="s">
        <v>353</v>
      </c>
      <c r="Q47" s="1065">
        <f t="shared" si="1"/>
        <v>0</v>
      </c>
      <c r="R47" s="1065">
        <f t="shared" si="1"/>
        <v>0</v>
      </c>
      <c r="S47" s="1065">
        <f t="shared" si="1"/>
        <v>0</v>
      </c>
    </row>
    <row r="48" spans="1:25" s="1216" customFormat="1" ht="69.75" hidden="1">
      <c r="A48" s="1267" t="s">
        <v>117</v>
      </c>
      <c r="B48" s="1084" t="s">
        <v>1046</v>
      </c>
      <c r="C48" s="894">
        <f t="shared" si="4"/>
        <v>2500</v>
      </c>
      <c r="D48" s="1249">
        <v>0</v>
      </c>
      <c r="E48" s="1249">
        <v>2500</v>
      </c>
      <c r="F48" s="1083">
        <f t="shared" si="5"/>
        <v>2500</v>
      </c>
      <c r="G48" s="1085">
        <v>0</v>
      </c>
      <c r="H48" s="1085">
        <v>2500</v>
      </c>
      <c r="I48" s="1083">
        <f t="shared" si="2"/>
        <v>0</v>
      </c>
      <c r="J48" s="1083">
        <v>0</v>
      </c>
      <c r="K48" s="1083">
        <v>0</v>
      </c>
      <c r="L48" s="877">
        <f t="shared" si="6"/>
        <v>0</v>
      </c>
      <c r="M48" s="877">
        <f t="shared" si="6"/>
        <v>0</v>
      </c>
      <c r="N48" s="877">
        <f t="shared" si="6"/>
        <v>0</v>
      </c>
      <c r="O48" s="1214" t="s">
        <v>1181</v>
      </c>
      <c r="P48" s="1214" t="s">
        <v>1132</v>
      </c>
      <c r="Q48" s="1065">
        <f t="shared" si="1"/>
        <v>0</v>
      </c>
      <c r="R48" s="1065">
        <f t="shared" si="1"/>
        <v>0</v>
      </c>
      <c r="S48" s="1065">
        <f t="shared" si="1"/>
        <v>0</v>
      </c>
      <c r="T48" s="1099" t="s">
        <v>886</v>
      </c>
      <c r="U48" s="1100" t="s">
        <v>967</v>
      </c>
      <c r="V48" s="1099">
        <v>522</v>
      </c>
      <c r="W48" s="1099" t="s">
        <v>969</v>
      </c>
      <c r="Y48" s="736"/>
    </row>
    <row r="49" spans="1:25" s="1216" customFormat="1" hidden="1">
      <c r="A49" s="1267"/>
      <c r="B49" s="898" t="s">
        <v>709</v>
      </c>
      <c r="C49" s="871">
        <f>SUM(D49:E49)</f>
        <v>57350</v>
      </c>
      <c r="D49" s="1250">
        <f>SUM(D51:D52)</f>
        <v>0</v>
      </c>
      <c r="E49" s="1250">
        <f>SUM(E50:E52)</f>
        <v>57350</v>
      </c>
      <c r="F49" s="874">
        <f>SUM(G49:H49)</f>
        <v>109500</v>
      </c>
      <c r="G49" s="875">
        <f>SUM(G51:G52)</f>
        <v>0</v>
      </c>
      <c r="H49" s="875">
        <f>SUM(H50:H52)</f>
        <v>109500</v>
      </c>
      <c r="I49" s="874">
        <f>SUM(J49:K49)</f>
        <v>0</v>
      </c>
      <c r="J49" s="875">
        <f>SUM(J51:J52)</f>
        <v>0</v>
      </c>
      <c r="K49" s="875">
        <f>SUM(K51:K52)</f>
        <v>0</v>
      </c>
      <c r="L49" s="876">
        <f t="shared" si="6"/>
        <v>0</v>
      </c>
      <c r="M49" s="877">
        <f t="shared" si="6"/>
        <v>0</v>
      </c>
      <c r="N49" s="877">
        <f t="shared" si="6"/>
        <v>0</v>
      </c>
      <c r="O49" s="1214" t="s">
        <v>353</v>
      </c>
      <c r="P49" s="1214" t="s">
        <v>353</v>
      </c>
      <c r="Q49" s="1065">
        <f t="shared" si="1"/>
        <v>-52150</v>
      </c>
      <c r="R49" s="1065">
        <f t="shared" si="1"/>
        <v>0</v>
      </c>
      <c r="S49" s="1065">
        <f t="shared" si="1"/>
        <v>-52150</v>
      </c>
      <c r="T49" s="1099"/>
      <c r="U49" s="1100"/>
      <c r="V49" s="1099"/>
      <c r="W49" s="1099"/>
      <c r="Y49" s="736"/>
    </row>
    <row r="50" spans="1:25" s="1216" customFormat="1" ht="78.75" hidden="1">
      <c r="A50" s="1267" t="s">
        <v>118</v>
      </c>
      <c r="B50" s="1269" t="s">
        <v>1047</v>
      </c>
      <c r="C50" s="894">
        <f>SUM(D50:E50)</f>
        <v>35000</v>
      </c>
      <c r="D50" s="1249">
        <v>0</v>
      </c>
      <c r="E50" s="1249">
        <v>35000</v>
      </c>
      <c r="F50" s="1083">
        <f>SUM(G50:H50)</f>
        <v>35000</v>
      </c>
      <c r="G50" s="1085">
        <v>0</v>
      </c>
      <c r="H50" s="1085">
        <v>35000</v>
      </c>
      <c r="I50" s="1083">
        <f t="shared" si="2"/>
        <v>0</v>
      </c>
      <c r="J50" s="1083">
        <v>0</v>
      </c>
      <c r="K50" s="1083">
        <v>0</v>
      </c>
      <c r="L50" s="877">
        <f t="shared" si="6"/>
        <v>0</v>
      </c>
      <c r="M50" s="877">
        <f t="shared" si="6"/>
        <v>0</v>
      </c>
      <c r="N50" s="877">
        <f t="shared" si="6"/>
        <v>0</v>
      </c>
      <c r="O50" s="1214" t="s">
        <v>1171</v>
      </c>
      <c r="P50" s="1214" t="s">
        <v>1133</v>
      </c>
      <c r="Q50" s="1065"/>
      <c r="R50" s="1065"/>
      <c r="S50" s="1065"/>
      <c r="T50" s="1099" t="s">
        <v>961</v>
      </c>
      <c r="U50" s="1100" t="s">
        <v>990</v>
      </c>
      <c r="V50" s="1099">
        <v>522</v>
      </c>
      <c r="W50" s="1099">
        <v>24357</v>
      </c>
      <c r="Y50" s="736"/>
    </row>
    <row r="51" spans="1:25" s="1216" customFormat="1" ht="78.75">
      <c r="A51" s="1267" t="s">
        <v>154</v>
      </c>
      <c r="B51" s="1084" t="s">
        <v>1048</v>
      </c>
      <c r="C51" s="894">
        <f>SUM(D51:E51)</f>
        <v>4500</v>
      </c>
      <c r="D51" s="1249">
        <v>0</v>
      </c>
      <c r="E51" s="1249">
        <v>4500</v>
      </c>
      <c r="F51" s="1083">
        <f>SUM(G51:H51)</f>
        <v>15000</v>
      </c>
      <c r="G51" s="1085">
        <v>0</v>
      </c>
      <c r="H51" s="1085">
        <v>15000</v>
      </c>
      <c r="I51" s="1083">
        <f t="shared" si="2"/>
        <v>0</v>
      </c>
      <c r="J51" s="1083">
        <v>0</v>
      </c>
      <c r="K51" s="1083">
        <v>0</v>
      </c>
      <c r="L51" s="877">
        <f t="shared" si="6"/>
        <v>0</v>
      </c>
      <c r="M51" s="877">
        <f t="shared" si="6"/>
        <v>0</v>
      </c>
      <c r="N51" s="877">
        <f t="shared" si="6"/>
        <v>0</v>
      </c>
      <c r="O51" s="1214" t="s">
        <v>1171</v>
      </c>
      <c r="P51" s="1214" t="s">
        <v>1116</v>
      </c>
      <c r="Q51" s="1065">
        <f t="shared" si="1"/>
        <v>-10500</v>
      </c>
      <c r="R51" s="1065">
        <f t="shared" si="1"/>
        <v>0</v>
      </c>
      <c r="S51" s="1065">
        <f t="shared" si="1"/>
        <v>-10500</v>
      </c>
      <c r="T51" s="1099" t="s">
        <v>886</v>
      </c>
      <c r="U51" s="1100" t="s">
        <v>967</v>
      </c>
      <c r="V51" s="1099">
        <v>522</v>
      </c>
      <c r="W51" s="1099" t="s">
        <v>991</v>
      </c>
      <c r="Y51" s="736"/>
    </row>
    <row r="52" spans="1:25" s="1216" customFormat="1" ht="78.75" hidden="1">
      <c r="A52" s="1267" t="s">
        <v>155</v>
      </c>
      <c r="B52" s="1084" t="s">
        <v>1049</v>
      </c>
      <c r="C52" s="894">
        <f t="shared" si="4"/>
        <v>17850</v>
      </c>
      <c r="D52" s="1249">
        <v>0</v>
      </c>
      <c r="E52" s="1249">
        <v>17850</v>
      </c>
      <c r="F52" s="1083">
        <f t="shared" si="5"/>
        <v>59500</v>
      </c>
      <c r="G52" s="1085">
        <v>0</v>
      </c>
      <c r="H52" s="1085">
        <v>59500</v>
      </c>
      <c r="I52" s="1083">
        <f t="shared" si="2"/>
        <v>0</v>
      </c>
      <c r="J52" s="1083">
        <v>0</v>
      </c>
      <c r="K52" s="1083">
        <v>0</v>
      </c>
      <c r="L52" s="877">
        <f t="shared" si="6"/>
        <v>0</v>
      </c>
      <c r="M52" s="877">
        <f t="shared" si="6"/>
        <v>0</v>
      </c>
      <c r="N52" s="877">
        <f t="shared" si="6"/>
        <v>0</v>
      </c>
      <c r="O52" s="1214" t="s">
        <v>1171</v>
      </c>
      <c r="P52" s="1214" t="s">
        <v>1116</v>
      </c>
      <c r="Q52" s="1065">
        <f t="shared" si="1"/>
        <v>-41650</v>
      </c>
      <c r="R52" s="1065">
        <f t="shared" si="1"/>
        <v>0</v>
      </c>
      <c r="S52" s="1065">
        <f t="shared" si="1"/>
        <v>-41650</v>
      </c>
      <c r="T52" s="1099" t="s">
        <v>886</v>
      </c>
      <c r="U52" s="1100" t="s">
        <v>967</v>
      </c>
      <c r="V52" s="1099">
        <v>522</v>
      </c>
      <c r="W52" s="1099" t="s">
        <v>969</v>
      </c>
      <c r="Y52" s="736"/>
    </row>
    <row r="53" spans="1:25" s="1216" customFormat="1" hidden="1">
      <c r="A53" s="1267"/>
      <c r="B53" s="898" t="s">
        <v>333</v>
      </c>
      <c r="C53" s="871">
        <f t="shared" si="4"/>
        <v>9843</v>
      </c>
      <c r="D53" s="1250">
        <f>SUM(D54:D55)</f>
        <v>0</v>
      </c>
      <c r="E53" s="1250">
        <f>SUM(E54:E55)</f>
        <v>9843</v>
      </c>
      <c r="F53" s="874">
        <f t="shared" si="5"/>
        <v>32810</v>
      </c>
      <c r="G53" s="875">
        <f>SUM(G54:G55)</f>
        <v>0</v>
      </c>
      <c r="H53" s="875">
        <f>SUM(H54:H55)</f>
        <v>32810</v>
      </c>
      <c r="I53" s="874">
        <f>SUM(J53:K53)</f>
        <v>0</v>
      </c>
      <c r="J53" s="875">
        <f>SUM(J54:J55)</f>
        <v>0</v>
      </c>
      <c r="K53" s="875">
        <f>SUM(K54:K55)</f>
        <v>0</v>
      </c>
      <c r="L53" s="876">
        <f t="shared" si="6"/>
        <v>0</v>
      </c>
      <c r="M53" s="877">
        <f t="shared" si="6"/>
        <v>0</v>
      </c>
      <c r="N53" s="877">
        <f t="shared" si="6"/>
        <v>0</v>
      </c>
      <c r="O53" s="1214" t="s">
        <v>353</v>
      </c>
      <c r="P53" s="1214" t="s">
        <v>353</v>
      </c>
      <c r="Q53" s="1065">
        <f t="shared" si="1"/>
        <v>-22967</v>
      </c>
      <c r="R53" s="1065">
        <f t="shared" si="1"/>
        <v>0</v>
      </c>
      <c r="S53" s="1065">
        <f t="shared" si="1"/>
        <v>-22967</v>
      </c>
      <c r="T53" s="1099"/>
      <c r="U53" s="1100"/>
      <c r="V53" s="1099"/>
      <c r="W53" s="1099"/>
      <c r="Y53" s="736"/>
    </row>
    <row r="54" spans="1:25" s="1216" customFormat="1" ht="52.5">
      <c r="A54" s="1267" t="s">
        <v>156</v>
      </c>
      <c r="B54" s="1084" t="s">
        <v>1051</v>
      </c>
      <c r="C54" s="894">
        <f>SUM(D54:E54)</f>
        <v>3000</v>
      </c>
      <c r="D54" s="1249">
        <v>0</v>
      </c>
      <c r="E54" s="1249">
        <v>3000</v>
      </c>
      <c r="F54" s="1083">
        <f>SUM(G54:H54)</f>
        <v>10000</v>
      </c>
      <c r="G54" s="1085">
        <v>0</v>
      </c>
      <c r="H54" s="1085">
        <v>10000</v>
      </c>
      <c r="I54" s="1083">
        <f t="shared" si="2"/>
        <v>0</v>
      </c>
      <c r="J54" s="1083">
        <v>0</v>
      </c>
      <c r="K54" s="1083">
        <v>0</v>
      </c>
      <c r="L54" s="877">
        <f t="shared" si="6"/>
        <v>0</v>
      </c>
      <c r="M54" s="877">
        <f t="shared" si="6"/>
        <v>0</v>
      </c>
      <c r="N54" s="877">
        <f t="shared" si="6"/>
        <v>0</v>
      </c>
      <c r="O54" s="1214" t="s">
        <v>1171</v>
      </c>
      <c r="P54" s="1214" t="s">
        <v>1116</v>
      </c>
      <c r="Q54" s="1065">
        <f t="shared" si="1"/>
        <v>-7000</v>
      </c>
      <c r="R54" s="1065">
        <f t="shared" si="1"/>
        <v>0</v>
      </c>
      <c r="S54" s="1065">
        <f t="shared" si="1"/>
        <v>-7000</v>
      </c>
      <c r="T54" s="1099" t="s">
        <v>886</v>
      </c>
      <c r="U54" s="1100" t="s">
        <v>967</v>
      </c>
      <c r="V54" s="1099">
        <v>522</v>
      </c>
      <c r="W54" s="1099" t="s">
        <v>994</v>
      </c>
      <c r="Y54" s="736"/>
    </row>
    <row r="55" spans="1:25" s="1216" customFormat="1" ht="52.5" hidden="1">
      <c r="A55" s="1267" t="s">
        <v>122</v>
      </c>
      <c r="B55" s="1084" t="s">
        <v>1050</v>
      </c>
      <c r="C55" s="894">
        <f t="shared" si="4"/>
        <v>6843</v>
      </c>
      <c r="D55" s="1249">
        <v>0</v>
      </c>
      <c r="E55" s="1249">
        <v>6843</v>
      </c>
      <c r="F55" s="1083">
        <f t="shared" si="5"/>
        <v>22810</v>
      </c>
      <c r="G55" s="1085">
        <v>0</v>
      </c>
      <c r="H55" s="1085">
        <v>22810</v>
      </c>
      <c r="I55" s="1083">
        <f t="shared" si="2"/>
        <v>0</v>
      </c>
      <c r="J55" s="1083">
        <v>0</v>
      </c>
      <c r="K55" s="1083">
        <v>0</v>
      </c>
      <c r="L55" s="877">
        <f t="shared" si="6"/>
        <v>0</v>
      </c>
      <c r="M55" s="877">
        <f t="shared" si="6"/>
        <v>0</v>
      </c>
      <c r="N55" s="877">
        <f t="shared" si="6"/>
        <v>0</v>
      </c>
      <c r="O55" s="1214" t="s">
        <v>1171</v>
      </c>
      <c r="P55" s="1214" t="s">
        <v>1116</v>
      </c>
      <c r="Q55" s="1065">
        <f t="shared" si="1"/>
        <v>-15967</v>
      </c>
      <c r="R55" s="1065">
        <f t="shared" si="1"/>
        <v>0</v>
      </c>
      <c r="S55" s="1065">
        <f t="shared" si="1"/>
        <v>-15967</v>
      </c>
      <c r="T55" s="1099" t="s">
        <v>886</v>
      </c>
      <c r="U55" s="1100" t="s">
        <v>967</v>
      </c>
      <c r="V55" s="1099">
        <v>522</v>
      </c>
      <c r="W55" s="1099" t="s">
        <v>995</v>
      </c>
      <c r="Y55" s="736"/>
    </row>
    <row r="56" spans="1:25" s="1216" customFormat="1" hidden="1">
      <c r="A56" s="1267"/>
      <c r="B56" s="898" t="s">
        <v>443</v>
      </c>
      <c r="C56" s="871">
        <f>SUM(D56:E56)</f>
        <v>4368</v>
      </c>
      <c r="D56" s="1250">
        <f>D57</f>
        <v>0</v>
      </c>
      <c r="E56" s="1250">
        <f>E57</f>
        <v>4368</v>
      </c>
      <c r="F56" s="874">
        <f>SUM(G56:H56)</f>
        <v>14560</v>
      </c>
      <c r="G56" s="875">
        <f>G57</f>
        <v>0</v>
      </c>
      <c r="H56" s="875">
        <f>H57</f>
        <v>14560</v>
      </c>
      <c r="I56" s="874">
        <f>SUM(J56:K56)</f>
        <v>0</v>
      </c>
      <c r="J56" s="875">
        <f>J57</f>
        <v>0</v>
      </c>
      <c r="K56" s="875">
        <f>K57</f>
        <v>0</v>
      </c>
      <c r="L56" s="876">
        <f t="shared" si="6"/>
        <v>0</v>
      </c>
      <c r="M56" s="877">
        <f t="shared" si="6"/>
        <v>0</v>
      </c>
      <c r="N56" s="877">
        <f t="shared" si="6"/>
        <v>0</v>
      </c>
      <c r="O56" s="1214" t="s">
        <v>353</v>
      </c>
      <c r="P56" s="1214" t="s">
        <v>353</v>
      </c>
      <c r="Q56" s="1065">
        <f t="shared" si="1"/>
        <v>-10192</v>
      </c>
      <c r="R56" s="1065">
        <f t="shared" si="1"/>
        <v>0</v>
      </c>
      <c r="S56" s="1065">
        <f t="shared" si="1"/>
        <v>-10192</v>
      </c>
      <c r="T56" s="1099"/>
      <c r="U56" s="1100"/>
      <c r="V56" s="1099"/>
      <c r="W56" s="1099"/>
      <c r="Y56" s="736"/>
    </row>
    <row r="57" spans="1:25" s="1216" customFormat="1" ht="52.5" hidden="1">
      <c r="A57" s="1267" t="s">
        <v>123</v>
      </c>
      <c r="B57" s="1084" t="s">
        <v>1052</v>
      </c>
      <c r="C57" s="894">
        <f>SUM(D57:E57)</f>
        <v>4368</v>
      </c>
      <c r="D57" s="1249">
        <v>0</v>
      </c>
      <c r="E57" s="1249">
        <v>4368</v>
      </c>
      <c r="F57" s="1083">
        <f>SUM(G57:H57)</f>
        <v>14560</v>
      </c>
      <c r="G57" s="1085">
        <v>0</v>
      </c>
      <c r="H57" s="1085">
        <v>14560</v>
      </c>
      <c r="I57" s="1083">
        <f t="shared" si="2"/>
        <v>0</v>
      </c>
      <c r="J57" s="1083">
        <v>0</v>
      </c>
      <c r="K57" s="1083">
        <v>0</v>
      </c>
      <c r="L57" s="877">
        <f t="shared" si="6"/>
        <v>0</v>
      </c>
      <c r="M57" s="877">
        <f t="shared" si="6"/>
        <v>0</v>
      </c>
      <c r="N57" s="877">
        <f t="shared" si="6"/>
        <v>0</v>
      </c>
      <c r="O57" s="1214" t="s">
        <v>1171</v>
      </c>
      <c r="P57" s="1214" t="s">
        <v>1116</v>
      </c>
      <c r="Q57" s="1065">
        <f t="shared" si="1"/>
        <v>-10192</v>
      </c>
      <c r="R57" s="1065">
        <f t="shared" si="1"/>
        <v>0</v>
      </c>
      <c r="S57" s="1065">
        <f t="shared" si="1"/>
        <v>-10192</v>
      </c>
      <c r="T57" s="1099" t="s">
        <v>886</v>
      </c>
      <c r="U57" s="1100" t="s">
        <v>967</v>
      </c>
      <c r="V57" s="1099">
        <v>522</v>
      </c>
      <c r="W57" s="1099" t="s">
        <v>986</v>
      </c>
      <c r="Y57" s="736"/>
    </row>
    <row r="58" spans="1:25" s="1216" customFormat="1" hidden="1">
      <c r="A58" s="1267"/>
      <c r="B58" s="898" t="s">
        <v>90</v>
      </c>
      <c r="C58" s="871">
        <f t="shared" si="4"/>
        <v>1300</v>
      </c>
      <c r="D58" s="1250">
        <f>D59</f>
        <v>0</v>
      </c>
      <c r="E58" s="1250">
        <f>E59</f>
        <v>1300</v>
      </c>
      <c r="F58" s="874">
        <f t="shared" si="5"/>
        <v>1300</v>
      </c>
      <c r="G58" s="875">
        <f>G59</f>
        <v>0</v>
      </c>
      <c r="H58" s="875">
        <f>H59</f>
        <v>1300</v>
      </c>
      <c r="I58" s="874">
        <f>SUM(J58:K58)</f>
        <v>0</v>
      </c>
      <c r="J58" s="875">
        <f>J59</f>
        <v>0</v>
      </c>
      <c r="K58" s="875">
        <f>K59</f>
        <v>0</v>
      </c>
      <c r="L58" s="876">
        <f t="shared" si="6"/>
        <v>0</v>
      </c>
      <c r="M58" s="877">
        <f t="shared" si="6"/>
        <v>0</v>
      </c>
      <c r="N58" s="877">
        <f t="shared" si="6"/>
        <v>0</v>
      </c>
      <c r="O58" s="1214" t="s">
        <v>353</v>
      </c>
      <c r="P58" s="1214" t="s">
        <v>353</v>
      </c>
      <c r="Q58" s="1065">
        <f t="shared" si="1"/>
        <v>0</v>
      </c>
      <c r="R58" s="1065">
        <f t="shared" si="1"/>
        <v>0</v>
      </c>
      <c r="S58" s="1065">
        <f t="shared" si="1"/>
        <v>0</v>
      </c>
      <c r="T58" s="1099"/>
      <c r="U58" s="1100"/>
      <c r="V58" s="1099"/>
      <c r="W58" s="1099"/>
      <c r="Y58" s="736"/>
    </row>
    <row r="59" spans="1:25" s="1216" customFormat="1" ht="93">
      <c r="A59" s="1267" t="s">
        <v>124</v>
      </c>
      <c r="B59" s="1084" t="s">
        <v>1053</v>
      </c>
      <c r="C59" s="894">
        <f t="shared" si="4"/>
        <v>1300</v>
      </c>
      <c r="D59" s="1249">
        <v>0</v>
      </c>
      <c r="E59" s="1249">
        <v>1300</v>
      </c>
      <c r="F59" s="1083">
        <f t="shared" si="5"/>
        <v>1300</v>
      </c>
      <c r="G59" s="1085">
        <v>0</v>
      </c>
      <c r="H59" s="1085">
        <v>1300</v>
      </c>
      <c r="I59" s="1083">
        <f t="shared" si="2"/>
        <v>0</v>
      </c>
      <c r="J59" s="1083">
        <v>0</v>
      </c>
      <c r="K59" s="1083">
        <v>0</v>
      </c>
      <c r="L59" s="877">
        <f t="shared" si="6"/>
        <v>0</v>
      </c>
      <c r="M59" s="877">
        <f t="shared" si="6"/>
        <v>0</v>
      </c>
      <c r="N59" s="877">
        <f t="shared" si="6"/>
        <v>0</v>
      </c>
      <c r="O59" s="1214" t="s">
        <v>1182</v>
      </c>
      <c r="P59" s="1214" t="s">
        <v>1134</v>
      </c>
      <c r="Q59" s="1065">
        <f t="shared" si="1"/>
        <v>0</v>
      </c>
      <c r="R59" s="1065">
        <f t="shared" si="1"/>
        <v>0</v>
      </c>
      <c r="S59" s="1065">
        <f t="shared" si="1"/>
        <v>0</v>
      </c>
      <c r="T59" s="1099" t="s">
        <v>886</v>
      </c>
      <c r="U59" s="1100">
        <v>520343220</v>
      </c>
      <c r="V59" s="1099">
        <v>522</v>
      </c>
      <c r="W59" s="1099" t="s">
        <v>994</v>
      </c>
      <c r="Y59" s="736"/>
    </row>
    <row r="60" spans="1:25" s="1216" customFormat="1" hidden="1">
      <c r="A60" s="1267"/>
      <c r="B60" s="898" t="s">
        <v>712</v>
      </c>
      <c r="C60" s="871">
        <f t="shared" si="4"/>
        <v>2300</v>
      </c>
      <c r="D60" s="1250">
        <f>D61</f>
        <v>0</v>
      </c>
      <c r="E60" s="1250">
        <f>E61</f>
        <v>2300</v>
      </c>
      <c r="F60" s="874">
        <f t="shared" si="5"/>
        <v>2300</v>
      </c>
      <c r="G60" s="875">
        <f>G61</f>
        <v>0</v>
      </c>
      <c r="H60" s="875">
        <f>H61</f>
        <v>2300</v>
      </c>
      <c r="I60" s="874">
        <f>SUM(J60:K60)</f>
        <v>0</v>
      </c>
      <c r="J60" s="875">
        <f>J61</f>
        <v>0</v>
      </c>
      <c r="K60" s="875">
        <f>K61</f>
        <v>0</v>
      </c>
      <c r="L60" s="876">
        <f t="shared" si="6"/>
        <v>0</v>
      </c>
      <c r="M60" s="877">
        <f t="shared" si="6"/>
        <v>0</v>
      </c>
      <c r="N60" s="877">
        <f t="shared" si="6"/>
        <v>0</v>
      </c>
      <c r="O60" s="1214" t="s">
        <v>353</v>
      </c>
      <c r="P60" s="1214" t="s">
        <v>353</v>
      </c>
      <c r="Q60" s="1065">
        <f t="shared" si="1"/>
        <v>0</v>
      </c>
      <c r="R60" s="1065">
        <f t="shared" si="1"/>
        <v>0</v>
      </c>
      <c r="S60" s="1065">
        <f t="shared" si="1"/>
        <v>0</v>
      </c>
      <c r="T60" s="1099"/>
      <c r="U60" s="1100"/>
      <c r="V60" s="1099"/>
      <c r="W60" s="1099"/>
      <c r="Y60" s="736"/>
    </row>
    <row r="61" spans="1:25" s="1216" customFormat="1" ht="69.75" customHeight="1">
      <c r="A61" s="1267" t="s">
        <v>125</v>
      </c>
      <c r="B61" s="1084" t="s">
        <v>1054</v>
      </c>
      <c r="C61" s="894">
        <f t="shared" si="4"/>
        <v>2300</v>
      </c>
      <c r="D61" s="1249">
        <v>0</v>
      </c>
      <c r="E61" s="1249">
        <v>2300</v>
      </c>
      <c r="F61" s="1083">
        <f t="shared" si="5"/>
        <v>2300</v>
      </c>
      <c r="G61" s="1085">
        <v>0</v>
      </c>
      <c r="H61" s="1085">
        <v>2300</v>
      </c>
      <c r="I61" s="1083">
        <f t="shared" si="2"/>
        <v>0</v>
      </c>
      <c r="J61" s="1083">
        <v>0</v>
      </c>
      <c r="K61" s="1083">
        <v>0</v>
      </c>
      <c r="L61" s="877">
        <f t="shared" si="6"/>
        <v>0</v>
      </c>
      <c r="M61" s="877">
        <f t="shared" si="6"/>
        <v>0</v>
      </c>
      <c r="N61" s="877">
        <f t="shared" si="6"/>
        <v>0</v>
      </c>
      <c r="O61" s="1214" t="s">
        <v>1183</v>
      </c>
      <c r="P61" s="1214" t="s">
        <v>1135</v>
      </c>
      <c r="Q61" s="1065">
        <f t="shared" si="1"/>
        <v>0</v>
      </c>
      <c r="R61" s="1065">
        <f t="shared" si="1"/>
        <v>0</v>
      </c>
      <c r="S61" s="1065">
        <f t="shared" si="1"/>
        <v>0</v>
      </c>
      <c r="T61" s="1099" t="s">
        <v>886</v>
      </c>
      <c r="U61" s="1100" t="s">
        <v>967</v>
      </c>
      <c r="V61" s="1099">
        <v>522</v>
      </c>
      <c r="W61" s="1099" t="s">
        <v>983</v>
      </c>
      <c r="Y61" s="736"/>
    </row>
    <row r="62" spans="1:25" s="1216" customFormat="1" hidden="1">
      <c r="A62" s="1267"/>
      <c r="B62" s="898" t="s">
        <v>46</v>
      </c>
      <c r="C62" s="871">
        <f t="shared" si="4"/>
        <v>12500</v>
      </c>
      <c r="D62" s="1250">
        <f>D63</f>
        <v>0</v>
      </c>
      <c r="E62" s="1250">
        <f>E63</f>
        <v>12500</v>
      </c>
      <c r="F62" s="874">
        <f t="shared" si="5"/>
        <v>12500</v>
      </c>
      <c r="G62" s="875">
        <f>G63</f>
        <v>0</v>
      </c>
      <c r="H62" s="875">
        <f>H63</f>
        <v>12500</v>
      </c>
      <c r="I62" s="874">
        <f>SUM(J62:K62)</f>
        <v>0</v>
      </c>
      <c r="J62" s="875">
        <f>J63</f>
        <v>0</v>
      </c>
      <c r="K62" s="875">
        <f>K63</f>
        <v>0</v>
      </c>
      <c r="L62" s="876">
        <f t="shared" si="6"/>
        <v>0</v>
      </c>
      <c r="M62" s="877">
        <f t="shared" si="6"/>
        <v>0</v>
      </c>
      <c r="N62" s="877">
        <f t="shared" si="6"/>
        <v>0</v>
      </c>
      <c r="O62" s="1214" t="s">
        <v>353</v>
      </c>
      <c r="P62" s="1214" t="s">
        <v>353</v>
      </c>
      <c r="Q62" s="1065">
        <f t="shared" si="1"/>
        <v>0</v>
      </c>
      <c r="R62" s="1065">
        <f t="shared" si="1"/>
        <v>0</v>
      </c>
      <c r="S62" s="1065">
        <f t="shared" si="1"/>
        <v>0</v>
      </c>
      <c r="T62" s="1099"/>
      <c r="U62" s="1100"/>
      <c r="V62" s="1099"/>
      <c r="W62" s="1099"/>
      <c r="Y62" s="736"/>
    </row>
    <row r="63" spans="1:25" s="1216" customFormat="1" ht="120" hidden="1" customHeight="1">
      <c r="A63" s="1267" t="s">
        <v>126</v>
      </c>
      <c r="B63" s="1084" t="s">
        <v>1055</v>
      </c>
      <c r="C63" s="894">
        <f t="shared" si="4"/>
        <v>12500</v>
      </c>
      <c r="D63" s="1249">
        <v>0</v>
      </c>
      <c r="E63" s="1249">
        <v>12500</v>
      </c>
      <c r="F63" s="1083">
        <f t="shared" si="5"/>
        <v>12500</v>
      </c>
      <c r="G63" s="1085">
        <v>0</v>
      </c>
      <c r="H63" s="1085">
        <v>12500</v>
      </c>
      <c r="I63" s="1083"/>
      <c r="J63" s="1083">
        <v>0</v>
      </c>
      <c r="K63" s="1083">
        <v>0</v>
      </c>
      <c r="L63" s="877">
        <f t="shared" si="6"/>
        <v>0</v>
      </c>
      <c r="M63" s="877">
        <f t="shared" si="6"/>
        <v>0</v>
      </c>
      <c r="N63" s="877">
        <f t="shared" si="6"/>
        <v>0</v>
      </c>
      <c r="O63" s="1214" t="s">
        <v>1184</v>
      </c>
      <c r="P63" s="1214" t="s">
        <v>1136</v>
      </c>
      <c r="Q63" s="1065">
        <f t="shared" si="1"/>
        <v>0</v>
      </c>
      <c r="R63" s="1065">
        <f t="shared" si="1"/>
        <v>0</v>
      </c>
      <c r="S63" s="1065">
        <f t="shared" si="1"/>
        <v>0</v>
      </c>
      <c r="T63" s="1099" t="s">
        <v>886</v>
      </c>
      <c r="U63" s="1100" t="s">
        <v>966</v>
      </c>
      <c r="V63" s="1099">
        <v>522</v>
      </c>
      <c r="W63" s="1099" t="s">
        <v>977</v>
      </c>
      <c r="Y63" s="736"/>
    </row>
    <row r="64" spans="1:25" hidden="1">
      <c r="A64" s="1267"/>
      <c r="B64" s="898" t="s">
        <v>457</v>
      </c>
      <c r="C64" s="871">
        <f t="shared" si="4"/>
        <v>34000</v>
      </c>
      <c r="D64" s="1250">
        <f>SUM(D65:D69)</f>
        <v>0</v>
      </c>
      <c r="E64" s="1250">
        <f>SUM(E65:E69)</f>
        <v>34000</v>
      </c>
      <c r="F64" s="874">
        <f t="shared" si="5"/>
        <v>34000</v>
      </c>
      <c r="G64" s="875">
        <f>SUM(G65:G69)</f>
        <v>0</v>
      </c>
      <c r="H64" s="875">
        <f>SUM(H65:H69)</f>
        <v>34000</v>
      </c>
      <c r="I64" s="874">
        <f>SUM(J64:K64)</f>
        <v>0</v>
      </c>
      <c r="J64" s="875">
        <f>SUM(J65:J69)</f>
        <v>0</v>
      </c>
      <c r="K64" s="875">
        <f>SUM(K65:K69)</f>
        <v>0</v>
      </c>
      <c r="L64" s="876">
        <f t="shared" si="6"/>
        <v>0</v>
      </c>
      <c r="M64" s="877">
        <f t="shared" si="6"/>
        <v>0</v>
      </c>
      <c r="N64" s="877">
        <f t="shared" si="6"/>
        <v>0</v>
      </c>
      <c r="O64" s="1214" t="s">
        <v>353</v>
      </c>
      <c r="P64" s="1214" t="s">
        <v>353</v>
      </c>
      <c r="Q64" s="1065">
        <f t="shared" si="1"/>
        <v>0</v>
      </c>
      <c r="R64" s="1065">
        <f t="shared" si="1"/>
        <v>0</v>
      </c>
      <c r="S64" s="1065">
        <f t="shared" si="1"/>
        <v>0</v>
      </c>
    </row>
    <row r="65" spans="1:25" ht="105" hidden="1">
      <c r="A65" s="1267" t="s">
        <v>127</v>
      </c>
      <c r="B65" s="1084" t="s">
        <v>1056</v>
      </c>
      <c r="C65" s="894">
        <f t="shared" si="4"/>
        <v>10000</v>
      </c>
      <c r="D65" s="1249">
        <v>0</v>
      </c>
      <c r="E65" s="1249">
        <v>10000</v>
      </c>
      <c r="F65" s="1083">
        <f t="shared" si="5"/>
        <v>10000</v>
      </c>
      <c r="G65" s="1085">
        <v>0</v>
      </c>
      <c r="H65" s="1085">
        <v>10000</v>
      </c>
      <c r="I65" s="2440">
        <f>SUM(J65:K69)</f>
        <v>0</v>
      </c>
      <c r="J65" s="2440">
        <v>0</v>
      </c>
      <c r="K65" s="2440">
        <v>0</v>
      </c>
      <c r="L65" s="2415">
        <f>IF(I65=0,0,I65/F65:F69*100)</f>
        <v>0</v>
      </c>
      <c r="M65" s="2415">
        <f>IF(J65=0,0,J65/G65:G69*100)</f>
        <v>0</v>
      </c>
      <c r="N65" s="2415">
        <f>IF(K65=0,0,K65/H65:H69*100)</f>
        <v>0</v>
      </c>
      <c r="O65" s="1214" t="s">
        <v>1171</v>
      </c>
      <c r="P65" s="1213" t="s">
        <v>1137</v>
      </c>
      <c r="Q65" s="1065">
        <f t="shared" si="1"/>
        <v>0</v>
      </c>
      <c r="R65" s="1065">
        <f t="shared" si="1"/>
        <v>0</v>
      </c>
      <c r="S65" s="1065">
        <f t="shared" si="1"/>
        <v>0</v>
      </c>
      <c r="T65" s="2410" t="s">
        <v>886</v>
      </c>
      <c r="U65" s="2410" t="s">
        <v>966</v>
      </c>
      <c r="V65" s="2410">
        <v>522</v>
      </c>
      <c r="W65" s="2410" t="s">
        <v>979</v>
      </c>
      <c r="X65" s="2465"/>
    </row>
    <row r="66" spans="1:25" ht="164.25" hidden="1" customHeight="1">
      <c r="A66" s="1267" t="s">
        <v>128</v>
      </c>
      <c r="B66" s="1084" t="s">
        <v>1057</v>
      </c>
      <c r="C66" s="894">
        <f t="shared" si="4"/>
        <v>6400</v>
      </c>
      <c r="D66" s="1249">
        <v>0</v>
      </c>
      <c r="E66" s="1249">
        <v>6400</v>
      </c>
      <c r="F66" s="1083">
        <f t="shared" si="5"/>
        <v>6400</v>
      </c>
      <c r="G66" s="1085">
        <v>0</v>
      </c>
      <c r="H66" s="1085">
        <v>6400</v>
      </c>
      <c r="I66" s="2458"/>
      <c r="J66" s="2458"/>
      <c r="K66" s="2458"/>
      <c r="L66" s="2416"/>
      <c r="M66" s="2416"/>
      <c r="N66" s="2416"/>
      <c r="O66" s="1214" t="s">
        <v>1171</v>
      </c>
      <c r="P66" s="2472" t="s">
        <v>1138</v>
      </c>
      <c r="Q66" s="1065">
        <f t="shared" si="1"/>
        <v>0</v>
      </c>
      <c r="R66" s="1065">
        <f t="shared" si="1"/>
        <v>0</v>
      </c>
      <c r="S66" s="1065">
        <f t="shared" si="1"/>
        <v>0</v>
      </c>
      <c r="T66" s="2410"/>
      <c r="U66" s="2410"/>
      <c r="V66" s="2410"/>
      <c r="W66" s="2410"/>
      <c r="X66" s="2465"/>
    </row>
    <row r="67" spans="1:25" ht="157.5" hidden="1">
      <c r="A67" s="1267" t="s">
        <v>158</v>
      </c>
      <c r="B67" s="1084" t="s">
        <v>1058</v>
      </c>
      <c r="C67" s="894">
        <f t="shared" si="4"/>
        <v>4600</v>
      </c>
      <c r="D67" s="1249">
        <v>0</v>
      </c>
      <c r="E67" s="1249">
        <v>4600</v>
      </c>
      <c r="F67" s="1083">
        <f t="shared" si="5"/>
        <v>4600</v>
      </c>
      <c r="G67" s="1085">
        <v>0</v>
      </c>
      <c r="H67" s="1085">
        <v>4600</v>
      </c>
      <c r="I67" s="2458"/>
      <c r="J67" s="2458"/>
      <c r="K67" s="2458"/>
      <c r="L67" s="2416"/>
      <c r="M67" s="2416"/>
      <c r="N67" s="2416"/>
      <c r="O67" s="1214" t="s">
        <v>1171</v>
      </c>
      <c r="P67" s="2472"/>
      <c r="Q67" s="1065">
        <f t="shared" si="1"/>
        <v>0</v>
      </c>
      <c r="R67" s="1065">
        <f t="shared" si="1"/>
        <v>0</v>
      </c>
      <c r="S67" s="1065">
        <f t="shared" si="1"/>
        <v>0</v>
      </c>
      <c r="T67" s="2410"/>
      <c r="U67" s="2410"/>
      <c r="V67" s="2410"/>
      <c r="W67" s="2410"/>
      <c r="X67" s="2465"/>
    </row>
    <row r="68" spans="1:25" ht="141" hidden="1" customHeight="1">
      <c r="A68" s="1267" t="s">
        <v>129</v>
      </c>
      <c r="B68" s="1084" t="s">
        <v>1059</v>
      </c>
      <c r="C68" s="894">
        <f t="shared" si="4"/>
        <v>10000</v>
      </c>
      <c r="D68" s="1249">
        <v>0</v>
      </c>
      <c r="E68" s="1249">
        <v>10000</v>
      </c>
      <c r="F68" s="1083">
        <f t="shared" si="5"/>
        <v>10000</v>
      </c>
      <c r="G68" s="1085">
        <v>0</v>
      </c>
      <c r="H68" s="1085">
        <v>10000</v>
      </c>
      <c r="I68" s="2458"/>
      <c r="J68" s="2458"/>
      <c r="K68" s="2458"/>
      <c r="L68" s="2416"/>
      <c r="M68" s="2416"/>
      <c r="N68" s="2416"/>
      <c r="O68" s="1214" t="s">
        <v>1171</v>
      </c>
      <c r="P68" s="1213" t="s">
        <v>1137</v>
      </c>
      <c r="Q68" s="1065">
        <f t="shared" si="1"/>
        <v>0</v>
      </c>
      <c r="R68" s="1065">
        <f t="shared" si="1"/>
        <v>0</v>
      </c>
      <c r="S68" s="1065">
        <f t="shared" si="1"/>
        <v>0</v>
      </c>
      <c r="T68" s="2410"/>
      <c r="U68" s="2410"/>
      <c r="V68" s="2410"/>
      <c r="W68" s="2410"/>
      <c r="X68" s="2465"/>
    </row>
    <row r="69" spans="1:25" ht="150" hidden="1" customHeight="1">
      <c r="A69" s="1267" t="s">
        <v>159</v>
      </c>
      <c r="B69" s="1084" t="s">
        <v>1060</v>
      </c>
      <c r="C69" s="894">
        <f t="shared" si="4"/>
        <v>3000</v>
      </c>
      <c r="D69" s="1249">
        <v>0</v>
      </c>
      <c r="E69" s="1249">
        <v>3000</v>
      </c>
      <c r="F69" s="1083">
        <f t="shared" si="5"/>
        <v>3000</v>
      </c>
      <c r="G69" s="1085">
        <v>0</v>
      </c>
      <c r="H69" s="1085">
        <v>3000</v>
      </c>
      <c r="I69" s="2441"/>
      <c r="J69" s="2441"/>
      <c r="K69" s="2441"/>
      <c r="L69" s="2417"/>
      <c r="M69" s="2417"/>
      <c r="N69" s="2417"/>
      <c r="O69" s="1214" t="s">
        <v>1171</v>
      </c>
      <c r="P69" s="1213" t="s">
        <v>1137</v>
      </c>
      <c r="Q69" s="1065">
        <f t="shared" si="1"/>
        <v>0</v>
      </c>
      <c r="R69" s="1065">
        <f t="shared" si="1"/>
        <v>0</v>
      </c>
      <c r="S69" s="1065">
        <f t="shared" si="1"/>
        <v>0</v>
      </c>
      <c r="T69" s="2410"/>
      <c r="U69" s="2410"/>
      <c r="V69" s="2410"/>
      <c r="W69" s="2410"/>
      <c r="X69" s="2465"/>
    </row>
    <row r="70" spans="1:25" s="914" customFormat="1" ht="92.25" hidden="1" customHeight="1">
      <c r="A70" s="1090"/>
      <c r="B70" s="1090" t="s">
        <v>444</v>
      </c>
      <c r="C70" s="1090">
        <f>D70+E70</f>
        <v>325874.2</v>
      </c>
      <c r="D70" s="1090">
        <f>SUM(D71,D74,D77,D79,D81,D83,D86)</f>
        <v>306319.5</v>
      </c>
      <c r="E70" s="1090">
        <f>SUM(E71,E74,E77,E79,E81,E83,E86)</f>
        <v>19554.7</v>
      </c>
      <c r="F70" s="1090">
        <f>G70+H70</f>
        <v>234917.1</v>
      </c>
      <c r="G70" s="1091">
        <f>SUM(G71,G74,G77,G79,G81,G83,G86)</f>
        <v>220820.4</v>
      </c>
      <c r="H70" s="1091">
        <f>SUM(H71,H74,H77,H81,H79,H83,H86)</f>
        <v>14096.7</v>
      </c>
      <c r="I70" s="1090">
        <f>J70+K70</f>
        <v>22323</v>
      </c>
      <c r="J70" s="1090">
        <f>SUM(J71,J74,J77,J79,J81,J83,J86)</f>
        <v>20983.5</v>
      </c>
      <c r="K70" s="1090">
        <f>SUM(K71,K74,K77,K81,K79,K83,K86)</f>
        <v>1339.5</v>
      </c>
      <c r="L70" s="1092">
        <f t="shared" ref="L70:N90" si="7">IF(I70=0,0,I70/F70*100)</f>
        <v>9.5</v>
      </c>
      <c r="M70" s="1093">
        <f t="shared" si="7"/>
        <v>9.5</v>
      </c>
      <c r="N70" s="1093">
        <f t="shared" si="7"/>
        <v>9.5</v>
      </c>
      <c r="O70" s="1224" t="s">
        <v>1117</v>
      </c>
      <c r="P70" s="1224" t="s">
        <v>1117</v>
      </c>
      <c r="Q70" s="1065">
        <f t="shared" si="1"/>
        <v>90957.1</v>
      </c>
      <c r="R70" s="1065">
        <f t="shared" si="1"/>
        <v>85499.1</v>
      </c>
      <c r="S70" s="1065">
        <f t="shared" si="1"/>
        <v>5458</v>
      </c>
      <c r="T70" s="1099"/>
      <c r="U70" s="1100"/>
      <c r="V70" s="1099"/>
      <c r="W70" s="1099"/>
      <c r="X70" s="1216"/>
      <c r="Y70" s="913"/>
    </row>
    <row r="71" spans="1:25" hidden="1">
      <c r="A71" s="1267"/>
      <c r="B71" s="1236" t="s">
        <v>431</v>
      </c>
      <c r="C71" s="871">
        <f t="shared" ref="C71:C120" si="8">SUM(D71:E71)</f>
        <v>53340.2</v>
      </c>
      <c r="D71" s="1251">
        <f>D72+D73</f>
        <v>50139.4</v>
      </c>
      <c r="E71" s="1251">
        <f>E72+E73</f>
        <v>3200.8</v>
      </c>
      <c r="F71" s="874">
        <f t="shared" ref="F71:F120" si="9">SUM(G71:H71)</f>
        <v>19433</v>
      </c>
      <c r="G71" s="880">
        <f>G72+G73</f>
        <v>18266.8</v>
      </c>
      <c r="H71" s="880">
        <f>H72+H73</f>
        <v>1166.2</v>
      </c>
      <c r="I71" s="874">
        <f t="shared" ref="I71:I120" si="10">SUM(J71:K71)</f>
        <v>5582.4</v>
      </c>
      <c r="J71" s="874">
        <f>J72+J73</f>
        <v>5247.4</v>
      </c>
      <c r="K71" s="874">
        <f>K72+K73</f>
        <v>335</v>
      </c>
      <c r="L71" s="877">
        <f t="shared" si="7"/>
        <v>28.7</v>
      </c>
      <c r="M71" s="877">
        <f t="shared" si="7"/>
        <v>28.7</v>
      </c>
      <c r="N71" s="877">
        <f t="shared" si="7"/>
        <v>28.7</v>
      </c>
      <c r="O71" s="1214" t="s">
        <v>1117</v>
      </c>
      <c r="P71" s="1214" t="s">
        <v>1117</v>
      </c>
      <c r="Q71" s="1065">
        <f t="shared" si="1"/>
        <v>33907.199999999997</v>
      </c>
      <c r="R71" s="1065">
        <f t="shared" si="1"/>
        <v>31872.6</v>
      </c>
      <c r="S71" s="1065">
        <f t="shared" si="1"/>
        <v>2034.6</v>
      </c>
    </row>
    <row r="72" spans="1:25" ht="162.75" hidden="1">
      <c r="A72" s="895">
        <v>35</v>
      </c>
      <c r="B72" s="1075" t="s">
        <v>690</v>
      </c>
      <c r="C72" s="894">
        <f t="shared" si="8"/>
        <v>11063.4</v>
      </c>
      <c r="D72" s="972">
        <f>10318.8+80.6</f>
        <v>10399.4</v>
      </c>
      <c r="E72" s="972">
        <f>658.8+5.15</f>
        <v>664</v>
      </c>
      <c r="F72" s="1083">
        <f t="shared" si="9"/>
        <v>10977.6</v>
      </c>
      <c r="G72" s="879">
        <v>10318.799999999999</v>
      </c>
      <c r="H72" s="879">
        <v>658.8</v>
      </c>
      <c r="I72" s="1083">
        <f t="shared" si="10"/>
        <v>5582.4</v>
      </c>
      <c r="J72" s="1083">
        <v>5247.4</v>
      </c>
      <c r="K72" s="1083">
        <v>335</v>
      </c>
      <c r="L72" s="877">
        <f t="shared" si="7"/>
        <v>50.9</v>
      </c>
      <c r="M72" s="877">
        <f t="shared" si="7"/>
        <v>50.9</v>
      </c>
      <c r="N72" s="877">
        <f t="shared" si="7"/>
        <v>50.9</v>
      </c>
      <c r="O72" s="1214" t="s">
        <v>1185</v>
      </c>
      <c r="P72" s="1214" t="s">
        <v>1143</v>
      </c>
      <c r="Q72" s="1065">
        <f t="shared" si="1"/>
        <v>85.8</v>
      </c>
      <c r="R72" s="1065">
        <f t="shared" si="1"/>
        <v>80.599999999999994</v>
      </c>
      <c r="S72" s="1065">
        <f t="shared" si="1"/>
        <v>5.2</v>
      </c>
      <c r="T72" s="1099" t="s">
        <v>954</v>
      </c>
      <c r="U72" s="1100" t="s">
        <v>974</v>
      </c>
      <c r="V72" s="1099">
        <v>522</v>
      </c>
      <c r="W72" s="1099" t="s">
        <v>958</v>
      </c>
    </row>
    <row r="73" spans="1:25" ht="109.5" hidden="1" customHeight="1">
      <c r="A73" s="1267" t="s">
        <v>160</v>
      </c>
      <c r="B73" s="1075" t="s">
        <v>689</v>
      </c>
      <c r="C73" s="894">
        <f t="shared" si="8"/>
        <v>42276.800000000003</v>
      </c>
      <c r="D73" s="972">
        <f>7948+31792</f>
        <v>39740</v>
      </c>
      <c r="E73" s="972">
        <f>507.4+2029.44</f>
        <v>2536.8000000000002</v>
      </c>
      <c r="F73" s="1083">
        <f t="shared" si="9"/>
        <v>8455.4</v>
      </c>
      <c r="G73" s="879">
        <v>7948</v>
      </c>
      <c r="H73" s="879">
        <v>507.4</v>
      </c>
      <c r="I73" s="1083">
        <f t="shared" si="10"/>
        <v>0</v>
      </c>
      <c r="J73" s="1083">
        <v>0</v>
      </c>
      <c r="K73" s="1083">
        <v>0</v>
      </c>
      <c r="L73" s="877">
        <f t="shared" si="7"/>
        <v>0</v>
      </c>
      <c r="M73" s="877">
        <f t="shared" si="7"/>
        <v>0</v>
      </c>
      <c r="N73" s="877">
        <f t="shared" si="7"/>
        <v>0</v>
      </c>
      <c r="O73" s="1214" t="s">
        <v>1186</v>
      </c>
      <c r="P73" s="1214" t="s">
        <v>1144</v>
      </c>
      <c r="Q73" s="1065">
        <f t="shared" si="1"/>
        <v>33821.4</v>
      </c>
      <c r="R73" s="1065">
        <f t="shared" si="1"/>
        <v>31792</v>
      </c>
      <c r="S73" s="1065">
        <f t="shared" si="1"/>
        <v>2029.4</v>
      </c>
      <c r="T73" s="1099" t="s">
        <v>886</v>
      </c>
      <c r="U73" s="1100" t="s">
        <v>973</v>
      </c>
      <c r="V73" s="1099">
        <v>522</v>
      </c>
      <c r="W73" s="1099" t="s">
        <v>890</v>
      </c>
      <c r="X73" s="1225"/>
    </row>
    <row r="74" spans="1:25" hidden="1">
      <c r="A74" s="1267"/>
      <c r="B74" s="898" t="s">
        <v>457</v>
      </c>
      <c r="C74" s="871">
        <f t="shared" si="8"/>
        <v>39454.5</v>
      </c>
      <c r="D74" s="1252">
        <f>SUM(D75:D76)</f>
        <v>37086.9</v>
      </c>
      <c r="E74" s="1252">
        <f>SUM(E75:E76)</f>
        <v>2367.6</v>
      </c>
      <c r="F74" s="874">
        <f t="shared" si="9"/>
        <v>14332.1</v>
      </c>
      <c r="G74" s="881">
        <f>SUM(G75:G76)</f>
        <v>13472</v>
      </c>
      <c r="H74" s="881">
        <f>SUM(H75:H76)</f>
        <v>860.1</v>
      </c>
      <c r="I74" s="874">
        <f t="shared" si="10"/>
        <v>0</v>
      </c>
      <c r="J74" s="881">
        <f>SUM(J75:J76)</f>
        <v>0</v>
      </c>
      <c r="K74" s="881">
        <f>SUM(K75:K76)</f>
        <v>0</v>
      </c>
      <c r="L74" s="882">
        <f t="shared" si="7"/>
        <v>0</v>
      </c>
      <c r="M74" s="875">
        <f t="shared" si="7"/>
        <v>0</v>
      </c>
      <c r="N74" s="875">
        <f t="shared" si="7"/>
        <v>0</v>
      </c>
      <c r="O74" s="1214" t="s">
        <v>1117</v>
      </c>
      <c r="P74" s="1214" t="s">
        <v>1117</v>
      </c>
      <c r="Q74" s="1065">
        <f t="shared" si="1"/>
        <v>25122.400000000001</v>
      </c>
      <c r="R74" s="1065">
        <f t="shared" si="1"/>
        <v>23614.9</v>
      </c>
      <c r="S74" s="1065">
        <f t="shared" si="1"/>
        <v>1507.5</v>
      </c>
    </row>
    <row r="75" spans="1:25" ht="116.25" hidden="1">
      <c r="A75" s="1267" t="s">
        <v>532</v>
      </c>
      <c r="B75" s="1270" t="s">
        <v>838</v>
      </c>
      <c r="C75" s="894">
        <f t="shared" si="8"/>
        <v>8075.8</v>
      </c>
      <c r="D75" s="972">
        <f>7572.8+18.33</f>
        <v>7591.1</v>
      </c>
      <c r="E75" s="972">
        <f>483.5+1.17</f>
        <v>484.7</v>
      </c>
      <c r="F75" s="1083">
        <f t="shared" si="9"/>
        <v>8056.3</v>
      </c>
      <c r="G75" s="879">
        <v>7572.8</v>
      </c>
      <c r="H75" s="879">
        <v>483.5</v>
      </c>
      <c r="I75" s="1083">
        <f t="shared" si="10"/>
        <v>0</v>
      </c>
      <c r="J75" s="1083">
        <v>0</v>
      </c>
      <c r="K75" s="1083">
        <v>0</v>
      </c>
      <c r="L75" s="877">
        <f t="shared" si="7"/>
        <v>0</v>
      </c>
      <c r="M75" s="877">
        <f t="shared" si="7"/>
        <v>0</v>
      </c>
      <c r="N75" s="877">
        <f t="shared" si="7"/>
        <v>0</v>
      </c>
      <c r="O75" s="1264" t="s">
        <v>1187</v>
      </c>
      <c r="P75" s="1264" t="s">
        <v>1145</v>
      </c>
      <c r="Q75" s="1065">
        <f t="shared" si="1"/>
        <v>19.5</v>
      </c>
      <c r="R75" s="1065">
        <f t="shared" si="1"/>
        <v>18.3</v>
      </c>
      <c r="S75" s="1065">
        <f t="shared" si="1"/>
        <v>1.2</v>
      </c>
      <c r="T75" s="1099">
        <v>1102</v>
      </c>
      <c r="U75" s="1100" t="s">
        <v>981</v>
      </c>
      <c r="V75" s="1099">
        <v>522</v>
      </c>
      <c r="W75" s="1099" t="s">
        <v>958</v>
      </c>
    </row>
    <row r="76" spans="1:25" ht="150" hidden="1" customHeight="1">
      <c r="A76" s="895">
        <v>38</v>
      </c>
      <c r="B76" s="1075" t="s">
        <v>678</v>
      </c>
      <c r="C76" s="894">
        <f t="shared" si="8"/>
        <v>31378.7</v>
      </c>
      <c r="D76" s="972">
        <f>5899.2+23596.6</f>
        <v>29495.8</v>
      </c>
      <c r="E76" s="972">
        <f>376.6+1506.29</f>
        <v>1882.9</v>
      </c>
      <c r="F76" s="1083">
        <f t="shared" si="9"/>
        <v>6275.8</v>
      </c>
      <c r="G76" s="879">
        <v>5899.2</v>
      </c>
      <c r="H76" s="879">
        <v>376.6</v>
      </c>
      <c r="I76" s="1083">
        <f t="shared" si="10"/>
        <v>0</v>
      </c>
      <c r="J76" s="1083">
        <v>0</v>
      </c>
      <c r="K76" s="1083">
        <v>0</v>
      </c>
      <c r="L76" s="877">
        <f t="shared" si="7"/>
        <v>0</v>
      </c>
      <c r="M76" s="877">
        <f t="shared" si="7"/>
        <v>0</v>
      </c>
      <c r="N76" s="877">
        <f t="shared" si="7"/>
        <v>0</v>
      </c>
      <c r="O76" s="1214" t="s">
        <v>1188</v>
      </c>
      <c r="P76" s="1214" t="s">
        <v>1139</v>
      </c>
      <c r="Q76" s="1065">
        <f t="shared" si="1"/>
        <v>25102.9</v>
      </c>
      <c r="R76" s="1065">
        <f t="shared" si="1"/>
        <v>23596.6</v>
      </c>
      <c r="S76" s="1065">
        <f t="shared" si="1"/>
        <v>1506.3</v>
      </c>
      <c r="T76" s="1099" t="s">
        <v>886</v>
      </c>
      <c r="U76" s="1100" t="s">
        <v>980</v>
      </c>
      <c r="V76" s="1099">
        <v>522</v>
      </c>
      <c r="W76" s="1099" t="s">
        <v>890</v>
      </c>
    </row>
    <row r="77" spans="1:25" hidden="1">
      <c r="A77" s="1267"/>
      <c r="B77" s="898" t="s">
        <v>433</v>
      </c>
      <c r="C77" s="871">
        <f t="shared" si="8"/>
        <v>14049.3</v>
      </c>
      <c r="D77" s="1250">
        <f>D78</f>
        <v>13206.2</v>
      </c>
      <c r="E77" s="1250">
        <f>E78</f>
        <v>843.1</v>
      </c>
      <c r="F77" s="874">
        <f t="shared" si="9"/>
        <v>14049.3</v>
      </c>
      <c r="G77" s="875">
        <f>G78</f>
        <v>13206.2</v>
      </c>
      <c r="H77" s="875">
        <f>H78</f>
        <v>843.1</v>
      </c>
      <c r="I77" s="874">
        <f t="shared" si="10"/>
        <v>3862.8</v>
      </c>
      <c r="J77" s="875">
        <f>J78</f>
        <v>3631</v>
      </c>
      <c r="K77" s="875">
        <f>K78</f>
        <v>231.8</v>
      </c>
      <c r="L77" s="882">
        <f t="shared" si="7"/>
        <v>27.5</v>
      </c>
      <c r="M77" s="883">
        <f t="shared" si="7"/>
        <v>27.5</v>
      </c>
      <c r="N77" s="883">
        <f t="shared" si="7"/>
        <v>27.5</v>
      </c>
      <c r="O77" s="1214" t="s">
        <v>353</v>
      </c>
      <c r="P77" s="1214" t="s">
        <v>353</v>
      </c>
      <c r="Q77" s="1065">
        <f t="shared" si="1"/>
        <v>0</v>
      </c>
      <c r="R77" s="1065">
        <f t="shared" si="1"/>
        <v>0</v>
      </c>
      <c r="S77" s="1065">
        <f t="shared" si="1"/>
        <v>0</v>
      </c>
    </row>
    <row r="78" spans="1:25" ht="123" hidden="1" customHeight="1">
      <c r="A78" s="1267" t="s">
        <v>536</v>
      </c>
      <c r="B78" s="1084" t="s">
        <v>679</v>
      </c>
      <c r="C78" s="894">
        <f t="shared" si="8"/>
        <v>14049.3</v>
      </c>
      <c r="D78" s="1249">
        <v>13206.2</v>
      </c>
      <c r="E78" s="1249">
        <v>843.1</v>
      </c>
      <c r="F78" s="1083">
        <f t="shared" si="9"/>
        <v>14049.3</v>
      </c>
      <c r="G78" s="1085">
        <v>13206.2</v>
      </c>
      <c r="H78" s="1085">
        <v>843.1</v>
      </c>
      <c r="I78" s="1083">
        <f t="shared" si="10"/>
        <v>3862.8</v>
      </c>
      <c r="J78" s="1085">
        <v>3631</v>
      </c>
      <c r="K78" s="1085">
        <v>231.8</v>
      </c>
      <c r="L78" s="877">
        <f t="shared" si="7"/>
        <v>27.5</v>
      </c>
      <c r="M78" s="877">
        <f t="shared" si="7"/>
        <v>27.5</v>
      </c>
      <c r="N78" s="877">
        <f t="shared" si="7"/>
        <v>27.5</v>
      </c>
      <c r="O78" s="1264" t="s">
        <v>1140</v>
      </c>
      <c r="P78" s="1264" t="s">
        <v>1141</v>
      </c>
      <c r="Q78" s="1065">
        <f t="shared" si="1"/>
        <v>0</v>
      </c>
      <c r="R78" s="1065">
        <f t="shared" si="1"/>
        <v>0</v>
      </c>
      <c r="S78" s="1065">
        <f t="shared" si="1"/>
        <v>0</v>
      </c>
      <c r="T78" s="1099" t="s">
        <v>954</v>
      </c>
      <c r="U78" s="1100" t="s">
        <v>982</v>
      </c>
      <c r="V78" s="1099">
        <v>522</v>
      </c>
      <c r="W78" s="1099" t="s">
        <v>958</v>
      </c>
    </row>
    <row r="79" spans="1:25" hidden="1">
      <c r="A79" s="895"/>
      <c r="B79" s="898" t="s">
        <v>458</v>
      </c>
      <c r="C79" s="871">
        <f t="shared" si="8"/>
        <v>11408.6</v>
      </c>
      <c r="D79" s="1250">
        <f>D80</f>
        <v>10724</v>
      </c>
      <c r="E79" s="1250">
        <f>E80</f>
        <v>684.6</v>
      </c>
      <c r="F79" s="874">
        <f t="shared" si="9"/>
        <v>11408.6</v>
      </c>
      <c r="G79" s="875">
        <f>G80</f>
        <v>10724</v>
      </c>
      <c r="H79" s="875">
        <f>H80</f>
        <v>684.6</v>
      </c>
      <c r="I79" s="874">
        <f t="shared" si="10"/>
        <v>161.69999999999999</v>
      </c>
      <c r="J79" s="875">
        <f>J80</f>
        <v>152</v>
      </c>
      <c r="K79" s="875">
        <f>K80</f>
        <v>9.6999999999999993</v>
      </c>
      <c r="L79" s="882">
        <f t="shared" si="7"/>
        <v>1.4</v>
      </c>
      <c r="M79" s="883">
        <f t="shared" si="7"/>
        <v>1.4</v>
      </c>
      <c r="N79" s="883">
        <f t="shared" si="7"/>
        <v>1.4</v>
      </c>
      <c r="O79" s="1214" t="s">
        <v>353</v>
      </c>
      <c r="P79" s="1214" t="s">
        <v>353</v>
      </c>
      <c r="Q79" s="1065">
        <f t="shared" ref="Q79:S94" si="11">C79-F79</f>
        <v>0</v>
      </c>
      <c r="R79" s="1065">
        <f t="shared" si="11"/>
        <v>0</v>
      </c>
      <c r="S79" s="1065">
        <f t="shared" si="11"/>
        <v>0</v>
      </c>
    </row>
    <row r="80" spans="1:25" ht="93" hidden="1">
      <c r="A80" s="1267" t="s">
        <v>131</v>
      </c>
      <c r="B80" s="1084" t="s">
        <v>680</v>
      </c>
      <c r="C80" s="894">
        <f t="shared" si="8"/>
        <v>11408.6</v>
      </c>
      <c r="D80" s="1249">
        <v>10724</v>
      </c>
      <c r="E80" s="1249">
        <v>684.6</v>
      </c>
      <c r="F80" s="1083">
        <f t="shared" si="9"/>
        <v>11408.6</v>
      </c>
      <c r="G80" s="1085">
        <v>10724</v>
      </c>
      <c r="H80" s="1085">
        <v>684.6</v>
      </c>
      <c r="I80" s="1083">
        <f t="shared" si="10"/>
        <v>161.69999999999999</v>
      </c>
      <c r="J80" s="1083">
        <v>152</v>
      </c>
      <c r="K80" s="1083">
        <v>9.6999999999999993</v>
      </c>
      <c r="L80" s="877">
        <f t="shared" si="7"/>
        <v>1.4</v>
      </c>
      <c r="M80" s="877">
        <f t="shared" si="7"/>
        <v>1.4</v>
      </c>
      <c r="N80" s="877">
        <f t="shared" si="7"/>
        <v>1.4</v>
      </c>
      <c r="O80" s="1214" t="s">
        <v>1189</v>
      </c>
      <c r="P80" s="1264" t="s">
        <v>1142</v>
      </c>
      <c r="Q80" s="1065">
        <f t="shared" si="11"/>
        <v>0</v>
      </c>
      <c r="R80" s="1065">
        <f t="shared" si="11"/>
        <v>0</v>
      </c>
      <c r="S80" s="1065">
        <f t="shared" si="11"/>
        <v>0</v>
      </c>
      <c r="T80" s="1099" t="s">
        <v>954</v>
      </c>
      <c r="U80" s="1100" t="s">
        <v>997</v>
      </c>
      <c r="V80" s="1099">
        <v>522</v>
      </c>
      <c r="W80" s="1099" t="s">
        <v>958</v>
      </c>
    </row>
    <row r="81" spans="1:25" hidden="1">
      <c r="A81" s="895"/>
      <c r="B81" s="898" t="s">
        <v>443</v>
      </c>
      <c r="C81" s="871">
        <f t="shared" si="8"/>
        <v>55847.5</v>
      </c>
      <c r="D81" s="1250">
        <f>D82</f>
        <v>52496.6</v>
      </c>
      <c r="E81" s="1250">
        <f>E82</f>
        <v>3350.9</v>
      </c>
      <c r="F81" s="874">
        <f t="shared" si="9"/>
        <v>55844.9</v>
      </c>
      <c r="G81" s="875">
        <f>G82</f>
        <v>52494.2</v>
      </c>
      <c r="H81" s="875">
        <f>H82</f>
        <v>3350.7</v>
      </c>
      <c r="I81" s="874">
        <f t="shared" si="10"/>
        <v>374.2</v>
      </c>
      <c r="J81" s="875">
        <f>J82</f>
        <v>351.7</v>
      </c>
      <c r="K81" s="875">
        <f>K82</f>
        <v>22.5</v>
      </c>
      <c r="L81" s="876">
        <f t="shared" si="7"/>
        <v>0.7</v>
      </c>
      <c r="M81" s="877">
        <f t="shared" si="7"/>
        <v>0.7</v>
      </c>
      <c r="N81" s="877">
        <f t="shared" si="7"/>
        <v>0.7</v>
      </c>
      <c r="O81" s="1214" t="s">
        <v>353</v>
      </c>
      <c r="P81" s="1214" t="s">
        <v>353</v>
      </c>
      <c r="Q81" s="1065">
        <f t="shared" si="11"/>
        <v>2.6</v>
      </c>
      <c r="R81" s="1065">
        <f t="shared" si="11"/>
        <v>2.4</v>
      </c>
      <c r="S81" s="1065">
        <f t="shared" si="11"/>
        <v>0.2</v>
      </c>
    </row>
    <row r="82" spans="1:25" ht="93" hidden="1">
      <c r="A82" s="1267" t="s">
        <v>555</v>
      </c>
      <c r="B82" s="1084" t="s">
        <v>681</v>
      </c>
      <c r="C82" s="894">
        <f t="shared" si="8"/>
        <v>55847.5</v>
      </c>
      <c r="D82" s="1249">
        <f>52494.2+2.4</f>
        <v>52496.6</v>
      </c>
      <c r="E82" s="1249">
        <f>3350.7+0.16</f>
        <v>3350.9</v>
      </c>
      <c r="F82" s="1083">
        <f t="shared" si="9"/>
        <v>55844.9</v>
      </c>
      <c r="G82" s="1085">
        <v>52494.2</v>
      </c>
      <c r="H82" s="1085">
        <v>3350.7</v>
      </c>
      <c r="I82" s="1083">
        <f t="shared" si="10"/>
        <v>374.2</v>
      </c>
      <c r="J82" s="1083">
        <v>351.7</v>
      </c>
      <c r="K82" s="970">
        <v>22.45</v>
      </c>
      <c r="L82" s="877">
        <f t="shared" si="7"/>
        <v>0.7</v>
      </c>
      <c r="M82" s="877">
        <f t="shared" si="7"/>
        <v>0.7</v>
      </c>
      <c r="N82" s="877">
        <f t="shared" si="7"/>
        <v>0.7</v>
      </c>
      <c r="O82" s="1264" t="s">
        <v>1190</v>
      </c>
      <c r="P82" s="1214" t="s">
        <v>1146</v>
      </c>
      <c r="Q82" s="1065">
        <f t="shared" si="11"/>
        <v>2.6</v>
      </c>
      <c r="R82" s="1065">
        <f t="shared" si="11"/>
        <v>2.4</v>
      </c>
      <c r="S82" s="1065">
        <f t="shared" si="11"/>
        <v>0.2</v>
      </c>
      <c r="T82" s="1099" t="s">
        <v>874</v>
      </c>
      <c r="U82" s="1100" t="s">
        <v>984</v>
      </c>
      <c r="V82" s="1099">
        <v>522</v>
      </c>
      <c r="W82" s="1099" t="s">
        <v>985</v>
      </c>
    </row>
    <row r="83" spans="1:25" hidden="1">
      <c r="A83" s="895"/>
      <c r="B83" s="898" t="s">
        <v>281</v>
      </c>
      <c r="C83" s="871">
        <f t="shared" si="8"/>
        <v>115657.60000000001</v>
      </c>
      <c r="D83" s="1250">
        <f>SUM(D84:D85)</f>
        <v>108717.1</v>
      </c>
      <c r="E83" s="1250">
        <f>SUM(E84:E85)</f>
        <v>6940.5</v>
      </c>
      <c r="F83" s="874">
        <f t="shared" si="9"/>
        <v>110820.3</v>
      </c>
      <c r="G83" s="875">
        <f>SUM(G84:G85)</f>
        <v>104170.1</v>
      </c>
      <c r="H83" s="875">
        <f>SUM(H84:H85)</f>
        <v>6650.2</v>
      </c>
      <c r="I83" s="874">
        <f t="shared" si="10"/>
        <v>12341.9</v>
      </c>
      <c r="J83" s="875">
        <f>SUM(J84:J85)</f>
        <v>11601.4</v>
      </c>
      <c r="K83" s="875">
        <f>SUM(K84:K85)</f>
        <v>740.5</v>
      </c>
      <c r="L83" s="876">
        <f t="shared" si="7"/>
        <v>11.1</v>
      </c>
      <c r="M83" s="877">
        <f t="shared" si="7"/>
        <v>11.1</v>
      </c>
      <c r="N83" s="877">
        <f t="shared" si="7"/>
        <v>11.1</v>
      </c>
      <c r="O83" s="1214" t="s">
        <v>353</v>
      </c>
      <c r="P83" s="1214" t="s">
        <v>353</v>
      </c>
      <c r="Q83" s="1065">
        <f t="shared" si="11"/>
        <v>4837.3</v>
      </c>
      <c r="R83" s="1065">
        <f t="shared" si="11"/>
        <v>4547</v>
      </c>
      <c r="S83" s="1065">
        <f t="shared" si="11"/>
        <v>290.3</v>
      </c>
    </row>
    <row r="84" spans="1:25" ht="99.75" hidden="1" customHeight="1">
      <c r="A84" s="1265" t="s">
        <v>1308</v>
      </c>
      <c r="B84" s="1086" t="s">
        <v>682</v>
      </c>
      <c r="C84" s="1253">
        <f t="shared" si="8"/>
        <v>84139</v>
      </c>
      <c r="D84" s="1254">
        <f>75135.3+3954.5</f>
        <v>79089.8</v>
      </c>
      <c r="E84" s="1249">
        <f>4796.7+252.5</f>
        <v>5049.2</v>
      </c>
      <c r="F84" s="1268">
        <f t="shared" si="9"/>
        <v>79932</v>
      </c>
      <c r="G84" s="1271">
        <v>75135.3</v>
      </c>
      <c r="H84" s="1085">
        <v>4796.7</v>
      </c>
      <c r="I84" s="1268">
        <f t="shared" si="10"/>
        <v>12341.9</v>
      </c>
      <c r="J84" s="1268">
        <v>11601.4</v>
      </c>
      <c r="K84" s="970">
        <v>740.5</v>
      </c>
      <c r="L84" s="1266">
        <f t="shared" si="7"/>
        <v>15.4</v>
      </c>
      <c r="M84" s="1266">
        <f t="shared" si="7"/>
        <v>15.4</v>
      </c>
      <c r="N84" s="883">
        <f t="shared" si="7"/>
        <v>15.4</v>
      </c>
      <c r="O84" s="1214" t="s">
        <v>1147</v>
      </c>
      <c r="P84" s="1214" t="s">
        <v>1148</v>
      </c>
      <c r="Q84" s="1065">
        <f t="shared" si="11"/>
        <v>4207</v>
      </c>
      <c r="R84" s="1065">
        <f t="shared" si="11"/>
        <v>3954.5</v>
      </c>
      <c r="S84" s="1065">
        <f t="shared" si="11"/>
        <v>252.5</v>
      </c>
      <c r="T84" s="1099" t="s">
        <v>928</v>
      </c>
      <c r="U84" s="1100" t="s">
        <v>987</v>
      </c>
      <c r="V84" s="1099">
        <v>522</v>
      </c>
      <c r="W84" s="1099" t="s">
        <v>930</v>
      </c>
    </row>
    <row r="85" spans="1:25" ht="124.5" hidden="1" customHeight="1">
      <c r="A85" s="1267" t="s">
        <v>556</v>
      </c>
      <c r="B85" s="1084" t="s">
        <v>683</v>
      </c>
      <c r="C85" s="894">
        <f t="shared" si="8"/>
        <v>31518.6</v>
      </c>
      <c r="D85" s="1249">
        <f>29034.8+592.5</f>
        <v>29627.3</v>
      </c>
      <c r="E85" s="1249">
        <f>1853.5+37.83</f>
        <v>1891.3</v>
      </c>
      <c r="F85" s="1083">
        <f t="shared" si="9"/>
        <v>30888.3</v>
      </c>
      <c r="G85" s="1085">
        <v>29034.799999999999</v>
      </c>
      <c r="H85" s="1085">
        <v>1853.5</v>
      </c>
      <c r="I85" s="1083">
        <f t="shared" si="10"/>
        <v>0</v>
      </c>
      <c r="J85" s="1083">
        <v>0</v>
      </c>
      <c r="K85" s="1083">
        <v>0</v>
      </c>
      <c r="L85" s="877">
        <f t="shared" si="7"/>
        <v>0</v>
      </c>
      <c r="M85" s="877">
        <f t="shared" si="7"/>
        <v>0</v>
      </c>
      <c r="N85" s="877">
        <f t="shared" si="7"/>
        <v>0</v>
      </c>
      <c r="O85" s="1214" t="s">
        <v>1191</v>
      </c>
      <c r="P85" s="1214" t="s">
        <v>1118</v>
      </c>
      <c r="Q85" s="1065">
        <f t="shared" si="11"/>
        <v>630.29999999999995</v>
      </c>
      <c r="R85" s="1065">
        <f t="shared" si="11"/>
        <v>592.5</v>
      </c>
      <c r="S85" s="1065">
        <f t="shared" si="11"/>
        <v>37.799999999999997</v>
      </c>
      <c r="T85" s="1099" t="s">
        <v>954</v>
      </c>
      <c r="U85" s="1100" t="s">
        <v>998</v>
      </c>
      <c r="V85" s="1099">
        <v>522</v>
      </c>
      <c r="W85" s="1099" t="s">
        <v>958</v>
      </c>
    </row>
    <row r="86" spans="1:25" hidden="1">
      <c r="A86" s="1267"/>
      <c r="B86" s="898" t="s">
        <v>583</v>
      </c>
      <c r="C86" s="871">
        <f t="shared" si="8"/>
        <v>36116.5</v>
      </c>
      <c r="D86" s="1250">
        <f>SUM(D87:D87)</f>
        <v>33949.300000000003</v>
      </c>
      <c r="E86" s="1250">
        <f>SUM(E87:E87)</f>
        <v>2167.1999999999998</v>
      </c>
      <c r="F86" s="874">
        <f t="shared" si="9"/>
        <v>9028.9</v>
      </c>
      <c r="G86" s="875">
        <f>SUM(G87:G87)</f>
        <v>8487.1</v>
      </c>
      <c r="H86" s="875">
        <f>SUM(H87:H87)</f>
        <v>541.79999999999995</v>
      </c>
      <c r="I86" s="874">
        <f t="shared" si="10"/>
        <v>0</v>
      </c>
      <c r="J86" s="875">
        <f>SUM(J87:J87)</f>
        <v>0</v>
      </c>
      <c r="K86" s="875">
        <f>SUM(K87:K87)</f>
        <v>0</v>
      </c>
      <c r="L86" s="876">
        <f t="shared" si="7"/>
        <v>0</v>
      </c>
      <c r="M86" s="877">
        <f t="shared" si="7"/>
        <v>0</v>
      </c>
      <c r="N86" s="877">
        <f t="shared" si="7"/>
        <v>0</v>
      </c>
      <c r="O86" s="1214" t="s">
        <v>353</v>
      </c>
      <c r="P86" s="1214" t="s">
        <v>353</v>
      </c>
      <c r="Q86" s="1065">
        <f t="shared" si="11"/>
        <v>27087.599999999999</v>
      </c>
      <c r="R86" s="1065">
        <f t="shared" si="11"/>
        <v>25462.2</v>
      </c>
      <c r="S86" s="1065">
        <f t="shared" si="11"/>
        <v>1625.4</v>
      </c>
    </row>
    <row r="87" spans="1:25" ht="93" hidden="1">
      <c r="A87" s="1267" t="s">
        <v>162</v>
      </c>
      <c r="B87" s="1075" t="s">
        <v>684</v>
      </c>
      <c r="C87" s="894">
        <f t="shared" si="8"/>
        <v>36116.5</v>
      </c>
      <c r="D87" s="1249">
        <f>8487.1+25462.18</f>
        <v>33949.300000000003</v>
      </c>
      <c r="E87" s="1249">
        <f>541.8+1625.38</f>
        <v>2167.1999999999998</v>
      </c>
      <c r="F87" s="1083">
        <f t="shared" si="9"/>
        <v>9028.9</v>
      </c>
      <c r="G87" s="1085">
        <v>8487.1</v>
      </c>
      <c r="H87" s="1085">
        <v>541.79999999999995</v>
      </c>
      <c r="I87" s="1083">
        <f t="shared" si="10"/>
        <v>0</v>
      </c>
      <c r="J87" s="1083">
        <v>0</v>
      </c>
      <c r="K87" s="970">
        <v>0</v>
      </c>
      <c r="L87" s="877">
        <f t="shared" si="7"/>
        <v>0</v>
      </c>
      <c r="M87" s="877">
        <f t="shared" si="7"/>
        <v>0</v>
      </c>
      <c r="N87" s="877">
        <f t="shared" si="7"/>
        <v>0</v>
      </c>
      <c r="O87" s="1214" t="s">
        <v>1149</v>
      </c>
      <c r="P87" s="1214" t="s">
        <v>1150</v>
      </c>
      <c r="Q87" s="1065">
        <f t="shared" si="11"/>
        <v>27087.599999999999</v>
      </c>
      <c r="R87" s="1065">
        <f t="shared" si="11"/>
        <v>25462.2</v>
      </c>
      <c r="S87" s="1065">
        <f t="shared" si="11"/>
        <v>1625.4</v>
      </c>
      <c r="T87" s="1099" t="s">
        <v>886</v>
      </c>
      <c r="U87" s="1100" t="s">
        <v>996</v>
      </c>
      <c r="V87" s="1099">
        <v>522</v>
      </c>
      <c r="W87" s="1099" t="s">
        <v>890</v>
      </c>
    </row>
    <row r="88" spans="1:25" s="914" customFormat="1" ht="81" hidden="1">
      <c r="A88" s="1047" t="s">
        <v>2</v>
      </c>
      <c r="B88" s="1047" t="s">
        <v>313</v>
      </c>
      <c r="C88" s="1047">
        <f t="shared" si="8"/>
        <v>3682241</v>
      </c>
      <c r="D88" s="1047">
        <f>D89</f>
        <v>2956820</v>
      </c>
      <c r="E88" s="1047">
        <f>E89</f>
        <v>725421</v>
      </c>
      <c r="F88" s="1047">
        <f t="shared" si="9"/>
        <v>3592786.1</v>
      </c>
      <c r="G88" s="1047">
        <f>G89</f>
        <v>2793095.5</v>
      </c>
      <c r="H88" s="1047">
        <f>H89</f>
        <v>799690.6</v>
      </c>
      <c r="I88" s="1047">
        <f t="shared" si="10"/>
        <v>70431.399999999994</v>
      </c>
      <c r="J88" s="1047">
        <f>J89</f>
        <v>28997</v>
      </c>
      <c r="K88" s="1047">
        <f>K89</f>
        <v>41434.400000000001</v>
      </c>
      <c r="L88" s="1048">
        <f t="shared" si="7"/>
        <v>2</v>
      </c>
      <c r="M88" s="1049">
        <f t="shared" si="7"/>
        <v>1</v>
      </c>
      <c r="N88" s="1049">
        <f t="shared" si="7"/>
        <v>5.2</v>
      </c>
      <c r="O88" s="1227" t="s">
        <v>353</v>
      </c>
      <c r="P88" s="1227" t="s">
        <v>353</v>
      </c>
      <c r="Q88" s="1065">
        <f t="shared" si="11"/>
        <v>89454.9</v>
      </c>
      <c r="R88" s="1065">
        <f t="shared" si="11"/>
        <v>163724.5</v>
      </c>
      <c r="S88" s="1065">
        <f t="shared" si="11"/>
        <v>-74269.600000000006</v>
      </c>
      <c r="T88" s="1099"/>
      <c r="U88" s="1100"/>
      <c r="V88" s="1099"/>
      <c r="W88" s="1099"/>
      <c r="X88" s="1216"/>
      <c r="Y88" s="913"/>
    </row>
    <row r="89" spans="1:25" s="914" customFormat="1" ht="63.75" hidden="1" customHeight="1">
      <c r="A89" s="933" t="s">
        <v>246</v>
      </c>
      <c r="B89" s="933" t="s">
        <v>41</v>
      </c>
      <c r="C89" s="933">
        <f t="shared" si="8"/>
        <v>3682241</v>
      </c>
      <c r="D89" s="933">
        <f>SUM(D90:D142)</f>
        <v>2956820</v>
      </c>
      <c r="E89" s="933">
        <f>SUM(E90:E142)</f>
        <v>725421</v>
      </c>
      <c r="F89" s="933">
        <f>SUM(G89:H89)</f>
        <v>3592786.1</v>
      </c>
      <c r="G89" s="934">
        <f>SUM(G90:G142)</f>
        <v>2793095.5</v>
      </c>
      <c r="H89" s="934">
        <f>SUM(H90:H142)</f>
        <v>799690.6</v>
      </c>
      <c r="I89" s="933">
        <f t="shared" si="10"/>
        <v>70431.399999999994</v>
      </c>
      <c r="J89" s="933">
        <f>SUM(J90:J142)</f>
        <v>28997</v>
      </c>
      <c r="K89" s="933">
        <f>SUM(K90:K142)</f>
        <v>41434.400000000001</v>
      </c>
      <c r="L89" s="935">
        <f t="shared" si="7"/>
        <v>2</v>
      </c>
      <c r="M89" s="936">
        <f t="shared" si="7"/>
        <v>1</v>
      </c>
      <c r="N89" s="936">
        <f t="shared" si="7"/>
        <v>5.2</v>
      </c>
      <c r="O89" s="1226" t="s">
        <v>353</v>
      </c>
      <c r="P89" s="1226" t="s">
        <v>353</v>
      </c>
      <c r="Q89" s="1065">
        <f t="shared" si="11"/>
        <v>89454.9</v>
      </c>
      <c r="R89" s="1065">
        <f t="shared" si="11"/>
        <v>163724.5</v>
      </c>
      <c r="S89" s="1065">
        <f t="shared" si="11"/>
        <v>-74269.600000000006</v>
      </c>
      <c r="T89" s="1099"/>
      <c r="U89" s="1100"/>
      <c r="V89" s="1099"/>
      <c r="W89" s="1099"/>
      <c r="X89" s="1216"/>
      <c r="Y89" s="913"/>
    </row>
    <row r="90" spans="1:25" s="892" customFormat="1" ht="105" hidden="1">
      <c r="A90" s="1120" t="s">
        <v>824</v>
      </c>
      <c r="B90" s="1066" t="s">
        <v>434</v>
      </c>
      <c r="C90" s="871">
        <f t="shared" si="8"/>
        <v>109862.6</v>
      </c>
      <c r="D90" s="873">
        <v>105115.4</v>
      </c>
      <c r="E90" s="873">
        <v>4747.2</v>
      </c>
      <c r="F90" s="882">
        <f t="shared" si="9"/>
        <v>109862.6</v>
      </c>
      <c r="G90" s="877">
        <f>105115.4</f>
        <v>105115.4</v>
      </c>
      <c r="H90" s="877">
        <v>4747.2</v>
      </c>
      <c r="I90" s="882">
        <f t="shared" si="10"/>
        <v>4747.1000000000004</v>
      </c>
      <c r="J90" s="883">
        <v>0</v>
      </c>
      <c r="K90" s="883">
        <v>4747.1000000000004</v>
      </c>
      <c r="L90" s="876">
        <f t="shared" si="7"/>
        <v>4.3</v>
      </c>
      <c r="M90" s="877">
        <f t="shared" si="7"/>
        <v>0</v>
      </c>
      <c r="N90" s="877">
        <f t="shared" si="7"/>
        <v>100</v>
      </c>
      <c r="O90" s="1214" t="s">
        <v>353</v>
      </c>
      <c r="P90" s="1214" t="s">
        <v>1099</v>
      </c>
      <c r="Q90" s="1065">
        <f t="shared" si="11"/>
        <v>0</v>
      </c>
      <c r="R90" s="1065">
        <f t="shared" si="11"/>
        <v>0</v>
      </c>
      <c r="S90" s="1065">
        <f t="shared" si="11"/>
        <v>0</v>
      </c>
      <c r="T90" s="1099" t="s">
        <v>880</v>
      </c>
      <c r="U90" s="1100" t="s">
        <v>881</v>
      </c>
      <c r="V90" s="1099" t="s">
        <v>882</v>
      </c>
      <c r="W90" s="1099"/>
      <c r="X90" s="1216"/>
      <c r="Y90" s="1118"/>
    </row>
    <row r="91" spans="1:25" ht="104.25" hidden="1" customHeight="1">
      <c r="A91" s="1267" t="s">
        <v>545</v>
      </c>
      <c r="B91" s="973" t="s">
        <v>793</v>
      </c>
      <c r="C91" s="871">
        <f t="shared" si="8"/>
        <v>5176.2</v>
      </c>
      <c r="D91" s="972">
        <v>0</v>
      </c>
      <c r="E91" s="972">
        <v>5176.2</v>
      </c>
      <c r="F91" s="874">
        <f>SUM(G91:H91)</f>
        <v>5176.2</v>
      </c>
      <c r="G91" s="879">
        <v>0</v>
      </c>
      <c r="H91" s="879">
        <v>5176.2</v>
      </c>
      <c r="I91" s="874">
        <f t="shared" si="10"/>
        <v>0</v>
      </c>
      <c r="J91" s="1083">
        <v>0</v>
      </c>
      <c r="K91" s="1083">
        <v>0</v>
      </c>
      <c r="L91" s="876">
        <v>0</v>
      </c>
      <c r="M91" s="877">
        <f t="shared" ref="M91:N99" si="12">IF(J91=0,0,J91/G91*100)</f>
        <v>0</v>
      </c>
      <c r="N91" s="877">
        <f t="shared" si="12"/>
        <v>0</v>
      </c>
      <c r="O91" s="1214" t="s">
        <v>1192</v>
      </c>
      <c r="P91" s="1214" t="s">
        <v>1151</v>
      </c>
      <c r="Q91" s="1065">
        <f t="shared" si="11"/>
        <v>0</v>
      </c>
      <c r="R91" s="1065">
        <f t="shared" si="11"/>
        <v>0</v>
      </c>
      <c r="S91" s="1065">
        <f t="shared" si="11"/>
        <v>0</v>
      </c>
      <c r="T91" s="1099" t="s">
        <v>886</v>
      </c>
      <c r="U91" s="1100" t="s">
        <v>895</v>
      </c>
      <c r="V91" s="1099">
        <v>414</v>
      </c>
      <c r="W91" s="1099">
        <v>30131</v>
      </c>
    </row>
    <row r="92" spans="1:25" ht="97.5" customHeight="1">
      <c r="A92" s="1267" t="s">
        <v>557</v>
      </c>
      <c r="B92" s="973" t="s">
        <v>661</v>
      </c>
      <c r="C92" s="871">
        <f t="shared" si="8"/>
        <v>10224.4</v>
      </c>
      <c r="D92" s="972">
        <v>0</v>
      </c>
      <c r="E92" s="972">
        <v>10224.4</v>
      </c>
      <c r="F92" s="874">
        <f t="shared" si="9"/>
        <v>10224.4</v>
      </c>
      <c r="G92" s="879">
        <v>0</v>
      </c>
      <c r="H92" s="879">
        <v>10224.4</v>
      </c>
      <c r="I92" s="874">
        <f t="shared" si="10"/>
        <v>0</v>
      </c>
      <c r="J92" s="1083">
        <v>0</v>
      </c>
      <c r="K92" s="1083">
        <v>0</v>
      </c>
      <c r="L92" s="876">
        <v>0</v>
      </c>
      <c r="M92" s="877">
        <f t="shared" si="12"/>
        <v>0</v>
      </c>
      <c r="N92" s="877">
        <f t="shared" si="12"/>
        <v>0</v>
      </c>
      <c r="O92" s="1214" t="s">
        <v>1222</v>
      </c>
      <c r="P92" s="1214" t="s">
        <v>1152</v>
      </c>
      <c r="Q92" s="1065">
        <f t="shared" si="11"/>
        <v>0</v>
      </c>
      <c r="R92" s="1065">
        <f t="shared" si="11"/>
        <v>0</v>
      </c>
      <c r="S92" s="1065">
        <f t="shared" si="11"/>
        <v>0</v>
      </c>
      <c r="T92" s="1099" t="s">
        <v>886</v>
      </c>
      <c r="U92" s="1100" t="s">
        <v>887</v>
      </c>
      <c r="V92" s="1099">
        <v>414</v>
      </c>
      <c r="W92" s="1099">
        <v>14037</v>
      </c>
    </row>
    <row r="93" spans="1:25" ht="82.5" customHeight="1">
      <c r="A93" s="1267" t="s">
        <v>558</v>
      </c>
      <c r="B93" s="973" t="s">
        <v>662</v>
      </c>
      <c r="C93" s="871">
        <f t="shared" si="8"/>
        <v>2373</v>
      </c>
      <c r="D93" s="972">
        <v>0</v>
      </c>
      <c r="E93" s="972">
        <v>2373</v>
      </c>
      <c r="F93" s="874">
        <f t="shared" si="9"/>
        <v>2373</v>
      </c>
      <c r="G93" s="879">
        <v>0</v>
      </c>
      <c r="H93" s="879">
        <v>2373</v>
      </c>
      <c r="I93" s="874">
        <f t="shared" si="10"/>
        <v>0</v>
      </c>
      <c r="J93" s="1083">
        <v>0</v>
      </c>
      <c r="K93" s="1083">
        <v>0</v>
      </c>
      <c r="L93" s="876">
        <v>0</v>
      </c>
      <c r="M93" s="877">
        <f t="shared" si="12"/>
        <v>0</v>
      </c>
      <c r="N93" s="877">
        <f t="shared" si="12"/>
        <v>0</v>
      </c>
      <c r="O93" s="1214" t="s">
        <v>1224</v>
      </c>
      <c r="P93" s="1214" t="s">
        <v>1154</v>
      </c>
      <c r="Q93" s="1065">
        <f t="shared" si="11"/>
        <v>0</v>
      </c>
      <c r="R93" s="1065">
        <f t="shared" si="11"/>
        <v>0</v>
      </c>
      <c r="S93" s="1065">
        <f t="shared" si="11"/>
        <v>0</v>
      </c>
      <c r="T93" s="1099" t="s">
        <v>886</v>
      </c>
      <c r="U93" s="1100" t="s">
        <v>888</v>
      </c>
      <c r="V93" s="1099">
        <v>141</v>
      </c>
      <c r="W93" s="1099">
        <v>14038</v>
      </c>
    </row>
    <row r="94" spans="1:25" ht="103.5" hidden="1" customHeight="1">
      <c r="A94" s="1267" t="s">
        <v>559</v>
      </c>
      <c r="B94" s="973" t="s">
        <v>663</v>
      </c>
      <c r="C94" s="871">
        <f t="shared" si="8"/>
        <v>4074.6</v>
      </c>
      <c r="D94" s="972">
        <v>0</v>
      </c>
      <c r="E94" s="972">
        <v>4074.6</v>
      </c>
      <c r="F94" s="874">
        <f t="shared" si="9"/>
        <v>4074.6</v>
      </c>
      <c r="G94" s="879">
        <v>0</v>
      </c>
      <c r="H94" s="879">
        <v>4074.6</v>
      </c>
      <c r="I94" s="874">
        <f t="shared" si="10"/>
        <v>0</v>
      </c>
      <c r="J94" s="1083">
        <v>0</v>
      </c>
      <c r="K94" s="1083">
        <v>0</v>
      </c>
      <c r="L94" s="876">
        <v>0</v>
      </c>
      <c r="M94" s="877">
        <f t="shared" si="12"/>
        <v>0</v>
      </c>
      <c r="N94" s="877">
        <f t="shared" si="12"/>
        <v>0</v>
      </c>
      <c r="O94" s="1214" t="s">
        <v>1223</v>
      </c>
      <c r="P94" s="1214" t="s">
        <v>1153</v>
      </c>
      <c r="Q94" s="1065">
        <f t="shared" si="11"/>
        <v>0</v>
      </c>
      <c r="R94" s="1065">
        <f t="shared" si="11"/>
        <v>0</v>
      </c>
      <c r="S94" s="1065">
        <f t="shared" si="11"/>
        <v>0</v>
      </c>
      <c r="T94" s="1099" t="s">
        <v>886</v>
      </c>
      <c r="U94" s="1100" t="s">
        <v>888</v>
      </c>
      <c r="V94" s="1099">
        <v>414</v>
      </c>
      <c r="W94" s="1099">
        <v>14039</v>
      </c>
    </row>
    <row r="95" spans="1:25" ht="157.5" hidden="1">
      <c r="A95" s="1267" t="s">
        <v>560</v>
      </c>
      <c r="B95" s="973" t="s">
        <v>805</v>
      </c>
      <c r="C95" s="871">
        <f t="shared" si="8"/>
        <v>10000</v>
      </c>
      <c r="D95" s="972">
        <v>0</v>
      </c>
      <c r="E95" s="972">
        <v>10000</v>
      </c>
      <c r="F95" s="874">
        <f>SUM(G95:H95)</f>
        <v>10000</v>
      </c>
      <c r="G95" s="879">
        <v>0</v>
      </c>
      <c r="H95" s="879">
        <v>10000</v>
      </c>
      <c r="I95" s="874">
        <f t="shared" si="10"/>
        <v>0</v>
      </c>
      <c r="J95" s="1083">
        <v>0</v>
      </c>
      <c r="K95" s="1083">
        <v>0</v>
      </c>
      <c r="L95" s="876">
        <v>0</v>
      </c>
      <c r="M95" s="877">
        <f t="shared" si="12"/>
        <v>0</v>
      </c>
      <c r="N95" s="877">
        <f t="shared" si="12"/>
        <v>0</v>
      </c>
      <c r="O95" s="1214" t="s">
        <v>1192</v>
      </c>
      <c r="P95" s="1214" t="s">
        <v>1155</v>
      </c>
      <c r="Q95" s="1065">
        <f t="shared" ref="Q95:S110" si="13">C95-F95</f>
        <v>0</v>
      </c>
      <c r="R95" s="1065">
        <f t="shared" si="13"/>
        <v>0</v>
      </c>
      <c r="S95" s="1065">
        <f t="shared" si="13"/>
        <v>0</v>
      </c>
      <c r="T95" s="1099" t="s">
        <v>866</v>
      </c>
      <c r="U95" s="1100" t="s">
        <v>883</v>
      </c>
      <c r="V95" s="1099">
        <v>414</v>
      </c>
      <c r="W95" s="1099">
        <v>14051</v>
      </c>
    </row>
    <row r="96" spans="1:25" ht="116.25" hidden="1">
      <c r="A96" s="1267" t="s">
        <v>561</v>
      </c>
      <c r="B96" s="973" t="s">
        <v>664</v>
      </c>
      <c r="C96" s="871">
        <f t="shared" si="8"/>
        <v>1519</v>
      </c>
      <c r="D96" s="972">
        <v>0</v>
      </c>
      <c r="E96" s="972">
        <v>1519</v>
      </c>
      <c r="F96" s="874">
        <f t="shared" si="9"/>
        <v>1519</v>
      </c>
      <c r="G96" s="879">
        <v>0</v>
      </c>
      <c r="H96" s="879">
        <v>1519</v>
      </c>
      <c r="I96" s="874">
        <f t="shared" si="10"/>
        <v>0</v>
      </c>
      <c r="J96" s="1083">
        <v>0</v>
      </c>
      <c r="K96" s="1083">
        <v>0</v>
      </c>
      <c r="L96" s="876">
        <v>0</v>
      </c>
      <c r="M96" s="877">
        <f t="shared" si="12"/>
        <v>0</v>
      </c>
      <c r="N96" s="877">
        <f t="shared" si="12"/>
        <v>0</v>
      </c>
      <c r="O96" s="1214" t="s">
        <v>1225</v>
      </c>
      <c r="P96" s="1214" t="s">
        <v>1156</v>
      </c>
      <c r="Q96" s="1065">
        <f t="shared" si="13"/>
        <v>0</v>
      </c>
      <c r="R96" s="1065">
        <f t="shared" si="13"/>
        <v>0</v>
      </c>
      <c r="S96" s="1065">
        <f t="shared" si="13"/>
        <v>0</v>
      </c>
      <c r="T96" s="1099" t="s">
        <v>886</v>
      </c>
      <c r="U96" s="1100" t="s">
        <v>892</v>
      </c>
      <c r="V96" s="1099">
        <v>414</v>
      </c>
      <c r="W96" s="1099">
        <v>14041</v>
      </c>
    </row>
    <row r="97" spans="1:25" ht="116.25" hidden="1">
      <c r="A97" s="1267" t="s">
        <v>563</v>
      </c>
      <c r="B97" s="973" t="s">
        <v>665</v>
      </c>
      <c r="C97" s="871">
        <f t="shared" si="8"/>
        <v>1519</v>
      </c>
      <c r="D97" s="972">
        <v>0</v>
      </c>
      <c r="E97" s="972">
        <v>1519</v>
      </c>
      <c r="F97" s="874">
        <f t="shared" si="9"/>
        <v>1519</v>
      </c>
      <c r="G97" s="879">
        <v>0</v>
      </c>
      <c r="H97" s="879">
        <v>1519</v>
      </c>
      <c r="I97" s="874">
        <f t="shared" si="10"/>
        <v>0</v>
      </c>
      <c r="J97" s="1083">
        <v>0</v>
      </c>
      <c r="K97" s="1083">
        <v>0</v>
      </c>
      <c r="L97" s="876">
        <v>0</v>
      </c>
      <c r="M97" s="877">
        <f t="shared" si="12"/>
        <v>0</v>
      </c>
      <c r="N97" s="877">
        <f t="shared" si="12"/>
        <v>0</v>
      </c>
      <c r="O97" s="1214" t="s">
        <v>1226</v>
      </c>
      <c r="P97" s="1214" t="s">
        <v>1156</v>
      </c>
      <c r="Q97" s="1065">
        <f t="shared" si="13"/>
        <v>0</v>
      </c>
      <c r="R97" s="1065">
        <f t="shared" si="13"/>
        <v>0</v>
      </c>
      <c r="S97" s="1065">
        <f t="shared" si="13"/>
        <v>0</v>
      </c>
      <c r="T97" s="1099" t="s">
        <v>886</v>
      </c>
      <c r="U97" s="1100" t="s">
        <v>892</v>
      </c>
      <c r="V97" s="1099">
        <v>414</v>
      </c>
      <c r="W97" s="1099">
        <v>14042</v>
      </c>
    </row>
    <row r="98" spans="1:25" ht="116.25" hidden="1">
      <c r="A98" s="1267" t="s">
        <v>573</v>
      </c>
      <c r="B98" s="973" t="s">
        <v>666</v>
      </c>
      <c r="C98" s="871">
        <f t="shared" si="8"/>
        <v>1400</v>
      </c>
      <c r="D98" s="972">
        <v>0</v>
      </c>
      <c r="E98" s="972">
        <v>1400</v>
      </c>
      <c r="F98" s="874">
        <f t="shared" si="9"/>
        <v>1400</v>
      </c>
      <c r="G98" s="879">
        <v>0</v>
      </c>
      <c r="H98" s="879">
        <v>1400</v>
      </c>
      <c r="I98" s="874">
        <f t="shared" si="10"/>
        <v>0</v>
      </c>
      <c r="J98" s="1083">
        <v>0</v>
      </c>
      <c r="K98" s="1083">
        <v>0</v>
      </c>
      <c r="L98" s="876">
        <v>0</v>
      </c>
      <c r="M98" s="877">
        <f t="shared" si="12"/>
        <v>0</v>
      </c>
      <c r="N98" s="877">
        <f t="shared" si="12"/>
        <v>0</v>
      </c>
      <c r="O98" s="1214" t="s">
        <v>1227</v>
      </c>
      <c r="P98" s="1214" t="s">
        <v>1157</v>
      </c>
      <c r="Q98" s="1065">
        <f t="shared" si="13"/>
        <v>0</v>
      </c>
      <c r="R98" s="1065">
        <f t="shared" si="13"/>
        <v>0</v>
      </c>
      <c r="S98" s="1065">
        <f t="shared" si="13"/>
        <v>0</v>
      </c>
      <c r="T98" s="1099" t="s">
        <v>886</v>
      </c>
      <c r="U98" s="1100" t="s">
        <v>892</v>
      </c>
      <c r="V98" s="1099">
        <v>414</v>
      </c>
      <c r="W98" s="1099">
        <v>14043</v>
      </c>
    </row>
    <row r="99" spans="1:25" ht="122.25" hidden="1" customHeight="1">
      <c r="A99" s="1267" t="s">
        <v>624</v>
      </c>
      <c r="B99" s="973" t="s">
        <v>1170</v>
      </c>
      <c r="C99" s="871">
        <f t="shared" si="8"/>
        <v>28000</v>
      </c>
      <c r="D99" s="972">
        <v>0</v>
      </c>
      <c r="E99" s="972">
        <v>28000</v>
      </c>
      <c r="F99" s="874">
        <f t="shared" si="9"/>
        <v>14280</v>
      </c>
      <c r="G99" s="879">
        <v>0</v>
      </c>
      <c r="H99" s="879">
        <v>14280</v>
      </c>
      <c r="I99" s="874">
        <f t="shared" si="10"/>
        <v>0</v>
      </c>
      <c r="J99" s="1083">
        <v>0</v>
      </c>
      <c r="K99" s="1083">
        <v>0</v>
      </c>
      <c r="L99" s="876">
        <v>0</v>
      </c>
      <c r="M99" s="877">
        <f t="shared" si="12"/>
        <v>0</v>
      </c>
      <c r="N99" s="877">
        <f t="shared" si="12"/>
        <v>0</v>
      </c>
      <c r="O99" s="1214" t="s">
        <v>1192</v>
      </c>
      <c r="P99" s="1214" t="s">
        <v>1158</v>
      </c>
      <c r="Q99" s="1065">
        <f t="shared" si="13"/>
        <v>13720</v>
      </c>
      <c r="R99" s="1065">
        <f t="shared" si="13"/>
        <v>0</v>
      </c>
      <c r="S99" s="1065">
        <f t="shared" si="13"/>
        <v>13720</v>
      </c>
      <c r="T99" s="1099" t="s">
        <v>886</v>
      </c>
      <c r="U99" s="1100" t="s">
        <v>893</v>
      </c>
      <c r="V99" s="1099">
        <v>414</v>
      </c>
      <c r="W99" s="1099">
        <v>14044</v>
      </c>
    </row>
    <row r="100" spans="1:25" ht="93" hidden="1">
      <c r="A100" s="1267" t="s">
        <v>105</v>
      </c>
      <c r="B100" s="1075" t="s">
        <v>771</v>
      </c>
      <c r="C100" s="871">
        <f t="shared" si="8"/>
        <v>319980.59999999998</v>
      </c>
      <c r="D100" s="972">
        <f>319980.6*0.90202494621</f>
        <v>288630.5</v>
      </c>
      <c r="E100" s="972">
        <f>319980.6*(1-0.90202494621)</f>
        <v>31350.1</v>
      </c>
      <c r="F100" s="874">
        <f t="shared" si="9"/>
        <v>319980.59999999998</v>
      </c>
      <c r="G100" s="879">
        <f>319980.6*0.90202494621</f>
        <v>288630.5</v>
      </c>
      <c r="H100" s="879">
        <f>319980.6*(1-0.90202494621)</f>
        <v>31350.1</v>
      </c>
      <c r="I100" s="2450">
        <f t="shared" si="10"/>
        <v>0</v>
      </c>
      <c r="J100" s="2440">
        <v>0</v>
      </c>
      <c r="K100" s="2440">
        <v>0</v>
      </c>
      <c r="L100" s="2433">
        <f>IF(I100=0,0,I100/F100:F101*_G101100)</f>
        <v>0</v>
      </c>
      <c r="M100" s="2429">
        <f>IF(J100=0,0,J100/G100:G101*100)</f>
        <v>0</v>
      </c>
      <c r="N100" s="2429">
        <f>IF(K100=0,0,K100/H100:H101*100)</f>
        <v>0</v>
      </c>
      <c r="O100" s="1214" t="s">
        <v>1192</v>
      </c>
      <c r="P100" s="1213" t="s">
        <v>1159</v>
      </c>
      <c r="Q100" s="1065">
        <f t="shared" si="13"/>
        <v>0</v>
      </c>
      <c r="R100" s="1065">
        <f t="shared" si="13"/>
        <v>0</v>
      </c>
      <c r="S100" s="1065">
        <f t="shared" si="13"/>
        <v>0</v>
      </c>
      <c r="T100" s="2409" t="s">
        <v>926</v>
      </c>
      <c r="U100" s="2445" t="s">
        <v>927</v>
      </c>
      <c r="V100" s="2409">
        <v>414</v>
      </c>
      <c r="W100" s="2409"/>
      <c r="X100" s="2471"/>
    </row>
    <row r="101" spans="1:25" ht="95.25" hidden="1" customHeight="1">
      <c r="A101" s="1267" t="s">
        <v>1023</v>
      </c>
      <c r="B101" s="1075" t="s">
        <v>772</v>
      </c>
      <c r="C101" s="871">
        <f t="shared" si="8"/>
        <v>359978.2</v>
      </c>
      <c r="D101" s="972">
        <f>359978.2*0.90202494621</f>
        <v>324709.3</v>
      </c>
      <c r="E101" s="972">
        <f>359978.2*(1-0.90202494621)</f>
        <v>35268.9</v>
      </c>
      <c r="F101" s="874">
        <f t="shared" si="9"/>
        <v>359978.2</v>
      </c>
      <c r="G101" s="879">
        <f>359978.2*0.90202494621</f>
        <v>324709.3</v>
      </c>
      <c r="H101" s="879">
        <f>359978.2*(1-0.90202494621)</f>
        <v>35268.9</v>
      </c>
      <c r="I101" s="2451"/>
      <c r="J101" s="2441"/>
      <c r="K101" s="2441"/>
      <c r="L101" s="2434"/>
      <c r="M101" s="2430"/>
      <c r="N101" s="2430"/>
      <c r="O101" s="1214" t="s">
        <v>1192</v>
      </c>
      <c r="P101" s="1213" t="s">
        <v>1160</v>
      </c>
      <c r="Q101" s="1065">
        <f t="shared" si="13"/>
        <v>0</v>
      </c>
      <c r="R101" s="1065">
        <f t="shared" si="13"/>
        <v>0</v>
      </c>
      <c r="S101" s="1065">
        <f t="shared" si="13"/>
        <v>0</v>
      </c>
      <c r="T101" s="2409"/>
      <c r="U101" s="2445"/>
      <c r="V101" s="2409"/>
      <c r="W101" s="2409"/>
      <c r="X101" s="2471"/>
    </row>
    <row r="102" spans="1:25" ht="93" hidden="1">
      <c r="A102" s="1267" t="s">
        <v>625</v>
      </c>
      <c r="B102" s="1270" t="s">
        <v>460</v>
      </c>
      <c r="C102" s="871">
        <f t="shared" si="8"/>
        <v>53626.3</v>
      </c>
      <c r="D102" s="972">
        <v>32423.9</v>
      </c>
      <c r="E102" s="972">
        <v>21202.400000000001</v>
      </c>
      <c r="F102" s="874">
        <f t="shared" si="9"/>
        <v>53626.3</v>
      </c>
      <c r="G102" s="879">
        <v>32423.9</v>
      </c>
      <c r="H102" s="879">
        <v>21202.400000000001</v>
      </c>
      <c r="I102" s="874">
        <f t="shared" si="10"/>
        <v>47.5</v>
      </c>
      <c r="J102" s="1083">
        <v>24.5</v>
      </c>
      <c r="K102" s="1083">
        <v>23</v>
      </c>
      <c r="L102" s="876">
        <f t="shared" ref="L102:N117" si="14">IF(I102=0,0,I102/F102*100)</f>
        <v>0.1</v>
      </c>
      <c r="M102" s="877">
        <f t="shared" si="14"/>
        <v>0.1</v>
      </c>
      <c r="N102" s="877">
        <f t="shared" si="14"/>
        <v>0.1</v>
      </c>
      <c r="O102" s="1214" t="s">
        <v>1228</v>
      </c>
      <c r="P102" s="1214" t="s">
        <v>1161</v>
      </c>
      <c r="Q102" s="1065">
        <f t="shared" si="13"/>
        <v>0</v>
      </c>
      <c r="R102" s="1065">
        <f t="shared" si="13"/>
        <v>0</v>
      </c>
      <c r="S102" s="1065">
        <f t="shared" si="13"/>
        <v>0</v>
      </c>
      <c r="T102" s="1099" t="s">
        <v>954</v>
      </c>
      <c r="V102" s="1099" t="s">
        <v>959</v>
      </c>
      <c r="W102" s="1099" t="s">
        <v>960</v>
      </c>
    </row>
    <row r="103" spans="1:25" ht="78.75" hidden="1" customHeight="1">
      <c r="A103" s="2404" t="s">
        <v>626</v>
      </c>
      <c r="B103" s="975" t="s">
        <v>645</v>
      </c>
      <c r="C103" s="871">
        <f t="shared" si="8"/>
        <v>1929.7</v>
      </c>
      <c r="D103" s="1249">
        <v>0</v>
      </c>
      <c r="E103" s="1249">
        <v>1929.7</v>
      </c>
      <c r="F103" s="874">
        <f t="shared" si="9"/>
        <v>1929.7</v>
      </c>
      <c r="G103" s="1085">
        <v>0</v>
      </c>
      <c r="H103" s="1085">
        <v>1929.7</v>
      </c>
      <c r="I103" s="874">
        <f t="shared" si="10"/>
        <v>689.2</v>
      </c>
      <c r="J103" s="1085">
        <v>0</v>
      </c>
      <c r="K103" s="1085">
        <v>689.2</v>
      </c>
      <c r="L103" s="876">
        <f t="shared" si="14"/>
        <v>35.700000000000003</v>
      </c>
      <c r="M103" s="877">
        <f t="shared" si="14"/>
        <v>0</v>
      </c>
      <c r="N103" s="877">
        <f t="shared" si="14"/>
        <v>35.700000000000003</v>
      </c>
      <c r="O103" s="1214" t="s">
        <v>1229</v>
      </c>
      <c r="P103" s="1214" t="s">
        <v>1162</v>
      </c>
      <c r="Q103" s="1065">
        <f t="shared" si="13"/>
        <v>0</v>
      </c>
      <c r="R103" s="1065">
        <f t="shared" si="13"/>
        <v>0</v>
      </c>
      <c r="S103" s="1065">
        <f t="shared" si="13"/>
        <v>0</v>
      </c>
      <c r="T103" s="1099" t="s">
        <v>867</v>
      </c>
      <c r="U103" s="1100">
        <v>1550190400</v>
      </c>
      <c r="V103" s="1099">
        <v>414</v>
      </c>
      <c r="W103" s="1099">
        <v>14024</v>
      </c>
    </row>
    <row r="104" spans="1:25" ht="78.75" hidden="1">
      <c r="A104" s="2405"/>
      <c r="B104" s="975" t="s">
        <v>707</v>
      </c>
      <c r="C104" s="871">
        <f t="shared" si="8"/>
        <v>30000</v>
      </c>
      <c r="D104" s="1249">
        <v>0</v>
      </c>
      <c r="E104" s="1249">
        <v>30000</v>
      </c>
      <c r="F104" s="874">
        <f t="shared" si="9"/>
        <v>30000</v>
      </c>
      <c r="G104" s="1085">
        <v>0</v>
      </c>
      <c r="H104" s="1085">
        <v>30000</v>
      </c>
      <c r="I104" s="874">
        <f t="shared" si="10"/>
        <v>0</v>
      </c>
      <c r="J104" s="1085">
        <v>0</v>
      </c>
      <c r="K104" s="1085">
        <v>0</v>
      </c>
      <c r="L104" s="876">
        <f t="shared" si="14"/>
        <v>0</v>
      </c>
      <c r="M104" s="877">
        <f t="shared" si="14"/>
        <v>0</v>
      </c>
      <c r="N104" s="877">
        <f t="shared" si="14"/>
        <v>0</v>
      </c>
      <c r="O104" s="1214" t="s">
        <v>1192</v>
      </c>
      <c r="P104" s="1214" t="s">
        <v>1163</v>
      </c>
      <c r="Q104" s="1065">
        <f t="shared" si="13"/>
        <v>0</v>
      </c>
      <c r="R104" s="1065">
        <f t="shared" si="13"/>
        <v>0</v>
      </c>
      <c r="S104" s="1065">
        <f t="shared" si="13"/>
        <v>0</v>
      </c>
      <c r="T104" s="1099" t="s">
        <v>868</v>
      </c>
      <c r="U104" s="1100">
        <v>1550190400</v>
      </c>
      <c r="V104" s="1099">
        <v>414</v>
      </c>
      <c r="W104" s="1099">
        <v>10120</v>
      </c>
    </row>
    <row r="105" spans="1:25" s="838" customFormat="1" ht="107.25" hidden="1" customHeight="1">
      <c r="A105" s="1267" t="s">
        <v>627</v>
      </c>
      <c r="B105" s="976" t="s">
        <v>839</v>
      </c>
      <c r="C105" s="871">
        <f t="shared" si="8"/>
        <v>2714.8</v>
      </c>
      <c r="D105" s="972">
        <v>0</v>
      </c>
      <c r="E105" s="972">
        <v>2714.8</v>
      </c>
      <c r="F105" s="874">
        <f t="shared" si="9"/>
        <v>2714.8</v>
      </c>
      <c r="G105" s="879">
        <v>0</v>
      </c>
      <c r="H105" s="879">
        <v>2714.8</v>
      </c>
      <c r="I105" s="874">
        <f t="shared" si="10"/>
        <v>0</v>
      </c>
      <c r="J105" s="1083">
        <v>0</v>
      </c>
      <c r="K105" s="970">
        <v>0</v>
      </c>
      <c r="L105" s="876">
        <f t="shared" si="14"/>
        <v>0</v>
      </c>
      <c r="M105" s="877">
        <f t="shared" si="14"/>
        <v>0</v>
      </c>
      <c r="N105" s="877">
        <f t="shared" si="14"/>
        <v>0</v>
      </c>
      <c r="O105" s="1214" t="s">
        <v>1230</v>
      </c>
      <c r="P105" s="1214" t="s">
        <v>1164</v>
      </c>
      <c r="Q105" s="1065">
        <f t="shared" si="13"/>
        <v>0</v>
      </c>
      <c r="R105" s="1065">
        <f t="shared" si="13"/>
        <v>0</v>
      </c>
      <c r="S105" s="1065">
        <f t="shared" si="13"/>
        <v>0</v>
      </c>
      <c r="T105" s="1121" t="s">
        <v>886</v>
      </c>
      <c r="U105" s="1122" t="s">
        <v>894</v>
      </c>
      <c r="V105" s="1121">
        <v>414</v>
      </c>
      <c r="W105" s="1121">
        <v>14031</v>
      </c>
      <c r="X105" s="1219"/>
      <c r="Y105" s="1124"/>
    </row>
    <row r="106" spans="1:25" ht="95.25" hidden="1" customHeight="1">
      <c r="A106" s="1267" t="s">
        <v>628</v>
      </c>
      <c r="B106" s="976" t="s">
        <v>1072</v>
      </c>
      <c r="C106" s="871">
        <f t="shared" si="8"/>
        <v>2400</v>
      </c>
      <c r="D106" s="972">
        <v>0</v>
      </c>
      <c r="E106" s="972">
        <v>2400</v>
      </c>
      <c r="F106" s="874">
        <f t="shared" si="9"/>
        <v>2400</v>
      </c>
      <c r="G106" s="879">
        <v>0</v>
      </c>
      <c r="H106" s="879">
        <v>2400</v>
      </c>
      <c r="I106" s="874">
        <f t="shared" si="10"/>
        <v>0</v>
      </c>
      <c r="J106" s="1083">
        <v>0</v>
      </c>
      <c r="K106" s="970">
        <v>0</v>
      </c>
      <c r="L106" s="876">
        <f t="shared" si="14"/>
        <v>0</v>
      </c>
      <c r="M106" s="877">
        <f t="shared" si="14"/>
        <v>0</v>
      </c>
      <c r="N106" s="877">
        <f t="shared" si="14"/>
        <v>0</v>
      </c>
      <c r="O106" s="1214" t="s">
        <v>1231</v>
      </c>
      <c r="P106" s="1214" t="s">
        <v>1165</v>
      </c>
      <c r="Q106" s="1065">
        <f t="shared" si="13"/>
        <v>0</v>
      </c>
      <c r="R106" s="1065">
        <f t="shared" si="13"/>
        <v>0</v>
      </c>
      <c r="S106" s="1065">
        <f t="shared" si="13"/>
        <v>0</v>
      </c>
      <c r="T106" s="1099" t="s">
        <v>886</v>
      </c>
      <c r="U106" s="1100">
        <v>1900290400</v>
      </c>
      <c r="V106" s="1099">
        <v>414</v>
      </c>
      <c r="W106" s="1099">
        <v>14020</v>
      </c>
    </row>
    <row r="107" spans="1:25" ht="93" hidden="1">
      <c r="A107" s="1267" t="s">
        <v>629</v>
      </c>
      <c r="B107" s="900" t="s">
        <v>641</v>
      </c>
      <c r="C107" s="871">
        <f t="shared" si="8"/>
        <v>8850</v>
      </c>
      <c r="D107" s="972">
        <v>0</v>
      </c>
      <c r="E107" s="972">
        <v>8850</v>
      </c>
      <c r="F107" s="874">
        <f t="shared" si="9"/>
        <v>8850</v>
      </c>
      <c r="G107" s="879">
        <v>0</v>
      </c>
      <c r="H107" s="879">
        <v>8850</v>
      </c>
      <c r="I107" s="874">
        <f t="shared" si="10"/>
        <v>0</v>
      </c>
      <c r="J107" s="1083">
        <v>0</v>
      </c>
      <c r="K107" s="1083">
        <v>0</v>
      </c>
      <c r="L107" s="876">
        <f t="shared" si="14"/>
        <v>0</v>
      </c>
      <c r="M107" s="877">
        <f t="shared" si="14"/>
        <v>0</v>
      </c>
      <c r="N107" s="877">
        <f t="shared" si="14"/>
        <v>0</v>
      </c>
      <c r="O107" s="1264" t="s">
        <v>1232</v>
      </c>
      <c r="P107" s="1264" t="s">
        <v>1166</v>
      </c>
      <c r="Q107" s="1065">
        <f t="shared" si="13"/>
        <v>0</v>
      </c>
      <c r="R107" s="1065">
        <f t="shared" si="13"/>
        <v>0</v>
      </c>
      <c r="S107" s="1065">
        <f t="shared" si="13"/>
        <v>0</v>
      </c>
      <c r="T107" s="1099" t="s">
        <v>947</v>
      </c>
      <c r="U107" s="1100" t="s">
        <v>948</v>
      </c>
      <c r="V107" s="1099">
        <v>414</v>
      </c>
      <c r="W107" s="1099">
        <v>14016</v>
      </c>
    </row>
    <row r="108" spans="1:25" ht="79.5" hidden="1" customHeight="1">
      <c r="A108" s="1267" t="s">
        <v>630</v>
      </c>
      <c r="B108" s="976" t="s">
        <v>647</v>
      </c>
      <c r="C108" s="871">
        <f t="shared" si="8"/>
        <v>39000</v>
      </c>
      <c r="D108" s="972">
        <v>0</v>
      </c>
      <c r="E108" s="972">
        <v>39000</v>
      </c>
      <c r="F108" s="874">
        <f t="shared" si="9"/>
        <v>39000</v>
      </c>
      <c r="G108" s="879">
        <v>0</v>
      </c>
      <c r="H108" s="879">
        <v>39000</v>
      </c>
      <c r="I108" s="874">
        <f t="shared" si="10"/>
        <v>21450</v>
      </c>
      <c r="J108" s="1083">
        <v>0</v>
      </c>
      <c r="K108" s="970">
        <v>21450</v>
      </c>
      <c r="L108" s="876">
        <f t="shared" si="14"/>
        <v>55</v>
      </c>
      <c r="M108" s="877">
        <f t="shared" si="14"/>
        <v>0</v>
      </c>
      <c r="N108" s="877">
        <f t="shared" si="14"/>
        <v>55</v>
      </c>
      <c r="O108" s="1214" t="s">
        <v>1233</v>
      </c>
      <c r="P108" s="1214" t="s">
        <v>1167</v>
      </c>
      <c r="Q108" s="1065">
        <f t="shared" si="13"/>
        <v>0</v>
      </c>
      <c r="R108" s="1065">
        <f t="shared" si="13"/>
        <v>0</v>
      </c>
      <c r="S108" s="1065">
        <f t="shared" si="13"/>
        <v>0</v>
      </c>
      <c r="T108" s="1099" t="s">
        <v>936</v>
      </c>
      <c r="U108" s="1100" t="s">
        <v>944</v>
      </c>
      <c r="V108" s="1099">
        <v>414</v>
      </c>
      <c r="W108" s="1099">
        <v>14050</v>
      </c>
    </row>
    <row r="109" spans="1:25" ht="78.75" hidden="1">
      <c r="A109" s="1267" t="s">
        <v>732</v>
      </c>
      <c r="B109" s="976" t="s">
        <v>804</v>
      </c>
      <c r="C109" s="871">
        <f t="shared" si="8"/>
        <v>2244.9</v>
      </c>
      <c r="D109" s="972">
        <v>0</v>
      </c>
      <c r="E109" s="972">
        <v>2244.9</v>
      </c>
      <c r="F109" s="874">
        <f t="shared" si="9"/>
        <v>2244.9</v>
      </c>
      <c r="G109" s="879">
        <v>0</v>
      </c>
      <c r="H109" s="879">
        <v>2244.9</v>
      </c>
      <c r="I109" s="874">
        <f t="shared" si="10"/>
        <v>0</v>
      </c>
      <c r="J109" s="1083">
        <v>0</v>
      </c>
      <c r="K109" s="970">
        <v>0</v>
      </c>
      <c r="L109" s="876">
        <f t="shared" si="14"/>
        <v>0</v>
      </c>
      <c r="M109" s="877">
        <f t="shared" si="14"/>
        <v>0</v>
      </c>
      <c r="N109" s="877">
        <f t="shared" si="14"/>
        <v>0</v>
      </c>
      <c r="O109" s="1214" t="s">
        <v>1192</v>
      </c>
      <c r="P109" s="1214" t="s">
        <v>1193</v>
      </c>
      <c r="Q109" s="1065">
        <f t="shared" si="13"/>
        <v>0</v>
      </c>
      <c r="R109" s="1065">
        <f t="shared" si="13"/>
        <v>0</v>
      </c>
      <c r="S109" s="1065">
        <f t="shared" si="13"/>
        <v>0</v>
      </c>
      <c r="T109" s="1099" t="s">
        <v>945</v>
      </c>
      <c r="U109" s="1100" t="s">
        <v>937</v>
      </c>
      <c r="V109" s="1099">
        <v>414</v>
      </c>
      <c r="W109" s="1099">
        <v>14071</v>
      </c>
    </row>
    <row r="110" spans="1:25" ht="93" hidden="1">
      <c r="A110" s="1267" t="s">
        <v>733</v>
      </c>
      <c r="B110" s="900" t="s">
        <v>637</v>
      </c>
      <c r="C110" s="871">
        <f t="shared" si="8"/>
        <v>4496.8</v>
      </c>
      <c r="D110" s="972">
        <v>0</v>
      </c>
      <c r="E110" s="972">
        <v>4496.8</v>
      </c>
      <c r="F110" s="874">
        <f t="shared" si="9"/>
        <v>4496.8</v>
      </c>
      <c r="G110" s="879">
        <v>0</v>
      </c>
      <c r="H110" s="879">
        <v>4496.8</v>
      </c>
      <c r="I110" s="874">
        <f t="shared" si="10"/>
        <v>0</v>
      </c>
      <c r="J110" s="1083">
        <v>0</v>
      </c>
      <c r="K110" s="1083">
        <v>0</v>
      </c>
      <c r="L110" s="876">
        <f t="shared" si="14"/>
        <v>0</v>
      </c>
      <c r="M110" s="877">
        <f t="shared" si="14"/>
        <v>0</v>
      </c>
      <c r="N110" s="877">
        <f t="shared" si="14"/>
        <v>0</v>
      </c>
      <c r="O110" s="1214" t="s">
        <v>1234</v>
      </c>
      <c r="P110" s="1214" t="s">
        <v>1194</v>
      </c>
      <c r="Q110" s="1065">
        <f t="shared" si="13"/>
        <v>0</v>
      </c>
      <c r="R110" s="1065">
        <f t="shared" si="13"/>
        <v>0</v>
      </c>
      <c r="S110" s="1065">
        <f t="shared" si="13"/>
        <v>0</v>
      </c>
      <c r="T110" s="1099" t="s">
        <v>949</v>
      </c>
      <c r="U110" s="1100" t="s">
        <v>951</v>
      </c>
      <c r="V110" s="1099">
        <v>414</v>
      </c>
      <c r="W110" s="1099">
        <v>14057</v>
      </c>
    </row>
    <row r="111" spans="1:25" ht="98.25" hidden="1" customHeight="1">
      <c r="A111" s="1267" t="s">
        <v>781</v>
      </c>
      <c r="B111" s="901" t="s">
        <v>639</v>
      </c>
      <c r="C111" s="871">
        <f t="shared" si="8"/>
        <v>1946</v>
      </c>
      <c r="D111" s="972">
        <v>0</v>
      </c>
      <c r="E111" s="972">
        <v>1946</v>
      </c>
      <c r="F111" s="874">
        <f t="shared" si="9"/>
        <v>1946</v>
      </c>
      <c r="G111" s="879">
        <v>0</v>
      </c>
      <c r="H111" s="879">
        <v>1946</v>
      </c>
      <c r="I111" s="874">
        <f t="shared" si="10"/>
        <v>0</v>
      </c>
      <c r="J111" s="1083">
        <v>0</v>
      </c>
      <c r="K111" s="1083">
        <v>0</v>
      </c>
      <c r="L111" s="876">
        <f t="shared" si="14"/>
        <v>0</v>
      </c>
      <c r="M111" s="877">
        <f t="shared" si="14"/>
        <v>0</v>
      </c>
      <c r="N111" s="877">
        <f t="shared" si="14"/>
        <v>0</v>
      </c>
      <c r="O111" s="1214" t="s">
        <v>1235</v>
      </c>
      <c r="P111" s="1214" t="s">
        <v>1195</v>
      </c>
      <c r="Q111" s="1065">
        <f t="shared" ref="Q111:S124" si="15">C111-F111</f>
        <v>0</v>
      </c>
      <c r="R111" s="1065">
        <f t="shared" si="15"/>
        <v>0</v>
      </c>
      <c r="S111" s="1065">
        <f t="shared" si="15"/>
        <v>0</v>
      </c>
      <c r="T111" s="1099" t="s">
        <v>954</v>
      </c>
      <c r="U111" s="1100" t="s">
        <v>956</v>
      </c>
      <c r="V111" s="1099">
        <v>414</v>
      </c>
      <c r="W111" s="1099">
        <v>14015</v>
      </c>
    </row>
    <row r="112" spans="1:25" s="1216" customFormat="1" ht="103.5" hidden="1" customHeight="1">
      <c r="A112" s="1267" t="s">
        <v>631</v>
      </c>
      <c r="B112" s="900" t="s">
        <v>643</v>
      </c>
      <c r="C112" s="871">
        <f t="shared" si="8"/>
        <v>2752.8</v>
      </c>
      <c r="D112" s="972">
        <v>0</v>
      </c>
      <c r="E112" s="972">
        <v>2752.8</v>
      </c>
      <c r="F112" s="874">
        <f t="shared" si="9"/>
        <v>2752.8</v>
      </c>
      <c r="G112" s="879">
        <v>0</v>
      </c>
      <c r="H112" s="879">
        <v>2752.8</v>
      </c>
      <c r="I112" s="874">
        <f t="shared" si="10"/>
        <v>0</v>
      </c>
      <c r="J112" s="1083">
        <v>0</v>
      </c>
      <c r="K112" s="1083">
        <v>0</v>
      </c>
      <c r="L112" s="876">
        <f t="shared" si="14"/>
        <v>0</v>
      </c>
      <c r="M112" s="877">
        <f t="shared" si="14"/>
        <v>0</v>
      </c>
      <c r="N112" s="877">
        <f t="shared" si="14"/>
        <v>0</v>
      </c>
      <c r="O112" s="1214" t="s">
        <v>1236</v>
      </c>
      <c r="P112" s="1214" t="s">
        <v>1196</v>
      </c>
      <c r="Q112" s="1065">
        <f t="shared" si="15"/>
        <v>0</v>
      </c>
      <c r="R112" s="1065">
        <f t="shared" si="15"/>
        <v>0</v>
      </c>
      <c r="S112" s="1065">
        <f t="shared" si="15"/>
        <v>0</v>
      </c>
      <c r="T112" s="1099" t="s">
        <v>954</v>
      </c>
      <c r="U112" s="1100" t="s">
        <v>956</v>
      </c>
      <c r="V112" s="1099">
        <v>141</v>
      </c>
      <c r="W112" s="1099">
        <v>14018</v>
      </c>
      <c r="Y112" s="736"/>
    </row>
    <row r="113" spans="1:25" s="1216" customFormat="1" ht="69.75" hidden="1" customHeight="1">
      <c r="A113" s="1267" t="s">
        <v>632</v>
      </c>
      <c r="B113" s="900" t="s">
        <v>801</v>
      </c>
      <c r="C113" s="871">
        <f t="shared" si="8"/>
        <v>10292.6</v>
      </c>
      <c r="D113" s="972">
        <v>0</v>
      </c>
      <c r="E113" s="972">
        <v>10292.6</v>
      </c>
      <c r="F113" s="874">
        <f t="shared" si="9"/>
        <v>10292.6</v>
      </c>
      <c r="G113" s="879">
        <v>0</v>
      </c>
      <c r="H113" s="879">
        <v>10292.6</v>
      </c>
      <c r="I113" s="874">
        <f t="shared" si="10"/>
        <v>0</v>
      </c>
      <c r="J113" s="1083">
        <v>0</v>
      </c>
      <c r="K113" s="1083">
        <v>0</v>
      </c>
      <c r="L113" s="876">
        <f t="shared" si="14"/>
        <v>0</v>
      </c>
      <c r="M113" s="877">
        <f t="shared" si="14"/>
        <v>0</v>
      </c>
      <c r="N113" s="877">
        <f t="shared" si="14"/>
        <v>0</v>
      </c>
      <c r="O113" s="1214" t="s">
        <v>1192</v>
      </c>
      <c r="P113" s="1214" t="s">
        <v>1197</v>
      </c>
      <c r="Q113" s="1065">
        <f t="shared" si="15"/>
        <v>0</v>
      </c>
      <c r="R113" s="1065">
        <f t="shared" si="15"/>
        <v>0</v>
      </c>
      <c r="S113" s="1065">
        <f t="shared" si="15"/>
        <v>0</v>
      </c>
      <c r="T113" s="1099" t="s">
        <v>954</v>
      </c>
      <c r="U113" s="1100" t="s">
        <v>955</v>
      </c>
      <c r="V113" s="1099">
        <v>414</v>
      </c>
      <c r="W113" s="1099">
        <v>14004</v>
      </c>
      <c r="Y113" s="736"/>
    </row>
    <row r="114" spans="1:25" s="1216" customFormat="1" ht="78.75" hidden="1">
      <c r="A114" s="1267" t="s">
        <v>633</v>
      </c>
      <c r="B114" s="900" t="s">
        <v>802</v>
      </c>
      <c r="C114" s="871">
        <f t="shared" si="8"/>
        <v>5000</v>
      </c>
      <c r="D114" s="972">
        <v>0</v>
      </c>
      <c r="E114" s="972">
        <v>5000</v>
      </c>
      <c r="F114" s="874">
        <f t="shared" si="9"/>
        <v>5000</v>
      </c>
      <c r="G114" s="879">
        <v>0</v>
      </c>
      <c r="H114" s="879">
        <v>5000</v>
      </c>
      <c r="I114" s="874">
        <f t="shared" si="10"/>
        <v>0</v>
      </c>
      <c r="J114" s="1083">
        <v>0</v>
      </c>
      <c r="K114" s="1083">
        <v>0</v>
      </c>
      <c r="L114" s="876">
        <f t="shared" si="14"/>
        <v>0</v>
      </c>
      <c r="M114" s="877">
        <f t="shared" si="14"/>
        <v>0</v>
      </c>
      <c r="N114" s="877">
        <f t="shared" si="14"/>
        <v>0</v>
      </c>
      <c r="O114" s="1214" t="s">
        <v>1192</v>
      </c>
      <c r="P114" s="1214" t="s">
        <v>1198</v>
      </c>
      <c r="Q114" s="1065">
        <f t="shared" si="15"/>
        <v>0</v>
      </c>
      <c r="R114" s="1065">
        <f t="shared" si="15"/>
        <v>0</v>
      </c>
      <c r="S114" s="1065">
        <f t="shared" si="15"/>
        <v>0</v>
      </c>
      <c r="T114" s="1099" t="s">
        <v>954</v>
      </c>
      <c r="U114" s="1100" t="s">
        <v>956</v>
      </c>
      <c r="V114" s="1099">
        <v>414</v>
      </c>
      <c r="W114" s="1099">
        <v>14060</v>
      </c>
      <c r="Y114" s="736"/>
    </row>
    <row r="115" spans="1:25" s="1216" customFormat="1" ht="52.5" hidden="1">
      <c r="A115" s="1267" t="s">
        <v>634</v>
      </c>
      <c r="B115" s="900" t="s">
        <v>812</v>
      </c>
      <c r="C115" s="871">
        <f t="shared" si="8"/>
        <v>1350</v>
      </c>
      <c r="D115" s="972">
        <v>0</v>
      </c>
      <c r="E115" s="972">
        <v>1350</v>
      </c>
      <c r="F115" s="874">
        <f t="shared" si="9"/>
        <v>2500</v>
      </c>
      <c r="G115" s="879">
        <v>0</v>
      </c>
      <c r="H115" s="879">
        <v>2500</v>
      </c>
      <c r="I115" s="874">
        <f t="shared" si="10"/>
        <v>0</v>
      </c>
      <c r="J115" s="1083">
        <v>0</v>
      </c>
      <c r="K115" s="1083">
        <v>0</v>
      </c>
      <c r="L115" s="876">
        <f t="shared" si="14"/>
        <v>0</v>
      </c>
      <c r="M115" s="877">
        <f t="shared" si="14"/>
        <v>0</v>
      </c>
      <c r="N115" s="877">
        <f t="shared" si="14"/>
        <v>0</v>
      </c>
      <c r="O115" s="1214" t="s">
        <v>1192</v>
      </c>
      <c r="P115" s="1214" t="s">
        <v>1199</v>
      </c>
      <c r="Q115" s="1065">
        <f t="shared" si="15"/>
        <v>-1150</v>
      </c>
      <c r="R115" s="1065">
        <f t="shared" si="15"/>
        <v>0</v>
      </c>
      <c r="S115" s="1065">
        <f t="shared" si="15"/>
        <v>-1150</v>
      </c>
      <c r="T115" s="1099" t="s">
        <v>954</v>
      </c>
      <c r="U115" s="1100" t="s">
        <v>956</v>
      </c>
      <c r="V115" s="1099">
        <v>414</v>
      </c>
      <c r="W115" s="1099">
        <v>14074</v>
      </c>
      <c r="Y115" s="736"/>
    </row>
    <row r="116" spans="1:25" s="1216" customFormat="1" ht="78.75" hidden="1">
      <c r="A116" s="1267" t="s">
        <v>635</v>
      </c>
      <c r="B116" s="1125" t="s">
        <v>795</v>
      </c>
      <c r="C116" s="871">
        <f t="shared" si="8"/>
        <v>1230</v>
      </c>
      <c r="D116" s="1249">
        <v>0</v>
      </c>
      <c r="E116" s="1249">
        <v>1230</v>
      </c>
      <c r="F116" s="874">
        <f t="shared" si="9"/>
        <v>4100</v>
      </c>
      <c r="G116" s="1085">
        <v>0</v>
      </c>
      <c r="H116" s="1085">
        <v>4100</v>
      </c>
      <c r="I116" s="874">
        <f t="shared" si="10"/>
        <v>0</v>
      </c>
      <c r="J116" s="1085">
        <v>0</v>
      </c>
      <c r="K116" s="1085">
        <v>0</v>
      </c>
      <c r="L116" s="876">
        <f t="shared" si="14"/>
        <v>0</v>
      </c>
      <c r="M116" s="877">
        <f t="shared" si="14"/>
        <v>0</v>
      </c>
      <c r="N116" s="877">
        <f t="shared" si="14"/>
        <v>0</v>
      </c>
      <c r="O116" s="1214" t="s">
        <v>1192</v>
      </c>
      <c r="P116" s="1214" t="s">
        <v>1198</v>
      </c>
      <c r="Q116" s="1065">
        <f t="shared" si="15"/>
        <v>-2870</v>
      </c>
      <c r="R116" s="1065">
        <f t="shared" si="15"/>
        <v>0</v>
      </c>
      <c r="S116" s="1065">
        <f t="shared" si="15"/>
        <v>-2870</v>
      </c>
      <c r="T116" s="1099" t="s">
        <v>886</v>
      </c>
      <c r="U116" s="1100">
        <v>1820190400</v>
      </c>
      <c r="V116" s="1099">
        <v>414</v>
      </c>
      <c r="W116" s="1099">
        <v>14062</v>
      </c>
      <c r="Y116" s="736"/>
    </row>
    <row r="117" spans="1:25" s="1216" customFormat="1" ht="78.75" hidden="1">
      <c r="A117" s="1267" t="s">
        <v>734</v>
      </c>
      <c r="B117" s="937" t="s">
        <v>796</v>
      </c>
      <c r="C117" s="871">
        <f t="shared" si="8"/>
        <v>1020</v>
      </c>
      <c r="D117" s="1249">
        <v>0</v>
      </c>
      <c r="E117" s="1249">
        <v>1020</v>
      </c>
      <c r="F117" s="874">
        <f t="shared" si="9"/>
        <v>3400</v>
      </c>
      <c r="G117" s="1085">
        <v>0</v>
      </c>
      <c r="H117" s="1085">
        <v>3400</v>
      </c>
      <c r="I117" s="874">
        <f t="shared" si="10"/>
        <v>0</v>
      </c>
      <c r="J117" s="1085">
        <v>0</v>
      </c>
      <c r="K117" s="1085">
        <v>0</v>
      </c>
      <c r="L117" s="876">
        <f t="shared" si="14"/>
        <v>0</v>
      </c>
      <c r="M117" s="877">
        <f t="shared" si="14"/>
        <v>0</v>
      </c>
      <c r="N117" s="877">
        <f t="shared" si="14"/>
        <v>0</v>
      </c>
      <c r="O117" s="1214" t="s">
        <v>1192</v>
      </c>
      <c r="P117" s="1214" t="s">
        <v>1198</v>
      </c>
      <c r="Q117" s="1065">
        <f t="shared" si="15"/>
        <v>-2380</v>
      </c>
      <c r="R117" s="1065">
        <f t="shared" si="15"/>
        <v>0</v>
      </c>
      <c r="S117" s="1065">
        <f t="shared" si="15"/>
        <v>-2380</v>
      </c>
      <c r="T117" s="1099" t="s">
        <v>886</v>
      </c>
      <c r="U117" s="1100">
        <v>1820190400</v>
      </c>
      <c r="V117" s="1099">
        <v>414</v>
      </c>
      <c r="W117" s="1099">
        <v>14063</v>
      </c>
      <c r="Y117" s="736"/>
    </row>
    <row r="118" spans="1:25" s="1216" customFormat="1" ht="93" hidden="1">
      <c r="A118" s="1267" t="s">
        <v>735</v>
      </c>
      <c r="B118" s="1126" t="s">
        <v>806</v>
      </c>
      <c r="C118" s="871">
        <f t="shared" si="8"/>
        <v>2100</v>
      </c>
      <c r="D118" s="1249">
        <v>0</v>
      </c>
      <c r="E118" s="1249">
        <v>2100</v>
      </c>
      <c r="F118" s="874">
        <f t="shared" si="9"/>
        <v>7000</v>
      </c>
      <c r="G118" s="1085">
        <v>0</v>
      </c>
      <c r="H118" s="1085">
        <v>7000</v>
      </c>
      <c r="I118" s="874">
        <f t="shared" si="10"/>
        <v>0</v>
      </c>
      <c r="J118" s="1085">
        <v>0</v>
      </c>
      <c r="K118" s="1085">
        <v>0</v>
      </c>
      <c r="L118" s="876">
        <f t="shared" ref="L118:N149" si="16">IF(I118=0,0,I118/F118*100)</f>
        <v>0</v>
      </c>
      <c r="M118" s="877">
        <f t="shared" si="16"/>
        <v>0</v>
      </c>
      <c r="N118" s="877">
        <f t="shared" si="16"/>
        <v>0</v>
      </c>
      <c r="O118" s="1214" t="s">
        <v>1192</v>
      </c>
      <c r="P118" s="1214" t="s">
        <v>1200</v>
      </c>
      <c r="Q118" s="1065">
        <f t="shared" si="15"/>
        <v>-4900</v>
      </c>
      <c r="R118" s="1065">
        <f t="shared" si="15"/>
        <v>0</v>
      </c>
      <c r="S118" s="1065">
        <f t="shared" si="15"/>
        <v>-4900</v>
      </c>
      <c r="T118" s="1099" t="s">
        <v>886</v>
      </c>
      <c r="U118" s="1100">
        <v>1820190400</v>
      </c>
      <c r="V118" s="1099">
        <v>414</v>
      </c>
      <c r="W118" s="1099">
        <v>14064</v>
      </c>
      <c r="Y118" s="736"/>
    </row>
    <row r="119" spans="1:25" s="1216" customFormat="1" ht="93" hidden="1">
      <c r="A119" s="1267" t="s">
        <v>636</v>
      </c>
      <c r="B119" s="1125" t="s">
        <v>807</v>
      </c>
      <c r="C119" s="871">
        <f t="shared" si="8"/>
        <v>2340</v>
      </c>
      <c r="D119" s="1249">
        <v>0</v>
      </c>
      <c r="E119" s="1249">
        <v>2340</v>
      </c>
      <c r="F119" s="874">
        <f t="shared" si="9"/>
        <v>7800</v>
      </c>
      <c r="G119" s="1085">
        <v>0</v>
      </c>
      <c r="H119" s="1085">
        <v>7800</v>
      </c>
      <c r="I119" s="874">
        <f t="shared" si="10"/>
        <v>0</v>
      </c>
      <c r="J119" s="1085">
        <v>0</v>
      </c>
      <c r="K119" s="1085">
        <v>0</v>
      </c>
      <c r="L119" s="876">
        <f t="shared" si="16"/>
        <v>0</v>
      </c>
      <c r="M119" s="877">
        <f t="shared" si="16"/>
        <v>0</v>
      </c>
      <c r="N119" s="877">
        <f t="shared" si="16"/>
        <v>0</v>
      </c>
      <c r="O119" s="1214" t="s">
        <v>1192</v>
      </c>
      <c r="P119" s="1214" t="s">
        <v>1201</v>
      </c>
      <c r="Q119" s="1065">
        <f t="shared" si="15"/>
        <v>-5460</v>
      </c>
      <c r="R119" s="1065">
        <f t="shared" si="15"/>
        <v>0</v>
      </c>
      <c r="S119" s="1065">
        <f t="shared" si="15"/>
        <v>-5460</v>
      </c>
      <c r="T119" s="1099" t="s">
        <v>886</v>
      </c>
      <c r="U119" s="1100">
        <v>1820190400</v>
      </c>
      <c r="V119" s="1099">
        <v>414</v>
      </c>
      <c r="W119" s="1099">
        <v>14065</v>
      </c>
      <c r="Y119" s="736"/>
    </row>
    <row r="120" spans="1:25" s="1216" customFormat="1" ht="105" hidden="1">
      <c r="A120" s="1267" t="s">
        <v>736</v>
      </c>
      <c r="B120" s="1125" t="s">
        <v>808</v>
      </c>
      <c r="C120" s="871">
        <f t="shared" si="8"/>
        <v>2000</v>
      </c>
      <c r="D120" s="1249">
        <v>0</v>
      </c>
      <c r="E120" s="1249">
        <v>2000</v>
      </c>
      <c r="F120" s="874">
        <f t="shared" si="9"/>
        <v>2000</v>
      </c>
      <c r="G120" s="1085">
        <v>0</v>
      </c>
      <c r="H120" s="1085">
        <v>2000</v>
      </c>
      <c r="I120" s="874">
        <f t="shared" si="10"/>
        <v>0</v>
      </c>
      <c r="J120" s="1085">
        <v>0</v>
      </c>
      <c r="K120" s="1085">
        <v>0</v>
      </c>
      <c r="L120" s="876">
        <f t="shared" si="16"/>
        <v>0</v>
      </c>
      <c r="M120" s="877">
        <f t="shared" si="16"/>
        <v>0</v>
      </c>
      <c r="N120" s="877">
        <f t="shared" si="16"/>
        <v>0</v>
      </c>
      <c r="O120" s="1214" t="s">
        <v>1192</v>
      </c>
      <c r="P120" s="1214" t="s">
        <v>1202</v>
      </c>
      <c r="Q120" s="1065">
        <f t="shared" si="15"/>
        <v>0</v>
      </c>
      <c r="R120" s="1065">
        <f t="shared" si="15"/>
        <v>0</v>
      </c>
      <c r="S120" s="1065">
        <f t="shared" si="15"/>
        <v>0</v>
      </c>
      <c r="T120" s="1099" t="s">
        <v>886</v>
      </c>
      <c r="U120" s="1100">
        <v>1820190400</v>
      </c>
      <c r="V120" s="1099">
        <v>414</v>
      </c>
      <c r="W120" s="1099">
        <v>14066</v>
      </c>
      <c r="Y120" s="736"/>
    </row>
    <row r="121" spans="1:25" s="1216" customFormat="1" ht="105" hidden="1">
      <c r="A121" s="1267" t="s">
        <v>737</v>
      </c>
      <c r="B121" s="900" t="s">
        <v>809</v>
      </c>
      <c r="C121" s="871">
        <f>SUM(D121:E121)</f>
        <v>6000</v>
      </c>
      <c r="D121" s="1249">
        <v>0</v>
      </c>
      <c r="E121" s="1249">
        <v>6000</v>
      </c>
      <c r="F121" s="874">
        <f>SUM(G121:H121)</f>
        <v>20000</v>
      </c>
      <c r="G121" s="1085">
        <v>0</v>
      </c>
      <c r="H121" s="1085">
        <v>20000</v>
      </c>
      <c r="I121" s="874">
        <f>SUM(J121:K121)</f>
        <v>0</v>
      </c>
      <c r="J121" s="1085">
        <v>0</v>
      </c>
      <c r="K121" s="1085">
        <v>0</v>
      </c>
      <c r="L121" s="876">
        <f t="shared" si="16"/>
        <v>0</v>
      </c>
      <c r="M121" s="877">
        <f t="shared" si="16"/>
        <v>0</v>
      </c>
      <c r="N121" s="877">
        <f t="shared" si="16"/>
        <v>0</v>
      </c>
      <c r="O121" s="1214" t="s">
        <v>1192</v>
      </c>
      <c r="P121" s="1214" t="s">
        <v>1203</v>
      </c>
      <c r="Q121" s="1065">
        <f t="shared" si="15"/>
        <v>-14000</v>
      </c>
      <c r="R121" s="1065">
        <f t="shared" si="15"/>
        <v>0</v>
      </c>
      <c r="S121" s="1065">
        <f t="shared" si="15"/>
        <v>-14000</v>
      </c>
      <c r="T121" s="1099" t="s">
        <v>928</v>
      </c>
      <c r="U121" s="1100" t="s">
        <v>929</v>
      </c>
      <c r="V121" s="1099">
        <v>414</v>
      </c>
      <c r="W121" s="1099">
        <v>14072</v>
      </c>
      <c r="Y121" s="736"/>
    </row>
    <row r="122" spans="1:25" s="1216" customFormat="1" ht="105" hidden="1">
      <c r="A122" s="1267" t="s">
        <v>738</v>
      </c>
      <c r="B122" s="900" t="s">
        <v>810</v>
      </c>
      <c r="C122" s="871">
        <f>SUM(D122:E122)</f>
        <v>6000</v>
      </c>
      <c r="D122" s="1249">
        <v>0</v>
      </c>
      <c r="E122" s="1249">
        <v>6000</v>
      </c>
      <c r="F122" s="874">
        <f>SUM(G122:H122)</f>
        <v>20000</v>
      </c>
      <c r="G122" s="1085">
        <v>0</v>
      </c>
      <c r="H122" s="1085">
        <v>20000</v>
      </c>
      <c r="I122" s="874">
        <f>SUM(J122:K122)</f>
        <v>0</v>
      </c>
      <c r="J122" s="1085">
        <v>0</v>
      </c>
      <c r="K122" s="1085">
        <v>0</v>
      </c>
      <c r="L122" s="876">
        <f t="shared" si="16"/>
        <v>0</v>
      </c>
      <c r="M122" s="877">
        <f t="shared" si="16"/>
        <v>0</v>
      </c>
      <c r="N122" s="877">
        <f t="shared" si="16"/>
        <v>0</v>
      </c>
      <c r="O122" s="1214" t="s">
        <v>1192</v>
      </c>
      <c r="P122" s="1214" t="s">
        <v>1203</v>
      </c>
      <c r="Q122" s="1065">
        <f t="shared" si="15"/>
        <v>-14000</v>
      </c>
      <c r="R122" s="1065">
        <f t="shared" si="15"/>
        <v>0</v>
      </c>
      <c r="S122" s="1065">
        <f t="shared" si="15"/>
        <v>-14000</v>
      </c>
      <c r="T122" s="1099" t="s">
        <v>936</v>
      </c>
      <c r="U122" s="1100" t="s">
        <v>937</v>
      </c>
      <c r="V122" s="1099">
        <v>414</v>
      </c>
      <c r="W122" s="1099">
        <v>14058</v>
      </c>
      <c r="Y122" s="736"/>
    </row>
    <row r="123" spans="1:25" s="1216" customFormat="1" ht="139.5" hidden="1">
      <c r="A123" s="1267" t="s">
        <v>739</v>
      </c>
      <c r="B123" s="990" t="s">
        <v>811</v>
      </c>
      <c r="C123" s="871">
        <f>SUM(D123:E123)</f>
        <v>16500</v>
      </c>
      <c r="D123" s="1249">
        <v>0</v>
      </c>
      <c r="E123" s="1249">
        <v>16500</v>
      </c>
      <c r="F123" s="874">
        <f>SUM(G123:H123)</f>
        <v>24516</v>
      </c>
      <c r="G123" s="1085">
        <v>0</v>
      </c>
      <c r="H123" s="1085">
        <v>24516</v>
      </c>
      <c r="I123" s="874">
        <f>SUM(J123:K123)</f>
        <v>0</v>
      </c>
      <c r="J123" s="1085">
        <v>0</v>
      </c>
      <c r="K123" s="1085">
        <v>0</v>
      </c>
      <c r="L123" s="876">
        <f t="shared" si="16"/>
        <v>0</v>
      </c>
      <c r="M123" s="877">
        <f t="shared" si="16"/>
        <v>0</v>
      </c>
      <c r="N123" s="877">
        <f t="shared" si="16"/>
        <v>0</v>
      </c>
      <c r="O123" s="1214" t="s">
        <v>1192</v>
      </c>
      <c r="P123" s="1214" t="s">
        <v>1204</v>
      </c>
      <c r="Q123" s="1065">
        <f t="shared" si="15"/>
        <v>-8016</v>
      </c>
      <c r="R123" s="1065">
        <f t="shared" si="15"/>
        <v>0</v>
      </c>
      <c r="S123" s="1065">
        <f t="shared" si="15"/>
        <v>-8016</v>
      </c>
      <c r="T123" s="1099" t="s">
        <v>936</v>
      </c>
      <c r="U123" s="1100" t="s">
        <v>937</v>
      </c>
      <c r="V123" s="1099">
        <v>414</v>
      </c>
      <c r="W123" s="1099">
        <v>14059</v>
      </c>
      <c r="Y123" s="736"/>
    </row>
    <row r="124" spans="1:25" s="1216" customFormat="1" ht="108" hidden="1" customHeight="1">
      <c r="A124" s="1267" t="s">
        <v>740</v>
      </c>
      <c r="B124" s="900" t="s">
        <v>640</v>
      </c>
      <c r="C124" s="871">
        <f>SUM(D124:E124)</f>
        <v>1400</v>
      </c>
      <c r="D124" s="972">
        <v>0</v>
      </c>
      <c r="E124" s="972">
        <v>1400</v>
      </c>
      <c r="F124" s="874">
        <f>SUM(G124:H124)</f>
        <v>1400</v>
      </c>
      <c r="G124" s="879">
        <v>0</v>
      </c>
      <c r="H124" s="879">
        <v>1400</v>
      </c>
      <c r="I124" s="874">
        <f>SUM(J124:K124)</f>
        <v>0</v>
      </c>
      <c r="J124" s="1083">
        <v>0</v>
      </c>
      <c r="K124" s="1083">
        <v>0</v>
      </c>
      <c r="L124" s="876">
        <f t="shared" si="16"/>
        <v>0</v>
      </c>
      <c r="M124" s="877">
        <f t="shared" si="16"/>
        <v>0</v>
      </c>
      <c r="N124" s="877">
        <f t="shared" si="16"/>
        <v>0</v>
      </c>
      <c r="O124" s="1214" t="s">
        <v>1237</v>
      </c>
      <c r="P124" s="1214" t="s">
        <v>1205</v>
      </c>
      <c r="Q124" s="1065">
        <f t="shared" si="15"/>
        <v>0</v>
      </c>
      <c r="R124" s="1065">
        <f t="shared" si="15"/>
        <v>0</v>
      </c>
      <c r="S124" s="1065">
        <f t="shared" si="15"/>
        <v>0</v>
      </c>
      <c r="T124" s="1099" t="s">
        <v>869</v>
      </c>
      <c r="U124" s="1100">
        <v>1410190420</v>
      </c>
      <c r="V124" s="1099">
        <v>414</v>
      </c>
      <c r="W124" s="1099">
        <v>14022</v>
      </c>
      <c r="Y124" s="736"/>
    </row>
    <row r="125" spans="1:25" s="1216" customFormat="1" ht="78.75" hidden="1">
      <c r="A125" s="1267" t="s">
        <v>741</v>
      </c>
      <c r="B125" s="1106" t="s">
        <v>863</v>
      </c>
      <c r="C125" s="871">
        <f>SUM(D125:E125)</f>
        <v>21276.6</v>
      </c>
      <c r="D125" s="972">
        <v>20000</v>
      </c>
      <c r="E125" s="972">
        <v>1276.5999999999999</v>
      </c>
      <c r="F125" s="874">
        <f>SUM(G125:H125)</f>
        <v>21276.6</v>
      </c>
      <c r="G125" s="879">
        <v>20000</v>
      </c>
      <c r="H125" s="879">
        <v>1276.5999999999999</v>
      </c>
      <c r="I125" s="874">
        <f>SUM(J125:K125)</f>
        <v>0</v>
      </c>
      <c r="J125" s="1083">
        <v>0</v>
      </c>
      <c r="K125" s="1083">
        <v>0</v>
      </c>
      <c r="L125" s="876">
        <f t="shared" si="16"/>
        <v>0</v>
      </c>
      <c r="M125" s="877">
        <f t="shared" si="16"/>
        <v>0</v>
      </c>
      <c r="N125" s="877">
        <f t="shared" si="16"/>
        <v>0</v>
      </c>
      <c r="O125" s="1214" t="s">
        <v>1192</v>
      </c>
      <c r="P125" s="1214" t="s">
        <v>1206</v>
      </c>
      <c r="Q125" s="1065"/>
      <c r="R125" s="1065"/>
      <c r="S125" s="1065"/>
      <c r="T125" s="1099" t="s">
        <v>928</v>
      </c>
      <c r="U125" s="1100" t="s">
        <v>932</v>
      </c>
      <c r="V125" s="1099">
        <v>414</v>
      </c>
      <c r="W125" s="1099" t="s">
        <v>933</v>
      </c>
      <c r="Y125" s="736"/>
    </row>
    <row r="126" spans="1:25" s="1216" customFormat="1" ht="93" hidden="1">
      <c r="A126" s="1267" t="s">
        <v>742</v>
      </c>
      <c r="B126" s="1127" t="s">
        <v>841</v>
      </c>
      <c r="C126" s="871">
        <f t="shared" ref="C126:C190" si="17">SUM(D126:E126)</f>
        <v>1026</v>
      </c>
      <c r="D126" s="972">
        <v>0</v>
      </c>
      <c r="E126" s="1255">
        <v>1026</v>
      </c>
      <c r="F126" s="874">
        <f t="shared" ref="F126:F190" si="18">SUM(G126:H126)</f>
        <v>3420</v>
      </c>
      <c r="G126" s="1085">
        <v>0</v>
      </c>
      <c r="H126" s="970">
        <v>3420</v>
      </c>
      <c r="I126" s="874">
        <f t="shared" ref="I126:I179" si="19">SUM(J126:K126)</f>
        <v>0</v>
      </c>
      <c r="J126" s="1083">
        <v>0</v>
      </c>
      <c r="K126" s="1083">
        <v>0</v>
      </c>
      <c r="L126" s="876">
        <f t="shared" si="16"/>
        <v>0</v>
      </c>
      <c r="M126" s="877">
        <f t="shared" si="16"/>
        <v>0</v>
      </c>
      <c r="N126" s="877">
        <f t="shared" si="16"/>
        <v>0</v>
      </c>
      <c r="O126" s="1214" t="s">
        <v>1192</v>
      </c>
      <c r="P126" s="1214" t="s">
        <v>1207</v>
      </c>
      <c r="Q126" s="1065">
        <f t="shared" ref="Q126:S158" si="20">C126-F126</f>
        <v>-2394</v>
      </c>
      <c r="R126" s="1065">
        <f t="shared" si="20"/>
        <v>0</v>
      </c>
      <c r="S126" s="1065">
        <f t="shared" si="20"/>
        <v>-2394</v>
      </c>
      <c r="T126" s="1099" t="s">
        <v>886</v>
      </c>
      <c r="U126" s="1100" t="s">
        <v>892</v>
      </c>
      <c r="V126" s="1099">
        <v>414</v>
      </c>
      <c r="W126" s="1099">
        <v>14076</v>
      </c>
      <c r="Y126" s="736"/>
    </row>
    <row r="127" spans="1:25" s="1216" customFormat="1" ht="52.5" hidden="1">
      <c r="A127" s="1267" t="s">
        <v>782</v>
      </c>
      <c r="B127" s="1127" t="s">
        <v>842</v>
      </c>
      <c r="C127" s="871">
        <f t="shared" si="17"/>
        <v>813</v>
      </c>
      <c r="D127" s="972">
        <v>0</v>
      </c>
      <c r="E127" s="1255">
        <v>813</v>
      </c>
      <c r="F127" s="874">
        <f t="shared" si="18"/>
        <v>2710</v>
      </c>
      <c r="G127" s="1085">
        <v>0</v>
      </c>
      <c r="H127" s="970">
        <v>2710</v>
      </c>
      <c r="I127" s="874">
        <f t="shared" si="19"/>
        <v>0</v>
      </c>
      <c r="J127" s="1083">
        <v>0</v>
      </c>
      <c r="K127" s="1083">
        <v>0</v>
      </c>
      <c r="L127" s="876">
        <f t="shared" si="16"/>
        <v>0</v>
      </c>
      <c r="M127" s="877">
        <f t="shared" si="16"/>
        <v>0</v>
      </c>
      <c r="N127" s="877">
        <f t="shared" si="16"/>
        <v>0</v>
      </c>
      <c r="O127" s="1214" t="s">
        <v>1192</v>
      </c>
      <c r="P127" s="1214" t="s">
        <v>1208</v>
      </c>
      <c r="Q127" s="1065">
        <f t="shared" si="20"/>
        <v>-1897</v>
      </c>
      <c r="R127" s="1065">
        <f t="shared" si="20"/>
        <v>0</v>
      </c>
      <c r="S127" s="1065">
        <f t="shared" si="20"/>
        <v>-1897</v>
      </c>
      <c r="T127" s="1099" t="s">
        <v>886</v>
      </c>
      <c r="U127" s="1100" t="s">
        <v>892</v>
      </c>
      <c r="V127" s="1099">
        <v>414</v>
      </c>
      <c r="W127" s="1099">
        <v>14077</v>
      </c>
      <c r="Y127" s="736"/>
    </row>
    <row r="128" spans="1:25" ht="78.75" hidden="1">
      <c r="A128" s="1267" t="s">
        <v>817</v>
      </c>
      <c r="B128" s="1127" t="s">
        <v>843</v>
      </c>
      <c r="C128" s="871">
        <f t="shared" si="17"/>
        <v>792</v>
      </c>
      <c r="D128" s="972">
        <v>0</v>
      </c>
      <c r="E128" s="1255">
        <v>792</v>
      </c>
      <c r="F128" s="874">
        <f t="shared" si="18"/>
        <v>2640</v>
      </c>
      <c r="G128" s="1085">
        <v>0</v>
      </c>
      <c r="H128" s="970">
        <v>2640</v>
      </c>
      <c r="I128" s="874">
        <f t="shared" si="19"/>
        <v>0</v>
      </c>
      <c r="J128" s="1083">
        <v>0</v>
      </c>
      <c r="K128" s="1083">
        <v>0</v>
      </c>
      <c r="L128" s="876">
        <f t="shared" si="16"/>
        <v>0</v>
      </c>
      <c r="M128" s="877">
        <f t="shared" si="16"/>
        <v>0</v>
      </c>
      <c r="N128" s="877">
        <f t="shared" si="16"/>
        <v>0</v>
      </c>
      <c r="O128" s="1214" t="s">
        <v>1192</v>
      </c>
      <c r="P128" s="1214" t="s">
        <v>1209</v>
      </c>
      <c r="Q128" s="1065">
        <f t="shared" si="20"/>
        <v>-1848</v>
      </c>
      <c r="R128" s="1065">
        <f t="shared" si="20"/>
        <v>0</v>
      </c>
      <c r="S128" s="1065">
        <f t="shared" si="20"/>
        <v>-1848</v>
      </c>
      <c r="T128" s="1099" t="s">
        <v>886</v>
      </c>
      <c r="U128" s="1100" t="s">
        <v>892</v>
      </c>
      <c r="V128" s="1099">
        <v>414</v>
      </c>
      <c r="W128" s="1099">
        <v>14078</v>
      </c>
    </row>
    <row r="129" spans="1:25" ht="93" hidden="1">
      <c r="A129" s="1267" t="s">
        <v>818</v>
      </c>
      <c r="B129" s="1127" t="s">
        <v>844</v>
      </c>
      <c r="C129" s="871">
        <f t="shared" si="17"/>
        <v>879</v>
      </c>
      <c r="D129" s="972">
        <v>0</v>
      </c>
      <c r="E129" s="1255">
        <v>879</v>
      </c>
      <c r="F129" s="874">
        <f t="shared" si="18"/>
        <v>2930</v>
      </c>
      <c r="G129" s="1085">
        <v>0</v>
      </c>
      <c r="H129" s="970">
        <v>2930</v>
      </c>
      <c r="I129" s="874">
        <f t="shared" si="19"/>
        <v>0</v>
      </c>
      <c r="J129" s="1083">
        <v>0</v>
      </c>
      <c r="K129" s="1083">
        <v>0</v>
      </c>
      <c r="L129" s="876">
        <f t="shared" si="16"/>
        <v>0</v>
      </c>
      <c r="M129" s="877">
        <f t="shared" si="16"/>
        <v>0</v>
      </c>
      <c r="N129" s="877">
        <f t="shared" si="16"/>
        <v>0</v>
      </c>
      <c r="O129" s="1214" t="s">
        <v>1192</v>
      </c>
      <c r="P129" s="1214" t="s">
        <v>1210</v>
      </c>
      <c r="Q129" s="1065">
        <f t="shared" si="20"/>
        <v>-2051</v>
      </c>
      <c r="R129" s="1065">
        <f t="shared" si="20"/>
        <v>0</v>
      </c>
      <c r="S129" s="1065">
        <f t="shared" si="20"/>
        <v>-2051</v>
      </c>
      <c r="T129" s="1099" t="s">
        <v>886</v>
      </c>
      <c r="U129" s="1100" t="s">
        <v>892</v>
      </c>
      <c r="V129" s="1099">
        <v>414</v>
      </c>
      <c r="W129" s="1099">
        <v>14079</v>
      </c>
    </row>
    <row r="130" spans="1:25" ht="93" hidden="1">
      <c r="A130" s="1267" t="s">
        <v>819</v>
      </c>
      <c r="B130" s="1127" t="s">
        <v>845</v>
      </c>
      <c r="C130" s="871">
        <f t="shared" si="17"/>
        <v>1554</v>
      </c>
      <c r="D130" s="1249">
        <v>0</v>
      </c>
      <c r="E130" s="1255">
        <v>1554</v>
      </c>
      <c r="F130" s="874">
        <f t="shared" si="18"/>
        <v>5180</v>
      </c>
      <c r="G130" s="1085">
        <v>0</v>
      </c>
      <c r="H130" s="970">
        <v>5180</v>
      </c>
      <c r="I130" s="874">
        <f t="shared" si="19"/>
        <v>0</v>
      </c>
      <c r="J130" s="1083">
        <v>0</v>
      </c>
      <c r="K130" s="1083">
        <v>0</v>
      </c>
      <c r="L130" s="876">
        <f t="shared" si="16"/>
        <v>0</v>
      </c>
      <c r="M130" s="877">
        <f t="shared" si="16"/>
        <v>0</v>
      </c>
      <c r="N130" s="877">
        <f t="shared" si="16"/>
        <v>0</v>
      </c>
      <c r="O130" s="1214" t="s">
        <v>1192</v>
      </c>
      <c r="P130" s="1214" t="s">
        <v>1211</v>
      </c>
      <c r="Q130" s="1065">
        <f t="shared" si="20"/>
        <v>-3626</v>
      </c>
      <c r="R130" s="1065">
        <f t="shared" si="20"/>
        <v>0</v>
      </c>
      <c r="S130" s="1065">
        <f t="shared" si="20"/>
        <v>-3626</v>
      </c>
      <c r="T130" s="1099" t="s">
        <v>886</v>
      </c>
      <c r="U130" s="1100" t="s">
        <v>892</v>
      </c>
      <c r="V130" s="1099">
        <v>414</v>
      </c>
      <c r="W130" s="1099">
        <v>14080</v>
      </c>
    </row>
    <row r="131" spans="1:25" ht="93" hidden="1">
      <c r="A131" s="1267" t="s">
        <v>762</v>
      </c>
      <c r="B131" s="1127" t="s">
        <v>846</v>
      </c>
      <c r="C131" s="871">
        <f t="shared" si="17"/>
        <v>879</v>
      </c>
      <c r="D131" s="1249">
        <v>0</v>
      </c>
      <c r="E131" s="1255">
        <v>879</v>
      </c>
      <c r="F131" s="874">
        <f t="shared" si="18"/>
        <v>2930</v>
      </c>
      <c r="G131" s="1085">
        <v>0</v>
      </c>
      <c r="H131" s="970">
        <v>2930</v>
      </c>
      <c r="I131" s="874">
        <f t="shared" si="19"/>
        <v>0</v>
      </c>
      <c r="J131" s="1083">
        <v>0</v>
      </c>
      <c r="K131" s="1083">
        <v>0</v>
      </c>
      <c r="L131" s="876">
        <f t="shared" si="16"/>
        <v>0</v>
      </c>
      <c r="M131" s="877">
        <f t="shared" si="16"/>
        <v>0</v>
      </c>
      <c r="N131" s="877">
        <f t="shared" si="16"/>
        <v>0</v>
      </c>
      <c r="O131" s="1214" t="s">
        <v>1192</v>
      </c>
      <c r="P131" s="1214" t="s">
        <v>1212</v>
      </c>
      <c r="Q131" s="1065">
        <f t="shared" si="20"/>
        <v>-2051</v>
      </c>
      <c r="R131" s="1065">
        <f t="shared" si="20"/>
        <v>0</v>
      </c>
      <c r="S131" s="1065">
        <f t="shared" si="20"/>
        <v>-2051</v>
      </c>
      <c r="T131" s="1099" t="s">
        <v>886</v>
      </c>
      <c r="U131" s="1100" t="s">
        <v>892</v>
      </c>
      <c r="V131" s="1099">
        <v>414</v>
      </c>
      <c r="W131" s="1099">
        <v>14081</v>
      </c>
    </row>
    <row r="132" spans="1:25" ht="93" hidden="1">
      <c r="A132" s="1267" t="s">
        <v>743</v>
      </c>
      <c r="B132" s="1127" t="s">
        <v>847</v>
      </c>
      <c r="C132" s="871">
        <f t="shared" si="17"/>
        <v>627</v>
      </c>
      <c r="D132" s="1249">
        <v>0</v>
      </c>
      <c r="E132" s="1255">
        <v>627</v>
      </c>
      <c r="F132" s="874">
        <f t="shared" si="18"/>
        <v>2090</v>
      </c>
      <c r="G132" s="1085">
        <v>0</v>
      </c>
      <c r="H132" s="970">
        <v>2090</v>
      </c>
      <c r="I132" s="874">
        <f t="shared" si="19"/>
        <v>0</v>
      </c>
      <c r="J132" s="1083">
        <v>0</v>
      </c>
      <c r="K132" s="1083">
        <v>0</v>
      </c>
      <c r="L132" s="876">
        <f t="shared" si="16"/>
        <v>0</v>
      </c>
      <c r="M132" s="877">
        <f t="shared" si="16"/>
        <v>0</v>
      </c>
      <c r="N132" s="877">
        <f t="shared" si="16"/>
        <v>0</v>
      </c>
      <c r="O132" s="1214" t="s">
        <v>1192</v>
      </c>
      <c r="P132" s="1214" t="s">
        <v>1213</v>
      </c>
      <c r="Q132" s="1065">
        <f t="shared" si="20"/>
        <v>-1463</v>
      </c>
      <c r="R132" s="1065">
        <f t="shared" si="20"/>
        <v>0</v>
      </c>
      <c r="S132" s="1065">
        <f t="shared" si="20"/>
        <v>-1463</v>
      </c>
      <c r="T132" s="1099" t="s">
        <v>886</v>
      </c>
      <c r="U132" s="1100" t="s">
        <v>892</v>
      </c>
      <c r="V132" s="1099">
        <v>414</v>
      </c>
      <c r="W132" s="1099">
        <v>14082</v>
      </c>
    </row>
    <row r="133" spans="1:25" ht="78.75" hidden="1">
      <c r="A133" s="1267" t="s">
        <v>744</v>
      </c>
      <c r="B133" s="1127" t="s">
        <v>848</v>
      </c>
      <c r="C133" s="871">
        <f t="shared" si="17"/>
        <v>669</v>
      </c>
      <c r="D133" s="1249">
        <v>0</v>
      </c>
      <c r="E133" s="1255">
        <v>669</v>
      </c>
      <c r="F133" s="874">
        <f t="shared" si="18"/>
        <v>2230</v>
      </c>
      <c r="G133" s="1085">
        <v>0</v>
      </c>
      <c r="H133" s="970">
        <v>2230</v>
      </c>
      <c r="I133" s="874">
        <f t="shared" si="19"/>
        <v>0</v>
      </c>
      <c r="J133" s="1083">
        <v>0</v>
      </c>
      <c r="K133" s="1083">
        <v>0</v>
      </c>
      <c r="L133" s="876">
        <f t="shared" si="16"/>
        <v>0</v>
      </c>
      <c r="M133" s="877">
        <f t="shared" si="16"/>
        <v>0</v>
      </c>
      <c r="N133" s="877">
        <f t="shared" si="16"/>
        <v>0</v>
      </c>
      <c r="O133" s="1214" t="s">
        <v>1192</v>
      </c>
      <c r="P133" s="1214" t="s">
        <v>1214</v>
      </c>
      <c r="Q133" s="1065">
        <f t="shared" si="20"/>
        <v>-1561</v>
      </c>
      <c r="R133" s="1065">
        <f t="shared" si="20"/>
        <v>0</v>
      </c>
      <c r="S133" s="1065">
        <f t="shared" si="20"/>
        <v>-1561</v>
      </c>
      <c r="T133" s="1099" t="s">
        <v>886</v>
      </c>
      <c r="U133" s="1100" t="s">
        <v>892</v>
      </c>
      <c r="V133" s="1099">
        <v>414</v>
      </c>
      <c r="W133" s="1099">
        <v>14083</v>
      </c>
    </row>
    <row r="134" spans="1:25" ht="93" hidden="1">
      <c r="A134" s="1267" t="s">
        <v>745</v>
      </c>
      <c r="B134" s="1127" t="s">
        <v>849</v>
      </c>
      <c r="C134" s="871">
        <f t="shared" si="17"/>
        <v>495</v>
      </c>
      <c r="D134" s="1249">
        <v>0</v>
      </c>
      <c r="E134" s="1255">
        <v>495</v>
      </c>
      <c r="F134" s="874">
        <f t="shared" si="18"/>
        <v>1650</v>
      </c>
      <c r="G134" s="1085">
        <v>0</v>
      </c>
      <c r="H134" s="970">
        <v>1650</v>
      </c>
      <c r="I134" s="874">
        <f t="shared" si="19"/>
        <v>0</v>
      </c>
      <c r="J134" s="1083">
        <v>0</v>
      </c>
      <c r="K134" s="1083">
        <v>0</v>
      </c>
      <c r="L134" s="876">
        <f t="shared" si="16"/>
        <v>0</v>
      </c>
      <c r="M134" s="877">
        <f t="shared" si="16"/>
        <v>0</v>
      </c>
      <c r="N134" s="877">
        <f t="shared" si="16"/>
        <v>0</v>
      </c>
      <c r="O134" s="1214" t="s">
        <v>1192</v>
      </c>
      <c r="P134" s="1214" t="s">
        <v>1215</v>
      </c>
      <c r="Q134" s="1065">
        <f t="shared" si="20"/>
        <v>-1155</v>
      </c>
      <c r="R134" s="1065">
        <f t="shared" si="20"/>
        <v>0</v>
      </c>
      <c r="S134" s="1065">
        <f t="shared" si="20"/>
        <v>-1155</v>
      </c>
      <c r="T134" s="1099" t="s">
        <v>886</v>
      </c>
      <c r="U134" s="1100" t="s">
        <v>892</v>
      </c>
      <c r="V134" s="1099">
        <v>414</v>
      </c>
      <c r="W134" s="1099">
        <v>14084</v>
      </c>
    </row>
    <row r="135" spans="1:25" ht="93" hidden="1">
      <c r="A135" s="1267" t="s">
        <v>746</v>
      </c>
      <c r="B135" s="1127" t="s">
        <v>850</v>
      </c>
      <c r="C135" s="871">
        <f t="shared" si="17"/>
        <v>792</v>
      </c>
      <c r="D135" s="1249">
        <v>0</v>
      </c>
      <c r="E135" s="1255">
        <v>792</v>
      </c>
      <c r="F135" s="874">
        <f t="shared" si="18"/>
        <v>2640</v>
      </c>
      <c r="G135" s="1085">
        <v>0</v>
      </c>
      <c r="H135" s="970">
        <v>2640</v>
      </c>
      <c r="I135" s="874">
        <f t="shared" si="19"/>
        <v>0</v>
      </c>
      <c r="J135" s="1083">
        <v>0</v>
      </c>
      <c r="K135" s="1083">
        <v>0</v>
      </c>
      <c r="L135" s="876">
        <f t="shared" si="16"/>
        <v>0</v>
      </c>
      <c r="M135" s="877">
        <f t="shared" si="16"/>
        <v>0</v>
      </c>
      <c r="N135" s="877">
        <f t="shared" si="16"/>
        <v>0</v>
      </c>
      <c r="O135" s="1214" t="s">
        <v>1192</v>
      </c>
      <c r="P135" s="1214" t="s">
        <v>1216</v>
      </c>
      <c r="Q135" s="1065">
        <f t="shared" si="20"/>
        <v>-1848</v>
      </c>
      <c r="R135" s="1065">
        <f t="shared" si="20"/>
        <v>0</v>
      </c>
      <c r="S135" s="1065">
        <f t="shared" si="20"/>
        <v>-1848</v>
      </c>
      <c r="T135" s="1099" t="s">
        <v>886</v>
      </c>
      <c r="U135" s="1100" t="s">
        <v>892</v>
      </c>
      <c r="V135" s="1099">
        <v>414</v>
      </c>
      <c r="W135" s="1099">
        <v>14085</v>
      </c>
    </row>
    <row r="136" spans="1:25" ht="93" hidden="1">
      <c r="A136" s="1267" t="s">
        <v>747</v>
      </c>
      <c r="B136" s="1127" t="s">
        <v>851</v>
      </c>
      <c r="C136" s="871">
        <f t="shared" si="17"/>
        <v>1026</v>
      </c>
      <c r="D136" s="1249">
        <v>0</v>
      </c>
      <c r="E136" s="1255">
        <v>1026</v>
      </c>
      <c r="F136" s="874">
        <f t="shared" si="18"/>
        <v>3420</v>
      </c>
      <c r="G136" s="1085">
        <v>0</v>
      </c>
      <c r="H136" s="970">
        <v>3420</v>
      </c>
      <c r="I136" s="874">
        <f t="shared" si="19"/>
        <v>0</v>
      </c>
      <c r="J136" s="1083">
        <v>0</v>
      </c>
      <c r="K136" s="1083">
        <v>0</v>
      </c>
      <c r="L136" s="876">
        <f t="shared" si="16"/>
        <v>0</v>
      </c>
      <c r="M136" s="877">
        <f t="shared" si="16"/>
        <v>0</v>
      </c>
      <c r="N136" s="877">
        <f t="shared" si="16"/>
        <v>0</v>
      </c>
      <c r="O136" s="1214" t="s">
        <v>1192</v>
      </c>
      <c r="P136" s="1214" t="s">
        <v>1217</v>
      </c>
      <c r="Q136" s="1065">
        <f t="shared" si="20"/>
        <v>-2394</v>
      </c>
      <c r="R136" s="1065">
        <f t="shared" si="20"/>
        <v>0</v>
      </c>
      <c r="S136" s="1065">
        <f t="shared" si="20"/>
        <v>-2394</v>
      </c>
      <c r="T136" s="1099" t="s">
        <v>886</v>
      </c>
      <c r="U136" s="1100" t="s">
        <v>892</v>
      </c>
      <c r="V136" s="1099">
        <v>414</v>
      </c>
      <c r="W136" s="1099">
        <v>14086</v>
      </c>
    </row>
    <row r="137" spans="1:25" ht="93" hidden="1">
      <c r="A137" s="1267" t="s">
        <v>748</v>
      </c>
      <c r="B137" s="1127" t="s">
        <v>852</v>
      </c>
      <c r="C137" s="871">
        <f t="shared" si="17"/>
        <v>669</v>
      </c>
      <c r="D137" s="1249">
        <v>0</v>
      </c>
      <c r="E137" s="1255">
        <v>669</v>
      </c>
      <c r="F137" s="874">
        <f t="shared" si="18"/>
        <v>2230</v>
      </c>
      <c r="G137" s="1085">
        <v>0</v>
      </c>
      <c r="H137" s="970">
        <v>2230</v>
      </c>
      <c r="I137" s="874">
        <f t="shared" si="19"/>
        <v>0</v>
      </c>
      <c r="J137" s="1083">
        <v>0</v>
      </c>
      <c r="K137" s="1083">
        <v>0</v>
      </c>
      <c r="L137" s="876">
        <f t="shared" si="16"/>
        <v>0</v>
      </c>
      <c r="M137" s="877">
        <f t="shared" si="16"/>
        <v>0</v>
      </c>
      <c r="N137" s="877">
        <f t="shared" si="16"/>
        <v>0</v>
      </c>
      <c r="O137" s="1214" t="s">
        <v>1192</v>
      </c>
      <c r="P137" s="1214" t="s">
        <v>1218</v>
      </c>
      <c r="Q137" s="1065">
        <f t="shared" si="20"/>
        <v>-1561</v>
      </c>
      <c r="R137" s="1065">
        <f t="shared" si="20"/>
        <v>0</v>
      </c>
      <c r="S137" s="1065">
        <f t="shared" si="20"/>
        <v>-1561</v>
      </c>
      <c r="T137" s="1099" t="s">
        <v>886</v>
      </c>
      <c r="U137" s="1100" t="s">
        <v>892</v>
      </c>
      <c r="V137" s="1099">
        <v>414</v>
      </c>
      <c r="W137" s="1099">
        <v>14087</v>
      </c>
    </row>
    <row r="138" spans="1:25" ht="93" hidden="1">
      <c r="A138" s="1267" t="s">
        <v>749</v>
      </c>
      <c r="B138" s="1127" t="s">
        <v>853</v>
      </c>
      <c r="C138" s="871">
        <f t="shared" si="17"/>
        <v>879</v>
      </c>
      <c r="D138" s="972">
        <v>0</v>
      </c>
      <c r="E138" s="1255">
        <v>879</v>
      </c>
      <c r="F138" s="874">
        <f t="shared" si="18"/>
        <v>2930</v>
      </c>
      <c r="G138" s="1085">
        <v>0</v>
      </c>
      <c r="H138" s="970">
        <v>2930</v>
      </c>
      <c r="I138" s="874">
        <f t="shared" si="19"/>
        <v>0</v>
      </c>
      <c r="J138" s="1083">
        <v>0</v>
      </c>
      <c r="K138" s="1083">
        <v>0</v>
      </c>
      <c r="L138" s="876">
        <f t="shared" si="16"/>
        <v>0</v>
      </c>
      <c r="M138" s="877">
        <f t="shared" si="16"/>
        <v>0</v>
      </c>
      <c r="N138" s="877">
        <f t="shared" si="16"/>
        <v>0</v>
      </c>
      <c r="O138" s="1214" t="s">
        <v>1192</v>
      </c>
      <c r="P138" s="1214" t="s">
        <v>1212</v>
      </c>
      <c r="Q138" s="1065">
        <f t="shared" si="20"/>
        <v>-2051</v>
      </c>
      <c r="R138" s="1065">
        <f t="shared" si="20"/>
        <v>0</v>
      </c>
      <c r="S138" s="1065">
        <f t="shared" si="20"/>
        <v>-2051</v>
      </c>
      <c r="T138" s="1099" t="s">
        <v>886</v>
      </c>
      <c r="U138" s="1100" t="s">
        <v>892</v>
      </c>
      <c r="V138" s="1099">
        <v>414</v>
      </c>
      <c r="W138" s="1099">
        <v>14088</v>
      </c>
    </row>
    <row r="139" spans="1:25" s="515" customFormat="1" ht="105" hidden="1">
      <c r="A139" s="1265" t="s">
        <v>750</v>
      </c>
      <c r="B139" s="987" t="s">
        <v>864</v>
      </c>
      <c r="C139" s="871">
        <f t="shared" si="17"/>
        <v>23733</v>
      </c>
      <c r="D139" s="1249">
        <v>0</v>
      </c>
      <c r="E139" s="1249">
        <v>23733</v>
      </c>
      <c r="F139" s="874">
        <f>SUM(G139:H139)</f>
        <v>23733</v>
      </c>
      <c r="G139" s="1085">
        <v>0</v>
      </c>
      <c r="H139" s="1085">
        <v>23733</v>
      </c>
      <c r="I139" s="874">
        <f t="shared" si="19"/>
        <v>0</v>
      </c>
      <c r="J139" s="1085">
        <v>0</v>
      </c>
      <c r="K139" s="1085">
        <v>0</v>
      </c>
      <c r="L139" s="876">
        <f t="shared" si="16"/>
        <v>0</v>
      </c>
      <c r="M139" s="877">
        <f t="shared" si="16"/>
        <v>0</v>
      </c>
      <c r="N139" s="877">
        <f t="shared" si="16"/>
        <v>0</v>
      </c>
      <c r="O139" s="1214" t="s">
        <v>1192</v>
      </c>
      <c r="P139" s="1214" t="s">
        <v>1219</v>
      </c>
      <c r="Q139" s="1065">
        <f t="shared" si="20"/>
        <v>0</v>
      </c>
      <c r="R139" s="1065">
        <f t="shared" si="20"/>
        <v>0</v>
      </c>
      <c r="S139" s="1065">
        <f t="shared" si="20"/>
        <v>0</v>
      </c>
      <c r="T139" s="1099" t="s">
        <v>872</v>
      </c>
      <c r="U139" s="1100">
        <v>1130390400</v>
      </c>
      <c r="V139" s="1099">
        <v>414</v>
      </c>
      <c r="W139" s="1099">
        <v>10122</v>
      </c>
      <c r="X139" s="1220"/>
      <c r="Y139" s="783"/>
    </row>
    <row r="140" spans="1:25" ht="116.25" hidden="1">
      <c r="A140" s="1267" t="s">
        <v>751</v>
      </c>
      <c r="B140" s="1127" t="s">
        <v>522</v>
      </c>
      <c r="C140" s="871">
        <f t="shared" si="17"/>
        <v>54207.7</v>
      </c>
      <c r="D140" s="972">
        <v>0</v>
      </c>
      <c r="E140" s="1255">
        <v>54207.7</v>
      </c>
      <c r="F140" s="874">
        <f t="shared" si="18"/>
        <v>54207.7</v>
      </c>
      <c r="G140" s="1083">
        <v>0</v>
      </c>
      <c r="H140" s="970">
        <v>54207.7</v>
      </c>
      <c r="I140" s="874">
        <f t="shared" si="19"/>
        <v>0</v>
      </c>
      <c r="J140" s="1083">
        <v>0</v>
      </c>
      <c r="K140" s="1083">
        <v>0</v>
      </c>
      <c r="L140" s="876">
        <f t="shared" si="16"/>
        <v>0</v>
      </c>
      <c r="M140" s="877">
        <f t="shared" si="16"/>
        <v>0</v>
      </c>
      <c r="N140" s="877">
        <f t="shared" si="16"/>
        <v>0</v>
      </c>
      <c r="O140" s="1214" t="s">
        <v>1238</v>
      </c>
      <c r="P140" s="1214" t="s">
        <v>1220</v>
      </c>
      <c r="Q140" s="1065">
        <f t="shared" si="20"/>
        <v>0</v>
      </c>
      <c r="R140" s="1065">
        <f t="shared" si="20"/>
        <v>0</v>
      </c>
      <c r="S140" s="1065">
        <f t="shared" si="20"/>
        <v>0</v>
      </c>
      <c r="T140" s="1099" t="s">
        <v>886</v>
      </c>
      <c r="U140" s="1100">
        <v>1900290400</v>
      </c>
      <c r="V140" s="1099">
        <v>414</v>
      </c>
      <c r="W140" s="1099">
        <v>10123</v>
      </c>
    </row>
    <row r="141" spans="1:25" ht="69" hidden="1" customHeight="1">
      <c r="A141" s="1267" t="s">
        <v>854</v>
      </c>
      <c r="B141" s="1127" t="s">
        <v>919</v>
      </c>
      <c r="C141" s="871">
        <f t="shared" si="17"/>
        <v>37461.300000000003</v>
      </c>
      <c r="D141" s="972">
        <v>0</v>
      </c>
      <c r="E141" s="1255">
        <v>37461.300000000003</v>
      </c>
      <c r="F141" s="874">
        <f t="shared" si="18"/>
        <v>37461.300000000003</v>
      </c>
      <c r="G141" s="1083">
        <v>0</v>
      </c>
      <c r="H141" s="970">
        <v>37461.300000000003</v>
      </c>
      <c r="I141" s="874">
        <f t="shared" si="19"/>
        <v>0</v>
      </c>
      <c r="J141" s="1083">
        <v>0</v>
      </c>
      <c r="K141" s="1083">
        <v>0</v>
      </c>
      <c r="L141" s="876">
        <f t="shared" si="16"/>
        <v>0</v>
      </c>
      <c r="M141" s="877">
        <f t="shared" si="16"/>
        <v>0</v>
      </c>
      <c r="N141" s="877">
        <f t="shared" si="16"/>
        <v>0</v>
      </c>
      <c r="O141" s="1214" t="s">
        <v>1239</v>
      </c>
      <c r="P141" s="1214" t="s">
        <v>1221</v>
      </c>
      <c r="Q141" s="1065">
        <f t="shared" si="20"/>
        <v>0</v>
      </c>
      <c r="R141" s="1065">
        <f t="shared" si="20"/>
        <v>0</v>
      </c>
      <c r="S141" s="1065">
        <f t="shared" si="20"/>
        <v>0</v>
      </c>
      <c r="T141" s="1099" t="s">
        <v>886</v>
      </c>
      <c r="U141" s="1100">
        <v>1900290400</v>
      </c>
      <c r="V141" s="1099">
        <v>414</v>
      </c>
      <c r="W141" s="1099">
        <v>10124</v>
      </c>
    </row>
    <row r="142" spans="1:25" s="914" customFormat="1" ht="72.75" hidden="1" customHeight="1">
      <c r="A142" s="1051"/>
      <c r="B142" s="1261" t="s">
        <v>444</v>
      </c>
      <c r="C142" s="1051">
        <f t="shared" si="17"/>
        <v>2475160.9</v>
      </c>
      <c r="D142" s="1051">
        <f>SUM(D143:D197)</f>
        <v>2185940.9</v>
      </c>
      <c r="E142" s="1051">
        <f>SUM(E143:E197)</f>
        <v>289220</v>
      </c>
      <c r="F142" s="1051">
        <f t="shared" si="18"/>
        <v>2320750</v>
      </c>
      <c r="G142" s="1051">
        <f>SUM(G143:G197)</f>
        <v>2022216.4</v>
      </c>
      <c r="H142" s="1051">
        <f>SUM(H143:H197)</f>
        <v>298533.59999999998</v>
      </c>
      <c r="I142" s="1051">
        <f t="shared" si="19"/>
        <v>43497.599999999999</v>
      </c>
      <c r="J142" s="1051">
        <f>SUM(J143:J197)</f>
        <v>28972.5</v>
      </c>
      <c r="K142" s="1051">
        <f>SUM(K143:K197)</f>
        <v>14525.1</v>
      </c>
      <c r="L142" s="1053">
        <f t="shared" si="16"/>
        <v>1.9</v>
      </c>
      <c r="M142" s="1053">
        <f t="shared" si="16"/>
        <v>1.4</v>
      </c>
      <c r="N142" s="1053">
        <f t="shared" si="16"/>
        <v>4.9000000000000004</v>
      </c>
      <c r="O142" s="1214"/>
      <c r="P142" s="1214"/>
      <c r="Q142" s="1065">
        <f t="shared" si="20"/>
        <v>154410.9</v>
      </c>
      <c r="R142" s="1065">
        <f t="shared" si="20"/>
        <v>163724.5</v>
      </c>
      <c r="S142" s="1065">
        <f t="shared" si="20"/>
        <v>-9313.6</v>
      </c>
      <c r="T142" s="1114"/>
      <c r="U142" s="1100"/>
      <c r="V142" s="1099"/>
      <c r="W142" s="1099"/>
      <c r="X142" s="1216"/>
      <c r="Y142" s="913"/>
    </row>
    <row r="143" spans="1:25" ht="162.75" hidden="1">
      <c r="A143" s="1265" t="s">
        <v>820</v>
      </c>
      <c r="B143" s="955" t="s">
        <v>648</v>
      </c>
      <c r="C143" s="871">
        <f t="shared" si="17"/>
        <v>800</v>
      </c>
      <c r="D143" s="1249">
        <v>0</v>
      </c>
      <c r="E143" s="1249">
        <v>800</v>
      </c>
      <c r="F143" s="874">
        <f t="shared" si="18"/>
        <v>800</v>
      </c>
      <c r="G143" s="1085">
        <v>0</v>
      </c>
      <c r="H143" s="1085">
        <v>800</v>
      </c>
      <c r="I143" s="874">
        <f t="shared" si="19"/>
        <v>0</v>
      </c>
      <c r="J143" s="1085">
        <v>0</v>
      </c>
      <c r="K143" s="1085">
        <v>0</v>
      </c>
      <c r="L143" s="876">
        <f t="shared" si="16"/>
        <v>0</v>
      </c>
      <c r="M143" s="877">
        <f t="shared" si="16"/>
        <v>0</v>
      </c>
      <c r="N143" s="877">
        <f t="shared" si="16"/>
        <v>0</v>
      </c>
      <c r="O143" s="1214" t="s">
        <v>1290</v>
      </c>
      <c r="P143" s="1214" t="s">
        <v>1240</v>
      </c>
      <c r="Q143" s="1065">
        <f t="shared" si="20"/>
        <v>0</v>
      </c>
      <c r="R143" s="1065">
        <f t="shared" si="20"/>
        <v>0</v>
      </c>
      <c r="S143" s="1065">
        <f t="shared" si="20"/>
        <v>0</v>
      </c>
      <c r="T143" s="1099" t="s">
        <v>886</v>
      </c>
      <c r="U143" s="1100">
        <v>1820190400</v>
      </c>
      <c r="V143" s="1099">
        <v>414</v>
      </c>
      <c r="W143" s="1099">
        <v>14054</v>
      </c>
    </row>
    <row r="144" spans="1:25" s="736" customFormat="1" ht="103.5" hidden="1" customHeight="1">
      <c r="A144" s="1265" t="s">
        <v>834</v>
      </c>
      <c r="B144" s="956" t="s">
        <v>649</v>
      </c>
      <c r="C144" s="871">
        <f t="shared" si="17"/>
        <v>100</v>
      </c>
      <c r="D144" s="1249">
        <v>0</v>
      </c>
      <c r="E144" s="1249">
        <v>100</v>
      </c>
      <c r="F144" s="874">
        <f t="shared" si="18"/>
        <v>100</v>
      </c>
      <c r="G144" s="1085">
        <v>0</v>
      </c>
      <c r="H144" s="1085">
        <v>100</v>
      </c>
      <c r="I144" s="874">
        <f t="shared" si="19"/>
        <v>0</v>
      </c>
      <c r="J144" s="1085">
        <v>0</v>
      </c>
      <c r="K144" s="1085">
        <v>0</v>
      </c>
      <c r="L144" s="876">
        <f t="shared" si="16"/>
        <v>0</v>
      </c>
      <c r="M144" s="877">
        <f t="shared" si="16"/>
        <v>0</v>
      </c>
      <c r="N144" s="877">
        <f t="shared" si="16"/>
        <v>0</v>
      </c>
      <c r="O144" s="1214" t="s">
        <v>1291</v>
      </c>
      <c r="P144" s="1214" t="s">
        <v>1241</v>
      </c>
      <c r="Q144" s="1065">
        <f t="shared" si="20"/>
        <v>0</v>
      </c>
      <c r="R144" s="1065">
        <f t="shared" si="20"/>
        <v>0</v>
      </c>
      <c r="S144" s="1065">
        <f t="shared" si="20"/>
        <v>0</v>
      </c>
      <c r="T144" s="1099" t="s">
        <v>886</v>
      </c>
      <c r="U144" s="1100">
        <v>1820190400</v>
      </c>
      <c r="V144" s="1099">
        <v>414</v>
      </c>
      <c r="W144" s="1099">
        <v>14056</v>
      </c>
      <c r="X144" s="1216"/>
    </row>
    <row r="145" spans="1:24" s="736" customFormat="1" ht="78.75" hidden="1" customHeight="1">
      <c r="A145" s="1265" t="s">
        <v>835</v>
      </c>
      <c r="B145" s="956" t="s">
        <v>650</v>
      </c>
      <c r="C145" s="871">
        <f t="shared" si="17"/>
        <v>1500</v>
      </c>
      <c r="D145" s="1249">
        <v>0</v>
      </c>
      <c r="E145" s="1249">
        <v>1500</v>
      </c>
      <c r="F145" s="874">
        <f t="shared" si="18"/>
        <v>1500</v>
      </c>
      <c r="G145" s="1085">
        <v>0</v>
      </c>
      <c r="H145" s="1085">
        <v>1500</v>
      </c>
      <c r="I145" s="874">
        <f t="shared" si="19"/>
        <v>0</v>
      </c>
      <c r="J145" s="1085">
        <v>0</v>
      </c>
      <c r="K145" s="1085">
        <v>0</v>
      </c>
      <c r="L145" s="876">
        <f t="shared" si="16"/>
        <v>0</v>
      </c>
      <c r="M145" s="877">
        <f t="shared" si="16"/>
        <v>0</v>
      </c>
      <c r="N145" s="877">
        <f t="shared" si="16"/>
        <v>0</v>
      </c>
      <c r="O145" s="1214" t="s">
        <v>1292</v>
      </c>
      <c r="P145" s="1214" t="s">
        <v>1242</v>
      </c>
      <c r="Q145" s="1065">
        <f t="shared" si="20"/>
        <v>0</v>
      </c>
      <c r="R145" s="1065">
        <f t="shared" si="20"/>
        <v>0</v>
      </c>
      <c r="S145" s="1065">
        <f t="shared" si="20"/>
        <v>0</v>
      </c>
      <c r="T145" s="1099" t="s">
        <v>886</v>
      </c>
      <c r="U145" s="1100">
        <v>1820190400</v>
      </c>
      <c r="V145" s="1099">
        <v>414</v>
      </c>
      <c r="W145" s="1099">
        <v>14055</v>
      </c>
      <c r="X145" s="1216"/>
    </row>
    <row r="146" spans="1:24" s="736" customFormat="1" ht="129.75" hidden="1" customHeight="1">
      <c r="A146" s="1267" t="s">
        <v>826</v>
      </c>
      <c r="B146" s="956" t="s">
        <v>651</v>
      </c>
      <c r="C146" s="871">
        <f t="shared" si="17"/>
        <v>100</v>
      </c>
      <c r="D146" s="1249">
        <v>0</v>
      </c>
      <c r="E146" s="1249">
        <v>100</v>
      </c>
      <c r="F146" s="874">
        <f t="shared" si="18"/>
        <v>100</v>
      </c>
      <c r="G146" s="1085">
        <v>0</v>
      </c>
      <c r="H146" s="1085">
        <v>100</v>
      </c>
      <c r="I146" s="874">
        <f t="shared" si="19"/>
        <v>0</v>
      </c>
      <c r="J146" s="1085">
        <v>0</v>
      </c>
      <c r="K146" s="1085">
        <v>0</v>
      </c>
      <c r="L146" s="876">
        <f t="shared" si="16"/>
        <v>0</v>
      </c>
      <c r="M146" s="877">
        <f t="shared" si="16"/>
        <v>0</v>
      </c>
      <c r="N146" s="877">
        <f t="shared" si="16"/>
        <v>0</v>
      </c>
      <c r="O146" s="1214" t="s">
        <v>1293</v>
      </c>
      <c r="P146" s="1214" t="s">
        <v>1101</v>
      </c>
      <c r="Q146" s="1065">
        <f t="shared" si="20"/>
        <v>0</v>
      </c>
      <c r="R146" s="1065">
        <f t="shared" si="20"/>
        <v>0</v>
      </c>
      <c r="S146" s="1065">
        <f t="shared" si="20"/>
        <v>0</v>
      </c>
      <c r="T146" s="1099" t="s">
        <v>886</v>
      </c>
      <c r="U146" s="1100">
        <v>1820190400</v>
      </c>
      <c r="V146" s="1099">
        <v>414</v>
      </c>
      <c r="W146" s="1099">
        <v>14021</v>
      </c>
      <c r="X146" s="1216"/>
    </row>
    <row r="147" spans="1:24" s="736" customFormat="1" ht="78.75" hidden="1">
      <c r="A147" s="1267" t="s">
        <v>827</v>
      </c>
      <c r="B147" s="956" t="s">
        <v>830</v>
      </c>
      <c r="C147" s="871">
        <f t="shared" si="17"/>
        <v>2800</v>
      </c>
      <c r="D147" s="1249">
        <v>0</v>
      </c>
      <c r="E147" s="1249">
        <f>100+2700</f>
        <v>2800</v>
      </c>
      <c r="F147" s="874">
        <f t="shared" si="18"/>
        <v>2800</v>
      </c>
      <c r="G147" s="1085">
        <v>0</v>
      </c>
      <c r="H147" s="1085">
        <v>2800</v>
      </c>
      <c r="I147" s="874">
        <f t="shared" si="19"/>
        <v>0</v>
      </c>
      <c r="J147" s="1085">
        <v>0</v>
      </c>
      <c r="K147" s="1085">
        <v>0</v>
      </c>
      <c r="L147" s="876">
        <f t="shared" si="16"/>
        <v>0</v>
      </c>
      <c r="M147" s="877">
        <f t="shared" si="16"/>
        <v>0</v>
      </c>
      <c r="N147" s="877">
        <f t="shared" si="16"/>
        <v>0</v>
      </c>
      <c r="O147" s="1214" t="s">
        <v>1192</v>
      </c>
      <c r="P147" s="1214" t="s">
        <v>1243</v>
      </c>
      <c r="Q147" s="1065">
        <f t="shared" si="20"/>
        <v>0</v>
      </c>
      <c r="R147" s="1065">
        <f t="shared" si="20"/>
        <v>0</v>
      </c>
      <c r="S147" s="1065">
        <f t="shared" si="20"/>
        <v>0</v>
      </c>
      <c r="T147" s="1099" t="s">
        <v>886</v>
      </c>
      <c r="U147" s="1100">
        <v>1820190400</v>
      </c>
      <c r="V147" s="1099">
        <v>414</v>
      </c>
      <c r="W147" s="1099">
        <v>14046</v>
      </c>
      <c r="X147" s="1216"/>
    </row>
    <row r="148" spans="1:24" s="736" customFormat="1" ht="116.25" hidden="1">
      <c r="A148" s="1267" t="s">
        <v>752</v>
      </c>
      <c r="B148" s="956" t="s">
        <v>831</v>
      </c>
      <c r="C148" s="871">
        <f t="shared" si="17"/>
        <v>3100</v>
      </c>
      <c r="D148" s="1249">
        <v>0</v>
      </c>
      <c r="E148" s="1249">
        <f>100+3000</f>
        <v>3100</v>
      </c>
      <c r="F148" s="874">
        <f t="shared" si="18"/>
        <v>3100</v>
      </c>
      <c r="G148" s="1085">
        <v>0</v>
      </c>
      <c r="H148" s="1085">
        <v>3100</v>
      </c>
      <c r="I148" s="874">
        <f t="shared" si="19"/>
        <v>0</v>
      </c>
      <c r="J148" s="1085">
        <v>0</v>
      </c>
      <c r="K148" s="1085">
        <v>0</v>
      </c>
      <c r="L148" s="876">
        <f t="shared" si="16"/>
        <v>0</v>
      </c>
      <c r="M148" s="877">
        <f t="shared" si="16"/>
        <v>0</v>
      </c>
      <c r="N148" s="877">
        <f t="shared" si="16"/>
        <v>0</v>
      </c>
      <c r="O148" s="1214" t="s">
        <v>1294</v>
      </c>
      <c r="P148" s="1214" t="s">
        <v>1244</v>
      </c>
      <c r="Q148" s="1065">
        <f t="shared" si="20"/>
        <v>0</v>
      </c>
      <c r="R148" s="1065">
        <f t="shared" si="20"/>
        <v>0</v>
      </c>
      <c r="S148" s="1065">
        <f t="shared" si="20"/>
        <v>0</v>
      </c>
      <c r="T148" s="1099" t="s">
        <v>886</v>
      </c>
      <c r="U148" s="1100">
        <v>1820190400</v>
      </c>
      <c r="V148" s="1099">
        <v>414</v>
      </c>
      <c r="W148" s="1099">
        <v>14048</v>
      </c>
      <c r="X148" s="1216"/>
    </row>
    <row r="149" spans="1:24" s="736" customFormat="1" ht="99.75" hidden="1" customHeight="1">
      <c r="A149" s="1267" t="s">
        <v>753</v>
      </c>
      <c r="B149" s="956" t="s">
        <v>833</v>
      </c>
      <c r="C149" s="871">
        <f t="shared" si="17"/>
        <v>2200</v>
      </c>
      <c r="D149" s="1249">
        <v>0</v>
      </c>
      <c r="E149" s="1249">
        <v>2200</v>
      </c>
      <c r="F149" s="874">
        <f t="shared" si="18"/>
        <v>2200</v>
      </c>
      <c r="G149" s="1085">
        <v>0</v>
      </c>
      <c r="H149" s="1085">
        <v>2200</v>
      </c>
      <c r="I149" s="874">
        <f t="shared" si="19"/>
        <v>0</v>
      </c>
      <c r="J149" s="1085">
        <v>0</v>
      </c>
      <c r="K149" s="1085">
        <v>0</v>
      </c>
      <c r="L149" s="876">
        <f t="shared" si="16"/>
        <v>0</v>
      </c>
      <c r="M149" s="877">
        <f t="shared" si="16"/>
        <v>0</v>
      </c>
      <c r="N149" s="877">
        <f t="shared" si="16"/>
        <v>0</v>
      </c>
      <c r="O149" s="1214" t="s">
        <v>1295</v>
      </c>
      <c r="P149" s="1214" t="s">
        <v>1245</v>
      </c>
      <c r="Q149" s="1065">
        <f t="shared" si="20"/>
        <v>0</v>
      </c>
      <c r="R149" s="1065">
        <f t="shared" si="20"/>
        <v>0</v>
      </c>
      <c r="S149" s="1065">
        <f t="shared" si="20"/>
        <v>0</v>
      </c>
      <c r="T149" s="1099" t="s">
        <v>886</v>
      </c>
      <c r="U149" s="1100">
        <v>1820190400</v>
      </c>
      <c r="V149" s="1099">
        <v>414</v>
      </c>
      <c r="W149" s="1099">
        <v>14047</v>
      </c>
      <c r="X149" s="1216"/>
    </row>
    <row r="150" spans="1:24" s="736" customFormat="1" ht="78.75" hidden="1">
      <c r="A150" s="1267" t="s">
        <v>1309</v>
      </c>
      <c r="B150" s="955" t="s">
        <v>705</v>
      </c>
      <c r="C150" s="871">
        <f t="shared" si="17"/>
        <v>53585.7</v>
      </c>
      <c r="D150" s="1249">
        <v>50369.9</v>
      </c>
      <c r="E150" s="1249">
        <v>3215.8</v>
      </c>
      <c r="F150" s="874">
        <f t="shared" si="18"/>
        <v>53585.7</v>
      </c>
      <c r="G150" s="1085">
        <v>50369.9</v>
      </c>
      <c r="H150" s="1085">
        <v>3215.8</v>
      </c>
      <c r="I150" s="874">
        <f t="shared" si="19"/>
        <v>0</v>
      </c>
      <c r="J150" s="2477">
        <v>0</v>
      </c>
      <c r="K150" s="2477">
        <v>0</v>
      </c>
      <c r="L150" s="2425">
        <f>IF(I150=0,0,I150/F150:F156*100)</f>
        <v>0</v>
      </c>
      <c r="M150" s="2418">
        <f>IF(J150=0,0,J150/G150:G156*100)</f>
        <v>0</v>
      </c>
      <c r="N150" s="2418">
        <f>IF(K150=0,0,K150/H150:H156*100)</f>
        <v>0</v>
      </c>
      <c r="O150" s="1214" t="s">
        <v>1192</v>
      </c>
      <c r="P150" s="1214" t="s">
        <v>1219</v>
      </c>
      <c r="Q150" s="1065">
        <f t="shared" si="20"/>
        <v>0</v>
      </c>
      <c r="R150" s="1065">
        <f t="shared" si="20"/>
        <v>0</v>
      </c>
      <c r="S150" s="1065">
        <f t="shared" si="20"/>
        <v>0</v>
      </c>
      <c r="T150" s="2456" t="s">
        <v>886</v>
      </c>
      <c r="U150" s="2456" t="s">
        <v>912</v>
      </c>
      <c r="V150" s="2456">
        <v>414</v>
      </c>
      <c r="W150" s="2456" t="s">
        <v>890</v>
      </c>
      <c r="X150" s="2468"/>
    </row>
    <row r="151" spans="1:24" s="736" customFormat="1" ht="93" hidden="1">
      <c r="A151" s="1267" t="s">
        <v>1061</v>
      </c>
      <c r="B151" s="956" t="s">
        <v>704</v>
      </c>
      <c r="C151" s="871">
        <f t="shared" si="17"/>
        <v>28400</v>
      </c>
      <c r="D151" s="1249">
        <v>26696</v>
      </c>
      <c r="E151" s="1249">
        <v>1704</v>
      </c>
      <c r="F151" s="874">
        <f t="shared" si="18"/>
        <v>28400</v>
      </c>
      <c r="G151" s="1085">
        <v>26696</v>
      </c>
      <c r="H151" s="1085">
        <v>1704</v>
      </c>
      <c r="I151" s="874">
        <f t="shared" si="19"/>
        <v>0</v>
      </c>
      <c r="J151" s="2478"/>
      <c r="K151" s="2478"/>
      <c r="L151" s="2426"/>
      <c r="M151" s="2428"/>
      <c r="N151" s="2428"/>
      <c r="O151" s="1214" t="s">
        <v>1192</v>
      </c>
      <c r="P151" s="1214" t="s">
        <v>1246</v>
      </c>
      <c r="Q151" s="1065">
        <f t="shared" si="20"/>
        <v>0</v>
      </c>
      <c r="R151" s="1065">
        <f t="shared" si="20"/>
        <v>0</v>
      </c>
      <c r="S151" s="1065">
        <f t="shared" si="20"/>
        <v>0</v>
      </c>
      <c r="T151" s="2456"/>
      <c r="U151" s="2456"/>
      <c r="V151" s="2456"/>
      <c r="W151" s="2456"/>
      <c r="X151" s="2468"/>
    </row>
    <row r="152" spans="1:24" s="736" customFormat="1" ht="78.75" hidden="1">
      <c r="A152" s="1267" t="s">
        <v>911</v>
      </c>
      <c r="B152" s="956" t="s">
        <v>703</v>
      </c>
      <c r="C152" s="871">
        <f t="shared" si="17"/>
        <v>54300</v>
      </c>
      <c r="D152" s="1249">
        <v>51042</v>
      </c>
      <c r="E152" s="1249">
        <v>3258</v>
      </c>
      <c r="F152" s="874">
        <f t="shared" si="18"/>
        <v>54300</v>
      </c>
      <c r="G152" s="1085">
        <v>51042</v>
      </c>
      <c r="H152" s="1085">
        <v>3258</v>
      </c>
      <c r="I152" s="874">
        <f t="shared" si="19"/>
        <v>0</v>
      </c>
      <c r="J152" s="2478"/>
      <c r="K152" s="2478"/>
      <c r="L152" s="2426"/>
      <c r="M152" s="2428"/>
      <c r="N152" s="2428"/>
      <c r="O152" s="1214" t="s">
        <v>1192</v>
      </c>
      <c r="P152" s="1214" t="s">
        <v>1247</v>
      </c>
      <c r="Q152" s="1065">
        <f t="shared" si="20"/>
        <v>0</v>
      </c>
      <c r="R152" s="1065">
        <f t="shared" si="20"/>
        <v>0</v>
      </c>
      <c r="S152" s="1065">
        <f t="shared" si="20"/>
        <v>0</v>
      </c>
      <c r="T152" s="2456"/>
      <c r="U152" s="2456"/>
      <c r="V152" s="2456"/>
      <c r="W152" s="2456"/>
      <c r="X152" s="2468"/>
    </row>
    <row r="153" spans="1:24" s="736" customFormat="1" ht="78.75" hidden="1">
      <c r="A153" s="1267" t="s">
        <v>913</v>
      </c>
      <c r="B153" s="956" t="s">
        <v>702</v>
      </c>
      <c r="C153" s="871">
        <f t="shared" si="17"/>
        <v>56697.8</v>
      </c>
      <c r="D153" s="1249">
        <v>53295.9</v>
      </c>
      <c r="E153" s="1249">
        <v>3401.9</v>
      </c>
      <c r="F153" s="874">
        <f t="shared" si="18"/>
        <v>56697.8</v>
      </c>
      <c r="G153" s="1085">
        <v>53295.9</v>
      </c>
      <c r="H153" s="1085">
        <v>3401.9</v>
      </c>
      <c r="I153" s="874">
        <f t="shared" si="19"/>
        <v>0</v>
      </c>
      <c r="J153" s="2478"/>
      <c r="K153" s="2478"/>
      <c r="L153" s="2426"/>
      <c r="M153" s="2428"/>
      <c r="N153" s="2428"/>
      <c r="O153" s="1214" t="s">
        <v>1192</v>
      </c>
      <c r="P153" s="1214" t="s">
        <v>1219</v>
      </c>
      <c r="Q153" s="1065">
        <f t="shared" si="20"/>
        <v>0</v>
      </c>
      <c r="R153" s="1065">
        <f t="shared" si="20"/>
        <v>0</v>
      </c>
      <c r="S153" s="1065">
        <f t="shared" si="20"/>
        <v>0</v>
      </c>
      <c r="T153" s="2456"/>
      <c r="U153" s="2456"/>
      <c r="V153" s="2456"/>
      <c r="W153" s="2456"/>
      <c r="X153" s="2468"/>
    </row>
    <row r="154" spans="1:24" s="736" customFormat="1" ht="52.5" hidden="1">
      <c r="A154" s="1267" t="s">
        <v>914</v>
      </c>
      <c r="B154" s="956" t="s">
        <v>832</v>
      </c>
      <c r="C154" s="871">
        <f t="shared" si="17"/>
        <v>8000</v>
      </c>
      <c r="D154" s="1249">
        <v>7520</v>
      </c>
      <c r="E154" s="1249">
        <v>480</v>
      </c>
      <c r="F154" s="874">
        <f t="shared" si="18"/>
        <v>8000</v>
      </c>
      <c r="G154" s="1085">
        <v>7520</v>
      </c>
      <c r="H154" s="1085">
        <v>480</v>
      </c>
      <c r="I154" s="874">
        <f t="shared" si="19"/>
        <v>0</v>
      </c>
      <c r="J154" s="2478"/>
      <c r="K154" s="2478"/>
      <c r="L154" s="2426"/>
      <c r="M154" s="2428"/>
      <c r="N154" s="2428"/>
      <c r="O154" s="1214" t="s">
        <v>1192</v>
      </c>
      <c r="P154" s="1214" t="s">
        <v>1219</v>
      </c>
      <c r="Q154" s="1065">
        <f t="shared" si="20"/>
        <v>0</v>
      </c>
      <c r="R154" s="1065">
        <f t="shared" si="20"/>
        <v>0</v>
      </c>
      <c r="S154" s="1065">
        <f t="shared" si="20"/>
        <v>0</v>
      </c>
      <c r="T154" s="2456"/>
      <c r="U154" s="2456"/>
      <c r="V154" s="2456"/>
      <c r="W154" s="2456"/>
      <c r="X154" s="2468"/>
    </row>
    <row r="155" spans="1:24" s="736" customFormat="1" ht="52.5" hidden="1">
      <c r="A155" s="1267" t="s">
        <v>934</v>
      </c>
      <c r="B155" s="956" t="s">
        <v>775</v>
      </c>
      <c r="C155" s="871">
        <f t="shared" si="17"/>
        <v>20200</v>
      </c>
      <c r="D155" s="1249">
        <v>18988</v>
      </c>
      <c r="E155" s="1249">
        <v>1212</v>
      </c>
      <c r="F155" s="874">
        <f t="shared" si="18"/>
        <v>20200</v>
      </c>
      <c r="G155" s="1085">
        <v>18988</v>
      </c>
      <c r="H155" s="1085">
        <v>1212</v>
      </c>
      <c r="I155" s="874">
        <f t="shared" si="19"/>
        <v>0</v>
      </c>
      <c r="J155" s="2478"/>
      <c r="K155" s="2478"/>
      <c r="L155" s="2426"/>
      <c r="M155" s="2428"/>
      <c r="N155" s="2428"/>
      <c r="O155" s="1214" t="s">
        <v>1192</v>
      </c>
      <c r="P155" s="1214" t="s">
        <v>1219</v>
      </c>
      <c r="Q155" s="1065">
        <f t="shared" si="20"/>
        <v>0</v>
      </c>
      <c r="R155" s="1065">
        <f t="shared" si="20"/>
        <v>0</v>
      </c>
      <c r="S155" s="1065">
        <f t="shared" si="20"/>
        <v>0</v>
      </c>
      <c r="T155" s="2456"/>
      <c r="U155" s="2456"/>
      <c r="V155" s="2456"/>
      <c r="W155" s="2456"/>
      <c r="X155" s="2468"/>
    </row>
    <row r="156" spans="1:24" s="736" customFormat="1" ht="52.5" hidden="1">
      <c r="A156" s="1267" t="s">
        <v>1024</v>
      </c>
      <c r="B156" s="956" t="s">
        <v>774</v>
      </c>
      <c r="C156" s="871">
        <f t="shared" si="17"/>
        <v>20500</v>
      </c>
      <c r="D156" s="1249">
        <v>19270</v>
      </c>
      <c r="E156" s="1249">
        <v>1230</v>
      </c>
      <c r="F156" s="874">
        <f t="shared" si="18"/>
        <v>20500</v>
      </c>
      <c r="G156" s="1085">
        <v>19270</v>
      </c>
      <c r="H156" s="1085">
        <v>1230</v>
      </c>
      <c r="I156" s="874">
        <f t="shared" si="19"/>
        <v>0</v>
      </c>
      <c r="J156" s="2479"/>
      <c r="K156" s="2479"/>
      <c r="L156" s="2427"/>
      <c r="M156" s="2419"/>
      <c r="N156" s="2419"/>
      <c r="O156" s="1214" t="s">
        <v>1192</v>
      </c>
      <c r="P156" s="1214" t="s">
        <v>1219</v>
      </c>
      <c r="Q156" s="1065">
        <f t="shared" si="20"/>
        <v>0</v>
      </c>
      <c r="R156" s="1065">
        <f t="shared" si="20"/>
        <v>0</v>
      </c>
      <c r="S156" s="1065">
        <f t="shared" si="20"/>
        <v>0</v>
      </c>
      <c r="T156" s="2456"/>
      <c r="U156" s="2456"/>
      <c r="V156" s="2456"/>
      <c r="W156" s="2456"/>
      <c r="X156" s="2468"/>
    </row>
    <row r="157" spans="1:24" s="736" customFormat="1" ht="253.5" hidden="1" customHeight="1">
      <c r="A157" s="1267" t="s">
        <v>754</v>
      </c>
      <c r="B157" s="901" t="s">
        <v>465</v>
      </c>
      <c r="C157" s="871">
        <f t="shared" si="17"/>
        <v>18259.5</v>
      </c>
      <c r="D157" s="1249">
        <f>7398.4+9765.43</f>
        <v>17163.8</v>
      </c>
      <c r="E157" s="1249">
        <f>472.3+623.38</f>
        <v>1095.7</v>
      </c>
      <c r="F157" s="874">
        <f t="shared" si="18"/>
        <v>7870.7</v>
      </c>
      <c r="G157" s="1085">
        <v>7398.4</v>
      </c>
      <c r="H157" s="1085">
        <v>472.3</v>
      </c>
      <c r="I157" s="874">
        <f t="shared" si="19"/>
        <v>0</v>
      </c>
      <c r="J157" s="1085">
        <v>0</v>
      </c>
      <c r="K157" s="1085">
        <v>0</v>
      </c>
      <c r="L157" s="876">
        <f t="shared" ref="L157:N173" si="21">IF(I157=0,0,I157/F157*100)</f>
        <v>0</v>
      </c>
      <c r="M157" s="877">
        <f t="shared" si="21"/>
        <v>0</v>
      </c>
      <c r="N157" s="877">
        <f t="shared" si="21"/>
        <v>0</v>
      </c>
      <c r="O157" s="1214" t="s">
        <v>1282</v>
      </c>
      <c r="P157" s="1214" t="s">
        <v>1248</v>
      </c>
      <c r="Q157" s="1065">
        <f t="shared" si="20"/>
        <v>10388.799999999999</v>
      </c>
      <c r="R157" s="1065">
        <f t="shared" si="20"/>
        <v>9765.4</v>
      </c>
      <c r="S157" s="1065">
        <f t="shared" si="20"/>
        <v>623.4</v>
      </c>
      <c r="T157" s="1099" t="s">
        <v>886</v>
      </c>
      <c r="U157" s="1100" t="s">
        <v>901</v>
      </c>
      <c r="V157" s="1099">
        <v>414</v>
      </c>
      <c r="W157" s="1099" t="s">
        <v>890</v>
      </c>
      <c r="X157" s="1216"/>
    </row>
    <row r="158" spans="1:24" s="736" customFormat="1" ht="78.75" hidden="1">
      <c r="A158" s="1267" t="s">
        <v>755</v>
      </c>
      <c r="B158" s="1084" t="s">
        <v>537</v>
      </c>
      <c r="C158" s="871">
        <f t="shared" si="17"/>
        <v>10370</v>
      </c>
      <c r="D158" s="1249">
        <f>8589.3+1158.49</f>
        <v>9747.7999999999993</v>
      </c>
      <c r="E158" s="1249">
        <f>548.3+73.9</f>
        <v>622.20000000000005</v>
      </c>
      <c r="F158" s="874">
        <f t="shared" si="18"/>
        <v>9137.6</v>
      </c>
      <c r="G158" s="1085">
        <v>8589.2999999999993</v>
      </c>
      <c r="H158" s="1085">
        <v>548.29999999999995</v>
      </c>
      <c r="I158" s="871">
        <f t="shared" si="19"/>
        <v>509</v>
      </c>
      <c r="J158" s="1249">
        <v>478.5</v>
      </c>
      <c r="K158" s="1249">
        <v>30.5</v>
      </c>
      <c r="L158" s="876">
        <f t="shared" si="21"/>
        <v>5.6</v>
      </c>
      <c r="M158" s="877">
        <f t="shared" si="21"/>
        <v>5.6</v>
      </c>
      <c r="N158" s="877">
        <f t="shared" si="21"/>
        <v>5.6</v>
      </c>
      <c r="O158" s="1214" t="s">
        <v>1283</v>
      </c>
      <c r="P158" s="1214" t="s">
        <v>1249</v>
      </c>
      <c r="Q158" s="1065">
        <f t="shared" si="20"/>
        <v>1232.4000000000001</v>
      </c>
      <c r="R158" s="1065">
        <f t="shared" si="20"/>
        <v>1158.5</v>
      </c>
      <c r="S158" s="1065">
        <f t="shared" si="20"/>
        <v>73.900000000000006</v>
      </c>
      <c r="T158" s="1099" t="s">
        <v>886</v>
      </c>
      <c r="U158" s="1100" t="s">
        <v>907</v>
      </c>
      <c r="V158" s="1099">
        <v>414</v>
      </c>
      <c r="W158" s="1099" t="s">
        <v>890</v>
      </c>
      <c r="X158" s="1216"/>
    </row>
    <row r="159" spans="1:24" s="736" customFormat="1" ht="93" hidden="1">
      <c r="A159" s="1267" t="s">
        <v>756</v>
      </c>
      <c r="B159" s="1084" t="s">
        <v>587</v>
      </c>
      <c r="C159" s="871">
        <f t="shared" si="17"/>
        <v>16203.2</v>
      </c>
      <c r="D159" s="1249">
        <f>12178.9+3052.05</f>
        <v>15231</v>
      </c>
      <c r="E159" s="1249">
        <f>777.4+194.83</f>
        <v>972.2</v>
      </c>
      <c r="F159" s="874">
        <f t="shared" si="18"/>
        <v>12956.3</v>
      </c>
      <c r="G159" s="1085">
        <v>12178.9</v>
      </c>
      <c r="H159" s="1085">
        <v>777.4</v>
      </c>
      <c r="I159" s="874">
        <f t="shared" si="19"/>
        <v>1408.6</v>
      </c>
      <c r="J159" s="1085">
        <v>1324.1</v>
      </c>
      <c r="K159" s="1085">
        <v>84.5</v>
      </c>
      <c r="L159" s="876">
        <f t="shared" si="21"/>
        <v>10.9</v>
      </c>
      <c r="M159" s="877">
        <f t="shared" si="21"/>
        <v>10.9</v>
      </c>
      <c r="N159" s="877">
        <f t="shared" si="21"/>
        <v>10.9</v>
      </c>
      <c r="O159" s="1214" t="s">
        <v>1284</v>
      </c>
      <c r="P159" s="1214" t="s">
        <v>1250</v>
      </c>
      <c r="Q159" s="1065">
        <f t="shared" ref="Q159:S175" si="22">C159-F159</f>
        <v>3246.9</v>
      </c>
      <c r="R159" s="1065">
        <f t="shared" si="22"/>
        <v>3052.1</v>
      </c>
      <c r="S159" s="1065">
        <f t="shared" si="22"/>
        <v>194.8</v>
      </c>
      <c r="T159" s="1099" t="s">
        <v>886</v>
      </c>
      <c r="U159" s="1100" t="s">
        <v>900</v>
      </c>
      <c r="V159" s="1099">
        <v>414</v>
      </c>
      <c r="W159" s="1099" t="s">
        <v>890</v>
      </c>
      <c r="X159" s="1216"/>
    </row>
    <row r="160" spans="1:24" ht="162.75" hidden="1">
      <c r="A160" s="1267" t="s">
        <v>757</v>
      </c>
      <c r="B160" s="955" t="s">
        <v>588</v>
      </c>
      <c r="C160" s="871">
        <f t="shared" si="17"/>
        <v>22869.1</v>
      </c>
      <c r="D160" s="1249">
        <f>18886.8+2610.06</f>
        <v>21496.9</v>
      </c>
      <c r="E160" s="1249">
        <f>1205.6+166.61</f>
        <v>1372.2</v>
      </c>
      <c r="F160" s="874">
        <f t="shared" si="18"/>
        <v>20092.400000000001</v>
      </c>
      <c r="G160" s="1085">
        <v>18886.8</v>
      </c>
      <c r="H160" s="1085">
        <v>1205.5999999999999</v>
      </c>
      <c r="I160" s="874">
        <f t="shared" si="19"/>
        <v>0</v>
      </c>
      <c r="J160" s="1085">
        <v>0</v>
      </c>
      <c r="K160" s="1085">
        <v>0</v>
      </c>
      <c r="L160" s="876">
        <f t="shared" si="21"/>
        <v>0</v>
      </c>
      <c r="M160" s="877">
        <f t="shared" si="21"/>
        <v>0</v>
      </c>
      <c r="N160" s="877">
        <f t="shared" si="21"/>
        <v>0</v>
      </c>
      <c r="O160" s="1214" t="s">
        <v>1192</v>
      </c>
      <c r="P160" s="1214" t="s">
        <v>1251</v>
      </c>
      <c r="Q160" s="1065">
        <f t="shared" si="22"/>
        <v>2776.7</v>
      </c>
      <c r="R160" s="1065">
        <f t="shared" si="22"/>
        <v>2610.1</v>
      </c>
      <c r="S160" s="1065">
        <f t="shared" si="22"/>
        <v>166.6</v>
      </c>
      <c r="T160" s="1099" t="s">
        <v>886</v>
      </c>
      <c r="U160" s="1100" t="s">
        <v>903</v>
      </c>
      <c r="V160" s="1099">
        <v>414</v>
      </c>
      <c r="W160" s="1099" t="s">
        <v>890</v>
      </c>
    </row>
    <row r="161" spans="1:25" ht="254.25" hidden="1" customHeight="1">
      <c r="A161" s="895">
        <v>103</v>
      </c>
      <c r="B161" s="955" t="s">
        <v>589</v>
      </c>
      <c r="C161" s="871">
        <f t="shared" si="17"/>
        <v>10547.8</v>
      </c>
      <c r="D161" s="1249">
        <f>8642.5+1272.44</f>
        <v>9914.9</v>
      </c>
      <c r="E161" s="1249">
        <f>551.7+81.23</f>
        <v>632.9</v>
      </c>
      <c r="F161" s="874">
        <f t="shared" si="18"/>
        <v>9194.2000000000007</v>
      </c>
      <c r="G161" s="1085">
        <v>8642.5</v>
      </c>
      <c r="H161" s="1085">
        <v>551.70000000000005</v>
      </c>
      <c r="I161" s="874">
        <f t="shared" si="19"/>
        <v>0</v>
      </c>
      <c r="J161" s="1085">
        <v>0</v>
      </c>
      <c r="K161" s="1085">
        <v>0</v>
      </c>
      <c r="L161" s="876">
        <f t="shared" si="21"/>
        <v>0</v>
      </c>
      <c r="M161" s="877">
        <f t="shared" si="21"/>
        <v>0</v>
      </c>
      <c r="N161" s="877">
        <f t="shared" si="21"/>
        <v>0</v>
      </c>
      <c r="O161" s="1214" t="s">
        <v>1285</v>
      </c>
      <c r="P161" s="1214" t="s">
        <v>1252</v>
      </c>
      <c r="Q161" s="1065">
        <f t="shared" si="22"/>
        <v>1353.6</v>
      </c>
      <c r="R161" s="1065">
        <f t="shared" si="22"/>
        <v>1272.4000000000001</v>
      </c>
      <c r="S161" s="1065">
        <f t="shared" si="22"/>
        <v>81.2</v>
      </c>
      <c r="T161" s="1099" t="s">
        <v>886</v>
      </c>
      <c r="U161" s="1100" t="s">
        <v>904</v>
      </c>
      <c r="V161" s="1099">
        <v>414</v>
      </c>
      <c r="W161" s="1099" t="s">
        <v>890</v>
      </c>
    </row>
    <row r="162" spans="1:25" ht="162.75" hidden="1">
      <c r="A162" s="895">
        <v>104</v>
      </c>
      <c r="B162" s="955" t="s">
        <v>616</v>
      </c>
      <c r="C162" s="871">
        <f t="shared" si="17"/>
        <v>64593.7</v>
      </c>
      <c r="D162" s="1249">
        <f>17561.3+43156.37</f>
        <v>60717.7</v>
      </c>
      <c r="E162" s="1249">
        <f>1121.1+2754.89</f>
        <v>3876</v>
      </c>
      <c r="F162" s="874">
        <f t="shared" si="18"/>
        <v>18682.400000000001</v>
      </c>
      <c r="G162" s="1085">
        <v>17561.3</v>
      </c>
      <c r="H162" s="1085">
        <v>1121.0999999999999</v>
      </c>
      <c r="I162" s="874">
        <f t="shared" si="19"/>
        <v>0</v>
      </c>
      <c r="J162" s="1085">
        <v>0</v>
      </c>
      <c r="K162" s="1085">
        <v>0</v>
      </c>
      <c r="L162" s="876">
        <f t="shared" si="21"/>
        <v>0</v>
      </c>
      <c r="M162" s="877">
        <f t="shared" si="21"/>
        <v>0</v>
      </c>
      <c r="N162" s="877">
        <f t="shared" si="21"/>
        <v>0</v>
      </c>
      <c r="O162" s="1214" t="s">
        <v>1192</v>
      </c>
      <c r="P162" s="1214" t="s">
        <v>1253</v>
      </c>
      <c r="Q162" s="1065">
        <f t="shared" si="22"/>
        <v>45911.3</v>
      </c>
      <c r="R162" s="1065">
        <f t="shared" si="22"/>
        <v>43156.4</v>
      </c>
      <c r="S162" s="1065">
        <f t="shared" si="22"/>
        <v>2754.9</v>
      </c>
      <c r="T162" s="1099" t="s">
        <v>886</v>
      </c>
      <c r="U162" s="1100" t="s">
        <v>905</v>
      </c>
      <c r="V162" s="1099">
        <v>414</v>
      </c>
      <c r="W162" s="1099" t="s">
        <v>890</v>
      </c>
    </row>
    <row r="163" spans="1:25" ht="105" hidden="1">
      <c r="A163" s="895">
        <v>105</v>
      </c>
      <c r="B163" s="955" t="s">
        <v>591</v>
      </c>
      <c r="C163" s="871">
        <f t="shared" si="17"/>
        <v>36681.5</v>
      </c>
      <c r="D163" s="1249">
        <f>32344.5+2136.03</f>
        <v>34480.5</v>
      </c>
      <c r="E163" s="1249">
        <f>2064.6+136.35</f>
        <v>2201</v>
      </c>
      <c r="F163" s="874">
        <f t="shared" si="18"/>
        <v>34409.1</v>
      </c>
      <c r="G163" s="1085">
        <v>32344.5</v>
      </c>
      <c r="H163" s="1085">
        <v>2064.6</v>
      </c>
      <c r="I163" s="874">
        <f t="shared" si="19"/>
        <v>0</v>
      </c>
      <c r="J163" s="1085">
        <v>0</v>
      </c>
      <c r="K163" s="1085">
        <v>0</v>
      </c>
      <c r="L163" s="876">
        <f t="shared" si="21"/>
        <v>0</v>
      </c>
      <c r="M163" s="877">
        <f t="shared" si="21"/>
        <v>0</v>
      </c>
      <c r="N163" s="877">
        <f t="shared" si="21"/>
        <v>0</v>
      </c>
      <c r="O163" s="1214" t="s">
        <v>1192</v>
      </c>
      <c r="P163" s="1214" t="s">
        <v>1254</v>
      </c>
      <c r="Q163" s="1065">
        <f t="shared" si="22"/>
        <v>2272.4</v>
      </c>
      <c r="R163" s="1065">
        <f t="shared" si="22"/>
        <v>2136</v>
      </c>
      <c r="S163" s="1065">
        <f t="shared" si="22"/>
        <v>136.4</v>
      </c>
      <c r="T163" s="1099" t="s">
        <v>886</v>
      </c>
      <c r="U163" s="1100" t="s">
        <v>906</v>
      </c>
      <c r="V163" s="1099">
        <v>414</v>
      </c>
      <c r="W163" s="1099" t="s">
        <v>890</v>
      </c>
    </row>
    <row r="164" spans="1:25" ht="93" hidden="1">
      <c r="A164" s="895">
        <v>106</v>
      </c>
      <c r="B164" s="1084" t="s">
        <v>575</v>
      </c>
      <c r="C164" s="871">
        <f t="shared" si="17"/>
        <v>5568.4</v>
      </c>
      <c r="D164" s="1249">
        <f>2306.5+2927.68</f>
        <v>5234.2</v>
      </c>
      <c r="E164" s="1249">
        <f>147.3+186.89</f>
        <v>334.2</v>
      </c>
      <c r="F164" s="874">
        <f t="shared" si="18"/>
        <v>2453.8000000000002</v>
      </c>
      <c r="G164" s="1085">
        <v>2306.5</v>
      </c>
      <c r="H164" s="1085">
        <v>147.30000000000001</v>
      </c>
      <c r="I164" s="874">
        <f t="shared" si="19"/>
        <v>0</v>
      </c>
      <c r="J164" s="1085">
        <v>0</v>
      </c>
      <c r="K164" s="1085">
        <v>0</v>
      </c>
      <c r="L164" s="876">
        <f t="shared" si="21"/>
        <v>0</v>
      </c>
      <c r="M164" s="877">
        <f t="shared" si="21"/>
        <v>0</v>
      </c>
      <c r="N164" s="877">
        <f t="shared" si="21"/>
        <v>0</v>
      </c>
      <c r="O164" s="1214" t="s">
        <v>1192</v>
      </c>
      <c r="P164" s="1214" t="s">
        <v>1102</v>
      </c>
      <c r="Q164" s="1065">
        <f t="shared" si="22"/>
        <v>3114.6</v>
      </c>
      <c r="R164" s="1065">
        <f t="shared" si="22"/>
        <v>2927.7</v>
      </c>
      <c r="S164" s="1065">
        <f t="shared" si="22"/>
        <v>186.9</v>
      </c>
      <c r="T164" s="1099" t="s">
        <v>886</v>
      </c>
      <c r="U164" s="1100" t="s">
        <v>902</v>
      </c>
      <c r="V164" s="1099">
        <v>414</v>
      </c>
      <c r="W164" s="1099" t="s">
        <v>890</v>
      </c>
    </row>
    <row r="165" spans="1:25" ht="93" hidden="1">
      <c r="A165" s="1267" t="s">
        <v>764</v>
      </c>
      <c r="B165" s="1084" t="s">
        <v>660</v>
      </c>
      <c r="C165" s="871">
        <f t="shared" si="17"/>
        <v>14883.1</v>
      </c>
      <c r="D165" s="1249">
        <f>6906.5+7083.4</f>
        <v>13989.9</v>
      </c>
      <c r="E165" s="1249">
        <f>441.1+452.1</f>
        <v>893.2</v>
      </c>
      <c r="F165" s="874">
        <f t="shared" si="18"/>
        <v>7347.6</v>
      </c>
      <c r="G165" s="1085">
        <v>6906.5</v>
      </c>
      <c r="H165" s="1085">
        <v>441.1</v>
      </c>
      <c r="I165" s="874">
        <f t="shared" si="19"/>
        <v>1380.5</v>
      </c>
      <c r="J165" s="1085">
        <v>1297.7</v>
      </c>
      <c r="K165" s="1085">
        <v>82.8</v>
      </c>
      <c r="L165" s="876">
        <f t="shared" si="21"/>
        <v>18.8</v>
      </c>
      <c r="M165" s="877">
        <f t="shared" si="21"/>
        <v>18.8</v>
      </c>
      <c r="N165" s="877">
        <f t="shared" si="21"/>
        <v>18.8</v>
      </c>
      <c r="O165" s="1214" t="s">
        <v>1286</v>
      </c>
      <c r="P165" s="1214" t="s">
        <v>1255</v>
      </c>
      <c r="Q165" s="1065">
        <f t="shared" si="22"/>
        <v>7535.5</v>
      </c>
      <c r="R165" s="1065">
        <f t="shared" si="22"/>
        <v>7083.4</v>
      </c>
      <c r="S165" s="1065">
        <f t="shared" si="22"/>
        <v>452.1</v>
      </c>
      <c r="T165" s="1099" t="s">
        <v>886</v>
      </c>
      <c r="U165" s="1100" t="s">
        <v>908</v>
      </c>
      <c r="V165" s="1099">
        <v>414</v>
      </c>
      <c r="W165" s="1099" t="s">
        <v>890</v>
      </c>
    </row>
    <row r="166" spans="1:25" ht="69.75" hidden="1">
      <c r="A166" s="1267" t="s">
        <v>1062</v>
      </c>
      <c r="B166" s="1084" t="s">
        <v>659</v>
      </c>
      <c r="C166" s="871">
        <f t="shared" si="17"/>
        <v>5350.5</v>
      </c>
      <c r="D166" s="1249">
        <f>4104.3+925.11</f>
        <v>5029.3999999999996</v>
      </c>
      <c r="E166" s="1249">
        <f>262.1+59</f>
        <v>321.10000000000002</v>
      </c>
      <c r="F166" s="874">
        <f t="shared" si="18"/>
        <v>4366.3999999999996</v>
      </c>
      <c r="G166" s="1085">
        <v>4104.3</v>
      </c>
      <c r="H166" s="1085">
        <v>262.10000000000002</v>
      </c>
      <c r="I166" s="874">
        <f t="shared" si="19"/>
        <v>0</v>
      </c>
      <c r="J166" s="1085">
        <v>0</v>
      </c>
      <c r="K166" s="1085">
        <v>0</v>
      </c>
      <c r="L166" s="876">
        <f t="shared" si="21"/>
        <v>0</v>
      </c>
      <c r="M166" s="877">
        <f t="shared" si="21"/>
        <v>0</v>
      </c>
      <c r="N166" s="877">
        <f t="shared" si="21"/>
        <v>0</v>
      </c>
      <c r="O166" s="1214" t="s">
        <v>1287</v>
      </c>
      <c r="P166" s="1214" t="s">
        <v>1256</v>
      </c>
      <c r="Q166" s="1065">
        <f t="shared" si="22"/>
        <v>984.1</v>
      </c>
      <c r="R166" s="1065">
        <f t="shared" si="22"/>
        <v>925.1</v>
      </c>
      <c r="S166" s="1065">
        <f t="shared" si="22"/>
        <v>59</v>
      </c>
      <c r="T166" s="1099" t="s">
        <v>886</v>
      </c>
      <c r="U166" s="1100" t="s">
        <v>909</v>
      </c>
      <c r="V166" s="1099">
        <v>414</v>
      </c>
      <c r="W166" s="1099" t="s">
        <v>910</v>
      </c>
    </row>
    <row r="167" spans="1:25" ht="78.75">
      <c r="A167" s="1267" t="s">
        <v>828</v>
      </c>
      <c r="B167" s="1270" t="s">
        <v>459</v>
      </c>
      <c r="C167" s="871">
        <f t="shared" si="17"/>
        <v>3006.6</v>
      </c>
      <c r="D167" s="972">
        <f>2610.1+215.98</f>
        <v>2826.1</v>
      </c>
      <c r="E167" s="972">
        <f>166.7+13.79</f>
        <v>180.5</v>
      </c>
      <c r="F167" s="874">
        <f t="shared" si="18"/>
        <v>2776.8</v>
      </c>
      <c r="G167" s="879">
        <v>2610.1</v>
      </c>
      <c r="H167" s="879">
        <v>166.7</v>
      </c>
      <c r="I167" s="874">
        <f t="shared" si="19"/>
        <v>0</v>
      </c>
      <c r="J167" s="1083">
        <v>0</v>
      </c>
      <c r="K167" s="1083">
        <v>0</v>
      </c>
      <c r="L167" s="876">
        <f t="shared" si="21"/>
        <v>0</v>
      </c>
      <c r="M167" s="877">
        <f t="shared" si="21"/>
        <v>0</v>
      </c>
      <c r="N167" s="877">
        <f t="shared" si="21"/>
        <v>0</v>
      </c>
      <c r="O167" s="1214" t="s">
        <v>1288</v>
      </c>
      <c r="P167" s="1214" t="s">
        <v>1257</v>
      </c>
      <c r="Q167" s="1065">
        <f t="shared" si="22"/>
        <v>229.8</v>
      </c>
      <c r="R167" s="1065">
        <f t="shared" si="22"/>
        <v>216</v>
      </c>
      <c r="S167" s="1065">
        <f t="shared" si="22"/>
        <v>13.8</v>
      </c>
      <c r="T167" s="1099" t="s">
        <v>886</v>
      </c>
      <c r="U167" s="1100" t="s">
        <v>889</v>
      </c>
      <c r="V167" s="1099">
        <v>414</v>
      </c>
      <c r="W167" s="1099" t="s">
        <v>890</v>
      </c>
    </row>
    <row r="168" spans="1:25" s="515" customFormat="1" ht="93" hidden="1">
      <c r="A168" s="1267" t="s">
        <v>829</v>
      </c>
      <c r="B168" s="1075" t="s">
        <v>568</v>
      </c>
      <c r="C168" s="871">
        <f t="shared" si="17"/>
        <v>4391.5</v>
      </c>
      <c r="D168" s="972">
        <f>3674.8+453.18</f>
        <v>4128</v>
      </c>
      <c r="E168" s="972">
        <f>234.6+28.93</f>
        <v>263.5</v>
      </c>
      <c r="F168" s="874">
        <f t="shared" si="18"/>
        <v>3909.4</v>
      </c>
      <c r="G168" s="879">
        <v>3674.8</v>
      </c>
      <c r="H168" s="879">
        <v>234.6</v>
      </c>
      <c r="I168" s="874">
        <f t="shared" si="19"/>
        <v>0</v>
      </c>
      <c r="J168" s="1083">
        <v>0</v>
      </c>
      <c r="K168" s="1083">
        <v>0</v>
      </c>
      <c r="L168" s="876">
        <f t="shared" si="21"/>
        <v>0</v>
      </c>
      <c r="M168" s="877">
        <f t="shared" si="21"/>
        <v>0</v>
      </c>
      <c r="N168" s="877">
        <f t="shared" si="21"/>
        <v>0</v>
      </c>
      <c r="O168" s="1214" t="s">
        <v>1289</v>
      </c>
      <c r="P168" s="1214" t="s">
        <v>1258</v>
      </c>
      <c r="Q168" s="1065">
        <f t="shared" si="22"/>
        <v>482.1</v>
      </c>
      <c r="R168" s="1065">
        <f t="shared" si="22"/>
        <v>453.2</v>
      </c>
      <c r="S168" s="1065">
        <f t="shared" si="22"/>
        <v>28.9</v>
      </c>
      <c r="T168" s="1099" t="s">
        <v>886</v>
      </c>
      <c r="U168" s="1100" t="s">
        <v>891</v>
      </c>
      <c r="V168" s="1099">
        <v>414</v>
      </c>
      <c r="W168" s="1099" t="s">
        <v>890</v>
      </c>
      <c r="X168" s="1220"/>
      <c r="Y168" s="783"/>
    </row>
    <row r="169" spans="1:25" s="515" customFormat="1" ht="93" customHeight="1">
      <c r="A169" s="1267" t="s">
        <v>821</v>
      </c>
      <c r="B169" s="900" t="s">
        <v>693</v>
      </c>
      <c r="C169" s="871">
        <f t="shared" si="17"/>
        <v>23921.1</v>
      </c>
      <c r="D169" s="972">
        <f>18560.9+3924.8</f>
        <v>22485.7</v>
      </c>
      <c r="E169" s="972">
        <f>1184.8+250.55</f>
        <v>1435.4</v>
      </c>
      <c r="F169" s="874">
        <f t="shared" si="18"/>
        <v>19745.7</v>
      </c>
      <c r="G169" s="879">
        <v>18560.900000000001</v>
      </c>
      <c r="H169" s="879">
        <v>1184.8</v>
      </c>
      <c r="I169" s="874">
        <f t="shared" si="19"/>
        <v>0</v>
      </c>
      <c r="J169" s="1083">
        <v>0</v>
      </c>
      <c r="K169" s="1083">
        <v>0</v>
      </c>
      <c r="L169" s="876">
        <f t="shared" si="21"/>
        <v>0</v>
      </c>
      <c r="M169" s="877">
        <f t="shared" si="21"/>
        <v>0</v>
      </c>
      <c r="N169" s="877">
        <f t="shared" si="21"/>
        <v>0</v>
      </c>
      <c r="O169" s="1214" t="s">
        <v>1192</v>
      </c>
      <c r="P169" s="1214" t="s">
        <v>1251</v>
      </c>
      <c r="Q169" s="1065">
        <f t="shared" si="22"/>
        <v>4175.3999999999996</v>
      </c>
      <c r="R169" s="1065">
        <f t="shared" si="22"/>
        <v>3924.8</v>
      </c>
      <c r="S169" s="1065">
        <f t="shared" si="22"/>
        <v>250.6</v>
      </c>
      <c r="T169" s="1099" t="s">
        <v>866</v>
      </c>
      <c r="U169" s="1100" t="s">
        <v>884</v>
      </c>
      <c r="V169" s="1099">
        <v>414</v>
      </c>
      <c r="W169" s="1099" t="s">
        <v>885</v>
      </c>
      <c r="X169" s="1220"/>
      <c r="Y169" s="783"/>
    </row>
    <row r="170" spans="1:25" s="515" customFormat="1" ht="61.5" customHeight="1">
      <c r="A170" s="1267" t="s">
        <v>821</v>
      </c>
      <c r="B170" s="900" t="s">
        <v>1315</v>
      </c>
      <c r="C170" s="871">
        <f>C169+C167+C93+C92+C61+C59+C54+C51+C42+C19</f>
        <v>107093.5</v>
      </c>
      <c r="D170" s="871">
        <f t="shared" ref="D170:N170" si="23">D169+D167+D93+D92+D61+D59+D54+D51+D42+D19</f>
        <v>68345.5</v>
      </c>
      <c r="E170" s="871">
        <f t="shared" si="23"/>
        <v>38748</v>
      </c>
      <c r="F170" s="871">
        <f t="shared" si="23"/>
        <v>76719.899999999994</v>
      </c>
      <c r="G170" s="871">
        <f t="shared" si="23"/>
        <v>21171</v>
      </c>
      <c r="H170" s="871">
        <f t="shared" si="23"/>
        <v>55548.9</v>
      </c>
      <c r="I170" s="871">
        <f t="shared" si="23"/>
        <v>0</v>
      </c>
      <c r="J170" s="871">
        <f t="shared" si="23"/>
        <v>0</v>
      </c>
      <c r="K170" s="871">
        <f t="shared" si="23"/>
        <v>0</v>
      </c>
      <c r="L170" s="871">
        <f t="shared" si="23"/>
        <v>0</v>
      </c>
      <c r="M170" s="871">
        <f t="shared" si="23"/>
        <v>0</v>
      </c>
      <c r="N170" s="871">
        <f t="shared" si="23"/>
        <v>0</v>
      </c>
      <c r="O170" s="1214" t="s">
        <v>1192</v>
      </c>
      <c r="P170" s="1214" t="s">
        <v>1251</v>
      </c>
      <c r="Q170" s="1065">
        <f t="shared" si="22"/>
        <v>30373.599999999999</v>
      </c>
      <c r="R170" s="1065">
        <f t="shared" si="22"/>
        <v>47174.5</v>
      </c>
      <c r="S170" s="1065">
        <f t="shared" si="22"/>
        <v>-16800.900000000001</v>
      </c>
      <c r="T170" s="1099" t="s">
        <v>866</v>
      </c>
      <c r="U170" s="1100" t="s">
        <v>884</v>
      </c>
      <c r="V170" s="1099">
        <v>414</v>
      </c>
      <c r="W170" s="1099" t="s">
        <v>885</v>
      </c>
      <c r="X170" s="1220"/>
      <c r="Y170" s="783"/>
    </row>
    <row r="171" spans="1:25" s="515" customFormat="1" ht="93" hidden="1">
      <c r="A171" s="1267" t="s">
        <v>822</v>
      </c>
      <c r="B171" s="987" t="s">
        <v>794</v>
      </c>
      <c r="C171" s="871">
        <f t="shared" si="17"/>
        <v>264888.5</v>
      </c>
      <c r="D171" s="972">
        <f>160380+75158.5+12733.8</f>
        <v>248272.3</v>
      </c>
      <c r="E171" s="1256">
        <f>15758.6+857.6</f>
        <v>16616.2</v>
      </c>
      <c r="F171" s="874">
        <f t="shared" si="18"/>
        <v>251297.1</v>
      </c>
      <c r="G171" s="879">
        <v>235538.5</v>
      </c>
      <c r="H171" s="988">
        <v>15758.6</v>
      </c>
      <c r="I171" s="874">
        <f t="shared" si="19"/>
        <v>30</v>
      </c>
      <c r="J171" s="1083">
        <v>28.1</v>
      </c>
      <c r="K171" s="1083">
        <v>1.9</v>
      </c>
      <c r="L171" s="876">
        <f t="shared" si="21"/>
        <v>0</v>
      </c>
      <c r="M171" s="877">
        <f t="shared" si="21"/>
        <v>0</v>
      </c>
      <c r="N171" s="877">
        <f t="shared" si="21"/>
        <v>0</v>
      </c>
      <c r="O171" s="1214" t="s">
        <v>1296</v>
      </c>
      <c r="P171" s="1214" t="s">
        <v>1259</v>
      </c>
      <c r="Q171" s="1065">
        <f t="shared" si="22"/>
        <v>13591.4</v>
      </c>
      <c r="R171" s="1065">
        <f t="shared" si="22"/>
        <v>12733.8</v>
      </c>
      <c r="S171" s="1065">
        <f t="shared" si="22"/>
        <v>857.6</v>
      </c>
      <c r="T171" s="1099" t="s">
        <v>866</v>
      </c>
      <c r="U171" s="1100" t="s">
        <v>896</v>
      </c>
      <c r="V171" s="1099">
        <v>414</v>
      </c>
      <c r="W171" s="1099" t="s">
        <v>897</v>
      </c>
      <c r="X171" s="1220"/>
      <c r="Y171" s="783"/>
    </row>
    <row r="172" spans="1:25" ht="93" hidden="1">
      <c r="A172" s="2404" t="s">
        <v>1310</v>
      </c>
      <c r="B172" s="1084" t="s">
        <v>644</v>
      </c>
      <c r="C172" s="871">
        <f t="shared" si="17"/>
        <v>20270</v>
      </c>
      <c r="D172" s="1249">
        <v>0</v>
      </c>
      <c r="E172" s="1249">
        <f>8390+11880</f>
        <v>20270</v>
      </c>
      <c r="F172" s="874">
        <f t="shared" si="18"/>
        <v>20270</v>
      </c>
      <c r="G172" s="1085">
        <v>0</v>
      </c>
      <c r="H172" s="1085">
        <f>8390+11880</f>
        <v>20270</v>
      </c>
      <c r="I172" s="874">
        <f t="shared" si="19"/>
        <v>12665.1</v>
      </c>
      <c r="J172" s="1085">
        <v>0</v>
      </c>
      <c r="K172" s="1085">
        <v>12665.1</v>
      </c>
      <c r="L172" s="876">
        <f t="shared" si="21"/>
        <v>62.5</v>
      </c>
      <c r="M172" s="877">
        <f t="shared" si="21"/>
        <v>0</v>
      </c>
      <c r="N172" s="877">
        <f t="shared" si="21"/>
        <v>62.5</v>
      </c>
      <c r="O172" s="1214" t="s">
        <v>1297</v>
      </c>
      <c r="P172" s="1214" t="s">
        <v>1260</v>
      </c>
      <c r="Q172" s="1065">
        <f t="shared" si="22"/>
        <v>0</v>
      </c>
      <c r="R172" s="1065">
        <f t="shared" si="22"/>
        <v>0</v>
      </c>
      <c r="S172" s="1065">
        <f t="shared" si="22"/>
        <v>0</v>
      </c>
      <c r="T172" s="1099" t="s">
        <v>872</v>
      </c>
      <c r="U172" s="1100">
        <v>1130390420</v>
      </c>
      <c r="V172" s="1099">
        <v>414</v>
      </c>
      <c r="W172" s="1099">
        <v>14019</v>
      </c>
    </row>
    <row r="173" spans="1:25" ht="69.75" hidden="1">
      <c r="A173" s="2405"/>
      <c r="B173" s="1084" t="s">
        <v>478</v>
      </c>
      <c r="C173" s="871">
        <f t="shared" si="17"/>
        <v>444195.7</v>
      </c>
      <c r="D173" s="1249">
        <f>412659.9+4883.9</f>
        <v>417543.8</v>
      </c>
      <c r="E173" s="1257">
        <f>26340.05+311.8</f>
        <v>26651.85</v>
      </c>
      <c r="F173" s="874">
        <f t="shared" si="18"/>
        <v>439000.1</v>
      </c>
      <c r="G173" s="1085">
        <v>412660</v>
      </c>
      <c r="H173" s="1068">
        <v>26340.05</v>
      </c>
      <c r="I173" s="874">
        <f t="shared" si="19"/>
        <v>350.4</v>
      </c>
      <c r="J173" s="1085">
        <v>329.4</v>
      </c>
      <c r="K173" s="1085">
        <v>21</v>
      </c>
      <c r="L173" s="876">
        <f t="shared" si="21"/>
        <v>0.1</v>
      </c>
      <c r="M173" s="877">
        <f t="shared" si="21"/>
        <v>0.1</v>
      </c>
      <c r="N173" s="877">
        <f t="shared" si="21"/>
        <v>0.1</v>
      </c>
      <c r="O173" s="1214" t="s">
        <v>1298</v>
      </c>
      <c r="P173" s="1214" t="s">
        <v>1261</v>
      </c>
      <c r="Q173" s="1065">
        <f t="shared" si="22"/>
        <v>5195.6000000000004</v>
      </c>
      <c r="R173" s="1065">
        <f t="shared" si="22"/>
        <v>4883.8</v>
      </c>
      <c r="S173" s="1065">
        <f t="shared" si="22"/>
        <v>311.8</v>
      </c>
      <c r="T173" s="1099" t="s">
        <v>886</v>
      </c>
      <c r="U173" s="1100" t="s">
        <v>898</v>
      </c>
      <c r="V173" s="1099">
        <v>414</v>
      </c>
      <c r="W173" s="1099" t="s">
        <v>899</v>
      </c>
    </row>
    <row r="174" spans="1:25" s="515" customFormat="1" ht="73.5" hidden="1" customHeight="1">
      <c r="A174" s="1267" t="s">
        <v>823</v>
      </c>
      <c r="B174" s="900" t="s">
        <v>499</v>
      </c>
      <c r="C174" s="871">
        <f t="shared" si="17"/>
        <v>9981.4</v>
      </c>
      <c r="D174" s="972">
        <f>8500+859.8</f>
        <v>9359.7999999999993</v>
      </c>
      <c r="E174" s="972">
        <f>564.5+57.1</f>
        <v>621.6</v>
      </c>
      <c r="F174" s="874">
        <f t="shared" si="18"/>
        <v>9064.5</v>
      </c>
      <c r="G174" s="879">
        <v>8500</v>
      </c>
      <c r="H174" s="879">
        <v>564.5</v>
      </c>
      <c r="I174" s="874">
        <f t="shared" si="19"/>
        <v>778.1</v>
      </c>
      <c r="J174" s="1083">
        <v>729.6</v>
      </c>
      <c r="K174" s="1083">
        <v>48.5</v>
      </c>
      <c r="L174" s="876">
        <f t="shared" ref="L174:N176" si="24">IF(I174=0,0,I174/F174*100)</f>
        <v>8.6</v>
      </c>
      <c r="M174" s="877">
        <f t="shared" si="24"/>
        <v>8.6</v>
      </c>
      <c r="N174" s="877">
        <f t="shared" si="24"/>
        <v>8.6</v>
      </c>
      <c r="O174" s="1214" t="s">
        <v>1299</v>
      </c>
      <c r="P174" s="1214" t="s">
        <v>1262</v>
      </c>
      <c r="Q174" s="1065">
        <f t="shared" si="22"/>
        <v>916.9</v>
      </c>
      <c r="R174" s="1065">
        <f t="shared" si="22"/>
        <v>859.8</v>
      </c>
      <c r="S174" s="1065">
        <f t="shared" si="22"/>
        <v>57.1</v>
      </c>
      <c r="T174" s="1099" t="s">
        <v>871</v>
      </c>
      <c r="U174" s="1100" t="s">
        <v>870</v>
      </c>
      <c r="V174" s="1099">
        <v>414</v>
      </c>
      <c r="W174" s="1099" t="s">
        <v>873</v>
      </c>
      <c r="X174" s="1220"/>
      <c r="Y174" s="783"/>
    </row>
    <row r="175" spans="1:25" ht="129.75" hidden="1" customHeight="1">
      <c r="A175" s="1265" t="s">
        <v>915</v>
      </c>
      <c r="B175" s="900" t="s">
        <v>768</v>
      </c>
      <c r="C175" s="871">
        <f t="shared" si="17"/>
        <v>8900</v>
      </c>
      <c r="D175" s="972">
        <v>0</v>
      </c>
      <c r="E175" s="972">
        <v>8900</v>
      </c>
      <c r="F175" s="874">
        <f t="shared" si="18"/>
        <v>8900</v>
      </c>
      <c r="G175" s="879">
        <v>0</v>
      </c>
      <c r="H175" s="879">
        <v>8900</v>
      </c>
      <c r="I175" s="874">
        <f t="shared" si="19"/>
        <v>0</v>
      </c>
      <c r="J175" s="1083">
        <v>0</v>
      </c>
      <c r="K175" s="1083">
        <v>0</v>
      </c>
      <c r="L175" s="876">
        <f t="shared" si="24"/>
        <v>0</v>
      </c>
      <c r="M175" s="877">
        <f t="shared" si="24"/>
        <v>0</v>
      </c>
      <c r="N175" s="877">
        <f t="shared" si="24"/>
        <v>0</v>
      </c>
      <c r="O175" s="1214" t="s">
        <v>1300</v>
      </c>
      <c r="P175" s="1214" t="s">
        <v>1263</v>
      </c>
      <c r="Q175" s="1065">
        <f>C175-F175</f>
        <v>0</v>
      </c>
      <c r="R175" s="1065">
        <f t="shared" si="22"/>
        <v>0</v>
      </c>
      <c r="S175" s="1065">
        <f t="shared" si="22"/>
        <v>0</v>
      </c>
      <c r="T175" s="1099" t="s">
        <v>872</v>
      </c>
      <c r="U175" s="1100">
        <v>1130390420</v>
      </c>
      <c r="V175" s="1099">
        <v>414</v>
      </c>
      <c r="W175" s="1099">
        <v>14009</v>
      </c>
    </row>
    <row r="176" spans="1:25" ht="225.75" hidden="1" customHeight="1">
      <c r="A176" s="1267" t="s">
        <v>916</v>
      </c>
      <c r="B176" s="900" t="s">
        <v>769</v>
      </c>
      <c r="C176" s="871">
        <f t="shared" si="17"/>
        <v>21489</v>
      </c>
      <c r="D176" s="972">
        <v>0</v>
      </c>
      <c r="E176" s="972">
        <v>21489</v>
      </c>
      <c r="F176" s="874">
        <f t="shared" si="18"/>
        <v>21489</v>
      </c>
      <c r="G176" s="879">
        <v>0</v>
      </c>
      <c r="H176" s="879">
        <v>21489</v>
      </c>
      <c r="I176" s="874">
        <f t="shared" si="19"/>
        <v>0</v>
      </c>
      <c r="J176" s="1083">
        <v>0</v>
      </c>
      <c r="K176" s="1083">
        <v>0</v>
      </c>
      <c r="L176" s="876">
        <f t="shared" si="24"/>
        <v>0</v>
      </c>
      <c r="M176" s="877">
        <f t="shared" si="24"/>
        <v>0</v>
      </c>
      <c r="N176" s="877">
        <f t="shared" si="24"/>
        <v>0</v>
      </c>
      <c r="O176" s="1214" t="s">
        <v>1301</v>
      </c>
      <c r="P176" s="1214" t="s">
        <v>1264</v>
      </c>
      <c r="Q176" s="1065">
        <f>C176-F176</f>
        <v>0</v>
      </c>
      <c r="R176" s="1065">
        <f t="shared" ref="Q176:S191" si="25">D176-G176</f>
        <v>0</v>
      </c>
      <c r="S176" s="1065">
        <f t="shared" si="25"/>
        <v>0</v>
      </c>
      <c r="T176" s="1099" t="s">
        <v>872</v>
      </c>
      <c r="U176" s="1100">
        <v>1130390420</v>
      </c>
      <c r="V176" s="1099">
        <v>414</v>
      </c>
      <c r="W176" s="1099">
        <v>14053</v>
      </c>
    </row>
    <row r="177" spans="1:24" s="736" customFormat="1" ht="26.25" hidden="1">
      <c r="A177" s="1267" t="s">
        <v>1311</v>
      </c>
      <c r="B177" s="900" t="s">
        <v>692</v>
      </c>
      <c r="C177" s="871">
        <f>SUM(D177:E177)</f>
        <v>22300</v>
      </c>
      <c r="D177" s="972">
        <f>22300*0.9396914446</f>
        <v>20955.099999999999</v>
      </c>
      <c r="E177" s="972">
        <f>22300*(1-0.9396914446)</f>
        <v>1344.9</v>
      </c>
      <c r="F177" s="874">
        <f>SUM(G177:H177)</f>
        <v>22300</v>
      </c>
      <c r="G177" s="879">
        <f>22300*0.9396914446</f>
        <v>20955.099999999999</v>
      </c>
      <c r="H177" s="879">
        <f>22300*(1-0.9396914446)</f>
        <v>1344.9</v>
      </c>
      <c r="I177" s="2450">
        <f>SUM(J177:K177)</f>
        <v>0</v>
      </c>
      <c r="J177" s="2440">
        <v>0</v>
      </c>
      <c r="K177" s="2440">
        <v>0</v>
      </c>
      <c r="L177" s="2446">
        <f>IF(I177=0,0,I177/F177:F178*100)</f>
        <v>0</v>
      </c>
      <c r="M177" s="2415">
        <f>IF(J177=0,0,J177/G177:G178*100)</f>
        <v>0</v>
      </c>
      <c r="N177" s="2415">
        <f>IF(K177=0,0,K177/H177:H178*100)</f>
        <v>0</v>
      </c>
      <c r="O177" s="2460" t="s">
        <v>1192</v>
      </c>
      <c r="P177" s="2460" t="s">
        <v>1265</v>
      </c>
      <c r="Q177" s="1065">
        <f>C177-F177</f>
        <v>0</v>
      </c>
      <c r="R177" s="1065">
        <f t="shared" si="25"/>
        <v>0</v>
      </c>
      <c r="S177" s="1065">
        <f t="shared" si="25"/>
        <v>0</v>
      </c>
      <c r="T177" s="2409" t="s">
        <v>874</v>
      </c>
      <c r="U177" s="2445" t="s">
        <v>875</v>
      </c>
      <c r="V177" s="2409">
        <v>414</v>
      </c>
      <c r="W177" s="2409" t="s">
        <v>876</v>
      </c>
      <c r="X177" s="2468"/>
    </row>
    <row r="178" spans="1:24" s="736" customFormat="1" ht="26.25" hidden="1">
      <c r="A178" s="1267" t="s">
        <v>1064</v>
      </c>
      <c r="B178" s="900" t="s">
        <v>691</v>
      </c>
      <c r="C178" s="871">
        <f t="shared" si="17"/>
        <v>49000</v>
      </c>
      <c r="D178" s="972">
        <f>49000*0.9396914446</f>
        <v>46044.9</v>
      </c>
      <c r="E178" s="972">
        <f>49000*(1-0.9396914446)</f>
        <v>2955.1</v>
      </c>
      <c r="F178" s="874">
        <f t="shared" si="18"/>
        <v>49000</v>
      </c>
      <c r="G178" s="879">
        <f>49000*0.9396914446</f>
        <v>46044.9</v>
      </c>
      <c r="H178" s="879">
        <f>49000*(1-0.9396914446)</f>
        <v>2955.1</v>
      </c>
      <c r="I178" s="2451"/>
      <c r="J178" s="2441"/>
      <c r="K178" s="2441"/>
      <c r="L178" s="2448"/>
      <c r="M178" s="2417"/>
      <c r="N178" s="2417"/>
      <c r="O178" s="2461"/>
      <c r="P178" s="2461"/>
      <c r="Q178" s="1065">
        <f t="shared" si="25"/>
        <v>0</v>
      </c>
      <c r="R178" s="1065">
        <f t="shared" si="25"/>
        <v>0</v>
      </c>
      <c r="S178" s="1065">
        <f t="shared" si="25"/>
        <v>0</v>
      </c>
      <c r="T178" s="2409"/>
      <c r="U178" s="2445"/>
      <c r="V178" s="2409"/>
      <c r="W178" s="2409"/>
      <c r="X178" s="2468"/>
    </row>
    <row r="179" spans="1:24" s="736" customFormat="1" ht="95.25" hidden="1" customHeight="1">
      <c r="A179" s="1267" t="s">
        <v>860</v>
      </c>
      <c r="B179" s="955" t="s">
        <v>767</v>
      </c>
      <c r="C179" s="871">
        <f t="shared" si="17"/>
        <v>5777.1</v>
      </c>
      <c r="D179" s="1249">
        <v>0</v>
      </c>
      <c r="E179" s="1249">
        <v>5777.1</v>
      </c>
      <c r="F179" s="874">
        <f t="shared" si="18"/>
        <v>5777.1</v>
      </c>
      <c r="G179" s="1085">
        <v>0</v>
      </c>
      <c r="H179" s="1085">
        <v>5777.1</v>
      </c>
      <c r="I179" s="874">
        <f t="shared" si="19"/>
        <v>0</v>
      </c>
      <c r="J179" s="1085">
        <v>0</v>
      </c>
      <c r="K179" s="1085">
        <v>0</v>
      </c>
      <c r="L179" s="876">
        <f>IF(I179=0,0,I179/F179*100)</f>
        <v>0</v>
      </c>
      <c r="M179" s="877">
        <f>IF(J179=0,0,J179/G179*100)</f>
        <v>0</v>
      </c>
      <c r="N179" s="877">
        <f>IF(K179=0,0,K179/H179*100)</f>
        <v>0</v>
      </c>
      <c r="O179" s="1214" t="s">
        <v>1302</v>
      </c>
      <c r="P179" s="1214" t="s">
        <v>1266</v>
      </c>
      <c r="Q179" s="1065">
        <f>C179-F179</f>
        <v>0</v>
      </c>
      <c r="R179" s="1065">
        <f t="shared" si="25"/>
        <v>0</v>
      </c>
      <c r="S179" s="1065">
        <f t="shared" si="25"/>
        <v>0</v>
      </c>
      <c r="T179" s="1099" t="s">
        <v>872</v>
      </c>
      <c r="U179" s="1100">
        <v>1130490420</v>
      </c>
      <c r="V179" s="1099">
        <v>414</v>
      </c>
      <c r="W179" s="1099">
        <v>14007</v>
      </c>
      <c r="X179" s="1216"/>
    </row>
    <row r="180" spans="1:24" s="736" customFormat="1" ht="46.5" hidden="1">
      <c r="A180" s="1267" t="s">
        <v>935</v>
      </c>
      <c r="B180" s="955" t="s">
        <v>763</v>
      </c>
      <c r="C180" s="871">
        <f t="shared" si="17"/>
        <v>32800</v>
      </c>
      <c r="D180" s="1249">
        <v>30832</v>
      </c>
      <c r="E180" s="1249">
        <v>1968</v>
      </c>
      <c r="F180" s="874">
        <f t="shared" si="18"/>
        <v>32800</v>
      </c>
      <c r="G180" s="1085">
        <v>30832</v>
      </c>
      <c r="H180" s="1085">
        <v>1968</v>
      </c>
      <c r="I180" s="2450">
        <f>SUM(J180:K182)</f>
        <v>0</v>
      </c>
      <c r="J180" s="2477">
        <v>0</v>
      </c>
      <c r="K180" s="2477">
        <v>0</v>
      </c>
      <c r="L180" s="2446">
        <f>IF(I180=0,0,I180/F180:F182*100)</f>
        <v>0</v>
      </c>
      <c r="M180" s="2415">
        <f>IF(J180=0,0,J180/G180:G182*100)</f>
        <v>0</v>
      </c>
      <c r="N180" s="2415">
        <f>IF(K180=0,0,K180/H180:H182*100)</f>
        <v>0</v>
      </c>
      <c r="O180" s="1214" t="s">
        <v>1267</v>
      </c>
      <c r="P180" s="1214" t="s">
        <v>1219</v>
      </c>
      <c r="Q180" s="1065">
        <f t="shared" si="25"/>
        <v>0</v>
      </c>
      <c r="R180" s="1065">
        <f t="shared" si="25"/>
        <v>0</v>
      </c>
      <c r="S180" s="1065">
        <f t="shared" si="25"/>
        <v>0</v>
      </c>
      <c r="T180" s="2409" t="s">
        <v>872</v>
      </c>
      <c r="U180" s="2445" t="s">
        <v>878</v>
      </c>
      <c r="V180" s="2409">
        <v>414</v>
      </c>
      <c r="W180" s="2409" t="s">
        <v>879</v>
      </c>
      <c r="X180" s="2465"/>
    </row>
    <row r="181" spans="1:24" s="736" customFormat="1" ht="46.5" hidden="1">
      <c r="A181" s="895">
        <v>117</v>
      </c>
      <c r="B181" s="955" t="s">
        <v>765</v>
      </c>
      <c r="C181" s="871">
        <f t="shared" si="17"/>
        <v>1200</v>
      </c>
      <c r="D181" s="1249">
        <v>1128</v>
      </c>
      <c r="E181" s="1249">
        <v>72</v>
      </c>
      <c r="F181" s="874">
        <f t="shared" si="18"/>
        <v>1200</v>
      </c>
      <c r="G181" s="1085">
        <v>1128</v>
      </c>
      <c r="H181" s="1085">
        <v>72</v>
      </c>
      <c r="I181" s="2457"/>
      <c r="J181" s="2478"/>
      <c r="K181" s="2478"/>
      <c r="L181" s="2447"/>
      <c r="M181" s="2416"/>
      <c r="N181" s="2416"/>
      <c r="O181" s="1214" t="s">
        <v>1192</v>
      </c>
      <c r="P181" s="1214" t="s">
        <v>1219</v>
      </c>
      <c r="Q181" s="1065">
        <f t="shared" si="25"/>
        <v>0</v>
      </c>
      <c r="R181" s="1065">
        <f t="shared" si="25"/>
        <v>0</v>
      </c>
      <c r="S181" s="1065">
        <f t="shared" si="25"/>
        <v>0</v>
      </c>
      <c r="T181" s="2409"/>
      <c r="U181" s="2445"/>
      <c r="V181" s="2409"/>
      <c r="W181" s="2409"/>
      <c r="X181" s="2465"/>
    </row>
    <row r="182" spans="1:24" s="736" customFormat="1" ht="46.5" hidden="1">
      <c r="A182" s="895">
        <v>118</v>
      </c>
      <c r="B182" s="955" t="s">
        <v>766</v>
      </c>
      <c r="C182" s="871">
        <f t="shared" si="17"/>
        <v>1500</v>
      </c>
      <c r="D182" s="1249">
        <v>1410</v>
      </c>
      <c r="E182" s="1249">
        <v>90</v>
      </c>
      <c r="F182" s="874">
        <f t="shared" si="18"/>
        <v>1500</v>
      </c>
      <c r="G182" s="1085">
        <v>1410</v>
      </c>
      <c r="H182" s="1085">
        <v>90</v>
      </c>
      <c r="I182" s="2451"/>
      <c r="J182" s="2479"/>
      <c r="K182" s="2479"/>
      <c r="L182" s="2448"/>
      <c r="M182" s="2417"/>
      <c r="N182" s="2417"/>
      <c r="O182" s="1214" t="s">
        <v>1267</v>
      </c>
      <c r="P182" s="1214" t="s">
        <v>1219</v>
      </c>
      <c r="Q182" s="1065">
        <f t="shared" si="25"/>
        <v>0</v>
      </c>
      <c r="R182" s="1065">
        <f t="shared" si="25"/>
        <v>0</v>
      </c>
      <c r="S182" s="1065">
        <f t="shared" si="25"/>
        <v>0</v>
      </c>
      <c r="T182" s="2409"/>
      <c r="U182" s="2445"/>
      <c r="V182" s="2409"/>
      <c r="W182" s="2409"/>
      <c r="X182" s="2465"/>
    </row>
    <row r="183" spans="1:24" s="736" customFormat="1" ht="108.75" hidden="1" customHeight="1">
      <c r="A183" s="1267" t="s">
        <v>104</v>
      </c>
      <c r="B183" s="900" t="s">
        <v>463</v>
      </c>
      <c r="C183" s="871">
        <f t="shared" si="17"/>
        <v>19846.5</v>
      </c>
      <c r="D183" s="972">
        <f>18651.8+3.79</f>
        <v>18655.599999999999</v>
      </c>
      <c r="E183" s="972">
        <f>1190.7+0.2</f>
        <v>1190.9000000000001</v>
      </c>
      <c r="F183" s="874">
        <f t="shared" si="18"/>
        <v>19842.5</v>
      </c>
      <c r="G183" s="879">
        <v>18651.8</v>
      </c>
      <c r="H183" s="879">
        <v>1190.7</v>
      </c>
      <c r="I183" s="874">
        <f t="shared" ref="I183:I218" si="26">SUM(J183:K183)</f>
        <v>30</v>
      </c>
      <c r="J183" s="1083">
        <v>28.2</v>
      </c>
      <c r="K183" s="1083">
        <v>1.8</v>
      </c>
      <c r="L183" s="876">
        <f t="shared" ref="L183:N221" si="27">IF(I183=0,0,I183/F183*100)</f>
        <v>0.2</v>
      </c>
      <c r="M183" s="877">
        <f t="shared" si="27"/>
        <v>0.2</v>
      </c>
      <c r="N183" s="877">
        <f t="shared" si="27"/>
        <v>0.2</v>
      </c>
      <c r="O183" s="1214" t="s">
        <v>1303</v>
      </c>
      <c r="P183" s="1214" t="s">
        <v>1268</v>
      </c>
      <c r="Q183" s="1065">
        <f t="shared" si="25"/>
        <v>4</v>
      </c>
      <c r="R183" s="1065">
        <f t="shared" si="25"/>
        <v>3.8</v>
      </c>
      <c r="S183" s="1065">
        <f t="shared" si="25"/>
        <v>0.2</v>
      </c>
      <c r="T183" s="1099" t="s">
        <v>923</v>
      </c>
      <c r="U183" s="1100" t="s">
        <v>924</v>
      </c>
      <c r="V183" s="1099">
        <v>414</v>
      </c>
      <c r="W183" s="1099" t="s">
        <v>922</v>
      </c>
      <c r="X183" s="1216"/>
    </row>
    <row r="184" spans="1:24" s="736" customFormat="1" ht="162.75" hidden="1">
      <c r="A184" s="1267" t="s">
        <v>1312</v>
      </c>
      <c r="B184" s="900" t="s">
        <v>592</v>
      </c>
      <c r="C184" s="871">
        <f t="shared" si="17"/>
        <v>28317.1</v>
      </c>
      <c r="D184" s="972">
        <f>11848.8+14769.21</f>
        <v>26618</v>
      </c>
      <c r="E184" s="972">
        <f>756.4+942.7</f>
        <v>1699.1</v>
      </c>
      <c r="F184" s="874">
        <f t="shared" si="18"/>
        <v>12605.2</v>
      </c>
      <c r="G184" s="879">
        <v>11848.8</v>
      </c>
      <c r="H184" s="879">
        <v>756.4</v>
      </c>
      <c r="I184" s="874">
        <f t="shared" si="26"/>
        <v>0</v>
      </c>
      <c r="J184" s="1083">
        <v>0</v>
      </c>
      <c r="K184" s="1083">
        <v>0</v>
      </c>
      <c r="L184" s="876">
        <f t="shared" si="27"/>
        <v>0</v>
      </c>
      <c r="M184" s="877">
        <f t="shared" si="27"/>
        <v>0</v>
      </c>
      <c r="N184" s="877">
        <f t="shared" si="27"/>
        <v>0</v>
      </c>
      <c r="O184" s="1214" t="s">
        <v>1192</v>
      </c>
      <c r="P184" s="1214" t="s">
        <v>1253</v>
      </c>
      <c r="Q184" s="1065">
        <f t="shared" si="25"/>
        <v>15711.9</v>
      </c>
      <c r="R184" s="1065">
        <f t="shared" si="25"/>
        <v>14769.2</v>
      </c>
      <c r="S184" s="1065">
        <f t="shared" si="25"/>
        <v>942.7</v>
      </c>
      <c r="T184" s="1099" t="s">
        <v>923</v>
      </c>
      <c r="U184" s="1100" t="s">
        <v>925</v>
      </c>
      <c r="V184" s="1099">
        <v>414</v>
      </c>
      <c r="W184" s="1099" t="s">
        <v>922</v>
      </c>
      <c r="X184" s="1216"/>
    </row>
    <row r="185" spans="1:24" s="736" customFormat="1" ht="69.75" hidden="1">
      <c r="A185" s="1267" t="s">
        <v>1065</v>
      </c>
      <c r="B185" s="900" t="s">
        <v>776</v>
      </c>
      <c r="C185" s="871">
        <f t="shared" si="17"/>
        <v>29452.3</v>
      </c>
      <c r="D185" s="972">
        <v>27685.1</v>
      </c>
      <c r="E185" s="972">
        <v>1767.2</v>
      </c>
      <c r="F185" s="874">
        <f t="shared" si="18"/>
        <v>29452.3</v>
      </c>
      <c r="G185" s="879">
        <v>27685.1</v>
      </c>
      <c r="H185" s="879">
        <v>1767.2</v>
      </c>
      <c r="I185" s="874">
        <f t="shared" si="26"/>
        <v>0</v>
      </c>
      <c r="J185" s="1083">
        <v>0</v>
      </c>
      <c r="K185" s="1083">
        <v>0</v>
      </c>
      <c r="L185" s="876">
        <f t="shared" si="27"/>
        <v>0</v>
      </c>
      <c r="M185" s="877">
        <f t="shared" si="27"/>
        <v>0</v>
      </c>
      <c r="N185" s="877">
        <f t="shared" si="27"/>
        <v>0</v>
      </c>
      <c r="O185" s="1214" t="s">
        <v>1192</v>
      </c>
      <c r="P185" s="1214" t="s">
        <v>1269</v>
      </c>
      <c r="Q185" s="1065">
        <f t="shared" si="25"/>
        <v>0</v>
      </c>
      <c r="R185" s="1065">
        <f t="shared" si="25"/>
        <v>0</v>
      </c>
      <c r="S185" s="1065">
        <f t="shared" si="25"/>
        <v>0</v>
      </c>
      <c r="T185" s="1099" t="s">
        <v>920</v>
      </c>
      <c r="U185" s="1100" t="s">
        <v>921</v>
      </c>
      <c r="V185" s="1099">
        <v>414</v>
      </c>
      <c r="W185" s="1099" t="s">
        <v>922</v>
      </c>
      <c r="X185" s="1216"/>
    </row>
    <row r="186" spans="1:24" s="736" customFormat="1" ht="78.75" hidden="1">
      <c r="A186" s="2442" t="s">
        <v>855</v>
      </c>
      <c r="B186" s="901" t="s">
        <v>638</v>
      </c>
      <c r="C186" s="871">
        <f t="shared" si="17"/>
        <v>15520</v>
      </c>
      <c r="D186" s="972">
        <v>0</v>
      </c>
      <c r="E186" s="972">
        <v>15520</v>
      </c>
      <c r="F186" s="874">
        <f t="shared" si="18"/>
        <v>15520</v>
      </c>
      <c r="G186" s="879">
        <v>0</v>
      </c>
      <c r="H186" s="879">
        <v>15520</v>
      </c>
      <c r="I186" s="874">
        <f t="shared" si="26"/>
        <v>0</v>
      </c>
      <c r="J186" s="1083">
        <v>0</v>
      </c>
      <c r="K186" s="1083">
        <v>0</v>
      </c>
      <c r="L186" s="876">
        <f t="shared" si="27"/>
        <v>0</v>
      </c>
      <c r="M186" s="877">
        <f t="shared" si="27"/>
        <v>0</v>
      </c>
      <c r="N186" s="877">
        <f t="shared" si="27"/>
        <v>0</v>
      </c>
      <c r="O186" s="1214" t="s">
        <v>1304</v>
      </c>
      <c r="P186" s="1214" t="s">
        <v>1270</v>
      </c>
      <c r="Q186" s="1065">
        <f t="shared" si="25"/>
        <v>0</v>
      </c>
      <c r="R186" s="1065">
        <f t="shared" si="25"/>
        <v>0</v>
      </c>
      <c r="S186" s="1065">
        <f t="shared" si="25"/>
        <v>0</v>
      </c>
      <c r="T186" s="1099" t="s">
        <v>928</v>
      </c>
      <c r="U186" s="1100" t="s">
        <v>929</v>
      </c>
      <c r="V186" s="1099">
        <v>414</v>
      </c>
      <c r="W186" s="1099">
        <v>14003</v>
      </c>
      <c r="X186" s="1216"/>
    </row>
    <row r="187" spans="1:24" s="736" customFormat="1" ht="67.5" hidden="1" customHeight="1">
      <c r="A187" s="2442"/>
      <c r="B187" s="990" t="s">
        <v>694</v>
      </c>
      <c r="C187" s="871">
        <f t="shared" si="17"/>
        <v>251200</v>
      </c>
      <c r="D187" s="972">
        <v>236128</v>
      </c>
      <c r="E187" s="972">
        <v>15072</v>
      </c>
      <c r="F187" s="874">
        <f t="shared" si="18"/>
        <v>251200</v>
      </c>
      <c r="G187" s="879">
        <v>236128</v>
      </c>
      <c r="H187" s="879">
        <v>15072</v>
      </c>
      <c r="I187" s="874">
        <f t="shared" si="26"/>
        <v>0</v>
      </c>
      <c r="J187" s="1083">
        <v>0</v>
      </c>
      <c r="K187" s="1083">
        <v>0</v>
      </c>
      <c r="L187" s="876">
        <f t="shared" si="27"/>
        <v>0</v>
      </c>
      <c r="M187" s="877">
        <f t="shared" si="27"/>
        <v>0</v>
      </c>
      <c r="N187" s="877">
        <f t="shared" si="27"/>
        <v>0</v>
      </c>
      <c r="O187" s="1214" t="s">
        <v>1192</v>
      </c>
      <c r="P187" s="1214" t="s">
        <v>1271</v>
      </c>
      <c r="Q187" s="1065">
        <f t="shared" si="25"/>
        <v>0</v>
      </c>
      <c r="R187" s="1065">
        <f t="shared" si="25"/>
        <v>0</v>
      </c>
      <c r="S187" s="1065">
        <f t="shared" si="25"/>
        <v>0</v>
      </c>
      <c r="T187" s="1099" t="s">
        <v>928</v>
      </c>
      <c r="U187" s="1100" t="s">
        <v>931</v>
      </c>
      <c r="V187" s="1099">
        <v>414</v>
      </c>
      <c r="W187" s="1099" t="s">
        <v>930</v>
      </c>
      <c r="X187" s="1216"/>
    </row>
    <row r="188" spans="1:24" s="736" customFormat="1" ht="78.75" hidden="1">
      <c r="A188" s="2442" t="s">
        <v>856</v>
      </c>
      <c r="B188" s="900" t="s">
        <v>646</v>
      </c>
      <c r="C188" s="871">
        <f t="shared" si="17"/>
        <v>7500</v>
      </c>
      <c r="D188" s="1249">
        <v>0</v>
      </c>
      <c r="E188" s="1249">
        <v>7500</v>
      </c>
      <c r="F188" s="874">
        <f t="shared" si="18"/>
        <v>7500</v>
      </c>
      <c r="G188" s="1085">
        <v>0</v>
      </c>
      <c r="H188" s="1085">
        <v>7500</v>
      </c>
      <c r="I188" s="874">
        <f t="shared" si="26"/>
        <v>0</v>
      </c>
      <c r="J188" s="1085">
        <v>0</v>
      </c>
      <c r="K188" s="1085">
        <v>0</v>
      </c>
      <c r="L188" s="876">
        <f t="shared" si="27"/>
        <v>0</v>
      </c>
      <c r="M188" s="877">
        <f t="shared" si="27"/>
        <v>0</v>
      </c>
      <c r="N188" s="877">
        <f t="shared" si="27"/>
        <v>0</v>
      </c>
      <c r="O188" s="1214" t="s">
        <v>1272</v>
      </c>
      <c r="P188" s="1214" t="s">
        <v>1273</v>
      </c>
      <c r="Q188" s="1065">
        <f t="shared" si="25"/>
        <v>0</v>
      </c>
      <c r="R188" s="1065">
        <f t="shared" si="25"/>
        <v>0</v>
      </c>
      <c r="S188" s="1065">
        <f t="shared" si="25"/>
        <v>0</v>
      </c>
      <c r="T188" s="1099" t="s">
        <v>928</v>
      </c>
      <c r="U188" s="1100" t="s">
        <v>929</v>
      </c>
      <c r="V188" s="1099">
        <v>414</v>
      </c>
      <c r="W188" s="1099">
        <v>14036</v>
      </c>
      <c r="X188" s="1216"/>
    </row>
    <row r="189" spans="1:24" s="736" customFormat="1" ht="52.5" hidden="1">
      <c r="A189" s="2442"/>
      <c r="B189" s="990" t="s">
        <v>695</v>
      </c>
      <c r="C189" s="871">
        <f t="shared" si="17"/>
        <v>142468</v>
      </c>
      <c r="D189" s="972">
        <v>133919.9</v>
      </c>
      <c r="E189" s="972">
        <v>8548.1</v>
      </c>
      <c r="F189" s="874">
        <f t="shared" si="18"/>
        <v>142468</v>
      </c>
      <c r="G189" s="879">
        <v>133919.9</v>
      </c>
      <c r="H189" s="879">
        <v>8548.1</v>
      </c>
      <c r="I189" s="874">
        <f t="shared" si="26"/>
        <v>0</v>
      </c>
      <c r="J189" s="1083">
        <v>0</v>
      </c>
      <c r="K189" s="1083">
        <v>0</v>
      </c>
      <c r="L189" s="876">
        <f t="shared" si="27"/>
        <v>0</v>
      </c>
      <c r="M189" s="877">
        <f t="shared" si="27"/>
        <v>0</v>
      </c>
      <c r="N189" s="877">
        <f t="shared" si="27"/>
        <v>0</v>
      </c>
      <c r="O189" s="1214" t="s">
        <v>1192</v>
      </c>
      <c r="P189" s="1214" t="s">
        <v>1274</v>
      </c>
      <c r="Q189" s="1065">
        <f t="shared" si="25"/>
        <v>0</v>
      </c>
      <c r="R189" s="1065">
        <f t="shared" si="25"/>
        <v>0</v>
      </c>
      <c r="S189" s="1065">
        <f t="shared" si="25"/>
        <v>0</v>
      </c>
      <c r="T189" s="1099" t="s">
        <v>928</v>
      </c>
      <c r="U189" s="1100" t="s">
        <v>1030</v>
      </c>
      <c r="V189" s="1099">
        <v>414</v>
      </c>
      <c r="W189" s="1099" t="s">
        <v>930</v>
      </c>
      <c r="X189" s="1216"/>
    </row>
    <row r="190" spans="1:24" s="736" customFormat="1" ht="93" hidden="1">
      <c r="A190" s="2442" t="s">
        <v>857</v>
      </c>
      <c r="B190" s="1078" t="s">
        <v>642</v>
      </c>
      <c r="C190" s="871">
        <f t="shared" si="17"/>
        <v>6308.4</v>
      </c>
      <c r="D190" s="972">
        <v>0</v>
      </c>
      <c r="E190" s="972">
        <v>6308.4</v>
      </c>
      <c r="F190" s="874">
        <f t="shared" si="18"/>
        <v>6308.4</v>
      </c>
      <c r="G190" s="879">
        <v>0</v>
      </c>
      <c r="H190" s="879">
        <v>6308.4</v>
      </c>
      <c r="I190" s="874">
        <f t="shared" si="26"/>
        <v>0</v>
      </c>
      <c r="J190" s="1083">
        <v>0</v>
      </c>
      <c r="K190" s="1083">
        <v>0</v>
      </c>
      <c r="L190" s="876">
        <f t="shared" si="27"/>
        <v>0</v>
      </c>
      <c r="M190" s="877">
        <f t="shared" si="27"/>
        <v>0</v>
      </c>
      <c r="N190" s="877">
        <f t="shared" si="27"/>
        <v>0</v>
      </c>
      <c r="O190" s="1214" t="s">
        <v>1305</v>
      </c>
      <c r="P190" s="1214" t="s">
        <v>1275</v>
      </c>
      <c r="Q190" s="1065">
        <f t="shared" si="25"/>
        <v>0</v>
      </c>
      <c r="R190" s="1065">
        <f t="shared" si="25"/>
        <v>0</v>
      </c>
      <c r="S190" s="1065">
        <f t="shared" si="25"/>
        <v>0</v>
      </c>
      <c r="T190" s="1099" t="s">
        <v>945</v>
      </c>
      <c r="U190" s="1100" t="s">
        <v>946</v>
      </c>
      <c r="V190" s="1099">
        <v>414</v>
      </c>
      <c r="W190" s="1099">
        <v>14001</v>
      </c>
      <c r="X190" s="1216"/>
    </row>
    <row r="191" spans="1:24" s="736" customFormat="1" ht="52.5" hidden="1">
      <c r="A191" s="2442"/>
      <c r="B191" s="990" t="s">
        <v>698</v>
      </c>
      <c r="C191" s="871">
        <f t="shared" ref="C191:C218" si="28">SUM(D191:E191)</f>
        <v>96270.7</v>
      </c>
      <c r="D191" s="972">
        <v>90460.9</v>
      </c>
      <c r="E191" s="1258">
        <v>5809.75</v>
      </c>
      <c r="F191" s="874">
        <f t="shared" ref="F191:F218" si="29">SUM(G191:H191)</f>
        <v>96270.7</v>
      </c>
      <c r="G191" s="879">
        <v>90460.9</v>
      </c>
      <c r="H191" s="885">
        <v>5809.75</v>
      </c>
      <c r="I191" s="874">
        <f t="shared" si="26"/>
        <v>0</v>
      </c>
      <c r="J191" s="1083">
        <v>0</v>
      </c>
      <c r="K191" s="1083">
        <v>0</v>
      </c>
      <c r="L191" s="876">
        <f t="shared" si="27"/>
        <v>0</v>
      </c>
      <c r="M191" s="877">
        <f t="shared" si="27"/>
        <v>0</v>
      </c>
      <c r="N191" s="877">
        <f t="shared" si="27"/>
        <v>0</v>
      </c>
      <c r="O191" s="1214" t="s">
        <v>1192</v>
      </c>
      <c r="P191" s="1214" t="s">
        <v>1276</v>
      </c>
      <c r="Q191" s="1065">
        <f t="shared" si="25"/>
        <v>0</v>
      </c>
      <c r="R191" s="1065">
        <f t="shared" si="25"/>
        <v>0</v>
      </c>
      <c r="S191" s="1065">
        <f t="shared" si="25"/>
        <v>0</v>
      </c>
      <c r="T191" s="1130" t="s">
        <v>936</v>
      </c>
      <c r="U191" s="1100" t="s">
        <v>940</v>
      </c>
      <c r="V191" s="1099">
        <v>414</v>
      </c>
      <c r="W191" s="1099" t="s">
        <v>939</v>
      </c>
      <c r="X191" s="1216"/>
    </row>
    <row r="192" spans="1:24" s="736" customFormat="1" ht="103.5" hidden="1" customHeight="1">
      <c r="A192" s="1267" t="s">
        <v>858</v>
      </c>
      <c r="B192" s="990" t="s">
        <v>697</v>
      </c>
      <c r="C192" s="871">
        <f t="shared" si="28"/>
        <v>150000</v>
      </c>
      <c r="D192" s="972">
        <v>140955</v>
      </c>
      <c r="E192" s="972">
        <v>9045</v>
      </c>
      <c r="F192" s="874">
        <f t="shared" si="29"/>
        <v>150000</v>
      </c>
      <c r="G192" s="879">
        <v>140955</v>
      </c>
      <c r="H192" s="879">
        <v>9045</v>
      </c>
      <c r="I192" s="874">
        <f t="shared" si="26"/>
        <v>25173.1</v>
      </c>
      <c r="J192" s="1083">
        <v>23654.799999999999</v>
      </c>
      <c r="K192" s="1083">
        <v>1518.3</v>
      </c>
      <c r="L192" s="876">
        <f t="shared" si="27"/>
        <v>16.8</v>
      </c>
      <c r="M192" s="877">
        <f t="shared" si="27"/>
        <v>16.8</v>
      </c>
      <c r="N192" s="877">
        <f t="shared" si="27"/>
        <v>16.8</v>
      </c>
      <c r="O192" s="1214" t="s">
        <v>1306</v>
      </c>
      <c r="P192" s="1214" t="s">
        <v>1277</v>
      </c>
      <c r="Q192" s="1065">
        <f t="shared" ref="Q192:S200" si="30">C192-F192</f>
        <v>0</v>
      </c>
      <c r="R192" s="1065">
        <f t="shared" si="30"/>
        <v>0</v>
      </c>
      <c r="S192" s="1065">
        <f t="shared" si="30"/>
        <v>0</v>
      </c>
      <c r="T192" s="1130" t="s">
        <v>936</v>
      </c>
      <c r="U192" s="1100" t="s">
        <v>941</v>
      </c>
      <c r="V192" s="1099">
        <v>414</v>
      </c>
      <c r="W192" s="1099" t="s">
        <v>939</v>
      </c>
      <c r="X192" s="1216"/>
    </row>
    <row r="193" spans="1:25" ht="105" hidden="1">
      <c r="A193" s="1267" t="s">
        <v>859</v>
      </c>
      <c r="B193" s="990" t="s">
        <v>942</v>
      </c>
      <c r="C193" s="871">
        <f t="shared" si="28"/>
        <v>34500</v>
      </c>
      <c r="D193" s="972">
        <v>32419.7</v>
      </c>
      <c r="E193" s="972">
        <v>2080.3000000000002</v>
      </c>
      <c r="F193" s="874">
        <f t="shared" si="29"/>
        <v>34500</v>
      </c>
      <c r="G193" s="879">
        <v>32419.7</v>
      </c>
      <c r="H193" s="879">
        <v>2080.3000000000002</v>
      </c>
      <c r="I193" s="874">
        <f t="shared" si="26"/>
        <v>0</v>
      </c>
      <c r="J193" s="1083">
        <v>0</v>
      </c>
      <c r="K193" s="1083">
        <v>0</v>
      </c>
      <c r="L193" s="876">
        <f t="shared" si="27"/>
        <v>0</v>
      </c>
      <c r="M193" s="877">
        <f t="shared" si="27"/>
        <v>0</v>
      </c>
      <c r="N193" s="877">
        <f t="shared" si="27"/>
        <v>0</v>
      </c>
      <c r="O193" s="1214" t="s">
        <v>1192</v>
      </c>
      <c r="P193" s="1214" t="s">
        <v>1278</v>
      </c>
      <c r="Q193" s="1065">
        <f t="shared" si="30"/>
        <v>0</v>
      </c>
      <c r="R193" s="1065">
        <f t="shared" si="30"/>
        <v>0</v>
      </c>
      <c r="S193" s="1065">
        <f t="shared" si="30"/>
        <v>0</v>
      </c>
      <c r="T193" s="1099" t="s">
        <v>936</v>
      </c>
      <c r="U193" s="1100" t="s">
        <v>943</v>
      </c>
      <c r="V193" s="1099">
        <v>414</v>
      </c>
      <c r="W193" s="1099" t="s">
        <v>939</v>
      </c>
    </row>
    <row r="194" spans="1:25" ht="78.75" hidden="1">
      <c r="A194" s="1267" t="s">
        <v>917</v>
      </c>
      <c r="B194" s="901" t="s">
        <v>462</v>
      </c>
      <c r="C194" s="871">
        <f t="shared" si="28"/>
        <v>16153.6</v>
      </c>
      <c r="D194" s="972">
        <f>13560+1620.2</f>
        <v>15180.2</v>
      </c>
      <c r="E194" s="972">
        <f>869.4+104</f>
        <v>973.4</v>
      </c>
      <c r="F194" s="874">
        <f t="shared" si="29"/>
        <v>14429.4</v>
      </c>
      <c r="G194" s="879">
        <v>13560</v>
      </c>
      <c r="H194" s="879">
        <v>869.4</v>
      </c>
      <c r="I194" s="874">
        <f t="shared" si="26"/>
        <v>1014.3</v>
      </c>
      <c r="J194" s="1083">
        <v>953.1</v>
      </c>
      <c r="K194" s="1083">
        <v>61.2</v>
      </c>
      <c r="L194" s="876">
        <f t="shared" si="27"/>
        <v>7</v>
      </c>
      <c r="M194" s="877">
        <f t="shared" si="27"/>
        <v>7</v>
      </c>
      <c r="N194" s="877">
        <f t="shared" si="27"/>
        <v>7</v>
      </c>
      <c r="O194" s="1214" t="s">
        <v>1192</v>
      </c>
      <c r="P194" s="1214" t="s">
        <v>1279</v>
      </c>
      <c r="Q194" s="1065">
        <f t="shared" si="30"/>
        <v>1724.2</v>
      </c>
      <c r="R194" s="1065">
        <f t="shared" si="30"/>
        <v>1620.2</v>
      </c>
      <c r="S194" s="1065">
        <f t="shared" si="30"/>
        <v>104</v>
      </c>
      <c r="T194" s="1099" t="s">
        <v>936</v>
      </c>
      <c r="U194" s="1100" t="s">
        <v>938</v>
      </c>
      <c r="V194" s="1099">
        <v>414</v>
      </c>
      <c r="W194" s="1099" t="s">
        <v>939</v>
      </c>
    </row>
    <row r="195" spans="1:25" s="515" customFormat="1" ht="116.25" hidden="1">
      <c r="A195" s="2442" t="s">
        <v>918</v>
      </c>
      <c r="B195" s="900" t="s">
        <v>700</v>
      </c>
      <c r="C195" s="871">
        <f t="shared" si="28"/>
        <v>18000</v>
      </c>
      <c r="D195" s="972">
        <v>0</v>
      </c>
      <c r="E195" s="972">
        <v>18000</v>
      </c>
      <c r="F195" s="874">
        <f t="shared" si="29"/>
        <v>18000</v>
      </c>
      <c r="G195" s="879">
        <v>0</v>
      </c>
      <c r="H195" s="879">
        <v>18000</v>
      </c>
      <c r="I195" s="874">
        <f t="shared" si="26"/>
        <v>0</v>
      </c>
      <c r="J195" s="1083">
        <v>0</v>
      </c>
      <c r="K195" s="1083">
        <v>0</v>
      </c>
      <c r="L195" s="876">
        <f t="shared" si="27"/>
        <v>0</v>
      </c>
      <c r="M195" s="877">
        <f t="shared" si="27"/>
        <v>0</v>
      </c>
      <c r="N195" s="877">
        <f t="shared" si="27"/>
        <v>0</v>
      </c>
      <c r="O195" s="1214" t="s">
        <v>1307</v>
      </c>
      <c r="P195" s="1214" t="s">
        <v>1280</v>
      </c>
      <c r="Q195" s="1065">
        <f t="shared" si="30"/>
        <v>0</v>
      </c>
      <c r="R195" s="1065">
        <f t="shared" si="30"/>
        <v>0</v>
      </c>
      <c r="S195" s="1065">
        <f t="shared" si="30"/>
        <v>0</v>
      </c>
      <c r="T195" s="1099" t="s">
        <v>949</v>
      </c>
      <c r="U195" s="1100" t="s">
        <v>950</v>
      </c>
      <c r="V195" s="1099">
        <v>414</v>
      </c>
      <c r="W195" s="1099">
        <v>14052</v>
      </c>
      <c r="X195" s="1220"/>
      <c r="Y195" s="783"/>
    </row>
    <row r="196" spans="1:25" s="515" customFormat="1" ht="52.5" hidden="1">
      <c r="A196" s="2442"/>
      <c r="B196" s="900" t="s">
        <v>699</v>
      </c>
      <c r="C196" s="871">
        <f t="shared" si="28"/>
        <v>151300</v>
      </c>
      <c r="D196" s="972">
        <v>142200</v>
      </c>
      <c r="E196" s="972">
        <v>9100</v>
      </c>
      <c r="F196" s="874">
        <f t="shared" si="29"/>
        <v>151300</v>
      </c>
      <c r="G196" s="879">
        <v>142200</v>
      </c>
      <c r="H196" s="879">
        <v>9100</v>
      </c>
      <c r="I196" s="874">
        <f t="shared" si="26"/>
        <v>0</v>
      </c>
      <c r="J196" s="1083">
        <v>0</v>
      </c>
      <c r="K196" s="1083">
        <v>0</v>
      </c>
      <c r="L196" s="876">
        <f t="shared" si="27"/>
        <v>0</v>
      </c>
      <c r="M196" s="877">
        <f t="shared" si="27"/>
        <v>0</v>
      </c>
      <c r="N196" s="877">
        <f t="shared" si="27"/>
        <v>0</v>
      </c>
      <c r="O196" s="1214" t="s">
        <v>1192</v>
      </c>
      <c r="P196" s="1214" t="s">
        <v>1219</v>
      </c>
      <c r="Q196" s="1065">
        <f t="shared" si="30"/>
        <v>0</v>
      </c>
      <c r="R196" s="1065">
        <f t="shared" si="30"/>
        <v>0</v>
      </c>
      <c r="S196" s="1065">
        <f t="shared" si="30"/>
        <v>0</v>
      </c>
      <c r="T196" s="1099" t="s">
        <v>949</v>
      </c>
      <c r="U196" s="1100" t="s">
        <v>952</v>
      </c>
      <c r="V196" s="1099">
        <v>414</v>
      </c>
      <c r="W196" s="1099" t="s">
        <v>953</v>
      </c>
      <c r="X196" s="1220"/>
      <c r="Y196" s="783"/>
    </row>
    <row r="197" spans="1:25" ht="52.5" hidden="1">
      <c r="A197" s="1267" t="s">
        <v>1028</v>
      </c>
      <c r="B197" s="900" t="s">
        <v>461</v>
      </c>
      <c r="C197" s="871">
        <f t="shared" si="28"/>
        <v>29999.7</v>
      </c>
      <c r="D197" s="972">
        <f>25201.1+2998.27</f>
        <v>28199.4</v>
      </c>
      <c r="E197" s="972">
        <f>1608.9+191.41</f>
        <v>1800.3</v>
      </c>
      <c r="F197" s="874">
        <f t="shared" si="29"/>
        <v>26810</v>
      </c>
      <c r="G197" s="879">
        <v>25201.1</v>
      </c>
      <c r="H197" s="879">
        <v>1608.9</v>
      </c>
      <c r="I197" s="874">
        <f t="shared" si="26"/>
        <v>158.5</v>
      </c>
      <c r="J197" s="1083">
        <v>149</v>
      </c>
      <c r="K197" s="1083">
        <v>9.5</v>
      </c>
      <c r="L197" s="876">
        <f t="shared" si="27"/>
        <v>0.6</v>
      </c>
      <c r="M197" s="877">
        <f t="shared" si="27"/>
        <v>0.6</v>
      </c>
      <c r="N197" s="877">
        <f t="shared" si="27"/>
        <v>0.6</v>
      </c>
      <c r="O197" s="1214" t="s">
        <v>1192</v>
      </c>
      <c r="P197" s="1214" t="s">
        <v>1281</v>
      </c>
      <c r="Q197" s="1065">
        <f t="shared" si="30"/>
        <v>3189.7</v>
      </c>
      <c r="R197" s="1065">
        <f t="shared" si="30"/>
        <v>2998.3</v>
      </c>
      <c r="S197" s="1065">
        <f t="shared" si="30"/>
        <v>191.4</v>
      </c>
      <c r="T197" s="1099" t="s">
        <v>954</v>
      </c>
      <c r="U197" s="1100" t="s">
        <v>957</v>
      </c>
      <c r="V197" s="1099">
        <v>414</v>
      </c>
      <c r="W197" s="1099" t="s">
        <v>958</v>
      </c>
    </row>
    <row r="198" spans="1:25" s="914" customFormat="1" ht="69.75" hidden="1" customHeight="1">
      <c r="A198" s="2401" t="s">
        <v>456</v>
      </c>
      <c r="B198" s="2401"/>
      <c r="C198" s="917">
        <f t="shared" si="28"/>
        <v>1200166.3999999999</v>
      </c>
      <c r="D198" s="917">
        <f>SUM(D199,D218)</f>
        <v>909500</v>
      </c>
      <c r="E198" s="917">
        <f>SUM(E199,E218)</f>
        <v>290666.40000000002</v>
      </c>
      <c r="F198" s="917">
        <f t="shared" si="29"/>
        <v>1202720.1000000001</v>
      </c>
      <c r="G198" s="917">
        <f>SUM(G199,G218)</f>
        <v>907801.2</v>
      </c>
      <c r="H198" s="917">
        <f>SUM(H199,H218)</f>
        <v>294918.90000000002</v>
      </c>
      <c r="I198" s="917">
        <f t="shared" si="26"/>
        <v>114351</v>
      </c>
      <c r="J198" s="917">
        <f>SUM(J199,J218)</f>
        <v>94218</v>
      </c>
      <c r="K198" s="917">
        <f>SUM(K199,K218)</f>
        <v>20133</v>
      </c>
      <c r="L198" s="918">
        <f t="shared" si="27"/>
        <v>9.5</v>
      </c>
      <c r="M198" s="920">
        <f t="shared" si="27"/>
        <v>10.4</v>
      </c>
      <c r="N198" s="920">
        <f t="shared" si="27"/>
        <v>6.8</v>
      </c>
      <c r="O198" s="1214"/>
      <c r="P198" s="1214" t="s">
        <v>1103</v>
      </c>
      <c r="Q198" s="1065">
        <f t="shared" si="30"/>
        <v>-2553.6999999999998</v>
      </c>
      <c r="R198" s="1065">
        <f>D198-G198</f>
        <v>1698.8</v>
      </c>
      <c r="S198" s="1065">
        <f>E198-H198</f>
        <v>-4252.5</v>
      </c>
      <c r="T198" s="1099"/>
      <c r="U198" s="1100"/>
      <c r="V198" s="1099"/>
      <c r="W198" s="1099"/>
      <c r="X198" s="1216"/>
      <c r="Y198" s="913"/>
    </row>
    <row r="199" spans="1:25" s="914" customFormat="1" ht="120.75" hidden="1" customHeight="1">
      <c r="A199" s="944" t="s">
        <v>6</v>
      </c>
      <c r="B199" s="1234" t="s">
        <v>439</v>
      </c>
      <c r="C199" s="926">
        <f t="shared" si="28"/>
        <v>117500</v>
      </c>
      <c r="D199" s="926">
        <f>SUM(D200,D212,D214,D216)</f>
        <v>0</v>
      </c>
      <c r="E199" s="926">
        <f>SUM(E200,E212,E214,E216)</f>
        <v>117500</v>
      </c>
      <c r="F199" s="926">
        <f>SUM(G199:H199)</f>
        <v>119186</v>
      </c>
      <c r="G199" s="926">
        <f>SUM(G200,G212,G214,G216)</f>
        <v>0</v>
      </c>
      <c r="H199" s="926">
        <f>SUM(H200,H212,H214,H216)</f>
        <v>119186</v>
      </c>
      <c r="I199" s="926">
        <f t="shared" si="26"/>
        <v>0</v>
      </c>
      <c r="J199" s="926">
        <f>SUM(J200,J212,J214,J216)</f>
        <v>0</v>
      </c>
      <c r="K199" s="926">
        <f>SUM(K200,K212,K214,K216)</f>
        <v>0</v>
      </c>
      <c r="L199" s="927">
        <f t="shared" si="27"/>
        <v>0</v>
      </c>
      <c r="M199" s="928">
        <f t="shared" si="27"/>
        <v>0</v>
      </c>
      <c r="N199" s="928">
        <f t="shared" si="27"/>
        <v>0</v>
      </c>
      <c r="O199" s="1214"/>
      <c r="P199" s="1214" t="s">
        <v>1104</v>
      </c>
      <c r="Q199" s="1065">
        <f t="shared" si="30"/>
        <v>-1686</v>
      </c>
      <c r="R199" s="1065">
        <f>D199-G199</f>
        <v>0</v>
      </c>
      <c r="S199" s="1065">
        <f>E199-H199</f>
        <v>-1686</v>
      </c>
      <c r="T199" s="1099"/>
      <c r="U199" s="1100"/>
      <c r="V199" s="1099"/>
      <c r="W199" s="1099"/>
      <c r="X199" s="1216"/>
      <c r="Y199" s="913"/>
    </row>
    <row r="200" spans="1:25" hidden="1">
      <c r="A200" s="1267"/>
      <c r="B200" s="898" t="s">
        <v>283</v>
      </c>
      <c r="C200" s="874">
        <f t="shared" si="28"/>
        <v>112656</v>
      </c>
      <c r="D200" s="875">
        <f>SUM(D201:D211)</f>
        <v>0</v>
      </c>
      <c r="E200" s="875">
        <f>SUM(E201:E211)</f>
        <v>112656</v>
      </c>
      <c r="F200" s="874">
        <f>SUM(G200:H200)</f>
        <v>112656</v>
      </c>
      <c r="G200" s="875">
        <f>SUM(G201:G211)</f>
        <v>0</v>
      </c>
      <c r="H200" s="875">
        <f>SUM(H201:H211)</f>
        <v>112656</v>
      </c>
      <c r="I200" s="874">
        <f t="shared" si="26"/>
        <v>0</v>
      </c>
      <c r="J200" s="875">
        <f>SUM(J201:J211)</f>
        <v>0</v>
      </c>
      <c r="K200" s="875">
        <f>SUM(K201:K211)</f>
        <v>0</v>
      </c>
      <c r="L200" s="876">
        <f t="shared" si="27"/>
        <v>0</v>
      </c>
      <c r="M200" s="877">
        <f t="shared" si="27"/>
        <v>0</v>
      </c>
      <c r="N200" s="877">
        <f t="shared" si="27"/>
        <v>0</v>
      </c>
      <c r="O200" s="1214"/>
      <c r="P200" s="1214" t="s">
        <v>1100</v>
      </c>
      <c r="Q200" s="1065">
        <f t="shared" si="30"/>
        <v>0</v>
      </c>
      <c r="R200" s="1065">
        <f t="shared" si="30"/>
        <v>0</v>
      </c>
      <c r="S200" s="1065">
        <f t="shared" si="30"/>
        <v>0</v>
      </c>
    </row>
    <row r="201" spans="1:25" ht="52.5" hidden="1">
      <c r="A201" s="1267" t="s">
        <v>538</v>
      </c>
      <c r="B201" s="1269" t="s">
        <v>1080</v>
      </c>
      <c r="C201" s="874">
        <f t="shared" si="28"/>
        <v>19450</v>
      </c>
      <c r="D201" s="1085">
        <v>0</v>
      </c>
      <c r="E201" s="1085">
        <v>19450</v>
      </c>
      <c r="F201" s="874">
        <f t="shared" si="29"/>
        <v>19450</v>
      </c>
      <c r="G201" s="1085">
        <v>0</v>
      </c>
      <c r="H201" s="1085">
        <v>19450</v>
      </c>
      <c r="I201" s="1083">
        <f t="shared" si="26"/>
        <v>0</v>
      </c>
      <c r="J201" s="1083">
        <v>0</v>
      </c>
      <c r="K201" s="1083">
        <v>0</v>
      </c>
      <c r="L201" s="877">
        <f t="shared" si="27"/>
        <v>0</v>
      </c>
      <c r="M201" s="877">
        <f t="shared" si="27"/>
        <v>0</v>
      </c>
      <c r="N201" s="877">
        <f t="shared" si="27"/>
        <v>0</v>
      </c>
      <c r="O201" s="1214"/>
      <c r="P201" s="1214" t="s">
        <v>1105</v>
      </c>
      <c r="Q201" s="1065"/>
      <c r="R201" s="1065"/>
      <c r="S201" s="1065"/>
      <c r="T201" s="1099" t="s">
        <v>999</v>
      </c>
      <c r="U201" s="1100">
        <v>1110243180</v>
      </c>
      <c r="V201" s="1099">
        <v>522</v>
      </c>
      <c r="W201" s="1099" t="s">
        <v>1019</v>
      </c>
    </row>
    <row r="202" spans="1:25" ht="78.75" hidden="1">
      <c r="A202" s="1267" t="s">
        <v>539</v>
      </c>
      <c r="B202" s="1269" t="s">
        <v>1081</v>
      </c>
      <c r="C202" s="874">
        <f t="shared" si="28"/>
        <v>3235</v>
      </c>
      <c r="D202" s="1085">
        <v>0</v>
      </c>
      <c r="E202" s="1085">
        <v>3235</v>
      </c>
      <c r="F202" s="874">
        <f t="shared" si="29"/>
        <v>3235</v>
      </c>
      <c r="G202" s="1085">
        <v>0</v>
      </c>
      <c r="H202" s="1085">
        <v>3235</v>
      </c>
      <c r="I202" s="1083">
        <f t="shared" si="26"/>
        <v>0</v>
      </c>
      <c r="J202" s="1083">
        <v>0</v>
      </c>
      <c r="K202" s="1083">
        <v>0</v>
      </c>
      <c r="L202" s="877">
        <f t="shared" si="27"/>
        <v>0</v>
      </c>
      <c r="M202" s="877">
        <f t="shared" si="27"/>
        <v>0</v>
      </c>
      <c r="N202" s="877">
        <f t="shared" si="27"/>
        <v>0</v>
      </c>
      <c r="Q202" s="1065"/>
      <c r="R202" s="1065"/>
      <c r="S202" s="1065"/>
      <c r="T202" s="1099" t="s">
        <v>999</v>
      </c>
      <c r="U202" s="1100">
        <v>1110243180</v>
      </c>
      <c r="V202" s="1099">
        <v>522</v>
      </c>
      <c r="W202" s="1099" t="s">
        <v>1019</v>
      </c>
    </row>
    <row r="203" spans="1:25" ht="52.5" hidden="1">
      <c r="A203" s="1267" t="s">
        <v>19</v>
      </c>
      <c r="B203" s="1269" t="s">
        <v>1082</v>
      </c>
      <c r="C203" s="874">
        <f t="shared" si="28"/>
        <v>4116</v>
      </c>
      <c r="D203" s="1085">
        <v>0</v>
      </c>
      <c r="E203" s="1085">
        <v>4116</v>
      </c>
      <c r="F203" s="874">
        <f t="shared" si="29"/>
        <v>4116</v>
      </c>
      <c r="G203" s="1085">
        <v>0</v>
      </c>
      <c r="H203" s="1085">
        <v>4116</v>
      </c>
      <c r="I203" s="1083">
        <f t="shared" si="26"/>
        <v>0</v>
      </c>
      <c r="J203" s="1083">
        <v>0</v>
      </c>
      <c r="K203" s="1083">
        <v>0</v>
      </c>
      <c r="L203" s="877">
        <f t="shared" si="27"/>
        <v>0</v>
      </c>
      <c r="M203" s="877">
        <f t="shared" si="27"/>
        <v>0</v>
      </c>
      <c r="N203" s="877">
        <f t="shared" si="27"/>
        <v>0</v>
      </c>
      <c r="Q203" s="1065"/>
      <c r="R203" s="1065"/>
      <c r="S203" s="1065"/>
      <c r="T203" s="1099" t="s">
        <v>999</v>
      </c>
      <c r="U203" s="1100">
        <v>1110243180</v>
      </c>
      <c r="V203" s="1099">
        <v>522</v>
      </c>
      <c r="W203" s="1099" t="s">
        <v>1019</v>
      </c>
    </row>
    <row r="204" spans="1:25" ht="78.75" hidden="1">
      <c r="A204" s="1267" t="s">
        <v>20</v>
      </c>
      <c r="B204" s="1269" t="s">
        <v>1083</v>
      </c>
      <c r="C204" s="874">
        <f t="shared" si="28"/>
        <v>10687</v>
      </c>
      <c r="D204" s="1085">
        <v>0</v>
      </c>
      <c r="E204" s="1085">
        <v>10687</v>
      </c>
      <c r="F204" s="874">
        <f t="shared" si="29"/>
        <v>10687</v>
      </c>
      <c r="G204" s="1085">
        <v>0</v>
      </c>
      <c r="H204" s="1085">
        <v>10687</v>
      </c>
      <c r="I204" s="1083">
        <f t="shared" si="26"/>
        <v>0</v>
      </c>
      <c r="J204" s="1083">
        <v>0</v>
      </c>
      <c r="K204" s="1083">
        <v>0</v>
      </c>
      <c r="L204" s="877">
        <f t="shared" si="27"/>
        <v>0</v>
      </c>
      <c r="M204" s="877">
        <f t="shared" si="27"/>
        <v>0</v>
      </c>
      <c r="N204" s="877">
        <f t="shared" si="27"/>
        <v>0</v>
      </c>
      <c r="Q204" s="1065"/>
      <c r="R204" s="1065"/>
      <c r="S204" s="1065"/>
      <c r="T204" s="1099" t="s">
        <v>999</v>
      </c>
      <c r="U204" s="1100">
        <v>1110243180</v>
      </c>
      <c r="V204" s="1099">
        <v>522</v>
      </c>
      <c r="W204" s="1099" t="s">
        <v>1019</v>
      </c>
    </row>
    <row r="205" spans="1:25" ht="78.75" hidden="1">
      <c r="A205" s="1267" t="s">
        <v>467</v>
      </c>
      <c r="B205" s="1269" t="s">
        <v>1084</v>
      </c>
      <c r="C205" s="874">
        <f t="shared" si="28"/>
        <v>3822</v>
      </c>
      <c r="D205" s="1085">
        <v>0</v>
      </c>
      <c r="E205" s="1085">
        <v>3822</v>
      </c>
      <c r="F205" s="874">
        <f t="shared" si="29"/>
        <v>3822</v>
      </c>
      <c r="G205" s="1085">
        <v>0</v>
      </c>
      <c r="H205" s="1085">
        <v>3822</v>
      </c>
      <c r="I205" s="1083">
        <f t="shared" si="26"/>
        <v>0</v>
      </c>
      <c r="J205" s="1083">
        <v>0</v>
      </c>
      <c r="K205" s="1083">
        <v>0</v>
      </c>
      <c r="L205" s="877">
        <f t="shared" si="27"/>
        <v>0</v>
      </c>
      <c r="M205" s="877">
        <f t="shared" si="27"/>
        <v>0</v>
      </c>
      <c r="N205" s="877">
        <f t="shared" si="27"/>
        <v>0</v>
      </c>
      <c r="Q205" s="1065"/>
      <c r="R205" s="1065"/>
      <c r="S205" s="1065"/>
      <c r="T205" s="1099" t="s">
        <v>999</v>
      </c>
      <c r="U205" s="1100">
        <v>1110243180</v>
      </c>
      <c r="V205" s="1099">
        <v>522</v>
      </c>
      <c r="W205" s="1099" t="s">
        <v>1019</v>
      </c>
    </row>
    <row r="206" spans="1:25" ht="78.75" hidden="1">
      <c r="A206" s="1267" t="s">
        <v>468</v>
      </c>
      <c r="B206" s="1269" t="s">
        <v>1085</v>
      </c>
      <c r="C206" s="874">
        <f t="shared" si="28"/>
        <v>1176</v>
      </c>
      <c r="D206" s="1085">
        <v>0</v>
      </c>
      <c r="E206" s="1085">
        <v>1176</v>
      </c>
      <c r="F206" s="874">
        <f t="shared" si="29"/>
        <v>1176</v>
      </c>
      <c r="G206" s="1085">
        <v>0</v>
      </c>
      <c r="H206" s="1085">
        <v>1176</v>
      </c>
      <c r="I206" s="1083">
        <f t="shared" si="26"/>
        <v>0</v>
      </c>
      <c r="J206" s="1083">
        <v>0</v>
      </c>
      <c r="K206" s="1083">
        <v>0</v>
      </c>
      <c r="L206" s="877">
        <f t="shared" si="27"/>
        <v>0</v>
      </c>
      <c r="M206" s="877">
        <f t="shared" si="27"/>
        <v>0</v>
      </c>
      <c r="N206" s="877">
        <f t="shared" si="27"/>
        <v>0</v>
      </c>
      <c r="Q206" s="1065"/>
      <c r="R206" s="1065"/>
      <c r="S206" s="1065"/>
      <c r="T206" s="1099" t="s">
        <v>999</v>
      </c>
      <c r="U206" s="1100">
        <v>1110243180</v>
      </c>
      <c r="V206" s="1099">
        <v>522</v>
      </c>
      <c r="W206" s="1099" t="s">
        <v>1019</v>
      </c>
    </row>
    <row r="207" spans="1:25" ht="78.75" hidden="1">
      <c r="A207" s="1267" t="s">
        <v>685</v>
      </c>
      <c r="B207" s="1269" t="s">
        <v>1086</v>
      </c>
      <c r="C207" s="874">
        <f t="shared" si="28"/>
        <v>17670</v>
      </c>
      <c r="D207" s="1085">
        <v>0</v>
      </c>
      <c r="E207" s="1085">
        <v>17670</v>
      </c>
      <c r="F207" s="874">
        <f t="shared" si="29"/>
        <v>17670</v>
      </c>
      <c r="G207" s="1085">
        <v>0</v>
      </c>
      <c r="H207" s="1085">
        <v>17670</v>
      </c>
      <c r="I207" s="1083">
        <f t="shared" si="26"/>
        <v>0</v>
      </c>
      <c r="J207" s="1083">
        <v>0</v>
      </c>
      <c r="K207" s="1083">
        <v>0</v>
      </c>
      <c r="L207" s="877">
        <f t="shared" si="27"/>
        <v>0</v>
      </c>
      <c r="M207" s="877">
        <f t="shared" si="27"/>
        <v>0</v>
      </c>
      <c r="N207" s="877">
        <f t="shared" si="27"/>
        <v>0</v>
      </c>
      <c r="Q207" s="1065"/>
      <c r="R207" s="1065"/>
      <c r="S207" s="1065"/>
      <c r="T207" s="1099" t="s">
        <v>999</v>
      </c>
      <c r="U207" s="1100">
        <v>1110243180</v>
      </c>
      <c r="V207" s="1099">
        <v>522</v>
      </c>
      <c r="W207" s="1099" t="s">
        <v>1019</v>
      </c>
    </row>
    <row r="208" spans="1:25" ht="115.5" hidden="1" customHeight="1">
      <c r="A208" s="1267" t="s">
        <v>687</v>
      </c>
      <c r="B208" s="1269" t="s">
        <v>1087</v>
      </c>
      <c r="C208" s="874">
        <f t="shared" si="28"/>
        <v>20000</v>
      </c>
      <c r="D208" s="1085">
        <v>0</v>
      </c>
      <c r="E208" s="1085">
        <v>20000</v>
      </c>
      <c r="F208" s="874">
        <f t="shared" si="29"/>
        <v>20000</v>
      </c>
      <c r="G208" s="1085">
        <v>0</v>
      </c>
      <c r="H208" s="1085">
        <v>20000</v>
      </c>
      <c r="I208" s="1083">
        <f t="shared" si="26"/>
        <v>0</v>
      </c>
      <c r="J208" s="1083">
        <v>0</v>
      </c>
      <c r="K208" s="1083">
        <v>0</v>
      </c>
      <c r="L208" s="877">
        <f t="shared" si="27"/>
        <v>0</v>
      </c>
      <c r="M208" s="877">
        <f t="shared" si="27"/>
        <v>0</v>
      </c>
      <c r="N208" s="877">
        <f t="shared" si="27"/>
        <v>0</v>
      </c>
      <c r="Q208" s="1065"/>
      <c r="R208" s="1065"/>
      <c r="S208" s="1065"/>
      <c r="T208" s="1099" t="s">
        <v>999</v>
      </c>
      <c r="U208" s="1100">
        <v>1110243180</v>
      </c>
      <c r="V208" s="1099">
        <v>522</v>
      </c>
      <c r="W208" s="1099" t="s">
        <v>1019</v>
      </c>
    </row>
    <row r="209" spans="1:25" ht="78.75" hidden="1">
      <c r="A209" s="1267" t="s">
        <v>686</v>
      </c>
      <c r="B209" s="1269" t="s">
        <v>1089</v>
      </c>
      <c r="C209" s="874">
        <f t="shared" si="28"/>
        <v>9000</v>
      </c>
      <c r="D209" s="1085">
        <v>0</v>
      </c>
      <c r="E209" s="1085">
        <v>9000</v>
      </c>
      <c r="F209" s="874">
        <f t="shared" si="29"/>
        <v>9000</v>
      </c>
      <c r="G209" s="1085">
        <v>0</v>
      </c>
      <c r="H209" s="1085">
        <v>9000</v>
      </c>
      <c r="I209" s="1083">
        <f t="shared" si="26"/>
        <v>0</v>
      </c>
      <c r="J209" s="1083">
        <v>0</v>
      </c>
      <c r="K209" s="1083">
        <v>0</v>
      </c>
      <c r="L209" s="877">
        <f t="shared" si="27"/>
        <v>0</v>
      </c>
      <c r="M209" s="877">
        <f t="shared" si="27"/>
        <v>0</v>
      </c>
      <c r="N209" s="877">
        <f t="shared" si="27"/>
        <v>0</v>
      </c>
      <c r="Q209" s="1065"/>
      <c r="R209" s="1065"/>
      <c r="S209" s="1065"/>
      <c r="T209" s="1099" t="s">
        <v>999</v>
      </c>
      <c r="U209" s="1100">
        <v>1110243180</v>
      </c>
      <c r="V209" s="1099">
        <v>522</v>
      </c>
      <c r="W209" s="1099" t="s">
        <v>1019</v>
      </c>
    </row>
    <row r="210" spans="1:25" ht="78.75" hidden="1">
      <c r="A210" s="1267" t="s">
        <v>688</v>
      </c>
      <c r="B210" s="1269" t="s">
        <v>1090</v>
      </c>
      <c r="C210" s="874">
        <f t="shared" si="28"/>
        <v>3500</v>
      </c>
      <c r="D210" s="1085">
        <v>0</v>
      </c>
      <c r="E210" s="1085">
        <v>3500</v>
      </c>
      <c r="F210" s="874">
        <f t="shared" si="29"/>
        <v>3500</v>
      </c>
      <c r="G210" s="1085">
        <v>0</v>
      </c>
      <c r="H210" s="1085">
        <v>3500</v>
      </c>
      <c r="I210" s="1083">
        <f t="shared" si="26"/>
        <v>0</v>
      </c>
      <c r="J210" s="1083">
        <v>0</v>
      </c>
      <c r="K210" s="1083">
        <v>0</v>
      </c>
      <c r="L210" s="877">
        <f t="shared" si="27"/>
        <v>0</v>
      </c>
      <c r="M210" s="877">
        <f t="shared" si="27"/>
        <v>0</v>
      </c>
      <c r="N210" s="877">
        <f t="shared" si="27"/>
        <v>0</v>
      </c>
      <c r="Q210" s="1065"/>
      <c r="R210" s="1065"/>
      <c r="S210" s="1065"/>
      <c r="T210" s="1099" t="s">
        <v>999</v>
      </c>
      <c r="U210" s="1100">
        <v>1110243180</v>
      </c>
      <c r="V210" s="1099">
        <v>522</v>
      </c>
      <c r="W210" s="1099" t="s">
        <v>1019</v>
      </c>
    </row>
    <row r="211" spans="1:25" ht="78.75" hidden="1">
      <c r="A211" s="1267" t="s">
        <v>98</v>
      </c>
      <c r="B211" s="1269" t="s">
        <v>1090</v>
      </c>
      <c r="C211" s="874">
        <f t="shared" si="28"/>
        <v>20000</v>
      </c>
      <c r="D211" s="1085">
        <v>0</v>
      </c>
      <c r="E211" s="1085">
        <v>20000</v>
      </c>
      <c r="F211" s="874">
        <f t="shared" si="29"/>
        <v>20000</v>
      </c>
      <c r="G211" s="1085">
        <v>0</v>
      </c>
      <c r="H211" s="1085">
        <v>20000</v>
      </c>
      <c r="I211" s="1083">
        <f t="shared" si="26"/>
        <v>0</v>
      </c>
      <c r="J211" s="1083">
        <v>0</v>
      </c>
      <c r="K211" s="1083">
        <v>0</v>
      </c>
      <c r="L211" s="877">
        <f t="shared" si="27"/>
        <v>0</v>
      </c>
      <c r="M211" s="877">
        <f t="shared" si="27"/>
        <v>0</v>
      </c>
      <c r="N211" s="877">
        <f t="shared" si="27"/>
        <v>0</v>
      </c>
      <c r="Q211" s="1065"/>
      <c r="R211" s="1065"/>
      <c r="S211" s="1065"/>
      <c r="T211" s="1099" t="s">
        <v>999</v>
      </c>
      <c r="U211" s="1100">
        <v>1110243180</v>
      </c>
      <c r="V211" s="1099">
        <v>522</v>
      </c>
      <c r="W211" s="1099" t="s">
        <v>1019</v>
      </c>
    </row>
    <row r="212" spans="1:25" hidden="1">
      <c r="A212" s="1267"/>
      <c r="B212" s="898" t="s">
        <v>457</v>
      </c>
      <c r="C212" s="874">
        <f t="shared" si="28"/>
        <v>1325</v>
      </c>
      <c r="D212" s="875">
        <f>SUM(D213)</f>
        <v>0</v>
      </c>
      <c r="E212" s="875">
        <f>SUM(E213)</f>
        <v>1325</v>
      </c>
      <c r="F212" s="874">
        <f t="shared" si="29"/>
        <v>1325</v>
      </c>
      <c r="G212" s="875">
        <f>SUM(G213)</f>
        <v>0</v>
      </c>
      <c r="H212" s="875">
        <f>SUM(H213)</f>
        <v>1325</v>
      </c>
      <c r="I212" s="874">
        <f t="shared" si="26"/>
        <v>0</v>
      </c>
      <c r="J212" s="875">
        <f>SUM(J213)</f>
        <v>0</v>
      </c>
      <c r="K212" s="875">
        <f>SUM(K213)</f>
        <v>0</v>
      </c>
      <c r="L212" s="882">
        <f t="shared" si="27"/>
        <v>0</v>
      </c>
      <c r="M212" s="875">
        <f t="shared" si="27"/>
        <v>0</v>
      </c>
      <c r="N212" s="875">
        <f t="shared" si="27"/>
        <v>0</v>
      </c>
      <c r="Q212" s="1065">
        <f t="shared" ref="Q212:S216" si="31">C212-F212</f>
        <v>0</v>
      </c>
      <c r="R212" s="1065">
        <f t="shared" si="31"/>
        <v>0</v>
      </c>
      <c r="S212" s="1065">
        <f t="shared" si="31"/>
        <v>0</v>
      </c>
    </row>
    <row r="213" spans="1:25" ht="105" hidden="1">
      <c r="A213" s="1267" t="s">
        <v>99</v>
      </c>
      <c r="B213" s="1269" t="s">
        <v>1093</v>
      </c>
      <c r="C213" s="1083">
        <f t="shared" si="28"/>
        <v>1325</v>
      </c>
      <c r="D213" s="879">
        <v>0</v>
      </c>
      <c r="E213" s="879">
        <v>1325</v>
      </c>
      <c r="F213" s="1083">
        <f t="shared" si="29"/>
        <v>1325</v>
      </c>
      <c r="G213" s="879">
        <v>0</v>
      </c>
      <c r="H213" s="879">
        <v>1325</v>
      </c>
      <c r="I213" s="1083">
        <f t="shared" si="26"/>
        <v>0</v>
      </c>
      <c r="J213" s="1083">
        <v>0</v>
      </c>
      <c r="K213" s="1083">
        <v>0</v>
      </c>
      <c r="L213" s="877">
        <f t="shared" si="27"/>
        <v>0</v>
      </c>
      <c r="M213" s="877">
        <f t="shared" si="27"/>
        <v>0</v>
      </c>
      <c r="N213" s="877">
        <f t="shared" si="27"/>
        <v>0</v>
      </c>
      <c r="Q213" s="1065">
        <f t="shared" si="31"/>
        <v>0</v>
      </c>
      <c r="R213" s="1065">
        <f t="shared" si="31"/>
        <v>0</v>
      </c>
      <c r="S213" s="1065">
        <f t="shared" si="31"/>
        <v>0</v>
      </c>
      <c r="T213" s="1099" t="s">
        <v>999</v>
      </c>
      <c r="U213" s="1100">
        <v>1110243180</v>
      </c>
      <c r="V213" s="1099">
        <v>522</v>
      </c>
      <c r="W213" s="1099" t="s">
        <v>1019</v>
      </c>
    </row>
    <row r="214" spans="1:25" hidden="1">
      <c r="A214" s="991"/>
      <c r="B214" s="898" t="s">
        <v>68</v>
      </c>
      <c r="C214" s="874">
        <f t="shared" si="28"/>
        <v>671</v>
      </c>
      <c r="D214" s="875">
        <f>SUM(D215)</f>
        <v>0</v>
      </c>
      <c r="E214" s="875">
        <f>SUM(E215)</f>
        <v>671</v>
      </c>
      <c r="F214" s="874">
        <f t="shared" si="29"/>
        <v>671</v>
      </c>
      <c r="G214" s="875">
        <f>SUM(G215)</f>
        <v>0</v>
      </c>
      <c r="H214" s="875">
        <f>SUM(H215)</f>
        <v>671</v>
      </c>
      <c r="I214" s="874">
        <f t="shared" si="26"/>
        <v>0</v>
      </c>
      <c r="J214" s="875">
        <f>SUM(J215)</f>
        <v>0</v>
      </c>
      <c r="K214" s="875">
        <f>SUM(K215)</f>
        <v>0</v>
      </c>
      <c r="L214" s="876">
        <f t="shared" si="27"/>
        <v>0</v>
      </c>
      <c r="M214" s="877">
        <f t="shared" si="27"/>
        <v>0</v>
      </c>
      <c r="N214" s="877">
        <f t="shared" si="27"/>
        <v>0</v>
      </c>
      <c r="Q214" s="1065">
        <f t="shared" si="31"/>
        <v>0</v>
      </c>
      <c r="R214" s="1065">
        <f t="shared" si="31"/>
        <v>0</v>
      </c>
      <c r="S214" s="1065">
        <f t="shared" si="31"/>
        <v>0</v>
      </c>
    </row>
    <row r="215" spans="1:25" ht="105" hidden="1">
      <c r="A215" s="1267" t="s">
        <v>100</v>
      </c>
      <c r="B215" s="1269" t="s">
        <v>1091</v>
      </c>
      <c r="C215" s="1083">
        <f t="shared" si="28"/>
        <v>671</v>
      </c>
      <c r="D215" s="1085">
        <v>0</v>
      </c>
      <c r="E215" s="1085">
        <v>671</v>
      </c>
      <c r="F215" s="1083">
        <f t="shared" si="29"/>
        <v>671</v>
      </c>
      <c r="G215" s="1085">
        <v>0</v>
      </c>
      <c r="H215" s="1085">
        <v>671</v>
      </c>
      <c r="I215" s="1083">
        <f t="shared" si="26"/>
        <v>0</v>
      </c>
      <c r="J215" s="1083">
        <v>0</v>
      </c>
      <c r="K215" s="1083">
        <v>0</v>
      </c>
      <c r="L215" s="877">
        <f t="shared" si="27"/>
        <v>0</v>
      </c>
      <c r="M215" s="877">
        <f t="shared" si="27"/>
        <v>0</v>
      </c>
      <c r="N215" s="877">
        <f t="shared" si="27"/>
        <v>0</v>
      </c>
      <c r="Q215" s="1065">
        <f t="shared" si="31"/>
        <v>0</v>
      </c>
      <c r="R215" s="1065">
        <f t="shared" si="31"/>
        <v>0</v>
      </c>
      <c r="S215" s="1065">
        <f t="shared" si="31"/>
        <v>0</v>
      </c>
      <c r="T215" s="1099" t="s">
        <v>999</v>
      </c>
      <c r="U215" s="1100">
        <v>1110243180</v>
      </c>
      <c r="V215" s="1099">
        <v>522</v>
      </c>
      <c r="W215" s="1099" t="s">
        <v>1019</v>
      </c>
    </row>
    <row r="216" spans="1:25" hidden="1">
      <c r="A216" s="1267"/>
      <c r="B216" s="898" t="s">
        <v>431</v>
      </c>
      <c r="C216" s="874">
        <f t="shared" si="28"/>
        <v>2848</v>
      </c>
      <c r="D216" s="875">
        <f>SUM(D217)</f>
        <v>0</v>
      </c>
      <c r="E216" s="875">
        <f>SUM(E217)</f>
        <v>2848</v>
      </c>
      <c r="F216" s="874">
        <f t="shared" si="29"/>
        <v>4534</v>
      </c>
      <c r="G216" s="875">
        <f>SUM(G217)</f>
        <v>0</v>
      </c>
      <c r="H216" s="875">
        <f>SUM(H217)</f>
        <v>4534</v>
      </c>
      <c r="I216" s="874">
        <f t="shared" si="26"/>
        <v>0</v>
      </c>
      <c r="J216" s="875">
        <f>SUM(J217)</f>
        <v>0</v>
      </c>
      <c r="K216" s="875">
        <f>SUM(K217)</f>
        <v>0</v>
      </c>
      <c r="L216" s="876">
        <f t="shared" si="27"/>
        <v>0</v>
      </c>
      <c r="M216" s="877">
        <f t="shared" si="27"/>
        <v>0</v>
      </c>
      <c r="N216" s="877">
        <f t="shared" si="27"/>
        <v>0</v>
      </c>
      <c r="Q216" s="1065">
        <f t="shared" si="31"/>
        <v>-1686</v>
      </c>
      <c r="R216" s="1065">
        <f t="shared" si="31"/>
        <v>0</v>
      </c>
      <c r="S216" s="1065">
        <f t="shared" si="31"/>
        <v>-1686</v>
      </c>
    </row>
    <row r="217" spans="1:25" ht="131.25" hidden="1">
      <c r="A217" s="1267" t="s">
        <v>101</v>
      </c>
      <c r="B217" s="1269" t="s">
        <v>1092</v>
      </c>
      <c r="C217" s="1083">
        <f t="shared" si="28"/>
        <v>2848</v>
      </c>
      <c r="D217" s="1085">
        <v>0</v>
      </c>
      <c r="E217" s="1085">
        <v>2848</v>
      </c>
      <c r="F217" s="1083">
        <f t="shared" si="29"/>
        <v>4534</v>
      </c>
      <c r="G217" s="1085">
        <v>0</v>
      </c>
      <c r="H217" s="1085">
        <v>4534</v>
      </c>
      <c r="I217" s="1083">
        <f t="shared" si="26"/>
        <v>0</v>
      </c>
      <c r="J217" s="1083">
        <v>0</v>
      </c>
      <c r="K217" s="1083">
        <v>0</v>
      </c>
      <c r="L217" s="877">
        <f t="shared" si="27"/>
        <v>0</v>
      </c>
      <c r="M217" s="877">
        <f t="shared" si="27"/>
        <v>0</v>
      </c>
      <c r="N217" s="877">
        <f t="shared" si="27"/>
        <v>0</v>
      </c>
      <c r="Q217" s="1065"/>
      <c r="R217" s="1065"/>
      <c r="S217" s="1065"/>
      <c r="T217" s="1099" t="s">
        <v>999</v>
      </c>
      <c r="U217" s="1100">
        <v>1110243180</v>
      </c>
      <c r="V217" s="1099">
        <v>522</v>
      </c>
      <c r="W217" s="1099" t="s">
        <v>1019</v>
      </c>
    </row>
    <row r="218" spans="1:25" s="914" customFormat="1" ht="81" hidden="1">
      <c r="A218" s="945" t="s">
        <v>2</v>
      </c>
      <c r="B218" s="1234" t="s">
        <v>222</v>
      </c>
      <c r="C218" s="926">
        <f t="shared" si="28"/>
        <v>1082666.3999999999</v>
      </c>
      <c r="D218" s="926">
        <f>SUM(D219,D235)</f>
        <v>909500</v>
      </c>
      <c r="E218" s="926">
        <f>SUM(E219,E235)</f>
        <v>173166.4</v>
      </c>
      <c r="F218" s="926">
        <f t="shared" si="29"/>
        <v>1083534.1000000001</v>
      </c>
      <c r="G218" s="926">
        <f>SUM(G219,G235)</f>
        <v>907801.2</v>
      </c>
      <c r="H218" s="926">
        <f>SUM(H219,H235)</f>
        <v>175732.9</v>
      </c>
      <c r="I218" s="926">
        <f t="shared" si="26"/>
        <v>114351</v>
      </c>
      <c r="J218" s="926">
        <f>SUM(J219,J235)</f>
        <v>94218</v>
      </c>
      <c r="K218" s="926">
        <f>SUM(K219,K235)</f>
        <v>20133</v>
      </c>
      <c r="L218" s="927">
        <f t="shared" si="27"/>
        <v>10.6</v>
      </c>
      <c r="M218" s="928">
        <f t="shared" si="27"/>
        <v>10.4</v>
      </c>
      <c r="N218" s="928">
        <f t="shared" si="27"/>
        <v>11.5</v>
      </c>
      <c r="O218" s="1208"/>
      <c r="P218" s="1208"/>
      <c r="Q218" s="1065">
        <f t="shared" ref="Q218:S247" si="32">C218-F218</f>
        <v>-867.7</v>
      </c>
      <c r="R218" s="1065">
        <f t="shared" si="32"/>
        <v>1698.8</v>
      </c>
      <c r="S218" s="1065">
        <f t="shared" si="32"/>
        <v>-2566.5</v>
      </c>
      <c r="T218" s="1099"/>
      <c r="U218" s="1100"/>
      <c r="V218" s="1099"/>
      <c r="W218" s="1099"/>
      <c r="X218" s="1216"/>
      <c r="Y218" s="913"/>
    </row>
    <row r="219" spans="1:25" s="914" customFormat="1" hidden="1">
      <c r="A219" s="944" t="s">
        <v>246</v>
      </c>
      <c r="B219" s="1235" t="s">
        <v>41</v>
      </c>
      <c r="C219" s="933">
        <f>D219+E219</f>
        <v>967706.4</v>
      </c>
      <c r="D219" s="933">
        <f>SUM(D233,D220)</f>
        <v>909500</v>
      </c>
      <c r="E219" s="933">
        <f>SUM(E233,E220)</f>
        <v>58206.400000000001</v>
      </c>
      <c r="F219" s="933">
        <f>G219+H219</f>
        <v>965814.1</v>
      </c>
      <c r="G219" s="933">
        <f>SUM(G233,G220)</f>
        <v>907801.2</v>
      </c>
      <c r="H219" s="933">
        <f>SUM(H233,H220)</f>
        <v>58012.9</v>
      </c>
      <c r="I219" s="933">
        <f>J219+K219</f>
        <v>100234.5</v>
      </c>
      <c r="J219" s="933">
        <f>SUM(J233,J220)</f>
        <v>94218</v>
      </c>
      <c r="K219" s="933">
        <f>SUM(K233,K220)</f>
        <v>6016.5</v>
      </c>
      <c r="L219" s="935">
        <f t="shared" si="27"/>
        <v>10.4</v>
      </c>
      <c r="M219" s="936">
        <f t="shared" si="27"/>
        <v>10.4</v>
      </c>
      <c r="N219" s="936">
        <f t="shared" si="27"/>
        <v>10.4</v>
      </c>
      <c r="O219" s="1208"/>
      <c r="P219" s="1208"/>
      <c r="Q219" s="1065">
        <f t="shared" si="32"/>
        <v>1892.3</v>
      </c>
      <c r="R219" s="1065">
        <f t="shared" si="32"/>
        <v>1698.8</v>
      </c>
      <c r="S219" s="1065">
        <f t="shared" si="32"/>
        <v>193.5</v>
      </c>
      <c r="T219" s="1099"/>
      <c r="U219" s="1100"/>
      <c r="V219" s="1099"/>
      <c r="W219" s="1099"/>
      <c r="X219" s="1216"/>
      <c r="Y219" s="913"/>
    </row>
    <row r="220" spans="1:25" s="959" customFormat="1" ht="54" hidden="1">
      <c r="A220" s="957" t="s">
        <v>247</v>
      </c>
      <c r="B220" s="1237" t="s">
        <v>446</v>
      </c>
      <c r="C220" s="1055">
        <f>SUM(D220:E220)</f>
        <v>907600</v>
      </c>
      <c r="D220" s="1056">
        <f>SUM(D221:D232)</f>
        <v>853000</v>
      </c>
      <c r="E220" s="1056">
        <f>SUM(E221:E232)</f>
        <v>54600</v>
      </c>
      <c r="F220" s="1051">
        <f>SUM(G220:H220)</f>
        <v>905707.7</v>
      </c>
      <c r="G220" s="1056">
        <f>SUM(G222:G232)</f>
        <v>851301.2</v>
      </c>
      <c r="H220" s="1056">
        <f>SUM(H222:H232)</f>
        <v>54406.5</v>
      </c>
      <c r="I220" s="1051">
        <f t="shared" ref="I220:I239" si="33">SUM(J220:K220)</f>
        <v>100234.5</v>
      </c>
      <c r="J220" s="1056">
        <f>SUM(J222:J232)</f>
        <v>94218</v>
      </c>
      <c r="K220" s="1056">
        <f>SUM(K222:K232)</f>
        <v>6016.5</v>
      </c>
      <c r="L220" s="1053">
        <f t="shared" si="27"/>
        <v>11.1</v>
      </c>
      <c r="M220" s="1053">
        <f t="shared" si="27"/>
        <v>11.1</v>
      </c>
      <c r="N220" s="1053">
        <f t="shared" si="27"/>
        <v>11.1</v>
      </c>
      <c r="O220" s="1208"/>
      <c r="P220" s="1208"/>
      <c r="Q220" s="1065">
        <f t="shared" si="32"/>
        <v>1892.3</v>
      </c>
      <c r="R220" s="1065">
        <f t="shared" si="32"/>
        <v>1698.8</v>
      </c>
      <c r="S220" s="1065">
        <f t="shared" si="32"/>
        <v>193.5</v>
      </c>
      <c r="T220" s="1099"/>
      <c r="U220" s="1100"/>
      <c r="V220" s="1099"/>
      <c r="W220" s="1099"/>
      <c r="X220" s="1218"/>
      <c r="Y220" s="1116"/>
    </row>
    <row r="221" spans="1:25" s="959" customFormat="1" hidden="1">
      <c r="A221" s="895"/>
      <c r="B221" s="937" t="s">
        <v>1000</v>
      </c>
      <c r="C221" s="871">
        <f>SUM(D221:E221)</f>
        <v>1892.3</v>
      </c>
      <c r="D221" s="884">
        <v>1698.8</v>
      </c>
      <c r="E221" s="887">
        <v>193.5</v>
      </c>
      <c r="F221" s="874">
        <f>G221+H221</f>
        <v>0</v>
      </c>
      <c r="G221" s="887">
        <v>0</v>
      </c>
      <c r="H221" s="887">
        <v>0</v>
      </c>
      <c r="I221" s="874">
        <f t="shared" si="33"/>
        <v>0</v>
      </c>
      <c r="J221" s="884">
        <v>0</v>
      </c>
      <c r="K221" s="887">
        <v>0</v>
      </c>
      <c r="L221" s="876">
        <f t="shared" si="27"/>
        <v>0</v>
      </c>
      <c r="M221" s="877">
        <f t="shared" si="27"/>
        <v>0</v>
      </c>
      <c r="N221" s="877">
        <f t="shared" si="27"/>
        <v>0</v>
      </c>
      <c r="O221" s="1208"/>
      <c r="P221" s="1208"/>
      <c r="Q221" s="1065"/>
      <c r="R221" s="1065"/>
      <c r="S221" s="1065"/>
      <c r="T221" s="1099" t="s">
        <v>999</v>
      </c>
      <c r="U221" s="1100" t="s">
        <v>1001</v>
      </c>
      <c r="V221" s="1099">
        <v>414</v>
      </c>
      <c r="W221" s="1099"/>
      <c r="X221" s="1218"/>
      <c r="Y221" s="1116"/>
    </row>
    <row r="222" spans="1:25" ht="52.5" hidden="1">
      <c r="A222" s="895">
        <v>1</v>
      </c>
      <c r="B222" s="937" t="s">
        <v>668</v>
      </c>
      <c r="C222" s="871">
        <f t="shared" ref="C222:C239" si="34">SUM(D222:E222)</f>
        <v>452152</v>
      </c>
      <c r="D222" s="884">
        <v>425019.2</v>
      </c>
      <c r="E222" s="887">
        <v>27132.799999999999</v>
      </c>
      <c r="F222" s="874">
        <f>G222+H222</f>
        <v>452152</v>
      </c>
      <c r="G222" s="887">
        <f>D222</f>
        <v>425019.2</v>
      </c>
      <c r="H222" s="887">
        <f>E222</f>
        <v>27132.799999999999</v>
      </c>
      <c r="I222" s="874">
        <f t="shared" si="33"/>
        <v>84188.800000000003</v>
      </c>
      <c r="J222" s="884">
        <v>79136.800000000003</v>
      </c>
      <c r="K222" s="887">
        <v>5052</v>
      </c>
      <c r="L222" s="876">
        <f t="shared" ref="L222:N239" si="35">IF(I222=0,0,I222/F222*100)</f>
        <v>18.600000000000001</v>
      </c>
      <c r="M222" s="877">
        <f t="shared" si="35"/>
        <v>18.600000000000001</v>
      </c>
      <c r="N222" s="877">
        <f t="shared" si="35"/>
        <v>18.600000000000001</v>
      </c>
      <c r="Q222" s="1065">
        <f t="shared" si="32"/>
        <v>0</v>
      </c>
      <c r="R222" s="1065">
        <f t="shared" si="32"/>
        <v>0</v>
      </c>
      <c r="S222" s="1065">
        <f t="shared" si="32"/>
        <v>0</v>
      </c>
      <c r="T222" s="1099" t="s">
        <v>999</v>
      </c>
      <c r="U222" s="1100" t="s">
        <v>1005</v>
      </c>
      <c r="V222" s="1099">
        <v>414</v>
      </c>
      <c r="W222" s="1099" t="s">
        <v>1006</v>
      </c>
    </row>
    <row r="223" spans="1:25" ht="52.5" hidden="1">
      <c r="A223" s="895">
        <v>2</v>
      </c>
      <c r="B223" s="1270" t="s">
        <v>470</v>
      </c>
      <c r="C223" s="871">
        <f t="shared" si="34"/>
        <v>50107.7</v>
      </c>
      <c r="D223" s="887">
        <v>47101.2</v>
      </c>
      <c r="E223" s="887">
        <v>3006.5</v>
      </c>
      <c r="F223" s="871">
        <f t="shared" ref="F223:F239" si="36">SUM(G223:H223)</f>
        <v>50107.7</v>
      </c>
      <c r="G223" s="887">
        <v>47101.2</v>
      </c>
      <c r="H223" s="887">
        <v>3006.5</v>
      </c>
      <c r="I223" s="871">
        <f t="shared" si="33"/>
        <v>5183.6000000000004</v>
      </c>
      <c r="J223" s="887">
        <v>4872.6000000000004</v>
      </c>
      <c r="K223" s="887">
        <v>311</v>
      </c>
      <c r="L223" s="872">
        <f t="shared" si="35"/>
        <v>10.3</v>
      </c>
      <c r="M223" s="873">
        <f t="shared" si="35"/>
        <v>10.3</v>
      </c>
      <c r="N223" s="873">
        <f t="shared" si="35"/>
        <v>10.3</v>
      </c>
      <c r="Q223" s="1065">
        <f t="shared" si="32"/>
        <v>0</v>
      </c>
      <c r="R223" s="1065">
        <f t="shared" si="32"/>
        <v>0</v>
      </c>
      <c r="S223" s="1065">
        <f t="shared" si="32"/>
        <v>0</v>
      </c>
      <c r="T223" s="1099" t="s">
        <v>999</v>
      </c>
      <c r="U223" s="1100" t="s">
        <v>1010</v>
      </c>
      <c r="V223" s="1099">
        <v>414</v>
      </c>
      <c r="W223" s="1099" t="s">
        <v>1011</v>
      </c>
    </row>
    <row r="224" spans="1:25" ht="78.75" hidden="1">
      <c r="A224" s="895">
        <v>3</v>
      </c>
      <c r="B224" s="1270" t="s">
        <v>622</v>
      </c>
      <c r="C224" s="871">
        <f>SUM(D224:E224)</f>
        <v>64810.2</v>
      </c>
      <c r="D224" s="887">
        <v>60910.9</v>
      </c>
      <c r="E224" s="887">
        <v>3899.3</v>
      </c>
      <c r="F224" s="871">
        <f t="shared" si="36"/>
        <v>64810.2</v>
      </c>
      <c r="G224" s="887">
        <f t="shared" ref="G224:H231" si="37">D224</f>
        <v>60910.9</v>
      </c>
      <c r="H224" s="887">
        <f t="shared" si="37"/>
        <v>3899.3</v>
      </c>
      <c r="I224" s="871">
        <f t="shared" si="33"/>
        <v>0</v>
      </c>
      <c r="J224" s="887">
        <v>0</v>
      </c>
      <c r="K224" s="887">
        <v>0</v>
      </c>
      <c r="L224" s="872">
        <f t="shared" si="35"/>
        <v>0</v>
      </c>
      <c r="M224" s="873">
        <f t="shared" si="35"/>
        <v>0</v>
      </c>
      <c r="N224" s="873">
        <f t="shared" si="35"/>
        <v>0</v>
      </c>
      <c r="Q224" s="1065">
        <f t="shared" si="32"/>
        <v>0</v>
      </c>
      <c r="R224" s="1065">
        <f t="shared" si="32"/>
        <v>0</v>
      </c>
      <c r="S224" s="1065">
        <f t="shared" si="32"/>
        <v>0</v>
      </c>
      <c r="T224" s="1099" t="s">
        <v>999</v>
      </c>
      <c r="U224" s="1100" t="s">
        <v>1016</v>
      </c>
      <c r="V224" s="1099">
        <v>414</v>
      </c>
      <c r="W224" s="1099" t="s">
        <v>1004</v>
      </c>
    </row>
    <row r="225" spans="1:25" ht="78.75" hidden="1">
      <c r="A225" s="895">
        <v>4</v>
      </c>
      <c r="B225" s="1270" t="s">
        <v>837</v>
      </c>
      <c r="C225" s="871">
        <f t="shared" si="34"/>
        <v>38427.4</v>
      </c>
      <c r="D225" s="887">
        <v>36115.4</v>
      </c>
      <c r="E225" s="887">
        <v>2312</v>
      </c>
      <c r="F225" s="871">
        <f t="shared" si="36"/>
        <v>38427.4</v>
      </c>
      <c r="G225" s="887">
        <f t="shared" si="37"/>
        <v>36115.4</v>
      </c>
      <c r="H225" s="887">
        <f t="shared" si="37"/>
        <v>2312</v>
      </c>
      <c r="I225" s="871">
        <f t="shared" si="33"/>
        <v>0</v>
      </c>
      <c r="J225" s="887">
        <v>0</v>
      </c>
      <c r="K225" s="887">
        <v>0</v>
      </c>
      <c r="L225" s="872">
        <f t="shared" si="35"/>
        <v>0</v>
      </c>
      <c r="M225" s="873">
        <f t="shared" si="35"/>
        <v>0</v>
      </c>
      <c r="N225" s="873">
        <f t="shared" si="35"/>
        <v>0</v>
      </c>
      <c r="Q225" s="1065">
        <f t="shared" si="32"/>
        <v>0</v>
      </c>
      <c r="R225" s="1065">
        <f t="shared" si="32"/>
        <v>0</v>
      </c>
      <c r="S225" s="1065">
        <f t="shared" si="32"/>
        <v>0</v>
      </c>
      <c r="T225" s="1099" t="s">
        <v>999</v>
      </c>
      <c r="U225" s="1100" t="s">
        <v>1015</v>
      </c>
      <c r="V225" s="1099">
        <v>414</v>
      </c>
      <c r="W225" s="1099" t="s">
        <v>1004</v>
      </c>
    </row>
    <row r="226" spans="1:25" ht="78.75" hidden="1">
      <c r="A226" s="895">
        <v>5</v>
      </c>
      <c r="B226" s="1270" t="s">
        <v>620</v>
      </c>
      <c r="C226" s="871">
        <f>SUM(D226:E226)</f>
        <v>115978.8</v>
      </c>
      <c r="D226" s="887">
        <v>109001</v>
      </c>
      <c r="E226" s="887">
        <v>6977.8</v>
      </c>
      <c r="F226" s="871">
        <f t="shared" si="36"/>
        <v>115978.8</v>
      </c>
      <c r="G226" s="887">
        <f t="shared" si="37"/>
        <v>109001</v>
      </c>
      <c r="H226" s="887">
        <f t="shared" si="37"/>
        <v>6977.8</v>
      </c>
      <c r="I226" s="871">
        <f t="shared" si="33"/>
        <v>0</v>
      </c>
      <c r="J226" s="887">
        <v>0</v>
      </c>
      <c r="K226" s="887">
        <v>0</v>
      </c>
      <c r="L226" s="872">
        <f t="shared" si="35"/>
        <v>0</v>
      </c>
      <c r="M226" s="873">
        <f t="shared" si="35"/>
        <v>0</v>
      </c>
      <c r="N226" s="873">
        <f t="shared" si="35"/>
        <v>0</v>
      </c>
      <c r="Q226" s="1065">
        <f t="shared" si="32"/>
        <v>0</v>
      </c>
      <c r="R226" s="1065">
        <f t="shared" si="32"/>
        <v>0</v>
      </c>
      <c r="S226" s="1065">
        <f t="shared" si="32"/>
        <v>0</v>
      </c>
      <c r="T226" s="1099" t="s">
        <v>999</v>
      </c>
      <c r="U226" s="1100" t="s">
        <v>1014</v>
      </c>
      <c r="V226" s="1099">
        <v>414</v>
      </c>
      <c r="W226" s="1099" t="s">
        <v>1004</v>
      </c>
    </row>
    <row r="227" spans="1:25" ht="52.5" hidden="1">
      <c r="A227" s="895">
        <v>6</v>
      </c>
      <c r="B227" s="1270" t="s">
        <v>471</v>
      </c>
      <c r="C227" s="871">
        <f t="shared" si="34"/>
        <v>9500</v>
      </c>
      <c r="D227" s="887">
        <v>8928.4</v>
      </c>
      <c r="E227" s="887">
        <v>571.6</v>
      </c>
      <c r="F227" s="871">
        <f t="shared" si="36"/>
        <v>9500</v>
      </c>
      <c r="G227" s="887">
        <f t="shared" si="37"/>
        <v>8928.4</v>
      </c>
      <c r="H227" s="887">
        <f t="shared" si="37"/>
        <v>571.6</v>
      </c>
      <c r="I227" s="871">
        <f t="shared" si="33"/>
        <v>614.6</v>
      </c>
      <c r="J227" s="887">
        <v>577.6</v>
      </c>
      <c r="K227" s="887">
        <v>37</v>
      </c>
      <c r="L227" s="872">
        <f t="shared" si="35"/>
        <v>6.5</v>
      </c>
      <c r="M227" s="873">
        <f t="shared" si="35"/>
        <v>6.5</v>
      </c>
      <c r="N227" s="873">
        <f t="shared" si="35"/>
        <v>6.5</v>
      </c>
      <c r="Q227" s="1065">
        <f t="shared" si="32"/>
        <v>0</v>
      </c>
      <c r="R227" s="1065">
        <f t="shared" si="32"/>
        <v>0</v>
      </c>
      <c r="S227" s="1065">
        <f t="shared" si="32"/>
        <v>0</v>
      </c>
      <c r="T227" s="1099" t="s">
        <v>999</v>
      </c>
      <c r="U227" s="1100" t="s">
        <v>1012</v>
      </c>
      <c r="V227" s="1099">
        <v>414</v>
      </c>
      <c r="W227" s="1099" t="s">
        <v>1004</v>
      </c>
    </row>
    <row r="228" spans="1:25" ht="52.5" hidden="1">
      <c r="A228" s="895">
        <v>7</v>
      </c>
      <c r="B228" s="1270" t="s">
        <v>472</v>
      </c>
      <c r="C228" s="871">
        <f t="shared" si="34"/>
        <v>16500</v>
      </c>
      <c r="D228" s="887">
        <v>15507.2</v>
      </c>
      <c r="E228" s="887">
        <v>992.8</v>
      </c>
      <c r="F228" s="871">
        <f t="shared" si="36"/>
        <v>16500</v>
      </c>
      <c r="G228" s="887">
        <f t="shared" si="37"/>
        <v>15507.2</v>
      </c>
      <c r="H228" s="887">
        <f t="shared" si="37"/>
        <v>992.8</v>
      </c>
      <c r="I228" s="871">
        <f t="shared" si="33"/>
        <v>550.1</v>
      </c>
      <c r="J228" s="887">
        <v>517</v>
      </c>
      <c r="K228" s="887">
        <v>33.1</v>
      </c>
      <c r="L228" s="872">
        <f t="shared" si="35"/>
        <v>3.3</v>
      </c>
      <c r="M228" s="873">
        <f t="shared" si="35"/>
        <v>3.3</v>
      </c>
      <c r="N228" s="873">
        <f t="shared" si="35"/>
        <v>3.3</v>
      </c>
      <c r="Q228" s="1065">
        <f t="shared" si="32"/>
        <v>0</v>
      </c>
      <c r="R228" s="1065">
        <f t="shared" si="32"/>
        <v>0</v>
      </c>
      <c r="S228" s="1065">
        <f t="shared" si="32"/>
        <v>0</v>
      </c>
      <c r="T228" s="1099" t="s">
        <v>999</v>
      </c>
      <c r="U228" s="1100" t="s">
        <v>1007</v>
      </c>
      <c r="V228" s="1099">
        <v>414</v>
      </c>
      <c r="W228" s="1099" t="s">
        <v>1004</v>
      </c>
    </row>
    <row r="229" spans="1:25" ht="52.5" hidden="1">
      <c r="A229" s="895">
        <v>8</v>
      </c>
      <c r="B229" s="1270" t="s">
        <v>473</v>
      </c>
      <c r="C229" s="871">
        <f t="shared" si="34"/>
        <v>10549.1</v>
      </c>
      <c r="D229" s="887">
        <v>9914.4</v>
      </c>
      <c r="E229" s="887">
        <v>634.70000000000005</v>
      </c>
      <c r="F229" s="871">
        <f t="shared" si="36"/>
        <v>10549.1</v>
      </c>
      <c r="G229" s="887">
        <f t="shared" si="37"/>
        <v>9914.4</v>
      </c>
      <c r="H229" s="887">
        <f t="shared" si="37"/>
        <v>634.70000000000005</v>
      </c>
      <c r="I229" s="871">
        <f t="shared" si="33"/>
        <v>2561.5</v>
      </c>
      <c r="J229" s="887">
        <v>2407.4</v>
      </c>
      <c r="K229" s="887">
        <v>154.1</v>
      </c>
      <c r="L229" s="872">
        <f t="shared" si="35"/>
        <v>24.3</v>
      </c>
      <c r="M229" s="873">
        <f t="shared" si="35"/>
        <v>24.3</v>
      </c>
      <c r="N229" s="873">
        <f t="shared" si="35"/>
        <v>24.3</v>
      </c>
      <c r="Q229" s="1065">
        <f t="shared" si="32"/>
        <v>0</v>
      </c>
      <c r="R229" s="1065">
        <f t="shared" si="32"/>
        <v>0</v>
      </c>
      <c r="S229" s="1065">
        <f t="shared" si="32"/>
        <v>0</v>
      </c>
      <c r="T229" s="1099" t="s">
        <v>999</v>
      </c>
      <c r="U229" s="1100" t="s">
        <v>1003</v>
      </c>
      <c r="V229" s="1099">
        <v>414</v>
      </c>
      <c r="W229" s="1099" t="s">
        <v>1004</v>
      </c>
    </row>
    <row r="230" spans="1:25" ht="52.5" hidden="1">
      <c r="A230" s="895">
        <v>9</v>
      </c>
      <c r="B230" s="1270" t="s">
        <v>474</v>
      </c>
      <c r="C230" s="871">
        <f>SUM(D230:E230)</f>
        <v>26243.8</v>
      </c>
      <c r="D230" s="887">
        <v>24664.799999999999</v>
      </c>
      <c r="E230" s="887">
        <v>1579</v>
      </c>
      <c r="F230" s="871">
        <f t="shared" si="36"/>
        <v>26243.8</v>
      </c>
      <c r="G230" s="887">
        <f t="shared" si="37"/>
        <v>24664.799999999999</v>
      </c>
      <c r="H230" s="887">
        <f t="shared" si="37"/>
        <v>1579</v>
      </c>
      <c r="I230" s="871">
        <f t="shared" si="33"/>
        <v>7135.9</v>
      </c>
      <c r="J230" s="887">
        <v>6706.6</v>
      </c>
      <c r="K230" s="887">
        <v>429.3</v>
      </c>
      <c r="L230" s="872">
        <f t="shared" si="35"/>
        <v>27.2</v>
      </c>
      <c r="M230" s="873">
        <f t="shared" si="35"/>
        <v>27.2</v>
      </c>
      <c r="N230" s="873">
        <f t="shared" si="35"/>
        <v>27.2</v>
      </c>
      <c r="Q230" s="1065">
        <f t="shared" si="32"/>
        <v>0</v>
      </c>
      <c r="R230" s="1065">
        <f t="shared" si="32"/>
        <v>0</v>
      </c>
      <c r="S230" s="1065">
        <f t="shared" si="32"/>
        <v>0</v>
      </c>
      <c r="T230" s="1099" t="s">
        <v>999</v>
      </c>
      <c r="U230" s="1100" t="s">
        <v>1013</v>
      </c>
      <c r="V230" s="1099">
        <v>414</v>
      </c>
      <c r="W230" s="1099" t="s">
        <v>1004</v>
      </c>
    </row>
    <row r="231" spans="1:25" ht="52.5" hidden="1">
      <c r="A231" s="895">
        <v>10</v>
      </c>
      <c r="B231" s="1270" t="s">
        <v>617</v>
      </c>
      <c r="C231" s="871">
        <f t="shared" si="34"/>
        <v>81990.7</v>
      </c>
      <c r="D231" s="887">
        <v>77057.899999999994</v>
      </c>
      <c r="E231" s="887">
        <v>4932.8</v>
      </c>
      <c r="F231" s="871">
        <f t="shared" si="36"/>
        <v>81990.7</v>
      </c>
      <c r="G231" s="887">
        <f t="shared" si="37"/>
        <v>77057.899999999994</v>
      </c>
      <c r="H231" s="887">
        <f t="shared" si="37"/>
        <v>4932.8</v>
      </c>
      <c r="I231" s="871">
        <f t="shared" si="33"/>
        <v>0</v>
      </c>
      <c r="J231" s="887">
        <v>0</v>
      </c>
      <c r="K231" s="887">
        <v>0</v>
      </c>
      <c r="L231" s="872">
        <f t="shared" si="35"/>
        <v>0</v>
      </c>
      <c r="M231" s="873">
        <f t="shared" si="35"/>
        <v>0</v>
      </c>
      <c r="N231" s="873">
        <f t="shared" si="35"/>
        <v>0</v>
      </c>
      <c r="Q231" s="1065">
        <f t="shared" si="32"/>
        <v>0</v>
      </c>
      <c r="R231" s="1065">
        <f t="shared" si="32"/>
        <v>0</v>
      </c>
      <c r="S231" s="1065">
        <f t="shared" si="32"/>
        <v>0</v>
      </c>
      <c r="T231" s="1099" t="s">
        <v>999</v>
      </c>
      <c r="U231" s="1100" t="s">
        <v>1002</v>
      </c>
      <c r="V231" s="1099">
        <v>414</v>
      </c>
      <c r="W231" s="1099" t="s">
        <v>1004</v>
      </c>
    </row>
    <row r="232" spans="1:25" ht="52.5" hidden="1">
      <c r="A232" s="895">
        <v>12</v>
      </c>
      <c r="B232" s="1270" t="s">
        <v>619</v>
      </c>
      <c r="C232" s="871">
        <f>SUM(D232:E232)</f>
        <v>39448</v>
      </c>
      <c r="D232" s="887">
        <v>37080.800000000003</v>
      </c>
      <c r="E232" s="887">
        <v>2367.1999999999998</v>
      </c>
      <c r="F232" s="871">
        <f t="shared" si="36"/>
        <v>39448</v>
      </c>
      <c r="G232" s="887">
        <f>D232</f>
        <v>37080.800000000003</v>
      </c>
      <c r="H232" s="887">
        <f>E232</f>
        <v>2367.1999999999998</v>
      </c>
      <c r="I232" s="871">
        <f t="shared" si="33"/>
        <v>0</v>
      </c>
      <c r="J232" s="887">
        <v>0</v>
      </c>
      <c r="K232" s="887">
        <v>0</v>
      </c>
      <c r="L232" s="872">
        <f t="shared" si="35"/>
        <v>0</v>
      </c>
      <c r="M232" s="873">
        <f t="shared" si="35"/>
        <v>0</v>
      </c>
      <c r="N232" s="873">
        <f t="shared" si="35"/>
        <v>0</v>
      </c>
      <c r="Q232" s="1065">
        <f t="shared" si="32"/>
        <v>0</v>
      </c>
      <c r="R232" s="1065">
        <f t="shared" si="32"/>
        <v>0</v>
      </c>
      <c r="S232" s="1065">
        <f t="shared" si="32"/>
        <v>0</v>
      </c>
      <c r="T232" s="1099" t="s">
        <v>999</v>
      </c>
      <c r="U232" s="1100" t="s">
        <v>1008</v>
      </c>
      <c r="V232" s="1099">
        <v>414</v>
      </c>
      <c r="W232" s="1099" t="s">
        <v>1006</v>
      </c>
    </row>
    <row r="233" spans="1:25" s="914" customFormat="1" ht="88.5" hidden="1" customHeight="1">
      <c r="A233" s="944" t="s">
        <v>248</v>
      </c>
      <c r="B233" s="1234" t="s">
        <v>656</v>
      </c>
      <c r="C233" s="948">
        <f>SUM(D233:E233)</f>
        <v>60106.400000000001</v>
      </c>
      <c r="D233" s="949">
        <f>D234</f>
        <v>56500</v>
      </c>
      <c r="E233" s="949">
        <f>E234</f>
        <v>3606.4</v>
      </c>
      <c r="F233" s="950">
        <f t="shared" si="36"/>
        <v>60106.400000000001</v>
      </c>
      <c r="G233" s="949">
        <f>G234</f>
        <v>56500</v>
      </c>
      <c r="H233" s="949">
        <f>H234</f>
        <v>3606.4</v>
      </c>
      <c r="I233" s="950">
        <f t="shared" si="33"/>
        <v>0</v>
      </c>
      <c r="J233" s="949">
        <f>J234</f>
        <v>0</v>
      </c>
      <c r="K233" s="949">
        <f>K234</f>
        <v>0</v>
      </c>
      <c r="L233" s="951">
        <f t="shared" si="35"/>
        <v>0</v>
      </c>
      <c r="M233" s="952">
        <f t="shared" si="35"/>
        <v>0</v>
      </c>
      <c r="N233" s="952">
        <f t="shared" si="35"/>
        <v>0</v>
      </c>
      <c r="O233" s="1208"/>
      <c r="P233" s="1208"/>
      <c r="Q233" s="1065">
        <f t="shared" si="32"/>
        <v>0</v>
      </c>
      <c r="R233" s="1065">
        <f t="shared" si="32"/>
        <v>0</v>
      </c>
      <c r="S233" s="1065">
        <f t="shared" si="32"/>
        <v>0</v>
      </c>
      <c r="T233" s="1099"/>
      <c r="U233" s="1100"/>
      <c r="V233" s="1099"/>
      <c r="W233" s="1099"/>
      <c r="X233" s="1216"/>
      <c r="Y233" s="913"/>
    </row>
    <row r="234" spans="1:25" ht="52.5" hidden="1">
      <c r="A234" s="895">
        <v>13</v>
      </c>
      <c r="B234" s="937" t="s">
        <v>623</v>
      </c>
      <c r="C234" s="871">
        <f>SUM(D234:E234)</f>
        <v>60106.400000000001</v>
      </c>
      <c r="D234" s="884">
        <v>56500</v>
      </c>
      <c r="E234" s="887">
        <v>3606.4</v>
      </c>
      <c r="F234" s="871">
        <f t="shared" si="36"/>
        <v>60106.400000000001</v>
      </c>
      <c r="G234" s="884">
        <v>56500</v>
      </c>
      <c r="H234" s="887">
        <v>3606.4</v>
      </c>
      <c r="I234" s="874">
        <f t="shared" si="33"/>
        <v>0</v>
      </c>
      <c r="J234" s="884">
        <v>0</v>
      </c>
      <c r="K234" s="887">
        <v>0</v>
      </c>
      <c r="L234" s="876">
        <f t="shared" si="35"/>
        <v>0</v>
      </c>
      <c r="M234" s="877">
        <f t="shared" si="35"/>
        <v>0</v>
      </c>
      <c r="N234" s="877">
        <f t="shared" si="35"/>
        <v>0</v>
      </c>
      <c r="Q234" s="1065">
        <f t="shared" si="32"/>
        <v>0</v>
      </c>
      <c r="R234" s="1065">
        <f t="shared" si="32"/>
        <v>0</v>
      </c>
      <c r="S234" s="1065">
        <f t="shared" si="32"/>
        <v>0</v>
      </c>
      <c r="T234" s="1099" t="s">
        <v>999</v>
      </c>
      <c r="U234" s="1100" t="s">
        <v>1017</v>
      </c>
      <c r="V234" s="1099">
        <v>414</v>
      </c>
      <c r="W234" s="1099" t="s">
        <v>1018</v>
      </c>
    </row>
    <row r="235" spans="1:25" s="914" customFormat="1" ht="54" hidden="1">
      <c r="A235" s="944" t="s">
        <v>249</v>
      </c>
      <c r="B235" s="1235" t="s">
        <v>39</v>
      </c>
      <c r="C235" s="933">
        <f t="shared" si="34"/>
        <v>114960</v>
      </c>
      <c r="D235" s="933">
        <f>SUM(D236:D239)</f>
        <v>0</v>
      </c>
      <c r="E235" s="933">
        <f>SUM(E236:E239)</f>
        <v>114960</v>
      </c>
      <c r="F235" s="933">
        <f t="shared" si="36"/>
        <v>117720</v>
      </c>
      <c r="G235" s="933">
        <f>SUM(G236:G239)</f>
        <v>0</v>
      </c>
      <c r="H235" s="933">
        <f>SUM(H236:H239)</f>
        <v>117720</v>
      </c>
      <c r="I235" s="933">
        <f t="shared" si="33"/>
        <v>14116.5</v>
      </c>
      <c r="J235" s="933">
        <f>SUM(J236:J239)</f>
        <v>0</v>
      </c>
      <c r="K235" s="933">
        <f>SUM(K236:K239)</f>
        <v>14116.5</v>
      </c>
      <c r="L235" s="935">
        <f t="shared" si="35"/>
        <v>12</v>
      </c>
      <c r="M235" s="936">
        <f t="shared" si="35"/>
        <v>0</v>
      </c>
      <c r="N235" s="936">
        <f t="shared" si="35"/>
        <v>12</v>
      </c>
      <c r="O235" s="1208"/>
      <c r="P235" s="1208"/>
      <c r="Q235" s="1065">
        <f t="shared" si="32"/>
        <v>-2760</v>
      </c>
      <c r="R235" s="1065">
        <f t="shared" si="32"/>
        <v>0</v>
      </c>
      <c r="S235" s="1065">
        <f t="shared" si="32"/>
        <v>-2760</v>
      </c>
      <c r="T235" s="1099"/>
      <c r="U235" s="1100"/>
      <c r="V235" s="1099"/>
      <c r="W235" s="1099"/>
      <c r="X235" s="1216"/>
      <c r="Y235" s="913"/>
    </row>
    <row r="236" spans="1:25" s="736" customFormat="1" ht="75" hidden="1" customHeight="1">
      <c r="A236" s="895">
        <v>14</v>
      </c>
      <c r="B236" s="1238" t="s">
        <v>706</v>
      </c>
      <c r="C236" s="871">
        <f>SUM(D236:E236)</f>
        <v>2760</v>
      </c>
      <c r="D236" s="887">
        <v>0</v>
      </c>
      <c r="E236" s="887">
        <v>2760</v>
      </c>
      <c r="F236" s="871">
        <f t="shared" si="36"/>
        <v>2760</v>
      </c>
      <c r="G236" s="887">
        <v>0</v>
      </c>
      <c r="H236" s="887">
        <v>2760</v>
      </c>
      <c r="I236" s="871">
        <f t="shared" si="33"/>
        <v>0</v>
      </c>
      <c r="J236" s="887">
        <v>0</v>
      </c>
      <c r="K236" s="887">
        <v>0</v>
      </c>
      <c r="L236" s="872">
        <f t="shared" si="35"/>
        <v>0</v>
      </c>
      <c r="M236" s="873">
        <f t="shared" si="35"/>
        <v>0</v>
      </c>
      <c r="N236" s="873">
        <f t="shared" si="35"/>
        <v>0</v>
      </c>
      <c r="O236" s="1208"/>
      <c r="P236" s="1208"/>
      <c r="Q236" s="1065">
        <f t="shared" si="32"/>
        <v>0</v>
      </c>
      <c r="R236" s="1065">
        <f t="shared" si="32"/>
        <v>0</v>
      </c>
      <c r="S236" s="1065">
        <f t="shared" si="32"/>
        <v>0</v>
      </c>
      <c r="T236" s="1099" t="s">
        <v>999</v>
      </c>
      <c r="U236" s="1100">
        <v>1110290400</v>
      </c>
      <c r="V236" s="1099">
        <v>414</v>
      </c>
      <c r="W236" s="1099">
        <v>10119</v>
      </c>
      <c r="X236" s="1216"/>
    </row>
    <row r="237" spans="1:25" s="736" customFormat="1" ht="75" hidden="1" customHeight="1">
      <c r="A237" s="895"/>
      <c r="B237" s="1238" t="s">
        <v>1169</v>
      </c>
      <c r="C237" s="871">
        <f>SUM(D237:E237)</f>
        <v>12000</v>
      </c>
      <c r="D237" s="887">
        <v>0</v>
      </c>
      <c r="E237" s="887">
        <v>12000</v>
      </c>
      <c r="F237" s="871">
        <f t="shared" si="36"/>
        <v>2760</v>
      </c>
      <c r="G237" s="887">
        <v>0</v>
      </c>
      <c r="H237" s="887">
        <v>2760</v>
      </c>
      <c r="I237" s="871">
        <f t="shared" si="33"/>
        <v>0</v>
      </c>
      <c r="J237" s="887">
        <v>0</v>
      </c>
      <c r="K237" s="887">
        <v>0</v>
      </c>
      <c r="L237" s="872"/>
      <c r="M237" s="873"/>
      <c r="N237" s="873"/>
      <c r="O237" s="1208"/>
      <c r="P237" s="1208"/>
      <c r="Q237" s="1065"/>
      <c r="R237" s="1065"/>
      <c r="S237" s="1065"/>
      <c r="T237" s="1099"/>
      <c r="U237" s="1100"/>
      <c r="V237" s="1099"/>
      <c r="W237" s="1099"/>
      <c r="X237" s="1216"/>
    </row>
    <row r="238" spans="1:25" s="736" customFormat="1" ht="52.5" hidden="1">
      <c r="A238" s="895"/>
      <c r="B238" s="1238" t="s">
        <v>268</v>
      </c>
      <c r="C238" s="871">
        <f>SUM(D238:E238)</f>
        <v>700</v>
      </c>
      <c r="D238" s="887">
        <v>0</v>
      </c>
      <c r="E238" s="887">
        <v>700</v>
      </c>
      <c r="F238" s="871">
        <f t="shared" si="36"/>
        <v>700</v>
      </c>
      <c r="G238" s="887">
        <v>0</v>
      </c>
      <c r="H238" s="887">
        <v>700</v>
      </c>
      <c r="I238" s="871">
        <f t="shared" si="33"/>
        <v>63</v>
      </c>
      <c r="J238" s="887">
        <v>0</v>
      </c>
      <c r="K238" s="887">
        <v>63</v>
      </c>
      <c r="L238" s="872">
        <f t="shared" si="35"/>
        <v>9</v>
      </c>
      <c r="M238" s="873">
        <f t="shared" si="35"/>
        <v>0</v>
      </c>
      <c r="N238" s="873">
        <f t="shared" si="35"/>
        <v>9</v>
      </c>
      <c r="O238" s="1208"/>
      <c r="P238" s="1208"/>
      <c r="Q238" s="1065">
        <f>C238-F238</f>
        <v>0</v>
      </c>
      <c r="R238" s="1065">
        <f t="shared" si="32"/>
        <v>0</v>
      </c>
      <c r="S238" s="1065">
        <f t="shared" si="32"/>
        <v>0</v>
      </c>
      <c r="T238" s="1099" t="s">
        <v>999</v>
      </c>
      <c r="U238" s="1100">
        <v>1110290400</v>
      </c>
      <c r="V238" s="1099">
        <v>414</v>
      </c>
      <c r="W238" s="1099">
        <v>10044</v>
      </c>
      <c r="X238" s="1216"/>
    </row>
    <row r="239" spans="1:25" s="736" customFormat="1" hidden="1">
      <c r="A239" s="895"/>
      <c r="B239" s="1238" t="s">
        <v>263</v>
      </c>
      <c r="C239" s="871">
        <f t="shared" si="34"/>
        <v>99500</v>
      </c>
      <c r="D239" s="887">
        <v>0</v>
      </c>
      <c r="E239" s="887">
        <v>99500</v>
      </c>
      <c r="F239" s="871">
        <f t="shared" si="36"/>
        <v>111500</v>
      </c>
      <c r="G239" s="887">
        <v>0</v>
      </c>
      <c r="H239" s="887">
        <v>111500</v>
      </c>
      <c r="I239" s="871">
        <f t="shared" si="33"/>
        <v>14053.5</v>
      </c>
      <c r="J239" s="887">
        <v>0</v>
      </c>
      <c r="K239" s="887">
        <v>14053.5</v>
      </c>
      <c r="L239" s="872">
        <f t="shared" si="35"/>
        <v>12.6</v>
      </c>
      <c r="M239" s="873">
        <f t="shared" si="35"/>
        <v>0</v>
      </c>
      <c r="N239" s="873">
        <f t="shared" si="35"/>
        <v>12.6</v>
      </c>
      <c r="O239" s="1208"/>
      <c r="P239" s="1208"/>
      <c r="Q239" s="1065">
        <f t="shared" si="32"/>
        <v>-12000</v>
      </c>
      <c r="R239" s="1065">
        <f t="shared" si="32"/>
        <v>0</v>
      </c>
      <c r="S239" s="1065">
        <f t="shared" si="32"/>
        <v>-12000</v>
      </c>
      <c r="T239" s="1099" t="s">
        <v>999</v>
      </c>
      <c r="U239" s="1100">
        <v>1110290400</v>
      </c>
      <c r="V239" s="1099">
        <v>414</v>
      </c>
      <c r="W239" s="1099">
        <v>10001</v>
      </c>
      <c r="X239" s="1216"/>
    </row>
    <row r="240" spans="1:25" hidden="1">
      <c r="A240" s="1102"/>
      <c r="B240" s="1079" t="s">
        <v>432</v>
      </c>
      <c r="C240" s="1080"/>
      <c r="D240" s="1079"/>
      <c r="E240" s="1079"/>
      <c r="F240" s="1080"/>
      <c r="G240" s="1079"/>
      <c r="H240" s="1079"/>
      <c r="I240" s="1203"/>
      <c r="J240" s="1210"/>
      <c r="K240" s="1210"/>
      <c r="L240" s="1081"/>
      <c r="M240" s="1082"/>
      <c r="N240" s="1082"/>
      <c r="Q240" s="1065">
        <f t="shared" si="32"/>
        <v>0</v>
      </c>
      <c r="R240" s="1065">
        <f t="shared" si="32"/>
        <v>0</v>
      </c>
      <c r="S240" s="1065">
        <f t="shared" si="32"/>
        <v>0</v>
      </c>
    </row>
    <row r="241" spans="1:25" ht="163.5" hidden="1" customHeight="1">
      <c r="A241" s="2402" t="s">
        <v>836</v>
      </c>
      <c r="B241" s="2406"/>
      <c r="C241" s="893">
        <f t="shared" ref="C241:C246" si="38">SUM(D241:E241)</f>
        <v>865629.1</v>
      </c>
      <c r="D241" s="894">
        <f>SUM(D90,D20:D21)</f>
        <v>853456.8</v>
      </c>
      <c r="E241" s="894">
        <f>SUM(E90,E20:E21)</f>
        <v>12172.3</v>
      </c>
      <c r="F241" s="893">
        <f t="shared" ref="F241:F246" si="39">SUM(G241:H241)</f>
        <v>865629.1</v>
      </c>
      <c r="G241" s="894">
        <f>SUM(G90,G20:G21)</f>
        <v>853456.8</v>
      </c>
      <c r="H241" s="894">
        <f>SUM(H90,H20:H21)</f>
        <v>12172.3</v>
      </c>
      <c r="I241" s="893">
        <f t="shared" ref="I241:I246" si="40">SUM(J241:K241)</f>
        <v>14456.5</v>
      </c>
      <c r="J241" s="894">
        <f>SUM(J90,J20:J21)</f>
        <v>9709.4</v>
      </c>
      <c r="K241" s="894">
        <f>SUM(K90,K20:K21)</f>
        <v>4747.1000000000004</v>
      </c>
      <c r="L241" s="893">
        <f t="shared" ref="L241:L247" si="41">SUM(M241:N241)</f>
        <v>20.8</v>
      </c>
      <c r="M241" s="894">
        <f>SUM(M219,M123,M69)</f>
        <v>10.4</v>
      </c>
      <c r="N241" s="894">
        <f>SUM(N219,N123,N69)</f>
        <v>10.4</v>
      </c>
      <c r="Q241" s="1065">
        <f t="shared" si="32"/>
        <v>0</v>
      </c>
      <c r="R241" s="1065">
        <f t="shared" si="32"/>
        <v>0</v>
      </c>
      <c r="S241" s="1065">
        <f t="shared" si="32"/>
        <v>0</v>
      </c>
    </row>
    <row r="242" spans="1:25" ht="60" hidden="1" customHeight="1">
      <c r="A242" s="2402" t="s">
        <v>1098</v>
      </c>
      <c r="B242" s="2406"/>
      <c r="C242" s="893">
        <f t="shared" si="38"/>
        <v>817372.5</v>
      </c>
      <c r="D242" s="894">
        <f>SUM(D19,D102,D125,D100,D101,D34,D24)</f>
        <v>708797.4</v>
      </c>
      <c r="E242" s="894">
        <f>SUM(E19,E102,E125,E100,E101,E34,E24)</f>
        <v>108575.1</v>
      </c>
      <c r="F242" s="893">
        <f>SUM(G242:H242)</f>
        <v>773904.1</v>
      </c>
      <c r="G242" s="894">
        <f>SUM(G19,G102,G125,G100,G101,G34,G24)</f>
        <v>665763.69999999995</v>
      </c>
      <c r="H242" s="894">
        <f>SUM(H19,H102,H125,H100,H101,H34,H24)</f>
        <v>108140.4</v>
      </c>
      <c r="I242" s="893">
        <f>SUM(J242:K242)</f>
        <v>47.5</v>
      </c>
      <c r="J242" s="894">
        <f>SUM(J19,J102,J125,J100,J101,J34,J24)</f>
        <v>24.5</v>
      </c>
      <c r="K242" s="894">
        <f>SUM(K19,K102,K125,K100,K101,K34,K24)</f>
        <v>23</v>
      </c>
      <c r="L242" s="893">
        <f t="shared" si="41"/>
        <v>41.2</v>
      </c>
      <c r="M242" s="894">
        <f>SUM(M220,M124,M70)</f>
        <v>20.6</v>
      </c>
      <c r="N242" s="894">
        <f>SUM(N220,N124,N70)</f>
        <v>20.6</v>
      </c>
      <c r="Q242" s="1065"/>
      <c r="R242" s="1065"/>
      <c r="S242" s="1065"/>
    </row>
    <row r="243" spans="1:25" ht="63.75" hidden="1" customHeight="1">
      <c r="A243" s="2402" t="s">
        <v>780</v>
      </c>
      <c r="B243" s="2406"/>
      <c r="C243" s="893">
        <f t="shared" si="38"/>
        <v>3594270.6</v>
      </c>
      <c r="D243" s="894">
        <f>D142+D70+D220-D245</f>
        <v>3345260.4</v>
      </c>
      <c r="E243" s="894">
        <f>E142+E70+E220-E245</f>
        <v>249010.2</v>
      </c>
      <c r="F243" s="893">
        <f t="shared" si="39"/>
        <v>3347010.3</v>
      </c>
      <c r="G243" s="894">
        <f>G142+G70+G220-G245</f>
        <v>3094338</v>
      </c>
      <c r="H243" s="894">
        <f>H142+H70+H220-H245</f>
        <v>252672.3</v>
      </c>
      <c r="I243" s="893">
        <f t="shared" si="40"/>
        <v>153390</v>
      </c>
      <c r="J243" s="894">
        <f>J142+J70+J220-J245</f>
        <v>144174</v>
      </c>
      <c r="K243" s="894">
        <f>K142+K70+K220-K245</f>
        <v>9216</v>
      </c>
      <c r="L243" s="893">
        <f t="shared" si="41"/>
        <v>47.5</v>
      </c>
      <c r="M243" s="894">
        <f>SUM(M220,M142,M70)</f>
        <v>22</v>
      </c>
      <c r="N243" s="894">
        <f>SUM(N220,N142,N70)</f>
        <v>25.5</v>
      </c>
      <c r="Q243" s="1065">
        <f t="shared" si="32"/>
        <v>247260.3</v>
      </c>
      <c r="R243" s="1065">
        <f t="shared" si="32"/>
        <v>250922.4</v>
      </c>
      <c r="S243" s="1065">
        <f t="shared" si="32"/>
        <v>-3662.1</v>
      </c>
    </row>
    <row r="244" spans="1:25" ht="69.75" hidden="1" customHeight="1">
      <c r="A244" s="2402" t="s">
        <v>1031</v>
      </c>
      <c r="B244" s="2406"/>
      <c r="C244" s="893">
        <f t="shared" si="38"/>
        <v>306142.09999999998</v>
      </c>
      <c r="D244" s="894">
        <f>SUM(D245:D246)</f>
        <v>0</v>
      </c>
      <c r="E244" s="894">
        <f>SUM(E245:E246)</f>
        <v>306142.09999999998</v>
      </c>
      <c r="F244" s="893">
        <f t="shared" si="39"/>
        <v>371098.1</v>
      </c>
      <c r="G244" s="894">
        <f>SUM(G245:G246)</f>
        <v>0</v>
      </c>
      <c r="H244" s="894">
        <f>SUM(H245:H246)</f>
        <v>371098.1</v>
      </c>
      <c r="I244" s="893">
        <f t="shared" si="40"/>
        <v>34804.300000000003</v>
      </c>
      <c r="J244" s="894">
        <f>SUM(J245:J246)</f>
        <v>0</v>
      </c>
      <c r="K244" s="894">
        <f>SUM(K245:K246)</f>
        <v>34804.300000000003</v>
      </c>
      <c r="L244" s="893">
        <f t="shared" si="41"/>
        <v>94.6</v>
      </c>
      <c r="M244" s="894">
        <f t="shared" ref="M244:N247" si="42">SUM(M222,M150,M71)</f>
        <v>47.3</v>
      </c>
      <c r="N244" s="894">
        <f t="shared" si="42"/>
        <v>47.3</v>
      </c>
      <c r="Q244" s="1065">
        <f t="shared" si="32"/>
        <v>-64956</v>
      </c>
      <c r="R244" s="1065">
        <f t="shared" si="32"/>
        <v>0</v>
      </c>
      <c r="S244" s="1065">
        <f t="shared" si="32"/>
        <v>-64956</v>
      </c>
    </row>
    <row r="245" spans="1:25" hidden="1">
      <c r="A245" s="895"/>
      <c r="B245" s="1270" t="s">
        <v>778</v>
      </c>
      <c r="C245" s="893">
        <f t="shared" si="38"/>
        <v>114364.5</v>
      </c>
      <c r="D245" s="873">
        <f>SUM(D143,D144,D145,D148,D175,D176,D179,D186,D188,D190,D195,D149,D146,D172,D147)</f>
        <v>0</v>
      </c>
      <c r="E245" s="873">
        <f>SUM(E143,E144,E145,E146,E147,E149,E148,E172,E176,E179,E186,E188,E190,E195,E175)</f>
        <v>114364.5</v>
      </c>
      <c r="F245" s="893">
        <f t="shared" si="39"/>
        <v>114364.5</v>
      </c>
      <c r="G245" s="873">
        <f>SUM(G143,G144,G145,G148,G175,G176,G179,G186,G188,G190,G195,G149,G146,G172,G147)</f>
        <v>0</v>
      </c>
      <c r="H245" s="873">
        <f>SUM(H143,H144,H145,H146,H147,H149,H148,H172,H176,H179,H186,H188,H190,H195,H175)</f>
        <v>114364.5</v>
      </c>
      <c r="I245" s="893">
        <f t="shared" si="40"/>
        <v>12665.1</v>
      </c>
      <c r="J245" s="1211">
        <f>SUM(J143,J144,J145,J148,J175,J176,J179,J186,J188,J190,J195,J149,J146,J172,J147)</f>
        <v>0</v>
      </c>
      <c r="K245" s="1211">
        <f>SUM(K143,K144,K145,K146,K147,K149,K148,K172,K176,K179,K186,K188,K190,K195,K175)</f>
        <v>12665.1</v>
      </c>
      <c r="L245" s="893">
        <f t="shared" si="41"/>
        <v>122.4</v>
      </c>
      <c r="M245" s="894">
        <f t="shared" si="42"/>
        <v>61.2</v>
      </c>
      <c r="N245" s="894">
        <f t="shared" si="42"/>
        <v>61.2</v>
      </c>
      <c r="Q245" s="1065">
        <f t="shared" si="32"/>
        <v>0</v>
      </c>
      <c r="R245" s="1065">
        <f t="shared" si="32"/>
        <v>0</v>
      </c>
      <c r="S245" s="1065">
        <f t="shared" si="32"/>
        <v>0</v>
      </c>
      <c r="T245" s="1114"/>
    </row>
    <row r="246" spans="1:25" hidden="1">
      <c r="A246" s="895"/>
      <c r="B246" s="1270" t="s">
        <v>779</v>
      </c>
      <c r="C246" s="893">
        <f t="shared" si="38"/>
        <v>191777.6</v>
      </c>
      <c r="D246" s="873">
        <f>SUM(D105:D115,D92:D99,D116:D120,D121:D124,D103,D126:D138)</f>
        <v>0</v>
      </c>
      <c r="E246" s="873">
        <f>SUM(E105:E115,E92:E99,E116:E120,E121:E124,E103,E126:E138)</f>
        <v>191777.6</v>
      </c>
      <c r="F246" s="893">
        <f t="shared" si="39"/>
        <v>256733.6</v>
      </c>
      <c r="G246" s="873">
        <f>SUM(G105:G115,G92:G99,G116:G120,G121:G124,G103,G126:G138)</f>
        <v>0</v>
      </c>
      <c r="H246" s="873">
        <f>SUM(H105:H115,H92:H99,H116:H120,H121:H124,H103,H126:H138)</f>
        <v>256733.6</v>
      </c>
      <c r="I246" s="893">
        <f t="shared" si="40"/>
        <v>22139.200000000001</v>
      </c>
      <c r="J246" s="1211">
        <f>SUM(J105:J115,J92:J99,J116:J120,J121:J124,J103,J126:J138)</f>
        <v>0</v>
      </c>
      <c r="K246" s="1211">
        <f>SUM(K105:K115,K92:K99,K116:K120,K121:K124,K103,K126:K138)</f>
        <v>22139.200000000001</v>
      </c>
      <c r="L246" s="893">
        <f t="shared" si="41"/>
        <v>0</v>
      </c>
      <c r="M246" s="894">
        <f t="shared" si="42"/>
        <v>0</v>
      </c>
      <c r="N246" s="894">
        <f t="shared" si="42"/>
        <v>0</v>
      </c>
      <c r="Q246" s="1065">
        <f t="shared" si="32"/>
        <v>-64956</v>
      </c>
      <c r="R246" s="1065">
        <f t="shared" si="32"/>
        <v>0</v>
      </c>
      <c r="S246" s="1065">
        <f t="shared" si="32"/>
        <v>-64956</v>
      </c>
    </row>
    <row r="247" spans="1:25" ht="67.5" hidden="1" customHeight="1">
      <c r="A247" s="2397" t="s">
        <v>1097</v>
      </c>
      <c r="B247" s="2398"/>
      <c r="C247" s="876">
        <f>D247+E247</f>
        <v>658984.30000000005</v>
      </c>
      <c r="D247" s="879">
        <f>D13-D241-D242-D243-D244</f>
        <v>56500</v>
      </c>
      <c r="E247" s="879">
        <f>E13-E241-E242-E243-E244</f>
        <v>602484.30000000005</v>
      </c>
      <c r="F247" s="876">
        <f>G247+H247</f>
        <v>748739.3</v>
      </c>
      <c r="G247" s="879">
        <f>G13-G241-G242-G243-G244</f>
        <v>56500</v>
      </c>
      <c r="H247" s="879">
        <f>H13-H241-H242-H243-H244</f>
        <v>692239.3</v>
      </c>
      <c r="I247" s="882">
        <f>J247+K247</f>
        <v>14429</v>
      </c>
      <c r="J247" s="1083">
        <f>J13-J241-J242-J243-J244</f>
        <v>0</v>
      </c>
      <c r="K247" s="1083">
        <f>K13-K241-K242-K243-K244</f>
        <v>14429</v>
      </c>
      <c r="L247" s="893">
        <f t="shared" si="41"/>
        <v>0</v>
      </c>
      <c r="M247" s="894">
        <f t="shared" si="42"/>
        <v>0</v>
      </c>
      <c r="N247" s="894">
        <f t="shared" si="42"/>
        <v>0</v>
      </c>
      <c r="Q247" s="1065">
        <f t="shared" si="32"/>
        <v>-89755</v>
      </c>
      <c r="R247" s="1065">
        <f t="shared" si="32"/>
        <v>0</v>
      </c>
      <c r="S247" s="1065">
        <f t="shared" si="32"/>
        <v>-89755</v>
      </c>
    </row>
    <row r="248" spans="1:25" ht="38.25" hidden="1" customHeight="1">
      <c r="A248" s="1103"/>
      <c r="B248" s="797"/>
      <c r="C248" s="799"/>
      <c r="D248" s="799"/>
      <c r="E248" s="799"/>
      <c r="F248" s="799"/>
      <c r="G248" s="799"/>
      <c r="H248" s="799"/>
      <c r="I248" s="1204"/>
      <c r="J248" s="799"/>
      <c r="K248" s="799"/>
      <c r="L248" s="799"/>
      <c r="M248" s="799"/>
      <c r="N248" s="799"/>
      <c r="Q248" s="807" t="s">
        <v>813</v>
      </c>
      <c r="R248" s="1070" t="s">
        <v>814</v>
      </c>
      <c r="S248" s="1070" t="s">
        <v>815</v>
      </c>
    </row>
    <row r="249" spans="1:25" s="939" customFormat="1" ht="33" hidden="1">
      <c r="A249" s="1104"/>
      <c r="B249" s="939" t="s">
        <v>1069</v>
      </c>
      <c r="C249" s="940"/>
      <c r="D249" s="941"/>
      <c r="E249" s="941"/>
      <c r="F249" s="941"/>
      <c r="G249" s="942"/>
      <c r="H249" s="942"/>
      <c r="I249" s="1205"/>
      <c r="J249" s="942"/>
      <c r="K249" s="2399" t="s">
        <v>1070</v>
      </c>
      <c r="L249" s="2399"/>
      <c r="M249" s="943"/>
      <c r="N249" s="943"/>
      <c r="O249" s="1208"/>
      <c r="P249" s="1208"/>
      <c r="Q249" s="807"/>
      <c r="R249" s="778"/>
      <c r="S249" s="778">
        <f>S140+S141</f>
        <v>0</v>
      </c>
      <c r="T249" s="1138" t="s">
        <v>1034</v>
      </c>
      <c r="U249" s="1100"/>
      <c r="V249" s="1099"/>
      <c r="W249" s="1099"/>
      <c r="X249" s="1216"/>
      <c r="Y249" s="1117"/>
    </row>
    <row r="250" spans="1:25" hidden="1">
      <c r="A250" s="1105"/>
      <c r="B250" s="791" t="s">
        <v>1071</v>
      </c>
      <c r="C250" s="793"/>
      <c r="E250" s="2459"/>
      <c r="F250" s="2459"/>
      <c r="G250" s="756"/>
      <c r="Q250" s="807"/>
      <c r="R250" s="778">
        <f>R218</f>
        <v>1698.8</v>
      </c>
      <c r="S250" s="778">
        <f>S218</f>
        <v>-2566.5</v>
      </c>
      <c r="T250" s="1138" t="s">
        <v>1033</v>
      </c>
    </row>
    <row r="251" spans="1:25" hidden="1">
      <c r="A251" s="1105"/>
      <c r="B251" s="791"/>
      <c r="C251" s="793"/>
      <c r="E251" s="1263"/>
      <c r="F251" s="1014"/>
      <c r="G251" s="756"/>
      <c r="Q251" s="807"/>
      <c r="R251" s="1071"/>
      <c r="S251" s="1071"/>
      <c r="T251" s="1138"/>
    </row>
    <row r="252" spans="1:25" hidden="1">
      <c r="E252" s="742"/>
      <c r="Q252" s="1071"/>
      <c r="R252" s="778">
        <f>R19</f>
        <v>43033.7</v>
      </c>
      <c r="S252" s="778">
        <f>S19</f>
        <v>434.7</v>
      </c>
      <c r="T252" s="1138" t="s">
        <v>816</v>
      </c>
    </row>
    <row r="253" spans="1:25" hidden="1">
      <c r="E253" s="742"/>
      <c r="Q253" s="778"/>
      <c r="R253" s="778"/>
      <c r="S253" s="778"/>
      <c r="T253" s="1138"/>
    </row>
    <row r="254" spans="1:25" hidden="1">
      <c r="Q254" s="1071"/>
      <c r="R254" s="1071"/>
      <c r="S254" s="778"/>
      <c r="T254" s="1138"/>
    </row>
    <row r="255" spans="1:25" hidden="1">
      <c r="R255" s="756">
        <f>R13-R249-R250-R251-R252-R253-R254</f>
        <v>249223.6</v>
      </c>
      <c r="S255" s="756">
        <f>S13-S249-S250-S251-S252-S253-S254</f>
        <v>-155806.6</v>
      </c>
    </row>
    <row r="256" spans="1:25" hidden="1">
      <c r="R256" s="1067"/>
      <c r="S256" s="1067"/>
    </row>
  </sheetData>
  <mergeCells count="104">
    <mergeCell ref="A1:B1"/>
    <mergeCell ref="K1:N1"/>
    <mergeCell ref="I3:L3"/>
    <mergeCell ref="A5:W5"/>
    <mergeCell ref="A6:W6"/>
    <mergeCell ref="A7:W7"/>
    <mergeCell ref="X19:X21"/>
    <mergeCell ref="J9:K9"/>
    <mergeCell ref="P9:Q9"/>
    <mergeCell ref="A10:A11"/>
    <mergeCell ref="B10:B11"/>
    <mergeCell ref="C10:C11"/>
    <mergeCell ref="D10:E10"/>
    <mergeCell ref="F10:F11"/>
    <mergeCell ref="G10:H10"/>
    <mergeCell ref="I10:I11"/>
    <mergeCell ref="L10:L11"/>
    <mergeCell ref="M10:N10"/>
    <mergeCell ref="O10:O11"/>
    <mergeCell ref="P10:P11"/>
    <mergeCell ref="A14:B14"/>
    <mergeCell ref="J10:K10"/>
    <mergeCell ref="I65:I69"/>
    <mergeCell ref="J65:J69"/>
    <mergeCell ref="K65:K69"/>
    <mergeCell ref="L65:L69"/>
    <mergeCell ref="M65:M69"/>
    <mergeCell ref="I38:I39"/>
    <mergeCell ref="J38:J39"/>
    <mergeCell ref="K38:K39"/>
    <mergeCell ref="L38:L39"/>
    <mergeCell ref="M38:M39"/>
    <mergeCell ref="W65:W69"/>
    <mergeCell ref="X65:X69"/>
    <mergeCell ref="P66:P67"/>
    <mergeCell ref="T38:T39"/>
    <mergeCell ref="U38:U39"/>
    <mergeCell ref="V38:V39"/>
    <mergeCell ref="W38:W39"/>
    <mergeCell ref="X38:X39"/>
    <mergeCell ref="N65:N69"/>
    <mergeCell ref="T65:T69"/>
    <mergeCell ref="U65:U69"/>
    <mergeCell ref="V65:V69"/>
    <mergeCell ref="N38:N39"/>
    <mergeCell ref="T100:T101"/>
    <mergeCell ref="U100:U101"/>
    <mergeCell ref="V100:V101"/>
    <mergeCell ref="M177:M178"/>
    <mergeCell ref="W100:W101"/>
    <mergeCell ref="X100:X101"/>
    <mergeCell ref="A103:A104"/>
    <mergeCell ref="I100:I101"/>
    <mergeCell ref="J100:J101"/>
    <mergeCell ref="K100:K101"/>
    <mergeCell ref="L100:L101"/>
    <mergeCell ref="M100:M101"/>
    <mergeCell ref="N100:N101"/>
    <mergeCell ref="N150:N156"/>
    <mergeCell ref="X150:X156"/>
    <mergeCell ref="N177:N178"/>
    <mergeCell ref="O177:O178"/>
    <mergeCell ref="P177:P178"/>
    <mergeCell ref="A172:A173"/>
    <mergeCell ref="I177:I178"/>
    <mergeCell ref="J177:J178"/>
    <mergeCell ref="K177:K178"/>
    <mergeCell ref="L177:L178"/>
    <mergeCell ref="X180:X182"/>
    <mergeCell ref="T177:T178"/>
    <mergeCell ref="U177:U178"/>
    <mergeCell ref="V177:V178"/>
    <mergeCell ref="W177:W178"/>
    <mergeCell ref="X177:X178"/>
    <mergeCell ref="A243:B243"/>
    <mergeCell ref="T150:T156"/>
    <mergeCell ref="U150:U156"/>
    <mergeCell ref="V150:V156"/>
    <mergeCell ref="W150:W156"/>
    <mergeCell ref="W180:W182"/>
    <mergeCell ref="J150:J156"/>
    <mergeCell ref="K150:K156"/>
    <mergeCell ref="L150:L156"/>
    <mergeCell ref="M150:M156"/>
    <mergeCell ref="A186:A187"/>
    <mergeCell ref="A188:A189"/>
    <mergeCell ref="M180:M182"/>
    <mergeCell ref="N180:N182"/>
    <mergeCell ref="T180:T182"/>
    <mergeCell ref="U180:U182"/>
    <mergeCell ref="V180:V182"/>
    <mergeCell ref="I180:I182"/>
    <mergeCell ref="J180:J182"/>
    <mergeCell ref="K180:K182"/>
    <mergeCell ref="L180:L182"/>
    <mergeCell ref="A247:B247"/>
    <mergeCell ref="K249:L249"/>
    <mergeCell ref="E250:F250"/>
    <mergeCell ref="A195:A196"/>
    <mergeCell ref="A198:B198"/>
    <mergeCell ref="A241:B241"/>
    <mergeCell ref="A242:B242"/>
    <mergeCell ref="A244:B244"/>
    <mergeCell ref="A190:A191"/>
  </mergeCells>
  <printOptions horizontalCentered="1"/>
  <pageMargins left="0.19685039370078741" right="0.19685039370078741" top="0.23622047244094491" bottom="0.23622047244094491" header="0.15748031496062992" footer="0.19685039370078741"/>
  <pageSetup paperSize="9" scale="40" fitToHeight="20" orientation="landscape" r:id="rId1"/>
  <customProperties>
    <customPr name="krista_fm_consts" r:id="rId2"/>
  </customProperties>
</worksheet>
</file>

<file path=xl/worksheets/sheet23.xml><?xml version="1.0" encoding="utf-8"?>
<worksheet xmlns="http://schemas.openxmlformats.org/spreadsheetml/2006/main" xmlns:r="http://schemas.openxmlformats.org/officeDocument/2006/relationships">
  <sheetPr>
    <pageSetUpPr fitToPage="1"/>
  </sheetPr>
  <dimension ref="A1:Z260"/>
  <sheetViews>
    <sheetView zoomScale="60" zoomScaleNormal="60" zoomScaleSheetLayoutView="40" workbookViewId="0">
      <selection sqref="A1:IV65536"/>
    </sheetView>
  </sheetViews>
  <sheetFormatPr defaultColWidth="9.140625" defaultRowHeight="30"/>
  <cols>
    <col min="1" max="1" width="12.710937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0.28515625" style="714" customWidth="1"/>
    <col min="10" max="10" width="22.5703125" style="497" customWidth="1"/>
    <col min="11" max="11" width="22" style="497"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26" width="22" style="1035" hidden="1" customWidth="1"/>
    <col min="27" max="16384" width="9.140625" style="497"/>
  </cols>
  <sheetData>
    <row r="1" spans="1:26">
      <c r="A1" s="2359"/>
      <c r="B1" s="2359"/>
      <c r="C1" s="817"/>
      <c r="D1" s="817"/>
      <c r="E1" s="817"/>
      <c r="F1" s="817"/>
      <c r="G1" s="817"/>
      <c r="H1" s="817"/>
      <c r="I1" s="817"/>
      <c r="K1" s="2384"/>
      <c r="L1" s="2384"/>
      <c r="M1" s="2384"/>
      <c r="N1" s="2384"/>
    </row>
    <row r="2" spans="1:26" hidden="1">
      <c r="B2" s="1290"/>
      <c r="C2" s="714"/>
      <c r="D2" s="1290"/>
      <c r="E2" s="1290"/>
      <c r="L2" s="714"/>
    </row>
    <row r="3" spans="1:26" s="467" customFormat="1" hidden="1">
      <c r="A3" s="860"/>
      <c r="B3" s="859"/>
      <c r="C3" s="715"/>
      <c r="D3" s="716"/>
      <c r="E3" s="716"/>
      <c r="F3" s="715"/>
      <c r="G3" s="716"/>
      <c r="H3" s="716"/>
      <c r="I3" s="2312"/>
      <c r="J3" s="2312"/>
      <c r="K3" s="2312"/>
      <c r="L3" s="2312"/>
      <c r="N3" s="717"/>
      <c r="O3" s="1221"/>
      <c r="P3" s="1221"/>
      <c r="T3" s="1107"/>
      <c r="U3" s="1108"/>
      <c r="V3" s="1107"/>
      <c r="W3" s="1107"/>
      <c r="X3" s="1217"/>
      <c r="Z3" s="1032"/>
    </row>
    <row r="4" spans="1:26"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c r="Z4" s="1032"/>
    </row>
    <row r="5" spans="1:26" s="467" customFormat="1" ht="38.2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row>
    <row r="6" spans="1:26"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row>
    <row r="7" spans="1:26" s="467" customFormat="1" ht="38.25" customHeight="1">
      <c r="A7" s="2473" t="s">
        <v>1328</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row>
    <row r="8" spans="1:26" s="467" customFormat="1" ht="36" customHeight="1">
      <c r="A8" s="1072"/>
      <c r="B8" s="1072"/>
      <c r="C8" s="1064"/>
      <c r="D8" s="1064"/>
      <c r="E8" s="1064"/>
      <c r="F8" s="1064"/>
      <c r="G8" s="1064"/>
      <c r="H8" s="1064"/>
      <c r="I8" s="1200"/>
      <c r="J8" s="1057"/>
      <c r="K8" s="1064"/>
      <c r="L8" s="1057"/>
      <c r="M8" s="1057"/>
      <c r="N8" s="1057"/>
      <c r="O8" s="1221"/>
      <c r="P8" s="1221"/>
      <c r="Q8" s="858"/>
      <c r="T8" s="1107"/>
      <c r="U8" s="1108"/>
      <c r="V8" s="1107"/>
      <c r="W8" s="1107"/>
      <c r="X8" s="1217"/>
      <c r="Z8" s="1032"/>
    </row>
    <row r="9" spans="1:26" s="1063" customFormat="1" ht="25.5" customHeight="1">
      <c r="A9" s="1073"/>
      <c r="B9" s="1073"/>
      <c r="C9" s="1059"/>
      <c r="D9" s="1306"/>
      <c r="E9" s="1058"/>
      <c r="F9" s="1058"/>
      <c r="G9" s="1058"/>
      <c r="H9" s="1060"/>
      <c r="I9" s="1201"/>
      <c r="J9" s="2423"/>
      <c r="K9" s="2423"/>
      <c r="N9" s="1062"/>
      <c r="O9" s="1221"/>
      <c r="P9" s="2423"/>
      <c r="Q9" s="2423"/>
      <c r="T9" s="1107"/>
      <c r="U9" s="1108"/>
      <c r="V9" s="1107"/>
      <c r="W9" s="1107"/>
      <c r="X9" s="1212"/>
      <c r="Z9" s="1309"/>
    </row>
    <row r="10" spans="1:26" s="791" customFormat="1" ht="70.5" customHeight="1">
      <c r="A10" s="2394" t="s">
        <v>18</v>
      </c>
      <c r="B10" s="2395" t="s">
        <v>0</v>
      </c>
      <c r="C10" s="2396" t="s">
        <v>614</v>
      </c>
      <c r="D10" s="2424" t="s">
        <v>257</v>
      </c>
      <c r="E10" s="2424"/>
      <c r="F10" s="2396" t="s">
        <v>442</v>
      </c>
      <c r="G10" s="2424" t="s">
        <v>257</v>
      </c>
      <c r="H10" s="2424"/>
      <c r="I10" s="2407" t="s">
        <v>237</v>
      </c>
      <c r="J10" s="2424" t="s">
        <v>257</v>
      </c>
      <c r="K10" s="2424"/>
      <c r="L10" s="2396" t="s">
        <v>1313</v>
      </c>
      <c r="M10" s="2424" t="s">
        <v>448</v>
      </c>
      <c r="N10" s="2424"/>
      <c r="O10" s="2460" t="s">
        <v>1110</v>
      </c>
      <c r="P10" s="2460" t="s">
        <v>1106</v>
      </c>
      <c r="T10" s="1099"/>
      <c r="U10" s="1100"/>
      <c r="V10" s="1099"/>
      <c r="W10" s="1099"/>
      <c r="X10" s="1216"/>
      <c r="Z10" s="1310"/>
    </row>
    <row r="11" spans="1:26" s="791" customFormat="1" ht="150" customHeight="1">
      <c r="A11" s="2394"/>
      <c r="B11" s="2395"/>
      <c r="C11" s="2396"/>
      <c r="D11" s="905" t="s">
        <v>1074</v>
      </c>
      <c r="E11" s="905" t="s">
        <v>258</v>
      </c>
      <c r="F11" s="2396"/>
      <c r="G11" s="905" t="s">
        <v>1074</v>
      </c>
      <c r="H11" s="905" t="s">
        <v>258</v>
      </c>
      <c r="I11" s="2408"/>
      <c r="J11" s="905" t="s">
        <v>1074</v>
      </c>
      <c r="K11" s="905" t="s">
        <v>258</v>
      </c>
      <c r="L11" s="2396"/>
      <c r="M11" s="905" t="s">
        <v>1074</v>
      </c>
      <c r="N11" s="905" t="s">
        <v>258</v>
      </c>
      <c r="O11" s="2461"/>
      <c r="P11" s="2461"/>
      <c r="T11" s="1099"/>
      <c r="U11" s="1100"/>
      <c r="V11" s="1099"/>
      <c r="W11" s="1099"/>
      <c r="X11" s="1216"/>
      <c r="Z11" s="1310"/>
    </row>
    <row r="12" spans="1:26" ht="26.25">
      <c r="A12" s="263">
        <v>1</v>
      </c>
      <c r="B12" s="263">
        <v>2</v>
      </c>
      <c r="C12" s="263">
        <v>3</v>
      </c>
      <c r="D12" s="263">
        <v>4</v>
      </c>
      <c r="E12" s="263">
        <v>5</v>
      </c>
      <c r="F12" s="721">
        <v>7</v>
      </c>
      <c r="G12" s="721">
        <v>8</v>
      </c>
      <c r="H12" s="721">
        <v>9</v>
      </c>
      <c r="I12" s="721">
        <v>6</v>
      </c>
      <c r="J12" s="721">
        <v>7</v>
      </c>
      <c r="K12" s="721">
        <v>8</v>
      </c>
      <c r="L12" s="721">
        <v>9</v>
      </c>
      <c r="M12" s="721">
        <v>10</v>
      </c>
      <c r="N12" s="721">
        <v>11</v>
      </c>
      <c r="O12" s="30">
        <v>10</v>
      </c>
      <c r="P12" s="30">
        <v>11</v>
      </c>
      <c r="Q12" s="497" t="s">
        <v>791</v>
      </c>
      <c r="T12" s="1206"/>
      <c r="U12" s="1207"/>
      <c r="V12" s="1206"/>
      <c r="W12" s="1206"/>
    </row>
    <row r="13" spans="1:26" s="914" customFormat="1" ht="43.5" customHeight="1">
      <c r="A13" s="1313"/>
      <c r="B13" s="916" t="s">
        <v>10</v>
      </c>
      <c r="C13" s="917">
        <f>SUM(D13:E13)</f>
        <v>6143508.5999999996</v>
      </c>
      <c r="D13" s="917">
        <f>SUM(D14,D202)</f>
        <v>4895669</v>
      </c>
      <c r="E13" s="917">
        <f>SUM(E14,E202)</f>
        <v>1247839.6000000001</v>
      </c>
      <c r="F13" s="917">
        <f>SUM(G13:H13)</f>
        <v>6081640.7000000002</v>
      </c>
      <c r="G13" s="917">
        <f>SUM(G14,G202)</f>
        <v>4838636.2</v>
      </c>
      <c r="H13" s="917">
        <f>SUM(H14,H202)</f>
        <v>1243004.5</v>
      </c>
      <c r="I13" s="917">
        <f>SUM(J13:K13)</f>
        <v>372605.3</v>
      </c>
      <c r="J13" s="917">
        <f>SUM(J14,J202)</f>
        <v>288722.3</v>
      </c>
      <c r="K13" s="917">
        <f>SUM(K14,K202)</f>
        <v>83883</v>
      </c>
      <c r="L13" s="918">
        <f t="shared" ref="L13:N14" si="0">IF(I13=0,0,I13/F13*100)</f>
        <v>6.1</v>
      </c>
      <c r="M13" s="918">
        <f t="shared" si="0"/>
        <v>6</v>
      </c>
      <c r="N13" s="918">
        <f t="shared" si="0"/>
        <v>6.7</v>
      </c>
      <c r="O13" s="1232" t="s">
        <v>353</v>
      </c>
      <c r="P13" s="1232"/>
      <c r="Q13" s="1229">
        <f t="shared" ref="Q13:S78" si="1">C13-F13</f>
        <v>61867.9</v>
      </c>
      <c r="R13" s="1229">
        <f t="shared" si="1"/>
        <v>57032.800000000003</v>
      </c>
      <c r="S13" s="1229">
        <f t="shared" si="1"/>
        <v>4835.1000000000004</v>
      </c>
      <c r="T13" s="1230"/>
      <c r="U13" s="1231"/>
      <c r="V13" s="1230"/>
      <c r="W13" s="1230"/>
      <c r="X13" s="1216"/>
      <c r="Z13" s="1311">
        <f t="shared" ref="Z13:Z76" si="2">C13-F13</f>
        <v>61867.9</v>
      </c>
    </row>
    <row r="14" spans="1:26" s="914" customFormat="1" ht="71.25" customHeight="1">
      <c r="A14" s="2401" t="s">
        <v>453</v>
      </c>
      <c r="B14" s="2401"/>
      <c r="C14" s="917">
        <f>D14+E14</f>
        <v>4943342.2</v>
      </c>
      <c r="D14" s="917">
        <f>SUM(D16,D88)</f>
        <v>3986169</v>
      </c>
      <c r="E14" s="917">
        <f>SUM(E16,E88)</f>
        <v>957173.2</v>
      </c>
      <c r="F14" s="917">
        <f>G14+H14</f>
        <v>4883366.5999999996</v>
      </c>
      <c r="G14" s="917">
        <f>SUM(G16,G88)</f>
        <v>3930835</v>
      </c>
      <c r="H14" s="917">
        <f>SUM(H16,H88)</f>
        <v>952531.6</v>
      </c>
      <c r="I14" s="917">
        <f>J14+K14</f>
        <v>184088.8</v>
      </c>
      <c r="J14" s="917">
        <f>SUM(J16,J88)</f>
        <v>127769.2</v>
      </c>
      <c r="K14" s="917">
        <f>SUM(K16,K88)</f>
        <v>56319.6</v>
      </c>
      <c r="L14" s="918">
        <f t="shared" si="0"/>
        <v>3.8</v>
      </c>
      <c r="M14" s="920">
        <f t="shared" si="0"/>
        <v>3.3</v>
      </c>
      <c r="N14" s="920">
        <f t="shared" si="0"/>
        <v>5.9</v>
      </c>
      <c r="O14" s="1232" t="s">
        <v>353</v>
      </c>
      <c r="P14" s="1232" t="s">
        <v>353</v>
      </c>
      <c r="Q14" s="1229">
        <f t="shared" si="1"/>
        <v>59975.6</v>
      </c>
      <c r="R14" s="1229">
        <f t="shared" si="1"/>
        <v>55334</v>
      </c>
      <c r="S14" s="1229">
        <f t="shared" si="1"/>
        <v>4641.6000000000004</v>
      </c>
      <c r="T14" s="1230"/>
      <c r="U14" s="1231"/>
      <c r="V14" s="1230"/>
      <c r="W14" s="1230"/>
      <c r="X14" s="1216"/>
      <c r="Z14" s="1311">
        <f t="shared" si="2"/>
        <v>59975.6</v>
      </c>
    </row>
    <row r="15" spans="1:26" s="914" customFormat="1" ht="54" hidden="1">
      <c r="A15" s="944" t="s">
        <v>6</v>
      </c>
      <c r="B15" s="1234" t="s">
        <v>437</v>
      </c>
      <c r="C15" s="922"/>
      <c r="D15" s="922"/>
      <c r="E15" s="922"/>
      <c r="F15" s="922"/>
      <c r="G15" s="922"/>
      <c r="H15" s="922"/>
      <c r="I15" s="922"/>
      <c r="J15" s="922"/>
      <c r="K15" s="922"/>
      <c r="L15" s="923"/>
      <c r="M15" s="924"/>
      <c r="N15" s="924"/>
      <c r="O15" s="1214"/>
      <c r="P15" s="1214"/>
      <c r="Q15" s="1065">
        <f t="shared" si="1"/>
        <v>0</v>
      </c>
      <c r="R15" s="1065">
        <f t="shared" si="1"/>
        <v>0</v>
      </c>
      <c r="S15" s="1065">
        <f t="shared" si="1"/>
        <v>0</v>
      </c>
      <c r="T15" s="1099"/>
      <c r="U15" s="1100"/>
      <c r="V15" s="1099"/>
      <c r="W15" s="1099"/>
      <c r="X15" s="1216"/>
      <c r="Z15" s="1311">
        <f t="shared" si="2"/>
        <v>0</v>
      </c>
    </row>
    <row r="16" spans="1:26" s="914" customFormat="1" ht="117" customHeight="1">
      <c r="A16" s="926" t="s">
        <v>6</v>
      </c>
      <c r="B16" s="1259" t="s">
        <v>439</v>
      </c>
      <c r="C16" s="926">
        <f>SUM(D16:E16)</f>
        <v>1359991.3</v>
      </c>
      <c r="D16" s="926">
        <f>SUM(D17)</f>
        <v>1097694.5</v>
      </c>
      <c r="E16" s="926">
        <f>SUM(E17)</f>
        <v>262296.8</v>
      </c>
      <c r="F16" s="926">
        <f>SUM(G16:H16)</f>
        <v>1312315.8999999999</v>
      </c>
      <c r="G16" s="926">
        <f>SUM(G17)</f>
        <v>1054660.8</v>
      </c>
      <c r="H16" s="926">
        <f>SUM(H17)</f>
        <v>257655.1</v>
      </c>
      <c r="I16" s="926">
        <f>SUM(J16:K16)</f>
        <v>46819.6</v>
      </c>
      <c r="J16" s="926">
        <f>SUM(J17)</f>
        <v>42247.1</v>
      </c>
      <c r="K16" s="926">
        <f>SUM(K17)</f>
        <v>4572.5</v>
      </c>
      <c r="L16" s="927">
        <f t="shared" ref="L16:N37" si="3">IF(I16=0,0,I16/F16*100)</f>
        <v>3.6</v>
      </c>
      <c r="M16" s="928">
        <f t="shared" si="3"/>
        <v>4</v>
      </c>
      <c r="N16" s="928">
        <f t="shared" si="3"/>
        <v>1.8</v>
      </c>
      <c r="O16" s="1233" t="s">
        <v>353</v>
      </c>
      <c r="P16" s="1233" t="s">
        <v>353</v>
      </c>
      <c r="Q16" s="1065">
        <f t="shared" si="1"/>
        <v>47675.4</v>
      </c>
      <c r="R16" s="1065">
        <f t="shared" si="1"/>
        <v>43033.7</v>
      </c>
      <c r="S16" s="1065">
        <f t="shared" si="1"/>
        <v>4641.7</v>
      </c>
      <c r="T16" s="1114"/>
      <c r="U16" s="1100"/>
      <c r="V16" s="1099"/>
      <c r="W16" s="1099"/>
      <c r="X16" s="1216"/>
      <c r="Z16" s="1311">
        <f t="shared" si="2"/>
        <v>47675.4</v>
      </c>
    </row>
    <row r="17" spans="1:26" s="914" customFormat="1" ht="63.75" customHeight="1">
      <c r="A17" s="929" t="s">
        <v>253</v>
      </c>
      <c r="B17" s="1260" t="s">
        <v>41</v>
      </c>
      <c r="C17" s="929">
        <f>SUM(D17:E17)</f>
        <v>1359991.3</v>
      </c>
      <c r="D17" s="929">
        <f>SUM(D18:D19,D20,D22,D25,D27,D30,D33,D35,D40,D44,D47,D49,D53,D58,D60,D62,D70,D64,D21,D56)</f>
        <v>1097694.5</v>
      </c>
      <c r="E17" s="929">
        <f>SUM(E18:E19,E20,E22,E25,E27,E30,E33,E35,E40,E44,E47,E49,E53,E58,E60,E62,E70,E64,E21,E56)</f>
        <v>262296.8</v>
      </c>
      <c r="F17" s="929">
        <f>SUM(G17:H17)</f>
        <v>1312315.8999999999</v>
      </c>
      <c r="G17" s="929">
        <f>SUM(G18:G19,G20,G22,G25,G27,G30,G33,G35,G40,G44,G47,G49,G53,G58,G60,G62,G70,G64,G21,G56)</f>
        <v>1054660.8</v>
      </c>
      <c r="H17" s="929">
        <f>SUM(H18:H19,H20,H22,H25,H27,H30,H33,H35,H40,H44,H47,H49,H53,H58,H60,H62,H70,H64,H21,H56)</f>
        <v>257655.1</v>
      </c>
      <c r="I17" s="929">
        <f>SUM(J17:K17)</f>
        <v>46819.6</v>
      </c>
      <c r="J17" s="929">
        <f>SUM(J18:J19,J20,J22,J25,J27,J30,J33,J35,J40,J44,J47,J49,J53,J58,J60,J62,J70,J64,J21,J56)</f>
        <v>42247.1</v>
      </c>
      <c r="K17" s="929">
        <f>SUM(K18:K19,K20,K22,K25,K27,K30,K33,K35,K40,K44,K47,K49,K53,K58,K60,K62,K70,K64,K21,K56)</f>
        <v>4572.5</v>
      </c>
      <c r="L17" s="930">
        <f t="shared" si="3"/>
        <v>3.6</v>
      </c>
      <c r="M17" s="931">
        <f t="shared" si="3"/>
        <v>4</v>
      </c>
      <c r="N17" s="931">
        <f t="shared" si="3"/>
        <v>1.8</v>
      </c>
      <c r="O17" s="1228" t="s">
        <v>353</v>
      </c>
      <c r="P17" s="1228" t="s">
        <v>353</v>
      </c>
      <c r="Q17" s="1065">
        <f t="shared" si="1"/>
        <v>47675.4</v>
      </c>
      <c r="R17" s="1065">
        <f t="shared" si="1"/>
        <v>43033.7</v>
      </c>
      <c r="S17" s="1065">
        <f t="shared" si="1"/>
        <v>4641.7</v>
      </c>
      <c r="T17" s="1099"/>
      <c r="U17" s="1100"/>
      <c r="V17" s="1099"/>
      <c r="W17" s="1099"/>
      <c r="X17" s="1216"/>
      <c r="Z17" s="1311">
        <f t="shared" si="2"/>
        <v>47675.4</v>
      </c>
    </row>
    <row r="18" spans="1:26" s="736" customFormat="1" ht="105" hidden="1">
      <c r="A18" s="1297" t="s">
        <v>538</v>
      </c>
      <c r="B18" s="1066" t="s">
        <v>434</v>
      </c>
      <c r="C18" s="871">
        <f t="shared" ref="C18:C69" si="4">SUM(D18:E18)</f>
        <v>0</v>
      </c>
      <c r="D18" s="972"/>
      <c r="E18" s="972"/>
      <c r="F18" s="871">
        <f t="shared" ref="F18:F69" si="5">SUM(G18:H18)</f>
        <v>0</v>
      </c>
      <c r="G18" s="972"/>
      <c r="H18" s="972"/>
      <c r="I18" s="871">
        <f t="shared" ref="I18:I61" si="6">SUM(J18:K18)</f>
        <v>0</v>
      </c>
      <c r="J18" s="894"/>
      <c r="K18" s="894"/>
      <c r="L18" s="872">
        <f t="shared" si="3"/>
        <v>0</v>
      </c>
      <c r="M18" s="873">
        <f t="shared" si="3"/>
        <v>0</v>
      </c>
      <c r="N18" s="873">
        <f t="shared" si="3"/>
        <v>0</v>
      </c>
      <c r="O18" s="1214"/>
      <c r="P18" s="1214"/>
      <c r="Q18" s="1065">
        <f t="shared" si="1"/>
        <v>0</v>
      </c>
      <c r="R18" s="1065">
        <f t="shared" si="1"/>
        <v>0</v>
      </c>
      <c r="S18" s="1065">
        <f t="shared" si="1"/>
        <v>0</v>
      </c>
      <c r="T18" s="1099"/>
      <c r="U18" s="1100"/>
      <c r="V18" s="1099"/>
      <c r="W18" s="1099"/>
      <c r="X18" s="1216"/>
      <c r="Z18" s="1311">
        <f t="shared" si="2"/>
        <v>0</v>
      </c>
    </row>
    <row r="19" spans="1:26" s="736" customFormat="1" ht="80.25" customHeight="1">
      <c r="A19" s="1297" t="s">
        <v>538</v>
      </c>
      <c r="B19" s="1066" t="s">
        <v>1076</v>
      </c>
      <c r="C19" s="871">
        <f t="shared" si="4"/>
        <v>43468.4</v>
      </c>
      <c r="D19" s="972">
        <v>43033.7</v>
      </c>
      <c r="E19" s="972">
        <v>434.7</v>
      </c>
      <c r="F19" s="871">
        <f t="shared" si="5"/>
        <v>0</v>
      </c>
      <c r="G19" s="972">
        <v>0</v>
      </c>
      <c r="H19" s="972">
        <v>0</v>
      </c>
      <c r="I19" s="871">
        <f t="shared" si="6"/>
        <v>0</v>
      </c>
      <c r="J19" s="894">
        <v>0</v>
      </c>
      <c r="K19" s="894">
        <v>0</v>
      </c>
      <c r="L19" s="872">
        <f t="shared" si="3"/>
        <v>0</v>
      </c>
      <c r="M19" s="873">
        <f t="shared" si="3"/>
        <v>0</v>
      </c>
      <c r="N19" s="873">
        <f t="shared" si="3"/>
        <v>0</v>
      </c>
      <c r="O19" s="1214" t="s">
        <v>1171</v>
      </c>
      <c r="P19" s="1214" t="s">
        <v>1107</v>
      </c>
      <c r="Q19" s="1065">
        <f t="shared" si="1"/>
        <v>43468.4</v>
      </c>
      <c r="R19" s="1065">
        <f t="shared" si="1"/>
        <v>43033.7</v>
      </c>
      <c r="S19" s="1065">
        <f t="shared" si="1"/>
        <v>434.7</v>
      </c>
      <c r="T19" s="1099" t="s">
        <v>866</v>
      </c>
      <c r="U19" s="1100" t="s">
        <v>865</v>
      </c>
      <c r="V19" s="1099">
        <v>522</v>
      </c>
      <c r="W19" s="1099"/>
      <c r="X19" s="2474"/>
      <c r="Z19" s="1311">
        <f t="shared" si="2"/>
        <v>43468.4</v>
      </c>
    </row>
    <row r="20" spans="1:26" s="892" customFormat="1" ht="117" customHeight="1">
      <c r="A20" s="1297" t="s">
        <v>539</v>
      </c>
      <c r="B20" s="1066" t="s">
        <v>434</v>
      </c>
      <c r="C20" s="1302">
        <f>SUM(D20:E20)</f>
        <v>14736.7</v>
      </c>
      <c r="D20" s="877">
        <v>14736.7</v>
      </c>
      <c r="E20" s="877">
        <v>0</v>
      </c>
      <c r="F20" s="1300">
        <f>SUM(G20:H20)</f>
        <v>14736.7</v>
      </c>
      <c r="G20" s="877">
        <v>14736.7</v>
      </c>
      <c r="H20" s="877">
        <v>0</v>
      </c>
      <c r="I20" s="1300">
        <f t="shared" si="6"/>
        <v>11326.4</v>
      </c>
      <c r="J20" s="1301">
        <v>11326.4</v>
      </c>
      <c r="K20" s="1301">
        <v>0</v>
      </c>
      <c r="L20" s="876">
        <f t="shared" si="3"/>
        <v>76.900000000000006</v>
      </c>
      <c r="M20" s="877">
        <f t="shared" si="3"/>
        <v>76.900000000000006</v>
      </c>
      <c r="N20" s="877">
        <f t="shared" si="3"/>
        <v>0</v>
      </c>
      <c r="O20" s="1292" t="s">
        <v>1172</v>
      </c>
      <c r="P20" s="1214" t="s">
        <v>1108</v>
      </c>
      <c r="Q20" s="1065">
        <f t="shared" si="1"/>
        <v>0</v>
      </c>
      <c r="R20" s="1065">
        <f t="shared" si="1"/>
        <v>0</v>
      </c>
      <c r="S20" s="1065">
        <f t="shared" si="1"/>
        <v>0</v>
      </c>
      <c r="T20" s="1099" t="s">
        <v>961</v>
      </c>
      <c r="U20" s="1100" t="s">
        <v>962</v>
      </c>
      <c r="V20" s="1099">
        <v>522</v>
      </c>
      <c r="W20" s="1099"/>
      <c r="X20" s="2475"/>
      <c r="Z20" s="1311">
        <f t="shared" si="2"/>
        <v>0</v>
      </c>
    </row>
    <row r="21" spans="1:26" s="892" customFormat="1" ht="118.5" customHeight="1">
      <c r="A21" s="1297" t="s">
        <v>19</v>
      </c>
      <c r="B21" s="1066" t="s">
        <v>792</v>
      </c>
      <c r="C21" s="1302">
        <f t="shared" si="4"/>
        <v>741029.8</v>
      </c>
      <c r="D21" s="877">
        <v>733604.7</v>
      </c>
      <c r="E21" s="877">
        <v>7425.1</v>
      </c>
      <c r="F21" s="1300">
        <f t="shared" si="5"/>
        <v>741029.8</v>
      </c>
      <c r="G21" s="877">
        <v>733604.7</v>
      </c>
      <c r="H21" s="877">
        <v>7425.1</v>
      </c>
      <c r="I21" s="1300">
        <f t="shared" si="6"/>
        <v>0</v>
      </c>
      <c r="J21" s="1301">
        <v>0</v>
      </c>
      <c r="K21" s="1301">
        <v>0</v>
      </c>
      <c r="L21" s="876">
        <f t="shared" si="3"/>
        <v>0</v>
      </c>
      <c r="M21" s="877">
        <f t="shared" si="3"/>
        <v>0</v>
      </c>
      <c r="N21" s="877">
        <f t="shared" si="3"/>
        <v>0</v>
      </c>
      <c r="O21" s="1214" t="s">
        <v>1171</v>
      </c>
      <c r="P21" s="1214" t="s">
        <v>1109</v>
      </c>
      <c r="Q21" s="1065">
        <f t="shared" si="1"/>
        <v>0</v>
      </c>
      <c r="R21" s="1065">
        <f t="shared" si="1"/>
        <v>0</v>
      </c>
      <c r="S21" s="1065">
        <f t="shared" si="1"/>
        <v>0</v>
      </c>
      <c r="T21" s="1099" t="s">
        <v>963</v>
      </c>
      <c r="U21" s="1100" t="s">
        <v>964</v>
      </c>
      <c r="V21" s="1099">
        <v>522</v>
      </c>
      <c r="W21" s="1099"/>
      <c r="X21" s="2476"/>
      <c r="Z21" s="1311">
        <f t="shared" si="2"/>
        <v>0</v>
      </c>
    </row>
    <row r="22" spans="1:26">
      <c r="A22" s="1297"/>
      <c r="B22" s="898" t="s">
        <v>283</v>
      </c>
      <c r="C22" s="1302">
        <f t="shared" si="4"/>
        <v>13903.1</v>
      </c>
      <c r="D22" s="875">
        <f>SUM(D24:D24)</f>
        <v>0</v>
      </c>
      <c r="E22" s="875">
        <f>SUM(E23:E24)</f>
        <v>13903.1</v>
      </c>
      <c r="F22" s="1302">
        <f t="shared" si="5"/>
        <v>13903.1</v>
      </c>
      <c r="G22" s="875">
        <f>SUM(G24:G24)</f>
        <v>0</v>
      </c>
      <c r="H22" s="875">
        <f>SUM(H23:H24)</f>
        <v>13903.1</v>
      </c>
      <c r="I22" s="1302">
        <f t="shared" si="6"/>
        <v>0</v>
      </c>
      <c r="J22" s="875">
        <f>SUM(J24:J24)</f>
        <v>0</v>
      </c>
      <c r="K22" s="875">
        <f>SUM(K24:K24)</f>
        <v>0</v>
      </c>
      <c r="L22" s="876">
        <f t="shared" si="3"/>
        <v>0</v>
      </c>
      <c r="M22" s="877">
        <f t="shared" si="3"/>
        <v>0</v>
      </c>
      <c r="N22" s="877">
        <f t="shared" si="3"/>
        <v>0</v>
      </c>
      <c r="O22" s="1214" t="s">
        <v>353</v>
      </c>
      <c r="P22" s="1214" t="s">
        <v>353</v>
      </c>
      <c r="Q22" s="1065">
        <f t="shared" si="1"/>
        <v>0</v>
      </c>
      <c r="R22" s="1065">
        <f t="shared" si="1"/>
        <v>0</v>
      </c>
      <c r="S22" s="1065">
        <f t="shared" si="1"/>
        <v>0</v>
      </c>
      <c r="Z22" s="1311">
        <f t="shared" si="2"/>
        <v>0</v>
      </c>
    </row>
    <row r="23" spans="1:26" ht="115.5" customHeight="1">
      <c r="A23" s="1297" t="s">
        <v>20</v>
      </c>
      <c r="B23" s="1295" t="s">
        <v>1119</v>
      </c>
      <c r="C23" s="871">
        <f>SUM(D23:E23)</f>
        <v>5016.7</v>
      </c>
      <c r="D23" s="1249">
        <v>0</v>
      </c>
      <c r="E23" s="1249">
        <v>5016.7</v>
      </c>
      <c r="F23" s="1302">
        <f>SUM(G23:H23)</f>
        <v>5016.7</v>
      </c>
      <c r="G23" s="1299">
        <v>0</v>
      </c>
      <c r="H23" s="1299">
        <v>5016.7</v>
      </c>
      <c r="I23" s="1303">
        <f>SUM(J23:K23)</f>
        <v>0</v>
      </c>
      <c r="J23" s="1303">
        <v>0</v>
      </c>
      <c r="K23" s="1303">
        <v>0</v>
      </c>
      <c r="L23" s="877">
        <f t="shared" si="3"/>
        <v>0</v>
      </c>
      <c r="M23" s="877">
        <f t="shared" si="3"/>
        <v>0</v>
      </c>
      <c r="N23" s="877">
        <f t="shared" si="3"/>
        <v>0</v>
      </c>
      <c r="O23" s="1214" t="s">
        <v>1171</v>
      </c>
      <c r="P23" s="1214" t="s">
        <v>1120</v>
      </c>
      <c r="Q23" s="1065"/>
      <c r="R23" s="1065"/>
      <c r="S23" s="1065"/>
      <c r="T23" s="1099" t="s">
        <v>954</v>
      </c>
      <c r="U23" s="1100" t="s">
        <v>976</v>
      </c>
      <c r="V23" s="1099">
        <v>522</v>
      </c>
      <c r="W23" s="1099">
        <v>24356</v>
      </c>
      <c r="Z23" s="1311">
        <f t="shared" si="2"/>
        <v>0</v>
      </c>
    </row>
    <row r="24" spans="1:26" ht="95.25" customHeight="1">
      <c r="A24" s="1297" t="s">
        <v>467</v>
      </c>
      <c r="B24" s="1084" t="s">
        <v>770</v>
      </c>
      <c r="C24" s="871">
        <f>SUM(D24:E24)</f>
        <v>8886.4</v>
      </c>
      <c r="D24" s="1249">
        <v>0</v>
      </c>
      <c r="E24" s="1249">
        <v>8886.4</v>
      </c>
      <c r="F24" s="1302">
        <f>SUM(G24:H24)</f>
        <v>8886.4</v>
      </c>
      <c r="G24" s="1299">
        <v>0</v>
      </c>
      <c r="H24" s="1299">
        <v>8886.4</v>
      </c>
      <c r="I24" s="1303">
        <f t="shared" si="6"/>
        <v>0</v>
      </c>
      <c r="J24" s="1303">
        <v>0</v>
      </c>
      <c r="K24" s="1303">
        <v>0</v>
      </c>
      <c r="L24" s="877">
        <f t="shared" si="3"/>
        <v>0</v>
      </c>
      <c r="M24" s="877">
        <f t="shared" si="3"/>
        <v>0</v>
      </c>
      <c r="N24" s="877">
        <f t="shared" si="3"/>
        <v>0</v>
      </c>
      <c r="O24" s="1214" t="s">
        <v>1124</v>
      </c>
      <c r="P24" s="1214" t="s">
        <v>1121</v>
      </c>
      <c r="Q24" s="1065">
        <f t="shared" si="1"/>
        <v>0</v>
      </c>
      <c r="R24" s="1065">
        <f t="shared" si="1"/>
        <v>0</v>
      </c>
      <c r="S24" s="1065">
        <f t="shared" si="1"/>
        <v>0</v>
      </c>
      <c r="T24" s="1099" t="s">
        <v>926</v>
      </c>
      <c r="U24" s="1100" t="s">
        <v>965</v>
      </c>
      <c r="V24" s="1099">
        <v>522</v>
      </c>
      <c r="W24" s="1099" t="s">
        <v>975</v>
      </c>
      <c r="Z24" s="1311">
        <f t="shared" si="2"/>
        <v>0</v>
      </c>
    </row>
    <row r="25" spans="1:26">
      <c r="A25" s="1297"/>
      <c r="B25" s="898" t="s">
        <v>724</v>
      </c>
      <c r="C25" s="871">
        <f t="shared" si="4"/>
        <v>8700</v>
      </c>
      <c r="D25" s="1250">
        <f>D26</f>
        <v>0</v>
      </c>
      <c r="E25" s="1250">
        <f>E26</f>
        <v>8700</v>
      </c>
      <c r="F25" s="1302">
        <f t="shared" si="5"/>
        <v>8700</v>
      </c>
      <c r="G25" s="875">
        <f>G26</f>
        <v>0</v>
      </c>
      <c r="H25" s="875">
        <f>H26</f>
        <v>8700</v>
      </c>
      <c r="I25" s="1302">
        <f t="shared" si="6"/>
        <v>0</v>
      </c>
      <c r="J25" s="875">
        <f>J26</f>
        <v>0</v>
      </c>
      <c r="K25" s="875">
        <f>K26</f>
        <v>0</v>
      </c>
      <c r="L25" s="876">
        <f t="shared" si="3"/>
        <v>0</v>
      </c>
      <c r="M25" s="877">
        <f t="shared" si="3"/>
        <v>0</v>
      </c>
      <c r="N25" s="877">
        <f t="shared" si="3"/>
        <v>0</v>
      </c>
      <c r="O25" s="1214" t="s">
        <v>353</v>
      </c>
      <c r="P25" s="1214" t="s">
        <v>353</v>
      </c>
      <c r="Q25" s="1065">
        <f t="shared" si="1"/>
        <v>0</v>
      </c>
      <c r="R25" s="1065">
        <f t="shared" si="1"/>
        <v>0</v>
      </c>
      <c r="S25" s="1065">
        <f t="shared" si="1"/>
        <v>0</v>
      </c>
      <c r="Z25" s="1311">
        <f t="shared" si="2"/>
        <v>0</v>
      </c>
    </row>
    <row r="26" spans="1:26" ht="150.75" customHeight="1">
      <c r="A26" s="1297" t="s">
        <v>468</v>
      </c>
      <c r="B26" s="1084" t="s">
        <v>861</v>
      </c>
      <c r="C26" s="894">
        <f t="shared" si="4"/>
        <v>8700</v>
      </c>
      <c r="D26" s="1249">
        <v>0</v>
      </c>
      <c r="E26" s="1249">
        <v>8700</v>
      </c>
      <c r="F26" s="1303">
        <f t="shared" si="5"/>
        <v>8700</v>
      </c>
      <c r="G26" s="1299">
        <v>0</v>
      </c>
      <c r="H26" s="1299">
        <v>8700</v>
      </c>
      <c r="I26" s="1303">
        <f t="shared" si="6"/>
        <v>0</v>
      </c>
      <c r="J26" s="1303">
        <v>0</v>
      </c>
      <c r="K26" s="1303">
        <v>0</v>
      </c>
      <c r="L26" s="877">
        <f t="shared" si="3"/>
        <v>0</v>
      </c>
      <c r="M26" s="877">
        <f t="shared" si="3"/>
        <v>0</v>
      </c>
      <c r="N26" s="877">
        <f t="shared" si="3"/>
        <v>0</v>
      </c>
      <c r="O26" s="1214" t="s">
        <v>1173</v>
      </c>
      <c r="P26" s="1292" t="s">
        <v>1122</v>
      </c>
      <c r="Q26" s="1065">
        <f t="shared" si="1"/>
        <v>0</v>
      </c>
      <c r="R26" s="1065">
        <f t="shared" si="1"/>
        <v>0</v>
      </c>
      <c r="S26" s="1065">
        <f t="shared" si="1"/>
        <v>0</v>
      </c>
      <c r="T26" s="1099" t="s">
        <v>886</v>
      </c>
      <c r="U26" s="1100" t="s">
        <v>966</v>
      </c>
      <c r="V26" s="1099">
        <v>522</v>
      </c>
      <c r="W26" s="1099" t="s">
        <v>977</v>
      </c>
      <c r="Z26" s="1311">
        <f t="shared" si="2"/>
        <v>0</v>
      </c>
    </row>
    <row r="27" spans="1:26" s="700" customFormat="1">
      <c r="A27" s="1297"/>
      <c r="B27" s="1074" t="s">
        <v>12</v>
      </c>
      <c r="C27" s="871">
        <f t="shared" si="4"/>
        <v>13835</v>
      </c>
      <c r="D27" s="1251">
        <f>SUM(D28:D29)</f>
        <v>0</v>
      </c>
      <c r="E27" s="1251">
        <f>SUM(E28:E29)</f>
        <v>13835</v>
      </c>
      <c r="F27" s="1302">
        <f t="shared" si="5"/>
        <v>13835</v>
      </c>
      <c r="G27" s="880">
        <f>SUM(G28:G29)</f>
        <v>0</v>
      </c>
      <c r="H27" s="880">
        <f>SUM(H28:H29)</f>
        <v>13835</v>
      </c>
      <c r="I27" s="1302">
        <f t="shared" si="6"/>
        <v>0</v>
      </c>
      <c r="J27" s="1302">
        <f>SUM(J28:J29)</f>
        <v>0</v>
      </c>
      <c r="K27" s="1302">
        <f>SUM(K28:K29)</f>
        <v>0</v>
      </c>
      <c r="L27" s="876">
        <f t="shared" si="3"/>
        <v>0</v>
      </c>
      <c r="M27" s="876">
        <f t="shared" si="3"/>
        <v>0</v>
      </c>
      <c r="N27" s="876">
        <f t="shared" si="3"/>
        <v>0</v>
      </c>
      <c r="O27" s="1214" t="s">
        <v>353</v>
      </c>
      <c r="P27" s="1215" t="s">
        <v>353</v>
      </c>
      <c r="Q27" s="1065">
        <f t="shared" si="1"/>
        <v>0</v>
      </c>
      <c r="R27" s="1065">
        <f t="shared" si="1"/>
        <v>0</v>
      </c>
      <c r="S27" s="1065">
        <f t="shared" si="1"/>
        <v>0</v>
      </c>
      <c r="T27" s="1099"/>
      <c r="U27" s="1100"/>
      <c r="V27" s="1099"/>
      <c r="W27" s="1099"/>
      <c r="X27" s="1218"/>
      <c r="Z27" s="1311">
        <f t="shared" si="2"/>
        <v>0</v>
      </c>
    </row>
    <row r="28" spans="1:26" ht="84" customHeight="1">
      <c r="A28" s="1297" t="s">
        <v>685</v>
      </c>
      <c r="B28" s="1075" t="s">
        <v>1037</v>
      </c>
      <c r="C28" s="871">
        <f t="shared" si="4"/>
        <v>7000</v>
      </c>
      <c r="D28" s="972">
        <v>0</v>
      </c>
      <c r="E28" s="972">
        <v>7000</v>
      </c>
      <c r="F28" s="1302">
        <f t="shared" si="5"/>
        <v>7000</v>
      </c>
      <c r="G28" s="879">
        <v>0</v>
      </c>
      <c r="H28" s="879">
        <v>7000</v>
      </c>
      <c r="I28" s="1302">
        <f t="shared" si="6"/>
        <v>0</v>
      </c>
      <c r="J28" s="1303">
        <v>0</v>
      </c>
      <c r="K28" s="1303">
        <v>0</v>
      </c>
      <c r="L28" s="876">
        <f t="shared" si="3"/>
        <v>0</v>
      </c>
      <c r="M28" s="877">
        <f t="shared" si="3"/>
        <v>0</v>
      </c>
      <c r="N28" s="877">
        <f t="shared" si="3"/>
        <v>0</v>
      </c>
      <c r="O28" s="1214" t="s">
        <v>1171</v>
      </c>
      <c r="P28" s="1214" t="s">
        <v>1111</v>
      </c>
      <c r="Q28" s="1065">
        <f t="shared" si="1"/>
        <v>0</v>
      </c>
      <c r="R28" s="1065">
        <f t="shared" si="1"/>
        <v>0</v>
      </c>
      <c r="S28" s="1065">
        <f t="shared" si="1"/>
        <v>0</v>
      </c>
      <c r="T28" s="1099" t="s">
        <v>886</v>
      </c>
      <c r="U28" s="1100" t="s">
        <v>970</v>
      </c>
      <c r="V28" s="1099">
        <v>522</v>
      </c>
      <c r="W28" s="1099">
        <v>24351</v>
      </c>
      <c r="Z28" s="1311">
        <f t="shared" si="2"/>
        <v>0</v>
      </c>
    </row>
    <row r="29" spans="1:26" ht="54" customHeight="1">
      <c r="A29" s="1297" t="s">
        <v>687</v>
      </c>
      <c r="B29" s="1075" t="s">
        <v>1038</v>
      </c>
      <c r="C29" s="871">
        <f>SUM(D29:E29)</f>
        <v>6835</v>
      </c>
      <c r="D29" s="972">
        <v>0</v>
      </c>
      <c r="E29" s="972">
        <v>6835</v>
      </c>
      <c r="F29" s="1302">
        <f>SUM(G29:H29)</f>
        <v>6835</v>
      </c>
      <c r="G29" s="879">
        <v>0</v>
      </c>
      <c r="H29" s="879">
        <v>6835</v>
      </c>
      <c r="I29" s="1302">
        <f t="shared" si="6"/>
        <v>0</v>
      </c>
      <c r="J29" s="1303">
        <v>0</v>
      </c>
      <c r="K29" s="1303">
        <v>0</v>
      </c>
      <c r="L29" s="876">
        <f t="shared" si="3"/>
        <v>0</v>
      </c>
      <c r="M29" s="877">
        <f t="shared" si="3"/>
        <v>0</v>
      </c>
      <c r="N29" s="877">
        <f t="shared" si="3"/>
        <v>0</v>
      </c>
      <c r="O29" s="1214" t="s">
        <v>1171</v>
      </c>
      <c r="P29" s="1214" t="s">
        <v>1123</v>
      </c>
      <c r="Q29" s="1065">
        <f t="shared" si="1"/>
        <v>0</v>
      </c>
      <c r="R29" s="1065">
        <f t="shared" si="1"/>
        <v>0</v>
      </c>
      <c r="S29" s="1065">
        <f t="shared" si="1"/>
        <v>0</v>
      </c>
      <c r="T29" s="1099" t="s">
        <v>886</v>
      </c>
      <c r="U29" s="1100" t="s">
        <v>968</v>
      </c>
      <c r="V29" s="1099">
        <v>522</v>
      </c>
      <c r="W29" s="1099" t="s">
        <v>969</v>
      </c>
      <c r="Z29" s="1311">
        <f t="shared" si="2"/>
        <v>0</v>
      </c>
    </row>
    <row r="30" spans="1:26" s="700" customFormat="1">
      <c r="A30" s="991"/>
      <c r="B30" s="1074" t="s">
        <v>729</v>
      </c>
      <c r="C30" s="871">
        <f t="shared" si="4"/>
        <v>8500</v>
      </c>
      <c r="D30" s="1251">
        <f>SUM(D31:D32)</f>
        <v>0</v>
      </c>
      <c r="E30" s="1251">
        <f>SUM(E31:E32)</f>
        <v>8500</v>
      </c>
      <c r="F30" s="1302">
        <f t="shared" si="5"/>
        <v>8500</v>
      </c>
      <c r="G30" s="880">
        <f>SUM(G31:G32)</f>
        <v>0</v>
      </c>
      <c r="H30" s="880">
        <f>SUM(H31:H32)</f>
        <v>8500</v>
      </c>
      <c r="I30" s="1302">
        <f t="shared" si="6"/>
        <v>0</v>
      </c>
      <c r="J30" s="1302">
        <f>SUM(J31:J32)</f>
        <v>0</v>
      </c>
      <c r="K30" s="1302">
        <f>SUM(K31:K32)</f>
        <v>0</v>
      </c>
      <c r="L30" s="876">
        <f t="shared" si="3"/>
        <v>0</v>
      </c>
      <c r="M30" s="876">
        <f t="shared" si="3"/>
        <v>0</v>
      </c>
      <c r="N30" s="876">
        <f t="shared" si="3"/>
        <v>0</v>
      </c>
      <c r="O30" s="1214" t="s">
        <v>353</v>
      </c>
      <c r="P30" s="1215" t="s">
        <v>353</v>
      </c>
      <c r="Q30" s="1065">
        <f t="shared" si="1"/>
        <v>0</v>
      </c>
      <c r="R30" s="1065">
        <f t="shared" si="1"/>
        <v>0</v>
      </c>
      <c r="S30" s="1065">
        <f t="shared" si="1"/>
        <v>0</v>
      </c>
      <c r="T30" s="1099"/>
      <c r="U30" s="1100"/>
      <c r="V30" s="1099"/>
      <c r="W30" s="1099"/>
      <c r="X30" s="1218"/>
      <c r="Z30" s="1311">
        <f t="shared" si="2"/>
        <v>0</v>
      </c>
    </row>
    <row r="31" spans="1:26" ht="67.5" customHeight="1">
      <c r="A31" s="1297" t="s">
        <v>686</v>
      </c>
      <c r="B31" s="1075" t="s">
        <v>1039</v>
      </c>
      <c r="C31" s="871">
        <f t="shared" si="4"/>
        <v>7000</v>
      </c>
      <c r="D31" s="972">
        <v>0</v>
      </c>
      <c r="E31" s="972">
        <v>7000</v>
      </c>
      <c r="F31" s="1302">
        <f t="shared" si="5"/>
        <v>7000</v>
      </c>
      <c r="G31" s="879">
        <v>0</v>
      </c>
      <c r="H31" s="879">
        <v>7000</v>
      </c>
      <c r="I31" s="1302">
        <f t="shared" si="6"/>
        <v>0</v>
      </c>
      <c r="J31" s="1303">
        <v>0</v>
      </c>
      <c r="K31" s="1303">
        <v>0</v>
      </c>
      <c r="L31" s="876">
        <f t="shared" si="3"/>
        <v>0</v>
      </c>
      <c r="M31" s="877">
        <f t="shared" si="3"/>
        <v>0</v>
      </c>
      <c r="N31" s="877">
        <f t="shared" si="3"/>
        <v>0</v>
      </c>
      <c r="O31" s="1214" t="s">
        <v>1174</v>
      </c>
      <c r="P31" s="1214" t="s">
        <v>1112</v>
      </c>
      <c r="Q31" s="1065">
        <f t="shared" si="1"/>
        <v>0</v>
      </c>
      <c r="R31" s="1065">
        <f t="shared" si="1"/>
        <v>0</v>
      </c>
      <c r="S31" s="1065">
        <f t="shared" si="1"/>
        <v>0</v>
      </c>
      <c r="T31" s="1099" t="s">
        <v>926</v>
      </c>
      <c r="U31" s="1100" t="s">
        <v>970</v>
      </c>
      <c r="V31" s="1099">
        <v>522</v>
      </c>
      <c r="W31" s="1099" t="s">
        <v>993</v>
      </c>
      <c r="Z31" s="1311">
        <f t="shared" si="2"/>
        <v>0</v>
      </c>
    </row>
    <row r="32" spans="1:26" ht="66" customHeight="1">
      <c r="A32" s="1297" t="s">
        <v>688</v>
      </c>
      <c r="B32" s="1075" t="s">
        <v>1040</v>
      </c>
      <c r="C32" s="871">
        <f t="shared" si="4"/>
        <v>1500</v>
      </c>
      <c r="D32" s="972">
        <v>0</v>
      </c>
      <c r="E32" s="972">
        <v>1500</v>
      </c>
      <c r="F32" s="1302">
        <f t="shared" si="5"/>
        <v>1500</v>
      </c>
      <c r="G32" s="879">
        <v>0</v>
      </c>
      <c r="H32" s="879">
        <v>1500</v>
      </c>
      <c r="I32" s="1302">
        <f t="shared" si="6"/>
        <v>0</v>
      </c>
      <c r="J32" s="1303">
        <v>0</v>
      </c>
      <c r="K32" s="1303">
        <v>0</v>
      </c>
      <c r="L32" s="876">
        <f t="shared" si="3"/>
        <v>0</v>
      </c>
      <c r="M32" s="877">
        <f t="shared" si="3"/>
        <v>0</v>
      </c>
      <c r="N32" s="877">
        <f t="shared" si="3"/>
        <v>0</v>
      </c>
      <c r="O32" s="1214" t="s">
        <v>1171</v>
      </c>
      <c r="P32" s="1214"/>
      <c r="Q32" s="1065">
        <f t="shared" si="1"/>
        <v>0</v>
      </c>
      <c r="R32" s="1065">
        <f t="shared" si="1"/>
        <v>0</v>
      </c>
      <c r="S32" s="1065">
        <f t="shared" si="1"/>
        <v>0</v>
      </c>
      <c r="T32" s="1099" t="s">
        <v>923</v>
      </c>
      <c r="U32" s="1100" t="s">
        <v>970</v>
      </c>
      <c r="V32" s="1099">
        <v>522</v>
      </c>
      <c r="W32" s="1099" t="s">
        <v>992</v>
      </c>
      <c r="Z32" s="1311">
        <f t="shared" si="2"/>
        <v>0</v>
      </c>
    </row>
    <row r="33" spans="1:26" s="700" customFormat="1">
      <c r="A33" s="1297"/>
      <c r="B33" s="1074" t="s">
        <v>615</v>
      </c>
      <c r="C33" s="871">
        <f t="shared" si="4"/>
        <v>10156</v>
      </c>
      <c r="D33" s="1251">
        <f>D34</f>
        <v>0</v>
      </c>
      <c r="E33" s="1251">
        <f>E34</f>
        <v>10156</v>
      </c>
      <c r="F33" s="1302">
        <f t="shared" si="5"/>
        <v>10156</v>
      </c>
      <c r="G33" s="880">
        <f>G34</f>
        <v>0</v>
      </c>
      <c r="H33" s="880">
        <f>H34</f>
        <v>10156</v>
      </c>
      <c r="I33" s="1302">
        <f t="shared" si="6"/>
        <v>0</v>
      </c>
      <c r="J33" s="1302">
        <f>J34</f>
        <v>0</v>
      </c>
      <c r="K33" s="1302">
        <f>K34</f>
        <v>0</v>
      </c>
      <c r="L33" s="876">
        <f t="shared" si="3"/>
        <v>0</v>
      </c>
      <c r="M33" s="876">
        <f t="shared" si="3"/>
        <v>0</v>
      </c>
      <c r="N33" s="876">
        <f t="shared" si="3"/>
        <v>0</v>
      </c>
      <c r="O33" s="1214" t="s">
        <v>353</v>
      </c>
      <c r="P33" s="1215" t="s">
        <v>353</v>
      </c>
      <c r="Q33" s="1065">
        <f t="shared" si="1"/>
        <v>0</v>
      </c>
      <c r="R33" s="1065">
        <f t="shared" si="1"/>
        <v>0</v>
      </c>
      <c r="S33" s="1065">
        <f t="shared" si="1"/>
        <v>0</v>
      </c>
      <c r="T33" s="1099"/>
      <c r="U33" s="1100"/>
      <c r="V33" s="1099"/>
      <c r="W33" s="1099"/>
      <c r="X33" s="1218"/>
      <c r="Z33" s="1311">
        <f t="shared" si="2"/>
        <v>0</v>
      </c>
    </row>
    <row r="34" spans="1:26" ht="55.5" customHeight="1">
      <c r="A34" s="1297" t="s">
        <v>98</v>
      </c>
      <c r="B34" s="1075" t="s">
        <v>673</v>
      </c>
      <c r="C34" s="871">
        <f t="shared" si="4"/>
        <v>10156</v>
      </c>
      <c r="D34" s="972">
        <v>0</v>
      </c>
      <c r="E34" s="972">
        <v>10156</v>
      </c>
      <c r="F34" s="1302">
        <f t="shared" si="5"/>
        <v>10156</v>
      </c>
      <c r="G34" s="879">
        <v>0</v>
      </c>
      <c r="H34" s="879">
        <v>10156</v>
      </c>
      <c r="I34" s="1302">
        <f t="shared" si="6"/>
        <v>0</v>
      </c>
      <c r="J34" s="1303">
        <v>0</v>
      </c>
      <c r="K34" s="1303">
        <v>0</v>
      </c>
      <c r="L34" s="876">
        <f t="shared" si="3"/>
        <v>0</v>
      </c>
      <c r="M34" s="877">
        <f t="shared" si="3"/>
        <v>0</v>
      </c>
      <c r="N34" s="877">
        <f t="shared" si="3"/>
        <v>0</v>
      </c>
      <c r="O34" s="1214" t="s">
        <v>1175</v>
      </c>
      <c r="P34" s="1214" t="s">
        <v>1113</v>
      </c>
      <c r="Q34" s="1065">
        <f t="shared" si="1"/>
        <v>0</v>
      </c>
      <c r="R34" s="1065">
        <f t="shared" si="1"/>
        <v>0</v>
      </c>
      <c r="S34" s="1065">
        <f t="shared" si="1"/>
        <v>0</v>
      </c>
      <c r="T34" s="1099" t="s">
        <v>926</v>
      </c>
      <c r="U34" s="1100" t="s">
        <v>965</v>
      </c>
      <c r="V34" s="1099">
        <v>522</v>
      </c>
      <c r="W34" s="1099">
        <v>24345</v>
      </c>
      <c r="Z34" s="1311">
        <f t="shared" si="2"/>
        <v>0</v>
      </c>
    </row>
    <row r="35" spans="1:26">
      <c r="A35" s="991"/>
      <c r="B35" s="898" t="s">
        <v>68</v>
      </c>
      <c r="C35" s="871">
        <f t="shared" si="4"/>
        <v>23520</v>
      </c>
      <c r="D35" s="1250">
        <f>SUM(D36:D39)</f>
        <v>0</v>
      </c>
      <c r="E35" s="1250">
        <f>SUM(E36:E39)</f>
        <v>23520</v>
      </c>
      <c r="F35" s="1302">
        <f t="shared" si="5"/>
        <v>23520</v>
      </c>
      <c r="G35" s="875">
        <f>SUM(G36:G39)</f>
        <v>0</v>
      </c>
      <c r="H35" s="875">
        <f>SUM(H36:H39)</f>
        <v>23520</v>
      </c>
      <c r="I35" s="1302">
        <f t="shared" si="6"/>
        <v>312.5</v>
      </c>
      <c r="J35" s="875">
        <f>SUM(J36:J39)</f>
        <v>0</v>
      </c>
      <c r="K35" s="875">
        <f>SUM(K36:K39)</f>
        <v>312.5</v>
      </c>
      <c r="L35" s="876">
        <f t="shared" si="3"/>
        <v>1.3</v>
      </c>
      <c r="M35" s="877">
        <f t="shared" si="3"/>
        <v>0</v>
      </c>
      <c r="N35" s="877">
        <f t="shared" si="3"/>
        <v>1.3</v>
      </c>
      <c r="O35" s="1214" t="s">
        <v>353</v>
      </c>
      <c r="P35" s="1214" t="s">
        <v>353</v>
      </c>
      <c r="Q35" s="1065">
        <f t="shared" si="1"/>
        <v>0</v>
      </c>
      <c r="R35" s="1065">
        <f t="shared" si="1"/>
        <v>0</v>
      </c>
      <c r="S35" s="1065">
        <f t="shared" si="1"/>
        <v>0</v>
      </c>
      <c r="Z35" s="1311">
        <f t="shared" si="2"/>
        <v>0</v>
      </c>
    </row>
    <row r="36" spans="1:26" ht="90" customHeight="1">
      <c r="A36" s="1297" t="s">
        <v>99</v>
      </c>
      <c r="B36" s="1084" t="s">
        <v>1041</v>
      </c>
      <c r="C36" s="894">
        <f t="shared" si="4"/>
        <v>1240</v>
      </c>
      <c r="D36" s="1249">
        <v>0</v>
      </c>
      <c r="E36" s="1249">
        <v>1240</v>
      </c>
      <c r="F36" s="1303">
        <f t="shared" si="5"/>
        <v>1240</v>
      </c>
      <c r="G36" s="1299">
        <v>0</v>
      </c>
      <c r="H36" s="1299">
        <v>1240</v>
      </c>
      <c r="I36" s="1303">
        <f t="shared" si="6"/>
        <v>312.5</v>
      </c>
      <c r="J36" s="1303">
        <v>0</v>
      </c>
      <c r="K36" s="1303">
        <v>312.5</v>
      </c>
      <c r="L36" s="877">
        <f t="shared" si="3"/>
        <v>25.2</v>
      </c>
      <c r="M36" s="877">
        <f t="shared" si="3"/>
        <v>0</v>
      </c>
      <c r="N36" s="877">
        <f t="shared" si="3"/>
        <v>25.2</v>
      </c>
      <c r="O36" s="1214" t="s">
        <v>1176</v>
      </c>
      <c r="P36" s="1214" t="s">
        <v>1125</v>
      </c>
      <c r="Q36" s="1065">
        <f t="shared" si="1"/>
        <v>0</v>
      </c>
      <c r="R36" s="1065">
        <f t="shared" si="1"/>
        <v>0</v>
      </c>
      <c r="S36" s="1065">
        <f t="shared" si="1"/>
        <v>0</v>
      </c>
      <c r="T36" s="1099" t="s">
        <v>886</v>
      </c>
      <c r="U36" s="1100" t="s">
        <v>967</v>
      </c>
      <c r="V36" s="1099">
        <v>522</v>
      </c>
      <c r="W36" s="1099" t="s">
        <v>969</v>
      </c>
      <c r="Z36" s="1311">
        <f t="shared" si="2"/>
        <v>0</v>
      </c>
    </row>
    <row r="37" spans="1:26" ht="89.25" customHeight="1">
      <c r="A37" s="1297" t="s">
        <v>100</v>
      </c>
      <c r="B37" s="1084" t="s">
        <v>1095</v>
      </c>
      <c r="C37" s="894">
        <f>SUM(D37:E37)</f>
        <v>6280</v>
      </c>
      <c r="D37" s="1249">
        <v>0</v>
      </c>
      <c r="E37" s="1249">
        <v>6280</v>
      </c>
      <c r="F37" s="1303">
        <f>SUM(G37:H37)</f>
        <v>6280</v>
      </c>
      <c r="G37" s="1299">
        <v>0</v>
      </c>
      <c r="H37" s="1299">
        <v>6280</v>
      </c>
      <c r="I37" s="1303">
        <f>SUM(J37:K37)</f>
        <v>0</v>
      </c>
      <c r="J37" s="1303">
        <v>0</v>
      </c>
      <c r="K37" s="1303">
        <v>0</v>
      </c>
      <c r="L37" s="877">
        <f t="shared" si="3"/>
        <v>0</v>
      </c>
      <c r="M37" s="877">
        <f t="shared" si="3"/>
        <v>0</v>
      </c>
      <c r="N37" s="877">
        <f t="shared" si="3"/>
        <v>0</v>
      </c>
      <c r="O37" s="1214" t="s">
        <v>1171</v>
      </c>
      <c r="P37" s="1214" t="s">
        <v>1128</v>
      </c>
      <c r="Q37" s="1065"/>
      <c r="R37" s="1065"/>
      <c r="S37" s="1065"/>
      <c r="T37" s="1099" t="s">
        <v>961</v>
      </c>
      <c r="U37" s="1100">
        <v>1240343280</v>
      </c>
      <c r="V37" s="1099">
        <v>522</v>
      </c>
      <c r="W37" s="1099" t="s">
        <v>971</v>
      </c>
      <c r="Z37" s="1311">
        <f t="shared" si="2"/>
        <v>0</v>
      </c>
    </row>
    <row r="38" spans="1:26" ht="166.5" customHeight="1">
      <c r="A38" s="1297" t="s">
        <v>101</v>
      </c>
      <c r="B38" s="1084" t="s">
        <v>1043</v>
      </c>
      <c r="C38" s="894">
        <f t="shared" si="4"/>
        <v>6000</v>
      </c>
      <c r="D38" s="1249">
        <v>0</v>
      </c>
      <c r="E38" s="1249">
        <v>6000</v>
      </c>
      <c r="F38" s="1303">
        <f t="shared" si="5"/>
        <v>6000</v>
      </c>
      <c r="G38" s="1299">
        <v>0</v>
      </c>
      <c r="H38" s="1299">
        <v>6000</v>
      </c>
      <c r="I38" s="2440">
        <f t="shared" si="6"/>
        <v>0</v>
      </c>
      <c r="J38" s="2440">
        <v>0</v>
      </c>
      <c r="K38" s="2440">
        <v>0</v>
      </c>
      <c r="L38" s="2418">
        <f>IF(I38=0,0,I38/F38:F39*100)</f>
        <v>0</v>
      </c>
      <c r="M38" s="2418">
        <f>IF(J38=0,0,J38/G38:G39*100)</f>
        <v>0</v>
      </c>
      <c r="N38" s="2418">
        <f>IF(K38=0,0,K38/H38:H39*100)</f>
        <v>0</v>
      </c>
      <c r="O38" s="1213" t="s">
        <v>1177</v>
      </c>
      <c r="P38" s="1213" t="s">
        <v>1126</v>
      </c>
      <c r="Q38" s="1065">
        <f t="shared" si="1"/>
        <v>0</v>
      </c>
      <c r="R38" s="1065">
        <f t="shared" si="1"/>
        <v>0</v>
      </c>
      <c r="S38" s="1065">
        <f t="shared" si="1"/>
        <v>0</v>
      </c>
      <c r="T38" s="2409" t="s">
        <v>886</v>
      </c>
      <c r="U38" s="2409" t="s">
        <v>966</v>
      </c>
      <c r="V38" s="2409">
        <v>522</v>
      </c>
      <c r="W38" s="2409" t="s">
        <v>977</v>
      </c>
      <c r="X38" s="2471"/>
      <c r="Z38" s="1311">
        <f t="shared" si="2"/>
        <v>0</v>
      </c>
    </row>
    <row r="39" spans="1:26" ht="198.75" customHeight="1">
      <c r="A39" s="1297" t="s">
        <v>102</v>
      </c>
      <c r="B39" s="1084" t="s">
        <v>1044</v>
      </c>
      <c r="C39" s="894">
        <f t="shared" si="4"/>
        <v>10000</v>
      </c>
      <c r="D39" s="1249">
        <v>0</v>
      </c>
      <c r="E39" s="1249">
        <v>10000</v>
      </c>
      <c r="F39" s="1303">
        <f t="shared" si="5"/>
        <v>10000</v>
      </c>
      <c r="G39" s="1299">
        <v>0</v>
      </c>
      <c r="H39" s="1299">
        <v>10000</v>
      </c>
      <c r="I39" s="2441"/>
      <c r="J39" s="2441"/>
      <c r="K39" s="2441"/>
      <c r="L39" s="2419"/>
      <c r="M39" s="2419"/>
      <c r="N39" s="2419"/>
      <c r="O39" s="1213" t="s">
        <v>1178</v>
      </c>
      <c r="P39" s="1213" t="s">
        <v>1127</v>
      </c>
      <c r="Q39" s="1065">
        <f t="shared" si="1"/>
        <v>0</v>
      </c>
      <c r="R39" s="1065">
        <f t="shared" si="1"/>
        <v>0</v>
      </c>
      <c r="S39" s="1065">
        <f t="shared" si="1"/>
        <v>0</v>
      </c>
      <c r="T39" s="2409"/>
      <c r="U39" s="2409"/>
      <c r="V39" s="2409"/>
      <c r="W39" s="2409"/>
      <c r="X39" s="2471"/>
      <c r="Z39" s="1311">
        <f t="shared" si="2"/>
        <v>0</v>
      </c>
    </row>
    <row r="40" spans="1:26">
      <c r="A40" s="1297"/>
      <c r="B40" s="898" t="s">
        <v>281</v>
      </c>
      <c r="C40" s="871">
        <f t="shared" si="4"/>
        <v>21207</v>
      </c>
      <c r="D40" s="1250">
        <f>SUM(D42:D43)</f>
        <v>0</v>
      </c>
      <c r="E40" s="1250">
        <f>SUM(E41:E43)</f>
        <v>21207</v>
      </c>
      <c r="F40" s="1302">
        <f t="shared" si="5"/>
        <v>17000</v>
      </c>
      <c r="G40" s="875">
        <f>SUM(G42:G43)</f>
        <v>0</v>
      </c>
      <c r="H40" s="875">
        <f>SUM(H41:H43)</f>
        <v>17000</v>
      </c>
      <c r="I40" s="1302">
        <f t="shared" si="6"/>
        <v>0</v>
      </c>
      <c r="J40" s="875">
        <f>SUM(J42:J43)</f>
        <v>0</v>
      </c>
      <c r="K40" s="875">
        <f>SUM(K42:K43)</f>
        <v>0</v>
      </c>
      <c r="L40" s="876">
        <f t="shared" ref="L40:N64" si="7">IF(I40=0,0,I40/F40*100)</f>
        <v>0</v>
      </c>
      <c r="M40" s="877">
        <f t="shared" si="7"/>
        <v>0</v>
      </c>
      <c r="N40" s="877">
        <f t="shared" si="7"/>
        <v>0</v>
      </c>
      <c r="O40" s="1214" t="s">
        <v>353</v>
      </c>
      <c r="P40" s="1214" t="s">
        <v>353</v>
      </c>
      <c r="Q40" s="1065">
        <f t="shared" si="1"/>
        <v>4207</v>
      </c>
      <c r="R40" s="1065">
        <f t="shared" si="1"/>
        <v>0</v>
      </c>
      <c r="S40" s="1065">
        <f t="shared" si="1"/>
        <v>4207</v>
      </c>
      <c r="Z40" s="1311">
        <f t="shared" si="2"/>
        <v>4207</v>
      </c>
    </row>
    <row r="41" spans="1:26" ht="69.75">
      <c r="A41" s="1297" t="s">
        <v>103</v>
      </c>
      <c r="B41" s="1295" t="s">
        <v>682</v>
      </c>
      <c r="C41" s="894">
        <f>SUM(D41:E41)</f>
        <v>4207</v>
      </c>
      <c r="D41" s="1249">
        <v>0</v>
      </c>
      <c r="E41" s="1249">
        <v>4207</v>
      </c>
      <c r="F41" s="1303">
        <f>SUM(G41:H41)</f>
        <v>0</v>
      </c>
      <c r="G41" s="1299">
        <v>0</v>
      </c>
      <c r="H41" s="1299">
        <v>0</v>
      </c>
      <c r="I41" s="1303">
        <f>SUM(J41:K41)</f>
        <v>0</v>
      </c>
      <c r="J41" s="1303">
        <v>0</v>
      </c>
      <c r="K41" s="1303">
        <v>0</v>
      </c>
      <c r="L41" s="877">
        <f t="shared" si="7"/>
        <v>0</v>
      </c>
      <c r="M41" s="877">
        <f t="shared" si="7"/>
        <v>0</v>
      </c>
      <c r="N41" s="877">
        <f t="shared" si="7"/>
        <v>0</v>
      </c>
      <c r="O41" s="1214" t="s">
        <v>353</v>
      </c>
      <c r="P41" s="1214" t="s">
        <v>1114</v>
      </c>
      <c r="Q41" s="1065"/>
      <c r="R41" s="1065"/>
      <c r="S41" s="1065"/>
      <c r="T41" s="1099" t="s">
        <v>928</v>
      </c>
      <c r="U41" s="1100" t="s">
        <v>988</v>
      </c>
      <c r="V41" s="1099">
        <v>522</v>
      </c>
      <c r="W41" s="1099" t="s">
        <v>989</v>
      </c>
      <c r="Z41" s="1311">
        <f t="shared" si="2"/>
        <v>4207</v>
      </c>
    </row>
    <row r="42" spans="1:26" ht="101.25" customHeight="1">
      <c r="A42" s="1297" t="s">
        <v>107</v>
      </c>
      <c r="B42" s="1084" t="s">
        <v>675</v>
      </c>
      <c r="C42" s="894">
        <f t="shared" si="4"/>
        <v>13000</v>
      </c>
      <c r="D42" s="1249">
        <v>0</v>
      </c>
      <c r="E42" s="1249">
        <v>13000</v>
      </c>
      <c r="F42" s="1303">
        <f t="shared" si="5"/>
        <v>13000</v>
      </c>
      <c r="G42" s="1299">
        <v>0</v>
      </c>
      <c r="H42" s="1299">
        <v>13000</v>
      </c>
      <c r="I42" s="1303">
        <f t="shared" si="6"/>
        <v>0</v>
      </c>
      <c r="J42" s="1303">
        <v>0</v>
      </c>
      <c r="K42" s="1303">
        <v>0</v>
      </c>
      <c r="L42" s="877">
        <f t="shared" si="7"/>
        <v>0</v>
      </c>
      <c r="M42" s="877">
        <f t="shared" si="7"/>
        <v>0</v>
      </c>
      <c r="N42" s="877">
        <f t="shared" si="7"/>
        <v>0</v>
      </c>
      <c r="O42" s="1292" t="s">
        <v>1179</v>
      </c>
      <c r="P42" s="1292" t="s">
        <v>1130</v>
      </c>
      <c r="Q42" s="1067">
        <f t="shared" si="1"/>
        <v>0</v>
      </c>
      <c r="R42" s="1067">
        <f t="shared" si="1"/>
        <v>0</v>
      </c>
      <c r="S42" s="1067">
        <f t="shared" si="1"/>
        <v>0</v>
      </c>
      <c r="T42" s="1222" t="s">
        <v>886</v>
      </c>
      <c r="U42" s="1223" t="s">
        <v>967</v>
      </c>
      <c r="V42" s="1222">
        <v>522</v>
      </c>
      <c r="W42" s="1222" t="s">
        <v>983</v>
      </c>
      <c r="Z42" s="1311">
        <f t="shared" si="2"/>
        <v>0</v>
      </c>
    </row>
    <row r="43" spans="1:26" ht="131.25">
      <c r="A43" s="1297" t="s">
        <v>108</v>
      </c>
      <c r="B43" s="1084" t="s">
        <v>1045</v>
      </c>
      <c r="C43" s="894">
        <f t="shared" si="4"/>
        <v>4000</v>
      </c>
      <c r="D43" s="1249">
        <v>0</v>
      </c>
      <c r="E43" s="1249">
        <v>4000</v>
      </c>
      <c r="F43" s="1303">
        <f t="shared" si="5"/>
        <v>4000</v>
      </c>
      <c r="G43" s="1299">
        <v>0</v>
      </c>
      <c r="H43" s="1299">
        <v>4000</v>
      </c>
      <c r="I43" s="1303">
        <f t="shared" si="6"/>
        <v>0</v>
      </c>
      <c r="J43" s="1303">
        <v>0</v>
      </c>
      <c r="K43" s="1303">
        <v>0</v>
      </c>
      <c r="L43" s="877">
        <f t="shared" si="7"/>
        <v>0</v>
      </c>
      <c r="M43" s="877">
        <f t="shared" si="7"/>
        <v>0</v>
      </c>
      <c r="N43" s="877">
        <f t="shared" si="7"/>
        <v>0</v>
      </c>
      <c r="O43" s="1214" t="s">
        <v>1115</v>
      </c>
      <c r="P43" s="1214" t="s">
        <v>1129</v>
      </c>
      <c r="Q43" s="1065">
        <f t="shared" si="1"/>
        <v>0</v>
      </c>
      <c r="R43" s="1065">
        <f t="shared" si="1"/>
        <v>0</v>
      </c>
      <c r="S43" s="1065">
        <f t="shared" si="1"/>
        <v>0</v>
      </c>
      <c r="T43" s="1099" t="s">
        <v>886</v>
      </c>
      <c r="U43" s="1100">
        <v>510243220</v>
      </c>
      <c r="V43" s="1099">
        <v>522</v>
      </c>
      <c r="W43" s="1099" t="s">
        <v>979</v>
      </c>
      <c r="Z43" s="1311">
        <f t="shared" si="2"/>
        <v>0</v>
      </c>
    </row>
    <row r="44" spans="1:26">
      <c r="A44" s="1297"/>
      <c r="B44" s="898" t="s">
        <v>431</v>
      </c>
      <c r="C44" s="871">
        <f t="shared" si="4"/>
        <v>10900</v>
      </c>
      <c r="D44" s="1250">
        <f>D46</f>
        <v>0</v>
      </c>
      <c r="E44" s="1250">
        <f>SUM(E45:E46)</f>
        <v>10900</v>
      </c>
      <c r="F44" s="1302">
        <f t="shared" si="5"/>
        <v>10900</v>
      </c>
      <c r="G44" s="875">
        <f>G46</f>
        <v>0</v>
      </c>
      <c r="H44" s="875">
        <f>SUM(H45:H46)</f>
        <v>10900</v>
      </c>
      <c r="I44" s="1302">
        <f t="shared" si="6"/>
        <v>2286.1999999999998</v>
      </c>
      <c r="J44" s="875">
        <f>J46</f>
        <v>0</v>
      </c>
      <c r="K44" s="875">
        <f>K46</f>
        <v>2286.1999999999998</v>
      </c>
      <c r="L44" s="876">
        <f t="shared" si="7"/>
        <v>21</v>
      </c>
      <c r="M44" s="877">
        <f t="shared" si="7"/>
        <v>0</v>
      </c>
      <c r="N44" s="877">
        <f t="shared" si="7"/>
        <v>21</v>
      </c>
      <c r="O44" s="1214" t="s">
        <v>353</v>
      </c>
      <c r="P44" s="1214" t="s">
        <v>353</v>
      </c>
      <c r="Q44" s="1065">
        <f t="shared" si="1"/>
        <v>0</v>
      </c>
      <c r="R44" s="1065">
        <f t="shared" si="1"/>
        <v>0</v>
      </c>
      <c r="S44" s="1065">
        <f t="shared" si="1"/>
        <v>0</v>
      </c>
      <c r="Z44" s="1311">
        <f t="shared" si="2"/>
        <v>0</v>
      </c>
    </row>
    <row r="45" spans="1:26" ht="86.25" customHeight="1">
      <c r="A45" s="1297" t="s">
        <v>106</v>
      </c>
      <c r="B45" s="1295" t="s">
        <v>1096</v>
      </c>
      <c r="C45" s="894">
        <f t="shared" si="4"/>
        <v>6500</v>
      </c>
      <c r="D45" s="1249">
        <v>0</v>
      </c>
      <c r="E45" s="1249">
        <v>6500</v>
      </c>
      <c r="F45" s="1303">
        <f>SUM(G45:H45)</f>
        <v>6500</v>
      </c>
      <c r="G45" s="1299">
        <v>0</v>
      </c>
      <c r="H45" s="1299">
        <v>6500</v>
      </c>
      <c r="I45" s="1303">
        <f>SUM(J45:K45)</f>
        <v>0</v>
      </c>
      <c r="J45" s="1303">
        <v>0</v>
      </c>
      <c r="K45" s="1303">
        <v>0</v>
      </c>
      <c r="L45" s="877">
        <f t="shared" si="7"/>
        <v>0</v>
      </c>
      <c r="M45" s="877">
        <f t="shared" si="7"/>
        <v>0</v>
      </c>
      <c r="N45" s="877">
        <f t="shared" si="7"/>
        <v>0</v>
      </c>
      <c r="O45" s="1214" t="s">
        <v>1171</v>
      </c>
      <c r="P45" s="1214" t="s">
        <v>1128</v>
      </c>
      <c r="Q45" s="1065"/>
      <c r="R45" s="1065"/>
      <c r="S45" s="1065"/>
      <c r="T45" s="1099" t="s">
        <v>961</v>
      </c>
      <c r="U45" s="1100">
        <v>1240343280</v>
      </c>
      <c r="V45" s="1099">
        <v>522</v>
      </c>
      <c r="W45" s="1099" t="s">
        <v>971</v>
      </c>
      <c r="Z45" s="1311">
        <f t="shared" si="2"/>
        <v>0</v>
      </c>
    </row>
    <row r="46" spans="1:26" ht="111" customHeight="1">
      <c r="A46" s="1297" t="s">
        <v>109</v>
      </c>
      <c r="B46" s="1084" t="s">
        <v>676</v>
      </c>
      <c r="C46" s="894">
        <f t="shared" si="4"/>
        <v>4400</v>
      </c>
      <c r="D46" s="1249">
        <v>0</v>
      </c>
      <c r="E46" s="1249">
        <v>4400</v>
      </c>
      <c r="F46" s="1303">
        <f t="shared" si="5"/>
        <v>4400</v>
      </c>
      <c r="G46" s="1299">
        <v>0</v>
      </c>
      <c r="H46" s="1299">
        <v>4400</v>
      </c>
      <c r="I46" s="1303">
        <f t="shared" si="6"/>
        <v>2286.1999999999998</v>
      </c>
      <c r="J46" s="1303">
        <v>0</v>
      </c>
      <c r="K46" s="1303">
        <v>2286.1999999999998</v>
      </c>
      <c r="L46" s="877">
        <f t="shared" si="7"/>
        <v>52</v>
      </c>
      <c r="M46" s="877">
        <f t="shared" si="7"/>
        <v>0</v>
      </c>
      <c r="N46" s="877">
        <f t="shared" si="7"/>
        <v>52</v>
      </c>
      <c r="O46" s="1214" t="s">
        <v>1180</v>
      </c>
      <c r="P46" s="1214" t="s">
        <v>1131</v>
      </c>
      <c r="Q46" s="1065">
        <f t="shared" si="1"/>
        <v>0</v>
      </c>
      <c r="R46" s="1065">
        <f t="shared" si="1"/>
        <v>0</v>
      </c>
      <c r="S46" s="1065">
        <f t="shared" si="1"/>
        <v>0</v>
      </c>
      <c r="T46" s="1099" t="s">
        <v>886</v>
      </c>
      <c r="U46" s="1100" t="s">
        <v>972</v>
      </c>
      <c r="V46" s="1099">
        <v>522</v>
      </c>
      <c r="W46" s="1099" t="s">
        <v>978</v>
      </c>
      <c r="Z46" s="1311">
        <f t="shared" si="2"/>
        <v>0</v>
      </c>
    </row>
    <row r="47" spans="1:26">
      <c r="A47" s="1297"/>
      <c r="B47" s="898" t="s">
        <v>583</v>
      </c>
      <c r="C47" s="871">
        <f t="shared" si="4"/>
        <v>2500</v>
      </c>
      <c r="D47" s="1250">
        <f>D48</f>
        <v>0</v>
      </c>
      <c r="E47" s="1250">
        <f>E48</f>
        <v>2500</v>
      </c>
      <c r="F47" s="1302">
        <f t="shared" si="5"/>
        <v>2500</v>
      </c>
      <c r="G47" s="875">
        <f>G48</f>
        <v>0</v>
      </c>
      <c r="H47" s="875">
        <f>H48</f>
        <v>2500</v>
      </c>
      <c r="I47" s="1302">
        <f t="shared" si="6"/>
        <v>0</v>
      </c>
      <c r="J47" s="875">
        <f>J48</f>
        <v>0</v>
      </c>
      <c r="K47" s="875">
        <f>K48</f>
        <v>0</v>
      </c>
      <c r="L47" s="876">
        <f t="shared" si="7"/>
        <v>0</v>
      </c>
      <c r="M47" s="877">
        <f t="shared" si="7"/>
        <v>0</v>
      </c>
      <c r="N47" s="877">
        <f t="shared" si="7"/>
        <v>0</v>
      </c>
      <c r="O47" s="1214" t="s">
        <v>353</v>
      </c>
      <c r="P47" s="1214" t="s">
        <v>353</v>
      </c>
      <c r="Q47" s="1065">
        <f t="shared" si="1"/>
        <v>0</v>
      </c>
      <c r="R47" s="1065">
        <f t="shared" si="1"/>
        <v>0</v>
      </c>
      <c r="S47" s="1065">
        <f t="shared" si="1"/>
        <v>0</v>
      </c>
      <c r="Z47" s="1311">
        <f t="shared" si="2"/>
        <v>0</v>
      </c>
    </row>
    <row r="48" spans="1:26" s="1216" customFormat="1" ht="69.75">
      <c r="A48" s="1297" t="s">
        <v>117</v>
      </c>
      <c r="B48" s="1084" t="s">
        <v>1046</v>
      </c>
      <c r="C48" s="894">
        <f t="shared" si="4"/>
        <v>2500</v>
      </c>
      <c r="D48" s="1249">
        <v>0</v>
      </c>
      <c r="E48" s="1249">
        <v>2500</v>
      </c>
      <c r="F48" s="1303">
        <f t="shared" si="5"/>
        <v>2500</v>
      </c>
      <c r="G48" s="1299">
        <v>0</v>
      </c>
      <c r="H48" s="1299">
        <v>2500</v>
      </c>
      <c r="I48" s="1303">
        <f t="shared" si="6"/>
        <v>0</v>
      </c>
      <c r="J48" s="1303">
        <v>0</v>
      </c>
      <c r="K48" s="1303">
        <v>0</v>
      </c>
      <c r="L48" s="877">
        <f t="shared" si="7"/>
        <v>0</v>
      </c>
      <c r="M48" s="877">
        <f t="shared" si="7"/>
        <v>0</v>
      </c>
      <c r="N48" s="877">
        <f t="shared" si="7"/>
        <v>0</v>
      </c>
      <c r="O48" s="1214" t="s">
        <v>1181</v>
      </c>
      <c r="P48" s="1214" t="s">
        <v>1132</v>
      </c>
      <c r="Q48" s="1065">
        <f t="shared" si="1"/>
        <v>0</v>
      </c>
      <c r="R48" s="1065">
        <f t="shared" si="1"/>
        <v>0</v>
      </c>
      <c r="S48" s="1065">
        <f t="shared" si="1"/>
        <v>0</v>
      </c>
      <c r="T48" s="1099" t="s">
        <v>886</v>
      </c>
      <c r="U48" s="1100" t="s">
        <v>967</v>
      </c>
      <c r="V48" s="1099">
        <v>522</v>
      </c>
      <c r="W48" s="1099" t="s">
        <v>969</v>
      </c>
      <c r="Z48" s="1311">
        <f t="shared" si="2"/>
        <v>0</v>
      </c>
    </row>
    <row r="49" spans="1:26" s="1216" customFormat="1">
      <c r="A49" s="1297"/>
      <c r="B49" s="898" t="s">
        <v>709</v>
      </c>
      <c r="C49" s="871">
        <f>SUM(D49:E49)</f>
        <v>57350</v>
      </c>
      <c r="D49" s="1250">
        <f>SUM(D51:D52)</f>
        <v>0</v>
      </c>
      <c r="E49" s="1250">
        <f>SUM(E50:E52)</f>
        <v>57350</v>
      </c>
      <c r="F49" s="1302">
        <f>SUM(G49:H49)</f>
        <v>57350</v>
      </c>
      <c r="G49" s="875">
        <f>SUM(G51:G52)</f>
        <v>0</v>
      </c>
      <c r="H49" s="875">
        <f>SUM(H50:H52)</f>
        <v>57350</v>
      </c>
      <c r="I49" s="1302">
        <f>SUM(J49:K49)</f>
        <v>0</v>
      </c>
      <c r="J49" s="875">
        <f>SUM(J51:J52)</f>
        <v>0</v>
      </c>
      <c r="K49" s="875">
        <f>SUM(K51:K52)</f>
        <v>0</v>
      </c>
      <c r="L49" s="876">
        <f t="shared" si="7"/>
        <v>0</v>
      </c>
      <c r="M49" s="877">
        <f t="shared" si="7"/>
        <v>0</v>
      </c>
      <c r="N49" s="877">
        <f t="shared" si="7"/>
        <v>0</v>
      </c>
      <c r="O49" s="1214" t="s">
        <v>353</v>
      </c>
      <c r="P49" s="1214" t="s">
        <v>353</v>
      </c>
      <c r="Q49" s="1065">
        <f t="shared" si="1"/>
        <v>0</v>
      </c>
      <c r="R49" s="1065">
        <f t="shared" si="1"/>
        <v>0</v>
      </c>
      <c r="S49" s="1065">
        <f t="shared" si="1"/>
        <v>0</v>
      </c>
      <c r="T49" s="1099"/>
      <c r="U49" s="1100"/>
      <c r="V49" s="1099"/>
      <c r="W49" s="1099"/>
      <c r="Z49" s="1311">
        <f t="shared" si="2"/>
        <v>0</v>
      </c>
    </row>
    <row r="50" spans="1:26" s="1216" customFormat="1" ht="78.75">
      <c r="A50" s="1297" t="s">
        <v>118</v>
      </c>
      <c r="B50" s="1295" t="s">
        <v>1047</v>
      </c>
      <c r="C50" s="894">
        <f>SUM(D50:E50)</f>
        <v>35000</v>
      </c>
      <c r="D50" s="1249">
        <v>0</v>
      </c>
      <c r="E50" s="1249">
        <v>35000</v>
      </c>
      <c r="F50" s="1303">
        <f>SUM(G50:H50)</f>
        <v>35000</v>
      </c>
      <c r="G50" s="1299">
        <v>0</v>
      </c>
      <c r="H50" s="1299">
        <v>35000</v>
      </c>
      <c r="I50" s="1303">
        <f t="shared" si="6"/>
        <v>0</v>
      </c>
      <c r="J50" s="1303">
        <v>0</v>
      </c>
      <c r="K50" s="1303">
        <v>0</v>
      </c>
      <c r="L50" s="877">
        <f t="shared" si="7"/>
        <v>0</v>
      </c>
      <c r="M50" s="877">
        <f t="shared" si="7"/>
        <v>0</v>
      </c>
      <c r="N50" s="877">
        <f t="shared" si="7"/>
        <v>0</v>
      </c>
      <c r="O50" s="1214" t="s">
        <v>1171</v>
      </c>
      <c r="P50" s="1214" t="s">
        <v>1133</v>
      </c>
      <c r="Q50" s="1065"/>
      <c r="R50" s="1065"/>
      <c r="S50" s="1065"/>
      <c r="T50" s="1099" t="s">
        <v>961</v>
      </c>
      <c r="U50" s="1100" t="s">
        <v>990</v>
      </c>
      <c r="V50" s="1099">
        <v>522</v>
      </c>
      <c r="W50" s="1099">
        <v>24357</v>
      </c>
      <c r="Z50" s="1311">
        <f t="shared" si="2"/>
        <v>0</v>
      </c>
    </row>
    <row r="51" spans="1:26" s="1216" customFormat="1" ht="78.75">
      <c r="A51" s="1297" t="s">
        <v>154</v>
      </c>
      <c r="B51" s="1084" t="s">
        <v>1048</v>
      </c>
      <c r="C51" s="894">
        <f>SUM(D51:E51)</f>
        <v>4500</v>
      </c>
      <c r="D51" s="1249">
        <v>0</v>
      </c>
      <c r="E51" s="1249">
        <v>4500</v>
      </c>
      <c r="F51" s="1303">
        <f>SUM(G51:H51)</f>
        <v>4500</v>
      </c>
      <c r="G51" s="1299">
        <v>0</v>
      </c>
      <c r="H51" s="1299">
        <v>4500</v>
      </c>
      <c r="I51" s="1303">
        <f t="shared" si="6"/>
        <v>0</v>
      </c>
      <c r="J51" s="1303">
        <v>0</v>
      </c>
      <c r="K51" s="1303">
        <v>0</v>
      </c>
      <c r="L51" s="877">
        <f t="shared" si="7"/>
        <v>0</v>
      </c>
      <c r="M51" s="877">
        <f t="shared" si="7"/>
        <v>0</v>
      </c>
      <c r="N51" s="877">
        <f t="shared" si="7"/>
        <v>0</v>
      </c>
      <c r="O51" s="1214" t="s">
        <v>1171</v>
      </c>
      <c r="P51" s="1214" t="s">
        <v>1116</v>
      </c>
      <c r="Q51" s="1065">
        <f t="shared" si="1"/>
        <v>0</v>
      </c>
      <c r="R51" s="1065">
        <f t="shared" si="1"/>
        <v>0</v>
      </c>
      <c r="S51" s="1065">
        <f t="shared" si="1"/>
        <v>0</v>
      </c>
      <c r="T51" s="1099" t="s">
        <v>886</v>
      </c>
      <c r="U51" s="1100" t="s">
        <v>967</v>
      </c>
      <c r="V51" s="1099">
        <v>522</v>
      </c>
      <c r="W51" s="1099" t="s">
        <v>991</v>
      </c>
      <c r="Z51" s="1311">
        <f t="shared" si="2"/>
        <v>0</v>
      </c>
    </row>
    <row r="52" spans="1:26" s="1216" customFormat="1" ht="78.75">
      <c r="A52" s="1297" t="s">
        <v>155</v>
      </c>
      <c r="B52" s="1084" t="s">
        <v>1049</v>
      </c>
      <c r="C52" s="894">
        <f t="shared" si="4"/>
        <v>17850</v>
      </c>
      <c r="D52" s="1249">
        <v>0</v>
      </c>
      <c r="E52" s="1249">
        <v>17850</v>
      </c>
      <c r="F52" s="1303">
        <f t="shared" si="5"/>
        <v>17850</v>
      </c>
      <c r="G52" s="1299">
        <v>0</v>
      </c>
      <c r="H52" s="1299">
        <v>17850</v>
      </c>
      <c r="I52" s="1303">
        <f t="shared" si="6"/>
        <v>0</v>
      </c>
      <c r="J52" s="1303">
        <v>0</v>
      </c>
      <c r="K52" s="1303">
        <v>0</v>
      </c>
      <c r="L52" s="877">
        <f t="shared" si="7"/>
        <v>0</v>
      </c>
      <c r="M52" s="877">
        <f t="shared" si="7"/>
        <v>0</v>
      </c>
      <c r="N52" s="877">
        <f t="shared" si="7"/>
        <v>0</v>
      </c>
      <c r="O52" s="1214" t="s">
        <v>1171</v>
      </c>
      <c r="P52" s="1214" t="s">
        <v>1116</v>
      </c>
      <c r="Q52" s="1065">
        <f t="shared" si="1"/>
        <v>0</v>
      </c>
      <c r="R52" s="1065">
        <f t="shared" si="1"/>
        <v>0</v>
      </c>
      <c r="S52" s="1065">
        <f t="shared" si="1"/>
        <v>0</v>
      </c>
      <c r="T52" s="1099" t="s">
        <v>886</v>
      </c>
      <c r="U52" s="1100" t="s">
        <v>967</v>
      </c>
      <c r="V52" s="1099">
        <v>522</v>
      </c>
      <c r="W52" s="1099" t="s">
        <v>969</v>
      </c>
      <c r="Z52" s="1311">
        <f t="shared" si="2"/>
        <v>0</v>
      </c>
    </row>
    <row r="53" spans="1:26" s="1216" customFormat="1">
      <c r="A53" s="1297"/>
      <c r="B53" s="898" t="s">
        <v>333</v>
      </c>
      <c r="C53" s="871">
        <f t="shared" si="4"/>
        <v>9843</v>
      </c>
      <c r="D53" s="1250">
        <f>SUM(D54:D55)</f>
        <v>0</v>
      </c>
      <c r="E53" s="1250">
        <f>SUM(E54:E55)</f>
        <v>9843</v>
      </c>
      <c r="F53" s="1302">
        <f t="shared" si="5"/>
        <v>9843</v>
      </c>
      <c r="G53" s="875">
        <f>SUM(G54:G55)</f>
        <v>0</v>
      </c>
      <c r="H53" s="875">
        <f>SUM(H54:H55)</f>
        <v>9843</v>
      </c>
      <c r="I53" s="1302">
        <f>SUM(J53:K53)</f>
        <v>0</v>
      </c>
      <c r="J53" s="875">
        <f>SUM(J54:J55)</f>
        <v>0</v>
      </c>
      <c r="K53" s="875">
        <f>SUM(K54:K55)</f>
        <v>0</v>
      </c>
      <c r="L53" s="876">
        <f t="shared" si="7"/>
        <v>0</v>
      </c>
      <c r="M53" s="877">
        <f t="shared" si="7"/>
        <v>0</v>
      </c>
      <c r="N53" s="877">
        <f t="shared" si="7"/>
        <v>0</v>
      </c>
      <c r="O53" s="1214" t="s">
        <v>353</v>
      </c>
      <c r="P53" s="1214" t="s">
        <v>353</v>
      </c>
      <c r="Q53" s="1065">
        <f t="shared" si="1"/>
        <v>0</v>
      </c>
      <c r="R53" s="1065">
        <f t="shared" si="1"/>
        <v>0</v>
      </c>
      <c r="S53" s="1065">
        <f t="shared" si="1"/>
        <v>0</v>
      </c>
      <c r="T53" s="1099"/>
      <c r="U53" s="1100"/>
      <c r="V53" s="1099"/>
      <c r="W53" s="1099"/>
      <c r="Z53" s="1311">
        <f t="shared" si="2"/>
        <v>0</v>
      </c>
    </row>
    <row r="54" spans="1:26" s="1216" customFormat="1" ht="52.5">
      <c r="A54" s="1297" t="s">
        <v>156</v>
      </c>
      <c r="B54" s="1084" t="s">
        <v>1051</v>
      </c>
      <c r="C54" s="894">
        <f>SUM(D54:E54)</f>
        <v>3000</v>
      </c>
      <c r="D54" s="1249">
        <v>0</v>
      </c>
      <c r="E54" s="1249">
        <v>3000</v>
      </c>
      <c r="F54" s="1303">
        <f>SUM(G54:H54)</f>
        <v>3000</v>
      </c>
      <c r="G54" s="1299">
        <v>0</v>
      </c>
      <c r="H54" s="1299">
        <v>3000</v>
      </c>
      <c r="I54" s="1303">
        <f t="shared" si="6"/>
        <v>0</v>
      </c>
      <c r="J54" s="1303">
        <v>0</v>
      </c>
      <c r="K54" s="1303">
        <v>0</v>
      </c>
      <c r="L54" s="877">
        <f t="shared" si="7"/>
        <v>0</v>
      </c>
      <c r="M54" s="877">
        <f t="shared" si="7"/>
        <v>0</v>
      </c>
      <c r="N54" s="877">
        <f t="shared" si="7"/>
        <v>0</v>
      </c>
      <c r="O54" s="1214" t="s">
        <v>1171</v>
      </c>
      <c r="P54" s="1214" t="s">
        <v>1116</v>
      </c>
      <c r="Q54" s="1065">
        <f t="shared" si="1"/>
        <v>0</v>
      </c>
      <c r="R54" s="1065">
        <f t="shared" si="1"/>
        <v>0</v>
      </c>
      <c r="S54" s="1065">
        <f t="shared" si="1"/>
        <v>0</v>
      </c>
      <c r="T54" s="1099" t="s">
        <v>886</v>
      </c>
      <c r="U54" s="1100" t="s">
        <v>967</v>
      </c>
      <c r="V54" s="1099">
        <v>522</v>
      </c>
      <c r="W54" s="1099" t="s">
        <v>994</v>
      </c>
      <c r="Z54" s="1311">
        <f t="shared" si="2"/>
        <v>0</v>
      </c>
    </row>
    <row r="55" spans="1:26" s="1216" customFormat="1" ht="52.5">
      <c r="A55" s="1297" t="s">
        <v>122</v>
      </c>
      <c r="B55" s="1084" t="s">
        <v>1050</v>
      </c>
      <c r="C55" s="894">
        <f t="shared" si="4"/>
        <v>6843</v>
      </c>
      <c r="D55" s="1249">
        <v>0</v>
      </c>
      <c r="E55" s="1249">
        <v>6843</v>
      </c>
      <c r="F55" s="1303">
        <f t="shared" si="5"/>
        <v>6843</v>
      </c>
      <c r="G55" s="1299">
        <v>0</v>
      </c>
      <c r="H55" s="1299">
        <v>6843</v>
      </c>
      <c r="I55" s="1303">
        <f t="shared" si="6"/>
        <v>0</v>
      </c>
      <c r="J55" s="1303">
        <v>0</v>
      </c>
      <c r="K55" s="1303">
        <v>0</v>
      </c>
      <c r="L55" s="877">
        <f t="shared" si="7"/>
        <v>0</v>
      </c>
      <c r="M55" s="877">
        <f t="shared" si="7"/>
        <v>0</v>
      </c>
      <c r="N55" s="877">
        <f t="shared" si="7"/>
        <v>0</v>
      </c>
      <c r="O55" s="1214" t="s">
        <v>1171</v>
      </c>
      <c r="P55" s="1214" t="s">
        <v>1116</v>
      </c>
      <c r="Q55" s="1065">
        <f t="shared" si="1"/>
        <v>0</v>
      </c>
      <c r="R55" s="1065">
        <f t="shared" si="1"/>
        <v>0</v>
      </c>
      <c r="S55" s="1065">
        <f t="shared" si="1"/>
        <v>0</v>
      </c>
      <c r="T55" s="1099" t="s">
        <v>886</v>
      </c>
      <c r="U55" s="1100" t="s">
        <v>967</v>
      </c>
      <c r="V55" s="1099">
        <v>522</v>
      </c>
      <c r="W55" s="1099" t="s">
        <v>995</v>
      </c>
      <c r="Z55" s="1311">
        <f t="shared" si="2"/>
        <v>0</v>
      </c>
    </row>
    <row r="56" spans="1:26" s="1216" customFormat="1">
      <c r="A56" s="1297"/>
      <c r="B56" s="898" t="s">
        <v>443</v>
      </c>
      <c r="C56" s="871">
        <f>SUM(D56:E56)</f>
        <v>4368</v>
      </c>
      <c r="D56" s="1250">
        <f>D57</f>
        <v>0</v>
      </c>
      <c r="E56" s="1250">
        <f>E57</f>
        <v>4368</v>
      </c>
      <c r="F56" s="1302">
        <f>SUM(G56:H56)</f>
        <v>4368</v>
      </c>
      <c r="G56" s="875">
        <f>G57</f>
        <v>0</v>
      </c>
      <c r="H56" s="875">
        <f>H57</f>
        <v>4368</v>
      </c>
      <c r="I56" s="1302">
        <f>SUM(J56:K56)</f>
        <v>0</v>
      </c>
      <c r="J56" s="875">
        <f>J57</f>
        <v>0</v>
      </c>
      <c r="K56" s="875">
        <f>K57</f>
        <v>0</v>
      </c>
      <c r="L56" s="876">
        <f t="shared" si="7"/>
        <v>0</v>
      </c>
      <c r="M56" s="877">
        <f t="shared" si="7"/>
        <v>0</v>
      </c>
      <c r="N56" s="877">
        <f t="shared" si="7"/>
        <v>0</v>
      </c>
      <c r="O56" s="1214" t="s">
        <v>353</v>
      </c>
      <c r="P56" s="1214" t="s">
        <v>353</v>
      </c>
      <c r="Q56" s="1065">
        <f t="shared" si="1"/>
        <v>0</v>
      </c>
      <c r="R56" s="1065">
        <f t="shared" si="1"/>
        <v>0</v>
      </c>
      <c r="S56" s="1065">
        <f t="shared" si="1"/>
        <v>0</v>
      </c>
      <c r="T56" s="1099"/>
      <c r="U56" s="1100"/>
      <c r="V56" s="1099"/>
      <c r="W56" s="1099"/>
      <c r="Z56" s="1311">
        <f t="shared" si="2"/>
        <v>0</v>
      </c>
    </row>
    <row r="57" spans="1:26" s="1216" customFormat="1" ht="52.5">
      <c r="A57" s="1297" t="s">
        <v>123</v>
      </c>
      <c r="B57" s="1084" t="s">
        <v>1052</v>
      </c>
      <c r="C57" s="894">
        <f>SUM(D57:E57)</f>
        <v>4368</v>
      </c>
      <c r="D57" s="1249">
        <v>0</v>
      </c>
      <c r="E57" s="1249">
        <v>4368</v>
      </c>
      <c r="F57" s="1303">
        <f>SUM(G57:H57)</f>
        <v>4368</v>
      </c>
      <c r="G57" s="1299">
        <v>0</v>
      </c>
      <c r="H57" s="1299">
        <v>4368</v>
      </c>
      <c r="I57" s="1303">
        <f t="shared" si="6"/>
        <v>0</v>
      </c>
      <c r="J57" s="1303">
        <v>0</v>
      </c>
      <c r="K57" s="1303">
        <v>0</v>
      </c>
      <c r="L57" s="877">
        <f t="shared" si="7"/>
        <v>0</v>
      </c>
      <c r="M57" s="877">
        <f t="shared" si="7"/>
        <v>0</v>
      </c>
      <c r="N57" s="877">
        <f t="shared" si="7"/>
        <v>0</v>
      </c>
      <c r="O57" s="1214" t="s">
        <v>1171</v>
      </c>
      <c r="P57" s="1214" t="s">
        <v>1116</v>
      </c>
      <c r="Q57" s="1065">
        <f t="shared" si="1"/>
        <v>0</v>
      </c>
      <c r="R57" s="1065">
        <f t="shared" si="1"/>
        <v>0</v>
      </c>
      <c r="S57" s="1065">
        <f t="shared" si="1"/>
        <v>0</v>
      </c>
      <c r="T57" s="1099" t="s">
        <v>886</v>
      </c>
      <c r="U57" s="1100" t="s">
        <v>967</v>
      </c>
      <c r="V57" s="1099">
        <v>522</v>
      </c>
      <c r="W57" s="1099" t="s">
        <v>986</v>
      </c>
      <c r="Z57" s="1311">
        <f t="shared" si="2"/>
        <v>0</v>
      </c>
    </row>
    <row r="58" spans="1:26" s="1216" customFormat="1">
      <c r="A58" s="1297"/>
      <c r="B58" s="898" t="s">
        <v>90</v>
      </c>
      <c r="C58" s="871">
        <f t="shared" si="4"/>
        <v>1300</v>
      </c>
      <c r="D58" s="1250">
        <f>D59</f>
        <v>0</v>
      </c>
      <c r="E58" s="1250">
        <f>E59</f>
        <v>1300</v>
      </c>
      <c r="F58" s="1302">
        <f t="shared" si="5"/>
        <v>1300</v>
      </c>
      <c r="G58" s="875">
        <f>G59</f>
        <v>0</v>
      </c>
      <c r="H58" s="875">
        <f>H59</f>
        <v>1300</v>
      </c>
      <c r="I58" s="1302">
        <f>SUM(J58:K58)</f>
        <v>0</v>
      </c>
      <c r="J58" s="875">
        <f>J59</f>
        <v>0</v>
      </c>
      <c r="K58" s="875">
        <f>K59</f>
        <v>0</v>
      </c>
      <c r="L58" s="876">
        <f t="shared" si="7"/>
        <v>0</v>
      </c>
      <c r="M58" s="877">
        <f t="shared" si="7"/>
        <v>0</v>
      </c>
      <c r="N58" s="877">
        <f t="shared" si="7"/>
        <v>0</v>
      </c>
      <c r="O58" s="1214" t="s">
        <v>353</v>
      </c>
      <c r="P58" s="1214" t="s">
        <v>353</v>
      </c>
      <c r="Q58" s="1065">
        <f t="shared" si="1"/>
        <v>0</v>
      </c>
      <c r="R58" s="1065">
        <f t="shared" si="1"/>
        <v>0</v>
      </c>
      <c r="S58" s="1065">
        <f t="shared" si="1"/>
        <v>0</v>
      </c>
      <c r="T58" s="1099"/>
      <c r="U58" s="1100"/>
      <c r="V58" s="1099"/>
      <c r="W58" s="1099"/>
      <c r="Z58" s="1311">
        <f t="shared" si="2"/>
        <v>0</v>
      </c>
    </row>
    <row r="59" spans="1:26" s="1216" customFormat="1" ht="60" customHeight="1">
      <c r="A59" s="1297" t="s">
        <v>124</v>
      </c>
      <c r="B59" s="1084" t="s">
        <v>1053</v>
      </c>
      <c r="C59" s="894">
        <f t="shared" si="4"/>
        <v>1300</v>
      </c>
      <c r="D59" s="1249">
        <v>0</v>
      </c>
      <c r="E59" s="1249">
        <v>1300</v>
      </c>
      <c r="F59" s="1303">
        <f t="shared" si="5"/>
        <v>1300</v>
      </c>
      <c r="G59" s="1299">
        <v>0</v>
      </c>
      <c r="H59" s="1299">
        <v>1300</v>
      </c>
      <c r="I59" s="1303">
        <f t="shared" si="6"/>
        <v>0</v>
      </c>
      <c r="J59" s="1303">
        <v>0</v>
      </c>
      <c r="K59" s="1303">
        <v>0</v>
      </c>
      <c r="L59" s="877">
        <f t="shared" si="7"/>
        <v>0</v>
      </c>
      <c r="M59" s="877">
        <f t="shared" si="7"/>
        <v>0</v>
      </c>
      <c r="N59" s="877">
        <f t="shared" si="7"/>
        <v>0</v>
      </c>
      <c r="O59" s="1214" t="s">
        <v>1182</v>
      </c>
      <c r="P59" s="1214" t="s">
        <v>1134</v>
      </c>
      <c r="Q59" s="1065">
        <f t="shared" si="1"/>
        <v>0</v>
      </c>
      <c r="R59" s="1065">
        <f t="shared" si="1"/>
        <v>0</v>
      </c>
      <c r="S59" s="1065">
        <f t="shared" si="1"/>
        <v>0</v>
      </c>
      <c r="T59" s="1099" t="s">
        <v>886</v>
      </c>
      <c r="U59" s="1100">
        <v>520343220</v>
      </c>
      <c r="V59" s="1099">
        <v>522</v>
      </c>
      <c r="W59" s="1099" t="s">
        <v>994</v>
      </c>
      <c r="Z59" s="1311">
        <f t="shared" si="2"/>
        <v>0</v>
      </c>
    </row>
    <row r="60" spans="1:26" s="1216" customFormat="1">
      <c r="A60" s="1297"/>
      <c r="B60" s="898" t="s">
        <v>712</v>
      </c>
      <c r="C60" s="871">
        <f t="shared" si="4"/>
        <v>2300</v>
      </c>
      <c r="D60" s="1250">
        <f>D61</f>
        <v>0</v>
      </c>
      <c r="E60" s="1250">
        <f>E61</f>
        <v>2300</v>
      </c>
      <c r="F60" s="1302">
        <f t="shared" si="5"/>
        <v>2300</v>
      </c>
      <c r="G60" s="875">
        <f>G61</f>
        <v>0</v>
      </c>
      <c r="H60" s="875">
        <f>H61</f>
        <v>2300</v>
      </c>
      <c r="I60" s="1302">
        <f>SUM(J60:K60)</f>
        <v>0</v>
      </c>
      <c r="J60" s="875">
        <f>J61</f>
        <v>0</v>
      </c>
      <c r="K60" s="875">
        <f>K61</f>
        <v>0</v>
      </c>
      <c r="L60" s="876">
        <f t="shared" si="7"/>
        <v>0</v>
      </c>
      <c r="M60" s="877">
        <f t="shared" si="7"/>
        <v>0</v>
      </c>
      <c r="N60" s="877">
        <f t="shared" si="7"/>
        <v>0</v>
      </c>
      <c r="O60" s="1214" t="s">
        <v>353</v>
      </c>
      <c r="P60" s="1214" t="s">
        <v>353</v>
      </c>
      <c r="Q60" s="1065">
        <f t="shared" si="1"/>
        <v>0</v>
      </c>
      <c r="R60" s="1065">
        <f t="shared" si="1"/>
        <v>0</v>
      </c>
      <c r="S60" s="1065">
        <f t="shared" si="1"/>
        <v>0</v>
      </c>
      <c r="T60" s="1099"/>
      <c r="U60" s="1100"/>
      <c r="V60" s="1099"/>
      <c r="W60" s="1099"/>
      <c r="Z60" s="1311">
        <f t="shared" si="2"/>
        <v>0</v>
      </c>
    </row>
    <row r="61" spans="1:26" s="1216" customFormat="1" ht="55.5" customHeight="1">
      <c r="A61" s="1297" t="s">
        <v>125</v>
      </c>
      <c r="B61" s="1084" t="s">
        <v>1054</v>
      </c>
      <c r="C61" s="894">
        <f t="shared" si="4"/>
        <v>2300</v>
      </c>
      <c r="D61" s="1249">
        <v>0</v>
      </c>
      <c r="E61" s="1249">
        <v>2300</v>
      </c>
      <c r="F61" s="1303">
        <f t="shared" si="5"/>
        <v>2300</v>
      </c>
      <c r="G61" s="1299">
        <v>0</v>
      </c>
      <c r="H61" s="1299">
        <v>2300</v>
      </c>
      <c r="I61" s="1303">
        <f t="shared" si="6"/>
        <v>0</v>
      </c>
      <c r="J61" s="1303">
        <v>0</v>
      </c>
      <c r="K61" s="1303">
        <v>0</v>
      </c>
      <c r="L61" s="877">
        <f t="shared" si="7"/>
        <v>0</v>
      </c>
      <c r="M61" s="877">
        <f t="shared" si="7"/>
        <v>0</v>
      </c>
      <c r="N61" s="877">
        <f t="shared" si="7"/>
        <v>0</v>
      </c>
      <c r="O61" s="1214" t="s">
        <v>1183</v>
      </c>
      <c r="P61" s="1214" t="s">
        <v>1135</v>
      </c>
      <c r="Q61" s="1065">
        <f t="shared" si="1"/>
        <v>0</v>
      </c>
      <c r="R61" s="1065">
        <f t="shared" si="1"/>
        <v>0</v>
      </c>
      <c r="S61" s="1065">
        <f t="shared" si="1"/>
        <v>0</v>
      </c>
      <c r="T61" s="1099" t="s">
        <v>886</v>
      </c>
      <c r="U61" s="1100" t="s">
        <v>967</v>
      </c>
      <c r="V61" s="1099">
        <v>522</v>
      </c>
      <c r="W61" s="1099" t="s">
        <v>983</v>
      </c>
      <c r="Z61" s="1311">
        <f t="shared" si="2"/>
        <v>0</v>
      </c>
    </row>
    <row r="62" spans="1:26" s="1216" customFormat="1">
      <c r="A62" s="1297"/>
      <c r="B62" s="898" t="s">
        <v>46</v>
      </c>
      <c r="C62" s="871">
        <f t="shared" si="4"/>
        <v>12500</v>
      </c>
      <c r="D62" s="1250">
        <f>D63</f>
        <v>0</v>
      </c>
      <c r="E62" s="1250">
        <f>E63</f>
        <v>12500</v>
      </c>
      <c r="F62" s="1302">
        <f t="shared" si="5"/>
        <v>12500</v>
      </c>
      <c r="G62" s="875">
        <f>G63</f>
        <v>0</v>
      </c>
      <c r="H62" s="875">
        <f>H63</f>
        <v>12500</v>
      </c>
      <c r="I62" s="1302">
        <f>SUM(J62:K62)</f>
        <v>0</v>
      </c>
      <c r="J62" s="875">
        <f>J63</f>
        <v>0</v>
      </c>
      <c r="K62" s="875">
        <f>K63</f>
        <v>0</v>
      </c>
      <c r="L62" s="876">
        <f t="shared" si="7"/>
        <v>0</v>
      </c>
      <c r="M62" s="877">
        <f t="shared" si="7"/>
        <v>0</v>
      </c>
      <c r="N62" s="877">
        <f t="shared" si="7"/>
        <v>0</v>
      </c>
      <c r="O62" s="1214" t="s">
        <v>353</v>
      </c>
      <c r="P62" s="1214" t="s">
        <v>353</v>
      </c>
      <c r="Q62" s="1065">
        <f t="shared" si="1"/>
        <v>0</v>
      </c>
      <c r="R62" s="1065">
        <f t="shared" si="1"/>
        <v>0</v>
      </c>
      <c r="S62" s="1065">
        <f t="shared" si="1"/>
        <v>0</v>
      </c>
      <c r="T62" s="1099"/>
      <c r="U62" s="1100"/>
      <c r="V62" s="1099"/>
      <c r="W62" s="1099"/>
      <c r="Z62" s="1311">
        <f t="shared" si="2"/>
        <v>0</v>
      </c>
    </row>
    <row r="63" spans="1:26" s="1216" customFormat="1" ht="120" customHeight="1">
      <c r="A63" s="1297" t="s">
        <v>126</v>
      </c>
      <c r="B63" s="1084" t="s">
        <v>1055</v>
      </c>
      <c r="C63" s="894">
        <f t="shared" si="4"/>
        <v>12500</v>
      </c>
      <c r="D63" s="1249">
        <v>0</v>
      </c>
      <c r="E63" s="1249">
        <v>12500</v>
      </c>
      <c r="F63" s="1303">
        <f t="shared" si="5"/>
        <v>12500</v>
      </c>
      <c r="G63" s="1299">
        <v>0</v>
      </c>
      <c r="H63" s="1299">
        <v>12500</v>
      </c>
      <c r="I63" s="1303"/>
      <c r="J63" s="1303">
        <v>0</v>
      </c>
      <c r="K63" s="1303">
        <v>0</v>
      </c>
      <c r="L63" s="877">
        <f t="shared" si="7"/>
        <v>0</v>
      </c>
      <c r="M63" s="877">
        <f t="shared" si="7"/>
        <v>0</v>
      </c>
      <c r="N63" s="877">
        <f t="shared" si="7"/>
        <v>0</v>
      </c>
      <c r="O63" s="1214" t="s">
        <v>1184</v>
      </c>
      <c r="P63" s="1214" t="s">
        <v>1136</v>
      </c>
      <c r="Q63" s="1065">
        <f t="shared" si="1"/>
        <v>0</v>
      </c>
      <c r="R63" s="1065">
        <f t="shared" si="1"/>
        <v>0</v>
      </c>
      <c r="S63" s="1065">
        <f t="shared" si="1"/>
        <v>0</v>
      </c>
      <c r="T63" s="1099" t="s">
        <v>886</v>
      </c>
      <c r="U63" s="1100" t="s">
        <v>966</v>
      </c>
      <c r="V63" s="1099">
        <v>522</v>
      </c>
      <c r="W63" s="1099" t="s">
        <v>977</v>
      </c>
      <c r="Z63" s="1311">
        <f t="shared" si="2"/>
        <v>0</v>
      </c>
    </row>
    <row r="64" spans="1:26">
      <c r="A64" s="1297"/>
      <c r="B64" s="898" t="s">
        <v>457</v>
      </c>
      <c r="C64" s="871">
        <f t="shared" si="4"/>
        <v>34000</v>
      </c>
      <c r="D64" s="1250">
        <f>SUM(D65:D69)</f>
        <v>0</v>
      </c>
      <c r="E64" s="1250">
        <f>SUM(E65:E69)</f>
        <v>34000</v>
      </c>
      <c r="F64" s="1302">
        <f t="shared" si="5"/>
        <v>34000</v>
      </c>
      <c r="G64" s="875">
        <f>SUM(G65:G69)</f>
        <v>0</v>
      </c>
      <c r="H64" s="875">
        <f>SUM(H65:H69)</f>
        <v>34000</v>
      </c>
      <c r="I64" s="1302">
        <f>SUM(J64:K64)</f>
        <v>0</v>
      </c>
      <c r="J64" s="875">
        <f>SUM(J65:J69)</f>
        <v>0</v>
      </c>
      <c r="K64" s="875">
        <f>SUM(K65:K69)</f>
        <v>0</v>
      </c>
      <c r="L64" s="876">
        <f t="shared" si="7"/>
        <v>0</v>
      </c>
      <c r="M64" s="877">
        <f t="shared" si="7"/>
        <v>0</v>
      </c>
      <c r="N64" s="877">
        <f t="shared" si="7"/>
        <v>0</v>
      </c>
      <c r="O64" s="1214" t="s">
        <v>353</v>
      </c>
      <c r="P64" s="1214" t="s">
        <v>353</v>
      </c>
      <c r="Q64" s="1065">
        <f t="shared" si="1"/>
        <v>0</v>
      </c>
      <c r="R64" s="1065">
        <f t="shared" si="1"/>
        <v>0</v>
      </c>
      <c r="S64" s="1065">
        <f t="shared" si="1"/>
        <v>0</v>
      </c>
      <c r="Z64" s="1311">
        <f t="shared" si="2"/>
        <v>0</v>
      </c>
    </row>
    <row r="65" spans="1:26" ht="105">
      <c r="A65" s="1297" t="s">
        <v>127</v>
      </c>
      <c r="B65" s="1084" t="s">
        <v>1056</v>
      </c>
      <c r="C65" s="894">
        <f t="shared" si="4"/>
        <v>10000</v>
      </c>
      <c r="D65" s="1249">
        <v>0</v>
      </c>
      <c r="E65" s="1249">
        <v>10000</v>
      </c>
      <c r="F65" s="1303">
        <f t="shared" si="5"/>
        <v>10000</v>
      </c>
      <c r="G65" s="1299">
        <v>0</v>
      </c>
      <c r="H65" s="1299">
        <v>10000</v>
      </c>
      <c r="I65" s="2440">
        <f>SUM(J65:K69)</f>
        <v>0</v>
      </c>
      <c r="J65" s="2440">
        <v>0</v>
      </c>
      <c r="K65" s="2440">
        <v>0</v>
      </c>
      <c r="L65" s="2415">
        <f>IF(I65=0,0,I65/F65:F69*100)</f>
        <v>0</v>
      </c>
      <c r="M65" s="2415">
        <f>IF(J65=0,0,J65/G65:G69*100)</f>
        <v>0</v>
      </c>
      <c r="N65" s="2415">
        <f>IF(K65=0,0,K65/H65:H69*100)</f>
        <v>0</v>
      </c>
      <c r="O65" s="1214" t="s">
        <v>1171</v>
      </c>
      <c r="P65" s="1213" t="s">
        <v>1137</v>
      </c>
      <c r="Q65" s="1065">
        <f t="shared" si="1"/>
        <v>0</v>
      </c>
      <c r="R65" s="1065">
        <f t="shared" si="1"/>
        <v>0</v>
      </c>
      <c r="S65" s="1065">
        <f t="shared" si="1"/>
        <v>0</v>
      </c>
      <c r="T65" s="2410" t="s">
        <v>886</v>
      </c>
      <c r="U65" s="2410" t="s">
        <v>966</v>
      </c>
      <c r="V65" s="2410">
        <v>522</v>
      </c>
      <c r="W65" s="2410" t="s">
        <v>979</v>
      </c>
      <c r="X65" s="2465"/>
      <c r="Z65" s="1311">
        <f t="shared" si="2"/>
        <v>0</v>
      </c>
    </row>
    <row r="66" spans="1:26" ht="164.25" customHeight="1">
      <c r="A66" s="1297" t="s">
        <v>128</v>
      </c>
      <c r="B66" s="1084" t="s">
        <v>1057</v>
      </c>
      <c r="C66" s="894">
        <f t="shared" si="4"/>
        <v>6400</v>
      </c>
      <c r="D66" s="1249">
        <v>0</v>
      </c>
      <c r="E66" s="1249">
        <v>6400</v>
      </c>
      <c r="F66" s="1303">
        <f t="shared" si="5"/>
        <v>6400</v>
      </c>
      <c r="G66" s="1299">
        <v>0</v>
      </c>
      <c r="H66" s="1299">
        <v>6400</v>
      </c>
      <c r="I66" s="2458"/>
      <c r="J66" s="2458"/>
      <c r="K66" s="2458"/>
      <c r="L66" s="2416"/>
      <c r="M66" s="2416"/>
      <c r="N66" s="2416"/>
      <c r="O66" s="1214" t="s">
        <v>1171</v>
      </c>
      <c r="P66" s="2472" t="s">
        <v>1138</v>
      </c>
      <c r="Q66" s="1065">
        <f t="shared" si="1"/>
        <v>0</v>
      </c>
      <c r="R66" s="1065">
        <f t="shared" si="1"/>
        <v>0</v>
      </c>
      <c r="S66" s="1065">
        <f t="shared" si="1"/>
        <v>0</v>
      </c>
      <c r="T66" s="2410"/>
      <c r="U66" s="2410"/>
      <c r="V66" s="2410"/>
      <c r="W66" s="2410"/>
      <c r="X66" s="2465"/>
      <c r="Z66" s="1311">
        <f t="shared" si="2"/>
        <v>0</v>
      </c>
    </row>
    <row r="67" spans="1:26" ht="157.5">
      <c r="A67" s="1297" t="s">
        <v>158</v>
      </c>
      <c r="B67" s="1084" t="s">
        <v>1058</v>
      </c>
      <c r="C67" s="894">
        <f t="shared" si="4"/>
        <v>4600</v>
      </c>
      <c r="D67" s="1249">
        <v>0</v>
      </c>
      <c r="E67" s="1249">
        <v>4600</v>
      </c>
      <c r="F67" s="1303">
        <f t="shared" si="5"/>
        <v>4600</v>
      </c>
      <c r="G67" s="1299">
        <v>0</v>
      </c>
      <c r="H67" s="1299">
        <v>4600</v>
      </c>
      <c r="I67" s="2458"/>
      <c r="J67" s="2458"/>
      <c r="K67" s="2458"/>
      <c r="L67" s="2416"/>
      <c r="M67" s="2416"/>
      <c r="N67" s="2416"/>
      <c r="O67" s="1214" t="s">
        <v>1171</v>
      </c>
      <c r="P67" s="2472"/>
      <c r="Q67" s="1065">
        <f t="shared" si="1"/>
        <v>0</v>
      </c>
      <c r="R67" s="1065">
        <f t="shared" si="1"/>
        <v>0</v>
      </c>
      <c r="S67" s="1065">
        <f t="shared" si="1"/>
        <v>0</v>
      </c>
      <c r="T67" s="2410"/>
      <c r="U67" s="2410"/>
      <c r="V67" s="2410"/>
      <c r="W67" s="2410"/>
      <c r="X67" s="2465"/>
      <c r="Z67" s="1311">
        <f t="shared" si="2"/>
        <v>0</v>
      </c>
    </row>
    <row r="68" spans="1:26" ht="141" customHeight="1">
      <c r="A68" s="1297" t="s">
        <v>129</v>
      </c>
      <c r="B68" s="1084" t="s">
        <v>1059</v>
      </c>
      <c r="C68" s="894">
        <f t="shared" si="4"/>
        <v>10000</v>
      </c>
      <c r="D68" s="1249">
        <v>0</v>
      </c>
      <c r="E68" s="1249">
        <v>10000</v>
      </c>
      <c r="F68" s="1303">
        <f t="shared" si="5"/>
        <v>10000</v>
      </c>
      <c r="G68" s="1299">
        <v>0</v>
      </c>
      <c r="H68" s="1299">
        <v>10000</v>
      </c>
      <c r="I68" s="2458"/>
      <c r="J68" s="2458"/>
      <c r="K68" s="2458"/>
      <c r="L68" s="2416"/>
      <c r="M68" s="2416"/>
      <c r="N68" s="2416"/>
      <c r="O68" s="1214" t="s">
        <v>1171</v>
      </c>
      <c r="P68" s="1213" t="s">
        <v>1137</v>
      </c>
      <c r="Q68" s="1065">
        <f t="shared" si="1"/>
        <v>0</v>
      </c>
      <c r="R68" s="1065">
        <f t="shared" si="1"/>
        <v>0</v>
      </c>
      <c r="S68" s="1065">
        <f t="shared" si="1"/>
        <v>0</v>
      </c>
      <c r="T68" s="2410"/>
      <c r="U68" s="2410"/>
      <c r="V68" s="2410"/>
      <c r="W68" s="2410"/>
      <c r="X68" s="2465"/>
      <c r="Z68" s="1311">
        <f t="shared" si="2"/>
        <v>0</v>
      </c>
    </row>
    <row r="69" spans="1:26" ht="150" customHeight="1">
      <c r="A69" s="1297" t="s">
        <v>159</v>
      </c>
      <c r="B69" s="1084" t="s">
        <v>1060</v>
      </c>
      <c r="C69" s="894">
        <f t="shared" si="4"/>
        <v>3000</v>
      </c>
      <c r="D69" s="1249">
        <v>0</v>
      </c>
      <c r="E69" s="1249">
        <v>3000</v>
      </c>
      <c r="F69" s="1303">
        <f t="shared" si="5"/>
        <v>3000</v>
      </c>
      <c r="G69" s="1299">
        <v>0</v>
      </c>
      <c r="H69" s="1299">
        <v>3000</v>
      </c>
      <c r="I69" s="2441"/>
      <c r="J69" s="2441"/>
      <c r="K69" s="2441"/>
      <c r="L69" s="2417"/>
      <c r="M69" s="2417"/>
      <c r="N69" s="2417"/>
      <c r="O69" s="1214" t="s">
        <v>1171</v>
      </c>
      <c r="P69" s="1213" t="s">
        <v>1137</v>
      </c>
      <c r="Q69" s="1065">
        <f t="shared" si="1"/>
        <v>0</v>
      </c>
      <c r="R69" s="1065">
        <f t="shared" si="1"/>
        <v>0</v>
      </c>
      <c r="S69" s="1065">
        <f t="shared" si="1"/>
        <v>0</v>
      </c>
      <c r="T69" s="2410"/>
      <c r="U69" s="2410"/>
      <c r="V69" s="2410"/>
      <c r="W69" s="2410"/>
      <c r="X69" s="2465"/>
      <c r="Z69" s="1311">
        <f t="shared" si="2"/>
        <v>0</v>
      </c>
    </row>
    <row r="70" spans="1:26" s="914" customFormat="1" ht="92.25" customHeight="1">
      <c r="A70" s="1090"/>
      <c r="B70" s="1277" t="s">
        <v>444</v>
      </c>
      <c r="C70" s="1090">
        <f>D70+E70</f>
        <v>325874.3</v>
      </c>
      <c r="D70" s="1090">
        <f>SUM(D71,D74,D77,D79,D81,D83,D86)</f>
        <v>306319.40000000002</v>
      </c>
      <c r="E70" s="1090">
        <f>SUM(E71,E74,E77,E79,E81,E83,E86)</f>
        <v>19554.900000000001</v>
      </c>
      <c r="F70" s="1090">
        <f>G70+H70</f>
        <v>325874.3</v>
      </c>
      <c r="G70" s="1091">
        <f>SUM(G71,G74,G77,G79,G81,G83,G86)</f>
        <v>306319.40000000002</v>
      </c>
      <c r="H70" s="1091">
        <f>SUM(H71,H74,H77,H81,H79,H83,H86)</f>
        <v>19554.900000000001</v>
      </c>
      <c r="I70" s="1090">
        <f>J70+K70</f>
        <v>32894.5</v>
      </c>
      <c r="J70" s="1090">
        <f>SUM(J71,J74,J77,J79,J81,J83,J86)</f>
        <v>30920.7</v>
      </c>
      <c r="K70" s="1090">
        <f>SUM(K71,K74,K77,K81,K79,K83,K86)</f>
        <v>1973.8</v>
      </c>
      <c r="L70" s="1092">
        <f t="shared" ref="L70:N90" si="8">IF(I70=0,0,I70/F70*100)</f>
        <v>10.1</v>
      </c>
      <c r="M70" s="1093">
        <f t="shared" si="8"/>
        <v>10.1</v>
      </c>
      <c r="N70" s="1093">
        <f t="shared" si="8"/>
        <v>10.1</v>
      </c>
      <c r="O70" s="1224" t="s">
        <v>1117</v>
      </c>
      <c r="P70" s="1224" t="s">
        <v>1117</v>
      </c>
      <c r="Q70" s="1065">
        <f t="shared" si="1"/>
        <v>0</v>
      </c>
      <c r="R70" s="1065">
        <f t="shared" si="1"/>
        <v>0</v>
      </c>
      <c r="S70" s="1065">
        <f t="shared" si="1"/>
        <v>0</v>
      </c>
      <c r="T70" s="1099"/>
      <c r="U70" s="1100"/>
      <c r="V70" s="1099"/>
      <c r="W70" s="1099"/>
      <c r="X70" s="1216"/>
      <c r="Z70" s="1311">
        <f t="shared" si="2"/>
        <v>0</v>
      </c>
    </row>
    <row r="71" spans="1:26">
      <c r="A71" s="1297"/>
      <c r="B71" s="1236" t="s">
        <v>431</v>
      </c>
      <c r="C71" s="871">
        <f t="shared" ref="C71:C120" si="9">SUM(D71:E71)</f>
        <v>53340.2</v>
      </c>
      <c r="D71" s="1251">
        <f>D72+D73</f>
        <v>50139.4</v>
      </c>
      <c r="E71" s="1251">
        <f>E72+E73</f>
        <v>3200.8</v>
      </c>
      <c r="F71" s="1302">
        <f t="shared" ref="F71:F120" si="10">SUM(G71:H71)</f>
        <v>53340.2</v>
      </c>
      <c r="G71" s="880">
        <f>G72+G73</f>
        <v>50139.4</v>
      </c>
      <c r="H71" s="880">
        <f>H72+H73</f>
        <v>3200.8</v>
      </c>
      <c r="I71" s="1302">
        <f t="shared" ref="I71:I120" si="11">SUM(J71:K71)</f>
        <v>15377.1</v>
      </c>
      <c r="J71" s="1302">
        <f>J72+J73</f>
        <v>14454.3</v>
      </c>
      <c r="K71" s="1302">
        <f>K72+K73</f>
        <v>922.8</v>
      </c>
      <c r="L71" s="877">
        <f t="shared" si="8"/>
        <v>28.8</v>
      </c>
      <c r="M71" s="877">
        <f t="shared" si="8"/>
        <v>28.8</v>
      </c>
      <c r="N71" s="877">
        <f t="shared" si="8"/>
        <v>28.8</v>
      </c>
      <c r="O71" s="1214" t="s">
        <v>1117</v>
      </c>
      <c r="P71" s="1214" t="s">
        <v>1117</v>
      </c>
      <c r="Q71" s="1065">
        <f t="shared" si="1"/>
        <v>0</v>
      </c>
      <c r="R71" s="1065">
        <f t="shared" si="1"/>
        <v>0</v>
      </c>
      <c r="S71" s="1065">
        <f t="shared" si="1"/>
        <v>0</v>
      </c>
      <c r="Z71" s="1311">
        <f t="shared" si="2"/>
        <v>0</v>
      </c>
    </row>
    <row r="72" spans="1:26" ht="36.75" customHeight="1">
      <c r="A72" s="895">
        <v>35</v>
      </c>
      <c r="B72" s="1075" t="s">
        <v>690</v>
      </c>
      <c r="C72" s="894">
        <f t="shared" si="9"/>
        <v>11063.4</v>
      </c>
      <c r="D72" s="972">
        <f>10318.8+80.6</f>
        <v>10399.4</v>
      </c>
      <c r="E72" s="972">
        <f>658.8+5.15</f>
        <v>664</v>
      </c>
      <c r="F72" s="1303">
        <f t="shared" si="10"/>
        <v>11063.4</v>
      </c>
      <c r="G72" s="879">
        <f>D72</f>
        <v>10399.4</v>
      </c>
      <c r="H72" s="879">
        <f>E72</f>
        <v>664</v>
      </c>
      <c r="I72" s="1303">
        <f t="shared" si="11"/>
        <v>6921.7</v>
      </c>
      <c r="J72" s="1303">
        <v>6506.3</v>
      </c>
      <c r="K72" s="1303">
        <v>415.4</v>
      </c>
      <c r="L72" s="877">
        <f t="shared" si="8"/>
        <v>62.6</v>
      </c>
      <c r="M72" s="877">
        <f t="shared" si="8"/>
        <v>62.6</v>
      </c>
      <c r="N72" s="877">
        <f t="shared" si="8"/>
        <v>62.6</v>
      </c>
      <c r="O72" s="1214" t="s">
        <v>1185</v>
      </c>
      <c r="P72" s="1214" t="s">
        <v>1143</v>
      </c>
      <c r="Q72" s="1065">
        <f t="shared" si="1"/>
        <v>0</v>
      </c>
      <c r="R72" s="1065">
        <f t="shared" si="1"/>
        <v>0</v>
      </c>
      <c r="S72" s="1065">
        <f t="shared" si="1"/>
        <v>0</v>
      </c>
      <c r="T72" s="1099" t="s">
        <v>954</v>
      </c>
      <c r="U72" s="1100" t="s">
        <v>974</v>
      </c>
      <c r="V72" s="1099">
        <v>522</v>
      </c>
      <c r="W72" s="1099" t="s">
        <v>958</v>
      </c>
      <c r="Z72" s="1311">
        <f t="shared" si="2"/>
        <v>0</v>
      </c>
    </row>
    <row r="73" spans="1:26" ht="36.75" customHeight="1">
      <c r="A73" s="1297" t="s">
        <v>160</v>
      </c>
      <c r="B73" s="1075" t="s">
        <v>689</v>
      </c>
      <c r="C73" s="894">
        <f t="shared" si="9"/>
        <v>42276.800000000003</v>
      </c>
      <c r="D73" s="972">
        <f>7948+31792</f>
        <v>39740</v>
      </c>
      <c r="E73" s="972">
        <f>507.4+2029.44</f>
        <v>2536.8000000000002</v>
      </c>
      <c r="F73" s="1303">
        <f t="shared" si="10"/>
        <v>42276.800000000003</v>
      </c>
      <c r="G73" s="879">
        <f>D73</f>
        <v>39740</v>
      </c>
      <c r="H73" s="879">
        <f>E73</f>
        <v>2536.8000000000002</v>
      </c>
      <c r="I73" s="1303">
        <f t="shared" si="11"/>
        <v>8455.4</v>
      </c>
      <c r="J73" s="1303">
        <v>7948</v>
      </c>
      <c r="K73" s="1303">
        <v>507.4</v>
      </c>
      <c r="L73" s="877">
        <f>I73/C73*100</f>
        <v>20</v>
      </c>
      <c r="M73" s="877">
        <f>J73/D73*100</f>
        <v>20</v>
      </c>
      <c r="N73" s="877">
        <f>K73/E73*100</f>
        <v>20</v>
      </c>
      <c r="O73" s="1214" t="s">
        <v>1186</v>
      </c>
      <c r="P73" s="1214" t="s">
        <v>1144</v>
      </c>
      <c r="Q73" s="1065">
        <f t="shared" si="1"/>
        <v>0</v>
      </c>
      <c r="R73" s="1065">
        <f t="shared" si="1"/>
        <v>0</v>
      </c>
      <c r="S73" s="1065">
        <f t="shared" si="1"/>
        <v>0</v>
      </c>
      <c r="T73" s="1099" t="s">
        <v>886</v>
      </c>
      <c r="U73" s="1100" t="s">
        <v>973</v>
      </c>
      <c r="V73" s="1099">
        <v>522</v>
      </c>
      <c r="W73" s="1099" t="s">
        <v>890</v>
      </c>
      <c r="X73" s="1225"/>
      <c r="Z73" s="1311">
        <f t="shared" si="2"/>
        <v>0</v>
      </c>
    </row>
    <row r="74" spans="1:26">
      <c r="A74" s="1297"/>
      <c r="B74" s="898" t="s">
        <v>457</v>
      </c>
      <c r="C74" s="871">
        <f t="shared" si="9"/>
        <v>39454.5</v>
      </c>
      <c r="D74" s="1252">
        <f>SUM(D75:D76)</f>
        <v>37086.9</v>
      </c>
      <c r="E74" s="1252">
        <f>SUM(E75:E76)</f>
        <v>2367.6</v>
      </c>
      <c r="F74" s="1302">
        <f t="shared" si="10"/>
        <v>39454.5</v>
      </c>
      <c r="G74" s="881">
        <f>SUM(G75:G76)</f>
        <v>37086.9</v>
      </c>
      <c r="H74" s="881">
        <f>SUM(H75:H76)</f>
        <v>2367.6</v>
      </c>
      <c r="I74" s="1302">
        <f t="shared" si="11"/>
        <v>0</v>
      </c>
      <c r="J74" s="881">
        <f>SUM(J75:J76)</f>
        <v>0</v>
      </c>
      <c r="K74" s="881">
        <f>SUM(K75:K76)</f>
        <v>0</v>
      </c>
      <c r="L74" s="1300">
        <f t="shared" si="8"/>
        <v>0</v>
      </c>
      <c r="M74" s="875">
        <f t="shared" si="8"/>
        <v>0</v>
      </c>
      <c r="N74" s="875">
        <f t="shared" si="8"/>
        <v>0</v>
      </c>
      <c r="O74" s="1214" t="s">
        <v>1117</v>
      </c>
      <c r="P74" s="1214" t="s">
        <v>1117</v>
      </c>
      <c r="Q74" s="1065">
        <f t="shared" si="1"/>
        <v>0</v>
      </c>
      <c r="R74" s="1065">
        <f t="shared" si="1"/>
        <v>0</v>
      </c>
      <c r="S74" s="1065">
        <f t="shared" si="1"/>
        <v>0</v>
      </c>
      <c r="Z74" s="1311">
        <f t="shared" si="2"/>
        <v>0</v>
      </c>
    </row>
    <row r="75" spans="1:26" ht="116.25">
      <c r="A75" s="1297" t="s">
        <v>532</v>
      </c>
      <c r="B75" s="1296" t="s">
        <v>838</v>
      </c>
      <c r="C75" s="894">
        <f t="shared" si="9"/>
        <v>8075.8</v>
      </c>
      <c r="D75" s="972">
        <f>7572.8+18.33</f>
        <v>7591.1</v>
      </c>
      <c r="E75" s="972">
        <f>483.5+1.17</f>
        <v>484.7</v>
      </c>
      <c r="F75" s="1303">
        <f t="shared" si="10"/>
        <v>8075.8</v>
      </c>
      <c r="G75" s="879">
        <f>D75</f>
        <v>7591.1</v>
      </c>
      <c r="H75" s="879">
        <f>E75</f>
        <v>484.7</v>
      </c>
      <c r="I75" s="1303">
        <f t="shared" si="11"/>
        <v>0</v>
      </c>
      <c r="J75" s="1303">
        <v>0</v>
      </c>
      <c r="K75" s="1303">
        <v>0</v>
      </c>
      <c r="L75" s="877">
        <f t="shared" si="8"/>
        <v>0</v>
      </c>
      <c r="M75" s="877">
        <f t="shared" si="8"/>
        <v>0</v>
      </c>
      <c r="N75" s="877">
        <f t="shared" si="8"/>
        <v>0</v>
      </c>
      <c r="O75" s="1292" t="s">
        <v>1187</v>
      </c>
      <c r="P75" s="1292" t="s">
        <v>1145</v>
      </c>
      <c r="Q75" s="1065">
        <f t="shared" si="1"/>
        <v>0</v>
      </c>
      <c r="R75" s="1065">
        <f t="shared" si="1"/>
        <v>0</v>
      </c>
      <c r="S75" s="1065">
        <f t="shared" si="1"/>
        <v>0</v>
      </c>
      <c r="T75" s="1099">
        <v>1102</v>
      </c>
      <c r="U75" s="1100" t="s">
        <v>981</v>
      </c>
      <c r="V75" s="1099">
        <v>522</v>
      </c>
      <c r="W75" s="1099" t="s">
        <v>958</v>
      </c>
      <c r="Z75" s="1311">
        <f t="shared" si="2"/>
        <v>0</v>
      </c>
    </row>
    <row r="76" spans="1:26" ht="47.25" customHeight="1">
      <c r="A76" s="895">
        <v>38</v>
      </c>
      <c r="B76" s="1075" t="s">
        <v>678</v>
      </c>
      <c r="C76" s="894">
        <f t="shared" si="9"/>
        <v>31378.7</v>
      </c>
      <c r="D76" s="972">
        <f>5899.2+23596.6</f>
        <v>29495.8</v>
      </c>
      <c r="E76" s="972">
        <f>376.6+1506.29</f>
        <v>1882.9</v>
      </c>
      <c r="F76" s="1303">
        <f t="shared" si="10"/>
        <v>31378.7</v>
      </c>
      <c r="G76" s="879">
        <f>D76</f>
        <v>29495.8</v>
      </c>
      <c r="H76" s="879">
        <f>E76</f>
        <v>1882.9</v>
      </c>
      <c r="I76" s="1303">
        <f t="shared" si="11"/>
        <v>0</v>
      </c>
      <c r="J76" s="1303">
        <v>0</v>
      </c>
      <c r="K76" s="1303">
        <v>0</v>
      </c>
      <c r="L76" s="877">
        <f t="shared" si="8"/>
        <v>0</v>
      </c>
      <c r="M76" s="877">
        <f t="shared" si="8"/>
        <v>0</v>
      </c>
      <c r="N76" s="877">
        <f t="shared" si="8"/>
        <v>0</v>
      </c>
      <c r="O76" s="1214" t="s">
        <v>1188</v>
      </c>
      <c r="P76" s="1214" t="s">
        <v>1139</v>
      </c>
      <c r="Q76" s="1065">
        <f t="shared" si="1"/>
        <v>0</v>
      </c>
      <c r="R76" s="1065">
        <f t="shared" si="1"/>
        <v>0</v>
      </c>
      <c r="S76" s="1065">
        <f t="shared" si="1"/>
        <v>0</v>
      </c>
      <c r="T76" s="1099" t="s">
        <v>886</v>
      </c>
      <c r="U76" s="1100" t="s">
        <v>980</v>
      </c>
      <c r="V76" s="1099">
        <v>522</v>
      </c>
      <c r="W76" s="1099" t="s">
        <v>890</v>
      </c>
      <c r="Z76" s="1311">
        <f t="shared" si="2"/>
        <v>0</v>
      </c>
    </row>
    <row r="77" spans="1:26">
      <c r="A77" s="1297"/>
      <c r="B77" s="898" t="s">
        <v>433</v>
      </c>
      <c r="C77" s="871">
        <f t="shared" si="9"/>
        <v>14049.3</v>
      </c>
      <c r="D77" s="1250">
        <f>D78</f>
        <v>13206.1</v>
      </c>
      <c r="E77" s="1250">
        <f>E78</f>
        <v>843.2</v>
      </c>
      <c r="F77" s="1302">
        <f t="shared" si="10"/>
        <v>14049.3</v>
      </c>
      <c r="G77" s="875">
        <f>G78</f>
        <v>13206.1</v>
      </c>
      <c r="H77" s="875">
        <f>H78</f>
        <v>843.2</v>
      </c>
      <c r="I77" s="1302">
        <f t="shared" si="11"/>
        <v>3862.8</v>
      </c>
      <c r="J77" s="875">
        <f>J78</f>
        <v>3631</v>
      </c>
      <c r="K77" s="875">
        <f>K78</f>
        <v>231.8</v>
      </c>
      <c r="L77" s="1300">
        <f t="shared" si="8"/>
        <v>27.5</v>
      </c>
      <c r="M77" s="1301">
        <f t="shared" si="8"/>
        <v>27.5</v>
      </c>
      <c r="N77" s="1301">
        <f t="shared" si="8"/>
        <v>27.5</v>
      </c>
      <c r="O77" s="1214" t="s">
        <v>353</v>
      </c>
      <c r="P77" s="1214" t="s">
        <v>353</v>
      </c>
      <c r="Q77" s="1065">
        <f t="shared" si="1"/>
        <v>0</v>
      </c>
      <c r="R77" s="1065">
        <f t="shared" si="1"/>
        <v>0</v>
      </c>
      <c r="S77" s="1065">
        <f t="shared" si="1"/>
        <v>0</v>
      </c>
      <c r="Z77" s="1311">
        <f t="shared" ref="Z77:Z140" si="12">C77-F77</f>
        <v>0</v>
      </c>
    </row>
    <row r="78" spans="1:26" ht="40.5" customHeight="1">
      <c r="A78" s="1297" t="s">
        <v>536</v>
      </c>
      <c r="B78" s="1084" t="s">
        <v>679</v>
      </c>
      <c r="C78" s="894">
        <f t="shared" si="9"/>
        <v>14049.3</v>
      </c>
      <c r="D78" s="1249">
        <v>13206.1</v>
      </c>
      <c r="E78" s="1249">
        <v>843.2</v>
      </c>
      <c r="F78" s="1303">
        <f t="shared" si="10"/>
        <v>14049.3</v>
      </c>
      <c r="G78" s="879">
        <f>D78</f>
        <v>13206.1</v>
      </c>
      <c r="H78" s="879">
        <f>E78</f>
        <v>843.2</v>
      </c>
      <c r="I78" s="1303">
        <f t="shared" si="11"/>
        <v>3862.8</v>
      </c>
      <c r="J78" s="1299">
        <v>3631</v>
      </c>
      <c r="K78" s="1299">
        <v>231.8</v>
      </c>
      <c r="L78" s="877">
        <f t="shared" si="8"/>
        <v>27.5</v>
      </c>
      <c r="M78" s="877">
        <f t="shared" si="8"/>
        <v>27.5</v>
      </c>
      <c r="N78" s="877">
        <f t="shared" si="8"/>
        <v>27.5</v>
      </c>
      <c r="O78" s="1292" t="s">
        <v>1140</v>
      </c>
      <c r="P78" s="1292" t="s">
        <v>1141</v>
      </c>
      <c r="Q78" s="1065">
        <f t="shared" si="1"/>
        <v>0</v>
      </c>
      <c r="R78" s="1065">
        <f t="shared" si="1"/>
        <v>0</v>
      </c>
      <c r="S78" s="1065">
        <f t="shared" si="1"/>
        <v>0</v>
      </c>
      <c r="T78" s="1099" t="s">
        <v>954</v>
      </c>
      <c r="U78" s="1100" t="s">
        <v>982</v>
      </c>
      <c r="V78" s="1099">
        <v>522</v>
      </c>
      <c r="W78" s="1099" t="s">
        <v>958</v>
      </c>
      <c r="Z78" s="1311">
        <f t="shared" si="12"/>
        <v>0</v>
      </c>
    </row>
    <row r="79" spans="1:26">
      <c r="A79" s="895"/>
      <c r="B79" s="898" t="s">
        <v>458</v>
      </c>
      <c r="C79" s="871">
        <f t="shared" si="9"/>
        <v>11408.7</v>
      </c>
      <c r="D79" s="1250">
        <f>D80</f>
        <v>10724</v>
      </c>
      <c r="E79" s="1250">
        <f>E80</f>
        <v>684.7</v>
      </c>
      <c r="F79" s="1302">
        <f t="shared" si="10"/>
        <v>11408.7</v>
      </c>
      <c r="G79" s="875">
        <f>G80</f>
        <v>10724</v>
      </c>
      <c r="H79" s="875">
        <f>H80</f>
        <v>684.7</v>
      </c>
      <c r="I79" s="1302">
        <f t="shared" si="11"/>
        <v>161.69999999999999</v>
      </c>
      <c r="J79" s="875">
        <f>J80</f>
        <v>152</v>
      </c>
      <c r="K79" s="875">
        <f>K80</f>
        <v>9.6999999999999993</v>
      </c>
      <c r="L79" s="1300">
        <f t="shared" si="8"/>
        <v>1.4</v>
      </c>
      <c r="M79" s="1301">
        <f t="shared" si="8"/>
        <v>1.4</v>
      </c>
      <c r="N79" s="1301">
        <f t="shared" si="8"/>
        <v>1.4</v>
      </c>
      <c r="O79" s="1214" t="s">
        <v>353</v>
      </c>
      <c r="P79" s="1214" t="s">
        <v>353</v>
      </c>
      <c r="Q79" s="1065">
        <f t="shared" ref="Q79:S94" si="13">C79-F79</f>
        <v>0</v>
      </c>
      <c r="R79" s="1065">
        <f t="shared" si="13"/>
        <v>0</v>
      </c>
      <c r="S79" s="1065">
        <f t="shared" si="13"/>
        <v>0</v>
      </c>
      <c r="Z79" s="1311">
        <f t="shared" si="12"/>
        <v>0</v>
      </c>
    </row>
    <row r="80" spans="1:26" ht="50.25" customHeight="1">
      <c r="A80" s="1297" t="s">
        <v>131</v>
      </c>
      <c r="B80" s="1084" t="s">
        <v>680</v>
      </c>
      <c r="C80" s="894">
        <f t="shared" si="9"/>
        <v>11408.7</v>
      </c>
      <c r="D80" s="1249">
        <v>10724</v>
      </c>
      <c r="E80" s="1249">
        <v>684.7</v>
      </c>
      <c r="F80" s="1303">
        <f t="shared" si="10"/>
        <v>11408.7</v>
      </c>
      <c r="G80" s="879">
        <f>D80</f>
        <v>10724</v>
      </c>
      <c r="H80" s="879">
        <f>E80</f>
        <v>684.7</v>
      </c>
      <c r="I80" s="1303">
        <f t="shared" si="11"/>
        <v>161.69999999999999</v>
      </c>
      <c r="J80" s="1303">
        <v>152</v>
      </c>
      <c r="K80" s="1303">
        <v>9.6999999999999993</v>
      </c>
      <c r="L80" s="877">
        <f t="shared" si="8"/>
        <v>1.4</v>
      </c>
      <c r="M80" s="877">
        <f t="shared" si="8"/>
        <v>1.4</v>
      </c>
      <c r="N80" s="877">
        <f t="shared" si="8"/>
        <v>1.4</v>
      </c>
      <c r="O80" s="1214" t="s">
        <v>1189</v>
      </c>
      <c r="P80" s="1292" t="s">
        <v>1142</v>
      </c>
      <c r="Q80" s="1065">
        <f t="shared" si="13"/>
        <v>0</v>
      </c>
      <c r="R80" s="1065">
        <f t="shared" si="13"/>
        <v>0</v>
      </c>
      <c r="S80" s="1065">
        <f t="shared" si="13"/>
        <v>0</v>
      </c>
      <c r="T80" s="1099" t="s">
        <v>954</v>
      </c>
      <c r="U80" s="1100" t="s">
        <v>997</v>
      </c>
      <c r="V80" s="1099">
        <v>522</v>
      </c>
      <c r="W80" s="1099" t="s">
        <v>958</v>
      </c>
      <c r="Z80" s="1311">
        <f t="shared" si="12"/>
        <v>0</v>
      </c>
    </row>
    <row r="81" spans="1:26">
      <c r="A81" s="895"/>
      <c r="B81" s="898" t="s">
        <v>443</v>
      </c>
      <c r="C81" s="871">
        <f t="shared" si="9"/>
        <v>55847.5</v>
      </c>
      <c r="D81" s="1250">
        <f>D82</f>
        <v>52496.6</v>
      </c>
      <c r="E81" s="1250">
        <f>E82</f>
        <v>3350.9</v>
      </c>
      <c r="F81" s="1302">
        <f t="shared" si="10"/>
        <v>55847.5</v>
      </c>
      <c r="G81" s="875">
        <f>G82</f>
        <v>52496.6</v>
      </c>
      <c r="H81" s="875">
        <f>H82</f>
        <v>3350.9</v>
      </c>
      <c r="I81" s="1302">
        <f t="shared" si="11"/>
        <v>374</v>
      </c>
      <c r="J81" s="875">
        <f>J82</f>
        <v>351.6</v>
      </c>
      <c r="K81" s="875">
        <f>K82</f>
        <v>22.4</v>
      </c>
      <c r="L81" s="876">
        <f t="shared" si="8"/>
        <v>0.7</v>
      </c>
      <c r="M81" s="877">
        <f t="shared" si="8"/>
        <v>0.7</v>
      </c>
      <c r="N81" s="877">
        <f t="shared" si="8"/>
        <v>0.7</v>
      </c>
      <c r="O81" s="1214" t="s">
        <v>353</v>
      </c>
      <c r="P81" s="1214" t="s">
        <v>353</v>
      </c>
      <c r="Q81" s="1065">
        <f t="shared" si="13"/>
        <v>0</v>
      </c>
      <c r="R81" s="1065">
        <f t="shared" si="13"/>
        <v>0</v>
      </c>
      <c r="S81" s="1065">
        <f t="shared" si="13"/>
        <v>0</v>
      </c>
      <c r="Z81" s="1311">
        <f t="shared" si="12"/>
        <v>0</v>
      </c>
    </row>
    <row r="82" spans="1:26" ht="50.25" customHeight="1">
      <c r="A82" s="1297" t="s">
        <v>555</v>
      </c>
      <c r="B82" s="1084" t="s">
        <v>681</v>
      </c>
      <c r="C82" s="894">
        <f t="shared" si="9"/>
        <v>55847.5</v>
      </c>
      <c r="D82" s="1249">
        <f>52494.2+2.4</f>
        <v>52496.6</v>
      </c>
      <c r="E82" s="1249">
        <f>3350.7+0.16</f>
        <v>3350.9</v>
      </c>
      <c r="F82" s="1303">
        <f t="shared" si="10"/>
        <v>55847.5</v>
      </c>
      <c r="G82" s="879">
        <f>D82</f>
        <v>52496.6</v>
      </c>
      <c r="H82" s="879">
        <f>E82</f>
        <v>3350.9</v>
      </c>
      <c r="I82" s="1303">
        <f t="shared" si="11"/>
        <v>374</v>
      </c>
      <c r="J82" s="1303">
        <v>351.6</v>
      </c>
      <c r="K82" s="1303">
        <v>22.4</v>
      </c>
      <c r="L82" s="877">
        <f t="shared" si="8"/>
        <v>0.7</v>
      </c>
      <c r="M82" s="877">
        <f t="shared" si="8"/>
        <v>0.7</v>
      </c>
      <c r="N82" s="877">
        <f t="shared" si="8"/>
        <v>0.7</v>
      </c>
      <c r="O82" s="1292" t="s">
        <v>1190</v>
      </c>
      <c r="P82" s="1214" t="s">
        <v>1146</v>
      </c>
      <c r="Q82" s="1065">
        <f t="shared" si="13"/>
        <v>0</v>
      </c>
      <c r="R82" s="1065">
        <f t="shared" si="13"/>
        <v>0</v>
      </c>
      <c r="S82" s="1065">
        <f t="shared" si="13"/>
        <v>0</v>
      </c>
      <c r="T82" s="1099" t="s">
        <v>874</v>
      </c>
      <c r="U82" s="1100" t="s">
        <v>984</v>
      </c>
      <c r="V82" s="1099">
        <v>522</v>
      </c>
      <c r="W82" s="1099" t="s">
        <v>985</v>
      </c>
      <c r="Z82" s="1311">
        <f t="shared" si="12"/>
        <v>0</v>
      </c>
    </row>
    <row r="83" spans="1:26">
      <c r="A83" s="895"/>
      <c r="B83" s="898" t="s">
        <v>281</v>
      </c>
      <c r="C83" s="871">
        <f t="shared" si="9"/>
        <v>115657.60000000001</v>
      </c>
      <c r="D83" s="1250">
        <f>SUM(D84:D85)</f>
        <v>108717.1</v>
      </c>
      <c r="E83" s="1250">
        <f>SUM(E84:E85)</f>
        <v>6940.5</v>
      </c>
      <c r="F83" s="1302">
        <f t="shared" si="10"/>
        <v>115657.60000000001</v>
      </c>
      <c r="G83" s="875">
        <f>SUM(G84:G85)</f>
        <v>108717.1</v>
      </c>
      <c r="H83" s="875">
        <f>SUM(H84:H85)</f>
        <v>6940.5</v>
      </c>
      <c r="I83" s="1302">
        <f t="shared" si="11"/>
        <v>12341.9</v>
      </c>
      <c r="J83" s="875">
        <f>SUM(J84:J85)</f>
        <v>11601.4</v>
      </c>
      <c r="K83" s="875">
        <f>SUM(K84:K85)</f>
        <v>740.5</v>
      </c>
      <c r="L83" s="876">
        <f t="shared" si="8"/>
        <v>10.7</v>
      </c>
      <c r="M83" s="877">
        <f t="shared" si="8"/>
        <v>10.7</v>
      </c>
      <c r="N83" s="877">
        <f t="shared" si="8"/>
        <v>10.7</v>
      </c>
      <c r="O83" s="1214" t="s">
        <v>353</v>
      </c>
      <c r="P83" s="1214" t="s">
        <v>353</v>
      </c>
      <c r="Q83" s="1065">
        <f t="shared" si="13"/>
        <v>0</v>
      </c>
      <c r="R83" s="1065">
        <f t="shared" si="13"/>
        <v>0</v>
      </c>
      <c r="S83" s="1065">
        <f t="shared" si="13"/>
        <v>0</v>
      </c>
      <c r="Z83" s="1311">
        <f t="shared" si="12"/>
        <v>0</v>
      </c>
    </row>
    <row r="84" spans="1:26" ht="66" customHeight="1">
      <c r="A84" s="1293" t="s">
        <v>1308</v>
      </c>
      <c r="B84" s="1086" t="s">
        <v>682</v>
      </c>
      <c r="C84" s="1253">
        <f t="shared" si="9"/>
        <v>84139</v>
      </c>
      <c r="D84" s="1254">
        <f>75135.3+3954.5</f>
        <v>79089.8</v>
      </c>
      <c r="E84" s="1249">
        <f>4796.7+252.5</f>
        <v>5049.2</v>
      </c>
      <c r="F84" s="1298">
        <f t="shared" si="10"/>
        <v>84139</v>
      </c>
      <c r="G84" s="879">
        <f>D84</f>
        <v>79089.8</v>
      </c>
      <c r="H84" s="879">
        <f>E84</f>
        <v>5049.2</v>
      </c>
      <c r="I84" s="1298">
        <f t="shared" si="11"/>
        <v>12341.9</v>
      </c>
      <c r="J84" s="1298">
        <v>11601.4</v>
      </c>
      <c r="K84" s="1303">
        <v>740.5</v>
      </c>
      <c r="L84" s="1294">
        <f t="shared" si="8"/>
        <v>14.7</v>
      </c>
      <c r="M84" s="1294">
        <f t="shared" si="8"/>
        <v>14.7</v>
      </c>
      <c r="N84" s="1301">
        <f t="shared" si="8"/>
        <v>14.7</v>
      </c>
      <c r="O84" s="1214" t="s">
        <v>1147</v>
      </c>
      <c r="P84" s="1214" t="s">
        <v>1148</v>
      </c>
      <c r="Q84" s="1065">
        <f t="shared" si="13"/>
        <v>0</v>
      </c>
      <c r="R84" s="1065">
        <f t="shared" si="13"/>
        <v>0</v>
      </c>
      <c r="S84" s="1065">
        <f t="shared" si="13"/>
        <v>0</v>
      </c>
      <c r="T84" s="1099" t="s">
        <v>928</v>
      </c>
      <c r="U84" s="1100" t="s">
        <v>987</v>
      </c>
      <c r="V84" s="1099">
        <v>522</v>
      </c>
      <c r="W84" s="1099" t="s">
        <v>930</v>
      </c>
      <c r="Z84" s="1311">
        <f t="shared" si="12"/>
        <v>0</v>
      </c>
    </row>
    <row r="85" spans="1:26" ht="45.75" customHeight="1">
      <c r="A85" s="1297" t="s">
        <v>556</v>
      </c>
      <c r="B85" s="1084" t="s">
        <v>683</v>
      </c>
      <c r="C85" s="894">
        <f t="shared" si="9"/>
        <v>31518.6</v>
      </c>
      <c r="D85" s="1249">
        <f>29034.8+592.5</f>
        <v>29627.3</v>
      </c>
      <c r="E85" s="1249">
        <f>1853.5+37.83</f>
        <v>1891.3</v>
      </c>
      <c r="F85" s="1303">
        <f t="shared" si="10"/>
        <v>31518.6</v>
      </c>
      <c r="G85" s="879">
        <f>D85</f>
        <v>29627.3</v>
      </c>
      <c r="H85" s="879">
        <f>E85</f>
        <v>1891.3</v>
      </c>
      <c r="I85" s="1303">
        <f t="shared" si="11"/>
        <v>0</v>
      </c>
      <c r="J85" s="1303">
        <v>0</v>
      </c>
      <c r="K85" s="1303">
        <v>0</v>
      </c>
      <c r="L85" s="877">
        <f t="shared" si="8"/>
        <v>0</v>
      </c>
      <c r="M85" s="877">
        <f t="shared" si="8"/>
        <v>0</v>
      </c>
      <c r="N85" s="877">
        <f t="shared" si="8"/>
        <v>0</v>
      </c>
      <c r="O85" s="1214" t="s">
        <v>1191</v>
      </c>
      <c r="P85" s="1214" t="s">
        <v>1118</v>
      </c>
      <c r="Q85" s="1065">
        <f t="shared" si="13"/>
        <v>0</v>
      </c>
      <c r="R85" s="1065">
        <f t="shared" si="13"/>
        <v>0</v>
      </c>
      <c r="S85" s="1065">
        <f t="shared" si="13"/>
        <v>0</v>
      </c>
      <c r="T85" s="1099" t="s">
        <v>954</v>
      </c>
      <c r="U85" s="1100" t="s">
        <v>998</v>
      </c>
      <c r="V85" s="1099">
        <v>522</v>
      </c>
      <c r="W85" s="1099" t="s">
        <v>958</v>
      </c>
      <c r="Z85" s="1311">
        <f t="shared" si="12"/>
        <v>0</v>
      </c>
    </row>
    <row r="86" spans="1:26">
      <c r="A86" s="1297"/>
      <c r="B86" s="898" t="s">
        <v>583</v>
      </c>
      <c r="C86" s="871">
        <f t="shared" si="9"/>
        <v>36116.5</v>
      </c>
      <c r="D86" s="1250">
        <f>SUM(D87:D87)</f>
        <v>33949.300000000003</v>
      </c>
      <c r="E86" s="1250">
        <f>SUM(E87:E87)</f>
        <v>2167.1999999999998</v>
      </c>
      <c r="F86" s="1302">
        <f t="shared" si="10"/>
        <v>36116.5</v>
      </c>
      <c r="G86" s="875">
        <f>SUM(G87:G87)</f>
        <v>33949.300000000003</v>
      </c>
      <c r="H86" s="875">
        <f>SUM(H87:H87)</f>
        <v>2167.1999999999998</v>
      </c>
      <c r="I86" s="1302">
        <f t="shared" si="11"/>
        <v>777</v>
      </c>
      <c r="J86" s="875">
        <f>SUM(J87:J87)</f>
        <v>730.4</v>
      </c>
      <c r="K86" s="875">
        <f>SUM(K87:K87)</f>
        <v>46.6</v>
      </c>
      <c r="L86" s="876">
        <f t="shared" si="8"/>
        <v>2.2000000000000002</v>
      </c>
      <c r="M86" s="877">
        <f t="shared" si="8"/>
        <v>2.2000000000000002</v>
      </c>
      <c r="N86" s="877">
        <f t="shared" si="8"/>
        <v>2.2000000000000002</v>
      </c>
      <c r="O86" s="1214" t="s">
        <v>353</v>
      </c>
      <c r="P86" s="1214" t="s">
        <v>353</v>
      </c>
      <c r="Q86" s="1065">
        <f t="shared" si="13"/>
        <v>0</v>
      </c>
      <c r="R86" s="1065">
        <f t="shared" si="13"/>
        <v>0</v>
      </c>
      <c r="S86" s="1065">
        <f t="shared" si="13"/>
        <v>0</v>
      </c>
      <c r="Z86" s="1311">
        <f t="shared" si="12"/>
        <v>0</v>
      </c>
    </row>
    <row r="87" spans="1:26" ht="39" customHeight="1">
      <c r="A87" s="1297" t="s">
        <v>162</v>
      </c>
      <c r="B87" s="1075" t="s">
        <v>684</v>
      </c>
      <c r="C87" s="894">
        <f t="shared" si="9"/>
        <v>36116.5</v>
      </c>
      <c r="D87" s="1249">
        <f>8487.1+25462.18</f>
        <v>33949.300000000003</v>
      </c>
      <c r="E87" s="1249">
        <f>541.8+1625.38</f>
        <v>2167.1999999999998</v>
      </c>
      <c r="F87" s="1303">
        <f t="shared" si="10"/>
        <v>36116.5</v>
      </c>
      <c r="G87" s="879">
        <f>D87</f>
        <v>33949.300000000003</v>
      </c>
      <c r="H87" s="879">
        <f>E87</f>
        <v>2167.1999999999998</v>
      </c>
      <c r="I87" s="1303">
        <f t="shared" si="11"/>
        <v>777</v>
      </c>
      <c r="J87" s="1303">
        <v>730.4</v>
      </c>
      <c r="K87" s="1303">
        <v>46.6</v>
      </c>
      <c r="L87" s="877">
        <f t="shared" si="8"/>
        <v>2.2000000000000002</v>
      </c>
      <c r="M87" s="877">
        <f t="shared" si="8"/>
        <v>2.2000000000000002</v>
      </c>
      <c r="N87" s="877">
        <f t="shared" si="8"/>
        <v>2.2000000000000002</v>
      </c>
      <c r="O87" s="1214" t="s">
        <v>1149</v>
      </c>
      <c r="P87" s="1214" t="s">
        <v>1150</v>
      </c>
      <c r="Q87" s="1065">
        <f t="shared" si="13"/>
        <v>0</v>
      </c>
      <c r="R87" s="1065">
        <f t="shared" si="13"/>
        <v>0</v>
      </c>
      <c r="S87" s="1065">
        <f t="shared" si="13"/>
        <v>0</v>
      </c>
      <c r="T87" s="1099" t="s">
        <v>886</v>
      </c>
      <c r="U87" s="1100" t="s">
        <v>996</v>
      </c>
      <c r="V87" s="1099">
        <v>522</v>
      </c>
      <c r="W87" s="1099" t="s">
        <v>890</v>
      </c>
      <c r="Z87" s="1311">
        <f t="shared" si="12"/>
        <v>0</v>
      </c>
    </row>
    <row r="88" spans="1:26" s="914" customFormat="1" ht="135" customHeight="1">
      <c r="A88" s="1047" t="s">
        <v>2</v>
      </c>
      <c r="B88" s="1275" t="s">
        <v>313</v>
      </c>
      <c r="C88" s="1047">
        <f t="shared" si="9"/>
        <v>3583350.9</v>
      </c>
      <c r="D88" s="1047">
        <f>D89</f>
        <v>2888474.5</v>
      </c>
      <c r="E88" s="1047">
        <f>E89</f>
        <v>694876.4</v>
      </c>
      <c r="F88" s="1047">
        <f t="shared" si="10"/>
        <v>3571050.7</v>
      </c>
      <c r="G88" s="1047">
        <f>G89</f>
        <v>2876174.2</v>
      </c>
      <c r="H88" s="1047">
        <f>H89</f>
        <v>694876.5</v>
      </c>
      <c r="I88" s="1047">
        <f t="shared" si="11"/>
        <v>137269.20000000001</v>
      </c>
      <c r="J88" s="1047">
        <f>J89</f>
        <v>85522.1</v>
      </c>
      <c r="K88" s="1047">
        <f>K89</f>
        <v>51747.1</v>
      </c>
      <c r="L88" s="1048">
        <f t="shared" si="8"/>
        <v>3.8</v>
      </c>
      <c r="M88" s="1049">
        <f t="shared" si="8"/>
        <v>3</v>
      </c>
      <c r="N88" s="1049">
        <f t="shared" si="8"/>
        <v>7.4</v>
      </c>
      <c r="O88" s="1227" t="s">
        <v>353</v>
      </c>
      <c r="P88" s="1227" t="s">
        <v>353</v>
      </c>
      <c r="Q88" s="1065">
        <f t="shared" si="13"/>
        <v>12300.2</v>
      </c>
      <c r="R88" s="1065">
        <f t="shared" si="13"/>
        <v>12300.3</v>
      </c>
      <c r="S88" s="1065">
        <f t="shared" si="13"/>
        <v>-0.1</v>
      </c>
      <c r="T88" s="1099"/>
      <c r="U88" s="1100"/>
      <c r="V88" s="1099"/>
      <c r="W88" s="1099"/>
      <c r="X88" s="1216"/>
      <c r="Z88" s="1311">
        <f t="shared" si="12"/>
        <v>12300.2</v>
      </c>
    </row>
    <row r="89" spans="1:26" s="914" customFormat="1" ht="63.75" customHeight="1">
      <c r="A89" s="933" t="s">
        <v>246</v>
      </c>
      <c r="B89" s="1276" t="s">
        <v>41</v>
      </c>
      <c r="C89" s="933">
        <f t="shared" si="9"/>
        <v>3583350.9</v>
      </c>
      <c r="D89" s="933">
        <f>SUM(D90:D144)</f>
        <v>2888474.5</v>
      </c>
      <c r="E89" s="933">
        <f>SUM(E90:E144)</f>
        <v>694876.4</v>
      </c>
      <c r="F89" s="933">
        <f>SUM(G89:H89)</f>
        <v>3571050.7</v>
      </c>
      <c r="G89" s="934">
        <f>SUM(G90:G144)</f>
        <v>2876174.2</v>
      </c>
      <c r="H89" s="934">
        <f>SUM(H90:H144)</f>
        <v>694876.5</v>
      </c>
      <c r="I89" s="933">
        <f t="shared" si="11"/>
        <v>137269.20000000001</v>
      </c>
      <c r="J89" s="933">
        <f>SUM(J90:J144)</f>
        <v>85522.1</v>
      </c>
      <c r="K89" s="933">
        <f>SUM(K90:K144)</f>
        <v>51747.1</v>
      </c>
      <c r="L89" s="935">
        <f t="shared" si="8"/>
        <v>3.8</v>
      </c>
      <c r="M89" s="936">
        <f t="shared" si="8"/>
        <v>3</v>
      </c>
      <c r="N89" s="936">
        <f t="shared" si="8"/>
        <v>7.4</v>
      </c>
      <c r="O89" s="1226" t="s">
        <v>353</v>
      </c>
      <c r="P89" s="1226" t="s">
        <v>353</v>
      </c>
      <c r="Q89" s="1065">
        <f t="shared" si="13"/>
        <v>12300.2</v>
      </c>
      <c r="R89" s="1065">
        <f t="shared" si="13"/>
        <v>12300.3</v>
      </c>
      <c r="S89" s="1065">
        <f t="shared" si="13"/>
        <v>-0.1</v>
      </c>
      <c r="T89" s="1099"/>
      <c r="U89" s="1100"/>
      <c r="V89" s="1099"/>
      <c r="W89" s="1099"/>
      <c r="X89" s="1216"/>
      <c r="Z89" s="1311">
        <f t="shared" si="12"/>
        <v>12300.2</v>
      </c>
    </row>
    <row r="90" spans="1:26" s="892" customFormat="1" ht="111" customHeight="1">
      <c r="A90" s="1120" t="s">
        <v>824</v>
      </c>
      <c r="B90" s="1066" t="s">
        <v>434</v>
      </c>
      <c r="C90" s="871">
        <f>SUM(D90:E90)</f>
        <v>109862.6</v>
      </c>
      <c r="D90" s="873">
        <v>105115.4</v>
      </c>
      <c r="E90" s="873">
        <v>4747.2</v>
      </c>
      <c r="F90" s="1300">
        <f t="shared" si="10"/>
        <v>109862.6</v>
      </c>
      <c r="G90" s="877">
        <f>105115.4</f>
        <v>105115.4</v>
      </c>
      <c r="H90" s="877">
        <v>4747.2</v>
      </c>
      <c r="I90" s="1300">
        <f t="shared" si="11"/>
        <v>4747.1000000000004</v>
      </c>
      <c r="J90" s="1301">
        <v>0</v>
      </c>
      <c r="K90" s="1301">
        <v>4747.1000000000004</v>
      </c>
      <c r="L90" s="876">
        <f t="shared" si="8"/>
        <v>4.3</v>
      </c>
      <c r="M90" s="877">
        <f t="shared" si="8"/>
        <v>0</v>
      </c>
      <c r="N90" s="877">
        <f t="shared" si="8"/>
        <v>100</v>
      </c>
      <c r="O90" s="1214" t="s">
        <v>353</v>
      </c>
      <c r="P90" s="1214" t="s">
        <v>1099</v>
      </c>
      <c r="Q90" s="1065">
        <f t="shared" si="13"/>
        <v>0</v>
      </c>
      <c r="R90" s="1065">
        <f t="shared" si="13"/>
        <v>0</v>
      </c>
      <c r="S90" s="1065">
        <f t="shared" si="13"/>
        <v>0</v>
      </c>
      <c r="T90" s="1099" t="s">
        <v>880</v>
      </c>
      <c r="U90" s="1100" t="s">
        <v>881</v>
      </c>
      <c r="V90" s="1099" t="s">
        <v>882</v>
      </c>
      <c r="W90" s="1099"/>
      <c r="X90" s="1216"/>
      <c r="Z90" s="1311">
        <f t="shared" si="12"/>
        <v>0</v>
      </c>
    </row>
    <row r="91" spans="1:26" ht="104.25" customHeight="1">
      <c r="A91" s="1297" t="s">
        <v>545</v>
      </c>
      <c r="B91" s="973" t="s">
        <v>793</v>
      </c>
      <c r="C91" s="871">
        <f t="shared" si="9"/>
        <v>5176.2</v>
      </c>
      <c r="D91" s="972">
        <v>0</v>
      </c>
      <c r="E91" s="972">
        <v>5176.2</v>
      </c>
      <c r="F91" s="1302">
        <f>SUM(G91:H91)</f>
        <v>5176.2</v>
      </c>
      <c r="G91" s="879">
        <v>0</v>
      </c>
      <c r="H91" s="879">
        <v>5176.2</v>
      </c>
      <c r="I91" s="1302">
        <f t="shared" si="11"/>
        <v>0</v>
      </c>
      <c r="J91" s="1303">
        <v>0</v>
      </c>
      <c r="K91" s="1303">
        <v>0</v>
      </c>
      <c r="L91" s="876">
        <v>0</v>
      </c>
      <c r="M91" s="877">
        <f t="shared" ref="M91:N99" si="14">IF(J91=0,0,J91/G91*100)</f>
        <v>0</v>
      </c>
      <c r="N91" s="877">
        <f t="shared" si="14"/>
        <v>0</v>
      </c>
      <c r="O91" s="1214" t="s">
        <v>1192</v>
      </c>
      <c r="P91" s="1214" t="s">
        <v>1151</v>
      </c>
      <c r="Q91" s="1065">
        <f t="shared" si="13"/>
        <v>0</v>
      </c>
      <c r="R91" s="1065">
        <f t="shared" si="13"/>
        <v>0</v>
      </c>
      <c r="S91" s="1065">
        <f t="shared" si="13"/>
        <v>0</v>
      </c>
      <c r="T91" s="1099" t="s">
        <v>886</v>
      </c>
      <c r="U91" s="1100" t="s">
        <v>895</v>
      </c>
      <c r="V91" s="1099">
        <v>414</v>
      </c>
      <c r="W91" s="1099">
        <v>30131</v>
      </c>
      <c r="Z91" s="1311">
        <f t="shared" si="12"/>
        <v>0</v>
      </c>
    </row>
    <row r="92" spans="1:26" ht="65.25" customHeight="1">
      <c r="A92" s="1297" t="s">
        <v>557</v>
      </c>
      <c r="B92" s="973" t="s">
        <v>661</v>
      </c>
      <c r="C92" s="871">
        <f t="shared" si="9"/>
        <v>10224.4</v>
      </c>
      <c r="D92" s="972">
        <v>0</v>
      </c>
      <c r="E92" s="972">
        <v>10224.4</v>
      </c>
      <c r="F92" s="1302">
        <f t="shared" si="10"/>
        <v>10224.4</v>
      </c>
      <c r="G92" s="879">
        <v>0</v>
      </c>
      <c r="H92" s="879">
        <v>10224.4</v>
      </c>
      <c r="I92" s="1302">
        <f t="shared" si="11"/>
        <v>0</v>
      </c>
      <c r="J92" s="1303">
        <v>0</v>
      </c>
      <c r="K92" s="1303">
        <v>0</v>
      </c>
      <c r="L92" s="876">
        <v>0</v>
      </c>
      <c r="M92" s="877">
        <f t="shared" si="14"/>
        <v>0</v>
      </c>
      <c r="N92" s="877">
        <f t="shared" si="14"/>
        <v>0</v>
      </c>
      <c r="O92" s="1214" t="s">
        <v>1222</v>
      </c>
      <c r="P92" s="1214" t="s">
        <v>1152</v>
      </c>
      <c r="Q92" s="1065">
        <f t="shared" si="13"/>
        <v>0</v>
      </c>
      <c r="R92" s="1065">
        <f t="shared" si="13"/>
        <v>0</v>
      </c>
      <c r="S92" s="1065">
        <f t="shared" si="13"/>
        <v>0</v>
      </c>
      <c r="T92" s="1099" t="s">
        <v>886</v>
      </c>
      <c r="U92" s="1100" t="s">
        <v>887</v>
      </c>
      <c r="V92" s="1099">
        <v>414</v>
      </c>
      <c r="W92" s="1099">
        <v>14037</v>
      </c>
      <c r="Z92" s="1311">
        <f t="shared" si="12"/>
        <v>0</v>
      </c>
    </row>
    <row r="93" spans="1:26" ht="65.25" customHeight="1">
      <c r="A93" s="1297" t="s">
        <v>558</v>
      </c>
      <c r="B93" s="973" t="s">
        <v>662</v>
      </c>
      <c r="C93" s="871">
        <f t="shared" si="9"/>
        <v>2373</v>
      </c>
      <c r="D93" s="972">
        <v>0</v>
      </c>
      <c r="E93" s="972">
        <v>2373</v>
      </c>
      <c r="F93" s="1302">
        <f t="shared" si="10"/>
        <v>2373</v>
      </c>
      <c r="G93" s="879">
        <v>0</v>
      </c>
      <c r="H93" s="879">
        <v>2373</v>
      </c>
      <c r="I93" s="1302">
        <f t="shared" si="11"/>
        <v>0</v>
      </c>
      <c r="J93" s="1303">
        <v>0</v>
      </c>
      <c r="K93" s="1303">
        <v>0</v>
      </c>
      <c r="L93" s="876">
        <v>0</v>
      </c>
      <c r="M93" s="877">
        <f t="shared" si="14"/>
        <v>0</v>
      </c>
      <c r="N93" s="877">
        <f t="shared" si="14"/>
        <v>0</v>
      </c>
      <c r="O93" s="1214" t="s">
        <v>1224</v>
      </c>
      <c r="P93" s="1214" t="s">
        <v>1154</v>
      </c>
      <c r="Q93" s="1065">
        <f t="shared" si="13"/>
        <v>0</v>
      </c>
      <c r="R93" s="1065">
        <f t="shared" si="13"/>
        <v>0</v>
      </c>
      <c r="S93" s="1065">
        <f t="shared" si="13"/>
        <v>0</v>
      </c>
      <c r="T93" s="1099" t="s">
        <v>886</v>
      </c>
      <c r="U93" s="1100" t="s">
        <v>888</v>
      </c>
      <c r="V93" s="1099">
        <v>141</v>
      </c>
      <c r="W93" s="1099">
        <v>14038</v>
      </c>
      <c r="Z93" s="1311">
        <f t="shared" si="12"/>
        <v>0</v>
      </c>
    </row>
    <row r="94" spans="1:26" ht="103.5" customHeight="1">
      <c r="A94" s="1297" t="s">
        <v>559</v>
      </c>
      <c r="B94" s="973" t="s">
        <v>663</v>
      </c>
      <c r="C94" s="871">
        <f t="shared" si="9"/>
        <v>4074.6</v>
      </c>
      <c r="D94" s="972">
        <v>0</v>
      </c>
      <c r="E94" s="972">
        <v>4074.6</v>
      </c>
      <c r="F94" s="1302">
        <f t="shared" si="10"/>
        <v>4074.6</v>
      </c>
      <c r="G94" s="879">
        <v>0</v>
      </c>
      <c r="H94" s="879">
        <v>4074.6</v>
      </c>
      <c r="I94" s="1302">
        <f t="shared" si="11"/>
        <v>0</v>
      </c>
      <c r="J94" s="1303">
        <v>0</v>
      </c>
      <c r="K94" s="1303">
        <v>0</v>
      </c>
      <c r="L94" s="876">
        <v>0</v>
      </c>
      <c r="M94" s="877">
        <f t="shared" si="14"/>
        <v>0</v>
      </c>
      <c r="N94" s="877">
        <f t="shared" si="14"/>
        <v>0</v>
      </c>
      <c r="O94" s="1214" t="s">
        <v>1223</v>
      </c>
      <c r="P94" s="1214" t="s">
        <v>1153</v>
      </c>
      <c r="Q94" s="1065">
        <f t="shared" si="13"/>
        <v>0</v>
      </c>
      <c r="R94" s="1065">
        <f t="shared" si="13"/>
        <v>0</v>
      </c>
      <c r="S94" s="1065">
        <f t="shared" si="13"/>
        <v>0</v>
      </c>
      <c r="T94" s="1099" t="s">
        <v>886</v>
      </c>
      <c r="U94" s="1100" t="s">
        <v>888</v>
      </c>
      <c r="V94" s="1099">
        <v>414</v>
      </c>
      <c r="W94" s="1099">
        <v>14039</v>
      </c>
      <c r="Z94" s="1311">
        <f t="shared" si="12"/>
        <v>0</v>
      </c>
    </row>
    <row r="95" spans="1:26" ht="180" customHeight="1">
      <c r="A95" s="1297" t="s">
        <v>560</v>
      </c>
      <c r="B95" s="973" t="s">
        <v>805</v>
      </c>
      <c r="C95" s="871">
        <f t="shared" si="9"/>
        <v>10000</v>
      </c>
      <c r="D95" s="972">
        <v>0</v>
      </c>
      <c r="E95" s="972">
        <v>10000</v>
      </c>
      <c r="F95" s="1302">
        <f>SUM(G95:H95)</f>
        <v>10000</v>
      </c>
      <c r="G95" s="879">
        <v>0</v>
      </c>
      <c r="H95" s="879">
        <v>10000</v>
      </c>
      <c r="I95" s="1302">
        <f t="shared" si="11"/>
        <v>0</v>
      </c>
      <c r="J95" s="1303">
        <v>0</v>
      </c>
      <c r="K95" s="1303">
        <v>0</v>
      </c>
      <c r="L95" s="876">
        <v>0</v>
      </c>
      <c r="M95" s="877">
        <f t="shared" si="14"/>
        <v>0</v>
      </c>
      <c r="N95" s="877">
        <f t="shared" si="14"/>
        <v>0</v>
      </c>
      <c r="O95" s="1214" t="s">
        <v>1192</v>
      </c>
      <c r="P95" s="1214" t="s">
        <v>1155</v>
      </c>
      <c r="Q95" s="1065">
        <f t="shared" ref="Q95:S110" si="15">C95-F95</f>
        <v>0</v>
      </c>
      <c r="R95" s="1065">
        <f t="shared" si="15"/>
        <v>0</v>
      </c>
      <c r="S95" s="1065">
        <f t="shared" si="15"/>
        <v>0</v>
      </c>
      <c r="T95" s="1099" t="s">
        <v>866</v>
      </c>
      <c r="U95" s="1100" t="s">
        <v>883</v>
      </c>
      <c r="V95" s="1099">
        <v>414</v>
      </c>
      <c r="W95" s="1099">
        <v>14051</v>
      </c>
      <c r="Z95" s="1311">
        <f t="shared" si="12"/>
        <v>0</v>
      </c>
    </row>
    <row r="96" spans="1:26" ht="116.25">
      <c r="A96" s="1297" t="s">
        <v>561</v>
      </c>
      <c r="B96" s="973" t="s">
        <v>664</v>
      </c>
      <c r="C96" s="871">
        <f t="shared" si="9"/>
        <v>1519</v>
      </c>
      <c r="D96" s="972">
        <v>0</v>
      </c>
      <c r="E96" s="972">
        <v>1519</v>
      </c>
      <c r="F96" s="1302">
        <f t="shared" si="10"/>
        <v>1519</v>
      </c>
      <c r="G96" s="879">
        <v>0</v>
      </c>
      <c r="H96" s="879">
        <v>1519</v>
      </c>
      <c r="I96" s="1302">
        <f t="shared" si="11"/>
        <v>0</v>
      </c>
      <c r="J96" s="1303">
        <v>0</v>
      </c>
      <c r="K96" s="1303">
        <v>0</v>
      </c>
      <c r="L96" s="876">
        <v>0</v>
      </c>
      <c r="M96" s="877">
        <f t="shared" si="14"/>
        <v>0</v>
      </c>
      <c r="N96" s="877">
        <f t="shared" si="14"/>
        <v>0</v>
      </c>
      <c r="O96" s="1214" t="s">
        <v>1225</v>
      </c>
      <c r="P96" s="1214" t="s">
        <v>1156</v>
      </c>
      <c r="Q96" s="1065">
        <f t="shared" si="15"/>
        <v>0</v>
      </c>
      <c r="R96" s="1065">
        <f t="shared" si="15"/>
        <v>0</v>
      </c>
      <c r="S96" s="1065">
        <f t="shared" si="15"/>
        <v>0</v>
      </c>
      <c r="T96" s="1099" t="s">
        <v>886</v>
      </c>
      <c r="U96" s="1100" t="s">
        <v>892</v>
      </c>
      <c r="V96" s="1099">
        <v>414</v>
      </c>
      <c r="W96" s="1099">
        <v>14041</v>
      </c>
      <c r="Z96" s="1311">
        <f t="shared" si="12"/>
        <v>0</v>
      </c>
    </row>
    <row r="97" spans="1:26" ht="116.25">
      <c r="A97" s="1297" t="s">
        <v>563</v>
      </c>
      <c r="B97" s="973" t="s">
        <v>665</v>
      </c>
      <c r="C97" s="871">
        <f t="shared" si="9"/>
        <v>1519</v>
      </c>
      <c r="D97" s="972">
        <v>0</v>
      </c>
      <c r="E97" s="972">
        <v>1519</v>
      </c>
      <c r="F97" s="1302">
        <f t="shared" si="10"/>
        <v>1519</v>
      </c>
      <c r="G97" s="879">
        <v>0</v>
      </c>
      <c r="H97" s="879">
        <v>1519</v>
      </c>
      <c r="I97" s="1302">
        <f t="shared" si="11"/>
        <v>0</v>
      </c>
      <c r="J97" s="1303">
        <v>0</v>
      </c>
      <c r="K97" s="1303">
        <v>0</v>
      </c>
      <c r="L97" s="876">
        <v>0</v>
      </c>
      <c r="M97" s="877">
        <f t="shared" si="14"/>
        <v>0</v>
      </c>
      <c r="N97" s="877">
        <f t="shared" si="14"/>
        <v>0</v>
      </c>
      <c r="O97" s="1214" t="s">
        <v>1226</v>
      </c>
      <c r="P97" s="1214" t="s">
        <v>1156</v>
      </c>
      <c r="Q97" s="1065">
        <f t="shared" si="15"/>
        <v>0</v>
      </c>
      <c r="R97" s="1065">
        <f t="shared" si="15"/>
        <v>0</v>
      </c>
      <c r="S97" s="1065">
        <f t="shared" si="15"/>
        <v>0</v>
      </c>
      <c r="T97" s="1099" t="s">
        <v>886</v>
      </c>
      <c r="U97" s="1100" t="s">
        <v>892</v>
      </c>
      <c r="V97" s="1099">
        <v>414</v>
      </c>
      <c r="W97" s="1099">
        <v>14042</v>
      </c>
      <c r="Z97" s="1311">
        <f t="shared" si="12"/>
        <v>0</v>
      </c>
    </row>
    <row r="98" spans="1:26" ht="116.25">
      <c r="A98" s="1297" t="s">
        <v>573</v>
      </c>
      <c r="B98" s="973" t="s">
        <v>666</v>
      </c>
      <c r="C98" s="871">
        <f t="shared" si="9"/>
        <v>1400</v>
      </c>
      <c r="D98" s="972">
        <v>0</v>
      </c>
      <c r="E98" s="972">
        <v>1400</v>
      </c>
      <c r="F98" s="1302">
        <f t="shared" si="10"/>
        <v>1400</v>
      </c>
      <c r="G98" s="879">
        <v>0</v>
      </c>
      <c r="H98" s="879">
        <v>1400</v>
      </c>
      <c r="I98" s="1302">
        <f t="shared" si="11"/>
        <v>0</v>
      </c>
      <c r="J98" s="1303">
        <v>0</v>
      </c>
      <c r="K98" s="1303">
        <v>0</v>
      </c>
      <c r="L98" s="876">
        <v>0</v>
      </c>
      <c r="M98" s="877">
        <f t="shared" si="14"/>
        <v>0</v>
      </c>
      <c r="N98" s="877">
        <f t="shared" si="14"/>
        <v>0</v>
      </c>
      <c r="O98" s="1214" t="s">
        <v>1227</v>
      </c>
      <c r="P98" s="1214" t="s">
        <v>1157</v>
      </c>
      <c r="Q98" s="1065">
        <f t="shared" si="15"/>
        <v>0</v>
      </c>
      <c r="R98" s="1065">
        <f t="shared" si="15"/>
        <v>0</v>
      </c>
      <c r="S98" s="1065">
        <f t="shared" si="15"/>
        <v>0</v>
      </c>
      <c r="T98" s="1099" t="s">
        <v>886</v>
      </c>
      <c r="U98" s="1100" t="s">
        <v>892</v>
      </c>
      <c r="V98" s="1099">
        <v>414</v>
      </c>
      <c r="W98" s="1099">
        <v>14043</v>
      </c>
      <c r="Z98" s="1311">
        <f t="shared" si="12"/>
        <v>0</v>
      </c>
    </row>
    <row r="99" spans="1:26" ht="90.75" customHeight="1">
      <c r="A99" s="1297" t="s">
        <v>624</v>
      </c>
      <c r="B99" s="973" t="s">
        <v>1170</v>
      </c>
      <c r="C99" s="871">
        <f t="shared" si="9"/>
        <v>28000</v>
      </c>
      <c r="D99" s="972">
        <v>0</v>
      </c>
      <c r="E99" s="972">
        <v>28000</v>
      </c>
      <c r="F99" s="1302">
        <f t="shared" si="10"/>
        <v>28000</v>
      </c>
      <c r="G99" s="879">
        <v>0</v>
      </c>
      <c r="H99" s="879">
        <v>28000</v>
      </c>
      <c r="I99" s="1302">
        <f t="shared" si="11"/>
        <v>0</v>
      </c>
      <c r="J99" s="1303">
        <v>0</v>
      </c>
      <c r="K99" s="1303">
        <v>0</v>
      </c>
      <c r="L99" s="876">
        <v>0</v>
      </c>
      <c r="M99" s="877">
        <f t="shared" si="14"/>
        <v>0</v>
      </c>
      <c r="N99" s="877">
        <f t="shared" si="14"/>
        <v>0</v>
      </c>
      <c r="O99" s="1214" t="s">
        <v>1192</v>
      </c>
      <c r="P99" s="1214" t="s">
        <v>1158</v>
      </c>
      <c r="Q99" s="1065">
        <f t="shared" si="15"/>
        <v>0</v>
      </c>
      <c r="R99" s="1065">
        <f t="shared" si="15"/>
        <v>0</v>
      </c>
      <c r="S99" s="1065">
        <f t="shared" si="15"/>
        <v>0</v>
      </c>
      <c r="T99" s="1099" t="s">
        <v>886</v>
      </c>
      <c r="U99" s="1100" t="s">
        <v>893</v>
      </c>
      <c r="V99" s="1099">
        <v>414</v>
      </c>
      <c r="W99" s="1099">
        <v>14044</v>
      </c>
      <c r="Z99" s="1311">
        <f t="shared" si="12"/>
        <v>0</v>
      </c>
    </row>
    <row r="100" spans="1:26" ht="63" customHeight="1">
      <c r="A100" s="1297" t="s">
        <v>105</v>
      </c>
      <c r="B100" s="1075" t="s">
        <v>771</v>
      </c>
      <c r="C100" s="871">
        <f t="shared" si="9"/>
        <v>319980.59999999998</v>
      </c>
      <c r="D100" s="972">
        <f>319980.6*0.90202494621</f>
        <v>288630.5</v>
      </c>
      <c r="E100" s="972">
        <f>319980.6*(1-0.90202494621)</f>
        <v>31350.1</v>
      </c>
      <c r="F100" s="1302">
        <f t="shared" si="10"/>
        <v>319980.59999999998</v>
      </c>
      <c r="G100" s="879">
        <f>319980.6*0.90202494621</f>
        <v>288630.5</v>
      </c>
      <c r="H100" s="879">
        <f>319980.6*(1-0.90202494621)</f>
        <v>31350.1</v>
      </c>
      <c r="I100" s="2450">
        <f t="shared" si="11"/>
        <v>0</v>
      </c>
      <c r="J100" s="2440">
        <v>0</v>
      </c>
      <c r="K100" s="2440">
        <v>0</v>
      </c>
      <c r="L100" s="2433">
        <f>IF(I100=0,0,I100/F100:F101*_G101100)</f>
        <v>0</v>
      </c>
      <c r="M100" s="2429">
        <f>IF(J100=0,0,J100/G100:G101*100)</f>
        <v>0</v>
      </c>
      <c r="N100" s="2429">
        <f>IF(K100=0,0,K100/H100:H101*100)</f>
        <v>0</v>
      </c>
      <c r="O100" s="1214" t="s">
        <v>1192</v>
      </c>
      <c r="P100" s="1213" t="s">
        <v>1159</v>
      </c>
      <c r="Q100" s="1065">
        <f t="shared" si="15"/>
        <v>0</v>
      </c>
      <c r="R100" s="1065">
        <f t="shared" si="15"/>
        <v>0</v>
      </c>
      <c r="S100" s="1065">
        <f t="shared" si="15"/>
        <v>0</v>
      </c>
      <c r="T100" s="2409" t="s">
        <v>926</v>
      </c>
      <c r="U100" s="2445" t="s">
        <v>927</v>
      </c>
      <c r="V100" s="2409">
        <v>414</v>
      </c>
      <c r="W100" s="2409"/>
      <c r="X100" s="2471"/>
      <c r="Z100" s="1311">
        <f t="shared" si="12"/>
        <v>0</v>
      </c>
    </row>
    <row r="101" spans="1:26" ht="95.25" customHeight="1">
      <c r="A101" s="1297" t="s">
        <v>1023</v>
      </c>
      <c r="B101" s="1075" t="s">
        <v>772</v>
      </c>
      <c r="C101" s="871">
        <f t="shared" si="9"/>
        <v>359978.2</v>
      </c>
      <c r="D101" s="972">
        <f>359978.2*0.90202494621</f>
        <v>324709.3</v>
      </c>
      <c r="E101" s="972">
        <f>359978.2*(1-0.90202494621)</f>
        <v>35268.9</v>
      </c>
      <c r="F101" s="1302">
        <f t="shared" si="10"/>
        <v>359978.2</v>
      </c>
      <c r="G101" s="879">
        <f>359978.2*0.90202494621</f>
        <v>324709.3</v>
      </c>
      <c r="H101" s="879">
        <f>359978.2*(1-0.90202494621)</f>
        <v>35268.9</v>
      </c>
      <c r="I101" s="2451"/>
      <c r="J101" s="2441"/>
      <c r="K101" s="2441"/>
      <c r="L101" s="2434"/>
      <c r="M101" s="2430"/>
      <c r="N101" s="2430"/>
      <c r="O101" s="1214" t="s">
        <v>1192</v>
      </c>
      <c r="P101" s="1213" t="s">
        <v>1160</v>
      </c>
      <c r="Q101" s="1065">
        <f t="shared" si="15"/>
        <v>0</v>
      </c>
      <c r="R101" s="1065">
        <f t="shared" si="15"/>
        <v>0</v>
      </c>
      <c r="S101" s="1065">
        <f t="shared" si="15"/>
        <v>0</v>
      </c>
      <c r="T101" s="2409"/>
      <c r="U101" s="2445"/>
      <c r="V101" s="2409"/>
      <c r="W101" s="2409"/>
      <c r="X101" s="2471"/>
      <c r="Z101" s="1311">
        <f t="shared" si="12"/>
        <v>0</v>
      </c>
    </row>
    <row r="102" spans="1:26" ht="66.75" customHeight="1">
      <c r="A102" s="1297" t="s">
        <v>625</v>
      </c>
      <c r="B102" s="1296" t="s">
        <v>460</v>
      </c>
      <c r="C102" s="871">
        <f t="shared" si="9"/>
        <v>53626.3</v>
      </c>
      <c r="D102" s="972">
        <f>20123.6+12300.3</f>
        <v>32423.9</v>
      </c>
      <c r="E102" s="972">
        <f>21202.4</f>
        <v>21202.400000000001</v>
      </c>
      <c r="F102" s="1302">
        <f t="shared" si="10"/>
        <v>41326</v>
      </c>
      <c r="G102" s="879">
        <f>32423.9-12300.3</f>
        <v>20123.599999999999</v>
      </c>
      <c r="H102" s="879">
        <v>21202.400000000001</v>
      </c>
      <c r="I102" s="1302">
        <f t="shared" si="11"/>
        <v>47.5</v>
      </c>
      <c r="J102" s="1303">
        <v>24.5</v>
      </c>
      <c r="K102" s="1303">
        <v>23</v>
      </c>
      <c r="L102" s="876">
        <f t="shared" ref="L102:N117" si="16">IF(I102=0,0,I102/F102*100)</f>
        <v>0.1</v>
      </c>
      <c r="M102" s="877">
        <f t="shared" si="16"/>
        <v>0.1</v>
      </c>
      <c r="N102" s="877">
        <f t="shared" si="16"/>
        <v>0.1</v>
      </c>
      <c r="O102" s="1214" t="s">
        <v>1228</v>
      </c>
      <c r="P102" s="1214" t="s">
        <v>1161</v>
      </c>
      <c r="Q102" s="1065">
        <f t="shared" si="15"/>
        <v>12300.3</v>
      </c>
      <c r="R102" s="1065">
        <f t="shared" si="15"/>
        <v>12300.3</v>
      </c>
      <c r="S102" s="1065">
        <f t="shared" si="15"/>
        <v>0</v>
      </c>
      <c r="T102" s="1099" t="s">
        <v>954</v>
      </c>
      <c r="V102" s="1099" t="s">
        <v>959</v>
      </c>
      <c r="W102" s="1099" t="s">
        <v>960</v>
      </c>
      <c r="Z102" s="1311">
        <f t="shared" si="12"/>
        <v>12300.3</v>
      </c>
    </row>
    <row r="103" spans="1:26" ht="80.25" customHeight="1">
      <c r="A103" s="2404" t="s">
        <v>626</v>
      </c>
      <c r="B103" s="975" t="s">
        <v>645</v>
      </c>
      <c r="C103" s="871">
        <f t="shared" si="9"/>
        <v>1929.7</v>
      </c>
      <c r="D103" s="1249">
        <v>0</v>
      </c>
      <c r="E103" s="1249">
        <v>1929.7</v>
      </c>
      <c r="F103" s="1302">
        <f t="shared" si="10"/>
        <v>1929.7</v>
      </c>
      <c r="G103" s="1299">
        <v>0</v>
      </c>
      <c r="H103" s="1299">
        <v>1929.7</v>
      </c>
      <c r="I103" s="1302">
        <f t="shared" si="11"/>
        <v>689.2</v>
      </c>
      <c r="J103" s="1299">
        <v>0</v>
      </c>
      <c r="K103" s="1299">
        <v>689.2</v>
      </c>
      <c r="L103" s="876">
        <f t="shared" si="16"/>
        <v>35.700000000000003</v>
      </c>
      <c r="M103" s="877">
        <f t="shared" si="16"/>
        <v>0</v>
      </c>
      <c r="N103" s="877">
        <f t="shared" si="16"/>
        <v>35.700000000000003</v>
      </c>
      <c r="O103" s="1214" t="s">
        <v>1229</v>
      </c>
      <c r="P103" s="1214" t="s">
        <v>1162</v>
      </c>
      <c r="Q103" s="1065">
        <f t="shared" si="15"/>
        <v>0</v>
      </c>
      <c r="R103" s="1065">
        <f t="shared" si="15"/>
        <v>0</v>
      </c>
      <c r="S103" s="1065">
        <f t="shared" si="15"/>
        <v>0</v>
      </c>
      <c r="T103" s="1099" t="s">
        <v>867</v>
      </c>
      <c r="U103" s="1100">
        <v>1550190400</v>
      </c>
      <c r="V103" s="1099">
        <v>414</v>
      </c>
      <c r="W103" s="1099">
        <v>14024</v>
      </c>
      <c r="Z103" s="1311">
        <f t="shared" si="12"/>
        <v>0</v>
      </c>
    </row>
    <row r="104" spans="1:26" ht="78.75">
      <c r="A104" s="2405"/>
      <c r="B104" s="975" t="s">
        <v>707</v>
      </c>
      <c r="C104" s="871">
        <f t="shared" si="9"/>
        <v>30000</v>
      </c>
      <c r="D104" s="1249">
        <v>0</v>
      </c>
      <c r="E104" s="1249">
        <v>30000</v>
      </c>
      <c r="F104" s="1302">
        <f t="shared" si="10"/>
        <v>30000</v>
      </c>
      <c r="G104" s="1299">
        <v>0</v>
      </c>
      <c r="H104" s="1299">
        <v>30000</v>
      </c>
      <c r="I104" s="1302">
        <f t="shared" si="11"/>
        <v>0</v>
      </c>
      <c r="J104" s="1299">
        <v>0</v>
      </c>
      <c r="K104" s="1299">
        <v>0</v>
      </c>
      <c r="L104" s="876">
        <f t="shared" si="16"/>
        <v>0</v>
      </c>
      <c r="M104" s="877">
        <f t="shared" si="16"/>
        <v>0</v>
      </c>
      <c r="N104" s="877">
        <f t="shared" si="16"/>
        <v>0</v>
      </c>
      <c r="O104" s="1214" t="s">
        <v>1192</v>
      </c>
      <c r="P104" s="1214" t="s">
        <v>1163</v>
      </c>
      <c r="Q104" s="1065">
        <f t="shared" si="15"/>
        <v>0</v>
      </c>
      <c r="R104" s="1065">
        <f t="shared" si="15"/>
        <v>0</v>
      </c>
      <c r="S104" s="1065">
        <f t="shared" si="15"/>
        <v>0</v>
      </c>
      <c r="T104" s="1099" t="s">
        <v>868</v>
      </c>
      <c r="U104" s="1100">
        <v>1550190400</v>
      </c>
      <c r="V104" s="1099">
        <v>414</v>
      </c>
      <c r="W104" s="1099">
        <v>10120</v>
      </c>
      <c r="Z104" s="1311">
        <f t="shared" si="12"/>
        <v>0</v>
      </c>
    </row>
    <row r="105" spans="1:26" s="838" customFormat="1" ht="107.25" customHeight="1">
      <c r="A105" s="1297" t="s">
        <v>627</v>
      </c>
      <c r="B105" s="976" t="s">
        <v>839</v>
      </c>
      <c r="C105" s="871">
        <f t="shared" si="9"/>
        <v>2714.8</v>
      </c>
      <c r="D105" s="972">
        <v>0</v>
      </c>
      <c r="E105" s="972">
        <v>2714.8</v>
      </c>
      <c r="F105" s="1302">
        <f t="shared" si="10"/>
        <v>2714.8</v>
      </c>
      <c r="G105" s="879">
        <v>0</v>
      </c>
      <c r="H105" s="879">
        <v>2714.8</v>
      </c>
      <c r="I105" s="1302">
        <f t="shared" si="11"/>
        <v>0</v>
      </c>
      <c r="J105" s="1303">
        <v>0</v>
      </c>
      <c r="K105" s="970">
        <v>0</v>
      </c>
      <c r="L105" s="876">
        <f t="shared" si="16"/>
        <v>0</v>
      </c>
      <c r="M105" s="877">
        <f t="shared" si="16"/>
        <v>0</v>
      </c>
      <c r="N105" s="877">
        <f t="shared" si="16"/>
        <v>0</v>
      </c>
      <c r="O105" s="1214" t="s">
        <v>1230</v>
      </c>
      <c r="P105" s="1214" t="s">
        <v>1164</v>
      </c>
      <c r="Q105" s="1065">
        <f t="shared" si="15"/>
        <v>0</v>
      </c>
      <c r="R105" s="1065">
        <f t="shared" si="15"/>
        <v>0</v>
      </c>
      <c r="S105" s="1065">
        <f t="shared" si="15"/>
        <v>0</v>
      </c>
      <c r="T105" s="1121" t="s">
        <v>886</v>
      </c>
      <c r="U105" s="1122" t="s">
        <v>894</v>
      </c>
      <c r="V105" s="1121">
        <v>414</v>
      </c>
      <c r="W105" s="1121">
        <v>14031</v>
      </c>
      <c r="X105" s="1219"/>
      <c r="Z105" s="1311">
        <f t="shared" si="12"/>
        <v>0</v>
      </c>
    </row>
    <row r="106" spans="1:26" ht="95.25" customHeight="1">
      <c r="A106" s="1297" t="s">
        <v>628</v>
      </c>
      <c r="B106" s="976" t="s">
        <v>1072</v>
      </c>
      <c r="C106" s="871">
        <f t="shared" si="9"/>
        <v>2100</v>
      </c>
      <c r="D106" s="972">
        <v>0</v>
      </c>
      <c r="E106" s="972">
        <v>2100</v>
      </c>
      <c r="F106" s="1302">
        <f t="shared" si="10"/>
        <v>2100</v>
      </c>
      <c r="G106" s="879">
        <v>0</v>
      </c>
      <c r="H106" s="879">
        <v>2100</v>
      </c>
      <c r="I106" s="1302">
        <f t="shared" si="11"/>
        <v>0</v>
      </c>
      <c r="J106" s="1303">
        <v>0</v>
      </c>
      <c r="K106" s="970">
        <v>0</v>
      </c>
      <c r="L106" s="876">
        <f t="shared" si="16"/>
        <v>0</v>
      </c>
      <c r="M106" s="877">
        <f t="shared" si="16"/>
        <v>0</v>
      </c>
      <c r="N106" s="877">
        <f t="shared" si="16"/>
        <v>0</v>
      </c>
      <c r="O106" s="1214" t="s">
        <v>1231</v>
      </c>
      <c r="P106" s="1214" t="s">
        <v>1165</v>
      </c>
      <c r="Q106" s="1065">
        <f t="shared" si="15"/>
        <v>0</v>
      </c>
      <c r="R106" s="1065">
        <f t="shared" si="15"/>
        <v>0</v>
      </c>
      <c r="S106" s="1065">
        <f t="shared" si="15"/>
        <v>0</v>
      </c>
      <c r="T106" s="1099" t="s">
        <v>886</v>
      </c>
      <c r="U106" s="1100">
        <v>1900290400</v>
      </c>
      <c r="V106" s="1099">
        <v>414</v>
      </c>
      <c r="W106" s="1099">
        <v>14020</v>
      </c>
      <c r="Z106" s="1311">
        <f t="shared" si="12"/>
        <v>0</v>
      </c>
    </row>
    <row r="107" spans="1:26" ht="66.75" customHeight="1">
      <c r="A107" s="1297" t="s">
        <v>629</v>
      </c>
      <c r="B107" s="900" t="s">
        <v>641</v>
      </c>
      <c r="C107" s="871">
        <f t="shared" si="9"/>
        <v>8850</v>
      </c>
      <c r="D107" s="972">
        <v>0</v>
      </c>
      <c r="E107" s="972">
        <v>8850</v>
      </c>
      <c r="F107" s="1302">
        <f t="shared" si="10"/>
        <v>8850</v>
      </c>
      <c r="G107" s="879">
        <v>0</v>
      </c>
      <c r="H107" s="879">
        <v>8850</v>
      </c>
      <c r="I107" s="1302">
        <f t="shared" si="11"/>
        <v>0</v>
      </c>
      <c r="J107" s="1303">
        <v>0</v>
      </c>
      <c r="K107" s="1303">
        <v>0</v>
      </c>
      <c r="L107" s="876">
        <f t="shared" si="16"/>
        <v>0</v>
      </c>
      <c r="M107" s="877">
        <f t="shared" si="16"/>
        <v>0</v>
      </c>
      <c r="N107" s="877">
        <f t="shared" si="16"/>
        <v>0</v>
      </c>
      <c r="O107" s="1292" t="s">
        <v>1232</v>
      </c>
      <c r="P107" s="1292" t="s">
        <v>1166</v>
      </c>
      <c r="Q107" s="1065">
        <f t="shared" si="15"/>
        <v>0</v>
      </c>
      <c r="R107" s="1065">
        <f t="shared" si="15"/>
        <v>0</v>
      </c>
      <c r="S107" s="1065">
        <f t="shared" si="15"/>
        <v>0</v>
      </c>
      <c r="T107" s="1099" t="s">
        <v>947</v>
      </c>
      <c r="U107" s="1100" t="s">
        <v>948</v>
      </c>
      <c r="V107" s="1099">
        <v>414</v>
      </c>
      <c r="W107" s="1099">
        <v>14016</v>
      </c>
      <c r="Z107" s="1311">
        <f t="shared" si="12"/>
        <v>0</v>
      </c>
    </row>
    <row r="108" spans="1:26" ht="79.5" customHeight="1">
      <c r="A108" s="1297" t="s">
        <v>630</v>
      </c>
      <c r="B108" s="976" t="s">
        <v>647</v>
      </c>
      <c r="C108" s="871">
        <f t="shared" si="9"/>
        <v>39000</v>
      </c>
      <c r="D108" s="972">
        <v>0</v>
      </c>
      <c r="E108" s="972">
        <v>39000</v>
      </c>
      <c r="F108" s="1302">
        <f t="shared" si="10"/>
        <v>39000</v>
      </c>
      <c r="G108" s="879">
        <v>0</v>
      </c>
      <c r="H108" s="879">
        <v>39000</v>
      </c>
      <c r="I108" s="1302">
        <f t="shared" si="11"/>
        <v>21450</v>
      </c>
      <c r="J108" s="1303">
        <v>0</v>
      </c>
      <c r="K108" s="970">
        <v>21450</v>
      </c>
      <c r="L108" s="876">
        <f t="shared" si="16"/>
        <v>55</v>
      </c>
      <c r="M108" s="877">
        <f t="shared" si="16"/>
        <v>0</v>
      </c>
      <c r="N108" s="877">
        <f t="shared" si="16"/>
        <v>55</v>
      </c>
      <c r="O108" s="1214" t="s">
        <v>1233</v>
      </c>
      <c r="P108" s="1214" t="s">
        <v>1167</v>
      </c>
      <c r="Q108" s="1065">
        <f t="shared" si="15"/>
        <v>0</v>
      </c>
      <c r="R108" s="1065">
        <f t="shared" si="15"/>
        <v>0</v>
      </c>
      <c r="S108" s="1065">
        <f t="shared" si="15"/>
        <v>0</v>
      </c>
      <c r="T108" s="1099" t="s">
        <v>936</v>
      </c>
      <c r="U108" s="1100" t="s">
        <v>944</v>
      </c>
      <c r="V108" s="1099">
        <v>414</v>
      </c>
      <c r="W108" s="1099">
        <v>14050</v>
      </c>
      <c r="Z108" s="1311">
        <f t="shared" si="12"/>
        <v>0</v>
      </c>
    </row>
    <row r="109" spans="1:26" ht="78.75">
      <c r="A109" s="1297" t="s">
        <v>732</v>
      </c>
      <c r="B109" s="976" t="s">
        <v>804</v>
      </c>
      <c r="C109" s="871">
        <f t="shared" si="9"/>
        <v>2244.9</v>
      </c>
      <c r="D109" s="972">
        <v>0</v>
      </c>
      <c r="E109" s="972">
        <v>2244.9</v>
      </c>
      <c r="F109" s="1302">
        <f t="shared" si="10"/>
        <v>2244.9</v>
      </c>
      <c r="G109" s="879">
        <v>0</v>
      </c>
      <c r="H109" s="879">
        <v>2244.9</v>
      </c>
      <c r="I109" s="1302">
        <f t="shared" si="11"/>
        <v>0</v>
      </c>
      <c r="J109" s="1303">
        <v>0</v>
      </c>
      <c r="K109" s="970">
        <v>0</v>
      </c>
      <c r="L109" s="876">
        <f t="shared" si="16"/>
        <v>0</v>
      </c>
      <c r="M109" s="877">
        <f t="shared" si="16"/>
        <v>0</v>
      </c>
      <c r="N109" s="877">
        <f t="shared" si="16"/>
        <v>0</v>
      </c>
      <c r="O109" s="1214" t="s">
        <v>1192</v>
      </c>
      <c r="P109" s="1214" t="s">
        <v>1193</v>
      </c>
      <c r="Q109" s="1065">
        <f t="shared" si="15"/>
        <v>0</v>
      </c>
      <c r="R109" s="1065">
        <f t="shared" si="15"/>
        <v>0</v>
      </c>
      <c r="S109" s="1065">
        <f t="shared" si="15"/>
        <v>0</v>
      </c>
      <c r="T109" s="1099" t="s">
        <v>945</v>
      </c>
      <c r="U109" s="1100" t="s">
        <v>937</v>
      </c>
      <c r="V109" s="1099">
        <v>414</v>
      </c>
      <c r="W109" s="1099">
        <v>14071</v>
      </c>
      <c r="Z109" s="1311">
        <f t="shared" si="12"/>
        <v>0</v>
      </c>
    </row>
    <row r="110" spans="1:26" ht="93">
      <c r="A110" s="1297" t="s">
        <v>733</v>
      </c>
      <c r="B110" s="900" t="s">
        <v>637</v>
      </c>
      <c r="C110" s="871">
        <f t="shared" si="9"/>
        <v>4496.8</v>
      </c>
      <c r="D110" s="972">
        <v>0</v>
      </c>
      <c r="E110" s="972">
        <v>4496.8</v>
      </c>
      <c r="F110" s="1302">
        <f t="shared" si="10"/>
        <v>4496.8</v>
      </c>
      <c r="G110" s="879">
        <v>0</v>
      </c>
      <c r="H110" s="879">
        <v>4496.8</v>
      </c>
      <c r="I110" s="1302">
        <f t="shared" si="11"/>
        <v>0</v>
      </c>
      <c r="J110" s="1303">
        <v>0</v>
      </c>
      <c r="K110" s="1303">
        <v>0</v>
      </c>
      <c r="L110" s="876">
        <f t="shared" si="16"/>
        <v>0</v>
      </c>
      <c r="M110" s="877">
        <f t="shared" si="16"/>
        <v>0</v>
      </c>
      <c r="N110" s="877">
        <f t="shared" si="16"/>
        <v>0</v>
      </c>
      <c r="O110" s="1214" t="s">
        <v>1234</v>
      </c>
      <c r="P110" s="1214" t="s">
        <v>1194</v>
      </c>
      <c r="Q110" s="1065">
        <f t="shared" si="15"/>
        <v>0</v>
      </c>
      <c r="R110" s="1065">
        <f t="shared" si="15"/>
        <v>0</v>
      </c>
      <c r="S110" s="1065">
        <f t="shared" si="15"/>
        <v>0</v>
      </c>
      <c r="T110" s="1099" t="s">
        <v>949</v>
      </c>
      <c r="U110" s="1100" t="s">
        <v>951</v>
      </c>
      <c r="V110" s="1099">
        <v>414</v>
      </c>
      <c r="W110" s="1099">
        <v>14057</v>
      </c>
      <c r="Z110" s="1311">
        <f t="shared" si="12"/>
        <v>0</v>
      </c>
    </row>
    <row r="111" spans="1:26" ht="63" customHeight="1">
      <c r="A111" s="1297" t="s">
        <v>781</v>
      </c>
      <c r="B111" s="901" t="s">
        <v>639</v>
      </c>
      <c r="C111" s="871">
        <f t="shared" si="9"/>
        <v>1946</v>
      </c>
      <c r="D111" s="972">
        <v>0</v>
      </c>
      <c r="E111" s="972">
        <v>1946</v>
      </c>
      <c r="F111" s="1302">
        <f t="shared" si="10"/>
        <v>1946</v>
      </c>
      <c r="G111" s="879">
        <v>0</v>
      </c>
      <c r="H111" s="879">
        <v>1946</v>
      </c>
      <c r="I111" s="1302">
        <f t="shared" si="11"/>
        <v>695</v>
      </c>
      <c r="J111" s="1303">
        <v>0</v>
      </c>
      <c r="K111" s="1303">
        <v>695</v>
      </c>
      <c r="L111" s="876">
        <f t="shared" si="16"/>
        <v>35.700000000000003</v>
      </c>
      <c r="M111" s="877">
        <f t="shared" si="16"/>
        <v>0</v>
      </c>
      <c r="N111" s="877">
        <f t="shared" si="16"/>
        <v>35.700000000000003</v>
      </c>
      <c r="O111" s="1214" t="s">
        <v>1235</v>
      </c>
      <c r="P111" s="1214" t="s">
        <v>1195</v>
      </c>
      <c r="Q111" s="1065">
        <f t="shared" ref="Q111:S124" si="17">C111-F111</f>
        <v>0</v>
      </c>
      <c r="R111" s="1065">
        <f t="shared" si="17"/>
        <v>0</v>
      </c>
      <c r="S111" s="1065">
        <f t="shared" si="17"/>
        <v>0</v>
      </c>
      <c r="T111" s="1099" t="s">
        <v>954</v>
      </c>
      <c r="U111" s="1100" t="s">
        <v>956</v>
      </c>
      <c r="V111" s="1099">
        <v>414</v>
      </c>
      <c r="W111" s="1099">
        <v>14015</v>
      </c>
      <c r="Z111" s="1311">
        <f t="shared" si="12"/>
        <v>0</v>
      </c>
    </row>
    <row r="112" spans="1:26" s="1216" customFormat="1" ht="63" customHeight="1">
      <c r="A112" s="1297" t="s">
        <v>631</v>
      </c>
      <c r="B112" s="900" t="s">
        <v>643</v>
      </c>
      <c r="C112" s="871">
        <f t="shared" si="9"/>
        <v>2752.8</v>
      </c>
      <c r="D112" s="972">
        <v>0</v>
      </c>
      <c r="E112" s="972">
        <v>2752.8</v>
      </c>
      <c r="F112" s="1302">
        <f t="shared" si="10"/>
        <v>2752.8</v>
      </c>
      <c r="G112" s="879">
        <v>0</v>
      </c>
      <c r="H112" s="879">
        <v>2752.8</v>
      </c>
      <c r="I112" s="1302">
        <f t="shared" si="11"/>
        <v>0</v>
      </c>
      <c r="J112" s="1303">
        <v>0</v>
      </c>
      <c r="K112" s="1303">
        <v>0</v>
      </c>
      <c r="L112" s="876">
        <f t="shared" si="16"/>
        <v>0</v>
      </c>
      <c r="M112" s="877">
        <f t="shared" si="16"/>
        <v>0</v>
      </c>
      <c r="N112" s="877">
        <f t="shared" si="16"/>
        <v>0</v>
      </c>
      <c r="O112" s="1214" t="s">
        <v>1236</v>
      </c>
      <c r="P112" s="1214" t="s">
        <v>1196</v>
      </c>
      <c r="Q112" s="1065">
        <f t="shared" si="17"/>
        <v>0</v>
      </c>
      <c r="R112" s="1065">
        <f t="shared" si="17"/>
        <v>0</v>
      </c>
      <c r="S112" s="1065">
        <f t="shared" si="17"/>
        <v>0</v>
      </c>
      <c r="T112" s="1099" t="s">
        <v>954</v>
      </c>
      <c r="U112" s="1100" t="s">
        <v>956</v>
      </c>
      <c r="V112" s="1099">
        <v>141</v>
      </c>
      <c r="W112" s="1099">
        <v>14018</v>
      </c>
      <c r="Z112" s="1311">
        <f t="shared" si="12"/>
        <v>0</v>
      </c>
    </row>
    <row r="113" spans="1:26" s="1216" customFormat="1" ht="69.75" customHeight="1">
      <c r="A113" s="1297" t="s">
        <v>632</v>
      </c>
      <c r="B113" s="900" t="s">
        <v>801</v>
      </c>
      <c r="C113" s="871">
        <f t="shared" si="9"/>
        <v>10292.6</v>
      </c>
      <c r="D113" s="972">
        <v>0</v>
      </c>
      <c r="E113" s="972">
        <v>10292.6</v>
      </c>
      <c r="F113" s="1302">
        <f t="shared" si="10"/>
        <v>10292.6</v>
      </c>
      <c r="G113" s="879">
        <v>0</v>
      </c>
      <c r="H113" s="879">
        <v>10292.6</v>
      </c>
      <c r="I113" s="1302">
        <f t="shared" si="11"/>
        <v>0</v>
      </c>
      <c r="J113" s="1303">
        <v>0</v>
      </c>
      <c r="K113" s="1303">
        <v>0</v>
      </c>
      <c r="L113" s="876">
        <f t="shared" si="16"/>
        <v>0</v>
      </c>
      <c r="M113" s="877">
        <f t="shared" si="16"/>
        <v>0</v>
      </c>
      <c r="N113" s="877">
        <f t="shared" si="16"/>
        <v>0</v>
      </c>
      <c r="O113" s="1214" t="s">
        <v>1192</v>
      </c>
      <c r="P113" s="1214" t="s">
        <v>1197</v>
      </c>
      <c r="Q113" s="1065">
        <f t="shared" si="17"/>
        <v>0</v>
      </c>
      <c r="R113" s="1065">
        <f t="shared" si="17"/>
        <v>0</v>
      </c>
      <c r="S113" s="1065">
        <f t="shared" si="17"/>
        <v>0</v>
      </c>
      <c r="T113" s="1099" t="s">
        <v>954</v>
      </c>
      <c r="U113" s="1100" t="s">
        <v>955</v>
      </c>
      <c r="V113" s="1099">
        <v>414</v>
      </c>
      <c r="W113" s="1099">
        <v>14004</v>
      </c>
      <c r="Z113" s="1311">
        <f t="shared" si="12"/>
        <v>0</v>
      </c>
    </row>
    <row r="114" spans="1:26" s="1216" customFormat="1" ht="78.75">
      <c r="A114" s="1297" t="s">
        <v>633</v>
      </c>
      <c r="B114" s="900" t="s">
        <v>802</v>
      </c>
      <c r="C114" s="871">
        <f t="shared" si="9"/>
        <v>5000</v>
      </c>
      <c r="D114" s="972">
        <v>0</v>
      </c>
      <c r="E114" s="972">
        <v>5000</v>
      </c>
      <c r="F114" s="1302">
        <f t="shared" si="10"/>
        <v>5000</v>
      </c>
      <c r="G114" s="879">
        <v>0</v>
      </c>
      <c r="H114" s="879">
        <v>5000</v>
      </c>
      <c r="I114" s="1302">
        <f t="shared" si="11"/>
        <v>0</v>
      </c>
      <c r="J114" s="1303">
        <v>0</v>
      </c>
      <c r="K114" s="1303">
        <v>0</v>
      </c>
      <c r="L114" s="876">
        <f t="shared" si="16"/>
        <v>0</v>
      </c>
      <c r="M114" s="877">
        <f t="shared" si="16"/>
        <v>0</v>
      </c>
      <c r="N114" s="877">
        <f t="shared" si="16"/>
        <v>0</v>
      </c>
      <c r="O114" s="1214" t="s">
        <v>1192</v>
      </c>
      <c r="P114" s="1214" t="s">
        <v>1198</v>
      </c>
      <c r="Q114" s="1065">
        <f t="shared" si="17"/>
        <v>0</v>
      </c>
      <c r="R114" s="1065">
        <f t="shared" si="17"/>
        <v>0</v>
      </c>
      <c r="S114" s="1065">
        <f t="shared" si="17"/>
        <v>0</v>
      </c>
      <c r="T114" s="1099" t="s">
        <v>954</v>
      </c>
      <c r="U114" s="1100" t="s">
        <v>956</v>
      </c>
      <c r="V114" s="1099">
        <v>414</v>
      </c>
      <c r="W114" s="1099">
        <v>14060</v>
      </c>
      <c r="Z114" s="1311">
        <f t="shared" si="12"/>
        <v>0</v>
      </c>
    </row>
    <row r="115" spans="1:26" s="1216" customFormat="1" ht="52.5">
      <c r="A115" s="1297" t="s">
        <v>634</v>
      </c>
      <c r="B115" s="900" t="s">
        <v>812</v>
      </c>
      <c r="C115" s="871">
        <f t="shared" si="9"/>
        <v>1350</v>
      </c>
      <c r="D115" s="972">
        <v>0</v>
      </c>
      <c r="E115" s="972">
        <v>1350</v>
      </c>
      <c r="F115" s="1302">
        <f t="shared" si="10"/>
        <v>1350</v>
      </c>
      <c r="G115" s="879">
        <v>0</v>
      </c>
      <c r="H115" s="879">
        <v>1350</v>
      </c>
      <c r="I115" s="1302">
        <f t="shared" si="11"/>
        <v>0</v>
      </c>
      <c r="J115" s="1303">
        <v>0</v>
      </c>
      <c r="K115" s="1303">
        <v>0</v>
      </c>
      <c r="L115" s="876">
        <f t="shared" si="16"/>
        <v>0</v>
      </c>
      <c r="M115" s="877">
        <f t="shared" si="16"/>
        <v>0</v>
      </c>
      <c r="N115" s="877">
        <f t="shared" si="16"/>
        <v>0</v>
      </c>
      <c r="O115" s="1214" t="s">
        <v>1192</v>
      </c>
      <c r="P115" s="1214" t="s">
        <v>1199</v>
      </c>
      <c r="Q115" s="1065">
        <f t="shared" si="17"/>
        <v>0</v>
      </c>
      <c r="R115" s="1065">
        <f t="shared" si="17"/>
        <v>0</v>
      </c>
      <c r="S115" s="1065">
        <f t="shared" si="17"/>
        <v>0</v>
      </c>
      <c r="T115" s="1099" t="s">
        <v>954</v>
      </c>
      <c r="U115" s="1100" t="s">
        <v>956</v>
      </c>
      <c r="V115" s="1099">
        <v>414</v>
      </c>
      <c r="W115" s="1099">
        <v>14074</v>
      </c>
      <c r="Z115" s="1311">
        <f t="shared" si="12"/>
        <v>0</v>
      </c>
    </row>
    <row r="116" spans="1:26" s="1216" customFormat="1" ht="90.75" customHeight="1">
      <c r="A116" s="1297" t="s">
        <v>635</v>
      </c>
      <c r="B116" s="1125" t="s">
        <v>795</v>
      </c>
      <c r="C116" s="871">
        <f t="shared" si="9"/>
        <v>1230</v>
      </c>
      <c r="D116" s="1249">
        <v>0</v>
      </c>
      <c r="E116" s="1249">
        <v>1230</v>
      </c>
      <c r="F116" s="1302">
        <f t="shared" si="10"/>
        <v>1230</v>
      </c>
      <c r="G116" s="1299">
        <v>0</v>
      </c>
      <c r="H116" s="1299">
        <v>1230</v>
      </c>
      <c r="I116" s="1302">
        <f t="shared" si="11"/>
        <v>0</v>
      </c>
      <c r="J116" s="1299">
        <v>0</v>
      </c>
      <c r="K116" s="1299">
        <v>0</v>
      </c>
      <c r="L116" s="876">
        <f t="shared" si="16"/>
        <v>0</v>
      </c>
      <c r="M116" s="877">
        <f t="shared" si="16"/>
        <v>0</v>
      </c>
      <c r="N116" s="877">
        <f t="shared" si="16"/>
        <v>0</v>
      </c>
      <c r="O116" s="1214" t="s">
        <v>1192</v>
      </c>
      <c r="P116" s="1214" t="s">
        <v>1198</v>
      </c>
      <c r="Q116" s="1065">
        <f t="shared" si="17"/>
        <v>0</v>
      </c>
      <c r="R116" s="1065">
        <f t="shared" si="17"/>
        <v>0</v>
      </c>
      <c r="S116" s="1065">
        <f t="shared" si="17"/>
        <v>0</v>
      </c>
      <c r="T116" s="1099" t="s">
        <v>886</v>
      </c>
      <c r="U116" s="1100">
        <v>1820190400</v>
      </c>
      <c r="V116" s="1099">
        <v>414</v>
      </c>
      <c r="W116" s="1099">
        <v>14062</v>
      </c>
      <c r="Z116" s="1311">
        <f t="shared" si="12"/>
        <v>0</v>
      </c>
    </row>
    <row r="117" spans="1:26" s="1216" customFormat="1" ht="86.25" customHeight="1">
      <c r="A117" s="1297" t="s">
        <v>734</v>
      </c>
      <c r="B117" s="937" t="s">
        <v>796</v>
      </c>
      <c r="C117" s="871">
        <f t="shared" si="9"/>
        <v>1020</v>
      </c>
      <c r="D117" s="1249">
        <v>0</v>
      </c>
      <c r="E117" s="1249">
        <v>1020</v>
      </c>
      <c r="F117" s="1302">
        <f t="shared" si="10"/>
        <v>1020</v>
      </c>
      <c r="G117" s="1299">
        <v>0</v>
      </c>
      <c r="H117" s="1299">
        <v>1020</v>
      </c>
      <c r="I117" s="1302">
        <f t="shared" si="11"/>
        <v>0</v>
      </c>
      <c r="J117" s="1299">
        <v>0</v>
      </c>
      <c r="K117" s="1299">
        <v>0</v>
      </c>
      <c r="L117" s="876">
        <f t="shared" si="16"/>
        <v>0</v>
      </c>
      <c r="M117" s="877">
        <f t="shared" si="16"/>
        <v>0</v>
      </c>
      <c r="N117" s="877">
        <f t="shared" si="16"/>
        <v>0</v>
      </c>
      <c r="O117" s="1214" t="s">
        <v>1192</v>
      </c>
      <c r="P117" s="1214" t="s">
        <v>1198</v>
      </c>
      <c r="Q117" s="1065">
        <f t="shared" si="17"/>
        <v>0</v>
      </c>
      <c r="R117" s="1065">
        <f t="shared" si="17"/>
        <v>0</v>
      </c>
      <c r="S117" s="1065">
        <f t="shared" si="17"/>
        <v>0</v>
      </c>
      <c r="T117" s="1099" t="s">
        <v>886</v>
      </c>
      <c r="U117" s="1100">
        <v>1820190400</v>
      </c>
      <c r="V117" s="1099">
        <v>414</v>
      </c>
      <c r="W117" s="1099">
        <v>14063</v>
      </c>
      <c r="Z117" s="1311">
        <f t="shared" si="12"/>
        <v>0</v>
      </c>
    </row>
    <row r="118" spans="1:26" s="1216" customFormat="1" ht="93">
      <c r="A118" s="1297" t="s">
        <v>735</v>
      </c>
      <c r="B118" s="1126" t="s">
        <v>806</v>
      </c>
      <c r="C118" s="871">
        <f t="shared" si="9"/>
        <v>2100</v>
      </c>
      <c r="D118" s="1249">
        <v>0</v>
      </c>
      <c r="E118" s="1249">
        <v>2100</v>
      </c>
      <c r="F118" s="1302">
        <f t="shared" si="10"/>
        <v>2100</v>
      </c>
      <c r="G118" s="1299">
        <v>0</v>
      </c>
      <c r="H118" s="1299">
        <v>2100</v>
      </c>
      <c r="I118" s="1302">
        <f t="shared" si="11"/>
        <v>0</v>
      </c>
      <c r="J118" s="1299">
        <v>0</v>
      </c>
      <c r="K118" s="1299">
        <v>0</v>
      </c>
      <c r="L118" s="876">
        <f t="shared" ref="L118:N151" si="18">IF(I118=0,0,I118/F118*100)</f>
        <v>0</v>
      </c>
      <c r="M118" s="877">
        <f t="shared" si="18"/>
        <v>0</v>
      </c>
      <c r="N118" s="877">
        <f t="shared" si="18"/>
        <v>0</v>
      </c>
      <c r="O118" s="1214" t="s">
        <v>1192</v>
      </c>
      <c r="P118" s="1214" t="s">
        <v>1200</v>
      </c>
      <c r="Q118" s="1065">
        <f t="shared" si="17"/>
        <v>0</v>
      </c>
      <c r="R118" s="1065">
        <f t="shared" si="17"/>
        <v>0</v>
      </c>
      <c r="S118" s="1065">
        <f t="shared" si="17"/>
        <v>0</v>
      </c>
      <c r="T118" s="1099" t="s">
        <v>886</v>
      </c>
      <c r="U118" s="1100">
        <v>1820190400</v>
      </c>
      <c r="V118" s="1099">
        <v>414</v>
      </c>
      <c r="W118" s="1099">
        <v>14064</v>
      </c>
      <c r="Z118" s="1311">
        <f t="shared" si="12"/>
        <v>0</v>
      </c>
    </row>
    <row r="119" spans="1:26" s="1216" customFormat="1" ht="93">
      <c r="A119" s="1297" t="s">
        <v>636</v>
      </c>
      <c r="B119" s="1125" t="s">
        <v>807</v>
      </c>
      <c r="C119" s="871">
        <f t="shared" si="9"/>
        <v>2340</v>
      </c>
      <c r="D119" s="1249">
        <v>0</v>
      </c>
      <c r="E119" s="1249">
        <v>2340</v>
      </c>
      <c r="F119" s="1302">
        <f t="shared" si="10"/>
        <v>2340</v>
      </c>
      <c r="G119" s="1299">
        <v>0</v>
      </c>
      <c r="H119" s="1299">
        <v>2340</v>
      </c>
      <c r="I119" s="1302">
        <f t="shared" si="11"/>
        <v>0</v>
      </c>
      <c r="J119" s="1299">
        <v>0</v>
      </c>
      <c r="K119" s="1299">
        <v>0</v>
      </c>
      <c r="L119" s="876">
        <f t="shared" si="18"/>
        <v>0</v>
      </c>
      <c r="M119" s="877">
        <f t="shared" si="18"/>
        <v>0</v>
      </c>
      <c r="N119" s="877">
        <f t="shared" si="18"/>
        <v>0</v>
      </c>
      <c r="O119" s="1214" t="s">
        <v>1192</v>
      </c>
      <c r="P119" s="1214" t="s">
        <v>1201</v>
      </c>
      <c r="Q119" s="1065">
        <f t="shared" si="17"/>
        <v>0</v>
      </c>
      <c r="R119" s="1065">
        <f t="shared" si="17"/>
        <v>0</v>
      </c>
      <c r="S119" s="1065">
        <f t="shared" si="17"/>
        <v>0</v>
      </c>
      <c r="T119" s="1099" t="s">
        <v>886</v>
      </c>
      <c r="U119" s="1100">
        <v>1820190400</v>
      </c>
      <c r="V119" s="1099">
        <v>414</v>
      </c>
      <c r="W119" s="1099">
        <v>14065</v>
      </c>
      <c r="Z119" s="1311">
        <f t="shared" si="12"/>
        <v>0</v>
      </c>
    </row>
    <row r="120" spans="1:26" s="1216" customFormat="1" ht="111" customHeight="1">
      <c r="A120" s="1297" t="s">
        <v>736</v>
      </c>
      <c r="B120" s="1125" t="s">
        <v>808</v>
      </c>
      <c r="C120" s="871">
        <f t="shared" si="9"/>
        <v>2000</v>
      </c>
      <c r="D120" s="1249">
        <v>0</v>
      </c>
      <c r="E120" s="1249">
        <v>2000</v>
      </c>
      <c r="F120" s="1302">
        <f t="shared" si="10"/>
        <v>2000</v>
      </c>
      <c r="G120" s="1299">
        <v>0</v>
      </c>
      <c r="H120" s="1299">
        <v>2000</v>
      </c>
      <c r="I120" s="1302">
        <f t="shared" si="11"/>
        <v>0</v>
      </c>
      <c r="J120" s="1299">
        <v>0</v>
      </c>
      <c r="K120" s="1299">
        <v>0</v>
      </c>
      <c r="L120" s="876">
        <f t="shared" si="18"/>
        <v>0</v>
      </c>
      <c r="M120" s="877">
        <f t="shared" si="18"/>
        <v>0</v>
      </c>
      <c r="N120" s="877">
        <f t="shared" si="18"/>
        <v>0</v>
      </c>
      <c r="O120" s="1214" t="s">
        <v>1192</v>
      </c>
      <c r="P120" s="1214" t="s">
        <v>1202</v>
      </c>
      <c r="Q120" s="1065">
        <f t="shared" si="17"/>
        <v>0</v>
      </c>
      <c r="R120" s="1065">
        <f t="shared" si="17"/>
        <v>0</v>
      </c>
      <c r="S120" s="1065">
        <f t="shared" si="17"/>
        <v>0</v>
      </c>
      <c r="T120" s="1099" t="s">
        <v>886</v>
      </c>
      <c r="U120" s="1100">
        <v>1820190400</v>
      </c>
      <c r="V120" s="1099">
        <v>414</v>
      </c>
      <c r="W120" s="1099">
        <v>14066</v>
      </c>
      <c r="Z120" s="1311">
        <f t="shared" si="12"/>
        <v>0</v>
      </c>
    </row>
    <row r="121" spans="1:26" s="1216" customFormat="1" ht="117" customHeight="1">
      <c r="A121" s="1297" t="s">
        <v>737</v>
      </c>
      <c r="B121" s="900" t="s">
        <v>809</v>
      </c>
      <c r="C121" s="871">
        <f>SUM(D121:E121)</f>
        <v>6000</v>
      </c>
      <c r="D121" s="1249">
        <v>0</v>
      </c>
      <c r="E121" s="1249">
        <v>6000</v>
      </c>
      <c r="F121" s="1302">
        <f>SUM(G121:H121)</f>
        <v>6000</v>
      </c>
      <c r="G121" s="1299">
        <v>0</v>
      </c>
      <c r="H121" s="1299">
        <v>6000</v>
      </c>
      <c r="I121" s="1302">
        <f>SUM(J121:K121)</f>
        <v>0</v>
      </c>
      <c r="J121" s="1299">
        <v>0</v>
      </c>
      <c r="K121" s="1299">
        <v>0</v>
      </c>
      <c r="L121" s="876">
        <f t="shared" si="18"/>
        <v>0</v>
      </c>
      <c r="M121" s="877">
        <f t="shared" si="18"/>
        <v>0</v>
      </c>
      <c r="N121" s="877">
        <f t="shared" si="18"/>
        <v>0</v>
      </c>
      <c r="O121" s="1214" t="s">
        <v>1192</v>
      </c>
      <c r="P121" s="1214" t="s">
        <v>1203</v>
      </c>
      <c r="Q121" s="1065">
        <f t="shared" si="17"/>
        <v>0</v>
      </c>
      <c r="R121" s="1065">
        <f t="shared" si="17"/>
        <v>0</v>
      </c>
      <c r="S121" s="1065">
        <f t="shared" si="17"/>
        <v>0</v>
      </c>
      <c r="T121" s="1099" t="s">
        <v>928</v>
      </c>
      <c r="U121" s="1100" t="s">
        <v>929</v>
      </c>
      <c r="V121" s="1099">
        <v>414</v>
      </c>
      <c r="W121" s="1099">
        <v>14072</v>
      </c>
      <c r="Z121" s="1311">
        <f t="shared" si="12"/>
        <v>0</v>
      </c>
    </row>
    <row r="122" spans="1:26" s="1216" customFormat="1" ht="105">
      <c r="A122" s="1297" t="s">
        <v>738</v>
      </c>
      <c r="B122" s="900" t="s">
        <v>810</v>
      </c>
      <c r="C122" s="871">
        <f>SUM(D122:E122)</f>
        <v>6000</v>
      </c>
      <c r="D122" s="1249">
        <v>0</v>
      </c>
      <c r="E122" s="1249">
        <v>6000</v>
      </c>
      <c r="F122" s="1302">
        <f>SUM(G122:H122)</f>
        <v>6000</v>
      </c>
      <c r="G122" s="1299">
        <v>0</v>
      </c>
      <c r="H122" s="1299">
        <v>6000</v>
      </c>
      <c r="I122" s="1302">
        <f>SUM(J122:K122)</f>
        <v>0</v>
      </c>
      <c r="J122" s="1299">
        <v>0</v>
      </c>
      <c r="K122" s="1299">
        <v>0</v>
      </c>
      <c r="L122" s="876">
        <f t="shared" si="18"/>
        <v>0</v>
      </c>
      <c r="M122" s="877">
        <f t="shared" si="18"/>
        <v>0</v>
      </c>
      <c r="N122" s="877">
        <f t="shared" si="18"/>
        <v>0</v>
      </c>
      <c r="O122" s="1214" t="s">
        <v>1192</v>
      </c>
      <c r="P122" s="1214" t="s">
        <v>1203</v>
      </c>
      <c r="Q122" s="1065">
        <f t="shared" si="17"/>
        <v>0</v>
      </c>
      <c r="R122" s="1065">
        <f t="shared" si="17"/>
        <v>0</v>
      </c>
      <c r="S122" s="1065">
        <f t="shared" si="17"/>
        <v>0</v>
      </c>
      <c r="T122" s="1099" t="s">
        <v>936</v>
      </c>
      <c r="U122" s="1100" t="s">
        <v>937</v>
      </c>
      <c r="V122" s="1099">
        <v>414</v>
      </c>
      <c r="W122" s="1099">
        <v>14058</v>
      </c>
      <c r="Z122" s="1311">
        <f t="shared" si="12"/>
        <v>0</v>
      </c>
    </row>
    <row r="123" spans="1:26" s="1216" customFormat="1" ht="139.5">
      <c r="A123" s="1297" t="s">
        <v>739</v>
      </c>
      <c r="B123" s="990" t="s">
        <v>811</v>
      </c>
      <c r="C123" s="871">
        <f>SUM(D123:E123)</f>
        <v>16500</v>
      </c>
      <c r="D123" s="1249">
        <v>0</v>
      </c>
      <c r="E123" s="1249">
        <v>16500</v>
      </c>
      <c r="F123" s="1302">
        <f>SUM(G123:H123)</f>
        <v>16500</v>
      </c>
      <c r="G123" s="1299">
        <v>0</v>
      </c>
      <c r="H123" s="1299">
        <v>16500</v>
      </c>
      <c r="I123" s="1302">
        <f>SUM(J123:K123)</f>
        <v>0</v>
      </c>
      <c r="J123" s="1299">
        <v>0</v>
      </c>
      <c r="K123" s="1299">
        <v>0</v>
      </c>
      <c r="L123" s="876">
        <f t="shared" si="18"/>
        <v>0</v>
      </c>
      <c r="M123" s="877">
        <f t="shared" si="18"/>
        <v>0</v>
      </c>
      <c r="N123" s="877">
        <f t="shared" si="18"/>
        <v>0</v>
      </c>
      <c r="O123" s="1214" t="s">
        <v>1192</v>
      </c>
      <c r="P123" s="1214" t="s">
        <v>1204</v>
      </c>
      <c r="Q123" s="1065">
        <f t="shared" si="17"/>
        <v>0</v>
      </c>
      <c r="R123" s="1065">
        <f t="shared" si="17"/>
        <v>0</v>
      </c>
      <c r="S123" s="1065">
        <f t="shared" si="17"/>
        <v>0</v>
      </c>
      <c r="T123" s="1099" t="s">
        <v>936</v>
      </c>
      <c r="U123" s="1100" t="s">
        <v>937</v>
      </c>
      <c r="V123" s="1099">
        <v>414</v>
      </c>
      <c r="W123" s="1099">
        <v>14059</v>
      </c>
      <c r="Z123" s="1311">
        <f t="shared" si="12"/>
        <v>0</v>
      </c>
    </row>
    <row r="124" spans="1:26" s="1216" customFormat="1" ht="108" customHeight="1">
      <c r="A124" s="1297" t="s">
        <v>740</v>
      </c>
      <c r="B124" s="900" t="s">
        <v>640</v>
      </c>
      <c r="C124" s="871">
        <f>SUM(D124:E124)</f>
        <v>1400</v>
      </c>
      <c r="D124" s="972">
        <v>0</v>
      </c>
      <c r="E124" s="972">
        <v>1400</v>
      </c>
      <c r="F124" s="1302">
        <f>SUM(G124:H124)</f>
        <v>1400</v>
      </c>
      <c r="G124" s="879">
        <v>0</v>
      </c>
      <c r="H124" s="879">
        <v>1400</v>
      </c>
      <c r="I124" s="1302">
        <f>SUM(J124:K124)</f>
        <v>0</v>
      </c>
      <c r="J124" s="1303">
        <v>0</v>
      </c>
      <c r="K124" s="1303">
        <v>0</v>
      </c>
      <c r="L124" s="876">
        <f t="shared" si="18"/>
        <v>0</v>
      </c>
      <c r="M124" s="877">
        <f t="shared" si="18"/>
        <v>0</v>
      </c>
      <c r="N124" s="877">
        <f t="shared" si="18"/>
        <v>0</v>
      </c>
      <c r="O124" s="1214" t="s">
        <v>1237</v>
      </c>
      <c r="P124" s="1214" t="s">
        <v>1205</v>
      </c>
      <c r="Q124" s="1065">
        <f t="shared" si="17"/>
        <v>0</v>
      </c>
      <c r="R124" s="1065">
        <f t="shared" si="17"/>
        <v>0</v>
      </c>
      <c r="S124" s="1065">
        <f t="shared" si="17"/>
        <v>0</v>
      </c>
      <c r="T124" s="1099" t="s">
        <v>869</v>
      </c>
      <c r="U124" s="1100">
        <v>1410190420</v>
      </c>
      <c r="V124" s="1099">
        <v>414</v>
      </c>
      <c r="W124" s="1099">
        <v>14022</v>
      </c>
      <c r="Z124" s="1311">
        <f t="shared" si="12"/>
        <v>0</v>
      </c>
    </row>
    <row r="125" spans="1:26" s="1216" customFormat="1" ht="78.75">
      <c r="A125" s="1297" t="s">
        <v>741</v>
      </c>
      <c r="B125" s="1106" t="s">
        <v>863</v>
      </c>
      <c r="C125" s="871">
        <f>SUM(D125:E125)</f>
        <v>21276.6</v>
      </c>
      <c r="D125" s="972">
        <v>20000</v>
      </c>
      <c r="E125" s="972">
        <v>1276.5999999999999</v>
      </c>
      <c r="F125" s="1302">
        <f>SUM(G125:H125)</f>
        <v>21276.6</v>
      </c>
      <c r="G125" s="879">
        <v>20000</v>
      </c>
      <c r="H125" s="879">
        <v>1276.5999999999999</v>
      </c>
      <c r="I125" s="1302">
        <f>SUM(J125:K125)</f>
        <v>14800</v>
      </c>
      <c r="J125" s="1303">
        <v>13912</v>
      </c>
      <c r="K125" s="1303">
        <v>888</v>
      </c>
      <c r="L125" s="876">
        <f t="shared" si="18"/>
        <v>69.599999999999994</v>
      </c>
      <c r="M125" s="877">
        <f t="shared" si="18"/>
        <v>69.599999999999994</v>
      </c>
      <c r="N125" s="877">
        <f t="shared" si="18"/>
        <v>69.599999999999994</v>
      </c>
      <c r="O125" s="1214" t="s">
        <v>1192</v>
      </c>
      <c r="P125" s="1214" t="s">
        <v>1206</v>
      </c>
      <c r="Q125" s="1065"/>
      <c r="R125" s="1065"/>
      <c r="S125" s="1065"/>
      <c r="T125" s="1099" t="s">
        <v>928</v>
      </c>
      <c r="U125" s="1100" t="s">
        <v>932</v>
      </c>
      <c r="V125" s="1099">
        <v>414</v>
      </c>
      <c r="W125" s="1099" t="s">
        <v>933</v>
      </c>
      <c r="Z125" s="1311">
        <f t="shared" si="12"/>
        <v>0</v>
      </c>
    </row>
    <row r="126" spans="1:26" s="1216" customFormat="1" ht="57.75" customHeight="1">
      <c r="A126" s="1297" t="s">
        <v>742</v>
      </c>
      <c r="B126" s="1127" t="s">
        <v>841</v>
      </c>
      <c r="C126" s="871">
        <f t="shared" ref="C126:C194" si="19">SUM(D126:E126)</f>
        <v>1026</v>
      </c>
      <c r="D126" s="972">
        <v>0</v>
      </c>
      <c r="E126" s="1255">
        <v>1026</v>
      </c>
      <c r="F126" s="1302">
        <f t="shared" ref="F126:F194" si="20">SUM(G126:H126)</f>
        <v>1026</v>
      </c>
      <c r="G126" s="1299">
        <v>0</v>
      </c>
      <c r="H126" s="970">
        <f>E126</f>
        <v>1026</v>
      </c>
      <c r="I126" s="1302">
        <f t="shared" ref="I126:I183" si="21">SUM(J126:K126)</f>
        <v>0</v>
      </c>
      <c r="J126" s="1303">
        <v>0</v>
      </c>
      <c r="K126" s="1303">
        <v>0</v>
      </c>
      <c r="L126" s="876">
        <f t="shared" si="18"/>
        <v>0</v>
      </c>
      <c r="M126" s="877">
        <f t="shared" si="18"/>
        <v>0</v>
      </c>
      <c r="N126" s="877">
        <f t="shared" si="18"/>
        <v>0</v>
      </c>
      <c r="O126" s="1214" t="s">
        <v>1192</v>
      </c>
      <c r="P126" s="1214" t="s">
        <v>1207</v>
      </c>
      <c r="Q126" s="1065">
        <f t="shared" ref="Q126:S163" si="22">C126-F126</f>
        <v>0</v>
      </c>
      <c r="R126" s="1065">
        <f t="shared" si="22"/>
        <v>0</v>
      </c>
      <c r="S126" s="1065">
        <f t="shared" si="22"/>
        <v>0</v>
      </c>
      <c r="T126" s="1099" t="s">
        <v>886</v>
      </c>
      <c r="U126" s="1100" t="s">
        <v>892</v>
      </c>
      <c r="V126" s="1099">
        <v>414</v>
      </c>
      <c r="W126" s="1099">
        <v>14076</v>
      </c>
      <c r="Z126" s="1311">
        <f t="shared" si="12"/>
        <v>0</v>
      </c>
    </row>
    <row r="127" spans="1:26" s="1216" customFormat="1" ht="67.5" customHeight="1">
      <c r="A127" s="1297" t="s">
        <v>782</v>
      </c>
      <c r="B127" s="1127" t="s">
        <v>842</v>
      </c>
      <c r="C127" s="871">
        <f t="shared" si="19"/>
        <v>813</v>
      </c>
      <c r="D127" s="972">
        <v>0</v>
      </c>
      <c r="E127" s="1255">
        <v>813</v>
      </c>
      <c r="F127" s="1302">
        <f t="shared" si="20"/>
        <v>813</v>
      </c>
      <c r="G127" s="1299">
        <v>0</v>
      </c>
      <c r="H127" s="970">
        <f t="shared" ref="H127:H142" si="23">E127</f>
        <v>813</v>
      </c>
      <c r="I127" s="1302">
        <f t="shared" si="21"/>
        <v>0</v>
      </c>
      <c r="J127" s="1303">
        <v>0</v>
      </c>
      <c r="K127" s="1303">
        <v>0</v>
      </c>
      <c r="L127" s="876">
        <f t="shared" si="18"/>
        <v>0</v>
      </c>
      <c r="M127" s="877">
        <f t="shared" si="18"/>
        <v>0</v>
      </c>
      <c r="N127" s="877">
        <f t="shared" si="18"/>
        <v>0</v>
      </c>
      <c r="O127" s="1214" t="s">
        <v>1192</v>
      </c>
      <c r="P127" s="1214" t="s">
        <v>1208</v>
      </c>
      <c r="Q127" s="1065">
        <f t="shared" si="22"/>
        <v>0</v>
      </c>
      <c r="R127" s="1065">
        <f t="shared" si="22"/>
        <v>0</v>
      </c>
      <c r="S127" s="1065">
        <f t="shared" si="22"/>
        <v>0</v>
      </c>
      <c r="T127" s="1099" t="s">
        <v>886</v>
      </c>
      <c r="U127" s="1100" t="s">
        <v>892</v>
      </c>
      <c r="V127" s="1099">
        <v>414</v>
      </c>
      <c r="W127" s="1099">
        <v>14077</v>
      </c>
      <c r="Z127" s="1311">
        <f t="shared" si="12"/>
        <v>0</v>
      </c>
    </row>
    <row r="128" spans="1:26" ht="90.75" customHeight="1">
      <c r="A128" s="1297" t="s">
        <v>817</v>
      </c>
      <c r="B128" s="1127" t="s">
        <v>843</v>
      </c>
      <c r="C128" s="871">
        <f t="shared" si="19"/>
        <v>792</v>
      </c>
      <c r="D128" s="972">
        <v>0</v>
      </c>
      <c r="E128" s="1255">
        <v>792</v>
      </c>
      <c r="F128" s="1302">
        <f t="shared" si="20"/>
        <v>792</v>
      </c>
      <c r="G128" s="1299">
        <v>0</v>
      </c>
      <c r="H128" s="970">
        <f t="shared" si="23"/>
        <v>792</v>
      </c>
      <c r="I128" s="1302">
        <f t="shared" si="21"/>
        <v>0</v>
      </c>
      <c r="J128" s="1303">
        <v>0</v>
      </c>
      <c r="K128" s="1303">
        <v>0</v>
      </c>
      <c r="L128" s="876">
        <f t="shared" si="18"/>
        <v>0</v>
      </c>
      <c r="M128" s="877">
        <f t="shared" si="18"/>
        <v>0</v>
      </c>
      <c r="N128" s="877">
        <f t="shared" si="18"/>
        <v>0</v>
      </c>
      <c r="O128" s="1214" t="s">
        <v>1192</v>
      </c>
      <c r="P128" s="1214" t="s">
        <v>1209</v>
      </c>
      <c r="Q128" s="1065">
        <f t="shared" si="22"/>
        <v>0</v>
      </c>
      <c r="R128" s="1065">
        <f t="shared" si="22"/>
        <v>0</v>
      </c>
      <c r="S128" s="1065">
        <f t="shared" si="22"/>
        <v>0</v>
      </c>
      <c r="T128" s="1099" t="s">
        <v>886</v>
      </c>
      <c r="U128" s="1100" t="s">
        <v>892</v>
      </c>
      <c r="V128" s="1099">
        <v>414</v>
      </c>
      <c r="W128" s="1099">
        <v>14078</v>
      </c>
      <c r="Z128" s="1311">
        <f t="shared" si="12"/>
        <v>0</v>
      </c>
    </row>
    <row r="129" spans="1:26" ht="93">
      <c r="A129" s="1297" t="s">
        <v>818</v>
      </c>
      <c r="B129" s="1127" t="s">
        <v>844</v>
      </c>
      <c r="C129" s="871">
        <f t="shared" si="19"/>
        <v>879</v>
      </c>
      <c r="D129" s="972">
        <v>0</v>
      </c>
      <c r="E129" s="1255">
        <v>879</v>
      </c>
      <c r="F129" s="1302">
        <f t="shared" si="20"/>
        <v>879</v>
      </c>
      <c r="G129" s="1299">
        <v>0</v>
      </c>
      <c r="H129" s="970">
        <f t="shared" si="23"/>
        <v>879</v>
      </c>
      <c r="I129" s="1302">
        <f t="shared" si="21"/>
        <v>0</v>
      </c>
      <c r="J129" s="1303">
        <v>0</v>
      </c>
      <c r="K129" s="1303">
        <v>0</v>
      </c>
      <c r="L129" s="876">
        <f t="shared" si="18"/>
        <v>0</v>
      </c>
      <c r="M129" s="877">
        <f t="shared" si="18"/>
        <v>0</v>
      </c>
      <c r="N129" s="877">
        <f t="shared" si="18"/>
        <v>0</v>
      </c>
      <c r="O129" s="1214" t="s">
        <v>1192</v>
      </c>
      <c r="P129" s="1214" t="s">
        <v>1210</v>
      </c>
      <c r="Q129" s="1065">
        <f t="shared" si="22"/>
        <v>0</v>
      </c>
      <c r="R129" s="1065">
        <f t="shared" si="22"/>
        <v>0</v>
      </c>
      <c r="S129" s="1065">
        <f t="shared" si="22"/>
        <v>0</v>
      </c>
      <c r="T129" s="1099" t="s">
        <v>886</v>
      </c>
      <c r="U129" s="1100" t="s">
        <v>892</v>
      </c>
      <c r="V129" s="1099">
        <v>414</v>
      </c>
      <c r="W129" s="1099">
        <v>14079</v>
      </c>
      <c r="Z129" s="1311">
        <f t="shared" si="12"/>
        <v>0</v>
      </c>
    </row>
    <row r="130" spans="1:26" ht="93">
      <c r="A130" s="1297" t="s">
        <v>819</v>
      </c>
      <c r="B130" s="1127" t="s">
        <v>845</v>
      </c>
      <c r="C130" s="871">
        <f t="shared" si="19"/>
        <v>1554</v>
      </c>
      <c r="D130" s="1249">
        <v>0</v>
      </c>
      <c r="E130" s="1255">
        <v>1554</v>
      </c>
      <c r="F130" s="1302">
        <f t="shared" si="20"/>
        <v>1554</v>
      </c>
      <c r="G130" s="1299">
        <v>0</v>
      </c>
      <c r="H130" s="970">
        <f t="shared" si="23"/>
        <v>1554</v>
      </c>
      <c r="I130" s="1302">
        <f t="shared" si="21"/>
        <v>0</v>
      </c>
      <c r="J130" s="1303">
        <v>0</v>
      </c>
      <c r="K130" s="1303">
        <v>0</v>
      </c>
      <c r="L130" s="876">
        <f t="shared" si="18"/>
        <v>0</v>
      </c>
      <c r="M130" s="877">
        <f t="shared" si="18"/>
        <v>0</v>
      </c>
      <c r="N130" s="877">
        <f t="shared" si="18"/>
        <v>0</v>
      </c>
      <c r="O130" s="1214" t="s">
        <v>1192</v>
      </c>
      <c r="P130" s="1214" t="s">
        <v>1211</v>
      </c>
      <c r="Q130" s="1065">
        <f t="shared" si="22"/>
        <v>0</v>
      </c>
      <c r="R130" s="1065">
        <f t="shared" si="22"/>
        <v>0</v>
      </c>
      <c r="S130" s="1065">
        <f t="shared" si="22"/>
        <v>0</v>
      </c>
      <c r="T130" s="1099" t="s">
        <v>886</v>
      </c>
      <c r="U130" s="1100" t="s">
        <v>892</v>
      </c>
      <c r="V130" s="1099">
        <v>414</v>
      </c>
      <c r="W130" s="1099">
        <v>14080</v>
      </c>
      <c r="Z130" s="1311">
        <f t="shared" si="12"/>
        <v>0</v>
      </c>
    </row>
    <row r="131" spans="1:26" ht="57.75" customHeight="1">
      <c r="A131" s="1297" t="s">
        <v>762</v>
      </c>
      <c r="B131" s="1127" t="s">
        <v>846</v>
      </c>
      <c r="C131" s="871">
        <f t="shared" si="19"/>
        <v>879</v>
      </c>
      <c r="D131" s="1249">
        <v>0</v>
      </c>
      <c r="E131" s="1255">
        <v>879</v>
      </c>
      <c r="F131" s="1302">
        <f t="shared" si="20"/>
        <v>879</v>
      </c>
      <c r="G131" s="1299">
        <v>0</v>
      </c>
      <c r="H131" s="970">
        <f t="shared" si="23"/>
        <v>879</v>
      </c>
      <c r="I131" s="1302">
        <f t="shared" si="21"/>
        <v>0</v>
      </c>
      <c r="J131" s="1303">
        <v>0</v>
      </c>
      <c r="K131" s="1303">
        <v>0</v>
      </c>
      <c r="L131" s="876">
        <f t="shared" si="18"/>
        <v>0</v>
      </c>
      <c r="M131" s="877">
        <f t="shared" si="18"/>
        <v>0</v>
      </c>
      <c r="N131" s="877">
        <f t="shared" si="18"/>
        <v>0</v>
      </c>
      <c r="O131" s="1214" t="s">
        <v>1192</v>
      </c>
      <c r="P131" s="1214" t="s">
        <v>1212</v>
      </c>
      <c r="Q131" s="1065">
        <f t="shared" si="22"/>
        <v>0</v>
      </c>
      <c r="R131" s="1065">
        <f t="shared" si="22"/>
        <v>0</v>
      </c>
      <c r="S131" s="1065">
        <f t="shared" si="22"/>
        <v>0</v>
      </c>
      <c r="T131" s="1099" t="s">
        <v>886</v>
      </c>
      <c r="U131" s="1100" t="s">
        <v>892</v>
      </c>
      <c r="V131" s="1099">
        <v>414</v>
      </c>
      <c r="W131" s="1099">
        <v>14081</v>
      </c>
      <c r="Z131" s="1311">
        <f t="shared" si="12"/>
        <v>0</v>
      </c>
    </row>
    <row r="132" spans="1:26" ht="93">
      <c r="A132" s="1297" t="s">
        <v>743</v>
      </c>
      <c r="B132" s="1127" t="s">
        <v>847</v>
      </c>
      <c r="C132" s="871">
        <f t="shared" si="19"/>
        <v>627</v>
      </c>
      <c r="D132" s="1249">
        <v>0</v>
      </c>
      <c r="E132" s="1255">
        <v>627</v>
      </c>
      <c r="F132" s="1302">
        <f t="shared" si="20"/>
        <v>627</v>
      </c>
      <c r="G132" s="1299">
        <v>0</v>
      </c>
      <c r="H132" s="970">
        <f t="shared" si="23"/>
        <v>627</v>
      </c>
      <c r="I132" s="1302">
        <f t="shared" si="21"/>
        <v>0</v>
      </c>
      <c r="J132" s="1303">
        <v>0</v>
      </c>
      <c r="K132" s="1303">
        <v>0</v>
      </c>
      <c r="L132" s="876">
        <f t="shared" si="18"/>
        <v>0</v>
      </c>
      <c r="M132" s="877">
        <f t="shared" si="18"/>
        <v>0</v>
      </c>
      <c r="N132" s="877">
        <f t="shared" si="18"/>
        <v>0</v>
      </c>
      <c r="O132" s="1214" t="s">
        <v>1192</v>
      </c>
      <c r="P132" s="1214" t="s">
        <v>1213</v>
      </c>
      <c r="Q132" s="1065">
        <f t="shared" si="22"/>
        <v>0</v>
      </c>
      <c r="R132" s="1065">
        <f t="shared" si="22"/>
        <v>0</v>
      </c>
      <c r="S132" s="1065">
        <f t="shared" si="22"/>
        <v>0</v>
      </c>
      <c r="T132" s="1099" t="s">
        <v>886</v>
      </c>
      <c r="U132" s="1100" t="s">
        <v>892</v>
      </c>
      <c r="V132" s="1099">
        <v>414</v>
      </c>
      <c r="W132" s="1099">
        <v>14082</v>
      </c>
      <c r="Z132" s="1311">
        <f t="shared" si="12"/>
        <v>0</v>
      </c>
    </row>
    <row r="133" spans="1:26" ht="89.25" customHeight="1">
      <c r="A133" s="1297" t="s">
        <v>744</v>
      </c>
      <c r="B133" s="1127" t="s">
        <v>848</v>
      </c>
      <c r="C133" s="871">
        <f t="shared" si="19"/>
        <v>669</v>
      </c>
      <c r="D133" s="1249">
        <v>0</v>
      </c>
      <c r="E133" s="1255">
        <v>669</v>
      </c>
      <c r="F133" s="1302">
        <f t="shared" si="20"/>
        <v>669</v>
      </c>
      <c r="G133" s="1299">
        <v>0</v>
      </c>
      <c r="H133" s="970">
        <f t="shared" si="23"/>
        <v>669</v>
      </c>
      <c r="I133" s="1302">
        <f t="shared" si="21"/>
        <v>0</v>
      </c>
      <c r="J133" s="1303">
        <v>0</v>
      </c>
      <c r="K133" s="1303">
        <v>0</v>
      </c>
      <c r="L133" s="876">
        <f t="shared" si="18"/>
        <v>0</v>
      </c>
      <c r="M133" s="877">
        <f t="shared" si="18"/>
        <v>0</v>
      </c>
      <c r="N133" s="877">
        <f t="shared" si="18"/>
        <v>0</v>
      </c>
      <c r="O133" s="1214" t="s">
        <v>1192</v>
      </c>
      <c r="P133" s="1214" t="s">
        <v>1214</v>
      </c>
      <c r="Q133" s="1065">
        <f t="shared" si="22"/>
        <v>0</v>
      </c>
      <c r="R133" s="1065">
        <f t="shared" si="22"/>
        <v>0</v>
      </c>
      <c r="S133" s="1065">
        <f t="shared" si="22"/>
        <v>0</v>
      </c>
      <c r="T133" s="1099" t="s">
        <v>886</v>
      </c>
      <c r="U133" s="1100" t="s">
        <v>892</v>
      </c>
      <c r="V133" s="1099">
        <v>414</v>
      </c>
      <c r="W133" s="1099">
        <v>14083</v>
      </c>
      <c r="Z133" s="1311">
        <f t="shared" si="12"/>
        <v>0</v>
      </c>
    </row>
    <row r="134" spans="1:26" ht="54" customHeight="1">
      <c r="A134" s="1297" t="s">
        <v>745</v>
      </c>
      <c r="B134" s="1127" t="s">
        <v>849</v>
      </c>
      <c r="C134" s="871">
        <f t="shared" si="19"/>
        <v>495</v>
      </c>
      <c r="D134" s="1249">
        <v>0</v>
      </c>
      <c r="E134" s="1255">
        <v>495</v>
      </c>
      <c r="F134" s="1302">
        <f t="shared" si="20"/>
        <v>495</v>
      </c>
      <c r="G134" s="1299">
        <v>0</v>
      </c>
      <c r="H134" s="970">
        <f t="shared" si="23"/>
        <v>495</v>
      </c>
      <c r="I134" s="1302">
        <f t="shared" si="21"/>
        <v>0</v>
      </c>
      <c r="J134" s="1303">
        <v>0</v>
      </c>
      <c r="K134" s="1303">
        <v>0</v>
      </c>
      <c r="L134" s="876">
        <f t="shared" si="18"/>
        <v>0</v>
      </c>
      <c r="M134" s="877">
        <f t="shared" si="18"/>
        <v>0</v>
      </c>
      <c r="N134" s="877">
        <f t="shared" si="18"/>
        <v>0</v>
      </c>
      <c r="O134" s="1214" t="s">
        <v>1192</v>
      </c>
      <c r="P134" s="1214" t="s">
        <v>1215</v>
      </c>
      <c r="Q134" s="1065">
        <f t="shared" si="22"/>
        <v>0</v>
      </c>
      <c r="R134" s="1065">
        <f t="shared" si="22"/>
        <v>0</v>
      </c>
      <c r="S134" s="1065">
        <f t="shared" si="22"/>
        <v>0</v>
      </c>
      <c r="T134" s="1099" t="s">
        <v>886</v>
      </c>
      <c r="U134" s="1100" t="s">
        <v>892</v>
      </c>
      <c r="V134" s="1099">
        <v>414</v>
      </c>
      <c r="W134" s="1099">
        <v>14084</v>
      </c>
      <c r="Z134" s="1311">
        <f t="shared" si="12"/>
        <v>0</v>
      </c>
    </row>
    <row r="135" spans="1:26" ht="54" customHeight="1">
      <c r="A135" s="1297" t="s">
        <v>746</v>
      </c>
      <c r="B135" s="1127" t="s">
        <v>850</v>
      </c>
      <c r="C135" s="871">
        <f t="shared" si="19"/>
        <v>792</v>
      </c>
      <c r="D135" s="1249">
        <v>0</v>
      </c>
      <c r="E135" s="1255">
        <v>792</v>
      </c>
      <c r="F135" s="1302">
        <f t="shared" si="20"/>
        <v>792</v>
      </c>
      <c r="G135" s="1299">
        <v>0</v>
      </c>
      <c r="H135" s="970">
        <f t="shared" si="23"/>
        <v>792</v>
      </c>
      <c r="I135" s="1302">
        <f t="shared" si="21"/>
        <v>0</v>
      </c>
      <c r="J135" s="1303">
        <v>0</v>
      </c>
      <c r="K135" s="1303">
        <v>0</v>
      </c>
      <c r="L135" s="876">
        <f t="shared" si="18"/>
        <v>0</v>
      </c>
      <c r="M135" s="877">
        <f t="shared" si="18"/>
        <v>0</v>
      </c>
      <c r="N135" s="877">
        <f t="shared" si="18"/>
        <v>0</v>
      </c>
      <c r="O135" s="1214" t="s">
        <v>1192</v>
      </c>
      <c r="P135" s="1214" t="s">
        <v>1216</v>
      </c>
      <c r="Q135" s="1065">
        <f t="shared" si="22"/>
        <v>0</v>
      </c>
      <c r="R135" s="1065">
        <f t="shared" si="22"/>
        <v>0</v>
      </c>
      <c r="S135" s="1065">
        <f t="shared" si="22"/>
        <v>0</v>
      </c>
      <c r="T135" s="1099" t="s">
        <v>886</v>
      </c>
      <c r="U135" s="1100" t="s">
        <v>892</v>
      </c>
      <c r="V135" s="1099">
        <v>414</v>
      </c>
      <c r="W135" s="1099">
        <v>14085</v>
      </c>
      <c r="Z135" s="1311">
        <f t="shared" si="12"/>
        <v>0</v>
      </c>
    </row>
    <row r="136" spans="1:26" ht="54" customHeight="1">
      <c r="A136" s="1297" t="s">
        <v>747</v>
      </c>
      <c r="B136" s="1127" t="s">
        <v>851</v>
      </c>
      <c r="C136" s="871">
        <f t="shared" si="19"/>
        <v>1026</v>
      </c>
      <c r="D136" s="1249">
        <v>0</v>
      </c>
      <c r="E136" s="1255">
        <v>1026</v>
      </c>
      <c r="F136" s="1302">
        <f t="shared" si="20"/>
        <v>1026</v>
      </c>
      <c r="G136" s="1299">
        <v>0</v>
      </c>
      <c r="H136" s="970">
        <f t="shared" si="23"/>
        <v>1026</v>
      </c>
      <c r="I136" s="1302">
        <f t="shared" si="21"/>
        <v>0</v>
      </c>
      <c r="J136" s="1303">
        <v>0</v>
      </c>
      <c r="K136" s="1303">
        <v>0</v>
      </c>
      <c r="L136" s="876">
        <f t="shared" si="18"/>
        <v>0</v>
      </c>
      <c r="M136" s="877">
        <f t="shared" si="18"/>
        <v>0</v>
      </c>
      <c r="N136" s="877">
        <f t="shared" si="18"/>
        <v>0</v>
      </c>
      <c r="O136" s="1214" t="s">
        <v>1192</v>
      </c>
      <c r="P136" s="1214" t="s">
        <v>1217</v>
      </c>
      <c r="Q136" s="1065">
        <f t="shared" si="22"/>
        <v>0</v>
      </c>
      <c r="R136" s="1065">
        <f t="shared" si="22"/>
        <v>0</v>
      </c>
      <c r="S136" s="1065">
        <f t="shared" si="22"/>
        <v>0</v>
      </c>
      <c r="T136" s="1099" t="s">
        <v>886</v>
      </c>
      <c r="U136" s="1100" t="s">
        <v>892</v>
      </c>
      <c r="V136" s="1099">
        <v>414</v>
      </c>
      <c r="W136" s="1099">
        <v>14086</v>
      </c>
      <c r="Z136" s="1311">
        <f t="shared" si="12"/>
        <v>0</v>
      </c>
    </row>
    <row r="137" spans="1:26" ht="54" customHeight="1">
      <c r="A137" s="1297" t="s">
        <v>748</v>
      </c>
      <c r="B137" s="1127" t="s">
        <v>852</v>
      </c>
      <c r="C137" s="871">
        <f t="shared" si="19"/>
        <v>669</v>
      </c>
      <c r="D137" s="1249">
        <v>0</v>
      </c>
      <c r="E137" s="1255">
        <v>669</v>
      </c>
      <c r="F137" s="1302">
        <f t="shared" si="20"/>
        <v>669</v>
      </c>
      <c r="G137" s="1299">
        <v>0</v>
      </c>
      <c r="H137" s="970">
        <f t="shared" si="23"/>
        <v>669</v>
      </c>
      <c r="I137" s="1302">
        <f t="shared" si="21"/>
        <v>0</v>
      </c>
      <c r="J137" s="1303">
        <v>0</v>
      </c>
      <c r="K137" s="1303">
        <v>0</v>
      </c>
      <c r="L137" s="876">
        <f t="shared" si="18"/>
        <v>0</v>
      </c>
      <c r="M137" s="877">
        <f t="shared" si="18"/>
        <v>0</v>
      </c>
      <c r="N137" s="877">
        <f t="shared" si="18"/>
        <v>0</v>
      </c>
      <c r="O137" s="1214" t="s">
        <v>1192</v>
      </c>
      <c r="P137" s="1214" t="s">
        <v>1218</v>
      </c>
      <c r="Q137" s="1065">
        <f t="shared" si="22"/>
        <v>0</v>
      </c>
      <c r="R137" s="1065">
        <f t="shared" si="22"/>
        <v>0</v>
      </c>
      <c r="S137" s="1065">
        <f t="shared" si="22"/>
        <v>0</v>
      </c>
      <c r="T137" s="1099" t="s">
        <v>886</v>
      </c>
      <c r="U137" s="1100" t="s">
        <v>892</v>
      </c>
      <c r="V137" s="1099">
        <v>414</v>
      </c>
      <c r="W137" s="1099">
        <v>14087</v>
      </c>
      <c r="Z137" s="1311">
        <f t="shared" si="12"/>
        <v>0</v>
      </c>
    </row>
    <row r="138" spans="1:26" ht="54" customHeight="1">
      <c r="A138" s="1297" t="s">
        <v>749</v>
      </c>
      <c r="B138" s="1127" t="s">
        <v>853</v>
      </c>
      <c r="C138" s="871">
        <f t="shared" si="19"/>
        <v>879</v>
      </c>
      <c r="D138" s="972">
        <v>0</v>
      </c>
      <c r="E138" s="1255">
        <v>879</v>
      </c>
      <c r="F138" s="1302">
        <f t="shared" si="20"/>
        <v>879</v>
      </c>
      <c r="G138" s="1299">
        <v>0</v>
      </c>
      <c r="H138" s="970">
        <f t="shared" si="23"/>
        <v>879</v>
      </c>
      <c r="I138" s="1302">
        <f t="shared" si="21"/>
        <v>0</v>
      </c>
      <c r="J138" s="1303">
        <v>0</v>
      </c>
      <c r="K138" s="1303">
        <v>0</v>
      </c>
      <c r="L138" s="876">
        <f t="shared" si="18"/>
        <v>0</v>
      </c>
      <c r="M138" s="877">
        <f t="shared" si="18"/>
        <v>0</v>
      </c>
      <c r="N138" s="877">
        <f t="shared" si="18"/>
        <v>0</v>
      </c>
      <c r="O138" s="1214" t="s">
        <v>1192</v>
      </c>
      <c r="P138" s="1214" t="s">
        <v>1212</v>
      </c>
      <c r="Q138" s="1065">
        <f t="shared" si="22"/>
        <v>0</v>
      </c>
      <c r="R138" s="1065">
        <f t="shared" si="22"/>
        <v>0</v>
      </c>
      <c r="S138" s="1065">
        <f t="shared" si="22"/>
        <v>0</v>
      </c>
      <c r="T138" s="1099" t="s">
        <v>886</v>
      </c>
      <c r="U138" s="1100" t="s">
        <v>892</v>
      </c>
      <c r="V138" s="1099">
        <v>414</v>
      </c>
      <c r="W138" s="1099">
        <v>14088</v>
      </c>
      <c r="Z138" s="1311">
        <f t="shared" si="12"/>
        <v>0</v>
      </c>
    </row>
    <row r="139" spans="1:26" s="515" customFormat="1" ht="115.5" customHeight="1">
      <c r="A139" s="1293" t="s">
        <v>750</v>
      </c>
      <c r="B139" s="987" t="s">
        <v>864</v>
      </c>
      <c r="C139" s="871">
        <f t="shared" si="19"/>
        <v>27147</v>
      </c>
      <c r="D139" s="1249">
        <v>0</v>
      </c>
      <c r="E139" s="1249">
        <v>27147</v>
      </c>
      <c r="F139" s="1302">
        <f>SUM(G139:H139)</f>
        <v>27147</v>
      </c>
      <c r="G139" s="1299">
        <v>0</v>
      </c>
      <c r="H139" s="970">
        <f t="shared" si="23"/>
        <v>27147</v>
      </c>
      <c r="I139" s="1302">
        <f t="shared" si="21"/>
        <v>0</v>
      </c>
      <c r="J139" s="1299">
        <v>0</v>
      </c>
      <c r="K139" s="1299">
        <v>0</v>
      </c>
      <c r="L139" s="876">
        <f t="shared" si="18"/>
        <v>0</v>
      </c>
      <c r="M139" s="877">
        <f t="shared" si="18"/>
        <v>0</v>
      </c>
      <c r="N139" s="877">
        <f t="shared" si="18"/>
        <v>0</v>
      </c>
      <c r="O139" s="1214" t="s">
        <v>1192</v>
      </c>
      <c r="P139" s="1214" t="s">
        <v>1219</v>
      </c>
      <c r="Q139" s="1065">
        <f t="shared" si="22"/>
        <v>0</v>
      </c>
      <c r="R139" s="1065">
        <f t="shared" si="22"/>
        <v>0</v>
      </c>
      <c r="S139" s="1065">
        <f t="shared" si="22"/>
        <v>0</v>
      </c>
      <c r="T139" s="1099" t="s">
        <v>872</v>
      </c>
      <c r="U139" s="1100">
        <v>1130390400</v>
      </c>
      <c r="V139" s="1099">
        <v>414</v>
      </c>
      <c r="W139" s="1099">
        <v>10122</v>
      </c>
      <c r="X139" s="1220"/>
      <c r="Z139" s="1311">
        <f t="shared" si="12"/>
        <v>0</v>
      </c>
    </row>
    <row r="140" spans="1:26" s="515" customFormat="1" ht="54" customHeight="1">
      <c r="A140" s="1293" t="s">
        <v>751</v>
      </c>
      <c r="B140" s="1278" t="s">
        <v>1317</v>
      </c>
      <c r="C140" s="871">
        <f>SUM(D140:E140)</f>
        <v>4800</v>
      </c>
      <c r="D140" s="1249">
        <v>0</v>
      </c>
      <c r="E140" s="1249">
        <v>4800</v>
      </c>
      <c r="F140" s="1302">
        <f>SUM(G140:H140)</f>
        <v>4800</v>
      </c>
      <c r="G140" s="1299">
        <v>0</v>
      </c>
      <c r="H140" s="970">
        <f t="shared" si="23"/>
        <v>4800</v>
      </c>
      <c r="I140" s="1302">
        <f>SUM(J140:K140)</f>
        <v>0</v>
      </c>
      <c r="J140" s="1299">
        <v>0</v>
      </c>
      <c r="K140" s="1299">
        <v>0</v>
      </c>
      <c r="L140" s="876">
        <f>IF(I140=0,0,I140/F140*100)</f>
        <v>0</v>
      </c>
      <c r="M140" s="877">
        <f>IF(J140=0,0,J140/G140*100)</f>
        <v>0</v>
      </c>
      <c r="N140" s="877">
        <f>IF(K140=0,0,K140/H140*100)</f>
        <v>0</v>
      </c>
      <c r="O140" s="1214"/>
      <c r="P140" s="1214"/>
      <c r="Q140" s="1065"/>
      <c r="R140" s="1065"/>
      <c r="S140" s="1065"/>
      <c r="T140" s="1099"/>
      <c r="U140" s="1100"/>
      <c r="V140" s="1099"/>
      <c r="W140" s="1099"/>
      <c r="X140" s="1220"/>
      <c r="Z140" s="1311">
        <f t="shared" si="12"/>
        <v>0</v>
      </c>
    </row>
    <row r="141" spans="1:26" ht="58.5" customHeight="1">
      <c r="A141" s="1297" t="s">
        <v>854</v>
      </c>
      <c r="B141" s="1127" t="s">
        <v>522</v>
      </c>
      <c r="C141" s="871">
        <f t="shared" si="19"/>
        <v>54207.7</v>
      </c>
      <c r="D141" s="972">
        <v>0</v>
      </c>
      <c r="E141" s="1255">
        <v>54207.7</v>
      </c>
      <c r="F141" s="1302">
        <f t="shared" si="20"/>
        <v>54207.7</v>
      </c>
      <c r="G141" s="1303">
        <v>0</v>
      </c>
      <c r="H141" s="970">
        <f t="shared" si="23"/>
        <v>54207.7</v>
      </c>
      <c r="I141" s="1302">
        <f t="shared" si="21"/>
        <v>0</v>
      </c>
      <c r="J141" s="1303">
        <v>0</v>
      </c>
      <c r="K141" s="1303">
        <v>0</v>
      </c>
      <c r="L141" s="876">
        <f t="shared" si="18"/>
        <v>0</v>
      </c>
      <c r="M141" s="877">
        <f t="shared" si="18"/>
        <v>0</v>
      </c>
      <c r="N141" s="877">
        <f t="shared" si="18"/>
        <v>0</v>
      </c>
      <c r="O141" s="1214" t="s">
        <v>1238</v>
      </c>
      <c r="P141" s="1214" t="s">
        <v>1220</v>
      </c>
      <c r="Q141" s="1065">
        <f t="shared" si="22"/>
        <v>0</v>
      </c>
      <c r="R141" s="1065">
        <f t="shared" si="22"/>
        <v>0</v>
      </c>
      <c r="S141" s="1065">
        <f t="shared" si="22"/>
        <v>0</v>
      </c>
      <c r="T141" s="1099" t="s">
        <v>886</v>
      </c>
      <c r="U141" s="1100">
        <v>1900290400</v>
      </c>
      <c r="V141" s="1099">
        <v>414</v>
      </c>
      <c r="W141" s="1099">
        <v>10123</v>
      </c>
      <c r="Z141" s="1311">
        <f t="shared" ref="Z141:Z204" si="24">C141-F141</f>
        <v>0</v>
      </c>
    </row>
    <row r="142" spans="1:26" ht="69" customHeight="1">
      <c r="A142" s="1297" t="s">
        <v>820</v>
      </c>
      <c r="B142" s="1127" t="s">
        <v>919</v>
      </c>
      <c r="C142" s="871">
        <f t="shared" si="19"/>
        <v>37461.300000000003</v>
      </c>
      <c r="D142" s="972">
        <v>0</v>
      </c>
      <c r="E142" s="1255">
        <v>37461.300000000003</v>
      </c>
      <c r="F142" s="1302">
        <f t="shared" si="20"/>
        <v>37461.300000000003</v>
      </c>
      <c r="G142" s="1303">
        <v>0</v>
      </c>
      <c r="H142" s="970">
        <f t="shared" si="23"/>
        <v>37461.300000000003</v>
      </c>
      <c r="I142" s="1302">
        <f t="shared" si="21"/>
        <v>0</v>
      </c>
      <c r="J142" s="1303">
        <v>0</v>
      </c>
      <c r="K142" s="1303">
        <v>0</v>
      </c>
      <c r="L142" s="876">
        <f t="shared" si="18"/>
        <v>0</v>
      </c>
      <c r="M142" s="877">
        <f t="shared" si="18"/>
        <v>0</v>
      </c>
      <c r="N142" s="877">
        <f t="shared" si="18"/>
        <v>0</v>
      </c>
      <c r="O142" s="1214" t="s">
        <v>1239</v>
      </c>
      <c r="P142" s="1214" t="s">
        <v>1221</v>
      </c>
      <c r="Q142" s="1065">
        <f t="shared" si="22"/>
        <v>0</v>
      </c>
      <c r="R142" s="1065">
        <f t="shared" si="22"/>
        <v>0</v>
      </c>
      <c r="S142" s="1065">
        <f t="shared" si="22"/>
        <v>0</v>
      </c>
      <c r="T142" s="1099" t="s">
        <v>886</v>
      </c>
      <c r="U142" s="1100">
        <v>1900290400</v>
      </c>
      <c r="V142" s="1099">
        <v>414</v>
      </c>
      <c r="W142" s="1099">
        <v>10124</v>
      </c>
      <c r="Z142" s="1311">
        <f t="shared" si="24"/>
        <v>0</v>
      </c>
    </row>
    <row r="143" spans="1:26" ht="56.25" customHeight="1">
      <c r="A143" s="1297" t="s">
        <v>834</v>
      </c>
      <c r="B143" s="1127" t="s">
        <v>1318</v>
      </c>
      <c r="C143" s="871">
        <f t="shared" si="19"/>
        <v>3403.5</v>
      </c>
      <c r="D143" s="972">
        <v>0</v>
      </c>
      <c r="E143" s="1255">
        <v>3403.5</v>
      </c>
      <c r="F143" s="1302">
        <f t="shared" si="20"/>
        <v>3403.5</v>
      </c>
      <c r="G143" s="1303"/>
      <c r="H143" s="970">
        <f>E143</f>
        <v>3403.5</v>
      </c>
      <c r="I143" s="1302">
        <f t="shared" si="21"/>
        <v>0</v>
      </c>
      <c r="J143" s="1303"/>
      <c r="K143" s="1303"/>
      <c r="L143" s="876">
        <f>IF(I143=0,0,I143/F143*100)</f>
        <v>0</v>
      </c>
      <c r="M143" s="877">
        <f>IF(J143=0,0,J143/G143*100)</f>
        <v>0</v>
      </c>
      <c r="N143" s="877">
        <f>IF(K143=0,0,K143/H143*100)</f>
        <v>0</v>
      </c>
      <c r="O143" s="1214"/>
      <c r="P143" s="1214"/>
      <c r="Q143" s="1065"/>
      <c r="R143" s="1065"/>
      <c r="S143" s="1065"/>
      <c r="Z143" s="1311">
        <f t="shared" si="24"/>
        <v>0</v>
      </c>
    </row>
    <row r="144" spans="1:26" s="914" customFormat="1" ht="72.75" customHeight="1">
      <c r="A144" s="1051"/>
      <c r="B144" s="1261" t="s">
        <v>444</v>
      </c>
      <c r="C144" s="1051">
        <f t="shared" si="19"/>
        <v>2364953.2999999998</v>
      </c>
      <c r="D144" s="1051">
        <f>SUM(D145:D201)</f>
        <v>2117595.4</v>
      </c>
      <c r="E144" s="1051">
        <f>SUM(E145:E201)</f>
        <v>247357.9</v>
      </c>
      <c r="F144" s="1051">
        <f t="shared" si="20"/>
        <v>2364953.4</v>
      </c>
      <c r="G144" s="1051">
        <f>SUM(G145:G201)</f>
        <v>2117595.4</v>
      </c>
      <c r="H144" s="1051">
        <f>SUM(H145:H201)</f>
        <v>247358</v>
      </c>
      <c r="I144" s="1051">
        <f>SUM(J144:K144)</f>
        <v>94840.4</v>
      </c>
      <c r="J144" s="1051">
        <f>SUM(J145:J201)</f>
        <v>71585.600000000006</v>
      </c>
      <c r="K144" s="1051">
        <f>SUM(K145:K201)</f>
        <v>23254.799999999999</v>
      </c>
      <c r="L144" s="1053">
        <f t="shared" si="18"/>
        <v>4</v>
      </c>
      <c r="M144" s="1053">
        <f t="shared" si="18"/>
        <v>3.4</v>
      </c>
      <c r="N144" s="1053">
        <f t="shared" si="18"/>
        <v>9.4</v>
      </c>
      <c r="O144" s="1214"/>
      <c r="P144" s="1214"/>
      <c r="Q144" s="1065">
        <f t="shared" si="22"/>
        <v>-0.1</v>
      </c>
      <c r="R144" s="1065">
        <f t="shared" si="22"/>
        <v>0</v>
      </c>
      <c r="S144" s="1065">
        <f t="shared" si="22"/>
        <v>-0.1</v>
      </c>
      <c r="T144" s="1114"/>
      <c r="U144" s="1100"/>
      <c r="V144" s="1099"/>
      <c r="W144" s="1099"/>
      <c r="X144" s="1216"/>
      <c r="Z144" s="1311">
        <f t="shared" si="24"/>
        <v>-0.1</v>
      </c>
    </row>
    <row r="145" spans="1:26" ht="120" customHeight="1">
      <c r="A145" s="1293" t="s">
        <v>835</v>
      </c>
      <c r="B145" s="955" t="s">
        <v>648</v>
      </c>
      <c r="C145" s="871">
        <f t="shared" si="19"/>
        <v>800</v>
      </c>
      <c r="D145" s="1249">
        <v>0</v>
      </c>
      <c r="E145" s="1249">
        <v>800</v>
      </c>
      <c r="F145" s="1302">
        <f t="shared" si="20"/>
        <v>800</v>
      </c>
      <c r="G145" s="1299">
        <f>D145</f>
        <v>0</v>
      </c>
      <c r="H145" s="1299">
        <f>E145</f>
        <v>800</v>
      </c>
      <c r="I145" s="1302">
        <f t="shared" si="21"/>
        <v>800</v>
      </c>
      <c r="J145" s="1299">
        <v>0</v>
      </c>
      <c r="K145" s="1299">
        <v>800</v>
      </c>
      <c r="L145" s="876">
        <f t="shared" si="18"/>
        <v>100</v>
      </c>
      <c r="M145" s="877">
        <f t="shared" si="18"/>
        <v>0</v>
      </c>
      <c r="N145" s="877">
        <f t="shared" si="18"/>
        <v>100</v>
      </c>
      <c r="O145" s="1214" t="s">
        <v>1290</v>
      </c>
      <c r="P145" s="1214" t="s">
        <v>1240</v>
      </c>
      <c r="Q145" s="1065">
        <f t="shared" si="22"/>
        <v>0</v>
      </c>
      <c r="R145" s="1065">
        <f t="shared" si="22"/>
        <v>0</v>
      </c>
      <c r="S145" s="1065">
        <f t="shared" si="22"/>
        <v>0</v>
      </c>
      <c r="T145" s="1099" t="s">
        <v>886</v>
      </c>
      <c r="U145" s="1100">
        <v>1820190400</v>
      </c>
      <c r="V145" s="1099">
        <v>414</v>
      </c>
      <c r="W145" s="1099">
        <v>14054</v>
      </c>
      <c r="Z145" s="1311">
        <f t="shared" si="24"/>
        <v>0</v>
      </c>
    </row>
    <row r="146" spans="1:26" s="736" customFormat="1" ht="103.5" customHeight="1">
      <c r="A146" s="1293" t="s">
        <v>826</v>
      </c>
      <c r="B146" s="956" t="s">
        <v>649</v>
      </c>
      <c r="C146" s="871">
        <f t="shared" si="19"/>
        <v>100</v>
      </c>
      <c r="D146" s="1249">
        <v>0</v>
      </c>
      <c r="E146" s="1249">
        <v>100</v>
      </c>
      <c r="F146" s="1302">
        <f t="shared" si="20"/>
        <v>100</v>
      </c>
      <c r="G146" s="1299">
        <f t="shared" ref="G146:G201" si="25">D146</f>
        <v>0</v>
      </c>
      <c r="H146" s="1299">
        <f t="shared" ref="H146:H201" si="26">E146</f>
        <v>100</v>
      </c>
      <c r="I146" s="1302">
        <f t="shared" si="21"/>
        <v>0</v>
      </c>
      <c r="J146" s="1299">
        <v>0</v>
      </c>
      <c r="K146" s="1299">
        <v>0</v>
      </c>
      <c r="L146" s="876">
        <f t="shared" si="18"/>
        <v>0</v>
      </c>
      <c r="M146" s="877">
        <f t="shared" si="18"/>
        <v>0</v>
      </c>
      <c r="N146" s="877">
        <f t="shared" si="18"/>
        <v>0</v>
      </c>
      <c r="O146" s="1214" t="s">
        <v>1291</v>
      </c>
      <c r="P146" s="1214" t="s">
        <v>1241</v>
      </c>
      <c r="Q146" s="1065">
        <f t="shared" si="22"/>
        <v>0</v>
      </c>
      <c r="R146" s="1065">
        <f t="shared" si="22"/>
        <v>0</v>
      </c>
      <c r="S146" s="1065">
        <f t="shared" si="22"/>
        <v>0</v>
      </c>
      <c r="T146" s="1099" t="s">
        <v>886</v>
      </c>
      <c r="U146" s="1100">
        <v>1820190400</v>
      </c>
      <c r="V146" s="1099">
        <v>414</v>
      </c>
      <c r="W146" s="1099">
        <v>14056</v>
      </c>
      <c r="X146" s="1216"/>
      <c r="Z146" s="1311">
        <f t="shared" si="24"/>
        <v>0</v>
      </c>
    </row>
    <row r="147" spans="1:26" s="736" customFormat="1" ht="78.75" customHeight="1">
      <c r="A147" s="1293" t="s">
        <v>827</v>
      </c>
      <c r="B147" s="956" t="s">
        <v>650</v>
      </c>
      <c r="C147" s="871">
        <f t="shared" si="19"/>
        <v>1500</v>
      </c>
      <c r="D147" s="1249">
        <v>0</v>
      </c>
      <c r="E147" s="1249">
        <v>1500</v>
      </c>
      <c r="F147" s="1302">
        <f t="shared" si="20"/>
        <v>1500</v>
      </c>
      <c r="G147" s="1299">
        <f t="shared" si="25"/>
        <v>0</v>
      </c>
      <c r="H147" s="1299">
        <f t="shared" si="26"/>
        <v>1500</v>
      </c>
      <c r="I147" s="1302">
        <f t="shared" si="21"/>
        <v>0</v>
      </c>
      <c r="J147" s="1299">
        <v>0</v>
      </c>
      <c r="K147" s="1299">
        <v>0</v>
      </c>
      <c r="L147" s="876">
        <f t="shared" si="18"/>
        <v>0</v>
      </c>
      <c r="M147" s="877">
        <f t="shared" si="18"/>
        <v>0</v>
      </c>
      <c r="N147" s="877">
        <f t="shared" si="18"/>
        <v>0</v>
      </c>
      <c r="O147" s="1214" t="s">
        <v>1292</v>
      </c>
      <c r="P147" s="1214" t="s">
        <v>1242</v>
      </c>
      <c r="Q147" s="1065">
        <f t="shared" si="22"/>
        <v>0</v>
      </c>
      <c r="R147" s="1065">
        <f t="shared" si="22"/>
        <v>0</v>
      </c>
      <c r="S147" s="1065">
        <f t="shared" si="22"/>
        <v>0</v>
      </c>
      <c r="T147" s="1099" t="s">
        <v>886</v>
      </c>
      <c r="U147" s="1100">
        <v>1820190400</v>
      </c>
      <c r="V147" s="1099">
        <v>414</v>
      </c>
      <c r="W147" s="1099">
        <v>14055</v>
      </c>
      <c r="X147" s="1216"/>
      <c r="Z147" s="1311">
        <f t="shared" si="24"/>
        <v>0</v>
      </c>
    </row>
    <row r="148" spans="1:26" s="736" customFormat="1" ht="129.75" customHeight="1">
      <c r="A148" s="1297" t="s">
        <v>752</v>
      </c>
      <c r="B148" s="956" t="s">
        <v>651</v>
      </c>
      <c r="C148" s="871">
        <f t="shared" si="19"/>
        <v>100</v>
      </c>
      <c r="D148" s="1249">
        <v>0</v>
      </c>
      <c r="E148" s="1249">
        <v>100</v>
      </c>
      <c r="F148" s="1302">
        <f t="shared" si="20"/>
        <v>100</v>
      </c>
      <c r="G148" s="1299">
        <f t="shared" si="25"/>
        <v>0</v>
      </c>
      <c r="H148" s="1299">
        <f t="shared" si="26"/>
        <v>100</v>
      </c>
      <c r="I148" s="1302">
        <f t="shared" si="21"/>
        <v>100</v>
      </c>
      <c r="J148" s="1299">
        <v>0</v>
      </c>
      <c r="K148" s="1299">
        <v>100</v>
      </c>
      <c r="L148" s="876">
        <f t="shared" si="18"/>
        <v>100</v>
      </c>
      <c r="M148" s="877">
        <f t="shared" si="18"/>
        <v>0</v>
      </c>
      <c r="N148" s="877">
        <f t="shared" si="18"/>
        <v>100</v>
      </c>
      <c r="O148" s="1214" t="s">
        <v>1293</v>
      </c>
      <c r="P148" s="1214" t="s">
        <v>1101</v>
      </c>
      <c r="Q148" s="1065">
        <f t="shared" si="22"/>
        <v>0</v>
      </c>
      <c r="R148" s="1065">
        <f t="shared" si="22"/>
        <v>0</v>
      </c>
      <c r="S148" s="1065">
        <f t="shared" si="22"/>
        <v>0</v>
      </c>
      <c r="T148" s="1099" t="s">
        <v>886</v>
      </c>
      <c r="U148" s="1100">
        <v>1820190400</v>
      </c>
      <c r="V148" s="1099">
        <v>414</v>
      </c>
      <c r="W148" s="1099">
        <v>14021</v>
      </c>
      <c r="X148" s="1216"/>
      <c r="Z148" s="1311">
        <f t="shared" si="24"/>
        <v>0</v>
      </c>
    </row>
    <row r="149" spans="1:26" s="736" customFormat="1" ht="92.25" customHeight="1">
      <c r="A149" s="1297" t="s">
        <v>753</v>
      </c>
      <c r="B149" s="956" t="s">
        <v>830</v>
      </c>
      <c r="C149" s="871">
        <f t="shared" si="19"/>
        <v>2800</v>
      </c>
      <c r="D149" s="1249">
        <v>0</v>
      </c>
      <c r="E149" s="1249">
        <f>100+2700</f>
        <v>2800</v>
      </c>
      <c r="F149" s="1302">
        <f t="shared" si="20"/>
        <v>2800</v>
      </c>
      <c r="G149" s="1299">
        <f t="shared" si="25"/>
        <v>0</v>
      </c>
      <c r="H149" s="1299">
        <f t="shared" si="26"/>
        <v>2800</v>
      </c>
      <c r="I149" s="1302">
        <f t="shared" si="21"/>
        <v>0</v>
      </c>
      <c r="J149" s="1299">
        <v>0</v>
      </c>
      <c r="K149" s="1299">
        <v>0</v>
      </c>
      <c r="L149" s="876">
        <f t="shared" si="18"/>
        <v>0</v>
      </c>
      <c r="M149" s="877">
        <f t="shared" si="18"/>
        <v>0</v>
      </c>
      <c r="N149" s="877">
        <f t="shared" si="18"/>
        <v>0</v>
      </c>
      <c r="O149" s="1214" t="s">
        <v>1192</v>
      </c>
      <c r="P149" s="1214" t="s">
        <v>1243</v>
      </c>
      <c r="Q149" s="1065">
        <f t="shared" si="22"/>
        <v>0</v>
      </c>
      <c r="R149" s="1065">
        <f t="shared" si="22"/>
        <v>0</v>
      </c>
      <c r="S149" s="1065">
        <f t="shared" si="22"/>
        <v>0</v>
      </c>
      <c r="T149" s="1099" t="s">
        <v>886</v>
      </c>
      <c r="U149" s="1100">
        <v>1820190400</v>
      </c>
      <c r="V149" s="1099">
        <v>414</v>
      </c>
      <c r="W149" s="1099">
        <v>14046</v>
      </c>
      <c r="X149" s="1216"/>
      <c r="Z149" s="1311">
        <f t="shared" si="24"/>
        <v>0</v>
      </c>
    </row>
    <row r="150" spans="1:26" s="736" customFormat="1" ht="84.75" customHeight="1">
      <c r="A150" s="1297" t="s">
        <v>754</v>
      </c>
      <c r="B150" s="956" t="s">
        <v>831</v>
      </c>
      <c r="C150" s="871">
        <f t="shared" si="19"/>
        <v>3100</v>
      </c>
      <c r="D150" s="1249">
        <v>0</v>
      </c>
      <c r="E150" s="1249">
        <f>100+3000</f>
        <v>3100</v>
      </c>
      <c r="F150" s="1302">
        <f t="shared" si="20"/>
        <v>3100</v>
      </c>
      <c r="G150" s="1299">
        <f t="shared" si="25"/>
        <v>0</v>
      </c>
      <c r="H150" s="1299">
        <f t="shared" si="26"/>
        <v>3100</v>
      </c>
      <c r="I150" s="1302">
        <f t="shared" si="21"/>
        <v>0</v>
      </c>
      <c r="J150" s="1299">
        <v>0</v>
      </c>
      <c r="K150" s="1299">
        <v>0</v>
      </c>
      <c r="L150" s="876">
        <f t="shared" si="18"/>
        <v>0</v>
      </c>
      <c r="M150" s="877">
        <f t="shared" si="18"/>
        <v>0</v>
      </c>
      <c r="N150" s="877">
        <f t="shared" si="18"/>
        <v>0</v>
      </c>
      <c r="O150" s="1214" t="s">
        <v>1294</v>
      </c>
      <c r="P150" s="1214" t="s">
        <v>1244</v>
      </c>
      <c r="Q150" s="1065">
        <f t="shared" si="22"/>
        <v>0</v>
      </c>
      <c r="R150" s="1065">
        <f t="shared" si="22"/>
        <v>0</v>
      </c>
      <c r="S150" s="1065">
        <f t="shared" si="22"/>
        <v>0</v>
      </c>
      <c r="T150" s="1099" t="s">
        <v>886</v>
      </c>
      <c r="U150" s="1100">
        <v>1820190400</v>
      </c>
      <c r="V150" s="1099">
        <v>414</v>
      </c>
      <c r="W150" s="1099">
        <v>14048</v>
      </c>
      <c r="X150" s="1216"/>
      <c r="Z150" s="1311">
        <f t="shared" si="24"/>
        <v>0</v>
      </c>
    </row>
    <row r="151" spans="1:26" s="736" customFormat="1" ht="84.75" customHeight="1">
      <c r="A151" s="1297" t="s">
        <v>755</v>
      </c>
      <c r="B151" s="956" t="s">
        <v>833</v>
      </c>
      <c r="C151" s="871">
        <f t="shared" si="19"/>
        <v>2200</v>
      </c>
      <c r="D151" s="1249">
        <v>0</v>
      </c>
      <c r="E151" s="1249">
        <v>2200</v>
      </c>
      <c r="F151" s="1302">
        <f t="shared" si="20"/>
        <v>2200</v>
      </c>
      <c r="G151" s="1299">
        <f t="shared" si="25"/>
        <v>0</v>
      </c>
      <c r="H151" s="1299">
        <f t="shared" si="26"/>
        <v>2200</v>
      </c>
      <c r="I151" s="1302">
        <f t="shared" si="21"/>
        <v>0</v>
      </c>
      <c r="J151" s="1299">
        <v>0</v>
      </c>
      <c r="K151" s="1299">
        <v>0</v>
      </c>
      <c r="L151" s="876">
        <f t="shared" si="18"/>
        <v>0</v>
      </c>
      <c r="M151" s="877">
        <f t="shared" si="18"/>
        <v>0</v>
      </c>
      <c r="N151" s="877">
        <f t="shared" si="18"/>
        <v>0</v>
      </c>
      <c r="O151" s="1214" t="s">
        <v>1295</v>
      </c>
      <c r="P151" s="1214" t="s">
        <v>1245</v>
      </c>
      <c r="Q151" s="1065">
        <f t="shared" si="22"/>
        <v>0</v>
      </c>
      <c r="R151" s="1065">
        <f t="shared" si="22"/>
        <v>0</v>
      </c>
      <c r="S151" s="1065">
        <f t="shared" si="22"/>
        <v>0</v>
      </c>
      <c r="T151" s="1099" t="s">
        <v>886</v>
      </c>
      <c r="U151" s="1100">
        <v>1820190400</v>
      </c>
      <c r="V151" s="1099">
        <v>414</v>
      </c>
      <c r="W151" s="1099">
        <v>14047</v>
      </c>
      <c r="X151" s="1216"/>
      <c r="Z151" s="1311">
        <f t="shared" si="24"/>
        <v>0</v>
      </c>
    </row>
    <row r="152" spans="1:26" s="736" customFormat="1" ht="78.75">
      <c r="A152" s="1297" t="s">
        <v>911</v>
      </c>
      <c r="B152" s="955" t="s">
        <v>705</v>
      </c>
      <c r="C152" s="871">
        <f t="shared" si="19"/>
        <v>53585.7</v>
      </c>
      <c r="D152" s="1249">
        <v>50369.9</v>
      </c>
      <c r="E152" s="1249">
        <v>3215.8</v>
      </c>
      <c r="F152" s="1302">
        <f t="shared" si="20"/>
        <v>53585.7</v>
      </c>
      <c r="G152" s="1299">
        <f t="shared" si="25"/>
        <v>50369.9</v>
      </c>
      <c r="H152" s="1299">
        <f t="shared" si="26"/>
        <v>3215.8</v>
      </c>
      <c r="I152" s="1302">
        <f t="shared" si="21"/>
        <v>0</v>
      </c>
      <c r="J152" s="2466">
        <v>0</v>
      </c>
      <c r="K152" s="2466">
        <v>0</v>
      </c>
      <c r="L152" s="2469">
        <f>IF(I152=0,0,I152/F152:F158*100)</f>
        <v>0</v>
      </c>
      <c r="M152" s="2470">
        <f>IF(J152=0,0,J152/G152:G158*100)</f>
        <v>0</v>
      </c>
      <c r="N152" s="2470">
        <f>IF(K152=0,0,K152/H152:H158*100)</f>
        <v>0</v>
      </c>
      <c r="O152" s="1214" t="s">
        <v>1192</v>
      </c>
      <c r="P152" s="1214" t="s">
        <v>1219</v>
      </c>
      <c r="Q152" s="1065">
        <f t="shared" si="22"/>
        <v>0</v>
      </c>
      <c r="R152" s="1065">
        <f t="shared" si="22"/>
        <v>0</v>
      </c>
      <c r="S152" s="1065">
        <f t="shared" si="22"/>
        <v>0</v>
      </c>
      <c r="T152" s="2456" t="s">
        <v>886</v>
      </c>
      <c r="U152" s="2456" t="s">
        <v>912</v>
      </c>
      <c r="V152" s="2456">
        <v>414</v>
      </c>
      <c r="W152" s="2456" t="s">
        <v>890</v>
      </c>
      <c r="X152" s="2468"/>
      <c r="Z152" s="1311">
        <f t="shared" si="24"/>
        <v>0</v>
      </c>
    </row>
    <row r="153" spans="1:26" s="736" customFormat="1" ht="93">
      <c r="A153" s="1297" t="s">
        <v>913</v>
      </c>
      <c r="B153" s="956" t="s">
        <v>704</v>
      </c>
      <c r="C153" s="871">
        <f t="shared" si="19"/>
        <v>28400</v>
      </c>
      <c r="D153" s="1249">
        <v>26696</v>
      </c>
      <c r="E153" s="1249">
        <v>1704</v>
      </c>
      <c r="F153" s="1302">
        <f t="shared" si="20"/>
        <v>28400</v>
      </c>
      <c r="G153" s="1299">
        <f t="shared" si="25"/>
        <v>26696</v>
      </c>
      <c r="H153" s="1299">
        <f t="shared" si="26"/>
        <v>1704</v>
      </c>
      <c r="I153" s="1302">
        <f t="shared" si="21"/>
        <v>0</v>
      </c>
      <c r="J153" s="2466"/>
      <c r="K153" s="2466"/>
      <c r="L153" s="2469"/>
      <c r="M153" s="2470"/>
      <c r="N153" s="2470"/>
      <c r="O153" s="1214" t="s">
        <v>1192</v>
      </c>
      <c r="P153" s="1214" t="s">
        <v>1246</v>
      </c>
      <c r="Q153" s="1065">
        <f t="shared" si="22"/>
        <v>0</v>
      </c>
      <c r="R153" s="1065">
        <f t="shared" si="22"/>
        <v>0</v>
      </c>
      <c r="S153" s="1065">
        <f t="shared" si="22"/>
        <v>0</v>
      </c>
      <c r="T153" s="2456"/>
      <c r="U153" s="2456"/>
      <c r="V153" s="2456"/>
      <c r="W153" s="2456"/>
      <c r="X153" s="2468"/>
      <c r="Z153" s="1311">
        <f t="shared" si="24"/>
        <v>0</v>
      </c>
    </row>
    <row r="154" spans="1:26" s="736" customFormat="1" ht="83.25" customHeight="1">
      <c r="A154" s="1297" t="s">
        <v>914</v>
      </c>
      <c r="B154" s="956" t="s">
        <v>703</v>
      </c>
      <c r="C154" s="871">
        <f t="shared" si="19"/>
        <v>54300</v>
      </c>
      <c r="D154" s="1249">
        <v>51042</v>
      </c>
      <c r="E154" s="1249">
        <v>3258</v>
      </c>
      <c r="F154" s="1302">
        <f t="shared" si="20"/>
        <v>54300</v>
      </c>
      <c r="G154" s="1299">
        <f t="shared" si="25"/>
        <v>51042</v>
      </c>
      <c r="H154" s="1299">
        <f t="shared" si="26"/>
        <v>3258</v>
      </c>
      <c r="I154" s="1302">
        <f t="shared" si="21"/>
        <v>0</v>
      </c>
      <c r="J154" s="2466"/>
      <c r="K154" s="2466"/>
      <c r="L154" s="2469"/>
      <c r="M154" s="2470"/>
      <c r="N154" s="2470"/>
      <c r="O154" s="1214" t="s">
        <v>1192</v>
      </c>
      <c r="P154" s="1214" t="s">
        <v>1247</v>
      </c>
      <c r="Q154" s="1065">
        <f t="shared" si="22"/>
        <v>0</v>
      </c>
      <c r="R154" s="1065">
        <f t="shared" si="22"/>
        <v>0</v>
      </c>
      <c r="S154" s="1065">
        <f t="shared" si="22"/>
        <v>0</v>
      </c>
      <c r="T154" s="2456"/>
      <c r="U154" s="2456"/>
      <c r="V154" s="2456"/>
      <c r="W154" s="2456"/>
      <c r="X154" s="2468"/>
      <c r="Z154" s="1311">
        <f t="shared" si="24"/>
        <v>0</v>
      </c>
    </row>
    <row r="155" spans="1:26" s="736" customFormat="1" ht="86.25" customHeight="1">
      <c r="A155" s="1297" t="s">
        <v>934</v>
      </c>
      <c r="B155" s="956" t="s">
        <v>702</v>
      </c>
      <c r="C155" s="871">
        <f t="shared" si="19"/>
        <v>56697.8</v>
      </c>
      <c r="D155" s="1249">
        <v>53295.9</v>
      </c>
      <c r="E155" s="1249">
        <v>3401.9</v>
      </c>
      <c r="F155" s="1302">
        <f t="shared" si="20"/>
        <v>56697.8</v>
      </c>
      <c r="G155" s="1299">
        <f t="shared" si="25"/>
        <v>53295.9</v>
      </c>
      <c r="H155" s="1299">
        <f t="shared" si="26"/>
        <v>3401.9</v>
      </c>
      <c r="I155" s="1302">
        <f t="shared" si="21"/>
        <v>0</v>
      </c>
      <c r="J155" s="2466"/>
      <c r="K155" s="2466"/>
      <c r="L155" s="2469"/>
      <c r="M155" s="2470"/>
      <c r="N155" s="2470"/>
      <c r="O155" s="1214" t="s">
        <v>1192</v>
      </c>
      <c r="P155" s="1214" t="s">
        <v>1219</v>
      </c>
      <c r="Q155" s="1065">
        <f t="shared" si="22"/>
        <v>0</v>
      </c>
      <c r="R155" s="1065">
        <f t="shared" si="22"/>
        <v>0</v>
      </c>
      <c r="S155" s="1065">
        <f t="shared" si="22"/>
        <v>0</v>
      </c>
      <c r="T155" s="2456"/>
      <c r="U155" s="2456"/>
      <c r="V155" s="2456"/>
      <c r="W155" s="2456"/>
      <c r="X155" s="2468"/>
      <c r="Z155" s="1311">
        <f t="shared" si="24"/>
        <v>0</v>
      </c>
    </row>
    <row r="156" spans="1:26" s="736" customFormat="1" ht="58.5" customHeight="1">
      <c r="A156" s="1297" t="s">
        <v>1024</v>
      </c>
      <c r="B156" s="956" t="s">
        <v>832</v>
      </c>
      <c r="C156" s="871">
        <f t="shared" si="19"/>
        <v>8000</v>
      </c>
      <c r="D156" s="1249">
        <v>7520</v>
      </c>
      <c r="E156" s="1249">
        <v>480</v>
      </c>
      <c r="F156" s="1302">
        <f t="shared" si="20"/>
        <v>8000</v>
      </c>
      <c r="G156" s="1299">
        <f t="shared" si="25"/>
        <v>7520</v>
      </c>
      <c r="H156" s="1299">
        <f t="shared" si="26"/>
        <v>480</v>
      </c>
      <c r="I156" s="1302">
        <f t="shared" si="21"/>
        <v>0</v>
      </c>
      <c r="J156" s="2466"/>
      <c r="K156" s="2466"/>
      <c r="L156" s="2469"/>
      <c r="M156" s="2470"/>
      <c r="N156" s="2470"/>
      <c r="O156" s="1214" t="s">
        <v>1192</v>
      </c>
      <c r="P156" s="1214" t="s">
        <v>1219</v>
      </c>
      <c r="Q156" s="1065">
        <f t="shared" si="22"/>
        <v>0</v>
      </c>
      <c r="R156" s="1065">
        <f t="shared" si="22"/>
        <v>0</v>
      </c>
      <c r="S156" s="1065">
        <f t="shared" si="22"/>
        <v>0</v>
      </c>
      <c r="T156" s="2456"/>
      <c r="U156" s="2456"/>
      <c r="V156" s="2456"/>
      <c r="W156" s="2456"/>
      <c r="X156" s="2468"/>
      <c r="Z156" s="1311">
        <f t="shared" si="24"/>
        <v>0</v>
      </c>
    </row>
    <row r="157" spans="1:26" s="736" customFormat="1" ht="60" customHeight="1">
      <c r="A157" s="1297" t="s">
        <v>1025</v>
      </c>
      <c r="B157" s="956" t="s">
        <v>775</v>
      </c>
      <c r="C157" s="871">
        <f t="shared" si="19"/>
        <v>20200</v>
      </c>
      <c r="D157" s="1249">
        <v>18988</v>
      </c>
      <c r="E157" s="1249">
        <v>1212</v>
      </c>
      <c r="F157" s="1302">
        <f t="shared" si="20"/>
        <v>20200</v>
      </c>
      <c r="G157" s="1299">
        <f t="shared" si="25"/>
        <v>18988</v>
      </c>
      <c r="H157" s="1299">
        <f t="shared" si="26"/>
        <v>1212</v>
      </c>
      <c r="I157" s="1302">
        <f t="shared" si="21"/>
        <v>0</v>
      </c>
      <c r="J157" s="2466"/>
      <c r="K157" s="2466"/>
      <c r="L157" s="2469"/>
      <c r="M157" s="2470"/>
      <c r="N157" s="2470"/>
      <c r="O157" s="1214" t="s">
        <v>1192</v>
      </c>
      <c r="P157" s="1214" t="s">
        <v>1219</v>
      </c>
      <c r="Q157" s="1065">
        <f t="shared" si="22"/>
        <v>0</v>
      </c>
      <c r="R157" s="1065">
        <f t="shared" si="22"/>
        <v>0</v>
      </c>
      <c r="S157" s="1065">
        <f t="shared" si="22"/>
        <v>0</v>
      </c>
      <c r="T157" s="2456"/>
      <c r="U157" s="2456"/>
      <c r="V157" s="2456"/>
      <c r="W157" s="2456"/>
      <c r="X157" s="2468"/>
      <c r="Z157" s="1311">
        <f t="shared" si="24"/>
        <v>0</v>
      </c>
    </row>
    <row r="158" spans="1:26" s="736" customFormat="1" ht="60" customHeight="1">
      <c r="A158" s="1297" t="s">
        <v>1319</v>
      </c>
      <c r="B158" s="956" t="s">
        <v>774</v>
      </c>
      <c r="C158" s="871">
        <f t="shared" si="19"/>
        <v>20500</v>
      </c>
      <c r="D158" s="1249">
        <v>19270</v>
      </c>
      <c r="E158" s="1249">
        <v>1230</v>
      </c>
      <c r="F158" s="1302">
        <f t="shared" si="20"/>
        <v>20500</v>
      </c>
      <c r="G158" s="1299">
        <f t="shared" si="25"/>
        <v>19270</v>
      </c>
      <c r="H158" s="1299">
        <f t="shared" si="26"/>
        <v>1230</v>
      </c>
      <c r="I158" s="1302">
        <f t="shared" si="21"/>
        <v>0</v>
      </c>
      <c r="J158" s="2466"/>
      <c r="K158" s="2466"/>
      <c r="L158" s="2469"/>
      <c r="M158" s="2470"/>
      <c r="N158" s="2470"/>
      <c r="O158" s="1214" t="s">
        <v>1192</v>
      </c>
      <c r="P158" s="1214" t="s">
        <v>1219</v>
      </c>
      <c r="Q158" s="1065">
        <f t="shared" si="22"/>
        <v>0</v>
      </c>
      <c r="R158" s="1065">
        <f t="shared" si="22"/>
        <v>0</v>
      </c>
      <c r="S158" s="1065">
        <f t="shared" si="22"/>
        <v>0</v>
      </c>
      <c r="T158" s="2456"/>
      <c r="U158" s="2456"/>
      <c r="V158" s="2456"/>
      <c r="W158" s="2456"/>
      <c r="X158" s="2468"/>
      <c r="Z158" s="1311">
        <f t="shared" si="24"/>
        <v>0</v>
      </c>
    </row>
    <row r="159" spans="1:26" ht="105.75" customHeight="1">
      <c r="A159" s="1297" t="s">
        <v>756</v>
      </c>
      <c r="B159" s="955" t="s">
        <v>588</v>
      </c>
      <c r="C159" s="871">
        <f>SUM(D159:E159)</f>
        <v>100</v>
      </c>
      <c r="D159" s="1249">
        <v>0</v>
      </c>
      <c r="E159" s="1249">
        <v>100</v>
      </c>
      <c r="F159" s="1302">
        <f>SUM(G159:H159)</f>
        <v>100</v>
      </c>
      <c r="G159" s="1299">
        <f t="shared" si="25"/>
        <v>0</v>
      </c>
      <c r="H159" s="1299">
        <f t="shared" si="26"/>
        <v>100</v>
      </c>
      <c r="I159" s="1302">
        <f>SUM(J159:K159)</f>
        <v>29.5</v>
      </c>
      <c r="J159" s="1299">
        <v>0</v>
      </c>
      <c r="K159" s="1299">
        <v>29.5</v>
      </c>
      <c r="L159" s="876">
        <f t="shared" ref="L159:N174" si="27">IF(I159=0,0,I159/F159*100)</f>
        <v>29.5</v>
      </c>
      <c r="M159" s="877">
        <f t="shared" si="27"/>
        <v>0</v>
      </c>
      <c r="N159" s="877">
        <f t="shared" si="27"/>
        <v>29.5</v>
      </c>
      <c r="O159" s="1214" t="s">
        <v>1192</v>
      </c>
      <c r="P159" s="1214" t="s">
        <v>1251</v>
      </c>
      <c r="Q159" s="1065">
        <f t="shared" si="22"/>
        <v>0</v>
      </c>
      <c r="R159" s="1065">
        <f t="shared" si="22"/>
        <v>0</v>
      </c>
      <c r="S159" s="1065">
        <f t="shared" si="22"/>
        <v>0</v>
      </c>
      <c r="T159" s="1099" t="s">
        <v>886</v>
      </c>
      <c r="U159" s="1100" t="s">
        <v>903</v>
      </c>
      <c r="V159" s="1099">
        <v>414</v>
      </c>
      <c r="W159" s="1099" t="s">
        <v>890</v>
      </c>
      <c r="Z159" s="1311">
        <f t="shared" si="24"/>
        <v>0</v>
      </c>
    </row>
    <row r="160" spans="1:26" ht="105.75" customHeight="1">
      <c r="A160" s="895">
        <v>102</v>
      </c>
      <c r="B160" s="955" t="s">
        <v>589</v>
      </c>
      <c r="C160" s="871">
        <f>SUM(D160:E160)</f>
        <v>100</v>
      </c>
      <c r="D160" s="1249">
        <v>0</v>
      </c>
      <c r="E160" s="1249">
        <v>100</v>
      </c>
      <c r="F160" s="1302">
        <f>SUM(G160:H160)</f>
        <v>100</v>
      </c>
      <c r="G160" s="1299">
        <f t="shared" si="25"/>
        <v>0</v>
      </c>
      <c r="H160" s="1299">
        <f t="shared" si="26"/>
        <v>100</v>
      </c>
      <c r="I160" s="1302">
        <f>SUM(J160:K160)</f>
        <v>29.6</v>
      </c>
      <c r="J160" s="1299">
        <v>0</v>
      </c>
      <c r="K160" s="1299">
        <v>29.6</v>
      </c>
      <c r="L160" s="876">
        <f t="shared" si="27"/>
        <v>29.6</v>
      </c>
      <c r="M160" s="877">
        <f t="shared" si="27"/>
        <v>0</v>
      </c>
      <c r="N160" s="877">
        <f t="shared" si="27"/>
        <v>29.6</v>
      </c>
      <c r="O160" s="1214" t="s">
        <v>1285</v>
      </c>
      <c r="P160" s="1214" t="s">
        <v>1252</v>
      </c>
      <c r="Q160" s="1065">
        <f t="shared" si="22"/>
        <v>0</v>
      </c>
      <c r="R160" s="1065">
        <f t="shared" si="22"/>
        <v>0</v>
      </c>
      <c r="S160" s="1065">
        <f t="shared" si="22"/>
        <v>0</v>
      </c>
      <c r="T160" s="1099" t="s">
        <v>886</v>
      </c>
      <c r="U160" s="1100" t="s">
        <v>904</v>
      </c>
      <c r="V160" s="1099">
        <v>414</v>
      </c>
      <c r="W160" s="1099" t="s">
        <v>890</v>
      </c>
      <c r="Z160" s="1311">
        <f t="shared" si="24"/>
        <v>0</v>
      </c>
    </row>
    <row r="161" spans="1:26" ht="105.75" customHeight="1">
      <c r="A161" s="895">
        <v>103</v>
      </c>
      <c r="B161" s="955" t="s">
        <v>591</v>
      </c>
      <c r="C161" s="871">
        <f>SUM(D161:E161)</f>
        <v>100</v>
      </c>
      <c r="D161" s="1249">
        <v>0</v>
      </c>
      <c r="E161" s="1249">
        <v>100</v>
      </c>
      <c r="F161" s="1302">
        <f>SUM(G161:H161)</f>
        <v>100</v>
      </c>
      <c r="G161" s="1299">
        <f t="shared" si="25"/>
        <v>0</v>
      </c>
      <c r="H161" s="1299">
        <f t="shared" si="26"/>
        <v>100</v>
      </c>
      <c r="I161" s="1302">
        <f>SUM(J161:K161)</f>
        <v>29.6</v>
      </c>
      <c r="J161" s="1299">
        <v>0</v>
      </c>
      <c r="K161" s="1299">
        <v>29.6</v>
      </c>
      <c r="L161" s="876">
        <f t="shared" si="27"/>
        <v>29.6</v>
      </c>
      <c r="M161" s="877">
        <f t="shared" si="27"/>
        <v>0</v>
      </c>
      <c r="N161" s="877">
        <f t="shared" si="27"/>
        <v>29.6</v>
      </c>
      <c r="O161" s="1214" t="s">
        <v>1192</v>
      </c>
      <c r="P161" s="1214" t="s">
        <v>1254</v>
      </c>
      <c r="Q161" s="1065">
        <f t="shared" si="22"/>
        <v>0</v>
      </c>
      <c r="R161" s="1065">
        <f t="shared" si="22"/>
        <v>0</v>
      </c>
      <c r="S161" s="1065">
        <f t="shared" si="22"/>
        <v>0</v>
      </c>
      <c r="T161" s="1099" t="s">
        <v>886</v>
      </c>
      <c r="U161" s="1100" t="s">
        <v>906</v>
      </c>
      <c r="V161" s="1099">
        <v>414</v>
      </c>
      <c r="W161" s="1099" t="s">
        <v>890</v>
      </c>
      <c r="Z161" s="1311">
        <f t="shared" si="24"/>
        <v>0</v>
      </c>
    </row>
    <row r="162" spans="1:26" s="736" customFormat="1" ht="96.75" customHeight="1">
      <c r="A162" s="1297" t="s">
        <v>759</v>
      </c>
      <c r="B162" s="901" t="s">
        <v>465</v>
      </c>
      <c r="C162" s="871">
        <f t="shared" si="19"/>
        <v>18259.5</v>
      </c>
      <c r="D162" s="1249">
        <f>7398.4+9765.43</f>
        <v>17163.8</v>
      </c>
      <c r="E162" s="1249">
        <f>472.3+623.38</f>
        <v>1095.7</v>
      </c>
      <c r="F162" s="1302">
        <f t="shared" si="20"/>
        <v>18259.5</v>
      </c>
      <c r="G162" s="1299">
        <f t="shared" si="25"/>
        <v>17163.8</v>
      </c>
      <c r="H162" s="1299">
        <f t="shared" si="26"/>
        <v>1095.7</v>
      </c>
      <c r="I162" s="1302">
        <f t="shared" si="21"/>
        <v>0</v>
      </c>
      <c r="J162" s="1299">
        <v>0</v>
      </c>
      <c r="K162" s="1299">
        <v>0</v>
      </c>
      <c r="L162" s="876">
        <f t="shared" si="27"/>
        <v>0</v>
      </c>
      <c r="M162" s="877">
        <f t="shared" si="27"/>
        <v>0</v>
      </c>
      <c r="N162" s="877">
        <f t="shared" si="27"/>
        <v>0</v>
      </c>
      <c r="O162" s="1214" t="s">
        <v>1282</v>
      </c>
      <c r="P162" s="1214" t="s">
        <v>1248</v>
      </c>
      <c r="Q162" s="1065">
        <f t="shared" si="22"/>
        <v>0</v>
      </c>
      <c r="R162" s="1065">
        <f t="shared" si="22"/>
        <v>0</v>
      </c>
      <c r="S162" s="1065">
        <f t="shared" si="22"/>
        <v>0</v>
      </c>
      <c r="T162" s="1099" t="s">
        <v>886</v>
      </c>
      <c r="U162" s="1100" t="s">
        <v>901</v>
      </c>
      <c r="V162" s="1099">
        <v>414</v>
      </c>
      <c r="W162" s="1099" t="s">
        <v>890</v>
      </c>
      <c r="X162" s="1216"/>
      <c r="Z162" s="1311">
        <f t="shared" si="24"/>
        <v>0</v>
      </c>
    </row>
    <row r="163" spans="1:26" s="736" customFormat="1" ht="90.75" customHeight="1">
      <c r="A163" s="1297" t="s">
        <v>760</v>
      </c>
      <c r="B163" s="1084" t="s">
        <v>537</v>
      </c>
      <c r="C163" s="871">
        <f t="shared" si="19"/>
        <v>10370</v>
      </c>
      <c r="D163" s="1249">
        <f>8589.3+1158.49</f>
        <v>9747.7999999999993</v>
      </c>
      <c r="E163" s="1249">
        <f>548.3+73.9</f>
        <v>622.20000000000005</v>
      </c>
      <c r="F163" s="1302">
        <f t="shared" si="20"/>
        <v>10370</v>
      </c>
      <c r="G163" s="1299">
        <f t="shared" si="25"/>
        <v>9747.7999999999993</v>
      </c>
      <c r="H163" s="1299">
        <f t="shared" si="26"/>
        <v>622.20000000000005</v>
      </c>
      <c r="I163" s="871">
        <f t="shared" si="21"/>
        <v>2384.8000000000002</v>
      </c>
      <c r="J163" s="1249">
        <v>2241.6999999999998</v>
      </c>
      <c r="K163" s="1249">
        <v>143.1</v>
      </c>
      <c r="L163" s="876">
        <f t="shared" si="27"/>
        <v>23</v>
      </c>
      <c r="M163" s="877">
        <f t="shared" si="27"/>
        <v>23</v>
      </c>
      <c r="N163" s="877">
        <f t="shared" si="27"/>
        <v>23</v>
      </c>
      <c r="O163" s="1214" t="s">
        <v>1283</v>
      </c>
      <c r="P163" s="1214" t="s">
        <v>1249</v>
      </c>
      <c r="Q163" s="1065">
        <f t="shared" si="22"/>
        <v>0</v>
      </c>
      <c r="R163" s="1065">
        <f t="shared" si="22"/>
        <v>0</v>
      </c>
      <c r="S163" s="1065">
        <f t="shared" si="22"/>
        <v>0</v>
      </c>
      <c r="T163" s="1099" t="s">
        <v>886</v>
      </c>
      <c r="U163" s="1100" t="s">
        <v>907</v>
      </c>
      <c r="V163" s="1099">
        <v>414</v>
      </c>
      <c r="W163" s="1099" t="s">
        <v>890</v>
      </c>
      <c r="X163" s="1216"/>
      <c r="Z163" s="1311">
        <f t="shared" si="24"/>
        <v>0</v>
      </c>
    </row>
    <row r="164" spans="1:26" s="736" customFormat="1" ht="93">
      <c r="A164" s="1297" t="s">
        <v>761</v>
      </c>
      <c r="B164" s="1084" t="s">
        <v>587</v>
      </c>
      <c r="C164" s="871">
        <f t="shared" si="19"/>
        <v>16203.2</v>
      </c>
      <c r="D164" s="1249">
        <f>12178.9+3052.05</f>
        <v>15231</v>
      </c>
      <c r="E164" s="1249">
        <f>777.4+194.83</f>
        <v>972.2</v>
      </c>
      <c r="F164" s="1302">
        <f t="shared" si="20"/>
        <v>16203.2</v>
      </c>
      <c r="G164" s="1299">
        <f t="shared" si="25"/>
        <v>15231</v>
      </c>
      <c r="H164" s="1299">
        <f t="shared" si="26"/>
        <v>972.2</v>
      </c>
      <c r="I164" s="1302">
        <f t="shared" si="21"/>
        <v>2383.3000000000002</v>
      </c>
      <c r="J164" s="1299">
        <v>2240.3000000000002</v>
      </c>
      <c r="K164" s="1299">
        <v>143</v>
      </c>
      <c r="L164" s="876">
        <f t="shared" si="27"/>
        <v>14.7</v>
      </c>
      <c r="M164" s="877">
        <f t="shared" si="27"/>
        <v>14.7</v>
      </c>
      <c r="N164" s="877">
        <f t="shared" si="27"/>
        <v>14.7</v>
      </c>
      <c r="O164" s="1214" t="s">
        <v>1284</v>
      </c>
      <c r="P164" s="1214" t="s">
        <v>1250</v>
      </c>
      <c r="Q164" s="1065">
        <f t="shared" ref="Q164:S179" si="28">C164-F164</f>
        <v>0</v>
      </c>
      <c r="R164" s="1065">
        <f t="shared" si="28"/>
        <v>0</v>
      </c>
      <c r="S164" s="1065">
        <f t="shared" si="28"/>
        <v>0</v>
      </c>
      <c r="T164" s="1099" t="s">
        <v>886</v>
      </c>
      <c r="U164" s="1100" t="s">
        <v>900</v>
      </c>
      <c r="V164" s="1099">
        <v>414</v>
      </c>
      <c r="W164" s="1099" t="s">
        <v>890</v>
      </c>
      <c r="X164" s="1216"/>
      <c r="Z164" s="1311">
        <f t="shared" si="24"/>
        <v>0</v>
      </c>
    </row>
    <row r="165" spans="1:26" ht="136.5" customHeight="1">
      <c r="A165" s="1297" t="s">
        <v>1325</v>
      </c>
      <c r="B165" s="955" t="s">
        <v>588</v>
      </c>
      <c r="C165" s="871">
        <f t="shared" si="19"/>
        <v>22869.1</v>
      </c>
      <c r="D165" s="1249">
        <f>18886.8+2610.06</f>
        <v>21496.9</v>
      </c>
      <c r="E165" s="1249">
        <f>1205.6+166.61</f>
        <v>1372.2</v>
      </c>
      <c r="F165" s="1302">
        <f t="shared" si="20"/>
        <v>22869.1</v>
      </c>
      <c r="G165" s="1299">
        <f t="shared" si="25"/>
        <v>21496.9</v>
      </c>
      <c r="H165" s="1299">
        <f t="shared" si="26"/>
        <v>1372.2</v>
      </c>
      <c r="I165" s="1302">
        <f t="shared" si="21"/>
        <v>0</v>
      </c>
      <c r="J165" s="1299">
        <v>0</v>
      </c>
      <c r="K165" s="1299">
        <v>0</v>
      </c>
      <c r="L165" s="876">
        <f t="shared" si="27"/>
        <v>0</v>
      </c>
      <c r="M165" s="877">
        <f t="shared" si="27"/>
        <v>0</v>
      </c>
      <c r="N165" s="877">
        <f t="shared" si="27"/>
        <v>0</v>
      </c>
      <c r="O165" s="1214" t="s">
        <v>1192</v>
      </c>
      <c r="P165" s="1214" t="s">
        <v>1251</v>
      </c>
      <c r="Q165" s="1065">
        <f t="shared" si="28"/>
        <v>0</v>
      </c>
      <c r="R165" s="1065">
        <f t="shared" si="28"/>
        <v>0</v>
      </c>
      <c r="S165" s="1065">
        <f t="shared" si="28"/>
        <v>0</v>
      </c>
      <c r="T165" s="1099" t="s">
        <v>886</v>
      </c>
      <c r="U165" s="1100" t="s">
        <v>903</v>
      </c>
      <c r="V165" s="1099">
        <v>414</v>
      </c>
      <c r="W165" s="1099" t="s">
        <v>890</v>
      </c>
      <c r="Z165" s="1311">
        <f t="shared" si="24"/>
        <v>0</v>
      </c>
    </row>
    <row r="166" spans="1:26" ht="105" customHeight="1">
      <c r="A166" s="895" t="s">
        <v>1326</v>
      </c>
      <c r="B166" s="955" t="s">
        <v>589</v>
      </c>
      <c r="C166" s="871">
        <f t="shared" si="19"/>
        <v>10547.8</v>
      </c>
      <c r="D166" s="1249">
        <f>8642.5+1272.44</f>
        <v>9914.9</v>
      </c>
      <c r="E166" s="1249">
        <f>551.7+81.23</f>
        <v>632.9</v>
      </c>
      <c r="F166" s="1302">
        <f t="shared" si="20"/>
        <v>10547.8</v>
      </c>
      <c r="G166" s="1299">
        <f t="shared" si="25"/>
        <v>9914.9</v>
      </c>
      <c r="H166" s="1299">
        <f t="shared" si="26"/>
        <v>632.9</v>
      </c>
      <c r="I166" s="1302">
        <f t="shared" si="21"/>
        <v>0</v>
      </c>
      <c r="J166" s="1299">
        <v>0</v>
      </c>
      <c r="K166" s="1299">
        <v>0</v>
      </c>
      <c r="L166" s="876">
        <f t="shared" si="27"/>
        <v>0</v>
      </c>
      <c r="M166" s="877">
        <f t="shared" si="27"/>
        <v>0</v>
      </c>
      <c r="N166" s="877">
        <f t="shared" si="27"/>
        <v>0</v>
      </c>
      <c r="O166" s="1214" t="s">
        <v>1285</v>
      </c>
      <c r="P166" s="1214" t="s">
        <v>1252</v>
      </c>
      <c r="Q166" s="1065">
        <f t="shared" si="28"/>
        <v>0</v>
      </c>
      <c r="R166" s="1065">
        <f t="shared" si="28"/>
        <v>0</v>
      </c>
      <c r="S166" s="1065">
        <f t="shared" si="28"/>
        <v>0</v>
      </c>
      <c r="T166" s="1099" t="s">
        <v>886</v>
      </c>
      <c r="U166" s="1100" t="s">
        <v>904</v>
      </c>
      <c r="V166" s="1099">
        <v>414</v>
      </c>
      <c r="W166" s="1099" t="s">
        <v>890</v>
      </c>
      <c r="Z166" s="1311">
        <f t="shared" si="24"/>
        <v>0</v>
      </c>
    </row>
    <row r="167" spans="1:26" ht="88.5" customHeight="1">
      <c r="A167" s="895">
        <v>107</v>
      </c>
      <c r="B167" s="955" t="s">
        <v>616</v>
      </c>
      <c r="C167" s="871">
        <f t="shared" si="19"/>
        <v>64593.7</v>
      </c>
      <c r="D167" s="1249">
        <f>17561.3+43156.37</f>
        <v>60717.7</v>
      </c>
      <c r="E167" s="1249">
        <f>1121.1+2754.89</f>
        <v>3876</v>
      </c>
      <c r="F167" s="1302">
        <f t="shared" si="20"/>
        <v>64593.7</v>
      </c>
      <c r="G167" s="1299">
        <f t="shared" si="25"/>
        <v>60717.7</v>
      </c>
      <c r="H167" s="1299">
        <f t="shared" si="26"/>
        <v>3876</v>
      </c>
      <c r="I167" s="1302">
        <f t="shared" si="21"/>
        <v>0</v>
      </c>
      <c r="J167" s="1299">
        <v>0</v>
      </c>
      <c r="K167" s="1299">
        <v>0</v>
      </c>
      <c r="L167" s="876">
        <f t="shared" si="27"/>
        <v>0</v>
      </c>
      <c r="M167" s="877">
        <f t="shared" si="27"/>
        <v>0</v>
      </c>
      <c r="N167" s="877">
        <f t="shared" si="27"/>
        <v>0</v>
      </c>
      <c r="O167" s="1214" t="s">
        <v>1192</v>
      </c>
      <c r="P167" s="1214" t="s">
        <v>1253</v>
      </c>
      <c r="Q167" s="1065">
        <f t="shared" si="28"/>
        <v>0</v>
      </c>
      <c r="R167" s="1065">
        <f t="shared" si="28"/>
        <v>0</v>
      </c>
      <c r="S167" s="1065">
        <f t="shared" si="28"/>
        <v>0</v>
      </c>
      <c r="T167" s="1099" t="s">
        <v>886</v>
      </c>
      <c r="U167" s="1100" t="s">
        <v>905</v>
      </c>
      <c r="V167" s="1099">
        <v>414</v>
      </c>
      <c r="W167" s="1099" t="s">
        <v>890</v>
      </c>
      <c r="Z167" s="1311">
        <f t="shared" si="24"/>
        <v>0</v>
      </c>
    </row>
    <row r="168" spans="1:26" ht="118.5" customHeight="1">
      <c r="A168" s="895" t="s">
        <v>1327</v>
      </c>
      <c r="B168" s="955" t="s">
        <v>591</v>
      </c>
      <c r="C168" s="871">
        <f t="shared" si="19"/>
        <v>36681.5</v>
      </c>
      <c r="D168" s="1249">
        <f>32344.5+2136.03</f>
        <v>34480.5</v>
      </c>
      <c r="E168" s="1249">
        <f>2064.6+136.35</f>
        <v>2201</v>
      </c>
      <c r="F168" s="1302">
        <f t="shared" si="20"/>
        <v>36681.5</v>
      </c>
      <c r="G168" s="1299">
        <f t="shared" si="25"/>
        <v>34480.5</v>
      </c>
      <c r="H168" s="1299">
        <f t="shared" si="26"/>
        <v>2201</v>
      </c>
      <c r="I168" s="1302">
        <f t="shared" si="21"/>
        <v>0</v>
      </c>
      <c r="J168" s="1299">
        <v>0</v>
      </c>
      <c r="K168" s="1299">
        <v>0</v>
      </c>
      <c r="L168" s="876">
        <f t="shared" si="27"/>
        <v>0</v>
      </c>
      <c r="M168" s="877">
        <f t="shared" si="27"/>
        <v>0</v>
      </c>
      <c r="N168" s="877">
        <f t="shared" si="27"/>
        <v>0</v>
      </c>
      <c r="O168" s="1214" t="s">
        <v>1192</v>
      </c>
      <c r="P168" s="1214" t="s">
        <v>1254</v>
      </c>
      <c r="Q168" s="1065">
        <f t="shared" si="28"/>
        <v>0</v>
      </c>
      <c r="R168" s="1065">
        <f t="shared" si="28"/>
        <v>0</v>
      </c>
      <c r="S168" s="1065">
        <f t="shared" si="28"/>
        <v>0</v>
      </c>
      <c r="T168" s="1099" t="s">
        <v>886</v>
      </c>
      <c r="U168" s="1100" t="s">
        <v>906</v>
      </c>
      <c r="V168" s="1099">
        <v>414</v>
      </c>
      <c r="W168" s="1099" t="s">
        <v>890</v>
      </c>
      <c r="Z168" s="1311">
        <f t="shared" si="24"/>
        <v>0</v>
      </c>
    </row>
    <row r="169" spans="1:26" ht="93">
      <c r="A169" s="895">
        <v>108</v>
      </c>
      <c r="B169" s="1084" t="s">
        <v>575</v>
      </c>
      <c r="C169" s="871">
        <f t="shared" si="19"/>
        <v>5568.4</v>
      </c>
      <c r="D169" s="1249">
        <f>2306.5+2927.68</f>
        <v>5234.2</v>
      </c>
      <c r="E169" s="1249">
        <f>147.3+186.89</f>
        <v>334.2</v>
      </c>
      <c r="F169" s="1302">
        <f t="shared" si="20"/>
        <v>5568.4</v>
      </c>
      <c r="G169" s="1299">
        <f t="shared" si="25"/>
        <v>5234.2</v>
      </c>
      <c r="H169" s="1299">
        <f t="shared" si="26"/>
        <v>334.2</v>
      </c>
      <c r="I169" s="1302">
        <f t="shared" si="21"/>
        <v>0</v>
      </c>
      <c r="J169" s="1299">
        <v>0</v>
      </c>
      <c r="K169" s="1299">
        <v>0</v>
      </c>
      <c r="L169" s="876">
        <f t="shared" si="27"/>
        <v>0</v>
      </c>
      <c r="M169" s="877">
        <f t="shared" si="27"/>
        <v>0</v>
      </c>
      <c r="N169" s="877">
        <f t="shared" si="27"/>
        <v>0</v>
      </c>
      <c r="O169" s="1214" t="s">
        <v>1192</v>
      </c>
      <c r="P169" s="1214" t="s">
        <v>1102</v>
      </c>
      <c r="Q169" s="1065">
        <f t="shared" si="28"/>
        <v>0</v>
      </c>
      <c r="R169" s="1065">
        <f t="shared" si="28"/>
        <v>0</v>
      </c>
      <c r="S169" s="1065">
        <f t="shared" si="28"/>
        <v>0</v>
      </c>
      <c r="T169" s="1099" t="s">
        <v>886</v>
      </c>
      <c r="U169" s="1100" t="s">
        <v>902</v>
      </c>
      <c r="V169" s="1099">
        <v>414</v>
      </c>
      <c r="W169" s="1099" t="s">
        <v>890</v>
      </c>
      <c r="Z169" s="1311">
        <f t="shared" si="24"/>
        <v>0</v>
      </c>
    </row>
    <row r="170" spans="1:26" ht="63" customHeight="1">
      <c r="A170" s="1297" t="s">
        <v>828</v>
      </c>
      <c r="B170" s="1084" t="s">
        <v>660</v>
      </c>
      <c r="C170" s="871">
        <f t="shared" si="19"/>
        <v>14883.1</v>
      </c>
      <c r="D170" s="1249">
        <f>6906.5+7083.4</f>
        <v>13989.9</v>
      </c>
      <c r="E170" s="1249">
        <f>441.1+452.1</f>
        <v>893.2</v>
      </c>
      <c r="F170" s="1302">
        <f t="shared" si="20"/>
        <v>14883.1</v>
      </c>
      <c r="G170" s="1299">
        <f t="shared" si="25"/>
        <v>13989.9</v>
      </c>
      <c r="H170" s="1299">
        <f t="shared" si="26"/>
        <v>893.2</v>
      </c>
      <c r="I170" s="1302">
        <f t="shared" si="21"/>
        <v>3366.4</v>
      </c>
      <c r="J170" s="1299">
        <v>3164.4</v>
      </c>
      <c r="K170" s="1299">
        <v>202</v>
      </c>
      <c r="L170" s="876">
        <f t="shared" si="27"/>
        <v>22.6</v>
      </c>
      <c r="M170" s="877">
        <f t="shared" si="27"/>
        <v>22.6</v>
      </c>
      <c r="N170" s="877">
        <f t="shared" si="27"/>
        <v>22.6</v>
      </c>
      <c r="O170" s="1214" t="s">
        <v>1286</v>
      </c>
      <c r="P170" s="1214" t="s">
        <v>1255</v>
      </c>
      <c r="Q170" s="1065">
        <f t="shared" si="28"/>
        <v>0</v>
      </c>
      <c r="R170" s="1065">
        <f t="shared" si="28"/>
        <v>0</v>
      </c>
      <c r="S170" s="1065">
        <f t="shared" si="28"/>
        <v>0</v>
      </c>
      <c r="T170" s="1099" t="s">
        <v>886</v>
      </c>
      <c r="U170" s="1100" t="s">
        <v>908</v>
      </c>
      <c r="V170" s="1099">
        <v>414</v>
      </c>
      <c r="W170" s="1099" t="s">
        <v>890</v>
      </c>
      <c r="Z170" s="1311">
        <f t="shared" si="24"/>
        <v>0</v>
      </c>
    </row>
    <row r="171" spans="1:26" ht="63" customHeight="1">
      <c r="A171" s="1297" t="s">
        <v>829</v>
      </c>
      <c r="B171" s="1084" t="s">
        <v>659</v>
      </c>
      <c r="C171" s="871">
        <f t="shared" si="19"/>
        <v>5350.5</v>
      </c>
      <c r="D171" s="1249">
        <f>4104.3+925.11</f>
        <v>5029.3999999999996</v>
      </c>
      <c r="E171" s="1249">
        <f>262.1+59</f>
        <v>321.10000000000002</v>
      </c>
      <c r="F171" s="1302">
        <f t="shared" si="20"/>
        <v>5350.5</v>
      </c>
      <c r="G171" s="1299">
        <f t="shared" si="25"/>
        <v>5029.3999999999996</v>
      </c>
      <c r="H171" s="1299">
        <f t="shared" si="26"/>
        <v>321.10000000000002</v>
      </c>
      <c r="I171" s="1302">
        <f t="shared" si="21"/>
        <v>0</v>
      </c>
      <c r="J171" s="1299">
        <v>0</v>
      </c>
      <c r="K171" s="1299">
        <v>0</v>
      </c>
      <c r="L171" s="876">
        <f t="shared" si="27"/>
        <v>0</v>
      </c>
      <c r="M171" s="877">
        <f t="shared" si="27"/>
        <v>0</v>
      </c>
      <c r="N171" s="877">
        <f t="shared" si="27"/>
        <v>0</v>
      </c>
      <c r="O171" s="1214" t="s">
        <v>1287</v>
      </c>
      <c r="P171" s="1214" t="s">
        <v>1256</v>
      </c>
      <c r="Q171" s="1065">
        <f t="shared" si="28"/>
        <v>0</v>
      </c>
      <c r="R171" s="1065">
        <f t="shared" si="28"/>
        <v>0</v>
      </c>
      <c r="S171" s="1065">
        <f t="shared" si="28"/>
        <v>0</v>
      </c>
      <c r="T171" s="1099" t="s">
        <v>886</v>
      </c>
      <c r="U171" s="1100" t="s">
        <v>909</v>
      </c>
      <c r="V171" s="1099">
        <v>414</v>
      </c>
      <c r="W171" s="1099" t="s">
        <v>910</v>
      </c>
      <c r="Z171" s="1311">
        <f t="shared" si="24"/>
        <v>0</v>
      </c>
    </row>
    <row r="172" spans="1:26" ht="86.25" customHeight="1">
      <c r="A172" s="1297" t="s">
        <v>821</v>
      </c>
      <c r="B172" s="1296" t="s">
        <v>459</v>
      </c>
      <c r="C172" s="871">
        <f t="shared" si="19"/>
        <v>3006.6</v>
      </c>
      <c r="D172" s="972">
        <f>2610.1+215.98</f>
        <v>2826.1</v>
      </c>
      <c r="E172" s="972">
        <f>166.7+13.79</f>
        <v>180.5</v>
      </c>
      <c r="F172" s="1302">
        <f t="shared" si="20"/>
        <v>3006.6</v>
      </c>
      <c r="G172" s="1299">
        <f t="shared" si="25"/>
        <v>2826.1</v>
      </c>
      <c r="H172" s="1299">
        <f t="shared" si="26"/>
        <v>180.5</v>
      </c>
      <c r="I172" s="1302">
        <f t="shared" si="21"/>
        <v>0</v>
      </c>
      <c r="J172" s="1303">
        <v>0</v>
      </c>
      <c r="K172" s="1303">
        <v>0</v>
      </c>
      <c r="L172" s="876">
        <f t="shared" si="27"/>
        <v>0</v>
      </c>
      <c r="M172" s="877">
        <f t="shared" si="27"/>
        <v>0</v>
      </c>
      <c r="N172" s="877">
        <f t="shared" si="27"/>
        <v>0</v>
      </c>
      <c r="O172" s="1214" t="s">
        <v>1288</v>
      </c>
      <c r="P172" s="1214" t="s">
        <v>1257</v>
      </c>
      <c r="Q172" s="1065">
        <f t="shared" si="28"/>
        <v>0</v>
      </c>
      <c r="R172" s="1065">
        <f t="shared" si="28"/>
        <v>0</v>
      </c>
      <c r="S172" s="1065">
        <f t="shared" si="28"/>
        <v>0</v>
      </c>
      <c r="T172" s="1099" t="s">
        <v>886</v>
      </c>
      <c r="U172" s="1100" t="s">
        <v>889</v>
      </c>
      <c r="V172" s="1099">
        <v>414</v>
      </c>
      <c r="W172" s="1099" t="s">
        <v>890</v>
      </c>
      <c r="Z172" s="1311">
        <f t="shared" si="24"/>
        <v>0</v>
      </c>
    </row>
    <row r="173" spans="1:26" s="515" customFormat="1" ht="72.75" customHeight="1">
      <c r="A173" s="1297" t="s">
        <v>822</v>
      </c>
      <c r="B173" s="1075" t="s">
        <v>568</v>
      </c>
      <c r="C173" s="871">
        <f t="shared" si="19"/>
        <v>4391.5</v>
      </c>
      <c r="D173" s="972">
        <f>3674.8+453.18</f>
        <v>4128</v>
      </c>
      <c r="E173" s="972">
        <f>234.6+28.93</f>
        <v>263.5</v>
      </c>
      <c r="F173" s="1302">
        <f t="shared" si="20"/>
        <v>4391.5</v>
      </c>
      <c r="G173" s="1299">
        <f t="shared" si="25"/>
        <v>4128</v>
      </c>
      <c r="H173" s="1299">
        <f t="shared" si="26"/>
        <v>263.5</v>
      </c>
      <c r="I173" s="1302">
        <f t="shared" si="21"/>
        <v>0</v>
      </c>
      <c r="J173" s="1303">
        <v>0</v>
      </c>
      <c r="K173" s="1303">
        <v>0</v>
      </c>
      <c r="L173" s="876">
        <f t="shared" si="27"/>
        <v>0</v>
      </c>
      <c r="M173" s="877">
        <f t="shared" si="27"/>
        <v>0</v>
      </c>
      <c r="N173" s="877">
        <f t="shared" si="27"/>
        <v>0</v>
      </c>
      <c r="O173" s="1214" t="s">
        <v>1289</v>
      </c>
      <c r="P173" s="1214" t="s">
        <v>1258</v>
      </c>
      <c r="Q173" s="1065">
        <f t="shared" si="28"/>
        <v>0</v>
      </c>
      <c r="R173" s="1065">
        <f t="shared" si="28"/>
        <v>0</v>
      </c>
      <c r="S173" s="1065">
        <f t="shared" si="28"/>
        <v>0</v>
      </c>
      <c r="T173" s="1099" t="s">
        <v>886</v>
      </c>
      <c r="U173" s="1100" t="s">
        <v>891</v>
      </c>
      <c r="V173" s="1099">
        <v>414</v>
      </c>
      <c r="W173" s="1099" t="s">
        <v>890</v>
      </c>
      <c r="X173" s="1220"/>
      <c r="Z173" s="1311">
        <f t="shared" si="24"/>
        <v>0</v>
      </c>
    </row>
    <row r="174" spans="1:26" s="515" customFormat="1" ht="81.75" customHeight="1">
      <c r="A174" s="1297" t="s">
        <v>823</v>
      </c>
      <c r="B174" s="900" t="s">
        <v>693</v>
      </c>
      <c r="C174" s="871">
        <f t="shared" si="19"/>
        <v>23921.1</v>
      </c>
      <c r="D174" s="972">
        <f>18560.9+3924.8</f>
        <v>22485.7</v>
      </c>
      <c r="E174" s="972">
        <f>1184.8+250.55</f>
        <v>1435.4</v>
      </c>
      <c r="F174" s="1302">
        <f t="shared" si="20"/>
        <v>23921.1</v>
      </c>
      <c r="G174" s="1299">
        <f t="shared" si="25"/>
        <v>22485.7</v>
      </c>
      <c r="H174" s="1299">
        <f t="shared" si="26"/>
        <v>1435.4</v>
      </c>
      <c r="I174" s="1302">
        <f t="shared" si="21"/>
        <v>0</v>
      </c>
      <c r="J174" s="1303">
        <v>0</v>
      </c>
      <c r="K174" s="1303">
        <v>0</v>
      </c>
      <c r="L174" s="876">
        <f t="shared" si="27"/>
        <v>0</v>
      </c>
      <c r="M174" s="877">
        <f t="shared" si="27"/>
        <v>0</v>
      </c>
      <c r="N174" s="877">
        <f t="shared" si="27"/>
        <v>0</v>
      </c>
      <c r="O174" s="1214" t="s">
        <v>1192</v>
      </c>
      <c r="P174" s="1214" t="s">
        <v>1251</v>
      </c>
      <c r="Q174" s="1065">
        <f t="shared" si="28"/>
        <v>0</v>
      </c>
      <c r="R174" s="1065">
        <f t="shared" si="28"/>
        <v>0</v>
      </c>
      <c r="S174" s="1065">
        <f t="shared" si="28"/>
        <v>0</v>
      </c>
      <c r="T174" s="1099" t="s">
        <v>866</v>
      </c>
      <c r="U174" s="1100" t="s">
        <v>884</v>
      </c>
      <c r="V174" s="1099">
        <v>414</v>
      </c>
      <c r="W174" s="1099" t="s">
        <v>885</v>
      </c>
      <c r="X174" s="1220"/>
      <c r="Z174" s="1311">
        <f t="shared" si="24"/>
        <v>0</v>
      </c>
    </row>
    <row r="175" spans="1:26" s="515" customFormat="1" ht="63" customHeight="1">
      <c r="A175" s="1297" t="s">
        <v>915</v>
      </c>
      <c r="B175" s="987" t="s">
        <v>794</v>
      </c>
      <c r="C175" s="871">
        <f t="shared" si="19"/>
        <v>264888.5</v>
      </c>
      <c r="D175" s="972">
        <f>160380+75158.5+12733.8</f>
        <v>248272.3</v>
      </c>
      <c r="E175" s="1256">
        <f>15758.6+857.6</f>
        <v>16616.2</v>
      </c>
      <c r="F175" s="1302">
        <f t="shared" si="20"/>
        <v>264888.5</v>
      </c>
      <c r="G175" s="1299">
        <f t="shared" si="25"/>
        <v>248272.3</v>
      </c>
      <c r="H175" s="1299">
        <f t="shared" si="26"/>
        <v>16616.2</v>
      </c>
      <c r="I175" s="1302">
        <f t="shared" si="21"/>
        <v>28675.8</v>
      </c>
      <c r="J175" s="1303">
        <v>26866.6</v>
      </c>
      <c r="K175" s="1303">
        <v>1809.2</v>
      </c>
      <c r="L175" s="876">
        <f t="shared" ref="L175:N180" si="29">IF(I175=0,0,I175/F175*100)</f>
        <v>10.8</v>
      </c>
      <c r="M175" s="877">
        <f t="shared" si="29"/>
        <v>10.8</v>
      </c>
      <c r="N175" s="877">
        <f t="shared" si="29"/>
        <v>10.9</v>
      </c>
      <c r="O175" s="1214" t="s">
        <v>1296</v>
      </c>
      <c r="P175" s="1214" t="s">
        <v>1259</v>
      </c>
      <c r="Q175" s="1065">
        <f t="shared" si="28"/>
        <v>0</v>
      </c>
      <c r="R175" s="1065">
        <f t="shared" si="28"/>
        <v>0</v>
      </c>
      <c r="S175" s="1065">
        <f t="shared" si="28"/>
        <v>0</v>
      </c>
      <c r="T175" s="1099" t="s">
        <v>866</v>
      </c>
      <c r="U175" s="1100" t="s">
        <v>896</v>
      </c>
      <c r="V175" s="1099">
        <v>414</v>
      </c>
      <c r="W175" s="1099" t="s">
        <v>897</v>
      </c>
      <c r="X175" s="1220"/>
      <c r="Z175" s="1311">
        <f t="shared" si="24"/>
        <v>0</v>
      </c>
    </row>
    <row r="176" spans="1:26" ht="63" customHeight="1">
      <c r="A176" s="2404" t="s">
        <v>1322</v>
      </c>
      <c r="B176" s="1084" t="s">
        <v>644</v>
      </c>
      <c r="C176" s="871">
        <f t="shared" si="19"/>
        <v>16855.900000000001</v>
      </c>
      <c r="D176" s="1249">
        <v>0</v>
      </c>
      <c r="E176" s="1249">
        <v>16855.900000000001</v>
      </c>
      <c r="F176" s="1302">
        <f t="shared" si="20"/>
        <v>16855.900000000001</v>
      </c>
      <c r="G176" s="1299">
        <f t="shared" si="25"/>
        <v>0</v>
      </c>
      <c r="H176" s="1299">
        <f t="shared" si="26"/>
        <v>16855.900000000001</v>
      </c>
      <c r="I176" s="1302">
        <f t="shared" si="21"/>
        <v>15355.9</v>
      </c>
      <c r="J176" s="1299">
        <v>0</v>
      </c>
      <c r="K176" s="1299">
        <v>15355.9</v>
      </c>
      <c r="L176" s="876">
        <f t="shared" si="29"/>
        <v>91.1</v>
      </c>
      <c r="M176" s="877">
        <f t="shared" si="29"/>
        <v>0</v>
      </c>
      <c r="N176" s="877">
        <f t="shared" si="29"/>
        <v>91.1</v>
      </c>
      <c r="O176" s="1214" t="s">
        <v>1297</v>
      </c>
      <c r="P176" s="1214" t="s">
        <v>1260</v>
      </c>
      <c r="Q176" s="1065">
        <f t="shared" si="28"/>
        <v>0</v>
      </c>
      <c r="R176" s="1065">
        <f t="shared" si="28"/>
        <v>0</v>
      </c>
      <c r="S176" s="1065">
        <f t="shared" si="28"/>
        <v>0</v>
      </c>
      <c r="T176" s="1099" t="s">
        <v>872</v>
      </c>
      <c r="U176" s="1100">
        <v>1130390420</v>
      </c>
      <c r="V176" s="1099">
        <v>414</v>
      </c>
      <c r="W176" s="1099">
        <v>14019</v>
      </c>
      <c r="Z176" s="1311">
        <f t="shared" si="24"/>
        <v>0</v>
      </c>
    </row>
    <row r="177" spans="1:26" ht="63" customHeight="1">
      <c r="A177" s="2405"/>
      <c r="B177" s="1084" t="s">
        <v>478</v>
      </c>
      <c r="C177" s="871">
        <f t="shared" si="19"/>
        <v>444195.7</v>
      </c>
      <c r="D177" s="1249">
        <f>412659.9+4883.9</f>
        <v>417543.8</v>
      </c>
      <c r="E177" s="1257">
        <f>26340.05+311.8</f>
        <v>26651.85</v>
      </c>
      <c r="F177" s="1302">
        <f t="shared" si="20"/>
        <v>444195.7</v>
      </c>
      <c r="G177" s="1299">
        <f t="shared" si="25"/>
        <v>417543.8</v>
      </c>
      <c r="H177" s="1299">
        <f t="shared" si="26"/>
        <v>26651.9</v>
      </c>
      <c r="I177" s="1302">
        <f t="shared" si="21"/>
        <v>10686.1</v>
      </c>
      <c r="J177" s="1299">
        <v>10044.9</v>
      </c>
      <c r="K177" s="1299">
        <v>641.20000000000005</v>
      </c>
      <c r="L177" s="876">
        <f t="shared" si="29"/>
        <v>2.4</v>
      </c>
      <c r="M177" s="877">
        <f t="shared" si="29"/>
        <v>2.4</v>
      </c>
      <c r="N177" s="877">
        <f t="shared" si="29"/>
        <v>2.4</v>
      </c>
      <c r="O177" s="1214" t="s">
        <v>1298</v>
      </c>
      <c r="P177" s="1214" t="s">
        <v>1261</v>
      </c>
      <c r="Q177" s="1065">
        <f t="shared" si="28"/>
        <v>0</v>
      </c>
      <c r="R177" s="1065">
        <f t="shared" si="28"/>
        <v>0</v>
      </c>
      <c r="S177" s="1065">
        <f t="shared" si="28"/>
        <v>-0.1</v>
      </c>
      <c r="T177" s="1099" t="s">
        <v>886</v>
      </c>
      <c r="U177" s="1100" t="s">
        <v>898</v>
      </c>
      <c r="V177" s="1099">
        <v>414</v>
      </c>
      <c r="W177" s="1099" t="s">
        <v>899</v>
      </c>
      <c r="Z177" s="1311">
        <f t="shared" si="24"/>
        <v>0</v>
      </c>
    </row>
    <row r="178" spans="1:26" s="515" customFormat="1" ht="47.25" customHeight="1">
      <c r="A178" s="1297" t="s">
        <v>916</v>
      </c>
      <c r="B178" s="900" t="s">
        <v>499</v>
      </c>
      <c r="C178" s="871">
        <f t="shared" si="19"/>
        <v>9981.4</v>
      </c>
      <c r="D178" s="972">
        <f>8500+859.8</f>
        <v>9359.7999999999993</v>
      </c>
      <c r="E178" s="972">
        <f>564.5+57.1</f>
        <v>621.6</v>
      </c>
      <c r="F178" s="1302">
        <f t="shared" si="20"/>
        <v>9981.4</v>
      </c>
      <c r="G178" s="1299">
        <f t="shared" si="25"/>
        <v>9359.7999999999993</v>
      </c>
      <c r="H178" s="1299">
        <f t="shared" si="26"/>
        <v>621.6</v>
      </c>
      <c r="I178" s="1302">
        <f t="shared" si="21"/>
        <v>969.3</v>
      </c>
      <c r="J178" s="1303">
        <v>908.9</v>
      </c>
      <c r="K178" s="1303">
        <v>60.4</v>
      </c>
      <c r="L178" s="876">
        <f t="shared" si="29"/>
        <v>9.6999999999999993</v>
      </c>
      <c r="M178" s="877">
        <f t="shared" si="29"/>
        <v>9.6999999999999993</v>
      </c>
      <c r="N178" s="877">
        <f t="shared" si="29"/>
        <v>9.6999999999999993</v>
      </c>
      <c r="O178" s="1214" t="s">
        <v>1299</v>
      </c>
      <c r="P178" s="1214" t="s">
        <v>1262</v>
      </c>
      <c r="Q178" s="1065">
        <f t="shared" si="28"/>
        <v>0</v>
      </c>
      <c r="R178" s="1065">
        <f t="shared" si="28"/>
        <v>0</v>
      </c>
      <c r="S178" s="1065">
        <f t="shared" si="28"/>
        <v>0</v>
      </c>
      <c r="T178" s="1099" t="s">
        <v>871</v>
      </c>
      <c r="U178" s="1100" t="s">
        <v>870</v>
      </c>
      <c r="V178" s="1099">
        <v>414</v>
      </c>
      <c r="W178" s="1099" t="s">
        <v>873</v>
      </c>
      <c r="X178" s="1220"/>
      <c r="Z178" s="1311">
        <f t="shared" si="24"/>
        <v>0</v>
      </c>
    </row>
    <row r="179" spans="1:26" ht="54.75" customHeight="1">
      <c r="A179" s="1293" t="s">
        <v>860</v>
      </c>
      <c r="B179" s="900" t="s">
        <v>768</v>
      </c>
      <c r="C179" s="871">
        <f t="shared" si="19"/>
        <v>8900</v>
      </c>
      <c r="D179" s="972">
        <v>0</v>
      </c>
      <c r="E179" s="972">
        <v>8900</v>
      </c>
      <c r="F179" s="1302">
        <f t="shared" si="20"/>
        <v>8900</v>
      </c>
      <c r="G179" s="1299">
        <f t="shared" si="25"/>
        <v>0</v>
      </c>
      <c r="H179" s="1299">
        <f t="shared" si="26"/>
        <v>8900</v>
      </c>
      <c r="I179" s="1302">
        <f t="shared" si="21"/>
        <v>0</v>
      </c>
      <c r="J179" s="1303">
        <v>0</v>
      </c>
      <c r="K179" s="1303">
        <v>0</v>
      </c>
      <c r="L179" s="876">
        <f t="shared" si="29"/>
        <v>0</v>
      </c>
      <c r="M179" s="877">
        <f t="shared" si="29"/>
        <v>0</v>
      </c>
      <c r="N179" s="877">
        <f t="shared" si="29"/>
        <v>0</v>
      </c>
      <c r="O179" s="1214" t="s">
        <v>1300</v>
      </c>
      <c r="P179" s="1214" t="s">
        <v>1263</v>
      </c>
      <c r="Q179" s="1065">
        <f>C179-F179</f>
        <v>0</v>
      </c>
      <c r="R179" s="1065">
        <f t="shared" si="28"/>
        <v>0</v>
      </c>
      <c r="S179" s="1065">
        <f t="shared" si="28"/>
        <v>0</v>
      </c>
      <c r="T179" s="1099" t="s">
        <v>872</v>
      </c>
      <c r="U179" s="1100">
        <v>1130390420</v>
      </c>
      <c r="V179" s="1099">
        <v>414</v>
      </c>
      <c r="W179" s="1099">
        <v>14009</v>
      </c>
      <c r="Z179" s="1311">
        <f t="shared" si="24"/>
        <v>0</v>
      </c>
    </row>
    <row r="180" spans="1:26" ht="74.25" customHeight="1">
      <c r="A180" s="1297" t="s">
        <v>1026</v>
      </c>
      <c r="B180" s="900" t="s">
        <v>769</v>
      </c>
      <c r="C180" s="871">
        <f t="shared" si="19"/>
        <v>21489</v>
      </c>
      <c r="D180" s="972">
        <v>0</v>
      </c>
      <c r="E180" s="972">
        <v>21489</v>
      </c>
      <c r="F180" s="1302">
        <f t="shared" si="20"/>
        <v>21489</v>
      </c>
      <c r="G180" s="1299">
        <f t="shared" si="25"/>
        <v>0</v>
      </c>
      <c r="H180" s="1299">
        <f t="shared" si="26"/>
        <v>21489</v>
      </c>
      <c r="I180" s="1302">
        <f t="shared" si="21"/>
        <v>0</v>
      </c>
      <c r="J180" s="1303">
        <v>0</v>
      </c>
      <c r="K180" s="1303">
        <v>0</v>
      </c>
      <c r="L180" s="876">
        <f t="shared" si="29"/>
        <v>0</v>
      </c>
      <c r="M180" s="877">
        <f t="shared" si="29"/>
        <v>0</v>
      </c>
      <c r="N180" s="877">
        <f t="shared" si="29"/>
        <v>0</v>
      </c>
      <c r="O180" s="1214" t="s">
        <v>1301</v>
      </c>
      <c r="P180" s="1214" t="s">
        <v>1264</v>
      </c>
      <c r="Q180" s="1065">
        <f>C180-F180</f>
        <v>0</v>
      </c>
      <c r="R180" s="1065">
        <f t="shared" ref="Q180:S195" si="30">D180-G180</f>
        <v>0</v>
      </c>
      <c r="S180" s="1065">
        <f t="shared" si="30"/>
        <v>0</v>
      </c>
      <c r="T180" s="1099" t="s">
        <v>872</v>
      </c>
      <c r="U180" s="1100">
        <v>1130390420</v>
      </c>
      <c r="V180" s="1099">
        <v>414</v>
      </c>
      <c r="W180" s="1099">
        <v>14053</v>
      </c>
      <c r="Z180" s="1311">
        <f t="shared" si="24"/>
        <v>0</v>
      </c>
    </row>
    <row r="181" spans="1:26" s="736" customFormat="1" ht="27.75">
      <c r="A181" s="1297" t="s">
        <v>935</v>
      </c>
      <c r="B181" s="900" t="s">
        <v>692</v>
      </c>
      <c r="C181" s="871">
        <f>SUM(D181:E181)</f>
        <v>22300</v>
      </c>
      <c r="D181" s="972">
        <f>22300*0.9396914446</f>
        <v>20955.099999999999</v>
      </c>
      <c r="E181" s="972">
        <f>22300*(1-0.9396914446)</f>
        <v>1344.9</v>
      </c>
      <c r="F181" s="1302">
        <f>SUM(G181:H181)</f>
        <v>22300</v>
      </c>
      <c r="G181" s="1299">
        <f t="shared" si="25"/>
        <v>20955.099999999999</v>
      </c>
      <c r="H181" s="1299">
        <f t="shared" si="26"/>
        <v>1344.9</v>
      </c>
      <c r="I181" s="2463">
        <f>SUM(J181:K181)</f>
        <v>0</v>
      </c>
      <c r="J181" s="2464">
        <v>0</v>
      </c>
      <c r="K181" s="2464">
        <v>0</v>
      </c>
      <c r="L181" s="2467">
        <f>IF(I181=0,0,I181/F181:F182*100)</f>
        <v>0</v>
      </c>
      <c r="M181" s="2462">
        <f>IF(J181=0,0,J181/G181:G182*100)</f>
        <v>0</v>
      </c>
      <c r="N181" s="2462">
        <f>IF(K181=0,0,K181/H181:H182*100)</f>
        <v>0</v>
      </c>
      <c r="O181" s="2460" t="s">
        <v>1192</v>
      </c>
      <c r="P181" s="2460" t="s">
        <v>1265</v>
      </c>
      <c r="Q181" s="1065">
        <f>C181-F181</f>
        <v>0</v>
      </c>
      <c r="R181" s="1065">
        <f t="shared" si="30"/>
        <v>0</v>
      </c>
      <c r="S181" s="1065">
        <f t="shared" si="30"/>
        <v>0</v>
      </c>
      <c r="T181" s="2409" t="s">
        <v>874</v>
      </c>
      <c r="U181" s="2445" t="s">
        <v>875</v>
      </c>
      <c r="V181" s="2409">
        <v>414</v>
      </c>
      <c r="W181" s="2409" t="s">
        <v>876</v>
      </c>
      <c r="X181" s="2468"/>
      <c r="Z181" s="1311">
        <f t="shared" si="24"/>
        <v>0</v>
      </c>
    </row>
    <row r="182" spans="1:26" s="736" customFormat="1" ht="27.75">
      <c r="A182" s="1297" t="s">
        <v>1027</v>
      </c>
      <c r="B182" s="900" t="s">
        <v>691</v>
      </c>
      <c r="C182" s="871">
        <f t="shared" si="19"/>
        <v>49000</v>
      </c>
      <c r="D182" s="972">
        <f>49000*0.9396914446</f>
        <v>46044.9</v>
      </c>
      <c r="E182" s="972">
        <f>49000*(1-0.9396914446)</f>
        <v>2955.1</v>
      </c>
      <c r="F182" s="1302">
        <f t="shared" si="20"/>
        <v>49000</v>
      </c>
      <c r="G182" s="1299">
        <f t="shared" si="25"/>
        <v>46044.9</v>
      </c>
      <c r="H182" s="1299">
        <f t="shared" si="26"/>
        <v>2955.1</v>
      </c>
      <c r="I182" s="2463"/>
      <c r="J182" s="2464"/>
      <c r="K182" s="2464"/>
      <c r="L182" s="2467"/>
      <c r="M182" s="2462"/>
      <c r="N182" s="2462"/>
      <c r="O182" s="2461"/>
      <c r="P182" s="2461"/>
      <c r="Q182" s="1065">
        <f t="shared" si="30"/>
        <v>0</v>
      </c>
      <c r="R182" s="1065">
        <f t="shared" si="30"/>
        <v>0</v>
      </c>
      <c r="S182" s="1065">
        <f t="shared" si="30"/>
        <v>0</v>
      </c>
      <c r="T182" s="2409"/>
      <c r="U182" s="2445"/>
      <c r="V182" s="2409"/>
      <c r="W182" s="2409"/>
      <c r="X182" s="2468"/>
      <c r="Z182" s="1311">
        <f t="shared" si="24"/>
        <v>0</v>
      </c>
    </row>
    <row r="183" spans="1:26" s="736" customFormat="1" ht="70.5" customHeight="1">
      <c r="A183" s="1297" t="s">
        <v>1320</v>
      </c>
      <c r="B183" s="955" t="s">
        <v>767</v>
      </c>
      <c r="C183" s="871">
        <f t="shared" si="19"/>
        <v>5777.1</v>
      </c>
      <c r="D183" s="1249">
        <v>0</v>
      </c>
      <c r="E183" s="1249">
        <v>5777.1</v>
      </c>
      <c r="F183" s="1302">
        <f t="shared" si="20"/>
        <v>5777.1</v>
      </c>
      <c r="G183" s="1299">
        <f t="shared" si="25"/>
        <v>0</v>
      </c>
      <c r="H183" s="1299">
        <f t="shared" si="26"/>
        <v>5777.1</v>
      </c>
      <c r="I183" s="1302">
        <f t="shared" si="21"/>
        <v>0</v>
      </c>
      <c r="J183" s="1299">
        <v>0</v>
      </c>
      <c r="K183" s="1299">
        <v>0</v>
      </c>
      <c r="L183" s="876">
        <f>IF(I183=0,0,I183/F183*100)</f>
        <v>0</v>
      </c>
      <c r="M183" s="877">
        <f>IF(J183=0,0,J183/G183*100)</f>
        <v>0</v>
      </c>
      <c r="N183" s="877">
        <f>IF(K183=0,0,K183/H183*100)</f>
        <v>0</v>
      </c>
      <c r="O183" s="1214" t="s">
        <v>1302</v>
      </c>
      <c r="P183" s="1214" t="s">
        <v>1266</v>
      </c>
      <c r="Q183" s="1065">
        <f>C183-F183</f>
        <v>0</v>
      </c>
      <c r="R183" s="1065">
        <f t="shared" si="30"/>
        <v>0</v>
      </c>
      <c r="S183" s="1065">
        <f t="shared" si="30"/>
        <v>0</v>
      </c>
      <c r="T183" s="1099" t="s">
        <v>872</v>
      </c>
      <c r="U183" s="1100">
        <v>1130490420</v>
      </c>
      <c r="V183" s="1099">
        <v>414</v>
      </c>
      <c r="W183" s="1099">
        <v>14007</v>
      </c>
      <c r="X183" s="1216"/>
      <c r="Z183" s="1311">
        <f t="shared" si="24"/>
        <v>0</v>
      </c>
    </row>
    <row r="184" spans="1:26" s="736" customFormat="1" ht="37.5" customHeight="1">
      <c r="A184" s="1297" t="s">
        <v>1321</v>
      </c>
      <c r="B184" s="955" t="s">
        <v>763</v>
      </c>
      <c r="C184" s="871">
        <f t="shared" si="19"/>
        <v>32800</v>
      </c>
      <c r="D184" s="1249">
        <v>30832</v>
      </c>
      <c r="E184" s="1249">
        <v>1968</v>
      </c>
      <c r="F184" s="1302">
        <f t="shared" si="20"/>
        <v>32800</v>
      </c>
      <c r="G184" s="1299">
        <f t="shared" si="25"/>
        <v>30832</v>
      </c>
      <c r="H184" s="1299">
        <f t="shared" si="26"/>
        <v>1968</v>
      </c>
      <c r="I184" s="2463">
        <f>SUM(J184:K186)</f>
        <v>0</v>
      </c>
      <c r="J184" s="2466">
        <v>0</v>
      </c>
      <c r="K184" s="2466">
        <v>0</v>
      </c>
      <c r="L184" s="2467">
        <f>IF(I184=0,0,I184/F184:F186*100)</f>
        <v>0</v>
      </c>
      <c r="M184" s="2462">
        <f>IF(J184=0,0,J184/G184:G186*100)</f>
        <v>0</v>
      </c>
      <c r="N184" s="2462">
        <f>IF(K184=0,0,K184/H184:H186*100)</f>
        <v>0</v>
      </c>
      <c r="O184" s="1214" t="s">
        <v>1267</v>
      </c>
      <c r="P184" s="1214" t="s">
        <v>1219</v>
      </c>
      <c r="Q184" s="1065">
        <f t="shared" si="30"/>
        <v>0</v>
      </c>
      <c r="R184" s="1065">
        <f t="shared" si="30"/>
        <v>0</v>
      </c>
      <c r="S184" s="1065">
        <f t="shared" si="30"/>
        <v>0</v>
      </c>
      <c r="T184" s="2409" t="s">
        <v>872</v>
      </c>
      <c r="U184" s="2445" t="s">
        <v>878</v>
      </c>
      <c r="V184" s="2409">
        <v>414</v>
      </c>
      <c r="W184" s="2409" t="s">
        <v>879</v>
      </c>
      <c r="X184" s="2465"/>
      <c r="Z184" s="1311">
        <f t="shared" si="24"/>
        <v>0</v>
      </c>
    </row>
    <row r="185" spans="1:26" s="736" customFormat="1" ht="37.5" customHeight="1">
      <c r="A185" s="895">
        <v>119</v>
      </c>
      <c r="B185" s="955" t="s">
        <v>765</v>
      </c>
      <c r="C185" s="871">
        <f t="shared" si="19"/>
        <v>1200</v>
      </c>
      <c r="D185" s="1249">
        <v>1128</v>
      </c>
      <c r="E185" s="1249">
        <v>72</v>
      </c>
      <c r="F185" s="1302">
        <f t="shared" si="20"/>
        <v>1200</v>
      </c>
      <c r="G185" s="1299">
        <f t="shared" si="25"/>
        <v>1128</v>
      </c>
      <c r="H185" s="1299">
        <f t="shared" si="26"/>
        <v>72</v>
      </c>
      <c r="I185" s="2463"/>
      <c r="J185" s="2466"/>
      <c r="K185" s="2466"/>
      <c r="L185" s="2467"/>
      <c r="M185" s="2462"/>
      <c r="N185" s="2462"/>
      <c r="O185" s="1214" t="s">
        <v>1192</v>
      </c>
      <c r="P185" s="1214" t="s">
        <v>1219</v>
      </c>
      <c r="Q185" s="1065">
        <f t="shared" si="30"/>
        <v>0</v>
      </c>
      <c r="R185" s="1065">
        <f t="shared" si="30"/>
        <v>0</v>
      </c>
      <c r="S185" s="1065">
        <f t="shared" si="30"/>
        <v>0</v>
      </c>
      <c r="T185" s="2409"/>
      <c r="U185" s="2445"/>
      <c r="V185" s="2409"/>
      <c r="W185" s="2409"/>
      <c r="X185" s="2465"/>
      <c r="Z185" s="1311">
        <f t="shared" si="24"/>
        <v>0</v>
      </c>
    </row>
    <row r="186" spans="1:26" s="736" customFormat="1" ht="37.5" customHeight="1">
      <c r="A186" s="895">
        <v>120</v>
      </c>
      <c r="B186" s="955" t="s">
        <v>766</v>
      </c>
      <c r="C186" s="871">
        <f t="shared" si="19"/>
        <v>1500</v>
      </c>
      <c r="D186" s="1249">
        <v>1410</v>
      </c>
      <c r="E186" s="1249">
        <v>90</v>
      </c>
      <c r="F186" s="1302">
        <f t="shared" si="20"/>
        <v>1500</v>
      </c>
      <c r="G186" s="1299">
        <f t="shared" si="25"/>
        <v>1410</v>
      </c>
      <c r="H186" s="1299">
        <f t="shared" si="26"/>
        <v>90</v>
      </c>
      <c r="I186" s="2463"/>
      <c r="J186" s="2466"/>
      <c r="K186" s="2466"/>
      <c r="L186" s="2467"/>
      <c r="M186" s="2462"/>
      <c r="N186" s="2462"/>
      <c r="O186" s="1214" t="s">
        <v>1267</v>
      </c>
      <c r="P186" s="1214" t="s">
        <v>1219</v>
      </c>
      <c r="Q186" s="1065">
        <f t="shared" si="30"/>
        <v>0</v>
      </c>
      <c r="R186" s="1065">
        <f t="shared" si="30"/>
        <v>0</v>
      </c>
      <c r="S186" s="1065">
        <f t="shared" si="30"/>
        <v>0</v>
      </c>
      <c r="T186" s="2409"/>
      <c r="U186" s="2445"/>
      <c r="V186" s="2409"/>
      <c r="W186" s="2409"/>
      <c r="X186" s="2465"/>
      <c r="Z186" s="1311">
        <f t="shared" si="24"/>
        <v>0</v>
      </c>
    </row>
    <row r="187" spans="1:26" s="736" customFormat="1" ht="54.75" customHeight="1">
      <c r="A187" s="1297" t="s">
        <v>1323</v>
      </c>
      <c r="B187" s="900" t="s">
        <v>463</v>
      </c>
      <c r="C187" s="871">
        <f t="shared" si="19"/>
        <v>19846.5</v>
      </c>
      <c r="D187" s="972">
        <f>18651.8+3.79</f>
        <v>18655.599999999999</v>
      </c>
      <c r="E187" s="972">
        <f>1190.7+0.2</f>
        <v>1190.9000000000001</v>
      </c>
      <c r="F187" s="1302">
        <f t="shared" si="20"/>
        <v>19846.5</v>
      </c>
      <c r="G187" s="1299">
        <f t="shared" si="25"/>
        <v>18655.599999999999</v>
      </c>
      <c r="H187" s="1299">
        <f t="shared" si="26"/>
        <v>1190.9000000000001</v>
      </c>
      <c r="I187" s="1302">
        <f t="shared" ref="I187:I222" si="31">SUM(J187:K187)</f>
        <v>30</v>
      </c>
      <c r="J187" s="1303">
        <v>28.2</v>
      </c>
      <c r="K187" s="1303">
        <v>1.8</v>
      </c>
      <c r="L187" s="876">
        <f t="shared" ref="L187:N225" si="32">IF(I187=0,0,I187/F187*100)</f>
        <v>0.2</v>
      </c>
      <c r="M187" s="877">
        <f t="shared" si="32"/>
        <v>0.2</v>
      </c>
      <c r="N187" s="877">
        <f t="shared" si="32"/>
        <v>0.2</v>
      </c>
      <c r="O187" s="1214" t="s">
        <v>1303</v>
      </c>
      <c r="P187" s="1214" t="s">
        <v>1268</v>
      </c>
      <c r="Q187" s="1065">
        <f t="shared" si="30"/>
        <v>0</v>
      </c>
      <c r="R187" s="1065">
        <f t="shared" si="30"/>
        <v>0</v>
      </c>
      <c r="S187" s="1065">
        <f t="shared" si="30"/>
        <v>0</v>
      </c>
      <c r="T187" s="1099" t="s">
        <v>923</v>
      </c>
      <c r="U187" s="1100" t="s">
        <v>924</v>
      </c>
      <c r="V187" s="1099">
        <v>414</v>
      </c>
      <c r="W187" s="1099" t="s">
        <v>922</v>
      </c>
      <c r="X187" s="1216"/>
      <c r="Z187" s="1311">
        <f t="shared" si="24"/>
        <v>0</v>
      </c>
    </row>
    <row r="188" spans="1:26" s="736" customFormat="1" ht="60" customHeight="1">
      <c r="A188" s="1297" t="s">
        <v>855</v>
      </c>
      <c r="B188" s="900" t="s">
        <v>592</v>
      </c>
      <c r="C188" s="871">
        <f t="shared" si="19"/>
        <v>28317.1</v>
      </c>
      <c r="D188" s="972">
        <f>11848.8+14769.21</f>
        <v>26618</v>
      </c>
      <c r="E188" s="972">
        <f>756.4+942.7</f>
        <v>1699.1</v>
      </c>
      <c r="F188" s="1302">
        <f t="shared" si="20"/>
        <v>28317.1</v>
      </c>
      <c r="G188" s="1299">
        <f t="shared" si="25"/>
        <v>26618</v>
      </c>
      <c r="H188" s="1299">
        <f t="shared" si="26"/>
        <v>1699.1</v>
      </c>
      <c r="I188" s="1302">
        <f t="shared" si="31"/>
        <v>0</v>
      </c>
      <c r="J188" s="1303">
        <v>0</v>
      </c>
      <c r="K188" s="1303">
        <v>0</v>
      </c>
      <c r="L188" s="876">
        <f t="shared" si="32"/>
        <v>0</v>
      </c>
      <c r="M188" s="877">
        <f t="shared" si="32"/>
        <v>0</v>
      </c>
      <c r="N188" s="877">
        <f t="shared" si="32"/>
        <v>0</v>
      </c>
      <c r="O188" s="1214" t="s">
        <v>1192</v>
      </c>
      <c r="P188" s="1214" t="s">
        <v>1253</v>
      </c>
      <c r="Q188" s="1065">
        <f t="shared" si="30"/>
        <v>0</v>
      </c>
      <c r="R188" s="1065">
        <f t="shared" si="30"/>
        <v>0</v>
      </c>
      <c r="S188" s="1065">
        <f t="shared" si="30"/>
        <v>0</v>
      </c>
      <c r="T188" s="1099" t="s">
        <v>923</v>
      </c>
      <c r="U188" s="1100" t="s">
        <v>925</v>
      </c>
      <c r="V188" s="1099">
        <v>414</v>
      </c>
      <c r="W188" s="1099" t="s">
        <v>922</v>
      </c>
      <c r="X188" s="1216"/>
      <c r="Z188" s="1311">
        <f t="shared" si="24"/>
        <v>0</v>
      </c>
    </row>
    <row r="189" spans="1:26" s="736" customFormat="1" ht="69.75">
      <c r="A189" s="1297" t="s">
        <v>856</v>
      </c>
      <c r="B189" s="900" t="s">
        <v>776</v>
      </c>
      <c r="C189" s="871">
        <f t="shared" si="19"/>
        <v>29452.3</v>
      </c>
      <c r="D189" s="972">
        <v>27685.1</v>
      </c>
      <c r="E189" s="972">
        <v>1767.2</v>
      </c>
      <c r="F189" s="1302">
        <f t="shared" si="20"/>
        <v>29452.3</v>
      </c>
      <c r="G189" s="1299">
        <f t="shared" si="25"/>
        <v>27685.1</v>
      </c>
      <c r="H189" s="1299">
        <f t="shared" si="26"/>
        <v>1767.2</v>
      </c>
      <c r="I189" s="1302">
        <f t="shared" si="31"/>
        <v>0</v>
      </c>
      <c r="J189" s="1303">
        <v>0</v>
      </c>
      <c r="K189" s="1303">
        <v>0</v>
      </c>
      <c r="L189" s="876">
        <f t="shared" si="32"/>
        <v>0</v>
      </c>
      <c r="M189" s="877">
        <f t="shared" si="32"/>
        <v>0</v>
      </c>
      <c r="N189" s="877">
        <f t="shared" si="32"/>
        <v>0</v>
      </c>
      <c r="O189" s="1214" t="s">
        <v>1192</v>
      </c>
      <c r="P189" s="1214" t="s">
        <v>1269</v>
      </c>
      <c r="Q189" s="1065">
        <f t="shared" si="30"/>
        <v>0</v>
      </c>
      <c r="R189" s="1065">
        <f t="shared" si="30"/>
        <v>0</v>
      </c>
      <c r="S189" s="1065">
        <f t="shared" si="30"/>
        <v>0</v>
      </c>
      <c r="T189" s="1099" t="s">
        <v>920</v>
      </c>
      <c r="U189" s="1100" t="s">
        <v>921</v>
      </c>
      <c r="V189" s="1099">
        <v>414</v>
      </c>
      <c r="W189" s="1099" t="s">
        <v>922</v>
      </c>
      <c r="X189" s="1216"/>
      <c r="Z189" s="1311">
        <f t="shared" si="24"/>
        <v>0</v>
      </c>
    </row>
    <row r="190" spans="1:26" s="736" customFormat="1" ht="78.75">
      <c r="A190" s="2442" t="s">
        <v>857</v>
      </c>
      <c r="B190" s="901" t="s">
        <v>638</v>
      </c>
      <c r="C190" s="871">
        <f t="shared" si="19"/>
        <v>15520</v>
      </c>
      <c r="D190" s="972">
        <v>0</v>
      </c>
      <c r="E190" s="972">
        <v>15520</v>
      </c>
      <c r="F190" s="1302">
        <f t="shared" si="20"/>
        <v>15520</v>
      </c>
      <c r="G190" s="1299">
        <f t="shared" si="25"/>
        <v>0</v>
      </c>
      <c r="H190" s="1299">
        <f t="shared" si="26"/>
        <v>15520</v>
      </c>
      <c r="I190" s="1302">
        <f t="shared" si="31"/>
        <v>0</v>
      </c>
      <c r="J190" s="1303">
        <v>0</v>
      </c>
      <c r="K190" s="1303">
        <v>0</v>
      </c>
      <c r="L190" s="876">
        <f t="shared" si="32"/>
        <v>0</v>
      </c>
      <c r="M190" s="877">
        <f t="shared" si="32"/>
        <v>0</v>
      </c>
      <c r="N190" s="877">
        <f t="shared" si="32"/>
        <v>0</v>
      </c>
      <c r="O190" s="1214" t="s">
        <v>1304</v>
      </c>
      <c r="P190" s="1214" t="s">
        <v>1270</v>
      </c>
      <c r="Q190" s="1065">
        <f t="shared" si="30"/>
        <v>0</v>
      </c>
      <c r="R190" s="1065">
        <f t="shared" si="30"/>
        <v>0</v>
      </c>
      <c r="S190" s="1065">
        <f t="shared" si="30"/>
        <v>0</v>
      </c>
      <c r="T190" s="1099" t="s">
        <v>928</v>
      </c>
      <c r="U190" s="1100" t="s">
        <v>929</v>
      </c>
      <c r="V190" s="1099">
        <v>414</v>
      </c>
      <c r="W190" s="1099">
        <v>14003</v>
      </c>
      <c r="X190" s="1216"/>
      <c r="Z190" s="1311">
        <f t="shared" si="24"/>
        <v>0</v>
      </c>
    </row>
    <row r="191" spans="1:26" s="736" customFormat="1" ht="67.5" customHeight="1">
      <c r="A191" s="2442"/>
      <c r="B191" s="990" t="s">
        <v>694</v>
      </c>
      <c r="C191" s="871">
        <f t="shared" si="19"/>
        <v>251200</v>
      </c>
      <c r="D191" s="972">
        <v>236128</v>
      </c>
      <c r="E191" s="972">
        <v>15072</v>
      </c>
      <c r="F191" s="1302">
        <f t="shared" si="20"/>
        <v>251200</v>
      </c>
      <c r="G191" s="1299">
        <f t="shared" si="25"/>
        <v>236128</v>
      </c>
      <c r="H191" s="1299">
        <f t="shared" si="26"/>
        <v>15072</v>
      </c>
      <c r="I191" s="1302">
        <f t="shared" si="31"/>
        <v>0</v>
      </c>
      <c r="J191" s="1303">
        <v>0</v>
      </c>
      <c r="K191" s="1303">
        <v>0</v>
      </c>
      <c r="L191" s="876">
        <f t="shared" si="32"/>
        <v>0</v>
      </c>
      <c r="M191" s="877">
        <f t="shared" si="32"/>
        <v>0</v>
      </c>
      <c r="N191" s="877">
        <f t="shared" si="32"/>
        <v>0</v>
      </c>
      <c r="O191" s="1214" t="s">
        <v>1192</v>
      </c>
      <c r="P191" s="1214" t="s">
        <v>1271</v>
      </c>
      <c r="Q191" s="1065">
        <f t="shared" si="30"/>
        <v>0</v>
      </c>
      <c r="R191" s="1065">
        <f t="shared" si="30"/>
        <v>0</v>
      </c>
      <c r="S191" s="1065">
        <f t="shared" si="30"/>
        <v>0</v>
      </c>
      <c r="T191" s="1099" t="s">
        <v>928</v>
      </c>
      <c r="U191" s="1100" t="s">
        <v>931</v>
      </c>
      <c r="V191" s="1099">
        <v>414</v>
      </c>
      <c r="W191" s="1099" t="s">
        <v>930</v>
      </c>
      <c r="X191" s="1216"/>
      <c r="Z191" s="1311">
        <f t="shared" si="24"/>
        <v>0</v>
      </c>
    </row>
    <row r="192" spans="1:26" s="736" customFormat="1" ht="87.75" customHeight="1">
      <c r="A192" s="2442" t="s">
        <v>858</v>
      </c>
      <c r="B192" s="900" t="s">
        <v>646</v>
      </c>
      <c r="C192" s="871">
        <f t="shared" si="19"/>
        <v>7500</v>
      </c>
      <c r="D192" s="1249">
        <v>0</v>
      </c>
      <c r="E192" s="1249">
        <v>7500</v>
      </c>
      <c r="F192" s="1302">
        <f t="shared" si="20"/>
        <v>7500</v>
      </c>
      <c r="G192" s="1299">
        <f t="shared" si="25"/>
        <v>0</v>
      </c>
      <c r="H192" s="1299">
        <f t="shared" si="26"/>
        <v>7500</v>
      </c>
      <c r="I192" s="1302">
        <f t="shared" si="31"/>
        <v>2235</v>
      </c>
      <c r="J192" s="1299">
        <v>0</v>
      </c>
      <c r="K192" s="1299">
        <v>2235</v>
      </c>
      <c r="L192" s="876">
        <f t="shared" si="32"/>
        <v>29.8</v>
      </c>
      <c r="M192" s="877">
        <f t="shared" si="32"/>
        <v>0</v>
      </c>
      <c r="N192" s="877">
        <f t="shared" si="32"/>
        <v>29.8</v>
      </c>
      <c r="O192" s="1214" t="s">
        <v>1272</v>
      </c>
      <c r="P192" s="1214" t="s">
        <v>1273</v>
      </c>
      <c r="Q192" s="1065">
        <f t="shared" si="30"/>
        <v>0</v>
      </c>
      <c r="R192" s="1065">
        <f t="shared" si="30"/>
        <v>0</v>
      </c>
      <c r="S192" s="1065">
        <f t="shared" si="30"/>
        <v>0</v>
      </c>
      <c r="T192" s="1099" t="s">
        <v>928</v>
      </c>
      <c r="U192" s="1100" t="s">
        <v>929</v>
      </c>
      <c r="V192" s="1099">
        <v>414</v>
      </c>
      <c r="W192" s="1099">
        <v>14036</v>
      </c>
      <c r="X192" s="1216"/>
      <c r="Z192" s="1311">
        <f t="shared" si="24"/>
        <v>0</v>
      </c>
    </row>
    <row r="193" spans="1:26" s="736" customFormat="1" ht="61.5" customHeight="1">
      <c r="A193" s="2442"/>
      <c r="B193" s="990" t="s">
        <v>695</v>
      </c>
      <c r="C193" s="871">
        <f t="shared" si="19"/>
        <v>142468</v>
      </c>
      <c r="D193" s="972">
        <v>133919.9</v>
      </c>
      <c r="E193" s="972">
        <v>8548.1</v>
      </c>
      <c r="F193" s="1302">
        <f t="shared" si="20"/>
        <v>142468</v>
      </c>
      <c r="G193" s="1299">
        <f t="shared" si="25"/>
        <v>133919.9</v>
      </c>
      <c r="H193" s="1299">
        <f t="shared" si="26"/>
        <v>8548.1</v>
      </c>
      <c r="I193" s="1302">
        <f t="shared" si="31"/>
        <v>0</v>
      </c>
      <c r="J193" s="1303">
        <v>0</v>
      </c>
      <c r="K193" s="1303">
        <v>0</v>
      </c>
      <c r="L193" s="876">
        <f t="shared" si="32"/>
        <v>0</v>
      </c>
      <c r="M193" s="877">
        <f t="shared" si="32"/>
        <v>0</v>
      </c>
      <c r="N193" s="877">
        <f t="shared" si="32"/>
        <v>0</v>
      </c>
      <c r="O193" s="1214" t="s">
        <v>1192</v>
      </c>
      <c r="P193" s="1214" t="s">
        <v>1274</v>
      </c>
      <c r="Q193" s="1065">
        <f t="shared" si="30"/>
        <v>0</v>
      </c>
      <c r="R193" s="1065">
        <f t="shared" si="30"/>
        <v>0</v>
      </c>
      <c r="S193" s="1065">
        <f t="shared" si="30"/>
        <v>0</v>
      </c>
      <c r="T193" s="1099" t="s">
        <v>928</v>
      </c>
      <c r="U193" s="1100" t="s">
        <v>1030</v>
      </c>
      <c r="V193" s="1099">
        <v>414</v>
      </c>
      <c r="W193" s="1099" t="s">
        <v>930</v>
      </c>
      <c r="X193" s="1216"/>
      <c r="Z193" s="1311">
        <f t="shared" si="24"/>
        <v>0</v>
      </c>
    </row>
    <row r="194" spans="1:26" s="736" customFormat="1" ht="93">
      <c r="A194" s="2442" t="s">
        <v>859</v>
      </c>
      <c r="B194" s="1078" t="s">
        <v>642</v>
      </c>
      <c r="C194" s="871">
        <f t="shared" si="19"/>
        <v>6308.4</v>
      </c>
      <c r="D194" s="972">
        <v>0</v>
      </c>
      <c r="E194" s="972">
        <v>6308.4</v>
      </c>
      <c r="F194" s="1302">
        <f t="shared" si="20"/>
        <v>6308.4</v>
      </c>
      <c r="G194" s="1299">
        <f t="shared" si="25"/>
        <v>0</v>
      </c>
      <c r="H194" s="1299">
        <f t="shared" si="26"/>
        <v>6308.4</v>
      </c>
      <c r="I194" s="1302">
        <f t="shared" si="31"/>
        <v>0</v>
      </c>
      <c r="J194" s="1303">
        <v>0</v>
      </c>
      <c r="K194" s="1303">
        <v>0</v>
      </c>
      <c r="L194" s="876">
        <f t="shared" si="32"/>
        <v>0</v>
      </c>
      <c r="M194" s="877">
        <f t="shared" si="32"/>
        <v>0</v>
      </c>
      <c r="N194" s="877">
        <f t="shared" si="32"/>
        <v>0</v>
      </c>
      <c r="O194" s="1214" t="s">
        <v>1305</v>
      </c>
      <c r="P194" s="1214" t="s">
        <v>1275</v>
      </c>
      <c r="Q194" s="1065">
        <f t="shared" si="30"/>
        <v>0</v>
      </c>
      <c r="R194" s="1065">
        <f t="shared" si="30"/>
        <v>0</v>
      </c>
      <c r="S194" s="1065">
        <f t="shared" si="30"/>
        <v>0</v>
      </c>
      <c r="T194" s="1099" t="s">
        <v>945</v>
      </c>
      <c r="U194" s="1100" t="s">
        <v>946</v>
      </c>
      <c r="V194" s="1099">
        <v>414</v>
      </c>
      <c r="W194" s="1099">
        <v>14001</v>
      </c>
      <c r="X194" s="1216"/>
      <c r="Z194" s="1311">
        <f t="shared" si="24"/>
        <v>0</v>
      </c>
    </row>
    <row r="195" spans="1:26" s="736" customFormat="1" ht="64.5" customHeight="1">
      <c r="A195" s="2442"/>
      <c r="B195" s="990" t="s">
        <v>698</v>
      </c>
      <c r="C195" s="871">
        <f t="shared" ref="C195:C222" si="33">SUM(D195:E195)</f>
        <v>96270.7</v>
      </c>
      <c r="D195" s="972">
        <v>90460.9</v>
      </c>
      <c r="E195" s="1258">
        <v>5809.75</v>
      </c>
      <c r="F195" s="1302">
        <f t="shared" ref="F195:F222" si="34">SUM(G195:H195)</f>
        <v>96270.7</v>
      </c>
      <c r="G195" s="1299">
        <f t="shared" si="25"/>
        <v>90460.9</v>
      </c>
      <c r="H195" s="1299">
        <f t="shared" si="26"/>
        <v>5809.8</v>
      </c>
      <c r="I195" s="1302">
        <f t="shared" si="31"/>
        <v>0</v>
      </c>
      <c r="J195" s="1303">
        <v>0</v>
      </c>
      <c r="K195" s="1303">
        <v>0</v>
      </c>
      <c r="L195" s="876">
        <f t="shared" si="32"/>
        <v>0</v>
      </c>
      <c r="M195" s="877">
        <f t="shared" si="32"/>
        <v>0</v>
      </c>
      <c r="N195" s="877">
        <f t="shared" si="32"/>
        <v>0</v>
      </c>
      <c r="O195" s="1214" t="s">
        <v>1192</v>
      </c>
      <c r="P195" s="1214" t="s">
        <v>1276</v>
      </c>
      <c r="Q195" s="1065">
        <f t="shared" si="30"/>
        <v>0</v>
      </c>
      <c r="R195" s="1065">
        <f t="shared" si="30"/>
        <v>0</v>
      </c>
      <c r="S195" s="1065">
        <f t="shared" si="30"/>
        <v>-0.1</v>
      </c>
      <c r="T195" s="1130" t="s">
        <v>936</v>
      </c>
      <c r="U195" s="1100" t="s">
        <v>940</v>
      </c>
      <c r="V195" s="1099">
        <v>414</v>
      </c>
      <c r="W195" s="1099" t="s">
        <v>939</v>
      </c>
      <c r="X195" s="1216"/>
      <c r="Z195" s="1311">
        <f t="shared" si="24"/>
        <v>0</v>
      </c>
    </row>
    <row r="196" spans="1:26" s="736" customFormat="1" ht="52.5" customHeight="1">
      <c r="A196" s="1297" t="s">
        <v>917</v>
      </c>
      <c r="B196" s="990" t="s">
        <v>697</v>
      </c>
      <c r="C196" s="871">
        <f t="shared" si="33"/>
        <v>150000</v>
      </c>
      <c r="D196" s="972">
        <v>140955</v>
      </c>
      <c r="E196" s="972">
        <v>9045</v>
      </c>
      <c r="F196" s="1302">
        <f t="shared" si="34"/>
        <v>150000</v>
      </c>
      <c r="G196" s="1299">
        <f t="shared" si="25"/>
        <v>140955</v>
      </c>
      <c r="H196" s="1299">
        <f t="shared" si="26"/>
        <v>9045</v>
      </c>
      <c r="I196" s="1302">
        <f t="shared" si="31"/>
        <v>26308</v>
      </c>
      <c r="J196" s="1303">
        <v>24721.3</v>
      </c>
      <c r="K196" s="1303">
        <v>1586.7</v>
      </c>
      <c r="L196" s="876">
        <f t="shared" si="32"/>
        <v>17.5</v>
      </c>
      <c r="M196" s="877">
        <f t="shared" si="32"/>
        <v>17.5</v>
      </c>
      <c r="N196" s="877">
        <f t="shared" si="32"/>
        <v>17.5</v>
      </c>
      <c r="O196" s="1214" t="s">
        <v>1306</v>
      </c>
      <c r="P196" s="1214" t="s">
        <v>1277</v>
      </c>
      <c r="Q196" s="1065">
        <f t="shared" ref="Q196:S204" si="35">C196-F196</f>
        <v>0</v>
      </c>
      <c r="R196" s="1065">
        <f t="shared" si="35"/>
        <v>0</v>
      </c>
      <c r="S196" s="1065">
        <f t="shared" si="35"/>
        <v>0</v>
      </c>
      <c r="T196" s="1130" t="s">
        <v>936</v>
      </c>
      <c r="U196" s="1100" t="s">
        <v>941</v>
      </c>
      <c r="V196" s="1099">
        <v>414</v>
      </c>
      <c r="W196" s="1099" t="s">
        <v>939</v>
      </c>
      <c r="X196" s="1216"/>
      <c r="Z196" s="1311">
        <f t="shared" si="24"/>
        <v>0</v>
      </c>
    </row>
    <row r="197" spans="1:26" ht="105">
      <c r="A197" s="1297" t="s">
        <v>918</v>
      </c>
      <c r="B197" s="990" t="s">
        <v>942</v>
      </c>
      <c r="C197" s="871">
        <f t="shared" si="33"/>
        <v>34500</v>
      </c>
      <c r="D197" s="972">
        <v>32419.7</v>
      </c>
      <c r="E197" s="972">
        <v>2080.3000000000002</v>
      </c>
      <c r="F197" s="1302">
        <f t="shared" si="34"/>
        <v>34500</v>
      </c>
      <c r="G197" s="1299">
        <f t="shared" si="25"/>
        <v>32419.7</v>
      </c>
      <c r="H197" s="1299">
        <f t="shared" si="26"/>
        <v>2080.3000000000002</v>
      </c>
      <c r="I197" s="1302">
        <f t="shared" si="31"/>
        <v>0</v>
      </c>
      <c r="J197" s="1303">
        <v>0</v>
      </c>
      <c r="K197" s="1303">
        <v>0</v>
      </c>
      <c r="L197" s="876">
        <f t="shared" si="32"/>
        <v>0</v>
      </c>
      <c r="M197" s="877">
        <f t="shared" si="32"/>
        <v>0</v>
      </c>
      <c r="N197" s="877">
        <f t="shared" si="32"/>
        <v>0</v>
      </c>
      <c r="O197" s="1214" t="s">
        <v>1192</v>
      </c>
      <c r="P197" s="1214" t="s">
        <v>1278</v>
      </c>
      <c r="Q197" s="1065">
        <f t="shared" si="35"/>
        <v>0</v>
      </c>
      <c r="R197" s="1065">
        <f t="shared" si="35"/>
        <v>0</v>
      </c>
      <c r="S197" s="1065">
        <f t="shared" si="35"/>
        <v>0</v>
      </c>
      <c r="T197" s="1099" t="s">
        <v>936</v>
      </c>
      <c r="U197" s="1100" t="s">
        <v>943</v>
      </c>
      <c r="V197" s="1099">
        <v>414</v>
      </c>
      <c r="W197" s="1099" t="s">
        <v>939</v>
      </c>
      <c r="Z197" s="1311">
        <f t="shared" si="24"/>
        <v>0</v>
      </c>
    </row>
    <row r="198" spans="1:26" ht="90.75" customHeight="1">
      <c r="A198" s="1297" t="s">
        <v>1028</v>
      </c>
      <c r="B198" s="901" t="s">
        <v>462</v>
      </c>
      <c r="C198" s="871">
        <f t="shared" si="33"/>
        <v>16153.6</v>
      </c>
      <c r="D198" s="972">
        <f>13560+1620.2</f>
        <v>15180.2</v>
      </c>
      <c r="E198" s="972">
        <f>869.4+104</f>
        <v>973.4</v>
      </c>
      <c r="F198" s="1302">
        <f t="shared" si="34"/>
        <v>16153.6</v>
      </c>
      <c r="G198" s="1299">
        <f t="shared" si="25"/>
        <v>15180.2</v>
      </c>
      <c r="H198" s="1299">
        <f t="shared" si="26"/>
        <v>973.4</v>
      </c>
      <c r="I198" s="1302">
        <f t="shared" si="31"/>
        <v>1014.3</v>
      </c>
      <c r="J198" s="1303">
        <v>953.1</v>
      </c>
      <c r="K198" s="1303">
        <v>61.2</v>
      </c>
      <c r="L198" s="876">
        <f t="shared" si="32"/>
        <v>6.3</v>
      </c>
      <c r="M198" s="877">
        <f t="shared" si="32"/>
        <v>6.3</v>
      </c>
      <c r="N198" s="877">
        <f t="shared" si="32"/>
        <v>6.3</v>
      </c>
      <c r="O198" s="1214" t="s">
        <v>1192</v>
      </c>
      <c r="P198" s="1214" t="s">
        <v>1279</v>
      </c>
      <c r="Q198" s="1065">
        <f t="shared" si="35"/>
        <v>0</v>
      </c>
      <c r="R198" s="1065">
        <f t="shared" si="35"/>
        <v>0</v>
      </c>
      <c r="S198" s="1065">
        <f t="shared" si="35"/>
        <v>0</v>
      </c>
      <c r="T198" s="1099" t="s">
        <v>936</v>
      </c>
      <c r="U198" s="1100" t="s">
        <v>938</v>
      </c>
      <c r="V198" s="1099">
        <v>414</v>
      </c>
      <c r="W198" s="1099" t="s">
        <v>939</v>
      </c>
      <c r="Z198" s="1311">
        <f t="shared" si="24"/>
        <v>0</v>
      </c>
    </row>
    <row r="199" spans="1:26" s="515" customFormat="1" ht="60.75" customHeight="1">
      <c r="A199" s="2442" t="s">
        <v>1029</v>
      </c>
      <c r="B199" s="900" t="s">
        <v>700</v>
      </c>
      <c r="C199" s="871">
        <f t="shared" si="33"/>
        <v>18000</v>
      </c>
      <c r="D199" s="972">
        <v>0</v>
      </c>
      <c r="E199" s="972">
        <v>18000</v>
      </c>
      <c r="F199" s="1302">
        <f t="shared" si="34"/>
        <v>18000</v>
      </c>
      <c r="G199" s="1299">
        <f t="shared" si="25"/>
        <v>0</v>
      </c>
      <c r="H199" s="1299">
        <f t="shared" si="26"/>
        <v>18000</v>
      </c>
      <c r="I199" s="1302">
        <f t="shared" si="31"/>
        <v>0</v>
      </c>
      <c r="J199" s="1303">
        <v>0</v>
      </c>
      <c r="K199" s="1303">
        <v>0</v>
      </c>
      <c r="L199" s="876">
        <f t="shared" si="32"/>
        <v>0</v>
      </c>
      <c r="M199" s="877">
        <f t="shared" si="32"/>
        <v>0</v>
      </c>
      <c r="N199" s="877">
        <f t="shared" si="32"/>
        <v>0</v>
      </c>
      <c r="O199" s="1214" t="s">
        <v>1307</v>
      </c>
      <c r="P199" s="1214" t="s">
        <v>1280</v>
      </c>
      <c r="Q199" s="1065">
        <f t="shared" si="35"/>
        <v>0</v>
      </c>
      <c r="R199" s="1065">
        <f t="shared" si="35"/>
        <v>0</v>
      </c>
      <c r="S199" s="1065">
        <f t="shared" si="35"/>
        <v>0</v>
      </c>
      <c r="T199" s="1099" t="s">
        <v>949</v>
      </c>
      <c r="U199" s="1100" t="s">
        <v>950</v>
      </c>
      <c r="V199" s="1099">
        <v>414</v>
      </c>
      <c r="W199" s="1099">
        <v>14052</v>
      </c>
      <c r="X199" s="1220"/>
      <c r="Z199" s="1311">
        <f t="shared" si="24"/>
        <v>0</v>
      </c>
    </row>
    <row r="200" spans="1:26" s="515" customFormat="1" ht="52.5">
      <c r="A200" s="2442"/>
      <c r="B200" s="900" t="s">
        <v>699</v>
      </c>
      <c r="C200" s="871">
        <f t="shared" si="33"/>
        <v>151300</v>
      </c>
      <c r="D200" s="972">
        <v>142200</v>
      </c>
      <c r="E200" s="972">
        <v>9100</v>
      </c>
      <c r="F200" s="1302">
        <f t="shared" si="34"/>
        <v>151300</v>
      </c>
      <c r="G200" s="1299">
        <f t="shared" si="25"/>
        <v>142200</v>
      </c>
      <c r="H200" s="1299">
        <f t="shared" si="26"/>
        <v>9100</v>
      </c>
      <c r="I200" s="1302">
        <f t="shared" si="31"/>
        <v>0</v>
      </c>
      <c r="J200" s="1303">
        <v>0</v>
      </c>
      <c r="K200" s="1303">
        <v>0</v>
      </c>
      <c r="L200" s="876">
        <f t="shared" si="32"/>
        <v>0</v>
      </c>
      <c r="M200" s="877">
        <f t="shared" si="32"/>
        <v>0</v>
      </c>
      <c r="N200" s="877">
        <f t="shared" si="32"/>
        <v>0</v>
      </c>
      <c r="O200" s="1214" t="s">
        <v>1192</v>
      </c>
      <c r="P200" s="1214" t="s">
        <v>1219</v>
      </c>
      <c r="Q200" s="1065">
        <f t="shared" si="35"/>
        <v>0</v>
      </c>
      <c r="R200" s="1065">
        <f t="shared" si="35"/>
        <v>0</v>
      </c>
      <c r="S200" s="1065">
        <f t="shared" si="35"/>
        <v>0</v>
      </c>
      <c r="T200" s="1099" t="s">
        <v>949</v>
      </c>
      <c r="U200" s="1100" t="s">
        <v>952</v>
      </c>
      <c r="V200" s="1099">
        <v>414</v>
      </c>
      <c r="W200" s="1099" t="s">
        <v>953</v>
      </c>
      <c r="X200" s="1220"/>
      <c r="Z200" s="1311">
        <f t="shared" si="24"/>
        <v>0</v>
      </c>
    </row>
    <row r="201" spans="1:26" ht="67.5" customHeight="1">
      <c r="A201" s="1297" t="s">
        <v>1324</v>
      </c>
      <c r="B201" s="900" t="s">
        <v>461</v>
      </c>
      <c r="C201" s="871">
        <f t="shared" si="33"/>
        <v>29999.7</v>
      </c>
      <c r="D201" s="972">
        <f>25201.1+2998.27</f>
        <v>28199.4</v>
      </c>
      <c r="E201" s="972">
        <f>1608.9+191.41</f>
        <v>1800.3</v>
      </c>
      <c r="F201" s="1302">
        <f t="shared" si="34"/>
        <v>29999.7</v>
      </c>
      <c r="G201" s="1299">
        <f t="shared" si="25"/>
        <v>28199.4</v>
      </c>
      <c r="H201" s="1299">
        <f t="shared" si="26"/>
        <v>1800.3</v>
      </c>
      <c r="I201" s="1302">
        <f t="shared" si="31"/>
        <v>442.8</v>
      </c>
      <c r="J201" s="1303">
        <v>416.2</v>
      </c>
      <c r="K201" s="1303">
        <v>26.6</v>
      </c>
      <c r="L201" s="876">
        <f t="shared" si="32"/>
        <v>1.5</v>
      </c>
      <c r="M201" s="877">
        <f t="shared" si="32"/>
        <v>1.5</v>
      </c>
      <c r="N201" s="877">
        <f t="shared" si="32"/>
        <v>1.5</v>
      </c>
      <c r="O201" s="1213" t="s">
        <v>1192</v>
      </c>
      <c r="P201" s="1214" t="s">
        <v>1281</v>
      </c>
      <c r="Q201" s="1065">
        <f t="shared" si="35"/>
        <v>0</v>
      </c>
      <c r="R201" s="1065">
        <f t="shared" si="35"/>
        <v>0</v>
      </c>
      <c r="S201" s="1065">
        <f t="shared" si="35"/>
        <v>0</v>
      </c>
      <c r="T201" s="1099" t="s">
        <v>954</v>
      </c>
      <c r="U201" s="1100" t="s">
        <v>957</v>
      </c>
      <c r="V201" s="1099">
        <v>414</v>
      </c>
      <c r="W201" s="1099" t="s">
        <v>958</v>
      </c>
      <c r="Z201" s="1311">
        <f t="shared" si="24"/>
        <v>0</v>
      </c>
    </row>
    <row r="202" spans="1:26" s="914" customFormat="1" ht="69.75" customHeight="1">
      <c r="A202" s="2401" t="s">
        <v>456</v>
      </c>
      <c r="B202" s="2401"/>
      <c r="C202" s="917">
        <f t="shared" si="33"/>
        <v>1200166.3999999999</v>
      </c>
      <c r="D202" s="917">
        <f>SUM(D203,D222)</f>
        <v>909500</v>
      </c>
      <c r="E202" s="917">
        <f>SUM(E203,E222)</f>
        <v>290666.40000000002</v>
      </c>
      <c r="F202" s="917">
        <f t="shared" si="34"/>
        <v>1198274.1000000001</v>
      </c>
      <c r="G202" s="917">
        <f>SUM(G203,G222)</f>
        <v>907801.2</v>
      </c>
      <c r="H202" s="917">
        <f>SUM(H203,H222)</f>
        <v>290472.90000000002</v>
      </c>
      <c r="I202" s="917">
        <f t="shared" si="31"/>
        <v>188516.5</v>
      </c>
      <c r="J202" s="917">
        <f>SUM(J203,J222)</f>
        <v>160953.1</v>
      </c>
      <c r="K202" s="917">
        <f>SUM(K203,K222)</f>
        <v>27563.4</v>
      </c>
      <c r="L202" s="918">
        <f t="shared" si="32"/>
        <v>15.7</v>
      </c>
      <c r="M202" s="920">
        <f t="shared" si="32"/>
        <v>17.7</v>
      </c>
      <c r="N202" s="920">
        <f t="shared" si="32"/>
        <v>9.5</v>
      </c>
      <c r="O202" s="1282"/>
      <c r="P202" s="1281" t="s">
        <v>1103</v>
      </c>
      <c r="Q202" s="1065">
        <f t="shared" si="35"/>
        <v>1892.3</v>
      </c>
      <c r="R202" s="1065">
        <f>D202-G202</f>
        <v>1698.8</v>
      </c>
      <c r="S202" s="1065">
        <f>E202-H202</f>
        <v>193.5</v>
      </c>
      <c r="T202" s="1099"/>
      <c r="U202" s="1100"/>
      <c r="V202" s="1099"/>
      <c r="W202" s="1099"/>
      <c r="X202" s="1216"/>
      <c r="Z202" s="1311">
        <f t="shared" si="24"/>
        <v>1892.3</v>
      </c>
    </row>
    <row r="203" spans="1:26" s="914" customFormat="1" ht="120.75" customHeight="1">
      <c r="A203" s="1280" t="s">
        <v>6</v>
      </c>
      <c r="B203" s="925" t="s">
        <v>439</v>
      </c>
      <c r="C203" s="926">
        <f t="shared" si="33"/>
        <v>117500</v>
      </c>
      <c r="D203" s="926">
        <f>SUM(D204,D216,D218,D220)</f>
        <v>0</v>
      </c>
      <c r="E203" s="926">
        <f>SUM(E204,E216,E218,E220)</f>
        <v>117500</v>
      </c>
      <c r="F203" s="926">
        <f>SUM(G203:H203)</f>
        <v>117500</v>
      </c>
      <c r="G203" s="926">
        <f>SUM(G204,G216,G218,G220)</f>
        <v>0</v>
      </c>
      <c r="H203" s="926">
        <f>SUM(H204,H216,H218,H220)</f>
        <v>117500</v>
      </c>
      <c r="I203" s="926">
        <f t="shared" si="31"/>
        <v>0</v>
      </c>
      <c r="J203" s="926">
        <f>SUM(J204,J216,J218,J220)</f>
        <v>0</v>
      </c>
      <c r="K203" s="926">
        <f>SUM(K204,K216,K218,K220)</f>
        <v>0</v>
      </c>
      <c r="L203" s="927">
        <f t="shared" si="32"/>
        <v>0</v>
      </c>
      <c r="M203" s="928">
        <f t="shared" si="32"/>
        <v>0</v>
      </c>
      <c r="N203" s="928">
        <f t="shared" si="32"/>
        <v>0</v>
      </c>
      <c r="O203" s="1282"/>
      <c r="P203" s="1281" t="s">
        <v>1104</v>
      </c>
      <c r="Q203" s="1065">
        <f t="shared" si="35"/>
        <v>0</v>
      </c>
      <c r="R203" s="1065">
        <f>D203-G203</f>
        <v>0</v>
      </c>
      <c r="S203" s="1065">
        <f>E203-H203</f>
        <v>0</v>
      </c>
      <c r="T203" s="1099"/>
      <c r="U203" s="1100"/>
      <c r="V203" s="1099"/>
      <c r="W203" s="1099"/>
      <c r="X203" s="1216"/>
      <c r="Z203" s="1311">
        <f t="shared" si="24"/>
        <v>0</v>
      </c>
    </row>
    <row r="204" spans="1:26">
      <c r="A204" s="1297"/>
      <c r="B204" s="898" t="s">
        <v>283</v>
      </c>
      <c r="C204" s="1302">
        <f t="shared" si="33"/>
        <v>112656</v>
      </c>
      <c r="D204" s="875">
        <f>SUM(D205:D215)</f>
        <v>0</v>
      </c>
      <c r="E204" s="875">
        <f>SUM(E205:E215)</f>
        <v>112656</v>
      </c>
      <c r="F204" s="1302">
        <f>SUM(G204:H204)</f>
        <v>112656</v>
      </c>
      <c r="G204" s="875">
        <f>SUM(G205:G215)</f>
        <v>0</v>
      </c>
      <c r="H204" s="875">
        <f>SUM(H205:H215)</f>
        <v>112656</v>
      </c>
      <c r="I204" s="1302">
        <f t="shared" si="31"/>
        <v>0</v>
      </c>
      <c r="J204" s="875">
        <f>SUM(J205:J215)</f>
        <v>0</v>
      </c>
      <c r="K204" s="875">
        <f>SUM(K205:K215)</f>
        <v>0</v>
      </c>
      <c r="L204" s="876">
        <f t="shared" si="32"/>
        <v>0</v>
      </c>
      <c r="M204" s="877">
        <f t="shared" si="32"/>
        <v>0</v>
      </c>
      <c r="N204" s="877">
        <f t="shared" si="32"/>
        <v>0</v>
      </c>
      <c r="O204" s="1282"/>
      <c r="P204" s="1281" t="s">
        <v>1100</v>
      </c>
      <c r="Q204" s="1065">
        <f t="shared" si="35"/>
        <v>0</v>
      </c>
      <c r="R204" s="1065">
        <f t="shared" si="35"/>
        <v>0</v>
      </c>
      <c r="S204" s="1065">
        <f t="shared" si="35"/>
        <v>0</v>
      </c>
      <c r="Z204" s="1311">
        <f t="shared" si="24"/>
        <v>0</v>
      </c>
    </row>
    <row r="205" spans="1:26" ht="73.5" customHeight="1">
      <c r="A205" s="1297" t="s">
        <v>538</v>
      </c>
      <c r="B205" s="1295" t="s">
        <v>1080</v>
      </c>
      <c r="C205" s="1302">
        <f t="shared" si="33"/>
        <v>19450</v>
      </c>
      <c r="D205" s="1299">
        <v>0</v>
      </c>
      <c r="E205" s="1299">
        <v>19450</v>
      </c>
      <c r="F205" s="1302">
        <f t="shared" si="34"/>
        <v>19450</v>
      </c>
      <c r="G205" s="1299">
        <v>0</v>
      </c>
      <c r="H205" s="1299">
        <v>19450</v>
      </c>
      <c r="I205" s="1303">
        <f t="shared" si="31"/>
        <v>0</v>
      </c>
      <c r="J205" s="1303">
        <v>0</v>
      </c>
      <c r="K205" s="1303">
        <v>0</v>
      </c>
      <c r="L205" s="877">
        <f t="shared" si="32"/>
        <v>0</v>
      </c>
      <c r="M205" s="877">
        <f t="shared" si="32"/>
        <v>0</v>
      </c>
      <c r="N205" s="877">
        <f t="shared" si="32"/>
        <v>0</v>
      </c>
      <c r="O205" s="1282"/>
      <c r="P205" s="1281" t="s">
        <v>1105</v>
      </c>
      <c r="Q205" s="1065"/>
      <c r="R205" s="1065"/>
      <c r="S205" s="1065"/>
      <c r="T205" s="1099" t="s">
        <v>999</v>
      </c>
      <c r="U205" s="1100">
        <v>1110243180</v>
      </c>
      <c r="V205" s="1099">
        <v>522</v>
      </c>
      <c r="W205" s="1099" t="s">
        <v>1019</v>
      </c>
      <c r="Z205" s="1311">
        <f t="shared" ref="Z205:Z250" si="36">C205-F205</f>
        <v>0</v>
      </c>
    </row>
    <row r="206" spans="1:26" ht="78.75">
      <c r="A206" s="1297" t="s">
        <v>539</v>
      </c>
      <c r="B206" s="1295" t="s">
        <v>1081</v>
      </c>
      <c r="C206" s="1302">
        <f t="shared" si="33"/>
        <v>3235</v>
      </c>
      <c r="D206" s="1299">
        <v>0</v>
      </c>
      <c r="E206" s="1299">
        <v>3235</v>
      </c>
      <c r="F206" s="1302">
        <f t="shared" si="34"/>
        <v>3235</v>
      </c>
      <c r="G206" s="1299">
        <v>0</v>
      </c>
      <c r="H206" s="1299">
        <v>3235</v>
      </c>
      <c r="I206" s="1303">
        <f t="shared" si="31"/>
        <v>0</v>
      </c>
      <c r="J206" s="1303">
        <v>0</v>
      </c>
      <c r="K206" s="1303">
        <v>0</v>
      </c>
      <c r="L206" s="877">
        <f t="shared" si="32"/>
        <v>0</v>
      </c>
      <c r="M206" s="877">
        <f t="shared" si="32"/>
        <v>0</v>
      </c>
      <c r="N206" s="877">
        <f t="shared" si="32"/>
        <v>0</v>
      </c>
      <c r="O206" s="1282"/>
      <c r="Q206" s="1065"/>
      <c r="R206" s="1065"/>
      <c r="S206" s="1065"/>
      <c r="T206" s="1099" t="s">
        <v>999</v>
      </c>
      <c r="U206" s="1100">
        <v>1110243180</v>
      </c>
      <c r="V206" s="1099">
        <v>522</v>
      </c>
      <c r="W206" s="1099" t="s">
        <v>1019</v>
      </c>
      <c r="Z206" s="1311">
        <f t="shared" si="36"/>
        <v>0</v>
      </c>
    </row>
    <row r="207" spans="1:26" ht="61.5" customHeight="1">
      <c r="A207" s="1297" t="s">
        <v>19</v>
      </c>
      <c r="B207" s="1295" t="s">
        <v>1082</v>
      </c>
      <c r="C207" s="1302">
        <f t="shared" si="33"/>
        <v>4116</v>
      </c>
      <c r="D207" s="1299">
        <v>0</v>
      </c>
      <c r="E207" s="1299">
        <v>4116</v>
      </c>
      <c r="F207" s="1302">
        <f t="shared" si="34"/>
        <v>4116</v>
      </c>
      <c r="G207" s="1299">
        <v>0</v>
      </c>
      <c r="H207" s="1299">
        <v>4116</v>
      </c>
      <c r="I207" s="1303">
        <f t="shared" si="31"/>
        <v>0</v>
      </c>
      <c r="J207" s="1303">
        <v>0</v>
      </c>
      <c r="K207" s="1303">
        <v>0</v>
      </c>
      <c r="L207" s="877">
        <f t="shared" si="32"/>
        <v>0</v>
      </c>
      <c r="M207" s="877">
        <f t="shared" si="32"/>
        <v>0</v>
      </c>
      <c r="N207" s="877">
        <f t="shared" si="32"/>
        <v>0</v>
      </c>
      <c r="O207" s="1282"/>
      <c r="Q207" s="1065"/>
      <c r="R207" s="1065"/>
      <c r="S207" s="1065"/>
      <c r="T207" s="1099" t="s">
        <v>999</v>
      </c>
      <c r="U207" s="1100">
        <v>1110243180</v>
      </c>
      <c r="V207" s="1099">
        <v>522</v>
      </c>
      <c r="W207" s="1099" t="s">
        <v>1019</v>
      </c>
      <c r="Z207" s="1311">
        <f t="shared" si="36"/>
        <v>0</v>
      </c>
    </row>
    <row r="208" spans="1:26" ht="87.75" customHeight="1">
      <c r="A208" s="1297" t="s">
        <v>20</v>
      </c>
      <c r="B208" s="1295" t="s">
        <v>1083</v>
      </c>
      <c r="C208" s="1302">
        <f t="shared" si="33"/>
        <v>10687</v>
      </c>
      <c r="D208" s="1299">
        <v>0</v>
      </c>
      <c r="E208" s="1299">
        <v>10687</v>
      </c>
      <c r="F208" s="1302">
        <f t="shared" si="34"/>
        <v>10687</v>
      </c>
      <c r="G208" s="1299">
        <v>0</v>
      </c>
      <c r="H208" s="1299">
        <v>10687</v>
      </c>
      <c r="I208" s="1303">
        <f t="shared" si="31"/>
        <v>0</v>
      </c>
      <c r="J208" s="1303">
        <v>0</v>
      </c>
      <c r="K208" s="1303">
        <v>0</v>
      </c>
      <c r="L208" s="877">
        <f t="shared" si="32"/>
        <v>0</v>
      </c>
      <c r="M208" s="877">
        <f t="shared" si="32"/>
        <v>0</v>
      </c>
      <c r="N208" s="877">
        <f t="shared" si="32"/>
        <v>0</v>
      </c>
      <c r="O208" s="1282"/>
      <c r="Q208" s="1065"/>
      <c r="R208" s="1065"/>
      <c r="S208" s="1065"/>
      <c r="T208" s="1099" t="s">
        <v>999</v>
      </c>
      <c r="U208" s="1100">
        <v>1110243180</v>
      </c>
      <c r="V208" s="1099">
        <v>522</v>
      </c>
      <c r="W208" s="1099" t="s">
        <v>1019</v>
      </c>
      <c r="Z208" s="1311">
        <f t="shared" si="36"/>
        <v>0</v>
      </c>
    </row>
    <row r="209" spans="1:26" ht="95.25" customHeight="1">
      <c r="A209" s="1297" t="s">
        <v>467</v>
      </c>
      <c r="B209" s="1295" t="s">
        <v>1084</v>
      </c>
      <c r="C209" s="1302">
        <f t="shared" si="33"/>
        <v>3822</v>
      </c>
      <c r="D209" s="1299">
        <v>0</v>
      </c>
      <c r="E209" s="1299">
        <v>3822</v>
      </c>
      <c r="F209" s="1302">
        <f t="shared" si="34"/>
        <v>3822</v>
      </c>
      <c r="G209" s="1299">
        <v>0</v>
      </c>
      <c r="H209" s="1299">
        <v>3822</v>
      </c>
      <c r="I209" s="1303">
        <f t="shared" si="31"/>
        <v>0</v>
      </c>
      <c r="J209" s="1303">
        <v>0</v>
      </c>
      <c r="K209" s="1303">
        <v>0</v>
      </c>
      <c r="L209" s="877">
        <f t="shared" si="32"/>
        <v>0</v>
      </c>
      <c r="M209" s="877">
        <f t="shared" si="32"/>
        <v>0</v>
      </c>
      <c r="N209" s="877">
        <f t="shared" si="32"/>
        <v>0</v>
      </c>
      <c r="O209" s="1282"/>
      <c r="Q209" s="1065"/>
      <c r="R209" s="1065"/>
      <c r="S209" s="1065"/>
      <c r="T209" s="1099" t="s">
        <v>999</v>
      </c>
      <c r="U209" s="1100">
        <v>1110243180</v>
      </c>
      <c r="V209" s="1099">
        <v>522</v>
      </c>
      <c r="W209" s="1099" t="s">
        <v>1019</v>
      </c>
      <c r="Z209" s="1311">
        <f t="shared" si="36"/>
        <v>0</v>
      </c>
    </row>
    <row r="210" spans="1:26" ht="78.75">
      <c r="A210" s="1297" t="s">
        <v>468</v>
      </c>
      <c r="B210" s="1295" t="s">
        <v>1085</v>
      </c>
      <c r="C210" s="1302">
        <f t="shared" si="33"/>
        <v>1176</v>
      </c>
      <c r="D210" s="1299">
        <v>0</v>
      </c>
      <c r="E210" s="1299">
        <v>1176</v>
      </c>
      <c r="F210" s="1302">
        <f t="shared" si="34"/>
        <v>1176</v>
      </c>
      <c r="G210" s="1299">
        <v>0</v>
      </c>
      <c r="H210" s="1299">
        <v>1176</v>
      </c>
      <c r="I210" s="1303">
        <f t="shared" si="31"/>
        <v>0</v>
      </c>
      <c r="J210" s="1303">
        <v>0</v>
      </c>
      <c r="K210" s="1303">
        <v>0</v>
      </c>
      <c r="L210" s="877">
        <f t="shared" si="32"/>
        <v>0</v>
      </c>
      <c r="M210" s="877">
        <f t="shared" si="32"/>
        <v>0</v>
      </c>
      <c r="N210" s="877">
        <f t="shared" si="32"/>
        <v>0</v>
      </c>
      <c r="O210" s="1282"/>
      <c r="Q210" s="1065"/>
      <c r="R210" s="1065"/>
      <c r="S210" s="1065"/>
      <c r="T210" s="1099" t="s">
        <v>999</v>
      </c>
      <c r="U210" s="1100">
        <v>1110243180</v>
      </c>
      <c r="V210" s="1099">
        <v>522</v>
      </c>
      <c r="W210" s="1099" t="s">
        <v>1019</v>
      </c>
      <c r="Z210" s="1311">
        <f t="shared" si="36"/>
        <v>0</v>
      </c>
    </row>
    <row r="211" spans="1:26" ht="89.25" customHeight="1">
      <c r="A211" s="1297" t="s">
        <v>685</v>
      </c>
      <c r="B211" s="1295" t="s">
        <v>1086</v>
      </c>
      <c r="C211" s="1302">
        <f t="shared" si="33"/>
        <v>17670</v>
      </c>
      <c r="D211" s="1299">
        <v>0</v>
      </c>
      <c r="E211" s="1299">
        <v>17670</v>
      </c>
      <c r="F211" s="1302">
        <f t="shared" si="34"/>
        <v>17670</v>
      </c>
      <c r="G211" s="1299">
        <v>0</v>
      </c>
      <c r="H211" s="1299">
        <v>17670</v>
      </c>
      <c r="I211" s="1303">
        <f t="shared" si="31"/>
        <v>0</v>
      </c>
      <c r="J211" s="1303">
        <v>0</v>
      </c>
      <c r="K211" s="1303">
        <v>0</v>
      </c>
      <c r="L211" s="877">
        <f t="shared" si="32"/>
        <v>0</v>
      </c>
      <c r="M211" s="877">
        <f t="shared" si="32"/>
        <v>0</v>
      </c>
      <c r="N211" s="877">
        <f t="shared" si="32"/>
        <v>0</v>
      </c>
      <c r="O211" s="1282"/>
      <c r="Q211" s="1065"/>
      <c r="R211" s="1065"/>
      <c r="S211" s="1065"/>
      <c r="T211" s="1099" t="s">
        <v>999</v>
      </c>
      <c r="U211" s="1100">
        <v>1110243180</v>
      </c>
      <c r="V211" s="1099">
        <v>522</v>
      </c>
      <c r="W211" s="1099" t="s">
        <v>1019</v>
      </c>
      <c r="Z211" s="1311">
        <f t="shared" si="36"/>
        <v>0</v>
      </c>
    </row>
    <row r="212" spans="1:26" ht="115.5" customHeight="1">
      <c r="A212" s="1297" t="s">
        <v>687</v>
      </c>
      <c r="B212" s="1295" t="s">
        <v>1087</v>
      </c>
      <c r="C212" s="1302">
        <f t="shared" si="33"/>
        <v>20000</v>
      </c>
      <c r="D212" s="1299">
        <v>0</v>
      </c>
      <c r="E212" s="1299">
        <v>20000</v>
      </c>
      <c r="F212" s="1302">
        <f t="shared" si="34"/>
        <v>20000</v>
      </c>
      <c r="G212" s="1299">
        <v>0</v>
      </c>
      <c r="H212" s="1299">
        <v>20000</v>
      </c>
      <c r="I212" s="1303">
        <f t="shared" si="31"/>
        <v>0</v>
      </c>
      <c r="J212" s="1303">
        <v>0</v>
      </c>
      <c r="K212" s="1303">
        <v>0</v>
      </c>
      <c r="L212" s="877">
        <f t="shared" si="32"/>
        <v>0</v>
      </c>
      <c r="M212" s="877">
        <f t="shared" si="32"/>
        <v>0</v>
      </c>
      <c r="N212" s="877">
        <f t="shared" si="32"/>
        <v>0</v>
      </c>
      <c r="O212" s="1282"/>
      <c r="Q212" s="1065"/>
      <c r="R212" s="1065"/>
      <c r="S212" s="1065"/>
      <c r="T212" s="1099" t="s">
        <v>999</v>
      </c>
      <c r="U212" s="1100">
        <v>1110243180</v>
      </c>
      <c r="V212" s="1099">
        <v>522</v>
      </c>
      <c r="W212" s="1099" t="s">
        <v>1019</v>
      </c>
      <c r="Z212" s="1311">
        <f t="shared" si="36"/>
        <v>0</v>
      </c>
    </row>
    <row r="213" spans="1:26" ht="89.25" customHeight="1">
      <c r="A213" s="1297" t="s">
        <v>686</v>
      </c>
      <c r="B213" s="1295" t="s">
        <v>1089</v>
      </c>
      <c r="C213" s="1302">
        <f t="shared" si="33"/>
        <v>9000</v>
      </c>
      <c r="D213" s="1299">
        <v>0</v>
      </c>
      <c r="E213" s="1299">
        <v>9000</v>
      </c>
      <c r="F213" s="1302">
        <f t="shared" si="34"/>
        <v>9000</v>
      </c>
      <c r="G213" s="1299">
        <v>0</v>
      </c>
      <c r="H213" s="1299">
        <v>9000</v>
      </c>
      <c r="I213" s="1303">
        <f t="shared" si="31"/>
        <v>0</v>
      </c>
      <c r="J213" s="1303">
        <v>0</v>
      </c>
      <c r="K213" s="1303">
        <v>0</v>
      </c>
      <c r="L213" s="877">
        <f t="shared" si="32"/>
        <v>0</v>
      </c>
      <c r="M213" s="877">
        <f t="shared" si="32"/>
        <v>0</v>
      </c>
      <c r="N213" s="877">
        <f t="shared" si="32"/>
        <v>0</v>
      </c>
      <c r="O213" s="1282"/>
      <c r="Q213" s="1065"/>
      <c r="R213" s="1065"/>
      <c r="S213" s="1065"/>
      <c r="T213" s="1099" t="s">
        <v>999</v>
      </c>
      <c r="U213" s="1100">
        <v>1110243180</v>
      </c>
      <c r="V213" s="1099">
        <v>522</v>
      </c>
      <c r="W213" s="1099" t="s">
        <v>1019</v>
      </c>
      <c r="Z213" s="1311">
        <f t="shared" si="36"/>
        <v>0</v>
      </c>
    </row>
    <row r="214" spans="1:26" ht="87.75" customHeight="1">
      <c r="A214" s="1297" t="s">
        <v>688</v>
      </c>
      <c r="B214" s="1295" t="s">
        <v>1090</v>
      </c>
      <c r="C214" s="1302">
        <f t="shared" si="33"/>
        <v>3500</v>
      </c>
      <c r="D214" s="1299">
        <v>0</v>
      </c>
      <c r="E214" s="1299">
        <v>3500</v>
      </c>
      <c r="F214" s="1302">
        <f t="shared" si="34"/>
        <v>3500</v>
      </c>
      <c r="G214" s="1299">
        <v>0</v>
      </c>
      <c r="H214" s="1299">
        <v>3500</v>
      </c>
      <c r="I214" s="1303">
        <f t="shared" si="31"/>
        <v>0</v>
      </c>
      <c r="J214" s="1303">
        <v>0</v>
      </c>
      <c r="K214" s="1303">
        <v>0</v>
      </c>
      <c r="L214" s="877">
        <f t="shared" si="32"/>
        <v>0</v>
      </c>
      <c r="M214" s="877">
        <f t="shared" si="32"/>
        <v>0</v>
      </c>
      <c r="N214" s="877">
        <f t="shared" si="32"/>
        <v>0</v>
      </c>
      <c r="O214" s="1282"/>
      <c r="Q214" s="1065"/>
      <c r="R214" s="1065"/>
      <c r="S214" s="1065"/>
      <c r="T214" s="1099" t="s">
        <v>999</v>
      </c>
      <c r="U214" s="1100">
        <v>1110243180</v>
      </c>
      <c r="V214" s="1099">
        <v>522</v>
      </c>
      <c r="W214" s="1099" t="s">
        <v>1019</v>
      </c>
      <c r="Z214" s="1311">
        <f t="shared" si="36"/>
        <v>0</v>
      </c>
    </row>
    <row r="215" spans="1:26" ht="81.75" customHeight="1">
      <c r="A215" s="1297" t="s">
        <v>98</v>
      </c>
      <c r="B215" s="1295" t="s">
        <v>1090</v>
      </c>
      <c r="C215" s="1302">
        <f t="shared" si="33"/>
        <v>20000</v>
      </c>
      <c r="D215" s="1299">
        <v>0</v>
      </c>
      <c r="E215" s="1299">
        <v>20000</v>
      </c>
      <c r="F215" s="1302">
        <f t="shared" si="34"/>
        <v>20000</v>
      </c>
      <c r="G215" s="1299">
        <v>0</v>
      </c>
      <c r="H215" s="1299">
        <v>20000</v>
      </c>
      <c r="I215" s="1303">
        <f t="shared" si="31"/>
        <v>0</v>
      </c>
      <c r="J215" s="1303">
        <v>0</v>
      </c>
      <c r="K215" s="1303">
        <v>0</v>
      </c>
      <c r="L215" s="877">
        <f t="shared" si="32"/>
        <v>0</v>
      </c>
      <c r="M215" s="877">
        <f t="shared" si="32"/>
        <v>0</v>
      </c>
      <c r="N215" s="877">
        <f t="shared" si="32"/>
        <v>0</v>
      </c>
      <c r="O215" s="1282"/>
      <c r="Q215" s="1065"/>
      <c r="R215" s="1065"/>
      <c r="S215" s="1065"/>
      <c r="T215" s="1099" t="s">
        <v>999</v>
      </c>
      <c r="U215" s="1100">
        <v>1110243180</v>
      </c>
      <c r="V215" s="1099">
        <v>522</v>
      </c>
      <c r="W215" s="1099" t="s">
        <v>1019</v>
      </c>
      <c r="Z215" s="1311">
        <f t="shared" si="36"/>
        <v>0</v>
      </c>
    </row>
    <row r="216" spans="1:26">
      <c r="A216" s="1297"/>
      <c r="B216" s="898" t="s">
        <v>457</v>
      </c>
      <c r="C216" s="1302">
        <f t="shared" si="33"/>
        <v>1325</v>
      </c>
      <c r="D216" s="875">
        <f>SUM(D217)</f>
        <v>0</v>
      </c>
      <c r="E216" s="875">
        <f>SUM(E217)</f>
        <v>1325</v>
      </c>
      <c r="F216" s="1302">
        <f t="shared" si="34"/>
        <v>1325</v>
      </c>
      <c r="G216" s="875">
        <f>SUM(G217)</f>
        <v>0</v>
      </c>
      <c r="H216" s="875">
        <f>SUM(H217)</f>
        <v>1325</v>
      </c>
      <c r="I216" s="1302">
        <f t="shared" si="31"/>
        <v>0</v>
      </c>
      <c r="J216" s="875">
        <f>SUM(J217)</f>
        <v>0</v>
      </c>
      <c r="K216" s="875">
        <f>SUM(K217)</f>
        <v>0</v>
      </c>
      <c r="L216" s="1300">
        <f t="shared" si="32"/>
        <v>0</v>
      </c>
      <c r="M216" s="875">
        <f t="shared" si="32"/>
        <v>0</v>
      </c>
      <c r="N216" s="875">
        <f t="shared" si="32"/>
        <v>0</v>
      </c>
      <c r="O216" s="1282"/>
      <c r="Q216" s="1065">
        <f t="shared" ref="Q216:S220" si="37">C216-F216</f>
        <v>0</v>
      </c>
      <c r="R216" s="1065">
        <f t="shared" si="37"/>
        <v>0</v>
      </c>
      <c r="S216" s="1065">
        <f t="shared" si="37"/>
        <v>0</v>
      </c>
      <c r="Z216" s="1311">
        <f t="shared" si="36"/>
        <v>0</v>
      </c>
    </row>
    <row r="217" spans="1:26" ht="108" customHeight="1">
      <c r="A217" s="1297" t="s">
        <v>99</v>
      </c>
      <c r="B217" s="1295" t="s">
        <v>1093</v>
      </c>
      <c r="C217" s="1303">
        <f t="shared" si="33"/>
        <v>1325</v>
      </c>
      <c r="D217" s="879">
        <v>0</v>
      </c>
      <c r="E217" s="879">
        <v>1325</v>
      </c>
      <c r="F217" s="1303">
        <f t="shared" si="34"/>
        <v>1325</v>
      </c>
      <c r="G217" s="879">
        <v>0</v>
      </c>
      <c r="H217" s="879">
        <v>1325</v>
      </c>
      <c r="I217" s="1303">
        <f t="shared" si="31"/>
        <v>0</v>
      </c>
      <c r="J217" s="1303">
        <v>0</v>
      </c>
      <c r="K217" s="1303">
        <v>0</v>
      </c>
      <c r="L217" s="877">
        <f t="shared" si="32"/>
        <v>0</v>
      </c>
      <c r="M217" s="877">
        <f t="shared" si="32"/>
        <v>0</v>
      </c>
      <c r="N217" s="877">
        <f t="shared" si="32"/>
        <v>0</v>
      </c>
      <c r="O217" s="1282"/>
      <c r="Q217" s="1065">
        <f t="shared" si="37"/>
        <v>0</v>
      </c>
      <c r="R217" s="1065">
        <f t="shared" si="37"/>
        <v>0</v>
      </c>
      <c r="S217" s="1065">
        <f t="shared" si="37"/>
        <v>0</v>
      </c>
      <c r="T217" s="1099" t="s">
        <v>999</v>
      </c>
      <c r="U217" s="1100">
        <v>1110243180</v>
      </c>
      <c r="V217" s="1099">
        <v>522</v>
      </c>
      <c r="W217" s="1099" t="s">
        <v>1019</v>
      </c>
      <c r="Z217" s="1311">
        <f t="shared" si="36"/>
        <v>0</v>
      </c>
    </row>
    <row r="218" spans="1:26">
      <c r="A218" s="991"/>
      <c r="B218" s="898" t="s">
        <v>68</v>
      </c>
      <c r="C218" s="1302">
        <f t="shared" si="33"/>
        <v>671</v>
      </c>
      <c r="D218" s="875">
        <f>SUM(D219)</f>
        <v>0</v>
      </c>
      <c r="E218" s="875">
        <f>SUM(E219)</f>
        <v>671</v>
      </c>
      <c r="F218" s="1302">
        <f t="shared" si="34"/>
        <v>671</v>
      </c>
      <c r="G218" s="875">
        <f>SUM(G219)</f>
        <v>0</v>
      </c>
      <c r="H218" s="875">
        <f>SUM(H219)</f>
        <v>671</v>
      </c>
      <c r="I218" s="1302">
        <f t="shared" si="31"/>
        <v>0</v>
      </c>
      <c r="J218" s="875">
        <f>SUM(J219)</f>
        <v>0</v>
      </c>
      <c r="K218" s="875">
        <f>SUM(K219)</f>
        <v>0</v>
      </c>
      <c r="L218" s="876">
        <f t="shared" si="32"/>
        <v>0</v>
      </c>
      <c r="M218" s="877">
        <f t="shared" si="32"/>
        <v>0</v>
      </c>
      <c r="N218" s="877">
        <f t="shared" si="32"/>
        <v>0</v>
      </c>
      <c r="O218" s="1282"/>
      <c r="Q218" s="1065">
        <f t="shared" si="37"/>
        <v>0</v>
      </c>
      <c r="R218" s="1065">
        <f t="shared" si="37"/>
        <v>0</v>
      </c>
      <c r="S218" s="1065">
        <f t="shared" si="37"/>
        <v>0</v>
      </c>
      <c r="Z218" s="1311">
        <f t="shared" si="36"/>
        <v>0</v>
      </c>
    </row>
    <row r="219" spans="1:26" ht="120.75" customHeight="1">
      <c r="A219" s="1297" t="s">
        <v>100</v>
      </c>
      <c r="B219" s="1295" t="s">
        <v>1091</v>
      </c>
      <c r="C219" s="1303">
        <f t="shared" si="33"/>
        <v>671</v>
      </c>
      <c r="D219" s="1299">
        <v>0</v>
      </c>
      <c r="E219" s="1299">
        <v>671</v>
      </c>
      <c r="F219" s="1303">
        <f t="shared" si="34"/>
        <v>671</v>
      </c>
      <c r="G219" s="1299">
        <v>0</v>
      </c>
      <c r="H219" s="1299">
        <v>671</v>
      </c>
      <c r="I219" s="1303">
        <f t="shared" si="31"/>
        <v>0</v>
      </c>
      <c r="J219" s="1303">
        <v>0</v>
      </c>
      <c r="K219" s="1303">
        <v>0</v>
      </c>
      <c r="L219" s="877">
        <f t="shared" si="32"/>
        <v>0</v>
      </c>
      <c r="M219" s="877">
        <f t="shared" si="32"/>
        <v>0</v>
      </c>
      <c r="N219" s="877">
        <f t="shared" si="32"/>
        <v>0</v>
      </c>
      <c r="O219" s="1282"/>
      <c r="Q219" s="1065">
        <f t="shared" si="37"/>
        <v>0</v>
      </c>
      <c r="R219" s="1065">
        <f t="shared" si="37"/>
        <v>0</v>
      </c>
      <c r="S219" s="1065">
        <f t="shared" si="37"/>
        <v>0</v>
      </c>
      <c r="T219" s="1099" t="s">
        <v>999</v>
      </c>
      <c r="U219" s="1100">
        <v>1110243180</v>
      </c>
      <c r="V219" s="1099">
        <v>522</v>
      </c>
      <c r="W219" s="1099" t="s">
        <v>1019</v>
      </c>
      <c r="Z219" s="1311">
        <f t="shared" si="36"/>
        <v>0</v>
      </c>
    </row>
    <row r="220" spans="1:26" ht="39" customHeight="1">
      <c r="A220" s="1297"/>
      <c r="B220" s="898" t="s">
        <v>431</v>
      </c>
      <c r="C220" s="1302">
        <f t="shared" si="33"/>
        <v>2848</v>
      </c>
      <c r="D220" s="875">
        <f>SUM(D221)</f>
        <v>0</v>
      </c>
      <c r="E220" s="875">
        <f>SUM(E221)</f>
        <v>2848</v>
      </c>
      <c r="F220" s="1302">
        <f t="shared" si="34"/>
        <v>2848</v>
      </c>
      <c r="G220" s="875">
        <f>SUM(G221)</f>
        <v>0</v>
      </c>
      <c r="H220" s="875">
        <f>SUM(H221)</f>
        <v>2848</v>
      </c>
      <c r="I220" s="1302">
        <f t="shared" si="31"/>
        <v>0</v>
      </c>
      <c r="J220" s="875">
        <f>SUM(J221)</f>
        <v>0</v>
      </c>
      <c r="K220" s="875">
        <f>SUM(K221)</f>
        <v>0</v>
      </c>
      <c r="L220" s="876">
        <f t="shared" si="32"/>
        <v>0</v>
      </c>
      <c r="M220" s="877">
        <f t="shared" si="32"/>
        <v>0</v>
      </c>
      <c r="N220" s="877">
        <f t="shared" si="32"/>
        <v>0</v>
      </c>
      <c r="O220" s="1282"/>
      <c r="Q220" s="1065">
        <f t="shared" si="37"/>
        <v>0</v>
      </c>
      <c r="R220" s="1065">
        <f t="shared" si="37"/>
        <v>0</v>
      </c>
      <c r="S220" s="1065">
        <f t="shared" si="37"/>
        <v>0</v>
      </c>
      <c r="Z220" s="1311">
        <f t="shared" si="36"/>
        <v>0</v>
      </c>
    </row>
    <row r="221" spans="1:26" ht="130.5" customHeight="1">
      <c r="A221" s="1297" t="s">
        <v>101</v>
      </c>
      <c r="B221" s="1295" t="s">
        <v>1092</v>
      </c>
      <c r="C221" s="1303">
        <f t="shared" si="33"/>
        <v>2848</v>
      </c>
      <c r="D221" s="1299">
        <v>0</v>
      </c>
      <c r="E221" s="1299">
        <v>2848</v>
      </c>
      <c r="F221" s="1303">
        <f t="shared" si="34"/>
        <v>2848</v>
      </c>
      <c r="G221" s="1299">
        <v>0</v>
      </c>
      <c r="H221" s="1299">
        <f>E221</f>
        <v>2848</v>
      </c>
      <c r="I221" s="1303">
        <f t="shared" si="31"/>
        <v>0</v>
      </c>
      <c r="J221" s="1303">
        <v>0</v>
      </c>
      <c r="K221" s="1303">
        <v>0</v>
      </c>
      <c r="L221" s="877">
        <f t="shared" si="32"/>
        <v>0</v>
      </c>
      <c r="M221" s="877">
        <f t="shared" si="32"/>
        <v>0</v>
      </c>
      <c r="N221" s="877">
        <f t="shared" si="32"/>
        <v>0</v>
      </c>
      <c r="O221" s="1282"/>
      <c r="Q221" s="1065"/>
      <c r="R221" s="1065"/>
      <c r="S221" s="1065"/>
      <c r="T221" s="1099" t="s">
        <v>999</v>
      </c>
      <c r="U221" s="1100">
        <v>1110243180</v>
      </c>
      <c r="V221" s="1099">
        <v>522</v>
      </c>
      <c r="W221" s="1099" t="s">
        <v>1019</v>
      </c>
      <c r="Z221" s="1311">
        <f t="shared" si="36"/>
        <v>0</v>
      </c>
    </row>
    <row r="222" spans="1:26" s="914" customFormat="1" ht="87.75" customHeight="1">
      <c r="A222" s="1304" t="s">
        <v>2</v>
      </c>
      <c r="B222" s="925" t="s">
        <v>222</v>
      </c>
      <c r="C222" s="926">
        <f t="shared" si="33"/>
        <v>1082666.3999999999</v>
      </c>
      <c r="D222" s="926">
        <f>SUM(D223,D239)</f>
        <v>909500</v>
      </c>
      <c r="E222" s="926">
        <f>SUM(E223,E239)</f>
        <v>173166.4</v>
      </c>
      <c r="F222" s="926">
        <f t="shared" si="34"/>
        <v>1080774.1000000001</v>
      </c>
      <c r="G222" s="926">
        <f>SUM(G223,G239)</f>
        <v>907801.2</v>
      </c>
      <c r="H222" s="926">
        <f>SUM(H223,H239)</f>
        <v>172972.9</v>
      </c>
      <c r="I222" s="926">
        <f t="shared" si="31"/>
        <v>188516.5</v>
      </c>
      <c r="J222" s="926">
        <f>SUM(J223,J239)</f>
        <v>160953.1</v>
      </c>
      <c r="K222" s="926">
        <f>SUM(K223,K239)</f>
        <v>27563.4</v>
      </c>
      <c r="L222" s="927">
        <f t="shared" si="32"/>
        <v>17.399999999999999</v>
      </c>
      <c r="M222" s="928">
        <f t="shared" si="32"/>
        <v>17.7</v>
      </c>
      <c r="N222" s="928">
        <f t="shared" si="32"/>
        <v>15.9</v>
      </c>
      <c r="O222" s="1282"/>
      <c r="P222" s="1208"/>
      <c r="Q222" s="1065">
        <f t="shared" ref="Q222:S251" si="38">C222-F222</f>
        <v>1892.3</v>
      </c>
      <c r="R222" s="1065">
        <f t="shared" si="38"/>
        <v>1698.8</v>
      </c>
      <c r="S222" s="1065">
        <f t="shared" si="38"/>
        <v>193.5</v>
      </c>
      <c r="T222" s="1099"/>
      <c r="U222" s="1100"/>
      <c r="V222" s="1099"/>
      <c r="W222" s="1099"/>
      <c r="X222" s="1216"/>
      <c r="Z222" s="1311">
        <f t="shared" si="36"/>
        <v>1892.3</v>
      </c>
    </row>
    <row r="223" spans="1:26" s="914" customFormat="1" ht="62.25" customHeight="1">
      <c r="A223" s="1305" t="s">
        <v>246</v>
      </c>
      <c r="B223" s="932" t="s">
        <v>41</v>
      </c>
      <c r="C223" s="933">
        <f>D223+E223</f>
        <v>967706.4</v>
      </c>
      <c r="D223" s="933">
        <f>SUM(D237,D224)</f>
        <v>909500</v>
      </c>
      <c r="E223" s="933">
        <f>SUM(E237,E224)</f>
        <v>58206.400000000001</v>
      </c>
      <c r="F223" s="933">
        <f>G223+H223</f>
        <v>965814.1</v>
      </c>
      <c r="G223" s="933">
        <f>SUM(G237,G224)</f>
        <v>907801.2</v>
      </c>
      <c r="H223" s="933">
        <f>SUM(H237,H224)</f>
        <v>58012.9</v>
      </c>
      <c r="I223" s="933">
        <f>J223+K223</f>
        <v>171232.2</v>
      </c>
      <c r="J223" s="933">
        <f>SUM(J237,J224)</f>
        <v>160953.1</v>
      </c>
      <c r="K223" s="933">
        <f>SUM(K237,K224)</f>
        <v>10279.1</v>
      </c>
      <c r="L223" s="935">
        <f t="shared" si="32"/>
        <v>17.7</v>
      </c>
      <c r="M223" s="936">
        <f t="shared" si="32"/>
        <v>17.7</v>
      </c>
      <c r="N223" s="936">
        <f t="shared" si="32"/>
        <v>17.7</v>
      </c>
      <c r="O223" s="1282"/>
      <c r="P223" s="1208"/>
      <c r="Q223" s="1065">
        <f t="shared" si="38"/>
        <v>1892.3</v>
      </c>
      <c r="R223" s="1065">
        <f t="shared" si="38"/>
        <v>1698.8</v>
      </c>
      <c r="S223" s="1065">
        <f t="shared" si="38"/>
        <v>193.5</v>
      </c>
      <c r="T223" s="1099"/>
      <c r="U223" s="1100"/>
      <c r="V223" s="1099"/>
      <c r="W223" s="1099"/>
      <c r="X223" s="1216"/>
      <c r="Z223" s="1311">
        <f t="shared" si="36"/>
        <v>1892.3</v>
      </c>
    </row>
    <row r="224" spans="1:26" s="959" customFormat="1" ht="63.75" customHeight="1">
      <c r="A224" s="1189" t="s">
        <v>247</v>
      </c>
      <c r="B224" s="1054" t="s">
        <v>446</v>
      </c>
      <c r="C224" s="1055">
        <f>SUM(D224:E224)</f>
        <v>907600</v>
      </c>
      <c r="D224" s="1056">
        <f>SUM(D225:D236)</f>
        <v>853000</v>
      </c>
      <c r="E224" s="1056">
        <f>SUM(E225:E236)</f>
        <v>54600</v>
      </c>
      <c r="F224" s="1055">
        <f>SUM(G224:H224)</f>
        <v>905707.7</v>
      </c>
      <c r="G224" s="1056">
        <f>SUM(G225:G236)</f>
        <v>851301.2</v>
      </c>
      <c r="H224" s="1056">
        <f>SUM(H225:H236)</f>
        <v>54406.5</v>
      </c>
      <c r="I224" s="1055">
        <f>SUM(J224:K224)</f>
        <v>143995.5</v>
      </c>
      <c r="J224" s="1056">
        <f>SUM(J225:J236)</f>
        <v>135350.6</v>
      </c>
      <c r="K224" s="1056">
        <f>SUM(K225:K236)</f>
        <v>8644.9</v>
      </c>
      <c r="L224" s="1053">
        <f t="shared" si="32"/>
        <v>15.9</v>
      </c>
      <c r="M224" s="1053">
        <f t="shared" si="32"/>
        <v>15.9</v>
      </c>
      <c r="N224" s="1053">
        <f t="shared" si="32"/>
        <v>15.9</v>
      </c>
      <c r="O224" s="1282"/>
      <c r="P224" s="1208"/>
      <c r="Q224" s="1065">
        <f t="shared" si="38"/>
        <v>1892.3</v>
      </c>
      <c r="R224" s="1065">
        <f t="shared" si="38"/>
        <v>1698.8</v>
      </c>
      <c r="S224" s="1065">
        <f t="shared" si="38"/>
        <v>193.5</v>
      </c>
      <c r="T224" s="1099"/>
      <c r="U224" s="1100"/>
      <c r="V224" s="1099"/>
      <c r="W224" s="1099"/>
      <c r="X224" s="1218"/>
      <c r="Z224" s="1311">
        <f t="shared" si="36"/>
        <v>1892.3</v>
      </c>
    </row>
    <row r="225" spans="1:26" s="959" customFormat="1" ht="39" customHeight="1">
      <c r="A225" s="895"/>
      <c r="B225" s="937" t="s">
        <v>1000</v>
      </c>
      <c r="C225" s="871">
        <f>SUM(D225:E225)</f>
        <v>1892.3</v>
      </c>
      <c r="D225" s="884">
        <v>1698.8</v>
      </c>
      <c r="E225" s="887">
        <v>193.5</v>
      </c>
      <c r="F225" s="1302">
        <f>G225+H225</f>
        <v>0</v>
      </c>
      <c r="G225" s="887">
        <v>0</v>
      </c>
      <c r="H225" s="887">
        <v>0</v>
      </c>
      <c r="I225" s="1302">
        <f t="shared" ref="I225:I243" si="39">SUM(J225:K225)</f>
        <v>0</v>
      </c>
      <c r="J225" s="884">
        <v>0</v>
      </c>
      <c r="K225" s="887">
        <v>0</v>
      </c>
      <c r="L225" s="876">
        <f t="shared" si="32"/>
        <v>0</v>
      </c>
      <c r="M225" s="877">
        <f t="shared" si="32"/>
        <v>0</v>
      </c>
      <c r="N225" s="877">
        <f t="shared" si="32"/>
        <v>0</v>
      </c>
      <c r="O225" s="1282"/>
      <c r="P225" s="1208"/>
      <c r="Q225" s="1065"/>
      <c r="R225" s="1065"/>
      <c r="S225" s="1065"/>
      <c r="T225" s="1099" t="s">
        <v>999</v>
      </c>
      <c r="U225" s="1100" t="s">
        <v>1001</v>
      </c>
      <c r="V225" s="1099">
        <v>414</v>
      </c>
      <c r="W225" s="1099"/>
      <c r="X225" s="1218"/>
      <c r="Z225" s="1311">
        <f t="shared" si="36"/>
        <v>1892.3</v>
      </c>
    </row>
    <row r="226" spans="1:26" ht="61.5" customHeight="1">
      <c r="A226" s="895">
        <v>1</v>
      </c>
      <c r="B226" s="937" t="s">
        <v>668</v>
      </c>
      <c r="C226" s="871">
        <f t="shared" ref="C226:C243" si="40">SUM(D226:E226)</f>
        <v>452152</v>
      </c>
      <c r="D226" s="884">
        <v>425019.2</v>
      </c>
      <c r="E226" s="887">
        <v>27132.799999999999</v>
      </c>
      <c r="F226" s="1302">
        <f>G226+H226</f>
        <v>452152</v>
      </c>
      <c r="G226" s="887">
        <f>D226</f>
        <v>425019.2</v>
      </c>
      <c r="H226" s="887">
        <f>E226</f>
        <v>27132.799999999999</v>
      </c>
      <c r="I226" s="1302">
        <f t="shared" si="39"/>
        <v>103870.2</v>
      </c>
      <c r="J226" s="884">
        <v>97637.1</v>
      </c>
      <c r="K226" s="887">
        <v>6233.1</v>
      </c>
      <c r="L226" s="876">
        <f t="shared" ref="L226:N243" si="41">IF(I226=0,0,I226/F226*100)</f>
        <v>23</v>
      </c>
      <c r="M226" s="877">
        <f t="shared" si="41"/>
        <v>23</v>
      </c>
      <c r="N226" s="877">
        <f t="shared" si="41"/>
        <v>23</v>
      </c>
      <c r="O226" s="1282"/>
      <c r="Q226" s="1065">
        <f t="shared" si="38"/>
        <v>0</v>
      </c>
      <c r="R226" s="1065">
        <f t="shared" si="38"/>
        <v>0</v>
      </c>
      <c r="S226" s="1065">
        <f t="shared" si="38"/>
        <v>0</v>
      </c>
      <c r="T226" s="1099" t="s">
        <v>999</v>
      </c>
      <c r="U226" s="1100" t="s">
        <v>1005</v>
      </c>
      <c r="V226" s="1099">
        <v>414</v>
      </c>
      <c r="W226" s="1099" t="s">
        <v>1006</v>
      </c>
      <c r="Z226" s="1311">
        <f t="shared" si="36"/>
        <v>0</v>
      </c>
    </row>
    <row r="227" spans="1:26" ht="75" customHeight="1">
      <c r="A227" s="895">
        <v>2</v>
      </c>
      <c r="B227" s="1296" t="s">
        <v>470</v>
      </c>
      <c r="C227" s="871">
        <f t="shared" si="40"/>
        <v>50107.7</v>
      </c>
      <c r="D227" s="887">
        <v>47101.2</v>
      </c>
      <c r="E227" s="887">
        <v>3006.5</v>
      </c>
      <c r="F227" s="871">
        <f t="shared" ref="F227:F243" si="42">SUM(G227:H227)</f>
        <v>50107.7</v>
      </c>
      <c r="G227" s="887">
        <f t="shared" ref="G227:H236" si="43">D227</f>
        <v>47101.2</v>
      </c>
      <c r="H227" s="887">
        <f t="shared" si="43"/>
        <v>3006.5</v>
      </c>
      <c r="I227" s="871">
        <f t="shared" si="39"/>
        <v>14029.6</v>
      </c>
      <c r="J227" s="887">
        <v>13187.8</v>
      </c>
      <c r="K227" s="887">
        <v>841.8</v>
      </c>
      <c r="L227" s="872">
        <f t="shared" si="41"/>
        <v>28</v>
      </c>
      <c r="M227" s="873">
        <f t="shared" si="41"/>
        <v>28</v>
      </c>
      <c r="N227" s="873">
        <f t="shared" si="41"/>
        <v>28</v>
      </c>
      <c r="O227" s="1282"/>
      <c r="Q227" s="1065">
        <f t="shared" si="38"/>
        <v>0</v>
      </c>
      <c r="R227" s="1065">
        <f t="shared" si="38"/>
        <v>0</v>
      </c>
      <c r="S227" s="1065">
        <f t="shared" si="38"/>
        <v>0</v>
      </c>
      <c r="T227" s="1099" t="s">
        <v>999</v>
      </c>
      <c r="U227" s="1100" t="s">
        <v>1010</v>
      </c>
      <c r="V227" s="1099">
        <v>414</v>
      </c>
      <c r="W227" s="1099" t="s">
        <v>1011</v>
      </c>
      <c r="Z227" s="1311">
        <f t="shared" si="36"/>
        <v>0</v>
      </c>
    </row>
    <row r="228" spans="1:26" ht="90" customHeight="1">
      <c r="A228" s="895">
        <v>3</v>
      </c>
      <c r="B228" s="1296" t="s">
        <v>622</v>
      </c>
      <c r="C228" s="871">
        <f>SUM(D228:E228)</f>
        <v>64810.2</v>
      </c>
      <c r="D228" s="887">
        <v>60910.9</v>
      </c>
      <c r="E228" s="887">
        <v>3899.3</v>
      </c>
      <c r="F228" s="871">
        <f t="shared" si="42"/>
        <v>64810.2</v>
      </c>
      <c r="G228" s="887">
        <f t="shared" si="43"/>
        <v>60910.9</v>
      </c>
      <c r="H228" s="887">
        <f t="shared" si="43"/>
        <v>3899.3</v>
      </c>
      <c r="I228" s="871">
        <f t="shared" si="39"/>
        <v>0</v>
      </c>
      <c r="J228" s="887">
        <v>0</v>
      </c>
      <c r="K228" s="887">
        <v>0</v>
      </c>
      <c r="L228" s="872">
        <f t="shared" si="41"/>
        <v>0</v>
      </c>
      <c r="M228" s="873">
        <f t="shared" si="41"/>
        <v>0</v>
      </c>
      <c r="N228" s="873">
        <f t="shared" si="41"/>
        <v>0</v>
      </c>
      <c r="O228" s="1282"/>
      <c r="Q228" s="1065">
        <f t="shared" si="38"/>
        <v>0</v>
      </c>
      <c r="R228" s="1065">
        <f t="shared" si="38"/>
        <v>0</v>
      </c>
      <c r="S228" s="1065">
        <f t="shared" si="38"/>
        <v>0</v>
      </c>
      <c r="T228" s="1099" t="s">
        <v>999</v>
      </c>
      <c r="U228" s="1100" t="s">
        <v>1016</v>
      </c>
      <c r="V228" s="1099">
        <v>414</v>
      </c>
      <c r="W228" s="1099" t="s">
        <v>1004</v>
      </c>
      <c r="Z228" s="1311">
        <f t="shared" si="36"/>
        <v>0</v>
      </c>
    </row>
    <row r="229" spans="1:26" ht="90" customHeight="1">
      <c r="A229" s="895">
        <v>4</v>
      </c>
      <c r="B229" s="1296" t="s">
        <v>837</v>
      </c>
      <c r="C229" s="871">
        <f t="shared" si="40"/>
        <v>38427.4</v>
      </c>
      <c r="D229" s="887">
        <v>36115.4</v>
      </c>
      <c r="E229" s="887">
        <v>2312</v>
      </c>
      <c r="F229" s="871">
        <f t="shared" si="42"/>
        <v>38427.4</v>
      </c>
      <c r="G229" s="887">
        <f t="shared" si="43"/>
        <v>36115.4</v>
      </c>
      <c r="H229" s="887">
        <f t="shared" si="43"/>
        <v>2312</v>
      </c>
      <c r="I229" s="871">
        <f t="shared" si="39"/>
        <v>9300</v>
      </c>
      <c r="J229" s="887">
        <v>8740.5</v>
      </c>
      <c r="K229" s="887">
        <v>559.5</v>
      </c>
      <c r="L229" s="872">
        <f t="shared" si="41"/>
        <v>24.2</v>
      </c>
      <c r="M229" s="873">
        <f t="shared" si="41"/>
        <v>24.2</v>
      </c>
      <c r="N229" s="873">
        <f t="shared" si="41"/>
        <v>24.2</v>
      </c>
      <c r="O229" s="1282"/>
      <c r="Q229" s="1065">
        <f t="shared" si="38"/>
        <v>0</v>
      </c>
      <c r="R229" s="1065">
        <f t="shared" si="38"/>
        <v>0</v>
      </c>
      <c r="S229" s="1065">
        <f t="shared" si="38"/>
        <v>0</v>
      </c>
      <c r="T229" s="1099" t="s">
        <v>999</v>
      </c>
      <c r="U229" s="1100" t="s">
        <v>1015</v>
      </c>
      <c r="V229" s="1099">
        <v>414</v>
      </c>
      <c r="W229" s="1099" t="s">
        <v>1004</v>
      </c>
      <c r="Z229" s="1311">
        <f t="shared" si="36"/>
        <v>0</v>
      </c>
    </row>
    <row r="230" spans="1:26" ht="90" customHeight="1">
      <c r="A230" s="895">
        <v>5</v>
      </c>
      <c r="B230" s="1296" t="s">
        <v>620</v>
      </c>
      <c r="C230" s="871">
        <f>SUM(D230:E230)</f>
        <v>115978.8</v>
      </c>
      <c r="D230" s="887">
        <v>109001</v>
      </c>
      <c r="E230" s="887">
        <v>6977.8</v>
      </c>
      <c r="F230" s="871">
        <f t="shared" si="42"/>
        <v>115978.8</v>
      </c>
      <c r="G230" s="887">
        <f t="shared" si="43"/>
        <v>109001</v>
      </c>
      <c r="H230" s="887">
        <f t="shared" si="43"/>
        <v>6977.8</v>
      </c>
      <c r="I230" s="871">
        <f t="shared" si="39"/>
        <v>0</v>
      </c>
      <c r="J230" s="887">
        <v>0</v>
      </c>
      <c r="K230" s="887">
        <v>0</v>
      </c>
      <c r="L230" s="872">
        <f t="shared" si="41"/>
        <v>0</v>
      </c>
      <c r="M230" s="873">
        <f t="shared" si="41"/>
        <v>0</v>
      </c>
      <c r="N230" s="873">
        <f t="shared" si="41"/>
        <v>0</v>
      </c>
      <c r="O230" s="1282"/>
      <c r="Q230" s="1065">
        <f t="shared" si="38"/>
        <v>0</v>
      </c>
      <c r="R230" s="1065">
        <f t="shared" si="38"/>
        <v>0</v>
      </c>
      <c r="S230" s="1065">
        <f t="shared" si="38"/>
        <v>0</v>
      </c>
      <c r="T230" s="1099" t="s">
        <v>999</v>
      </c>
      <c r="U230" s="1100" t="s">
        <v>1014</v>
      </c>
      <c r="V230" s="1099">
        <v>414</v>
      </c>
      <c r="W230" s="1099" t="s">
        <v>1004</v>
      </c>
      <c r="Z230" s="1311">
        <f t="shared" si="36"/>
        <v>0</v>
      </c>
    </row>
    <row r="231" spans="1:26" ht="75" customHeight="1">
      <c r="A231" s="895">
        <v>6</v>
      </c>
      <c r="B231" s="1296" t="s">
        <v>471</v>
      </c>
      <c r="C231" s="871">
        <f t="shared" si="40"/>
        <v>9500</v>
      </c>
      <c r="D231" s="887">
        <v>8928.4</v>
      </c>
      <c r="E231" s="887">
        <v>571.6</v>
      </c>
      <c r="F231" s="871">
        <f t="shared" si="42"/>
        <v>9500</v>
      </c>
      <c r="G231" s="887">
        <f t="shared" si="43"/>
        <v>8928.4</v>
      </c>
      <c r="H231" s="887">
        <f t="shared" si="43"/>
        <v>571.6</v>
      </c>
      <c r="I231" s="871">
        <f t="shared" si="39"/>
        <v>614.6</v>
      </c>
      <c r="J231" s="887">
        <v>577.6</v>
      </c>
      <c r="K231" s="887">
        <v>37</v>
      </c>
      <c r="L231" s="872">
        <f t="shared" si="41"/>
        <v>6.5</v>
      </c>
      <c r="M231" s="873">
        <f t="shared" si="41"/>
        <v>6.5</v>
      </c>
      <c r="N231" s="873">
        <f t="shared" si="41"/>
        <v>6.5</v>
      </c>
      <c r="O231" s="1282"/>
      <c r="Q231" s="1065">
        <f t="shared" si="38"/>
        <v>0</v>
      </c>
      <c r="R231" s="1065">
        <f t="shared" si="38"/>
        <v>0</v>
      </c>
      <c r="S231" s="1065">
        <f t="shared" si="38"/>
        <v>0</v>
      </c>
      <c r="T231" s="1099" t="s">
        <v>999</v>
      </c>
      <c r="U231" s="1100" t="s">
        <v>1012</v>
      </c>
      <c r="V231" s="1099">
        <v>414</v>
      </c>
      <c r="W231" s="1099" t="s">
        <v>1004</v>
      </c>
      <c r="Z231" s="1311">
        <f t="shared" si="36"/>
        <v>0</v>
      </c>
    </row>
    <row r="232" spans="1:26" ht="75" customHeight="1">
      <c r="A232" s="895">
        <v>7</v>
      </c>
      <c r="B232" s="1296" t="s">
        <v>472</v>
      </c>
      <c r="C232" s="871">
        <f t="shared" si="40"/>
        <v>16500</v>
      </c>
      <c r="D232" s="887">
        <v>15507.2</v>
      </c>
      <c r="E232" s="887">
        <v>992.8</v>
      </c>
      <c r="F232" s="871">
        <f t="shared" si="42"/>
        <v>16500</v>
      </c>
      <c r="G232" s="887">
        <f t="shared" si="43"/>
        <v>15507.2</v>
      </c>
      <c r="H232" s="887">
        <f t="shared" si="43"/>
        <v>992.8</v>
      </c>
      <c r="I232" s="871">
        <f t="shared" si="39"/>
        <v>550.1</v>
      </c>
      <c r="J232" s="887">
        <v>517</v>
      </c>
      <c r="K232" s="887">
        <v>33.1</v>
      </c>
      <c r="L232" s="872">
        <f t="shared" si="41"/>
        <v>3.3</v>
      </c>
      <c r="M232" s="873">
        <f t="shared" si="41"/>
        <v>3.3</v>
      </c>
      <c r="N232" s="873">
        <f t="shared" si="41"/>
        <v>3.3</v>
      </c>
      <c r="O232" s="1282"/>
      <c r="Q232" s="1065">
        <f t="shared" si="38"/>
        <v>0</v>
      </c>
      <c r="R232" s="1065">
        <f t="shared" si="38"/>
        <v>0</v>
      </c>
      <c r="S232" s="1065">
        <f t="shared" si="38"/>
        <v>0</v>
      </c>
      <c r="T232" s="1099" t="s">
        <v>999</v>
      </c>
      <c r="U232" s="1100" t="s">
        <v>1007</v>
      </c>
      <c r="V232" s="1099">
        <v>414</v>
      </c>
      <c r="W232" s="1099" t="s">
        <v>1004</v>
      </c>
      <c r="Z232" s="1311">
        <f t="shared" si="36"/>
        <v>0</v>
      </c>
    </row>
    <row r="233" spans="1:26" ht="75" customHeight="1">
      <c r="A233" s="895">
        <v>8</v>
      </c>
      <c r="B233" s="1296" t="s">
        <v>473</v>
      </c>
      <c r="C233" s="871">
        <f t="shared" si="40"/>
        <v>10549.1</v>
      </c>
      <c r="D233" s="887">
        <v>9914.4</v>
      </c>
      <c r="E233" s="887">
        <v>634.70000000000005</v>
      </c>
      <c r="F233" s="871">
        <f t="shared" si="42"/>
        <v>10549.1</v>
      </c>
      <c r="G233" s="887">
        <f t="shared" si="43"/>
        <v>9914.4</v>
      </c>
      <c r="H233" s="887">
        <f t="shared" si="43"/>
        <v>634.70000000000005</v>
      </c>
      <c r="I233" s="871">
        <f t="shared" si="39"/>
        <v>4705.6000000000004</v>
      </c>
      <c r="J233" s="887">
        <v>4422.5</v>
      </c>
      <c r="K233" s="887">
        <v>283.10000000000002</v>
      </c>
      <c r="L233" s="872">
        <f t="shared" si="41"/>
        <v>44.6</v>
      </c>
      <c r="M233" s="873">
        <f t="shared" si="41"/>
        <v>44.6</v>
      </c>
      <c r="N233" s="873">
        <f t="shared" si="41"/>
        <v>44.6</v>
      </c>
      <c r="O233" s="1282"/>
      <c r="Q233" s="1065">
        <f t="shared" si="38"/>
        <v>0</v>
      </c>
      <c r="R233" s="1065">
        <f t="shared" si="38"/>
        <v>0</v>
      </c>
      <c r="S233" s="1065">
        <f t="shared" si="38"/>
        <v>0</v>
      </c>
      <c r="T233" s="1099" t="s">
        <v>999</v>
      </c>
      <c r="U233" s="1100" t="s">
        <v>1003</v>
      </c>
      <c r="V233" s="1099">
        <v>414</v>
      </c>
      <c r="W233" s="1099" t="s">
        <v>1004</v>
      </c>
      <c r="Z233" s="1311">
        <f t="shared" si="36"/>
        <v>0</v>
      </c>
    </row>
    <row r="234" spans="1:26" ht="75" customHeight="1">
      <c r="A234" s="895">
        <v>9</v>
      </c>
      <c r="B234" s="1296" t="s">
        <v>474</v>
      </c>
      <c r="C234" s="871">
        <f>SUM(D234:E234)</f>
        <v>26243.8</v>
      </c>
      <c r="D234" s="887">
        <v>24664.799999999999</v>
      </c>
      <c r="E234" s="887">
        <v>1579</v>
      </c>
      <c r="F234" s="871">
        <f t="shared" si="42"/>
        <v>26243.8</v>
      </c>
      <c r="G234" s="887">
        <f t="shared" si="43"/>
        <v>24664.799999999999</v>
      </c>
      <c r="H234" s="887">
        <f t="shared" si="43"/>
        <v>1579</v>
      </c>
      <c r="I234" s="871">
        <f t="shared" si="39"/>
        <v>10925.4</v>
      </c>
      <c r="J234" s="887">
        <v>10268.1</v>
      </c>
      <c r="K234" s="887">
        <v>657.3</v>
      </c>
      <c r="L234" s="872">
        <f t="shared" si="41"/>
        <v>41.6</v>
      </c>
      <c r="M234" s="873">
        <f t="shared" si="41"/>
        <v>41.6</v>
      </c>
      <c r="N234" s="873">
        <f t="shared" si="41"/>
        <v>41.6</v>
      </c>
      <c r="O234" s="1282"/>
      <c r="Q234" s="1065">
        <f t="shared" si="38"/>
        <v>0</v>
      </c>
      <c r="R234" s="1065">
        <f t="shared" si="38"/>
        <v>0</v>
      </c>
      <c r="S234" s="1065">
        <f t="shared" si="38"/>
        <v>0</v>
      </c>
      <c r="T234" s="1099" t="s">
        <v>999</v>
      </c>
      <c r="U234" s="1100" t="s">
        <v>1013</v>
      </c>
      <c r="V234" s="1099">
        <v>414</v>
      </c>
      <c r="W234" s="1099" t="s">
        <v>1004</v>
      </c>
      <c r="Z234" s="1311">
        <f t="shared" si="36"/>
        <v>0</v>
      </c>
    </row>
    <row r="235" spans="1:26" ht="75" customHeight="1">
      <c r="A235" s="895">
        <v>10</v>
      </c>
      <c r="B235" s="1296" t="s">
        <v>617</v>
      </c>
      <c r="C235" s="871">
        <f t="shared" si="40"/>
        <v>81990.7</v>
      </c>
      <c r="D235" s="887">
        <v>77057.899999999994</v>
      </c>
      <c r="E235" s="887">
        <v>4932.8</v>
      </c>
      <c r="F235" s="871">
        <f t="shared" si="42"/>
        <v>81990.7</v>
      </c>
      <c r="G235" s="887">
        <f t="shared" si="43"/>
        <v>77057.899999999994</v>
      </c>
      <c r="H235" s="887">
        <f t="shared" si="43"/>
        <v>4932.8</v>
      </c>
      <c r="I235" s="871">
        <f t="shared" si="39"/>
        <v>0</v>
      </c>
      <c r="J235" s="887">
        <v>0</v>
      </c>
      <c r="K235" s="887">
        <v>0</v>
      </c>
      <c r="L235" s="872">
        <f t="shared" si="41"/>
        <v>0</v>
      </c>
      <c r="M235" s="873">
        <f t="shared" si="41"/>
        <v>0</v>
      </c>
      <c r="N235" s="873">
        <f t="shared" si="41"/>
        <v>0</v>
      </c>
      <c r="O235" s="1282"/>
      <c r="Q235" s="1065">
        <f t="shared" si="38"/>
        <v>0</v>
      </c>
      <c r="R235" s="1065">
        <f t="shared" si="38"/>
        <v>0</v>
      </c>
      <c r="S235" s="1065">
        <f t="shared" si="38"/>
        <v>0</v>
      </c>
      <c r="T235" s="1099" t="s">
        <v>999</v>
      </c>
      <c r="U235" s="1100" t="s">
        <v>1002</v>
      </c>
      <c r="V235" s="1099">
        <v>414</v>
      </c>
      <c r="W235" s="1099" t="s">
        <v>1004</v>
      </c>
      <c r="Z235" s="1311">
        <f t="shared" si="36"/>
        <v>0</v>
      </c>
    </row>
    <row r="236" spans="1:26" ht="75" customHeight="1">
      <c r="A236" s="895">
        <v>12</v>
      </c>
      <c r="B236" s="1296" t="s">
        <v>619</v>
      </c>
      <c r="C236" s="871">
        <f>SUM(D236:E236)</f>
        <v>39448</v>
      </c>
      <c r="D236" s="887">
        <v>37080.800000000003</v>
      </c>
      <c r="E236" s="887">
        <v>2367.1999999999998</v>
      </c>
      <c r="F236" s="871">
        <f t="shared" si="42"/>
        <v>39448</v>
      </c>
      <c r="G236" s="887">
        <f t="shared" si="43"/>
        <v>37080.800000000003</v>
      </c>
      <c r="H236" s="887">
        <f t="shared" si="43"/>
        <v>2367.1999999999998</v>
      </c>
      <c r="I236" s="871">
        <f t="shared" si="39"/>
        <v>0</v>
      </c>
      <c r="J236" s="887">
        <v>0</v>
      </c>
      <c r="K236" s="887">
        <v>0</v>
      </c>
      <c r="L236" s="872">
        <f t="shared" si="41"/>
        <v>0</v>
      </c>
      <c r="M236" s="873">
        <f t="shared" si="41"/>
        <v>0</v>
      </c>
      <c r="N236" s="873">
        <f t="shared" si="41"/>
        <v>0</v>
      </c>
      <c r="O236" s="1282"/>
      <c r="Q236" s="1065">
        <f t="shared" si="38"/>
        <v>0</v>
      </c>
      <c r="R236" s="1065">
        <f t="shared" si="38"/>
        <v>0</v>
      </c>
      <c r="S236" s="1065">
        <f t="shared" si="38"/>
        <v>0</v>
      </c>
      <c r="T236" s="1099" t="s">
        <v>999</v>
      </c>
      <c r="U236" s="1100" t="s">
        <v>1008</v>
      </c>
      <c r="V236" s="1099">
        <v>414</v>
      </c>
      <c r="W236" s="1099" t="s">
        <v>1006</v>
      </c>
      <c r="Z236" s="1311">
        <f t="shared" si="36"/>
        <v>0</v>
      </c>
    </row>
    <row r="237" spans="1:26" s="914" customFormat="1" ht="110.25" customHeight="1">
      <c r="A237" s="1314" t="s">
        <v>248</v>
      </c>
      <c r="B237" s="947" t="s">
        <v>656</v>
      </c>
      <c r="C237" s="948">
        <f>SUM(D237:E237)</f>
        <v>60106.400000000001</v>
      </c>
      <c r="D237" s="949">
        <f>D238</f>
        <v>56500</v>
      </c>
      <c r="E237" s="949">
        <f>E238</f>
        <v>3606.4</v>
      </c>
      <c r="F237" s="950">
        <f t="shared" si="42"/>
        <v>60106.400000000001</v>
      </c>
      <c r="G237" s="949">
        <f>G238</f>
        <v>56500</v>
      </c>
      <c r="H237" s="949">
        <f>H238</f>
        <v>3606.4</v>
      </c>
      <c r="I237" s="950">
        <f t="shared" si="39"/>
        <v>27236.7</v>
      </c>
      <c r="J237" s="949">
        <f>J238</f>
        <v>25602.5</v>
      </c>
      <c r="K237" s="949">
        <f>K238</f>
        <v>1634.2</v>
      </c>
      <c r="L237" s="951">
        <f t="shared" si="41"/>
        <v>45.3</v>
      </c>
      <c r="M237" s="952">
        <f t="shared" si="41"/>
        <v>45.3</v>
      </c>
      <c r="N237" s="952">
        <f t="shared" si="41"/>
        <v>45.3</v>
      </c>
      <c r="O237" s="1282"/>
      <c r="P237" s="1208"/>
      <c r="Q237" s="1065">
        <f t="shared" si="38"/>
        <v>0</v>
      </c>
      <c r="R237" s="1065">
        <f t="shared" si="38"/>
        <v>0</v>
      </c>
      <c r="S237" s="1065">
        <f t="shared" si="38"/>
        <v>0</v>
      </c>
      <c r="T237" s="1099"/>
      <c r="U237" s="1100"/>
      <c r="V237" s="1099"/>
      <c r="W237" s="1099"/>
      <c r="X237" s="1216"/>
      <c r="Z237" s="1311">
        <f t="shared" si="36"/>
        <v>0</v>
      </c>
    </row>
    <row r="238" spans="1:26" ht="58.5" customHeight="1">
      <c r="A238" s="895">
        <v>13</v>
      </c>
      <c r="B238" s="937" t="s">
        <v>623</v>
      </c>
      <c r="C238" s="871">
        <f>SUM(D238:E238)</f>
        <v>60106.400000000001</v>
      </c>
      <c r="D238" s="884">
        <v>56500</v>
      </c>
      <c r="E238" s="887">
        <v>3606.4</v>
      </c>
      <c r="F238" s="871">
        <f t="shared" si="42"/>
        <v>60106.400000000001</v>
      </c>
      <c r="G238" s="884">
        <f>D238</f>
        <v>56500</v>
      </c>
      <c r="H238" s="884">
        <f>E238</f>
        <v>3606.4</v>
      </c>
      <c r="I238" s="1302">
        <f t="shared" si="39"/>
        <v>27236.7</v>
      </c>
      <c r="J238" s="884">
        <v>25602.5</v>
      </c>
      <c r="K238" s="887">
        <v>1634.2</v>
      </c>
      <c r="L238" s="876">
        <f t="shared" si="41"/>
        <v>45.3</v>
      </c>
      <c r="M238" s="877">
        <f t="shared" si="41"/>
        <v>45.3</v>
      </c>
      <c r="N238" s="877">
        <f t="shared" si="41"/>
        <v>45.3</v>
      </c>
      <c r="O238" s="1282"/>
      <c r="Q238" s="1065">
        <f t="shared" si="38"/>
        <v>0</v>
      </c>
      <c r="R238" s="1065">
        <f t="shared" si="38"/>
        <v>0</v>
      </c>
      <c r="S238" s="1065">
        <f t="shared" si="38"/>
        <v>0</v>
      </c>
      <c r="T238" s="1099" t="s">
        <v>999</v>
      </c>
      <c r="U238" s="1100" t="s">
        <v>1017</v>
      </c>
      <c r="V238" s="1099">
        <v>414</v>
      </c>
      <c r="W238" s="1099" t="s">
        <v>1018</v>
      </c>
      <c r="Z238" s="1311">
        <f t="shared" si="36"/>
        <v>0</v>
      </c>
    </row>
    <row r="239" spans="1:26" s="914" customFormat="1" ht="56.25" customHeight="1">
      <c r="A239" s="1305" t="s">
        <v>249</v>
      </c>
      <c r="B239" s="932" t="s">
        <v>39</v>
      </c>
      <c r="C239" s="933">
        <f t="shared" si="40"/>
        <v>114960</v>
      </c>
      <c r="D239" s="933">
        <f>SUM(D240:D243)</f>
        <v>0</v>
      </c>
      <c r="E239" s="933">
        <f>SUM(E240:E243)</f>
        <v>114960</v>
      </c>
      <c r="F239" s="933">
        <f t="shared" si="42"/>
        <v>114960</v>
      </c>
      <c r="G239" s="933">
        <f>SUM(G240:G243)</f>
        <v>0</v>
      </c>
      <c r="H239" s="933">
        <f>SUM(H240:H243)</f>
        <v>114960</v>
      </c>
      <c r="I239" s="933">
        <f t="shared" si="39"/>
        <v>17284.3</v>
      </c>
      <c r="J239" s="933">
        <f>SUM(J240:J243)</f>
        <v>0</v>
      </c>
      <c r="K239" s="933">
        <f>SUM(K240:K243)</f>
        <v>17284.3</v>
      </c>
      <c r="L239" s="935">
        <f t="shared" si="41"/>
        <v>15</v>
      </c>
      <c r="M239" s="936">
        <f t="shared" si="41"/>
        <v>0</v>
      </c>
      <c r="N239" s="936">
        <f t="shared" si="41"/>
        <v>15</v>
      </c>
      <c r="O239" s="1282"/>
      <c r="P239" s="1208"/>
      <c r="Q239" s="1065">
        <f t="shared" si="38"/>
        <v>0</v>
      </c>
      <c r="R239" s="1065">
        <f t="shared" si="38"/>
        <v>0</v>
      </c>
      <c r="S239" s="1065">
        <f t="shared" si="38"/>
        <v>0</v>
      </c>
      <c r="T239" s="1099"/>
      <c r="U239" s="1100"/>
      <c r="V239" s="1099"/>
      <c r="W239" s="1099"/>
      <c r="X239" s="1216"/>
      <c r="Z239" s="1311">
        <f t="shared" si="36"/>
        <v>0</v>
      </c>
    </row>
    <row r="240" spans="1:26" s="736" customFormat="1" ht="58.5" customHeight="1">
      <c r="A240" s="895">
        <v>14</v>
      </c>
      <c r="B240" s="1238" t="s">
        <v>706</v>
      </c>
      <c r="C240" s="871">
        <f>SUM(D240:E240)</f>
        <v>2760</v>
      </c>
      <c r="D240" s="887">
        <v>0</v>
      </c>
      <c r="E240" s="887">
        <v>2760</v>
      </c>
      <c r="F240" s="871">
        <f t="shared" si="42"/>
        <v>2760</v>
      </c>
      <c r="G240" s="887">
        <f t="shared" ref="G240:H243" si="44">D240</f>
        <v>0</v>
      </c>
      <c r="H240" s="887">
        <f t="shared" si="44"/>
        <v>2760</v>
      </c>
      <c r="I240" s="871">
        <f t="shared" si="39"/>
        <v>0</v>
      </c>
      <c r="J240" s="887">
        <v>0</v>
      </c>
      <c r="K240" s="887">
        <v>0</v>
      </c>
      <c r="L240" s="872">
        <f t="shared" si="41"/>
        <v>0</v>
      </c>
      <c r="M240" s="873">
        <f t="shared" si="41"/>
        <v>0</v>
      </c>
      <c r="N240" s="873">
        <f t="shared" si="41"/>
        <v>0</v>
      </c>
      <c r="O240" s="1282"/>
      <c r="P240" s="1208"/>
      <c r="Q240" s="1065">
        <f t="shared" si="38"/>
        <v>0</v>
      </c>
      <c r="R240" s="1065">
        <f t="shared" si="38"/>
        <v>0</v>
      </c>
      <c r="S240" s="1065">
        <f t="shared" si="38"/>
        <v>0</v>
      </c>
      <c r="T240" s="1099" t="s">
        <v>999</v>
      </c>
      <c r="U240" s="1100">
        <v>1110290400</v>
      </c>
      <c r="V240" s="1099">
        <v>414</v>
      </c>
      <c r="W240" s="1099">
        <v>10119</v>
      </c>
      <c r="X240" s="1216"/>
      <c r="Z240" s="1311">
        <f t="shared" si="36"/>
        <v>0</v>
      </c>
    </row>
    <row r="241" spans="1:26" s="736" customFormat="1" ht="59.25" customHeight="1">
      <c r="A241" s="895"/>
      <c r="B241" s="1238" t="s">
        <v>1169</v>
      </c>
      <c r="C241" s="871">
        <f>SUM(D241:E241)</f>
        <v>12000</v>
      </c>
      <c r="D241" s="887">
        <v>0</v>
      </c>
      <c r="E241" s="887">
        <v>12000</v>
      </c>
      <c r="F241" s="871">
        <f t="shared" si="42"/>
        <v>12000</v>
      </c>
      <c r="G241" s="887">
        <f t="shared" si="44"/>
        <v>0</v>
      </c>
      <c r="H241" s="887">
        <f t="shared" si="44"/>
        <v>12000</v>
      </c>
      <c r="I241" s="871">
        <f t="shared" si="39"/>
        <v>0</v>
      </c>
      <c r="J241" s="887">
        <v>0</v>
      </c>
      <c r="K241" s="887">
        <v>0</v>
      </c>
      <c r="L241" s="872"/>
      <c r="M241" s="873"/>
      <c r="N241" s="873"/>
      <c r="O241" s="1282"/>
      <c r="P241" s="1208"/>
      <c r="Q241" s="1065"/>
      <c r="R241" s="1065"/>
      <c r="S241" s="1065"/>
      <c r="T241" s="1099"/>
      <c r="U241" s="1100"/>
      <c r="V241" s="1099"/>
      <c r="W241" s="1099"/>
      <c r="X241" s="1216"/>
      <c r="Z241" s="1311">
        <f t="shared" si="36"/>
        <v>0</v>
      </c>
    </row>
    <row r="242" spans="1:26" s="736" customFormat="1" ht="58.5" customHeight="1">
      <c r="A242" s="895"/>
      <c r="B242" s="1238" t="s">
        <v>268</v>
      </c>
      <c r="C242" s="871">
        <f>SUM(D242:E242)</f>
        <v>700</v>
      </c>
      <c r="D242" s="887">
        <v>0</v>
      </c>
      <c r="E242" s="887">
        <v>700</v>
      </c>
      <c r="F242" s="871">
        <f t="shared" si="42"/>
        <v>700</v>
      </c>
      <c r="G242" s="887">
        <f t="shared" si="44"/>
        <v>0</v>
      </c>
      <c r="H242" s="887">
        <f t="shared" si="44"/>
        <v>700</v>
      </c>
      <c r="I242" s="871">
        <f t="shared" si="39"/>
        <v>274.89999999999998</v>
      </c>
      <c r="J242" s="887">
        <v>0</v>
      </c>
      <c r="K242" s="887">
        <v>274.89999999999998</v>
      </c>
      <c r="L242" s="872">
        <f t="shared" si="41"/>
        <v>39.299999999999997</v>
      </c>
      <c r="M242" s="873">
        <f t="shared" si="41"/>
        <v>0</v>
      </c>
      <c r="N242" s="873">
        <f t="shared" si="41"/>
        <v>39.299999999999997</v>
      </c>
      <c r="O242" s="1282"/>
      <c r="P242" s="1208"/>
      <c r="Q242" s="1065">
        <f>C242-F242</f>
        <v>0</v>
      </c>
      <c r="R242" s="1065">
        <f t="shared" si="38"/>
        <v>0</v>
      </c>
      <c r="S242" s="1065">
        <f t="shared" si="38"/>
        <v>0</v>
      </c>
      <c r="T242" s="1099" t="s">
        <v>999</v>
      </c>
      <c r="U242" s="1100">
        <v>1110290400</v>
      </c>
      <c r="V242" s="1099">
        <v>414</v>
      </c>
      <c r="W242" s="1099">
        <v>10044</v>
      </c>
      <c r="X242" s="1216"/>
      <c r="Z242" s="1311">
        <f t="shared" si="36"/>
        <v>0</v>
      </c>
    </row>
    <row r="243" spans="1:26" s="736" customFormat="1" ht="29.25" customHeight="1">
      <c r="A243" s="895"/>
      <c r="B243" s="1238" t="s">
        <v>263</v>
      </c>
      <c r="C243" s="871">
        <f t="shared" si="40"/>
        <v>99500</v>
      </c>
      <c r="D243" s="887">
        <v>0</v>
      </c>
      <c r="E243" s="887">
        <v>99500</v>
      </c>
      <c r="F243" s="871">
        <f t="shared" si="42"/>
        <v>99500</v>
      </c>
      <c r="G243" s="887">
        <f t="shared" si="44"/>
        <v>0</v>
      </c>
      <c r="H243" s="887">
        <f t="shared" si="44"/>
        <v>99500</v>
      </c>
      <c r="I243" s="871">
        <f t="shared" si="39"/>
        <v>17009.400000000001</v>
      </c>
      <c r="J243" s="887">
        <v>0</v>
      </c>
      <c r="K243" s="887">
        <v>17009.400000000001</v>
      </c>
      <c r="L243" s="872">
        <f t="shared" si="41"/>
        <v>17.100000000000001</v>
      </c>
      <c r="M243" s="873">
        <f t="shared" si="41"/>
        <v>0</v>
      </c>
      <c r="N243" s="873">
        <f t="shared" si="41"/>
        <v>17.100000000000001</v>
      </c>
      <c r="O243" s="1282"/>
      <c r="P243" s="1208"/>
      <c r="Q243" s="1065">
        <f t="shared" si="38"/>
        <v>0</v>
      </c>
      <c r="R243" s="1065">
        <f t="shared" si="38"/>
        <v>0</v>
      </c>
      <c r="S243" s="1065">
        <f t="shared" si="38"/>
        <v>0</v>
      </c>
      <c r="T243" s="1099" t="s">
        <v>999</v>
      </c>
      <c r="U243" s="1100">
        <v>1110290400</v>
      </c>
      <c r="V243" s="1099">
        <v>414</v>
      </c>
      <c r="W243" s="1099">
        <v>10001</v>
      </c>
      <c r="X243" s="1216"/>
      <c r="Z243" s="1311">
        <f t="shared" si="36"/>
        <v>0</v>
      </c>
    </row>
    <row r="244" spans="1:26" ht="35.25" customHeight="1">
      <c r="A244" s="1102"/>
      <c r="B244" s="1079" t="s">
        <v>432</v>
      </c>
      <c r="C244" s="1080"/>
      <c r="D244" s="1079"/>
      <c r="E244" s="1079"/>
      <c r="F244" s="1080"/>
      <c r="G244" s="1079"/>
      <c r="H244" s="1079"/>
      <c r="I244" s="1203"/>
      <c r="J244" s="1210"/>
      <c r="K244" s="1210"/>
      <c r="L244" s="1081"/>
      <c r="M244" s="1082"/>
      <c r="N244" s="1082"/>
      <c r="O244" s="1282"/>
      <c r="Q244" s="1065">
        <f t="shared" si="38"/>
        <v>0</v>
      </c>
      <c r="R244" s="1065">
        <f t="shared" si="38"/>
        <v>0</v>
      </c>
      <c r="S244" s="1065">
        <f t="shared" si="38"/>
        <v>0</v>
      </c>
      <c r="Z244" s="1311">
        <f t="shared" si="36"/>
        <v>0</v>
      </c>
    </row>
    <row r="245" spans="1:26" ht="169.5" customHeight="1">
      <c r="A245" s="2402" t="s">
        <v>836</v>
      </c>
      <c r="B245" s="2406"/>
      <c r="C245" s="893">
        <f t="shared" ref="C245:C250" si="45">SUM(D245:E245)</f>
        <v>865629.1</v>
      </c>
      <c r="D245" s="894">
        <f>SUM(D90,D20:D21)</f>
        <v>853456.8</v>
      </c>
      <c r="E245" s="894">
        <f>SUM(E90,E20:E21)</f>
        <v>12172.3</v>
      </c>
      <c r="F245" s="893">
        <f t="shared" ref="F245:F250" si="46">SUM(G245:H245)</f>
        <v>865629.1</v>
      </c>
      <c r="G245" s="894">
        <f>SUM(G90,G20:G21)</f>
        <v>853456.8</v>
      </c>
      <c r="H245" s="894">
        <f>SUM(H90,H20:H21)</f>
        <v>12172.3</v>
      </c>
      <c r="I245" s="893">
        <f t="shared" ref="I245:I250" si="47">SUM(J245:K245)</f>
        <v>16073.5</v>
      </c>
      <c r="J245" s="894">
        <f>SUM(J90,J20:J21)</f>
        <v>11326.4</v>
      </c>
      <c r="K245" s="894">
        <f>SUM(K90,K20:K21)</f>
        <v>4747.1000000000004</v>
      </c>
      <c r="L245" s="893">
        <f t="shared" ref="L245:L251" si="48">SUM(M245:N245)</f>
        <v>35.4</v>
      </c>
      <c r="M245" s="894">
        <f>SUM(M223,M123,M69)</f>
        <v>17.7</v>
      </c>
      <c r="N245" s="894">
        <f>SUM(N223,N123,N69)</f>
        <v>17.7</v>
      </c>
      <c r="O245" s="1282"/>
      <c r="Q245" s="1065">
        <f t="shared" si="38"/>
        <v>0</v>
      </c>
      <c r="R245" s="1065">
        <f t="shared" si="38"/>
        <v>0</v>
      </c>
      <c r="S245" s="1065">
        <f t="shared" si="38"/>
        <v>0</v>
      </c>
      <c r="Z245" s="1311">
        <f t="shared" si="36"/>
        <v>0</v>
      </c>
    </row>
    <row r="246" spans="1:26" ht="63.75" customHeight="1">
      <c r="A246" s="2402" t="s">
        <v>1098</v>
      </c>
      <c r="B246" s="2406"/>
      <c r="C246" s="893">
        <f t="shared" si="45"/>
        <v>798330.1</v>
      </c>
      <c r="D246" s="894">
        <f>SUM(D19,D102,D100,D101,D125)</f>
        <v>708797.4</v>
      </c>
      <c r="E246" s="894">
        <f>SUM(E19,E102,E100,E101,E125)</f>
        <v>89532.7</v>
      </c>
      <c r="F246" s="893">
        <f>SUM(G246:H246)</f>
        <v>742561.4</v>
      </c>
      <c r="G246" s="894">
        <f>SUM(G19,G102,G100,G101,G125)</f>
        <v>653463.4</v>
      </c>
      <c r="H246" s="894">
        <f>SUM(H19,H102,H100,H101,H125)</f>
        <v>89098</v>
      </c>
      <c r="I246" s="893">
        <f>SUM(J246:K246)</f>
        <v>14847.5</v>
      </c>
      <c r="J246" s="894">
        <f>SUM(J19,J102,J100,J101,J125)</f>
        <v>13936.5</v>
      </c>
      <c r="K246" s="894">
        <f>SUM(K19,K102,K100,K101,K125)</f>
        <v>911</v>
      </c>
      <c r="L246" s="893">
        <f t="shared" si="48"/>
        <v>52</v>
      </c>
      <c r="M246" s="894">
        <f>SUM(M224,M124,M70)</f>
        <v>26</v>
      </c>
      <c r="N246" s="894">
        <f>SUM(N224,N124,N70)</f>
        <v>26</v>
      </c>
      <c r="O246" s="1282"/>
      <c r="Q246" s="1065"/>
      <c r="R246" s="1065"/>
      <c r="S246" s="1065"/>
      <c r="Z246" s="1311">
        <f t="shared" si="36"/>
        <v>55768.7</v>
      </c>
    </row>
    <row r="247" spans="1:26" ht="65.25" customHeight="1">
      <c r="A247" s="2402" t="s">
        <v>780</v>
      </c>
      <c r="B247" s="2406"/>
      <c r="C247" s="893">
        <f t="shared" si="45"/>
        <v>3487177.2</v>
      </c>
      <c r="D247" s="894">
        <f>D144+D70+D224-D249</f>
        <v>3276914.8</v>
      </c>
      <c r="E247" s="894">
        <f>E144+E70+E224-E249</f>
        <v>210262.39999999999</v>
      </c>
      <c r="F247" s="893">
        <f>SUM(G247:H247)</f>
        <v>3485285</v>
      </c>
      <c r="G247" s="894">
        <f>G144+G70+G224-G249</f>
        <v>3275216</v>
      </c>
      <c r="H247" s="894">
        <f>H144+H70+H224-H249</f>
        <v>210069</v>
      </c>
      <c r="I247" s="893">
        <f t="shared" si="47"/>
        <v>253150.8</v>
      </c>
      <c r="J247" s="894">
        <f>J144+J70+J224-J249</f>
        <v>237856.9</v>
      </c>
      <c r="K247" s="894">
        <f>K144+K70+K224-K249</f>
        <v>15293.9</v>
      </c>
      <c r="L247" s="893">
        <f t="shared" si="48"/>
        <v>64.8</v>
      </c>
      <c r="M247" s="894">
        <f>SUM(M224,M144,M70)</f>
        <v>29.4</v>
      </c>
      <c r="N247" s="894">
        <f>SUM(N224,N144,N70)</f>
        <v>35.4</v>
      </c>
      <c r="O247" s="1282"/>
      <c r="Q247" s="1065">
        <f t="shared" si="38"/>
        <v>1892.2</v>
      </c>
      <c r="R247" s="1065">
        <f t="shared" si="38"/>
        <v>1698.8</v>
      </c>
      <c r="S247" s="1065">
        <f t="shared" si="38"/>
        <v>193.4</v>
      </c>
      <c r="Z247" s="1311">
        <f t="shared" si="36"/>
        <v>1892.2</v>
      </c>
    </row>
    <row r="248" spans="1:26" ht="62.25" customHeight="1">
      <c r="A248" s="2402" t="s">
        <v>1031</v>
      </c>
      <c r="B248" s="2406"/>
      <c r="C248" s="893">
        <f t="shared" si="45"/>
        <v>310931.5</v>
      </c>
      <c r="D248" s="894">
        <f>SUM(D249:D250)</f>
        <v>0</v>
      </c>
      <c r="E248" s="894">
        <f>SUM(E249:E250)</f>
        <v>310931.5</v>
      </c>
      <c r="F248" s="893">
        <f t="shared" si="46"/>
        <v>310931.5</v>
      </c>
      <c r="G248" s="894">
        <f>SUM(G249:G250)</f>
        <v>0</v>
      </c>
      <c r="H248" s="894">
        <f>SUM(H249:H250)</f>
        <v>310931.5</v>
      </c>
      <c r="I248" s="893">
        <f t="shared" si="47"/>
        <v>41413.800000000003</v>
      </c>
      <c r="J248" s="894">
        <f>SUM(J249:J250)</f>
        <v>0</v>
      </c>
      <c r="K248" s="894">
        <f>SUM(K249:K250)</f>
        <v>41413.800000000003</v>
      </c>
      <c r="L248" s="893">
        <f t="shared" si="48"/>
        <v>103.6</v>
      </c>
      <c r="M248" s="894">
        <f t="shared" ref="M248:N251" si="49">SUM(M226,M152,M71)</f>
        <v>51.8</v>
      </c>
      <c r="N248" s="894">
        <f t="shared" si="49"/>
        <v>51.8</v>
      </c>
      <c r="O248" s="1282"/>
      <c r="Q248" s="1065">
        <f t="shared" si="38"/>
        <v>0</v>
      </c>
      <c r="R248" s="1065">
        <f t="shared" si="38"/>
        <v>0</v>
      </c>
      <c r="S248" s="1065">
        <f t="shared" si="38"/>
        <v>0</v>
      </c>
      <c r="Z248" s="1311">
        <f t="shared" si="36"/>
        <v>0</v>
      </c>
    </row>
    <row r="249" spans="1:26" ht="36" customHeight="1">
      <c r="A249" s="895"/>
      <c r="B249" s="1296" t="s">
        <v>778</v>
      </c>
      <c r="C249" s="893">
        <f t="shared" si="45"/>
        <v>111250.4</v>
      </c>
      <c r="D249" s="873">
        <f>SUM(D145,D146,D147,D148,D149,D151,D150,D176,D180,D183,D190,D192,D194,D199,D179,D159:D161)</f>
        <v>0</v>
      </c>
      <c r="E249" s="873">
        <f>SUM(E145,E146,E147,E148,E149,E151,E150,E176,E180,E183,E190,E192,E194,E199,E179,E159:E161)</f>
        <v>111250.4</v>
      </c>
      <c r="F249" s="893">
        <f t="shared" si="46"/>
        <v>111250.4</v>
      </c>
      <c r="G249" s="873">
        <f>SUM(G145,G146,G147,G148,G149,G151,G150,G176,G180,G183,G190,G192,G194,G199,G179,G159:G161)</f>
        <v>0</v>
      </c>
      <c r="H249" s="873">
        <f>SUM(H145,H146,H147,H148,H149,H151,H150,H176,H180,H183,H190,H192,H194,H199,H179,H159:H161)</f>
        <v>111250.4</v>
      </c>
      <c r="I249" s="893">
        <f t="shared" si="47"/>
        <v>18579.599999999999</v>
      </c>
      <c r="J249" s="873">
        <f>SUM(J145,J146,J147,J148,J149,J151,J150,J176,J180,J183,J190,J192,J194,J199,J179,J159:J161)</f>
        <v>0</v>
      </c>
      <c r="K249" s="873">
        <f>SUM(K145,K146,K147,K148,K149,K151,K150,K176,K180,K183,K190,K192,K194,K199,K179,K159:K161)</f>
        <v>18579.599999999999</v>
      </c>
      <c r="L249" s="893">
        <f t="shared" si="48"/>
        <v>181.2</v>
      </c>
      <c r="M249" s="894">
        <f t="shared" si="49"/>
        <v>90.6</v>
      </c>
      <c r="N249" s="894">
        <f t="shared" si="49"/>
        <v>90.6</v>
      </c>
      <c r="O249" s="1282"/>
      <c r="Q249" s="1065">
        <f t="shared" si="38"/>
        <v>0</v>
      </c>
      <c r="R249" s="1065">
        <f t="shared" si="38"/>
        <v>0</v>
      </c>
      <c r="S249" s="1065">
        <f t="shared" si="38"/>
        <v>0</v>
      </c>
      <c r="T249" s="1114"/>
      <c r="Z249" s="1311">
        <f t="shared" si="36"/>
        <v>0</v>
      </c>
    </row>
    <row r="250" spans="1:26" ht="36" customHeight="1">
      <c r="A250" s="895"/>
      <c r="B250" s="1296" t="s">
        <v>779</v>
      </c>
      <c r="C250" s="893">
        <f t="shared" si="45"/>
        <v>199681.1</v>
      </c>
      <c r="D250" s="873">
        <f>SUM(D105:D115,D92:D99,D116:D120,D121:D124,D103,D126:D138)</f>
        <v>0</v>
      </c>
      <c r="E250" s="873">
        <f>SUM(E105:E115,E92:E99,E116:E120,E121:E124,E103,E126:E138,E140,E143)</f>
        <v>199681.1</v>
      </c>
      <c r="F250" s="893">
        <f t="shared" si="46"/>
        <v>199681.1</v>
      </c>
      <c r="G250" s="873">
        <f>SUM(G105:G115,G92:G99,G116:G120,G121:G124,G103,G126:G138)</f>
        <v>0</v>
      </c>
      <c r="H250" s="873">
        <f>SUM(H105:H115,H92:H99,H116:H120,H121:H124,H103,H126:H138,H140,H143)</f>
        <v>199681.1</v>
      </c>
      <c r="I250" s="893">
        <f t="shared" si="47"/>
        <v>22834.2</v>
      </c>
      <c r="J250" s="873">
        <f>SUM(J105:J115,J92:J99,J116:J120,J121:J124,J103,J126:J138)</f>
        <v>0</v>
      </c>
      <c r="K250" s="873">
        <f>SUM(K105:K115,K92:K99,K116:K120,K121:K124,K103,K126:K138,K140,K143)</f>
        <v>22834.2</v>
      </c>
      <c r="L250" s="893">
        <f t="shared" si="48"/>
        <v>40</v>
      </c>
      <c r="M250" s="894">
        <f t="shared" si="49"/>
        <v>20</v>
      </c>
      <c r="N250" s="894">
        <f t="shared" si="49"/>
        <v>20</v>
      </c>
      <c r="O250" s="1282"/>
      <c r="Q250" s="1065">
        <f t="shared" si="38"/>
        <v>0</v>
      </c>
      <c r="R250" s="1065">
        <f t="shared" si="38"/>
        <v>0</v>
      </c>
      <c r="S250" s="1065">
        <f t="shared" si="38"/>
        <v>0</v>
      </c>
      <c r="Z250" s="1311">
        <f t="shared" si="36"/>
        <v>0</v>
      </c>
    </row>
    <row r="251" spans="1:26" ht="70.5" customHeight="1">
      <c r="A251" s="2397" t="s">
        <v>1316</v>
      </c>
      <c r="B251" s="2398"/>
      <c r="C251" s="876">
        <f>D251+E251</f>
        <v>681440.7</v>
      </c>
      <c r="D251" s="879">
        <f>D13-D245-D246-D247-D248</f>
        <v>56500</v>
      </c>
      <c r="E251" s="879">
        <f>E13-E245-E246-E247-E248</f>
        <v>624940.69999999995</v>
      </c>
      <c r="F251" s="876">
        <f>G251+H251</f>
        <v>677233.7</v>
      </c>
      <c r="G251" s="879">
        <f>G13-G245-G246-G247-G248</f>
        <v>56500</v>
      </c>
      <c r="H251" s="879">
        <f>H13-H245-H246-H247-H248</f>
        <v>620733.69999999995</v>
      </c>
      <c r="I251" s="876">
        <f>J251+K251</f>
        <v>47119.7</v>
      </c>
      <c r="J251" s="879">
        <f>J13-J245-J246-J247-J248</f>
        <v>25602.5</v>
      </c>
      <c r="K251" s="879">
        <f>K13-K245-K246-K247-K248</f>
        <v>21517.200000000001</v>
      </c>
      <c r="L251" s="893">
        <f t="shared" si="48"/>
        <v>48.4</v>
      </c>
      <c r="M251" s="894">
        <f t="shared" si="49"/>
        <v>24.2</v>
      </c>
      <c r="N251" s="894">
        <f t="shared" si="49"/>
        <v>24.2</v>
      </c>
      <c r="O251" s="1282"/>
      <c r="Q251" s="1065">
        <f t="shared" si="38"/>
        <v>4207</v>
      </c>
      <c r="R251" s="1065">
        <f t="shared" si="38"/>
        <v>0</v>
      </c>
      <c r="S251" s="1065">
        <f t="shared" si="38"/>
        <v>4207</v>
      </c>
      <c r="Z251" s="1311">
        <f>C251-F251</f>
        <v>4207</v>
      </c>
    </row>
    <row r="252" spans="1:26" ht="60" customHeight="1">
      <c r="A252" s="1103"/>
      <c r="B252" s="797"/>
      <c r="C252" s="799"/>
      <c r="D252" s="799"/>
      <c r="E252" s="799"/>
      <c r="F252" s="799"/>
      <c r="G252" s="799"/>
      <c r="H252" s="799"/>
      <c r="I252" s="1204"/>
      <c r="J252" s="799"/>
      <c r="K252" s="799"/>
      <c r="L252" s="799"/>
      <c r="M252" s="799"/>
      <c r="N252" s="799"/>
      <c r="Q252" s="807" t="s">
        <v>813</v>
      </c>
      <c r="R252" s="1070" t="s">
        <v>814</v>
      </c>
      <c r="S252" s="1070" t="s">
        <v>815</v>
      </c>
    </row>
    <row r="253" spans="1:26" s="939" customFormat="1" ht="78.75" customHeight="1">
      <c r="A253" s="1104"/>
      <c r="B253" s="939" t="s">
        <v>310</v>
      </c>
      <c r="C253" s="940"/>
      <c r="D253" s="941"/>
      <c r="E253" s="1288"/>
      <c r="F253" s="941"/>
      <c r="G253" s="942"/>
      <c r="H253" s="942"/>
      <c r="I253" s="1205"/>
      <c r="J253" s="942"/>
      <c r="K253" s="2399" t="s">
        <v>613</v>
      </c>
      <c r="L253" s="2399"/>
      <c r="M253" s="943"/>
      <c r="N253" s="943"/>
      <c r="O253" s="1208"/>
      <c r="P253" s="1208"/>
      <c r="Q253" s="807"/>
      <c r="R253" s="778"/>
      <c r="S253" s="778">
        <f>S141+S142</f>
        <v>0</v>
      </c>
      <c r="T253" s="1138" t="s">
        <v>1034</v>
      </c>
      <c r="U253" s="1100"/>
      <c r="V253" s="1099"/>
      <c r="W253" s="1099"/>
      <c r="X253" s="1216"/>
      <c r="Z253" s="1312"/>
    </row>
    <row r="254" spans="1:26" ht="88.5" customHeight="1">
      <c r="A254" s="1105"/>
      <c r="B254" s="791"/>
      <c r="C254" s="793"/>
      <c r="E254" s="2459"/>
      <c r="F254" s="2459"/>
      <c r="G254" s="756"/>
      <c r="Q254" s="807"/>
      <c r="R254" s="778">
        <f>R222</f>
        <v>1698.8</v>
      </c>
      <c r="S254" s="778">
        <f>S222</f>
        <v>193.5</v>
      </c>
      <c r="T254" s="1138" t="s">
        <v>1033</v>
      </c>
    </row>
    <row r="255" spans="1:26" ht="45" customHeight="1">
      <c r="A255" s="1105"/>
      <c r="B255" s="791"/>
      <c r="C255" s="793"/>
      <c r="E255" s="1291"/>
      <c r="F255" s="1014"/>
      <c r="G255" s="756"/>
      <c r="Q255" s="807"/>
      <c r="R255" s="1071"/>
      <c r="S255" s="1071"/>
      <c r="T255" s="1138"/>
    </row>
    <row r="256" spans="1:26" ht="58.5" customHeight="1">
      <c r="E256" s="742"/>
      <c r="Q256" s="1071"/>
      <c r="R256" s="778">
        <f>R19</f>
        <v>43033.7</v>
      </c>
      <c r="S256" s="778">
        <f>S19</f>
        <v>434.7</v>
      </c>
      <c r="T256" s="1138" t="s">
        <v>816</v>
      </c>
    </row>
    <row r="257" spans="5:20" ht="46.5" customHeight="1">
      <c r="E257" s="742"/>
      <c r="Q257" s="778"/>
      <c r="R257" s="778"/>
      <c r="S257" s="778"/>
      <c r="T257" s="1138"/>
    </row>
    <row r="258" spans="5:20" ht="47.25" customHeight="1">
      <c r="Q258" s="1071"/>
      <c r="R258" s="1071"/>
      <c r="S258" s="778"/>
      <c r="T258" s="1138"/>
    </row>
    <row r="259" spans="5:20" ht="45" customHeight="1">
      <c r="R259" s="756">
        <f>R13-R253-R254-R255-R256-R257-R258</f>
        <v>12300.3</v>
      </c>
      <c r="S259" s="756">
        <f>S13-S253-S254-S255-S256-S257-S258</f>
        <v>4206.8999999999996</v>
      </c>
    </row>
    <row r="260" spans="5:20" ht="56.25" customHeight="1">
      <c r="R260" s="1067"/>
      <c r="S260" s="1067"/>
    </row>
  </sheetData>
  <mergeCells count="104">
    <mergeCell ref="A251:B251"/>
    <mergeCell ref="K253:L253"/>
    <mergeCell ref="E254:F254"/>
    <mergeCell ref="A199:A200"/>
    <mergeCell ref="A202:B202"/>
    <mergeCell ref="A245:B245"/>
    <mergeCell ref="A246:B246"/>
    <mergeCell ref="A247:B247"/>
    <mergeCell ref="A248:B248"/>
    <mergeCell ref="N152:N158"/>
    <mergeCell ref="T152:T158"/>
    <mergeCell ref="V184:V186"/>
    <mergeCell ref="W184:W186"/>
    <mergeCell ref="X184:X186"/>
    <mergeCell ref="A190:A191"/>
    <mergeCell ref="A192:A193"/>
    <mergeCell ref="A194:A195"/>
    <mergeCell ref="W181:W182"/>
    <mergeCell ref="X181:X182"/>
    <mergeCell ref="I184:I186"/>
    <mergeCell ref="J184:J186"/>
    <mergeCell ref="K184:K186"/>
    <mergeCell ref="L184:L186"/>
    <mergeCell ref="M184:M186"/>
    <mergeCell ref="N184:N186"/>
    <mergeCell ref="T184:T186"/>
    <mergeCell ref="U184:U186"/>
    <mergeCell ref="N181:N182"/>
    <mergeCell ref="O181:O182"/>
    <mergeCell ref="P181:P182"/>
    <mergeCell ref="T181:T182"/>
    <mergeCell ref="U181:U182"/>
    <mergeCell ref="V181:V182"/>
    <mergeCell ref="A176:A177"/>
    <mergeCell ref="I181:I182"/>
    <mergeCell ref="J181:J182"/>
    <mergeCell ref="K181:K182"/>
    <mergeCell ref="L181:L182"/>
    <mergeCell ref="M181:M182"/>
    <mergeCell ref="J152:J158"/>
    <mergeCell ref="K152:K158"/>
    <mergeCell ref="L152:L158"/>
    <mergeCell ref="M152:M158"/>
    <mergeCell ref="V100:V101"/>
    <mergeCell ref="W65:W69"/>
    <mergeCell ref="X65:X69"/>
    <mergeCell ref="P66:P67"/>
    <mergeCell ref="W100:W101"/>
    <mergeCell ref="X100:X101"/>
    <mergeCell ref="V65:V69"/>
    <mergeCell ref="U152:U158"/>
    <mergeCell ref="V152:V158"/>
    <mergeCell ref="W152:W158"/>
    <mergeCell ref="X152:X158"/>
    <mergeCell ref="A103:A104"/>
    <mergeCell ref="I100:I101"/>
    <mergeCell ref="J100:J101"/>
    <mergeCell ref="K100:K101"/>
    <mergeCell ref="L100:L101"/>
    <mergeCell ref="M100:M101"/>
    <mergeCell ref="N100:N101"/>
    <mergeCell ref="T38:T39"/>
    <mergeCell ref="U38:U39"/>
    <mergeCell ref="T100:T101"/>
    <mergeCell ref="U100:U101"/>
    <mergeCell ref="I65:I69"/>
    <mergeCell ref="J65:J69"/>
    <mergeCell ref="K65:K69"/>
    <mergeCell ref="L65:L69"/>
    <mergeCell ref="A14:B14"/>
    <mergeCell ref="J10:K10"/>
    <mergeCell ref="X19:X21"/>
    <mergeCell ref="V38:V39"/>
    <mergeCell ref="W38:W39"/>
    <mergeCell ref="X38:X39"/>
    <mergeCell ref="N38:N39"/>
    <mergeCell ref="N65:N69"/>
    <mergeCell ref="T65:T69"/>
    <mergeCell ref="U65:U69"/>
    <mergeCell ref="M65:M69"/>
    <mergeCell ref="I38:I39"/>
    <mergeCell ref="J38:J39"/>
    <mergeCell ref="K38:K39"/>
    <mergeCell ref="L38:L39"/>
    <mergeCell ref="M38:M39"/>
    <mergeCell ref="A1:B1"/>
    <mergeCell ref="K1:N1"/>
    <mergeCell ref="I3:L3"/>
    <mergeCell ref="A5:W5"/>
    <mergeCell ref="A6:W6"/>
    <mergeCell ref="A7:W7"/>
    <mergeCell ref="M10:N10"/>
    <mergeCell ref="J9:K9"/>
    <mergeCell ref="P9:Q9"/>
    <mergeCell ref="A10:A11"/>
    <mergeCell ref="B10:B11"/>
    <mergeCell ref="C10:C11"/>
    <mergeCell ref="O10:O11"/>
    <mergeCell ref="D10:E10"/>
    <mergeCell ref="P10:P11"/>
    <mergeCell ref="G10:H10"/>
    <mergeCell ref="I10:I11"/>
    <mergeCell ref="F10:F11"/>
    <mergeCell ref="L10:L11"/>
  </mergeCells>
  <pageMargins left="0.19685039370078741" right="0.19685039370078741" top="0.23622047244094491" bottom="0.23622047244094491" header="0.15748031496062992" footer="0.19685039370078741"/>
  <pageSetup paperSize="9" scale="36" fitToHeight="20" orientation="landscape" r:id="rId1"/>
  <customProperties>
    <customPr name="krista_fm_consts" r:id="rId2"/>
  </customProperties>
</worksheet>
</file>

<file path=xl/worksheets/sheet24.xml><?xml version="1.0" encoding="utf-8"?>
<worksheet xmlns="http://schemas.openxmlformats.org/spreadsheetml/2006/main" xmlns:r="http://schemas.openxmlformats.org/officeDocument/2006/relationships">
  <sheetPr>
    <pageSetUpPr fitToPage="1"/>
  </sheetPr>
  <dimension ref="A1:AD267"/>
  <sheetViews>
    <sheetView topLeftCell="A243" zoomScale="60" zoomScaleNormal="60" zoomScaleSheetLayoutView="40" workbookViewId="0">
      <selection activeCell="D252" sqref="D252"/>
    </sheetView>
  </sheetViews>
  <sheetFormatPr defaultColWidth="9.140625" defaultRowHeight="30"/>
  <cols>
    <col min="1" max="1" width="14.14062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4.140625" style="714" customWidth="1"/>
    <col min="10" max="10" width="22.5703125" style="497" customWidth="1"/>
    <col min="11" max="11" width="22" style="497"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26" width="22" style="1035" hidden="1" customWidth="1"/>
    <col min="27" max="27" width="38.85546875" style="497" hidden="1" customWidth="1"/>
    <col min="28" max="28" width="37.7109375" style="497" customWidth="1"/>
    <col min="29" max="29" width="20.85546875" style="497" bestFit="1" customWidth="1"/>
    <col min="30" max="30" width="25.5703125" style="497" customWidth="1"/>
    <col min="31" max="16384" width="9.140625" style="497"/>
  </cols>
  <sheetData>
    <row r="1" spans="1:28">
      <c r="A1" s="2359"/>
      <c r="B1" s="2359"/>
      <c r="C1" s="817"/>
      <c r="D1" s="817"/>
      <c r="E1" s="817"/>
      <c r="F1" s="817"/>
      <c r="G1" s="817"/>
      <c r="H1" s="817"/>
      <c r="I1" s="817"/>
      <c r="K1" s="2384" t="s">
        <v>513</v>
      </c>
      <c r="L1" s="2384"/>
      <c r="M1" s="2384"/>
      <c r="N1" s="2384"/>
    </row>
    <row r="2" spans="1:28" hidden="1">
      <c r="B2" s="1329"/>
      <c r="C2" s="714"/>
      <c r="D2" s="1342"/>
      <c r="E2" s="1342"/>
      <c r="L2" s="714"/>
    </row>
    <row r="3" spans="1:28" s="467" customFormat="1" hidden="1">
      <c r="A3" s="860"/>
      <c r="B3" s="859"/>
      <c r="C3" s="715"/>
      <c r="D3" s="716"/>
      <c r="E3" s="716"/>
      <c r="F3" s="715"/>
      <c r="G3" s="716"/>
      <c r="H3" s="716"/>
      <c r="I3" s="2312"/>
      <c r="J3" s="2312"/>
      <c r="K3" s="2312"/>
      <c r="L3" s="2312"/>
      <c r="N3" s="717"/>
      <c r="O3" s="1221"/>
      <c r="P3" s="1221"/>
      <c r="T3" s="1107"/>
      <c r="U3" s="1108"/>
      <c r="V3" s="1107"/>
      <c r="W3" s="1107"/>
      <c r="X3" s="1217"/>
      <c r="Z3" s="1032"/>
    </row>
    <row r="4" spans="1:28"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c r="Z4" s="1032"/>
    </row>
    <row r="5" spans="1:28" s="467" customFormat="1" ht="23.2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row>
    <row r="6" spans="1:28"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row>
    <row r="7" spans="1:28" s="467" customFormat="1" ht="38.25" customHeight="1">
      <c r="A7" s="2473" t="s">
        <v>1343</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row>
    <row r="8" spans="1:28" s="1063" customFormat="1" ht="25.5" customHeight="1">
      <c r="A8" s="1073"/>
      <c r="B8" s="1073"/>
      <c r="C8" s="1059"/>
      <c r="D8" s="1351"/>
      <c r="E8" s="1058"/>
      <c r="F8" s="1058"/>
      <c r="G8" s="1058"/>
      <c r="H8" s="1060"/>
      <c r="I8" s="1201"/>
      <c r="J8" s="1062"/>
      <c r="K8" s="1364"/>
      <c r="N8" s="1062"/>
      <c r="O8" s="1221"/>
      <c r="P8" s="2423"/>
      <c r="Q8" s="2423"/>
      <c r="T8" s="1107"/>
      <c r="U8" s="1108"/>
      <c r="V8" s="1107"/>
      <c r="W8" s="1107"/>
      <c r="X8" s="1212"/>
      <c r="Z8" s="1309"/>
    </row>
    <row r="9" spans="1:28" s="791" customFormat="1" ht="70.5" customHeight="1">
      <c r="A9" s="2394" t="s">
        <v>18</v>
      </c>
      <c r="B9" s="2395" t="s">
        <v>0</v>
      </c>
      <c r="C9" s="2396" t="s">
        <v>614</v>
      </c>
      <c r="D9" s="2424" t="s">
        <v>257</v>
      </c>
      <c r="E9" s="2424"/>
      <c r="F9" s="2396" t="s">
        <v>442</v>
      </c>
      <c r="G9" s="2424" t="s">
        <v>257</v>
      </c>
      <c r="H9" s="2424"/>
      <c r="I9" s="2407" t="s">
        <v>237</v>
      </c>
      <c r="J9" s="2424" t="s">
        <v>257</v>
      </c>
      <c r="K9" s="2424"/>
      <c r="L9" s="2396" t="s">
        <v>1313</v>
      </c>
      <c r="M9" s="2424" t="s">
        <v>448</v>
      </c>
      <c r="N9" s="2424"/>
      <c r="O9" s="2460" t="s">
        <v>1110</v>
      </c>
      <c r="P9" s="2460" t="s">
        <v>1106</v>
      </c>
      <c r="T9" s="1099"/>
      <c r="U9" s="1100"/>
      <c r="V9" s="1099"/>
      <c r="W9" s="1099"/>
      <c r="X9" s="1216"/>
      <c r="Z9" s="1310"/>
    </row>
    <row r="10" spans="1:28" s="791" customFormat="1" ht="150" customHeight="1">
      <c r="A10" s="2394"/>
      <c r="B10" s="2395"/>
      <c r="C10" s="2396"/>
      <c r="D10" s="905" t="s">
        <v>1074</v>
      </c>
      <c r="E10" s="905" t="s">
        <v>258</v>
      </c>
      <c r="F10" s="2396"/>
      <c r="G10" s="905" t="s">
        <v>1074</v>
      </c>
      <c r="H10" s="905" t="s">
        <v>258</v>
      </c>
      <c r="I10" s="2408"/>
      <c r="J10" s="905" t="s">
        <v>1074</v>
      </c>
      <c r="K10" s="905" t="s">
        <v>258</v>
      </c>
      <c r="L10" s="2396"/>
      <c r="M10" s="905" t="s">
        <v>1074</v>
      </c>
      <c r="N10" s="905" t="s">
        <v>258</v>
      </c>
      <c r="O10" s="2461"/>
      <c r="P10" s="2461"/>
      <c r="T10" s="1099"/>
      <c r="U10" s="1100"/>
      <c r="V10" s="1099"/>
      <c r="W10" s="1099"/>
      <c r="X10" s="1216"/>
      <c r="Z10" s="1310"/>
    </row>
    <row r="11" spans="1:28" ht="26.25">
      <c r="A11" s="263">
        <v>1</v>
      </c>
      <c r="B11" s="263">
        <v>2</v>
      </c>
      <c r="C11" s="263">
        <v>3</v>
      </c>
      <c r="D11" s="263">
        <v>4</v>
      </c>
      <c r="E11" s="263">
        <v>5</v>
      </c>
      <c r="F11" s="721">
        <v>7</v>
      </c>
      <c r="G11" s="721">
        <v>8</v>
      </c>
      <c r="H11" s="721">
        <v>9</v>
      </c>
      <c r="I11" s="721">
        <v>6</v>
      </c>
      <c r="J11" s="721">
        <v>7</v>
      </c>
      <c r="K11" s="721">
        <v>8</v>
      </c>
      <c r="L11" s="721">
        <v>9</v>
      </c>
      <c r="M11" s="721">
        <v>10</v>
      </c>
      <c r="N11" s="721">
        <v>11</v>
      </c>
      <c r="O11" s="30">
        <v>10</v>
      </c>
      <c r="P11" s="30">
        <v>11</v>
      </c>
      <c r="Q11" s="497" t="s">
        <v>791</v>
      </c>
      <c r="T11" s="1206"/>
      <c r="U11" s="1207"/>
      <c r="V11" s="1206"/>
      <c r="W11" s="1206"/>
    </row>
    <row r="12" spans="1:28" s="914" customFormat="1" ht="43.5" customHeight="1">
      <c r="A12" s="1313"/>
      <c r="B12" s="916" t="s">
        <v>10</v>
      </c>
      <c r="C12" s="917">
        <f>SUM(D12:E12)</f>
        <v>6741811.5999999996</v>
      </c>
      <c r="D12" s="917">
        <f>SUM(D13,D204)</f>
        <v>5495669.0999999996</v>
      </c>
      <c r="E12" s="917">
        <f>SUM(E13,E204)</f>
        <v>1246142.5</v>
      </c>
      <c r="F12" s="917">
        <f>SUM(G12:H12)</f>
        <v>6679943.5999999996</v>
      </c>
      <c r="G12" s="917">
        <f>SUM(G13,G204)</f>
        <v>5438636.2999999998</v>
      </c>
      <c r="H12" s="917">
        <f>SUM(H13,H204)</f>
        <v>1241307.3</v>
      </c>
      <c r="I12" s="917">
        <f>SUM(J12:K12)</f>
        <v>1107486</v>
      </c>
      <c r="J12" s="917">
        <f>SUM(J13,J204)</f>
        <v>931013.7</v>
      </c>
      <c r="K12" s="917">
        <f>SUM(K13,K204)</f>
        <v>176472.3</v>
      </c>
      <c r="L12" s="918">
        <f t="shared" ref="L12:N13" si="0">IF(I12=0,0,I12/F12*100)</f>
        <v>16.600000000000001</v>
      </c>
      <c r="M12" s="918">
        <f t="shared" si="0"/>
        <v>17.100000000000001</v>
      </c>
      <c r="N12" s="918">
        <f t="shared" si="0"/>
        <v>14.2</v>
      </c>
      <c r="O12" s="1232" t="s">
        <v>353</v>
      </c>
      <c r="P12" s="1232"/>
      <c r="Q12" s="1229">
        <f t="shared" ref="Q12:S77" si="1">C12-F12</f>
        <v>61868</v>
      </c>
      <c r="R12" s="1229">
        <f t="shared" si="1"/>
        <v>57032.800000000003</v>
      </c>
      <c r="S12" s="1229">
        <f t="shared" si="1"/>
        <v>4835.2</v>
      </c>
      <c r="T12" s="1230"/>
      <c r="U12" s="1231"/>
      <c r="V12" s="1230"/>
      <c r="W12" s="1230"/>
      <c r="X12" s="1216"/>
      <c r="Z12" s="1311">
        <f t="shared" ref="Z12:Z75" si="2">C12-F12</f>
        <v>61868</v>
      </c>
      <c r="AA12" s="1374">
        <f>C12-F12</f>
        <v>61868</v>
      </c>
      <c r="AB12" s="1374">
        <f t="shared" ref="AB12:AB75" si="3">E12-H12</f>
        <v>4835.2</v>
      </c>
    </row>
    <row r="13" spans="1:28" s="914" customFormat="1" ht="71.25" customHeight="1">
      <c r="A13" s="2401" t="s">
        <v>453</v>
      </c>
      <c r="B13" s="2401"/>
      <c r="C13" s="917">
        <f>D13+E13</f>
        <v>4943395.2</v>
      </c>
      <c r="D13" s="917">
        <f>SUM(D15,D87)</f>
        <v>3986169.1</v>
      </c>
      <c r="E13" s="917">
        <f>SUM(E15,E87)</f>
        <v>957226.1</v>
      </c>
      <c r="F13" s="917">
        <f>G13+H13</f>
        <v>4883419.5</v>
      </c>
      <c r="G13" s="917">
        <f>SUM(G15,G87)</f>
        <v>3930835.1</v>
      </c>
      <c r="H13" s="917">
        <f>SUM(H15,H87)</f>
        <v>952584.4</v>
      </c>
      <c r="I13" s="917">
        <f>J13+K13</f>
        <v>602496.80000000005</v>
      </c>
      <c r="J13" s="917">
        <f>SUM(J15,J87)</f>
        <v>478107.2</v>
      </c>
      <c r="K13" s="917">
        <f>SUM(K15,K87)</f>
        <v>124389.6</v>
      </c>
      <c r="L13" s="918">
        <f t="shared" si="0"/>
        <v>12.3</v>
      </c>
      <c r="M13" s="920">
        <f t="shared" si="0"/>
        <v>12.2</v>
      </c>
      <c r="N13" s="920">
        <f t="shared" si="0"/>
        <v>13.1</v>
      </c>
      <c r="O13" s="1232" t="s">
        <v>353</v>
      </c>
      <c r="P13" s="1232" t="s">
        <v>353</v>
      </c>
      <c r="Q13" s="1229">
        <f t="shared" si="1"/>
        <v>59975.7</v>
      </c>
      <c r="R13" s="1229">
        <f t="shared" si="1"/>
        <v>55334</v>
      </c>
      <c r="S13" s="1229">
        <f t="shared" si="1"/>
        <v>4641.7</v>
      </c>
      <c r="T13" s="1230"/>
      <c r="U13" s="1231"/>
      <c r="V13" s="1230"/>
      <c r="W13" s="1230"/>
      <c r="X13" s="1216"/>
      <c r="Z13" s="1311">
        <f t="shared" si="2"/>
        <v>59975.7</v>
      </c>
      <c r="AA13" s="1374">
        <f t="shared" ref="AA13:AA76" si="4">C13-F13</f>
        <v>59975.7</v>
      </c>
      <c r="AB13" s="1374">
        <f t="shared" si="3"/>
        <v>4641.7</v>
      </c>
    </row>
    <row r="14" spans="1:28" s="914" customFormat="1" ht="54" hidden="1">
      <c r="A14" s="944" t="s">
        <v>6</v>
      </c>
      <c r="B14" s="1234" t="s">
        <v>437</v>
      </c>
      <c r="C14" s="922"/>
      <c r="D14" s="922"/>
      <c r="E14" s="922"/>
      <c r="F14" s="922"/>
      <c r="G14" s="922"/>
      <c r="H14" s="922"/>
      <c r="I14" s="922"/>
      <c r="J14" s="922"/>
      <c r="K14" s="922"/>
      <c r="L14" s="923"/>
      <c r="M14" s="924"/>
      <c r="N14" s="924"/>
      <c r="O14" s="1214"/>
      <c r="P14" s="1214"/>
      <c r="Q14" s="1065">
        <f t="shared" si="1"/>
        <v>0</v>
      </c>
      <c r="R14" s="1065">
        <f t="shared" si="1"/>
        <v>0</v>
      </c>
      <c r="S14" s="1065">
        <f t="shared" si="1"/>
        <v>0</v>
      </c>
      <c r="T14" s="1099"/>
      <c r="U14" s="1100"/>
      <c r="V14" s="1099"/>
      <c r="W14" s="1099"/>
      <c r="X14" s="1216"/>
      <c r="Z14" s="1311">
        <f t="shared" si="2"/>
        <v>0</v>
      </c>
      <c r="AA14" s="1374">
        <f t="shared" si="4"/>
        <v>0</v>
      </c>
      <c r="AB14" s="1374">
        <f t="shared" si="3"/>
        <v>0</v>
      </c>
    </row>
    <row r="15" spans="1:28" s="914" customFormat="1" ht="117" customHeight="1">
      <c r="A15" s="926" t="s">
        <v>6</v>
      </c>
      <c r="B15" s="1259" t="s">
        <v>439</v>
      </c>
      <c r="C15" s="926">
        <f>SUM(D15:E15)</f>
        <v>1359991.2</v>
      </c>
      <c r="D15" s="926">
        <f>SUM(D16)</f>
        <v>1097694.6000000001</v>
      </c>
      <c r="E15" s="926">
        <f>SUM(E16)</f>
        <v>262296.59999999998</v>
      </c>
      <c r="F15" s="926">
        <f>SUM(G15:H15)</f>
        <v>1312315.8</v>
      </c>
      <c r="G15" s="926">
        <f>SUM(G16)</f>
        <v>1054660.8999999999</v>
      </c>
      <c r="H15" s="926">
        <f>SUM(H16)</f>
        <v>257654.9</v>
      </c>
      <c r="I15" s="926">
        <f>SUM(J15:K15)</f>
        <v>132669.29999999999</v>
      </c>
      <c r="J15" s="926">
        <f>SUM(J16)</f>
        <v>119077.2</v>
      </c>
      <c r="K15" s="926">
        <f>SUM(K16)</f>
        <v>13592.1</v>
      </c>
      <c r="L15" s="927">
        <f t="shared" ref="L15:N36" si="5">IF(I15=0,0,I15/F15*100)</f>
        <v>10.1</v>
      </c>
      <c r="M15" s="928">
        <f t="shared" si="5"/>
        <v>11.3</v>
      </c>
      <c r="N15" s="928">
        <f t="shared" si="5"/>
        <v>5.3</v>
      </c>
      <c r="O15" s="1233" t="s">
        <v>353</v>
      </c>
      <c r="P15" s="1233" t="s">
        <v>353</v>
      </c>
      <c r="Q15" s="1065">
        <f t="shared" si="1"/>
        <v>47675.4</v>
      </c>
      <c r="R15" s="1065">
        <f t="shared" si="1"/>
        <v>43033.7</v>
      </c>
      <c r="S15" s="1065">
        <f t="shared" si="1"/>
        <v>4641.7</v>
      </c>
      <c r="T15" s="1114"/>
      <c r="U15" s="1100"/>
      <c r="V15" s="1099"/>
      <c r="W15" s="1099"/>
      <c r="X15" s="1216"/>
      <c r="Z15" s="1311">
        <f t="shared" si="2"/>
        <v>47675.4</v>
      </c>
      <c r="AA15" s="1374">
        <f t="shared" si="4"/>
        <v>47675.4</v>
      </c>
      <c r="AB15" s="1374">
        <f t="shared" si="3"/>
        <v>4641.7</v>
      </c>
    </row>
    <row r="16" spans="1:28" s="914" customFormat="1" ht="63.75" customHeight="1">
      <c r="A16" s="929" t="s">
        <v>253</v>
      </c>
      <c r="B16" s="1260" t="s">
        <v>41</v>
      </c>
      <c r="C16" s="929">
        <f>SUM(D16:E16)</f>
        <v>1359991.2</v>
      </c>
      <c r="D16" s="929">
        <f>SUM(D17:D18,D19,D21,D24,D26,D29,D32,D34,D39,D43,D46,D48,D52,D57,D59,D61,D69,D63,D20,D55)</f>
        <v>1097694.6000000001</v>
      </c>
      <c r="E16" s="929">
        <f>SUM(E17:E18,E19,E21,E24,E26,E29,E32,E34,E39,E43,E46,E48,E52,E57,E59,E61,E69,E63,E20,E55)</f>
        <v>262296.59999999998</v>
      </c>
      <c r="F16" s="929">
        <f>SUM(G16:H16)</f>
        <v>1312315.8</v>
      </c>
      <c r="G16" s="929">
        <f>SUM(G17:G18,G19,G21,G24,G26,G29,G32,G34,G39,G43,G46,G48,G52,G57,G59,G61,G69,G63,G20,G55)</f>
        <v>1054660.8999999999</v>
      </c>
      <c r="H16" s="929">
        <f>SUM(H17:H18,H19,H21,H24,H26,H29,H32,H34,H39,H43,H46,H48,H52,H57,H59,H61,H69,H63,H20,H55)</f>
        <v>257654.9</v>
      </c>
      <c r="I16" s="929">
        <f>SUM(J16:K16)</f>
        <v>132669.29999999999</v>
      </c>
      <c r="J16" s="929">
        <f>SUM(J17:J18,J19,J21,J24,J26,J29,J32,J34,J39,J43,J46,J48,J52,J57,J59,J61,J69,J63,J20,J55)</f>
        <v>119077.2</v>
      </c>
      <c r="K16" s="929">
        <f>SUM(K17:K18,K19,K21,K24,K26,K29,K32,K34,K39,K43,K46,K48,K52,K57,K59,K61,K69,K63,K20,K55)</f>
        <v>13592.1</v>
      </c>
      <c r="L16" s="930">
        <f t="shared" si="5"/>
        <v>10.1</v>
      </c>
      <c r="M16" s="931">
        <f t="shared" si="5"/>
        <v>11.3</v>
      </c>
      <c r="N16" s="931">
        <f t="shared" si="5"/>
        <v>5.3</v>
      </c>
      <c r="O16" s="1228" t="s">
        <v>353</v>
      </c>
      <c r="P16" s="1228" t="s">
        <v>353</v>
      </c>
      <c r="Q16" s="1065">
        <f t="shared" si="1"/>
        <v>47675.4</v>
      </c>
      <c r="R16" s="1065">
        <f t="shared" si="1"/>
        <v>43033.7</v>
      </c>
      <c r="S16" s="1065">
        <f t="shared" si="1"/>
        <v>4641.7</v>
      </c>
      <c r="T16" s="1099"/>
      <c r="U16" s="1100"/>
      <c r="V16" s="1099"/>
      <c r="W16" s="1099"/>
      <c r="X16" s="1216"/>
      <c r="Z16" s="1311">
        <f t="shared" si="2"/>
        <v>47675.4</v>
      </c>
      <c r="AA16" s="1374">
        <f t="shared" si="4"/>
        <v>47675.4</v>
      </c>
      <c r="AB16" s="1374">
        <f t="shared" si="3"/>
        <v>4641.7</v>
      </c>
    </row>
    <row r="17" spans="1:28" s="736" customFormat="1" ht="105" hidden="1">
      <c r="A17" s="1335" t="s">
        <v>538</v>
      </c>
      <c r="B17" s="1066" t="s">
        <v>434</v>
      </c>
      <c r="C17" s="871">
        <f t="shared" ref="C17:C68" si="6">SUM(D17:E17)</f>
        <v>0</v>
      </c>
      <c r="D17" s="972"/>
      <c r="E17" s="972"/>
      <c r="F17" s="871">
        <f t="shared" ref="F17:F68" si="7">SUM(G17:H17)</f>
        <v>0</v>
      </c>
      <c r="G17" s="972"/>
      <c r="H17" s="972"/>
      <c r="I17" s="871">
        <f t="shared" ref="I17:I60" si="8">SUM(J17:K17)</f>
        <v>0</v>
      </c>
      <c r="J17" s="894"/>
      <c r="K17" s="894"/>
      <c r="L17" s="872">
        <f t="shared" si="5"/>
        <v>0</v>
      </c>
      <c r="M17" s="873">
        <f t="shared" si="5"/>
        <v>0</v>
      </c>
      <c r="N17" s="873">
        <f t="shared" si="5"/>
        <v>0</v>
      </c>
      <c r="O17" s="1214"/>
      <c r="P17" s="1214"/>
      <c r="Q17" s="1065">
        <f t="shared" si="1"/>
        <v>0</v>
      </c>
      <c r="R17" s="1065">
        <f t="shared" si="1"/>
        <v>0</v>
      </c>
      <c r="S17" s="1065">
        <f t="shared" si="1"/>
        <v>0</v>
      </c>
      <c r="T17" s="1099"/>
      <c r="U17" s="1100"/>
      <c r="V17" s="1099"/>
      <c r="W17" s="1099"/>
      <c r="X17" s="1216"/>
      <c r="Z17" s="1311">
        <f t="shared" si="2"/>
        <v>0</v>
      </c>
      <c r="AA17" s="1374">
        <f t="shared" si="4"/>
        <v>0</v>
      </c>
      <c r="AB17" s="1374">
        <f t="shared" si="3"/>
        <v>0</v>
      </c>
    </row>
    <row r="18" spans="1:28" s="736" customFormat="1" ht="80.25" customHeight="1">
      <c r="A18" s="1335" t="s">
        <v>538</v>
      </c>
      <c r="B18" s="1066" t="s">
        <v>1076</v>
      </c>
      <c r="C18" s="871">
        <f t="shared" si="6"/>
        <v>43468.4</v>
      </c>
      <c r="D18" s="972">
        <v>43033.7</v>
      </c>
      <c r="E18" s="972">
        <v>434.7</v>
      </c>
      <c r="F18" s="871">
        <f t="shared" si="7"/>
        <v>0</v>
      </c>
      <c r="G18" s="972">
        <v>0</v>
      </c>
      <c r="H18" s="972">
        <v>0</v>
      </c>
      <c r="I18" s="871">
        <f t="shared" si="8"/>
        <v>0</v>
      </c>
      <c r="J18" s="894">
        <v>0</v>
      </c>
      <c r="K18" s="894">
        <v>0</v>
      </c>
      <c r="L18" s="872">
        <f t="shared" si="5"/>
        <v>0</v>
      </c>
      <c r="M18" s="873">
        <f t="shared" si="5"/>
        <v>0</v>
      </c>
      <c r="N18" s="873">
        <f t="shared" si="5"/>
        <v>0</v>
      </c>
      <c r="O18" s="1214" t="s">
        <v>1171</v>
      </c>
      <c r="P18" s="1214" t="s">
        <v>1107</v>
      </c>
      <c r="Q18" s="1065">
        <f t="shared" si="1"/>
        <v>43468.4</v>
      </c>
      <c r="R18" s="1065">
        <f t="shared" si="1"/>
        <v>43033.7</v>
      </c>
      <c r="S18" s="1065">
        <f t="shared" si="1"/>
        <v>434.7</v>
      </c>
      <c r="T18" s="1099" t="s">
        <v>866</v>
      </c>
      <c r="U18" s="1100" t="s">
        <v>865</v>
      </c>
      <c r="V18" s="1099">
        <v>522</v>
      </c>
      <c r="W18" s="1099"/>
      <c r="X18" s="2474"/>
      <c r="Z18" s="1311">
        <f t="shared" si="2"/>
        <v>43468.4</v>
      </c>
      <c r="AA18" s="1374">
        <f t="shared" si="4"/>
        <v>43468.4</v>
      </c>
      <c r="AB18" s="1374">
        <f t="shared" si="3"/>
        <v>434.7</v>
      </c>
    </row>
    <row r="19" spans="1:28" s="892" customFormat="1" ht="117" customHeight="1">
      <c r="A19" s="1335" t="s">
        <v>539</v>
      </c>
      <c r="B19" s="1066" t="s">
        <v>434</v>
      </c>
      <c r="C19" s="1347">
        <f>SUM(D19:E19)</f>
        <v>14736.7</v>
      </c>
      <c r="D19" s="877">
        <v>14736.7</v>
      </c>
      <c r="E19" s="877">
        <v>0</v>
      </c>
      <c r="F19" s="1350">
        <f>SUM(G19:H19)</f>
        <v>14736.7</v>
      </c>
      <c r="G19" s="877">
        <v>14736.7</v>
      </c>
      <c r="H19" s="877">
        <v>0</v>
      </c>
      <c r="I19" s="1338">
        <f t="shared" si="8"/>
        <v>11326.4</v>
      </c>
      <c r="J19" s="1339">
        <v>11326.4</v>
      </c>
      <c r="K19" s="1339">
        <v>0</v>
      </c>
      <c r="L19" s="876">
        <f t="shared" si="5"/>
        <v>76.900000000000006</v>
      </c>
      <c r="M19" s="877">
        <f t="shared" si="5"/>
        <v>76.900000000000006</v>
      </c>
      <c r="N19" s="877">
        <f t="shared" si="5"/>
        <v>0</v>
      </c>
      <c r="O19" s="1330" t="s">
        <v>1172</v>
      </c>
      <c r="P19" s="1214" t="s">
        <v>1108</v>
      </c>
      <c r="Q19" s="1065">
        <f t="shared" si="1"/>
        <v>0</v>
      </c>
      <c r="R19" s="1065">
        <f t="shared" si="1"/>
        <v>0</v>
      </c>
      <c r="S19" s="1065">
        <f t="shared" si="1"/>
        <v>0</v>
      </c>
      <c r="T19" s="1099" t="s">
        <v>961</v>
      </c>
      <c r="U19" s="1100" t="s">
        <v>962</v>
      </c>
      <c r="V19" s="1099">
        <v>522</v>
      </c>
      <c r="W19" s="1099"/>
      <c r="X19" s="2475"/>
      <c r="Z19" s="1311">
        <f t="shared" si="2"/>
        <v>0</v>
      </c>
      <c r="AA19" s="1374">
        <f t="shared" si="4"/>
        <v>0</v>
      </c>
      <c r="AB19" s="1374">
        <f t="shared" si="3"/>
        <v>0</v>
      </c>
    </row>
    <row r="20" spans="1:28" s="892" customFormat="1" ht="118.5" customHeight="1">
      <c r="A20" s="1335" t="s">
        <v>19</v>
      </c>
      <c r="B20" s="1066" t="s">
        <v>792</v>
      </c>
      <c r="C20" s="1347">
        <f t="shared" si="6"/>
        <v>741029.8</v>
      </c>
      <c r="D20" s="877">
        <v>733604.7</v>
      </c>
      <c r="E20" s="877">
        <v>7425.1</v>
      </c>
      <c r="F20" s="1350">
        <f t="shared" si="7"/>
        <v>741029.8</v>
      </c>
      <c r="G20" s="877">
        <v>733604.7</v>
      </c>
      <c r="H20" s="877">
        <v>7425.1</v>
      </c>
      <c r="I20" s="1338">
        <f t="shared" si="8"/>
        <v>61936</v>
      </c>
      <c r="J20" s="1339">
        <v>61312.800000000003</v>
      </c>
      <c r="K20" s="1339">
        <v>623.20000000000005</v>
      </c>
      <c r="L20" s="876">
        <f t="shared" si="5"/>
        <v>8.4</v>
      </c>
      <c r="M20" s="877">
        <f t="shared" si="5"/>
        <v>8.4</v>
      </c>
      <c r="N20" s="877">
        <f t="shared" si="5"/>
        <v>8.4</v>
      </c>
      <c r="O20" s="1214" t="s">
        <v>1171</v>
      </c>
      <c r="P20" s="1214" t="s">
        <v>1109</v>
      </c>
      <c r="Q20" s="1065">
        <f t="shared" si="1"/>
        <v>0</v>
      </c>
      <c r="R20" s="1065">
        <f t="shared" si="1"/>
        <v>0</v>
      </c>
      <c r="S20" s="1065">
        <f t="shared" si="1"/>
        <v>0</v>
      </c>
      <c r="T20" s="1099" t="s">
        <v>963</v>
      </c>
      <c r="U20" s="1100" t="s">
        <v>964</v>
      </c>
      <c r="V20" s="1099">
        <v>522</v>
      </c>
      <c r="W20" s="1099"/>
      <c r="X20" s="2476"/>
      <c r="Z20" s="1311">
        <f t="shared" si="2"/>
        <v>0</v>
      </c>
      <c r="AA20" s="1374">
        <f t="shared" si="4"/>
        <v>0</v>
      </c>
      <c r="AB20" s="1374">
        <f t="shared" si="3"/>
        <v>0</v>
      </c>
    </row>
    <row r="21" spans="1:28">
      <c r="A21" s="1335"/>
      <c r="B21" s="898" t="s">
        <v>283</v>
      </c>
      <c r="C21" s="1347">
        <f t="shared" si="6"/>
        <v>13903.1</v>
      </c>
      <c r="D21" s="875">
        <f>SUM(D23:D23)</f>
        <v>0</v>
      </c>
      <c r="E21" s="875">
        <f>SUM(E22:E23)</f>
        <v>13903.1</v>
      </c>
      <c r="F21" s="1347">
        <f t="shared" si="7"/>
        <v>13903.1</v>
      </c>
      <c r="G21" s="875">
        <f>SUM(G23:G23)</f>
        <v>0</v>
      </c>
      <c r="H21" s="875">
        <f>SUM(H22:H23)</f>
        <v>13903.1</v>
      </c>
      <c r="I21" s="1340">
        <f t="shared" si="8"/>
        <v>0</v>
      </c>
      <c r="J21" s="875">
        <f>SUM(J23:J23)</f>
        <v>0</v>
      </c>
      <c r="K21" s="875">
        <f>SUM(K23:K23)</f>
        <v>0</v>
      </c>
      <c r="L21" s="876">
        <f t="shared" si="5"/>
        <v>0</v>
      </c>
      <c r="M21" s="877">
        <f t="shared" si="5"/>
        <v>0</v>
      </c>
      <c r="N21" s="877">
        <f t="shared" si="5"/>
        <v>0</v>
      </c>
      <c r="O21" s="1214" t="s">
        <v>353</v>
      </c>
      <c r="P21" s="1214" t="s">
        <v>353</v>
      </c>
      <c r="Q21" s="1065">
        <f t="shared" si="1"/>
        <v>0</v>
      </c>
      <c r="R21" s="1065">
        <f t="shared" si="1"/>
        <v>0</v>
      </c>
      <c r="S21" s="1065">
        <f t="shared" si="1"/>
        <v>0</v>
      </c>
      <c r="Z21" s="1311">
        <f t="shared" si="2"/>
        <v>0</v>
      </c>
      <c r="AA21" s="1374">
        <f t="shared" si="4"/>
        <v>0</v>
      </c>
      <c r="AB21" s="1374">
        <f t="shared" si="3"/>
        <v>0</v>
      </c>
    </row>
    <row r="22" spans="1:28" ht="115.5" customHeight="1">
      <c r="A22" s="1335" t="s">
        <v>20</v>
      </c>
      <c r="B22" s="1333" t="s">
        <v>1119</v>
      </c>
      <c r="C22" s="871">
        <f>SUM(D22:E22)</f>
        <v>5016.7</v>
      </c>
      <c r="D22" s="1249">
        <v>0</v>
      </c>
      <c r="E22" s="1249">
        <v>5016.7</v>
      </c>
      <c r="F22" s="1347">
        <f>SUM(G22:H22)</f>
        <v>5016.7</v>
      </c>
      <c r="G22" s="1337">
        <v>0</v>
      </c>
      <c r="H22" s="1337">
        <v>5016.7</v>
      </c>
      <c r="I22" s="1341">
        <f>SUM(J22:K22)</f>
        <v>0</v>
      </c>
      <c r="J22" s="1341">
        <v>0</v>
      </c>
      <c r="K22" s="1341">
        <v>0</v>
      </c>
      <c r="L22" s="877">
        <f t="shared" si="5"/>
        <v>0</v>
      </c>
      <c r="M22" s="877">
        <f t="shared" si="5"/>
        <v>0</v>
      </c>
      <c r="N22" s="877">
        <f t="shared" si="5"/>
        <v>0</v>
      </c>
      <c r="O22" s="1214" t="s">
        <v>1171</v>
      </c>
      <c r="P22" s="1214" t="s">
        <v>1120</v>
      </c>
      <c r="Q22" s="1065"/>
      <c r="R22" s="1065"/>
      <c r="S22" s="1065"/>
      <c r="T22" s="1099" t="s">
        <v>954</v>
      </c>
      <c r="U22" s="1100" t="s">
        <v>976</v>
      </c>
      <c r="V22" s="1099">
        <v>522</v>
      </c>
      <c r="W22" s="1099">
        <v>24356</v>
      </c>
      <c r="Z22" s="1311">
        <f t="shared" si="2"/>
        <v>0</v>
      </c>
      <c r="AA22" s="1374">
        <f t="shared" si="4"/>
        <v>0</v>
      </c>
      <c r="AB22" s="1374">
        <f t="shared" si="3"/>
        <v>0</v>
      </c>
    </row>
    <row r="23" spans="1:28" ht="95.25" customHeight="1">
      <c r="A23" s="1335" t="s">
        <v>467</v>
      </c>
      <c r="B23" s="1084" t="s">
        <v>770</v>
      </c>
      <c r="C23" s="871">
        <f>SUM(D23:E23)</f>
        <v>8886.4</v>
      </c>
      <c r="D23" s="1249">
        <v>0</v>
      </c>
      <c r="E23" s="1249">
        <v>8886.4</v>
      </c>
      <c r="F23" s="1347">
        <f>SUM(G23:H23)</f>
        <v>8886.4</v>
      </c>
      <c r="G23" s="1337">
        <v>0</v>
      </c>
      <c r="H23" s="1337">
        <v>8886.4</v>
      </c>
      <c r="I23" s="1341">
        <f t="shared" si="8"/>
        <v>0</v>
      </c>
      <c r="J23" s="1341">
        <v>0</v>
      </c>
      <c r="K23" s="1341">
        <v>0</v>
      </c>
      <c r="L23" s="877">
        <f t="shared" si="5"/>
        <v>0</v>
      </c>
      <c r="M23" s="877">
        <f t="shared" si="5"/>
        <v>0</v>
      </c>
      <c r="N23" s="877">
        <f t="shared" si="5"/>
        <v>0</v>
      </c>
      <c r="O23" s="1214" t="s">
        <v>1124</v>
      </c>
      <c r="P23" s="1214" t="s">
        <v>1121</v>
      </c>
      <c r="Q23" s="1065">
        <f t="shared" si="1"/>
        <v>0</v>
      </c>
      <c r="R23" s="1065">
        <f t="shared" si="1"/>
        <v>0</v>
      </c>
      <c r="S23" s="1065">
        <f t="shared" si="1"/>
        <v>0</v>
      </c>
      <c r="T23" s="1099" t="s">
        <v>926</v>
      </c>
      <c r="U23" s="1100" t="s">
        <v>965</v>
      </c>
      <c r="V23" s="1099">
        <v>522</v>
      </c>
      <c r="W23" s="1099" t="s">
        <v>975</v>
      </c>
      <c r="Z23" s="1311">
        <f t="shared" si="2"/>
        <v>0</v>
      </c>
      <c r="AA23" s="1374">
        <f t="shared" si="4"/>
        <v>0</v>
      </c>
      <c r="AB23" s="1374">
        <f t="shared" si="3"/>
        <v>0</v>
      </c>
    </row>
    <row r="24" spans="1:28">
      <c r="A24" s="1335"/>
      <c r="B24" s="898" t="s">
        <v>724</v>
      </c>
      <c r="C24" s="871">
        <f t="shared" si="6"/>
        <v>8700</v>
      </c>
      <c r="D24" s="1250">
        <f>D25</f>
        <v>0</v>
      </c>
      <c r="E24" s="1250">
        <f>E25</f>
        <v>8700</v>
      </c>
      <c r="F24" s="1347">
        <f t="shared" si="7"/>
        <v>8700</v>
      </c>
      <c r="G24" s="875">
        <f>G25</f>
        <v>0</v>
      </c>
      <c r="H24" s="875">
        <f>H25</f>
        <v>8700</v>
      </c>
      <c r="I24" s="1340">
        <f t="shared" si="8"/>
        <v>0</v>
      </c>
      <c r="J24" s="875">
        <f>J25</f>
        <v>0</v>
      </c>
      <c r="K24" s="875">
        <f>K25</f>
        <v>0</v>
      </c>
      <c r="L24" s="876">
        <f t="shared" si="5"/>
        <v>0</v>
      </c>
      <c r="M24" s="877">
        <f t="shared" si="5"/>
        <v>0</v>
      </c>
      <c r="N24" s="877">
        <f t="shared" si="5"/>
        <v>0</v>
      </c>
      <c r="O24" s="1214" t="s">
        <v>353</v>
      </c>
      <c r="P24" s="1214" t="s">
        <v>353</v>
      </c>
      <c r="Q24" s="1065">
        <f t="shared" si="1"/>
        <v>0</v>
      </c>
      <c r="R24" s="1065">
        <f t="shared" si="1"/>
        <v>0</v>
      </c>
      <c r="S24" s="1065">
        <f t="shared" si="1"/>
        <v>0</v>
      </c>
      <c r="Z24" s="1311">
        <f t="shared" si="2"/>
        <v>0</v>
      </c>
      <c r="AA24" s="1374">
        <f t="shared" si="4"/>
        <v>0</v>
      </c>
      <c r="AB24" s="1374">
        <f t="shared" si="3"/>
        <v>0</v>
      </c>
    </row>
    <row r="25" spans="1:28" ht="165.75" customHeight="1">
      <c r="A25" s="1335" t="s">
        <v>468</v>
      </c>
      <c r="B25" s="1084" t="s">
        <v>861</v>
      </c>
      <c r="C25" s="894">
        <f t="shared" si="6"/>
        <v>8700</v>
      </c>
      <c r="D25" s="1249">
        <v>0</v>
      </c>
      <c r="E25" s="1249">
        <v>8700</v>
      </c>
      <c r="F25" s="1348">
        <f t="shared" si="7"/>
        <v>8700</v>
      </c>
      <c r="G25" s="1337">
        <v>0</v>
      </c>
      <c r="H25" s="1337">
        <v>8700</v>
      </c>
      <c r="I25" s="1341">
        <f t="shared" si="8"/>
        <v>0</v>
      </c>
      <c r="J25" s="1341">
        <v>0</v>
      </c>
      <c r="K25" s="1341">
        <v>0</v>
      </c>
      <c r="L25" s="877">
        <f t="shared" si="5"/>
        <v>0</v>
      </c>
      <c r="M25" s="877">
        <f t="shared" si="5"/>
        <v>0</v>
      </c>
      <c r="N25" s="877">
        <f t="shared" si="5"/>
        <v>0</v>
      </c>
      <c r="O25" s="1214" t="s">
        <v>1173</v>
      </c>
      <c r="P25" s="1330" t="s">
        <v>1122</v>
      </c>
      <c r="Q25" s="1065">
        <f t="shared" si="1"/>
        <v>0</v>
      </c>
      <c r="R25" s="1065">
        <f t="shared" si="1"/>
        <v>0</v>
      </c>
      <c r="S25" s="1065">
        <f t="shared" si="1"/>
        <v>0</v>
      </c>
      <c r="T25" s="1099" t="s">
        <v>886</v>
      </c>
      <c r="U25" s="1100" t="s">
        <v>966</v>
      </c>
      <c r="V25" s="1099">
        <v>522</v>
      </c>
      <c r="W25" s="1099" t="s">
        <v>977</v>
      </c>
      <c r="Z25" s="1311">
        <f t="shared" si="2"/>
        <v>0</v>
      </c>
      <c r="AA25" s="1374">
        <f t="shared" si="4"/>
        <v>0</v>
      </c>
      <c r="AB25" s="1374">
        <f t="shared" si="3"/>
        <v>0</v>
      </c>
    </row>
    <row r="26" spans="1:28" s="700" customFormat="1">
      <c r="A26" s="1335"/>
      <c r="B26" s="1074" t="s">
        <v>12</v>
      </c>
      <c r="C26" s="871">
        <f t="shared" si="6"/>
        <v>13835</v>
      </c>
      <c r="D26" s="1251">
        <f>SUM(D27:D28)</f>
        <v>0</v>
      </c>
      <c r="E26" s="1251">
        <f>SUM(E27:E28)</f>
        <v>13835</v>
      </c>
      <c r="F26" s="1347">
        <f t="shared" si="7"/>
        <v>13835</v>
      </c>
      <c r="G26" s="880">
        <f>SUM(G27:G28)</f>
        <v>0</v>
      </c>
      <c r="H26" s="880">
        <f>SUM(H27:H28)</f>
        <v>13835</v>
      </c>
      <c r="I26" s="1340">
        <f t="shared" si="8"/>
        <v>0</v>
      </c>
      <c r="J26" s="1340">
        <f>SUM(J27:J28)</f>
        <v>0</v>
      </c>
      <c r="K26" s="1340">
        <f>SUM(K27:K28)</f>
        <v>0</v>
      </c>
      <c r="L26" s="876">
        <f t="shared" si="5"/>
        <v>0</v>
      </c>
      <c r="M26" s="876">
        <f t="shared" si="5"/>
        <v>0</v>
      </c>
      <c r="N26" s="876">
        <f t="shared" si="5"/>
        <v>0</v>
      </c>
      <c r="O26" s="1214" t="s">
        <v>353</v>
      </c>
      <c r="P26" s="1215" t="s">
        <v>353</v>
      </c>
      <c r="Q26" s="1065">
        <f t="shared" si="1"/>
        <v>0</v>
      </c>
      <c r="R26" s="1065">
        <f t="shared" si="1"/>
        <v>0</v>
      </c>
      <c r="S26" s="1065">
        <f t="shared" si="1"/>
        <v>0</v>
      </c>
      <c r="T26" s="1099"/>
      <c r="U26" s="1100"/>
      <c r="V26" s="1099"/>
      <c r="W26" s="1099"/>
      <c r="X26" s="1218"/>
      <c r="Z26" s="1311">
        <f t="shared" si="2"/>
        <v>0</v>
      </c>
      <c r="AA26" s="1374">
        <f t="shared" si="4"/>
        <v>0</v>
      </c>
      <c r="AB26" s="1374">
        <f t="shared" si="3"/>
        <v>0</v>
      </c>
    </row>
    <row r="27" spans="1:28" ht="84" customHeight="1">
      <c r="A27" s="1335" t="s">
        <v>685</v>
      </c>
      <c r="B27" s="1075" t="s">
        <v>1037</v>
      </c>
      <c r="C27" s="871">
        <f t="shared" si="6"/>
        <v>7000</v>
      </c>
      <c r="D27" s="972">
        <v>0</v>
      </c>
      <c r="E27" s="972">
        <v>7000</v>
      </c>
      <c r="F27" s="1347">
        <f t="shared" si="7"/>
        <v>7000</v>
      </c>
      <c r="G27" s="879">
        <v>0</v>
      </c>
      <c r="H27" s="879">
        <v>7000</v>
      </c>
      <c r="I27" s="1340">
        <f t="shared" si="8"/>
        <v>0</v>
      </c>
      <c r="J27" s="1341">
        <v>0</v>
      </c>
      <c r="K27" s="1341">
        <v>0</v>
      </c>
      <c r="L27" s="876">
        <f t="shared" si="5"/>
        <v>0</v>
      </c>
      <c r="M27" s="877">
        <f t="shared" si="5"/>
        <v>0</v>
      </c>
      <c r="N27" s="877">
        <f t="shared" si="5"/>
        <v>0</v>
      </c>
      <c r="O27" s="1214" t="s">
        <v>1171</v>
      </c>
      <c r="P27" s="1214" t="s">
        <v>1111</v>
      </c>
      <c r="Q27" s="1065">
        <f t="shared" si="1"/>
        <v>0</v>
      </c>
      <c r="R27" s="1065">
        <f t="shared" si="1"/>
        <v>0</v>
      </c>
      <c r="S27" s="1065">
        <f t="shared" si="1"/>
        <v>0</v>
      </c>
      <c r="T27" s="1099" t="s">
        <v>886</v>
      </c>
      <c r="U27" s="1100" t="s">
        <v>970</v>
      </c>
      <c r="V27" s="1099">
        <v>522</v>
      </c>
      <c r="W27" s="1099">
        <v>24351</v>
      </c>
      <c r="Z27" s="1311">
        <f t="shared" si="2"/>
        <v>0</v>
      </c>
      <c r="AA27" s="1374">
        <f t="shared" si="4"/>
        <v>0</v>
      </c>
      <c r="AB27" s="1374">
        <f t="shared" si="3"/>
        <v>0</v>
      </c>
    </row>
    <row r="28" spans="1:28" ht="57.75" customHeight="1">
      <c r="A28" s="1335" t="s">
        <v>687</v>
      </c>
      <c r="B28" s="1075" t="s">
        <v>1038</v>
      </c>
      <c r="C28" s="871">
        <f>SUM(D28:E28)</f>
        <v>6835</v>
      </c>
      <c r="D28" s="972">
        <v>0</v>
      </c>
      <c r="E28" s="972">
        <v>6835</v>
      </c>
      <c r="F28" s="1347">
        <f>SUM(G28:H28)</f>
        <v>6835</v>
      </c>
      <c r="G28" s="879">
        <v>0</v>
      </c>
      <c r="H28" s="879">
        <v>6835</v>
      </c>
      <c r="I28" s="1340">
        <f t="shared" si="8"/>
        <v>0</v>
      </c>
      <c r="J28" s="1341">
        <v>0</v>
      </c>
      <c r="K28" s="1341">
        <v>0</v>
      </c>
      <c r="L28" s="876">
        <f t="shared" si="5"/>
        <v>0</v>
      </c>
      <c r="M28" s="877">
        <f t="shared" si="5"/>
        <v>0</v>
      </c>
      <c r="N28" s="877">
        <f t="shared" si="5"/>
        <v>0</v>
      </c>
      <c r="O28" s="1214" t="s">
        <v>1171</v>
      </c>
      <c r="P28" s="1214" t="s">
        <v>1123</v>
      </c>
      <c r="Q28" s="1065">
        <f t="shared" si="1"/>
        <v>0</v>
      </c>
      <c r="R28" s="1065">
        <f t="shared" si="1"/>
        <v>0</v>
      </c>
      <c r="S28" s="1065">
        <f t="shared" si="1"/>
        <v>0</v>
      </c>
      <c r="T28" s="1099" t="s">
        <v>886</v>
      </c>
      <c r="U28" s="1100" t="s">
        <v>968</v>
      </c>
      <c r="V28" s="1099">
        <v>522</v>
      </c>
      <c r="W28" s="1099" t="s">
        <v>969</v>
      </c>
      <c r="Z28" s="1311">
        <f t="shared" si="2"/>
        <v>0</v>
      </c>
      <c r="AA28" s="1374">
        <f t="shared" si="4"/>
        <v>0</v>
      </c>
      <c r="AB28" s="1374">
        <f t="shared" si="3"/>
        <v>0</v>
      </c>
    </row>
    <row r="29" spans="1:28" s="700" customFormat="1">
      <c r="A29" s="991"/>
      <c r="B29" s="1074" t="s">
        <v>729</v>
      </c>
      <c r="C29" s="871">
        <f t="shared" si="6"/>
        <v>8500</v>
      </c>
      <c r="D29" s="1251">
        <f>SUM(D30:D31)</f>
        <v>0</v>
      </c>
      <c r="E29" s="1251">
        <f>SUM(E30:E31)</f>
        <v>8500</v>
      </c>
      <c r="F29" s="1347">
        <f t="shared" si="7"/>
        <v>8500</v>
      </c>
      <c r="G29" s="880">
        <f>SUM(G30:G31)</f>
        <v>0</v>
      </c>
      <c r="H29" s="880">
        <f>SUM(H30:H31)</f>
        <v>8500</v>
      </c>
      <c r="I29" s="1340">
        <f t="shared" si="8"/>
        <v>0</v>
      </c>
      <c r="J29" s="1340">
        <f>SUM(J30:J31)</f>
        <v>0</v>
      </c>
      <c r="K29" s="1340">
        <f>SUM(K30:K31)</f>
        <v>0</v>
      </c>
      <c r="L29" s="876">
        <f t="shared" si="5"/>
        <v>0</v>
      </c>
      <c r="M29" s="876">
        <f t="shared" si="5"/>
        <v>0</v>
      </c>
      <c r="N29" s="876">
        <f t="shared" si="5"/>
        <v>0</v>
      </c>
      <c r="O29" s="1214" t="s">
        <v>353</v>
      </c>
      <c r="P29" s="1215" t="s">
        <v>353</v>
      </c>
      <c r="Q29" s="1065">
        <f t="shared" si="1"/>
        <v>0</v>
      </c>
      <c r="R29" s="1065">
        <f t="shared" si="1"/>
        <v>0</v>
      </c>
      <c r="S29" s="1065">
        <f t="shared" si="1"/>
        <v>0</v>
      </c>
      <c r="T29" s="1099"/>
      <c r="U29" s="1100"/>
      <c r="V29" s="1099"/>
      <c r="W29" s="1099"/>
      <c r="X29" s="1218"/>
      <c r="Z29" s="1311">
        <f t="shared" si="2"/>
        <v>0</v>
      </c>
      <c r="AA29" s="1374">
        <f t="shared" si="4"/>
        <v>0</v>
      </c>
      <c r="AB29" s="1374">
        <f t="shared" si="3"/>
        <v>0</v>
      </c>
    </row>
    <row r="30" spans="1:28" ht="90" customHeight="1">
      <c r="A30" s="1335" t="s">
        <v>686</v>
      </c>
      <c r="B30" s="1075" t="s">
        <v>1039</v>
      </c>
      <c r="C30" s="871">
        <f t="shared" si="6"/>
        <v>7000</v>
      </c>
      <c r="D30" s="972">
        <v>0</v>
      </c>
      <c r="E30" s="972">
        <v>7000</v>
      </c>
      <c r="F30" s="1347">
        <f t="shared" si="7"/>
        <v>7000</v>
      </c>
      <c r="G30" s="879">
        <v>0</v>
      </c>
      <c r="H30" s="879">
        <v>7000</v>
      </c>
      <c r="I30" s="1340">
        <f t="shared" si="8"/>
        <v>0</v>
      </c>
      <c r="J30" s="1341">
        <v>0</v>
      </c>
      <c r="K30" s="1341">
        <v>0</v>
      </c>
      <c r="L30" s="876">
        <f t="shared" si="5"/>
        <v>0</v>
      </c>
      <c r="M30" s="877">
        <f t="shared" si="5"/>
        <v>0</v>
      </c>
      <c r="N30" s="877">
        <f t="shared" si="5"/>
        <v>0</v>
      </c>
      <c r="O30" s="1214" t="s">
        <v>1174</v>
      </c>
      <c r="P30" s="1214" t="s">
        <v>1112</v>
      </c>
      <c r="Q30" s="1065">
        <f t="shared" si="1"/>
        <v>0</v>
      </c>
      <c r="R30" s="1065">
        <f t="shared" si="1"/>
        <v>0</v>
      </c>
      <c r="S30" s="1065">
        <f t="shared" si="1"/>
        <v>0</v>
      </c>
      <c r="T30" s="1099" t="s">
        <v>926</v>
      </c>
      <c r="U30" s="1100" t="s">
        <v>970</v>
      </c>
      <c r="V30" s="1099">
        <v>522</v>
      </c>
      <c r="W30" s="1099" t="s">
        <v>993</v>
      </c>
      <c r="Z30" s="1311">
        <f t="shared" si="2"/>
        <v>0</v>
      </c>
      <c r="AA30" s="1374">
        <f t="shared" si="4"/>
        <v>0</v>
      </c>
      <c r="AB30" s="1374">
        <f t="shared" si="3"/>
        <v>0</v>
      </c>
    </row>
    <row r="31" spans="1:28" ht="66" customHeight="1">
      <c r="A31" s="1335" t="s">
        <v>688</v>
      </c>
      <c r="B31" s="1075" t="s">
        <v>1040</v>
      </c>
      <c r="C31" s="871">
        <f t="shared" si="6"/>
        <v>1500</v>
      </c>
      <c r="D31" s="972">
        <v>0</v>
      </c>
      <c r="E31" s="972">
        <v>1500</v>
      </c>
      <c r="F31" s="1347">
        <f t="shared" si="7"/>
        <v>1500</v>
      </c>
      <c r="G31" s="879">
        <v>0</v>
      </c>
      <c r="H31" s="879">
        <v>1500</v>
      </c>
      <c r="I31" s="1340">
        <f t="shared" si="8"/>
        <v>0</v>
      </c>
      <c r="J31" s="1341">
        <v>0</v>
      </c>
      <c r="K31" s="1341">
        <v>0</v>
      </c>
      <c r="L31" s="876">
        <f t="shared" si="5"/>
        <v>0</v>
      </c>
      <c r="M31" s="877">
        <f t="shared" si="5"/>
        <v>0</v>
      </c>
      <c r="N31" s="877">
        <f t="shared" si="5"/>
        <v>0</v>
      </c>
      <c r="O31" s="1214" t="s">
        <v>1171</v>
      </c>
      <c r="P31" s="1214"/>
      <c r="Q31" s="1065">
        <f t="shared" si="1"/>
        <v>0</v>
      </c>
      <c r="R31" s="1065">
        <f t="shared" si="1"/>
        <v>0</v>
      </c>
      <c r="S31" s="1065">
        <f t="shared" si="1"/>
        <v>0</v>
      </c>
      <c r="T31" s="1099" t="s">
        <v>923</v>
      </c>
      <c r="U31" s="1100" t="s">
        <v>970</v>
      </c>
      <c r="V31" s="1099">
        <v>522</v>
      </c>
      <c r="W31" s="1099" t="s">
        <v>992</v>
      </c>
      <c r="Z31" s="1311">
        <f t="shared" si="2"/>
        <v>0</v>
      </c>
      <c r="AA31" s="1374">
        <f t="shared" si="4"/>
        <v>0</v>
      </c>
      <c r="AB31" s="1374">
        <f t="shared" si="3"/>
        <v>0</v>
      </c>
    </row>
    <row r="32" spans="1:28" s="700" customFormat="1">
      <c r="A32" s="1335"/>
      <c r="B32" s="1074" t="s">
        <v>615</v>
      </c>
      <c r="C32" s="871">
        <f t="shared" si="6"/>
        <v>10156</v>
      </c>
      <c r="D32" s="1251">
        <f>D33</f>
        <v>0</v>
      </c>
      <c r="E32" s="1251">
        <f>E33</f>
        <v>10156</v>
      </c>
      <c r="F32" s="1347">
        <f t="shared" si="7"/>
        <v>10156</v>
      </c>
      <c r="G32" s="880">
        <f>G33</f>
        <v>0</v>
      </c>
      <c r="H32" s="880">
        <f>H33</f>
        <v>10156</v>
      </c>
      <c r="I32" s="1340">
        <f t="shared" si="8"/>
        <v>0</v>
      </c>
      <c r="J32" s="1340">
        <f>J33</f>
        <v>0</v>
      </c>
      <c r="K32" s="1340">
        <f>K33</f>
        <v>0</v>
      </c>
      <c r="L32" s="876">
        <f t="shared" si="5"/>
        <v>0</v>
      </c>
      <c r="M32" s="876">
        <f t="shared" si="5"/>
        <v>0</v>
      </c>
      <c r="N32" s="876">
        <f t="shared" si="5"/>
        <v>0</v>
      </c>
      <c r="O32" s="1214" t="s">
        <v>353</v>
      </c>
      <c r="P32" s="1215" t="s">
        <v>353</v>
      </c>
      <c r="Q32" s="1065">
        <f t="shared" si="1"/>
        <v>0</v>
      </c>
      <c r="R32" s="1065">
        <f t="shared" si="1"/>
        <v>0</v>
      </c>
      <c r="S32" s="1065">
        <f t="shared" si="1"/>
        <v>0</v>
      </c>
      <c r="T32" s="1099"/>
      <c r="U32" s="1100"/>
      <c r="V32" s="1099"/>
      <c r="W32" s="1099"/>
      <c r="X32" s="1218"/>
      <c r="Z32" s="1311">
        <f t="shared" si="2"/>
        <v>0</v>
      </c>
      <c r="AA32" s="1374">
        <f t="shared" si="4"/>
        <v>0</v>
      </c>
      <c r="AB32" s="1374">
        <f t="shared" si="3"/>
        <v>0</v>
      </c>
    </row>
    <row r="33" spans="1:28" ht="55.5" customHeight="1">
      <c r="A33" s="1335" t="s">
        <v>98</v>
      </c>
      <c r="B33" s="1075" t="s">
        <v>673</v>
      </c>
      <c r="C33" s="871">
        <f t="shared" si="6"/>
        <v>10156</v>
      </c>
      <c r="D33" s="972">
        <v>0</v>
      </c>
      <c r="E33" s="972">
        <v>10156</v>
      </c>
      <c r="F33" s="1347">
        <f t="shared" si="7"/>
        <v>10156</v>
      </c>
      <c r="G33" s="879">
        <v>0</v>
      </c>
      <c r="H33" s="879">
        <v>10156</v>
      </c>
      <c r="I33" s="1340">
        <f t="shared" si="8"/>
        <v>0</v>
      </c>
      <c r="J33" s="1341">
        <v>0</v>
      </c>
      <c r="K33" s="1341">
        <v>0</v>
      </c>
      <c r="L33" s="876">
        <f t="shared" si="5"/>
        <v>0</v>
      </c>
      <c r="M33" s="877">
        <f t="shared" si="5"/>
        <v>0</v>
      </c>
      <c r="N33" s="877">
        <f t="shared" si="5"/>
        <v>0</v>
      </c>
      <c r="O33" s="1214" t="s">
        <v>1175</v>
      </c>
      <c r="P33" s="1214" t="s">
        <v>1113</v>
      </c>
      <c r="Q33" s="1065">
        <f t="shared" si="1"/>
        <v>0</v>
      </c>
      <c r="R33" s="1065">
        <f t="shared" si="1"/>
        <v>0</v>
      </c>
      <c r="S33" s="1065">
        <f t="shared" si="1"/>
        <v>0</v>
      </c>
      <c r="T33" s="1099" t="s">
        <v>926</v>
      </c>
      <c r="U33" s="1100" t="s">
        <v>965</v>
      </c>
      <c r="V33" s="1099">
        <v>522</v>
      </c>
      <c r="W33" s="1099">
        <v>24345</v>
      </c>
      <c r="Z33" s="1311">
        <f t="shared" si="2"/>
        <v>0</v>
      </c>
      <c r="AA33" s="1374">
        <f t="shared" si="4"/>
        <v>0</v>
      </c>
      <c r="AB33" s="1374">
        <f t="shared" si="3"/>
        <v>0</v>
      </c>
    </row>
    <row r="34" spans="1:28">
      <c r="A34" s="991"/>
      <c r="B34" s="898" t="s">
        <v>68</v>
      </c>
      <c r="C34" s="871">
        <f t="shared" si="6"/>
        <v>23520</v>
      </c>
      <c r="D34" s="1250">
        <f>SUM(D35:D38)</f>
        <v>0</v>
      </c>
      <c r="E34" s="1250">
        <f>SUM(E35:E38)</f>
        <v>23520</v>
      </c>
      <c r="F34" s="1347">
        <f t="shared" si="7"/>
        <v>23520</v>
      </c>
      <c r="G34" s="875">
        <f>SUM(G35:G38)</f>
        <v>0</v>
      </c>
      <c r="H34" s="875">
        <f>SUM(H35:H38)</f>
        <v>23520</v>
      </c>
      <c r="I34" s="1340">
        <f t="shared" si="8"/>
        <v>6312.5</v>
      </c>
      <c r="J34" s="875">
        <f>SUM(J35:J38)</f>
        <v>0</v>
      </c>
      <c r="K34" s="875">
        <f>SUM(K35:K38)</f>
        <v>6312.5</v>
      </c>
      <c r="L34" s="876">
        <f t="shared" si="5"/>
        <v>26.8</v>
      </c>
      <c r="M34" s="877">
        <f t="shared" si="5"/>
        <v>0</v>
      </c>
      <c r="N34" s="877">
        <f t="shared" si="5"/>
        <v>26.8</v>
      </c>
      <c r="O34" s="1214" t="s">
        <v>353</v>
      </c>
      <c r="P34" s="1214" t="s">
        <v>353</v>
      </c>
      <c r="Q34" s="1065">
        <f t="shared" si="1"/>
        <v>0</v>
      </c>
      <c r="R34" s="1065">
        <f t="shared" si="1"/>
        <v>0</v>
      </c>
      <c r="S34" s="1065">
        <f t="shared" si="1"/>
        <v>0</v>
      </c>
      <c r="Z34" s="1311">
        <f t="shared" si="2"/>
        <v>0</v>
      </c>
      <c r="AA34" s="1374">
        <f t="shared" si="4"/>
        <v>0</v>
      </c>
      <c r="AB34" s="1374">
        <f t="shared" si="3"/>
        <v>0</v>
      </c>
    </row>
    <row r="35" spans="1:28" ht="105" customHeight="1">
      <c r="A35" s="1335" t="s">
        <v>99</v>
      </c>
      <c r="B35" s="1084" t="s">
        <v>1041</v>
      </c>
      <c r="C35" s="894">
        <f t="shared" si="6"/>
        <v>1240</v>
      </c>
      <c r="D35" s="1249">
        <v>0</v>
      </c>
      <c r="E35" s="1249">
        <v>1240</v>
      </c>
      <c r="F35" s="1348">
        <f t="shared" si="7"/>
        <v>1240</v>
      </c>
      <c r="G35" s="1337">
        <v>0</v>
      </c>
      <c r="H35" s="1337">
        <v>1240</v>
      </c>
      <c r="I35" s="1341">
        <f t="shared" si="8"/>
        <v>312.5</v>
      </c>
      <c r="J35" s="1341">
        <v>0</v>
      </c>
      <c r="K35" s="1341">
        <v>312.5</v>
      </c>
      <c r="L35" s="877">
        <f t="shared" si="5"/>
        <v>25.2</v>
      </c>
      <c r="M35" s="877">
        <f t="shared" si="5"/>
        <v>0</v>
      </c>
      <c r="N35" s="877">
        <f t="shared" si="5"/>
        <v>25.2</v>
      </c>
      <c r="O35" s="1214" t="s">
        <v>1176</v>
      </c>
      <c r="P35" s="1214" t="s">
        <v>1125</v>
      </c>
      <c r="Q35" s="1065">
        <f t="shared" si="1"/>
        <v>0</v>
      </c>
      <c r="R35" s="1065">
        <f t="shared" si="1"/>
        <v>0</v>
      </c>
      <c r="S35" s="1065">
        <f t="shared" si="1"/>
        <v>0</v>
      </c>
      <c r="T35" s="1099" t="s">
        <v>886</v>
      </c>
      <c r="U35" s="1100" t="s">
        <v>967</v>
      </c>
      <c r="V35" s="1099">
        <v>522</v>
      </c>
      <c r="W35" s="1099" t="s">
        <v>969</v>
      </c>
      <c r="Z35" s="1311">
        <f t="shared" si="2"/>
        <v>0</v>
      </c>
      <c r="AA35" s="1374">
        <f t="shared" si="4"/>
        <v>0</v>
      </c>
      <c r="AB35" s="1374">
        <f t="shared" si="3"/>
        <v>0</v>
      </c>
    </row>
    <row r="36" spans="1:28" ht="104.25" customHeight="1">
      <c r="A36" s="1335" t="s">
        <v>100</v>
      </c>
      <c r="B36" s="1084" t="s">
        <v>1095</v>
      </c>
      <c r="C36" s="894">
        <f>SUM(D36:E36)</f>
        <v>6280</v>
      </c>
      <c r="D36" s="1249">
        <v>0</v>
      </c>
      <c r="E36" s="1249">
        <v>6280</v>
      </c>
      <c r="F36" s="1348">
        <f>SUM(G36:H36)</f>
        <v>6280</v>
      </c>
      <c r="G36" s="1337">
        <v>0</v>
      </c>
      <c r="H36" s="1337">
        <v>6280</v>
      </c>
      <c r="I36" s="1341">
        <f>SUM(J36:K36)</f>
        <v>0</v>
      </c>
      <c r="J36" s="1341">
        <v>0</v>
      </c>
      <c r="K36" s="1341">
        <v>0</v>
      </c>
      <c r="L36" s="877">
        <f t="shared" si="5"/>
        <v>0</v>
      </c>
      <c r="M36" s="877">
        <f t="shared" si="5"/>
        <v>0</v>
      </c>
      <c r="N36" s="877">
        <f t="shared" si="5"/>
        <v>0</v>
      </c>
      <c r="O36" s="1214" t="s">
        <v>1171</v>
      </c>
      <c r="P36" s="1214" t="s">
        <v>1128</v>
      </c>
      <c r="Q36" s="1065"/>
      <c r="R36" s="1065"/>
      <c r="S36" s="1065"/>
      <c r="T36" s="1099" t="s">
        <v>961</v>
      </c>
      <c r="U36" s="1100">
        <v>1240343280</v>
      </c>
      <c r="V36" s="1099">
        <v>522</v>
      </c>
      <c r="W36" s="1099" t="s">
        <v>971</v>
      </c>
      <c r="Z36" s="1311">
        <f t="shared" si="2"/>
        <v>0</v>
      </c>
      <c r="AA36" s="1374">
        <f t="shared" si="4"/>
        <v>0</v>
      </c>
      <c r="AB36" s="1374">
        <f t="shared" si="3"/>
        <v>0</v>
      </c>
    </row>
    <row r="37" spans="1:28" ht="166.5" customHeight="1">
      <c r="A37" s="1335" t="s">
        <v>101</v>
      </c>
      <c r="B37" s="1084" t="s">
        <v>1043</v>
      </c>
      <c r="C37" s="894">
        <f t="shared" si="6"/>
        <v>6000</v>
      </c>
      <c r="D37" s="1249">
        <v>0</v>
      </c>
      <c r="E37" s="1249">
        <v>6000</v>
      </c>
      <c r="F37" s="1348">
        <f t="shared" si="7"/>
        <v>6000</v>
      </c>
      <c r="G37" s="1337">
        <v>0</v>
      </c>
      <c r="H37" s="1337">
        <v>6000</v>
      </c>
      <c r="I37" s="2440">
        <f t="shared" si="8"/>
        <v>6000</v>
      </c>
      <c r="J37" s="2440">
        <v>0</v>
      </c>
      <c r="K37" s="2440">
        <v>6000</v>
      </c>
      <c r="L37" s="2418">
        <f>IF(I37=0,0,I37/SUM(F37:F38)*100)</f>
        <v>37.5</v>
      </c>
      <c r="M37" s="2418">
        <f>IF(J37=0,0,J37/SUM(G37:G38)*100)</f>
        <v>0</v>
      </c>
      <c r="N37" s="2418">
        <f>IF(K37=0,0,K37/SUM(H37:H38)*100)</f>
        <v>37.5</v>
      </c>
      <c r="O37" s="1213" t="s">
        <v>1177</v>
      </c>
      <c r="P37" s="1213" t="s">
        <v>1126</v>
      </c>
      <c r="Q37" s="1065">
        <f t="shared" si="1"/>
        <v>0</v>
      </c>
      <c r="R37" s="1065">
        <f t="shared" si="1"/>
        <v>0</v>
      </c>
      <c r="S37" s="1065">
        <f t="shared" si="1"/>
        <v>0</v>
      </c>
      <c r="T37" s="2409" t="s">
        <v>886</v>
      </c>
      <c r="U37" s="2409" t="s">
        <v>966</v>
      </c>
      <c r="V37" s="2409">
        <v>522</v>
      </c>
      <c r="W37" s="2409" t="s">
        <v>977</v>
      </c>
      <c r="X37" s="2471"/>
      <c r="Z37" s="1311">
        <f t="shared" si="2"/>
        <v>0</v>
      </c>
      <c r="AA37" s="1374">
        <f t="shared" si="4"/>
        <v>0</v>
      </c>
      <c r="AB37" s="1374">
        <f t="shared" si="3"/>
        <v>0</v>
      </c>
    </row>
    <row r="38" spans="1:28" ht="198.75" customHeight="1">
      <c r="A38" s="1335" t="s">
        <v>102</v>
      </c>
      <c r="B38" s="1084" t="s">
        <v>1044</v>
      </c>
      <c r="C38" s="894">
        <f t="shared" si="6"/>
        <v>10000</v>
      </c>
      <c r="D38" s="1249">
        <v>0</v>
      </c>
      <c r="E38" s="1249">
        <v>10000</v>
      </c>
      <c r="F38" s="1348">
        <f t="shared" si="7"/>
        <v>10000</v>
      </c>
      <c r="G38" s="1337">
        <v>0</v>
      </c>
      <c r="H38" s="1337">
        <v>10000</v>
      </c>
      <c r="I38" s="2441"/>
      <c r="J38" s="2441"/>
      <c r="K38" s="2441"/>
      <c r="L38" s="2419"/>
      <c r="M38" s="2419"/>
      <c r="N38" s="2419"/>
      <c r="O38" s="1213" t="s">
        <v>1178</v>
      </c>
      <c r="P38" s="1213" t="s">
        <v>1127</v>
      </c>
      <c r="Q38" s="1065">
        <f t="shared" si="1"/>
        <v>0</v>
      </c>
      <c r="R38" s="1065">
        <f t="shared" si="1"/>
        <v>0</v>
      </c>
      <c r="S38" s="1065">
        <f t="shared" si="1"/>
        <v>0</v>
      </c>
      <c r="T38" s="2409"/>
      <c r="U38" s="2409"/>
      <c r="V38" s="2409"/>
      <c r="W38" s="2409"/>
      <c r="X38" s="2471"/>
      <c r="Z38" s="1311">
        <f t="shared" si="2"/>
        <v>0</v>
      </c>
      <c r="AA38" s="1374">
        <f t="shared" si="4"/>
        <v>0</v>
      </c>
      <c r="AB38" s="1374">
        <f t="shared" si="3"/>
        <v>0</v>
      </c>
    </row>
    <row r="39" spans="1:28">
      <c r="A39" s="1335"/>
      <c r="B39" s="898" t="s">
        <v>281</v>
      </c>
      <c r="C39" s="871">
        <f t="shared" si="6"/>
        <v>21207</v>
      </c>
      <c r="D39" s="1250">
        <f>SUM(D41:D42)</f>
        <v>0</v>
      </c>
      <c r="E39" s="1250">
        <f>SUM(E40:E42)</f>
        <v>21207</v>
      </c>
      <c r="F39" s="1347">
        <f t="shared" si="7"/>
        <v>17000</v>
      </c>
      <c r="G39" s="875">
        <f>SUM(G41:G42)</f>
        <v>0</v>
      </c>
      <c r="H39" s="875">
        <f>SUM(H40:H42)</f>
        <v>17000</v>
      </c>
      <c r="I39" s="1340">
        <f t="shared" si="8"/>
        <v>0</v>
      </c>
      <c r="J39" s="875">
        <f>SUM(J41:J42)</f>
        <v>0</v>
      </c>
      <c r="K39" s="875">
        <f>SUM(K41:K42)</f>
        <v>0</v>
      </c>
      <c r="L39" s="876">
        <f t="shared" ref="L39:N63" si="9">IF(I39=0,0,I39/F39*100)</f>
        <v>0</v>
      </c>
      <c r="M39" s="877">
        <f t="shared" si="9"/>
        <v>0</v>
      </c>
      <c r="N39" s="877">
        <f t="shared" si="9"/>
        <v>0</v>
      </c>
      <c r="O39" s="1214" t="s">
        <v>353</v>
      </c>
      <c r="P39" s="1214" t="s">
        <v>353</v>
      </c>
      <c r="Q39" s="1065">
        <f t="shared" si="1"/>
        <v>4207</v>
      </c>
      <c r="R39" s="1065">
        <f t="shared" si="1"/>
        <v>0</v>
      </c>
      <c r="S39" s="1065">
        <f t="shared" si="1"/>
        <v>4207</v>
      </c>
      <c r="Z39" s="1311">
        <f t="shared" si="2"/>
        <v>4207</v>
      </c>
      <c r="AA39" s="1374">
        <f t="shared" si="4"/>
        <v>4207</v>
      </c>
      <c r="AB39" s="1374">
        <f t="shared" si="3"/>
        <v>4207</v>
      </c>
    </row>
    <row r="40" spans="1:28" ht="69.75">
      <c r="A40" s="1335" t="s">
        <v>103</v>
      </c>
      <c r="B40" s="1333" t="s">
        <v>682</v>
      </c>
      <c r="C40" s="894">
        <f>SUM(D40:E40)</f>
        <v>4207</v>
      </c>
      <c r="D40" s="1249">
        <v>0</v>
      </c>
      <c r="E40" s="1249">
        <v>4207</v>
      </c>
      <c r="F40" s="1348">
        <f>SUM(G40:H40)</f>
        <v>0</v>
      </c>
      <c r="G40" s="1337">
        <v>0</v>
      </c>
      <c r="H40" s="1337">
        <v>0</v>
      </c>
      <c r="I40" s="1341">
        <f>SUM(J40:K40)</f>
        <v>0</v>
      </c>
      <c r="J40" s="1341">
        <v>0</v>
      </c>
      <c r="K40" s="1341">
        <v>0</v>
      </c>
      <c r="L40" s="877">
        <f t="shared" si="9"/>
        <v>0</v>
      </c>
      <c r="M40" s="877">
        <f t="shared" si="9"/>
        <v>0</v>
      </c>
      <c r="N40" s="877">
        <f t="shared" si="9"/>
        <v>0</v>
      </c>
      <c r="O40" s="1214" t="s">
        <v>353</v>
      </c>
      <c r="P40" s="1214" t="s">
        <v>1114</v>
      </c>
      <c r="Q40" s="1065"/>
      <c r="R40" s="1065"/>
      <c r="S40" s="1065"/>
      <c r="T40" s="1099" t="s">
        <v>928</v>
      </c>
      <c r="U40" s="1100" t="s">
        <v>988</v>
      </c>
      <c r="V40" s="1099">
        <v>522</v>
      </c>
      <c r="W40" s="1099" t="s">
        <v>989</v>
      </c>
      <c r="Z40" s="1311">
        <f t="shared" si="2"/>
        <v>4207</v>
      </c>
      <c r="AA40" s="1374">
        <f t="shared" si="4"/>
        <v>4207</v>
      </c>
      <c r="AB40" s="1374">
        <f t="shared" si="3"/>
        <v>4207</v>
      </c>
    </row>
    <row r="41" spans="1:28" ht="101.25" customHeight="1">
      <c r="A41" s="1335" t="s">
        <v>107</v>
      </c>
      <c r="B41" s="1084" t="s">
        <v>675</v>
      </c>
      <c r="C41" s="894">
        <f t="shared" si="6"/>
        <v>13000</v>
      </c>
      <c r="D41" s="1249">
        <v>0</v>
      </c>
      <c r="E41" s="1249">
        <v>13000</v>
      </c>
      <c r="F41" s="1348">
        <f t="shared" si="7"/>
        <v>13000</v>
      </c>
      <c r="G41" s="1337">
        <v>0</v>
      </c>
      <c r="H41" s="1337">
        <v>13000</v>
      </c>
      <c r="I41" s="1341">
        <f t="shared" si="8"/>
        <v>0</v>
      </c>
      <c r="J41" s="1341">
        <v>0</v>
      </c>
      <c r="K41" s="1341">
        <v>0</v>
      </c>
      <c r="L41" s="877">
        <f t="shared" si="9"/>
        <v>0</v>
      </c>
      <c r="M41" s="877">
        <f t="shared" si="9"/>
        <v>0</v>
      </c>
      <c r="N41" s="877">
        <f t="shared" si="9"/>
        <v>0</v>
      </c>
      <c r="O41" s="1330" t="s">
        <v>1179</v>
      </c>
      <c r="P41" s="1330" t="s">
        <v>1130</v>
      </c>
      <c r="Q41" s="1067">
        <f t="shared" si="1"/>
        <v>0</v>
      </c>
      <c r="R41" s="1067">
        <f t="shared" si="1"/>
        <v>0</v>
      </c>
      <c r="S41" s="1067">
        <f t="shared" si="1"/>
        <v>0</v>
      </c>
      <c r="T41" s="1222" t="s">
        <v>886</v>
      </c>
      <c r="U41" s="1223" t="s">
        <v>967</v>
      </c>
      <c r="V41" s="1222">
        <v>522</v>
      </c>
      <c r="W41" s="1222" t="s">
        <v>983</v>
      </c>
      <c r="Z41" s="1311">
        <f t="shared" si="2"/>
        <v>0</v>
      </c>
      <c r="AA41" s="1374">
        <f t="shared" si="4"/>
        <v>0</v>
      </c>
      <c r="AB41" s="1374">
        <f t="shared" si="3"/>
        <v>0</v>
      </c>
    </row>
    <row r="42" spans="1:28" ht="131.25">
      <c r="A42" s="1335" t="s">
        <v>108</v>
      </c>
      <c r="B42" s="1084" t="s">
        <v>1045</v>
      </c>
      <c r="C42" s="894">
        <f t="shared" si="6"/>
        <v>4000</v>
      </c>
      <c r="D42" s="1249">
        <v>0</v>
      </c>
      <c r="E42" s="1249">
        <v>4000</v>
      </c>
      <c r="F42" s="1348">
        <f t="shared" si="7"/>
        <v>4000</v>
      </c>
      <c r="G42" s="1337">
        <v>0</v>
      </c>
      <c r="H42" s="1337">
        <v>4000</v>
      </c>
      <c r="I42" s="1341">
        <f t="shared" si="8"/>
        <v>0</v>
      </c>
      <c r="J42" s="1341">
        <v>0</v>
      </c>
      <c r="K42" s="1341">
        <v>0</v>
      </c>
      <c r="L42" s="877">
        <f t="shared" si="9"/>
        <v>0</v>
      </c>
      <c r="M42" s="877">
        <f t="shared" si="9"/>
        <v>0</v>
      </c>
      <c r="N42" s="877">
        <f t="shared" si="9"/>
        <v>0</v>
      </c>
      <c r="O42" s="1214" t="s">
        <v>1115</v>
      </c>
      <c r="P42" s="1214" t="s">
        <v>1129</v>
      </c>
      <c r="Q42" s="1065">
        <f t="shared" si="1"/>
        <v>0</v>
      </c>
      <c r="R42" s="1065">
        <f t="shared" si="1"/>
        <v>0</v>
      </c>
      <c r="S42" s="1065">
        <f t="shared" si="1"/>
        <v>0</v>
      </c>
      <c r="T42" s="1099" t="s">
        <v>886</v>
      </c>
      <c r="U42" s="1100">
        <v>510243220</v>
      </c>
      <c r="V42" s="1099">
        <v>522</v>
      </c>
      <c r="W42" s="1099" t="s">
        <v>979</v>
      </c>
      <c r="Z42" s="1311">
        <f t="shared" si="2"/>
        <v>0</v>
      </c>
      <c r="AA42" s="1374">
        <f t="shared" si="4"/>
        <v>0</v>
      </c>
      <c r="AB42" s="1374">
        <f t="shared" si="3"/>
        <v>0</v>
      </c>
    </row>
    <row r="43" spans="1:28">
      <c r="A43" s="1335"/>
      <c r="B43" s="898" t="s">
        <v>431</v>
      </c>
      <c r="C43" s="871">
        <f t="shared" si="6"/>
        <v>10900</v>
      </c>
      <c r="D43" s="1250">
        <f>D45</f>
        <v>0</v>
      </c>
      <c r="E43" s="1250">
        <f>SUM(E44:E45)</f>
        <v>10900</v>
      </c>
      <c r="F43" s="1347">
        <f t="shared" si="7"/>
        <v>10900</v>
      </c>
      <c r="G43" s="875">
        <f>G45</f>
        <v>0</v>
      </c>
      <c r="H43" s="875">
        <f>SUM(H44:H45)</f>
        <v>10900</v>
      </c>
      <c r="I43" s="1340">
        <f t="shared" si="8"/>
        <v>3692.1</v>
      </c>
      <c r="J43" s="875">
        <f>J45</f>
        <v>0</v>
      </c>
      <c r="K43" s="875">
        <f>K45</f>
        <v>3692.1</v>
      </c>
      <c r="L43" s="876">
        <f t="shared" si="9"/>
        <v>33.9</v>
      </c>
      <c r="M43" s="877">
        <f t="shared" si="9"/>
        <v>0</v>
      </c>
      <c r="N43" s="877">
        <f t="shared" si="9"/>
        <v>33.9</v>
      </c>
      <c r="O43" s="1214" t="s">
        <v>353</v>
      </c>
      <c r="P43" s="1214" t="s">
        <v>353</v>
      </c>
      <c r="Q43" s="1065">
        <f t="shared" si="1"/>
        <v>0</v>
      </c>
      <c r="R43" s="1065">
        <f t="shared" si="1"/>
        <v>0</v>
      </c>
      <c r="S43" s="1065">
        <f t="shared" si="1"/>
        <v>0</v>
      </c>
      <c r="Z43" s="1311">
        <f t="shared" si="2"/>
        <v>0</v>
      </c>
      <c r="AA43" s="1374">
        <f t="shared" si="4"/>
        <v>0</v>
      </c>
      <c r="AB43" s="1374">
        <f t="shared" si="3"/>
        <v>0</v>
      </c>
    </row>
    <row r="44" spans="1:28" ht="86.25" customHeight="1">
      <c r="A44" s="1335" t="s">
        <v>106</v>
      </c>
      <c r="B44" s="1333" t="s">
        <v>1096</v>
      </c>
      <c r="C44" s="894">
        <f t="shared" si="6"/>
        <v>6500</v>
      </c>
      <c r="D44" s="1249">
        <v>0</v>
      </c>
      <c r="E44" s="1249">
        <v>6500</v>
      </c>
      <c r="F44" s="1348">
        <f>SUM(G44:H44)</f>
        <v>6500</v>
      </c>
      <c r="G44" s="1337">
        <v>0</v>
      </c>
      <c r="H44" s="1337">
        <v>6500</v>
      </c>
      <c r="I44" s="1341">
        <f>SUM(J44:K44)</f>
        <v>0</v>
      </c>
      <c r="J44" s="1341">
        <v>0</v>
      </c>
      <c r="K44" s="1341">
        <v>0</v>
      </c>
      <c r="L44" s="877">
        <f t="shared" si="9"/>
        <v>0</v>
      </c>
      <c r="M44" s="877">
        <f t="shared" si="9"/>
        <v>0</v>
      </c>
      <c r="N44" s="877">
        <f t="shared" si="9"/>
        <v>0</v>
      </c>
      <c r="O44" s="1214" t="s">
        <v>1171</v>
      </c>
      <c r="P44" s="1214" t="s">
        <v>1128</v>
      </c>
      <c r="Q44" s="1065"/>
      <c r="R44" s="1065"/>
      <c r="S44" s="1065"/>
      <c r="T44" s="1099" t="s">
        <v>961</v>
      </c>
      <c r="U44" s="1100">
        <v>1240343280</v>
      </c>
      <c r="V44" s="1099">
        <v>522</v>
      </c>
      <c r="W44" s="1099" t="s">
        <v>971</v>
      </c>
      <c r="Z44" s="1311">
        <f t="shared" si="2"/>
        <v>0</v>
      </c>
      <c r="AA44" s="1374">
        <f t="shared" si="4"/>
        <v>0</v>
      </c>
      <c r="AB44" s="1374">
        <f t="shared" si="3"/>
        <v>0</v>
      </c>
    </row>
    <row r="45" spans="1:28" ht="111" customHeight="1">
      <c r="A45" s="1335" t="s">
        <v>109</v>
      </c>
      <c r="B45" s="1084" t="s">
        <v>676</v>
      </c>
      <c r="C45" s="894">
        <f t="shared" si="6"/>
        <v>4400</v>
      </c>
      <c r="D45" s="1249">
        <v>0</v>
      </c>
      <c r="E45" s="1249">
        <v>4400</v>
      </c>
      <c r="F45" s="1348">
        <f t="shared" si="7"/>
        <v>4400</v>
      </c>
      <c r="G45" s="1337">
        <v>0</v>
      </c>
      <c r="H45" s="1337">
        <v>4400</v>
      </c>
      <c r="I45" s="1341">
        <f t="shared" si="8"/>
        <v>3692.1</v>
      </c>
      <c r="J45" s="1341">
        <v>0</v>
      </c>
      <c r="K45" s="1341">
        <v>3692.1</v>
      </c>
      <c r="L45" s="877">
        <f t="shared" si="9"/>
        <v>83.9</v>
      </c>
      <c r="M45" s="877">
        <f t="shared" si="9"/>
        <v>0</v>
      </c>
      <c r="N45" s="877">
        <f t="shared" si="9"/>
        <v>83.9</v>
      </c>
      <c r="O45" s="1214" t="s">
        <v>1180</v>
      </c>
      <c r="P45" s="1214" t="s">
        <v>1131</v>
      </c>
      <c r="Q45" s="1065">
        <f t="shared" si="1"/>
        <v>0</v>
      </c>
      <c r="R45" s="1065">
        <f t="shared" si="1"/>
        <v>0</v>
      </c>
      <c r="S45" s="1065">
        <f t="shared" si="1"/>
        <v>0</v>
      </c>
      <c r="T45" s="1099" t="s">
        <v>886</v>
      </c>
      <c r="U45" s="1100" t="s">
        <v>972</v>
      </c>
      <c r="V45" s="1099">
        <v>522</v>
      </c>
      <c r="W45" s="1099" t="s">
        <v>978</v>
      </c>
      <c r="Z45" s="1311">
        <f t="shared" si="2"/>
        <v>0</v>
      </c>
      <c r="AA45" s="1374">
        <f t="shared" si="4"/>
        <v>0</v>
      </c>
      <c r="AB45" s="1374">
        <f t="shared" si="3"/>
        <v>0</v>
      </c>
    </row>
    <row r="46" spans="1:28">
      <c r="A46" s="1335"/>
      <c r="B46" s="898" t="s">
        <v>583</v>
      </c>
      <c r="C46" s="871">
        <f t="shared" si="6"/>
        <v>2500</v>
      </c>
      <c r="D46" s="1250">
        <f>D47</f>
        <v>0</v>
      </c>
      <c r="E46" s="1250">
        <f>E47</f>
        <v>2500</v>
      </c>
      <c r="F46" s="1347">
        <f t="shared" si="7"/>
        <v>2500</v>
      </c>
      <c r="G46" s="875">
        <f>G47</f>
        <v>0</v>
      </c>
      <c r="H46" s="875">
        <f>H47</f>
        <v>2500</v>
      </c>
      <c r="I46" s="1340">
        <f t="shared" si="8"/>
        <v>0</v>
      </c>
      <c r="J46" s="875">
        <f>J47</f>
        <v>0</v>
      </c>
      <c r="K46" s="875">
        <f>K47</f>
        <v>0</v>
      </c>
      <c r="L46" s="876">
        <f t="shared" si="9"/>
        <v>0</v>
      </c>
      <c r="M46" s="877">
        <f t="shared" si="9"/>
        <v>0</v>
      </c>
      <c r="N46" s="877">
        <f t="shared" si="9"/>
        <v>0</v>
      </c>
      <c r="O46" s="1214" t="s">
        <v>353</v>
      </c>
      <c r="P46" s="1214" t="s">
        <v>353</v>
      </c>
      <c r="Q46" s="1065">
        <f t="shared" si="1"/>
        <v>0</v>
      </c>
      <c r="R46" s="1065">
        <f t="shared" si="1"/>
        <v>0</v>
      </c>
      <c r="S46" s="1065">
        <f t="shared" si="1"/>
        <v>0</v>
      </c>
      <c r="Z46" s="1311">
        <f t="shared" si="2"/>
        <v>0</v>
      </c>
      <c r="AA46" s="1374">
        <f t="shared" si="4"/>
        <v>0</v>
      </c>
      <c r="AB46" s="1374">
        <f t="shared" si="3"/>
        <v>0</v>
      </c>
    </row>
    <row r="47" spans="1:28" s="1216" customFormat="1" ht="69.75">
      <c r="A47" s="1335" t="s">
        <v>117</v>
      </c>
      <c r="B47" s="1084" t="s">
        <v>1046</v>
      </c>
      <c r="C47" s="894">
        <f t="shared" si="6"/>
        <v>2500</v>
      </c>
      <c r="D47" s="1249">
        <v>0</v>
      </c>
      <c r="E47" s="1249">
        <v>2500</v>
      </c>
      <c r="F47" s="1348">
        <f t="shared" si="7"/>
        <v>2500</v>
      </c>
      <c r="G47" s="1337">
        <v>0</v>
      </c>
      <c r="H47" s="1337">
        <v>2500</v>
      </c>
      <c r="I47" s="1341">
        <f t="shared" si="8"/>
        <v>0</v>
      </c>
      <c r="J47" s="1341">
        <v>0</v>
      </c>
      <c r="K47" s="1341">
        <v>0</v>
      </c>
      <c r="L47" s="877">
        <f t="shared" si="9"/>
        <v>0</v>
      </c>
      <c r="M47" s="877">
        <f t="shared" si="9"/>
        <v>0</v>
      </c>
      <c r="N47" s="877">
        <f t="shared" si="9"/>
        <v>0</v>
      </c>
      <c r="O47" s="1214" t="s">
        <v>1181</v>
      </c>
      <c r="P47" s="1214" t="s">
        <v>1132</v>
      </c>
      <c r="Q47" s="1065">
        <f t="shared" si="1"/>
        <v>0</v>
      </c>
      <c r="R47" s="1065">
        <f t="shared" si="1"/>
        <v>0</v>
      </c>
      <c r="S47" s="1065">
        <f t="shared" si="1"/>
        <v>0</v>
      </c>
      <c r="T47" s="1099" t="s">
        <v>886</v>
      </c>
      <c r="U47" s="1100" t="s">
        <v>967</v>
      </c>
      <c r="V47" s="1099">
        <v>522</v>
      </c>
      <c r="W47" s="1099" t="s">
        <v>969</v>
      </c>
      <c r="Z47" s="1311">
        <f t="shared" si="2"/>
        <v>0</v>
      </c>
      <c r="AA47" s="1374">
        <f t="shared" si="4"/>
        <v>0</v>
      </c>
      <c r="AB47" s="1374">
        <f t="shared" si="3"/>
        <v>0</v>
      </c>
    </row>
    <row r="48" spans="1:28" s="1216" customFormat="1">
      <c r="A48" s="1335"/>
      <c r="B48" s="898" t="s">
        <v>709</v>
      </c>
      <c r="C48" s="871">
        <f>SUM(D48:E48)</f>
        <v>57350</v>
      </c>
      <c r="D48" s="1250">
        <f>SUM(D50:D51)</f>
        <v>0</v>
      </c>
      <c r="E48" s="1250">
        <f>SUM(E49:E51)</f>
        <v>57350</v>
      </c>
      <c r="F48" s="1347">
        <f>SUM(G48:H48)</f>
        <v>57350</v>
      </c>
      <c r="G48" s="875">
        <f>SUM(G50:G51)</f>
        <v>0</v>
      </c>
      <c r="H48" s="875">
        <f>SUM(H49:H51)</f>
        <v>57350</v>
      </c>
      <c r="I48" s="1340">
        <f>SUM(J48:K48)</f>
        <v>0</v>
      </c>
      <c r="J48" s="875">
        <f>SUM(J50:J51)</f>
        <v>0</v>
      </c>
      <c r="K48" s="875">
        <f>SUM(K50:K51)</f>
        <v>0</v>
      </c>
      <c r="L48" s="876">
        <f t="shared" si="9"/>
        <v>0</v>
      </c>
      <c r="M48" s="877">
        <f t="shared" si="9"/>
        <v>0</v>
      </c>
      <c r="N48" s="877">
        <f t="shared" si="9"/>
        <v>0</v>
      </c>
      <c r="O48" s="1214" t="s">
        <v>353</v>
      </c>
      <c r="P48" s="1214" t="s">
        <v>353</v>
      </c>
      <c r="Q48" s="1065">
        <f t="shared" si="1"/>
        <v>0</v>
      </c>
      <c r="R48" s="1065">
        <f t="shared" si="1"/>
        <v>0</v>
      </c>
      <c r="S48" s="1065">
        <f t="shared" si="1"/>
        <v>0</v>
      </c>
      <c r="T48" s="1099"/>
      <c r="U48" s="1100"/>
      <c r="V48" s="1099"/>
      <c r="W48" s="1099"/>
      <c r="Z48" s="1311">
        <f t="shared" si="2"/>
        <v>0</v>
      </c>
      <c r="AA48" s="1374">
        <f t="shared" si="4"/>
        <v>0</v>
      </c>
      <c r="AB48" s="1374">
        <f t="shared" si="3"/>
        <v>0</v>
      </c>
    </row>
    <row r="49" spans="1:28" s="1216" customFormat="1" ht="78.75">
      <c r="A49" s="1335" t="s">
        <v>118</v>
      </c>
      <c r="B49" s="1333" t="s">
        <v>1047</v>
      </c>
      <c r="C49" s="894">
        <f>SUM(D49:E49)</f>
        <v>35000</v>
      </c>
      <c r="D49" s="1249">
        <v>0</v>
      </c>
      <c r="E49" s="1249">
        <v>35000</v>
      </c>
      <c r="F49" s="1348">
        <f>SUM(G49:H49)</f>
        <v>35000</v>
      </c>
      <c r="G49" s="1337">
        <v>0</v>
      </c>
      <c r="H49" s="1337">
        <v>35000</v>
      </c>
      <c r="I49" s="1341">
        <f t="shared" si="8"/>
        <v>0</v>
      </c>
      <c r="J49" s="1341">
        <v>0</v>
      </c>
      <c r="K49" s="1341">
        <v>0</v>
      </c>
      <c r="L49" s="877">
        <f t="shared" si="9"/>
        <v>0</v>
      </c>
      <c r="M49" s="877">
        <f t="shared" si="9"/>
        <v>0</v>
      </c>
      <c r="N49" s="877">
        <f t="shared" si="9"/>
        <v>0</v>
      </c>
      <c r="O49" s="1214" t="s">
        <v>1171</v>
      </c>
      <c r="P49" s="1214" t="s">
        <v>1133</v>
      </c>
      <c r="Q49" s="1065"/>
      <c r="R49" s="1065"/>
      <c r="S49" s="1065"/>
      <c r="T49" s="1099" t="s">
        <v>961</v>
      </c>
      <c r="U49" s="1100" t="s">
        <v>990</v>
      </c>
      <c r="V49" s="1099">
        <v>522</v>
      </c>
      <c r="W49" s="1099">
        <v>24357</v>
      </c>
      <c r="Z49" s="1311">
        <f t="shared" si="2"/>
        <v>0</v>
      </c>
      <c r="AA49" s="1374">
        <f t="shared" si="4"/>
        <v>0</v>
      </c>
      <c r="AB49" s="1374">
        <f t="shared" si="3"/>
        <v>0</v>
      </c>
    </row>
    <row r="50" spans="1:28" s="1216" customFormat="1" ht="78.75">
      <c r="A50" s="1335" t="s">
        <v>154</v>
      </c>
      <c r="B50" s="1084" t="s">
        <v>1048</v>
      </c>
      <c r="C50" s="894">
        <f>SUM(D50:E50)</f>
        <v>4500</v>
      </c>
      <c r="D50" s="1249">
        <v>0</v>
      </c>
      <c r="E50" s="1249">
        <v>4500</v>
      </c>
      <c r="F50" s="1348">
        <f>SUM(G50:H50)</f>
        <v>4500</v>
      </c>
      <c r="G50" s="1337">
        <v>0</v>
      </c>
      <c r="H50" s="1337">
        <v>4500</v>
      </c>
      <c r="I50" s="1341">
        <f t="shared" si="8"/>
        <v>0</v>
      </c>
      <c r="J50" s="1341">
        <v>0</v>
      </c>
      <c r="K50" s="1341">
        <v>0</v>
      </c>
      <c r="L50" s="877">
        <f t="shared" si="9"/>
        <v>0</v>
      </c>
      <c r="M50" s="877">
        <f t="shared" si="9"/>
        <v>0</v>
      </c>
      <c r="N50" s="877">
        <f t="shared" si="9"/>
        <v>0</v>
      </c>
      <c r="O50" s="1214" t="s">
        <v>1171</v>
      </c>
      <c r="P50" s="1214" t="s">
        <v>1116</v>
      </c>
      <c r="Q50" s="1065">
        <f t="shared" si="1"/>
        <v>0</v>
      </c>
      <c r="R50" s="1065">
        <f t="shared" si="1"/>
        <v>0</v>
      </c>
      <c r="S50" s="1065">
        <f t="shared" si="1"/>
        <v>0</v>
      </c>
      <c r="T50" s="1099" t="s">
        <v>886</v>
      </c>
      <c r="U50" s="1100" t="s">
        <v>967</v>
      </c>
      <c r="V50" s="1099">
        <v>522</v>
      </c>
      <c r="W50" s="1099" t="s">
        <v>991</v>
      </c>
      <c r="Z50" s="1311">
        <f t="shared" si="2"/>
        <v>0</v>
      </c>
      <c r="AA50" s="1374">
        <f t="shared" si="4"/>
        <v>0</v>
      </c>
      <c r="AB50" s="1374">
        <f t="shared" si="3"/>
        <v>0</v>
      </c>
    </row>
    <row r="51" spans="1:28" s="1216" customFormat="1" ht="78.75">
      <c r="A51" s="1335" t="s">
        <v>155</v>
      </c>
      <c r="B51" s="1084" t="s">
        <v>1049</v>
      </c>
      <c r="C51" s="894">
        <f t="shared" si="6"/>
        <v>17850</v>
      </c>
      <c r="D51" s="1249">
        <v>0</v>
      </c>
      <c r="E51" s="1249">
        <v>17850</v>
      </c>
      <c r="F51" s="1348">
        <f t="shared" si="7"/>
        <v>17850</v>
      </c>
      <c r="G51" s="1337">
        <v>0</v>
      </c>
      <c r="H51" s="1337">
        <v>17850</v>
      </c>
      <c r="I51" s="1341">
        <f t="shared" si="8"/>
        <v>0</v>
      </c>
      <c r="J51" s="1341">
        <v>0</v>
      </c>
      <c r="K51" s="1341">
        <v>0</v>
      </c>
      <c r="L51" s="877">
        <f t="shared" si="9"/>
        <v>0</v>
      </c>
      <c r="M51" s="877">
        <f t="shared" si="9"/>
        <v>0</v>
      </c>
      <c r="N51" s="877">
        <f t="shared" si="9"/>
        <v>0</v>
      </c>
      <c r="O51" s="1214" t="s">
        <v>1171</v>
      </c>
      <c r="P51" s="1214" t="s">
        <v>1116</v>
      </c>
      <c r="Q51" s="1065">
        <f t="shared" si="1"/>
        <v>0</v>
      </c>
      <c r="R51" s="1065">
        <f t="shared" si="1"/>
        <v>0</v>
      </c>
      <c r="S51" s="1065">
        <f t="shared" si="1"/>
        <v>0</v>
      </c>
      <c r="T51" s="1099" t="s">
        <v>886</v>
      </c>
      <c r="U51" s="1100" t="s">
        <v>967</v>
      </c>
      <c r="V51" s="1099">
        <v>522</v>
      </c>
      <c r="W51" s="1099" t="s">
        <v>969</v>
      </c>
      <c r="Z51" s="1311">
        <f t="shared" si="2"/>
        <v>0</v>
      </c>
      <c r="AA51" s="1374">
        <f t="shared" si="4"/>
        <v>0</v>
      </c>
      <c r="AB51" s="1374">
        <f t="shared" si="3"/>
        <v>0</v>
      </c>
    </row>
    <row r="52" spans="1:28" s="1216" customFormat="1">
      <c r="A52" s="1335"/>
      <c r="B52" s="898" t="s">
        <v>333</v>
      </c>
      <c r="C52" s="871">
        <f t="shared" si="6"/>
        <v>9843</v>
      </c>
      <c r="D52" s="1250">
        <f>SUM(D53:D54)</f>
        <v>0</v>
      </c>
      <c r="E52" s="1250">
        <f>SUM(E53:E54)</f>
        <v>9843</v>
      </c>
      <c r="F52" s="1347">
        <f t="shared" si="7"/>
        <v>9843</v>
      </c>
      <c r="G52" s="875">
        <f>SUM(G53:G54)</f>
        <v>0</v>
      </c>
      <c r="H52" s="875">
        <f>SUM(H53:H54)</f>
        <v>9843</v>
      </c>
      <c r="I52" s="1340">
        <f>SUM(J52:K52)</f>
        <v>0</v>
      </c>
      <c r="J52" s="875">
        <f>SUM(J53:J54)</f>
        <v>0</v>
      </c>
      <c r="K52" s="875">
        <f>SUM(K53:K54)</f>
        <v>0</v>
      </c>
      <c r="L52" s="876">
        <f t="shared" si="9"/>
        <v>0</v>
      </c>
      <c r="M52" s="877">
        <f t="shared" si="9"/>
        <v>0</v>
      </c>
      <c r="N52" s="877">
        <f t="shared" si="9"/>
        <v>0</v>
      </c>
      <c r="O52" s="1214" t="s">
        <v>353</v>
      </c>
      <c r="P52" s="1214" t="s">
        <v>353</v>
      </c>
      <c r="Q52" s="1065">
        <f t="shared" si="1"/>
        <v>0</v>
      </c>
      <c r="R52" s="1065">
        <f t="shared" si="1"/>
        <v>0</v>
      </c>
      <c r="S52" s="1065">
        <f t="shared" si="1"/>
        <v>0</v>
      </c>
      <c r="T52" s="1099"/>
      <c r="U52" s="1100"/>
      <c r="V52" s="1099"/>
      <c r="W52" s="1099"/>
      <c r="Z52" s="1311">
        <f t="shared" si="2"/>
        <v>0</v>
      </c>
      <c r="AA52" s="1374">
        <f t="shared" si="4"/>
        <v>0</v>
      </c>
      <c r="AB52" s="1374">
        <f t="shared" si="3"/>
        <v>0</v>
      </c>
    </row>
    <row r="53" spans="1:28" s="1216" customFormat="1" ht="52.5">
      <c r="A53" s="1335" t="s">
        <v>156</v>
      </c>
      <c r="B53" s="1084" t="s">
        <v>1051</v>
      </c>
      <c r="C53" s="894">
        <f>SUM(D53:E53)</f>
        <v>3000</v>
      </c>
      <c r="D53" s="1249">
        <v>0</v>
      </c>
      <c r="E53" s="1249">
        <v>3000</v>
      </c>
      <c r="F53" s="1348">
        <f>SUM(G53:H53)</f>
        <v>3000</v>
      </c>
      <c r="G53" s="1337">
        <v>0</v>
      </c>
      <c r="H53" s="1337">
        <v>3000</v>
      </c>
      <c r="I53" s="1341">
        <f t="shared" si="8"/>
        <v>0</v>
      </c>
      <c r="J53" s="1341">
        <v>0</v>
      </c>
      <c r="K53" s="1341">
        <v>0</v>
      </c>
      <c r="L53" s="877">
        <f t="shared" si="9"/>
        <v>0</v>
      </c>
      <c r="M53" s="877">
        <f t="shared" si="9"/>
        <v>0</v>
      </c>
      <c r="N53" s="877">
        <f t="shared" si="9"/>
        <v>0</v>
      </c>
      <c r="O53" s="1214" t="s">
        <v>1171</v>
      </c>
      <c r="P53" s="1214" t="s">
        <v>1116</v>
      </c>
      <c r="Q53" s="1065">
        <f t="shared" si="1"/>
        <v>0</v>
      </c>
      <c r="R53" s="1065">
        <f t="shared" si="1"/>
        <v>0</v>
      </c>
      <c r="S53" s="1065">
        <f t="shared" si="1"/>
        <v>0</v>
      </c>
      <c r="T53" s="1099" t="s">
        <v>886</v>
      </c>
      <c r="U53" s="1100" t="s">
        <v>967</v>
      </c>
      <c r="V53" s="1099">
        <v>522</v>
      </c>
      <c r="W53" s="1099" t="s">
        <v>994</v>
      </c>
      <c r="Z53" s="1311">
        <f t="shared" si="2"/>
        <v>0</v>
      </c>
      <c r="AA53" s="1374">
        <f t="shared" si="4"/>
        <v>0</v>
      </c>
      <c r="AB53" s="1374">
        <f t="shared" si="3"/>
        <v>0</v>
      </c>
    </row>
    <row r="54" spans="1:28" s="1216" customFormat="1" ht="52.5">
      <c r="A54" s="1335" t="s">
        <v>122</v>
      </c>
      <c r="B54" s="1084" t="s">
        <v>1050</v>
      </c>
      <c r="C54" s="894">
        <f t="shared" si="6"/>
        <v>6843</v>
      </c>
      <c r="D54" s="1249">
        <v>0</v>
      </c>
      <c r="E54" s="1249">
        <v>6843</v>
      </c>
      <c r="F54" s="1348">
        <f t="shared" si="7"/>
        <v>6843</v>
      </c>
      <c r="G54" s="1337">
        <v>0</v>
      </c>
      <c r="H54" s="1337">
        <v>6843</v>
      </c>
      <c r="I54" s="1341">
        <f t="shared" si="8"/>
        <v>0</v>
      </c>
      <c r="J54" s="1341">
        <v>0</v>
      </c>
      <c r="K54" s="1341">
        <v>0</v>
      </c>
      <c r="L54" s="877">
        <f t="shared" si="9"/>
        <v>0</v>
      </c>
      <c r="M54" s="877">
        <f t="shared" si="9"/>
        <v>0</v>
      </c>
      <c r="N54" s="877">
        <f t="shared" si="9"/>
        <v>0</v>
      </c>
      <c r="O54" s="1214" t="s">
        <v>1171</v>
      </c>
      <c r="P54" s="1214" t="s">
        <v>1116</v>
      </c>
      <c r="Q54" s="1065">
        <f t="shared" si="1"/>
        <v>0</v>
      </c>
      <c r="R54" s="1065">
        <f t="shared" si="1"/>
        <v>0</v>
      </c>
      <c r="S54" s="1065">
        <f t="shared" si="1"/>
        <v>0</v>
      </c>
      <c r="T54" s="1099" t="s">
        <v>886</v>
      </c>
      <c r="U54" s="1100" t="s">
        <v>967</v>
      </c>
      <c r="V54" s="1099">
        <v>522</v>
      </c>
      <c r="W54" s="1099" t="s">
        <v>995</v>
      </c>
      <c r="Z54" s="1311">
        <f t="shared" si="2"/>
        <v>0</v>
      </c>
      <c r="AA54" s="1374">
        <f t="shared" si="4"/>
        <v>0</v>
      </c>
      <c r="AB54" s="1374">
        <f t="shared" si="3"/>
        <v>0</v>
      </c>
    </row>
    <row r="55" spans="1:28" s="1216" customFormat="1">
      <c r="A55" s="1335"/>
      <c r="B55" s="898" t="s">
        <v>443</v>
      </c>
      <c r="C55" s="871">
        <f>SUM(D55:E55)</f>
        <v>4368</v>
      </c>
      <c r="D55" s="1250">
        <f>D56</f>
        <v>0</v>
      </c>
      <c r="E55" s="1250">
        <f>E56</f>
        <v>4368</v>
      </c>
      <c r="F55" s="1347">
        <f>SUM(G55:H55)</f>
        <v>4368</v>
      </c>
      <c r="G55" s="875">
        <f>G56</f>
        <v>0</v>
      </c>
      <c r="H55" s="875">
        <f>H56</f>
        <v>4368</v>
      </c>
      <c r="I55" s="1340">
        <f>SUM(J55:K55)</f>
        <v>0</v>
      </c>
      <c r="J55" s="875">
        <f>J56</f>
        <v>0</v>
      </c>
      <c r="K55" s="875">
        <f>K56</f>
        <v>0</v>
      </c>
      <c r="L55" s="876">
        <f t="shared" si="9"/>
        <v>0</v>
      </c>
      <c r="M55" s="877">
        <f t="shared" si="9"/>
        <v>0</v>
      </c>
      <c r="N55" s="877">
        <f t="shared" si="9"/>
        <v>0</v>
      </c>
      <c r="O55" s="1214" t="s">
        <v>353</v>
      </c>
      <c r="P55" s="1214" t="s">
        <v>353</v>
      </c>
      <c r="Q55" s="1065">
        <f t="shared" si="1"/>
        <v>0</v>
      </c>
      <c r="R55" s="1065">
        <f t="shared" si="1"/>
        <v>0</v>
      </c>
      <c r="S55" s="1065">
        <f t="shared" si="1"/>
        <v>0</v>
      </c>
      <c r="T55" s="1099"/>
      <c r="U55" s="1100"/>
      <c r="V55" s="1099"/>
      <c r="W55" s="1099"/>
      <c r="Z55" s="1311">
        <f t="shared" si="2"/>
        <v>0</v>
      </c>
      <c r="AA55" s="1374">
        <f t="shared" si="4"/>
        <v>0</v>
      </c>
      <c r="AB55" s="1374">
        <f t="shared" si="3"/>
        <v>0</v>
      </c>
    </row>
    <row r="56" spans="1:28" s="1216" customFormat="1" ht="52.5">
      <c r="A56" s="1335" t="s">
        <v>123</v>
      </c>
      <c r="B56" s="1084" t="s">
        <v>1052</v>
      </c>
      <c r="C56" s="894">
        <f>SUM(D56:E56)</f>
        <v>4368</v>
      </c>
      <c r="D56" s="1249">
        <v>0</v>
      </c>
      <c r="E56" s="1249">
        <v>4368</v>
      </c>
      <c r="F56" s="1348">
        <f>SUM(G56:H56)</f>
        <v>4368</v>
      </c>
      <c r="G56" s="1337">
        <v>0</v>
      </c>
      <c r="H56" s="1337">
        <v>4368</v>
      </c>
      <c r="I56" s="1341">
        <f t="shared" si="8"/>
        <v>0</v>
      </c>
      <c r="J56" s="1341">
        <v>0</v>
      </c>
      <c r="K56" s="1341">
        <v>0</v>
      </c>
      <c r="L56" s="877">
        <f t="shared" si="9"/>
        <v>0</v>
      </c>
      <c r="M56" s="877">
        <f t="shared" si="9"/>
        <v>0</v>
      </c>
      <c r="N56" s="877">
        <f t="shared" si="9"/>
        <v>0</v>
      </c>
      <c r="O56" s="1214" t="s">
        <v>1171</v>
      </c>
      <c r="P56" s="1214" t="s">
        <v>1116</v>
      </c>
      <c r="Q56" s="1065">
        <f t="shared" si="1"/>
        <v>0</v>
      </c>
      <c r="R56" s="1065">
        <f t="shared" si="1"/>
        <v>0</v>
      </c>
      <c r="S56" s="1065">
        <f t="shared" si="1"/>
        <v>0</v>
      </c>
      <c r="T56" s="1099" t="s">
        <v>886</v>
      </c>
      <c r="U56" s="1100" t="s">
        <v>967</v>
      </c>
      <c r="V56" s="1099">
        <v>522</v>
      </c>
      <c r="W56" s="1099" t="s">
        <v>986</v>
      </c>
      <c r="Z56" s="1311">
        <f t="shared" si="2"/>
        <v>0</v>
      </c>
      <c r="AA56" s="1374">
        <f t="shared" si="4"/>
        <v>0</v>
      </c>
      <c r="AB56" s="1374">
        <f t="shared" si="3"/>
        <v>0</v>
      </c>
    </row>
    <row r="57" spans="1:28" s="1216" customFormat="1">
      <c r="A57" s="1335"/>
      <c r="B57" s="898" t="s">
        <v>90</v>
      </c>
      <c r="C57" s="871">
        <f t="shared" si="6"/>
        <v>1300</v>
      </c>
      <c r="D57" s="1250">
        <f>D58</f>
        <v>0</v>
      </c>
      <c r="E57" s="1250">
        <f>E58</f>
        <v>1300</v>
      </c>
      <c r="F57" s="1347">
        <f t="shared" si="7"/>
        <v>1300</v>
      </c>
      <c r="G57" s="875">
        <f>G58</f>
        <v>0</v>
      </c>
      <c r="H57" s="875">
        <f>H58</f>
        <v>1300</v>
      </c>
      <c r="I57" s="1340">
        <f>SUM(J57:K57)</f>
        <v>0</v>
      </c>
      <c r="J57" s="875">
        <f>J58</f>
        <v>0</v>
      </c>
      <c r="K57" s="875">
        <f>K58</f>
        <v>0</v>
      </c>
      <c r="L57" s="876">
        <f t="shared" si="9"/>
        <v>0</v>
      </c>
      <c r="M57" s="877">
        <f t="shared" si="9"/>
        <v>0</v>
      </c>
      <c r="N57" s="877">
        <f t="shared" si="9"/>
        <v>0</v>
      </c>
      <c r="O57" s="1214" t="s">
        <v>353</v>
      </c>
      <c r="P57" s="1214" t="s">
        <v>353</v>
      </c>
      <c r="Q57" s="1065">
        <f t="shared" si="1"/>
        <v>0</v>
      </c>
      <c r="R57" s="1065">
        <f t="shared" si="1"/>
        <v>0</v>
      </c>
      <c r="S57" s="1065">
        <f t="shared" si="1"/>
        <v>0</v>
      </c>
      <c r="T57" s="1099"/>
      <c r="U57" s="1100"/>
      <c r="V57" s="1099"/>
      <c r="W57" s="1099"/>
      <c r="Z57" s="1311">
        <f t="shared" si="2"/>
        <v>0</v>
      </c>
      <c r="AA57" s="1374">
        <f t="shared" si="4"/>
        <v>0</v>
      </c>
      <c r="AB57" s="1374">
        <f t="shared" si="3"/>
        <v>0</v>
      </c>
    </row>
    <row r="58" spans="1:28" s="1216" customFormat="1" ht="60" customHeight="1">
      <c r="A58" s="1335" t="s">
        <v>124</v>
      </c>
      <c r="B58" s="1084" t="s">
        <v>1053</v>
      </c>
      <c r="C58" s="894">
        <f t="shared" si="6"/>
        <v>1300</v>
      </c>
      <c r="D58" s="1249">
        <v>0</v>
      </c>
      <c r="E58" s="1249">
        <v>1300</v>
      </c>
      <c r="F58" s="1348">
        <f t="shared" si="7"/>
        <v>1300</v>
      </c>
      <c r="G58" s="1337">
        <v>0</v>
      </c>
      <c r="H58" s="1337">
        <v>1300</v>
      </c>
      <c r="I58" s="1341">
        <f t="shared" si="8"/>
        <v>0</v>
      </c>
      <c r="J58" s="1341">
        <v>0</v>
      </c>
      <c r="K58" s="1341">
        <v>0</v>
      </c>
      <c r="L58" s="877">
        <f t="shared" si="9"/>
        <v>0</v>
      </c>
      <c r="M58" s="877">
        <f t="shared" si="9"/>
        <v>0</v>
      </c>
      <c r="N58" s="877">
        <f t="shared" si="9"/>
        <v>0</v>
      </c>
      <c r="O58" s="1214" t="s">
        <v>1182</v>
      </c>
      <c r="P58" s="1214" t="s">
        <v>1134</v>
      </c>
      <c r="Q58" s="1065">
        <f t="shared" si="1"/>
        <v>0</v>
      </c>
      <c r="R58" s="1065">
        <f t="shared" si="1"/>
        <v>0</v>
      </c>
      <c r="S58" s="1065">
        <f t="shared" si="1"/>
        <v>0</v>
      </c>
      <c r="T58" s="1099" t="s">
        <v>886</v>
      </c>
      <c r="U58" s="1100">
        <v>520343220</v>
      </c>
      <c r="V58" s="1099">
        <v>522</v>
      </c>
      <c r="W58" s="1099" t="s">
        <v>994</v>
      </c>
      <c r="Z58" s="1311">
        <f t="shared" si="2"/>
        <v>0</v>
      </c>
      <c r="AA58" s="1374">
        <f t="shared" si="4"/>
        <v>0</v>
      </c>
      <c r="AB58" s="1374">
        <f t="shared" si="3"/>
        <v>0</v>
      </c>
    </row>
    <row r="59" spans="1:28" s="1216" customFormat="1">
      <c r="A59" s="1335"/>
      <c r="B59" s="898" t="s">
        <v>712</v>
      </c>
      <c r="C59" s="871">
        <f t="shared" si="6"/>
        <v>2300</v>
      </c>
      <c r="D59" s="1250">
        <f>D60</f>
        <v>0</v>
      </c>
      <c r="E59" s="1250">
        <f>E60</f>
        <v>2300</v>
      </c>
      <c r="F59" s="1347">
        <f t="shared" si="7"/>
        <v>2300</v>
      </c>
      <c r="G59" s="875">
        <f>G60</f>
        <v>0</v>
      </c>
      <c r="H59" s="875">
        <f>H60</f>
        <v>2300</v>
      </c>
      <c r="I59" s="1340">
        <f>SUM(J59:K59)</f>
        <v>0</v>
      </c>
      <c r="J59" s="875">
        <f>J60</f>
        <v>0</v>
      </c>
      <c r="K59" s="875">
        <f>K60</f>
        <v>0</v>
      </c>
      <c r="L59" s="876">
        <f t="shared" si="9"/>
        <v>0</v>
      </c>
      <c r="M59" s="877">
        <f t="shared" si="9"/>
        <v>0</v>
      </c>
      <c r="N59" s="877">
        <f t="shared" si="9"/>
        <v>0</v>
      </c>
      <c r="O59" s="1214" t="s">
        <v>353</v>
      </c>
      <c r="P59" s="1214" t="s">
        <v>353</v>
      </c>
      <c r="Q59" s="1065">
        <f t="shared" si="1"/>
        <v>0</v>
      </c>
      <c r="R59" s="1065">
        <f t="shared" si="1"/>
        <v>0</v>
      </c>
      <c r="S59" s="1065">
        <f t="shared" si="1"/>
        <v>0</v>
      </c>
      <c r="T59" s="1099"/>
      <c r="U59" s="1100"/>
      <c r="V59" s="1099"/>
      <c r="W59" s="1099"/>
      <c r="Z59" s="1311">
        <f t="shared" si="2"/>
        <v>0</v>
      </c>
      <c r="AA59" s="1374">
        <f t="shared" si="4"/>
        <v>0</v>
      </c>
      <c r="AB59" s="1374">
        <f t="shared" si="3"/>
        <v>0</v>
      </c>
    </row>
    <row r="60" spans="1:28" s="1216" customFormat="1" ht="55.5" customHeight="1">
      <c r="A60" s="1335" t="s">
        <v>125</v>
      </c>
      <c r="B60" s="1084" t="s">
        <v>1054</v>
      </c>
      <c r="C60" s="894">
        <f t="shared" si="6"/>
        <v>2300</v>
      </c>
      <c r="D60" s="1249">
        <v>0</v>
      </c>
      <c r="E60" s="1249">
        <v>2300</v>
      </c>
      <c r="F60" s="1348">
        <f t="shared" si="7"/>
        <v>2300</v>
      </c>
      <c r="G60" s="1337">
        <v>0</v>
      </c>
      <c r="H60" s="1337">
        <v>2300</v>
      </c>
      <c r="I60" s="1341">
        <f t="shared" si="8"/>
        <v>0</v>
      </c>
      <c r="J60" s="1341">
        <v>0</v>
      </c>
      <c r="K60" s="1341">
        <v>0</v>
      </c>
      <c r="L60" s="877">
        <f t="shared" si="9"/>
        <v>0</v>
      </c>
      <c r="M60" s="877">
        <f t="shared" si="9"/>
        <v>0</v>
      </c>
      <c r="N60" s="877">
        <f t="shared" si="9"/>
        <v>0</v>
      </c>
      <c r="O60" s="1214" t="s">
        <v>1183</v>
      </c>
      <c r="P60" s="1214" t="s">
        <v>1135</v>
      </c>
      <c r="Q60" s="1065">
        <f t="shared" si="1"/>
        <v>0</v>
      </c>
      <c r="R60" s="1065">
        <f t="shared" si="1"/>
        <v>0</v>
      </c>
      <c r="S60" s="1065">
        <f t="shared" si="1"/>
        <v>0</v>
      </c>
      <c r="T60" s="1099" t="s">
        <v>886</v>
      </c>
      <c r="U60" s="1100" t="s">
        <v>967</v>
      </c>
      <c r="V60" s="1099">
        <v>522</v>
      </c>
      <c r="W60" s="1099" t="s">
        <v>983</v>
      </c>
      <c r="Z60" s="1311">
        <f t="shared" si="2"/>
        <v>0</v>
      </c>
      <c r="AA60" s="1374">
        <f t="shared" si="4"/>
        <v>0</v>
      </c>
      <c r="AB60" s="1374">
        <f t="shared" si="3"/>
        <v>0</v>
      </c>
    </row>
    <row r="61" spans="1:28" s="1216" customFormat="1">
      <c r="A61" s="1335"/>
      <c r="B61" s="898" t="s">
        <v>46</v>
      </c>
      <c r="C61" s="871">
        <f t="shared" si="6"/>
        <v>12500</v>
      </c>
      <c r="D61" s="1250">
        <f>D62</f>
        <v>0</v>
      </c>
      <c r="E61" s="1250">
        <f>E62</f>
        <v>12500</v>
      </c>
      <c r="F61" s="1347">
        <f t="shared" si="7"/>
        <v>12500</v>
      </c>
      <c r="G61" s="875">
        <f>G62</f>
        <v>0</v>
      </c>
      <c r="H61" s="875">
        <f>H62</f>
        <v>12500</v>
      </c>
      <c r="I61" s="1340">
        <f>SUM(J61:K61)</f>
        <v>0</v>
      </c>
      <c r="J61" s="875">
        <f>J62</f>
        <v>0</v>
      </c>
      <c r="K61" s="875">
        <f>K62</f>
        <v>0</v>
      </c>
      <c r="L61" s="876">
        <f t="shared" si="9"/>
        <v>0</v>
      </c>
      <c r="M61" s="877">
        <f t="shared" si="9"/>
        <v>0</v>
      </c>
      <c r="N61" s="877">
        <f t="shared" si="9"/>
        <v>0</v>
      </c>
      <c r="O61" s="1214" t="s">
        <v>353</v>
      </c>
      <c r="P61" s="1214" t="s">
        <v>353</v>
      </c>
      <c r="Q61" s="1065">
        <f t="shared" si="1"/>
        <v>0</v>
      </c>
      <c r="R61" s="1065">
        <f t="shared" si="1"/>
        <v>0</v>
      </c>
      <c r="S61" s="1065">
        <f t="shared" si="1"/>
        <v>0</v>
      </c>
      <c r="T61" s="1099"/>
      <c r="U61" s="1100"/>
      <c r="V61" s="1099"/>
      <c r="W61" s="1099"/>
      <c r="Z61" s="1311">
        <f t="shared" si="2"/>
        <v>0</v>
      </c>
      <c r="AA61" s="1374">
        <f t="shared" si="4"/>
        <v>0</v>
      </c>
      <c r="AB61" s="1374">
        <f t="shared" si="3"/>
        <v>0</v>
      </c>
    </row>
    <row r="62" spans="1:28" s="1216" customFormat="1" ht="120" customHeight="1">
      <c r="A62" s="1335" t="s">
        <v>126</v>
      </c>
      <c r="B62" s="1084" t="s">
        <v>1055</v>
      </c>
      <c r="C62" s="894">
        <f t="shared" si="6"/>
        <v>12500</v>
      </c>
      <c r="D62" s="1249">
        <v>0</v>
      </c>
      <c r="E62" s="1249">
        <v>12500</v>
      </c>
      <c r="F62" s="1348">
        <f t="shared" si="7"/>
        <v>12500</v>
      </c>
      <c r="G62" s="1337">
        <v>0</v>
      </c>
      <c r="H62" s="1337">
        <v>12500</v>
      </c>
      <c r="I62" s="1341"/>
      <c r="J62" s="1341">
        <v>0</v>
      </c>
      <c r="K62" s="1341">
        <v>0</v>
      </c>
      <c r="L62" s="877">
        <f t="shared" si="9"/>
        <v>0</v>
      </c>
      <c r="M62" s="877">
        <f t="shared" si="9"/>
        <v>0</v>
      </c>
      <c r="N62" s="877">
        <f t="shared" si="9"/>
        <v>0</v>
      </c>
      <c r="O62" s="1214" t="s">
        <v>1184</v>
      </c>
      <c r="P62" s="1214" t="s">
        <v>1136</v>
      </c>
      <c r="Q62" s="1065">
        <f t="shared" si="1"/>
        <v>0</v>
      </c>
      <c r="R62" s="1065">
        <f t="shared" si="1"/>
        <v>0</v>
      </c>
      <c r="S62" s="1065">
        <f t="shared" si="1"/>
        <v>0</v>
      </c>
      <c r="T62" s="1099" t="s">
        <v>886</v>
      </c>
      <c r="U62" s="1100" t="s">
        <v>966</v>
      </c>
      <c r="V62" s="1099">
        <v>522</v>
      </c>
      <c r="W62" s="1099" t="s">
        <v>977</v>
      </c>
      <c r="Z62" s="1311">
        <f t="shared" si="2"/>
        <v>0</v>
      </c>
      <c r="AA62" s="1374">
        <f t="shared" si="4"/>
        <v>0</v>
      </c>
      <c r="AB62" s="1374">
        <f t="shared" si="3"/>
        <v>0</v>
      </c>
    </row>
    <row r="63" spans="1:28">
      <c r="A63" s="1335"/>
      <c r="B63" s="898" t="s">
        <v>457</v>
      </c>
      <c r="C63" s="871">
        <f t="shared" si="6"/>
        <v>34000</v>
      </c>
      <c r="D63" s="1250">
        <f>SUM(D64:D68)</f>
        <v>0</v>
      </c>
      <c r="E63" s="1250">
        <f>SUM(E64:E68)</f>
        <v>34000</v>
      </c>
      <c r="F63" s="1347">
        <f t="shared" si="7"/>
        <v>34000</v>
      </c>
      <c r="G63" s="875">
        <f>SUM(G64:G68)</f>
        <v>0</v>
      </c>
      <c r="H63" s="875">
        <f>SUM(H64:H68)</f>
        <v>34000</v>
      </c>
      <c r="I63" s="1340">
        <f>SUM(J63:K63)</f>
        <v>0</v>
      </c>
      <c r="J63" s="875">
        <f>SUM(J64:J68)</f>
        <v>0</v>
      </c>
      <c r="K63" s="875">
        <f>SUM(K64:K68)</f>
        <v>0</v>
      </c>
      <c r="L63" s="876">
        <f t="shared" si="9"/>
        <v>0</v>
      </c>
      <c r="M63" s="877">
        <f t="shared" si="9"/>
        <v>0</v>
      </c>
      <c r="N63" s="877">
        <f t="shared" si="9"/>
        <v>0</v>
      </c>
      <c r="O63" s="1214" t="s">
        <v>353</v>
      </c>
      <c r="P63" s="1214" t="s">
        <v>353</v>
      </c>
      <c r="Q63" s="1065">
        <f t="shared" si="1"/>
        <v>0</v>
      </c>
      <c r="R63" s="1065">
        <f t="shared" si="1"/>
        <v>0</v>
      </c>
      <c r="S63" s="1065">
        <f t="shared" si="1"/>
        <v>0</v>
      </c>
      <c r="Z63" s="1311">
        <f t="shared" si="2"/>
        <v>0</v>
      </c>
      <c r="AA63" s="1374">
        <f t="shared" si="4"/>
        <v>0</v>
      </c>
      <c r="AB63" s="1374">
        <f t="shared" si="3"/>
        <v>0</v>
      </c>
    </row>
    <row r="64" spans="1:28" ht="105">
      <c r="A64" s="1335" t="s">
        <v>127</v>
      </c>
      <c r="B64" s="1084" t="s">
        <v>1056</v>
      </c>
      <c r="C64" s="894">
        <f t="shared" si="6"/>
        <v>10000</v>
      </c>
      <c r="D64" s="1249">
        <v>0</v>
      </c>
      <c r="E64" s="1249">
        <v>10000</v>
      </c>
      <c r="F64" s="1348">
        <f t="shared" si="7"/>
        <v>10000</v>
      </c>
      <c r="G64" s="1337">
        <v>0</v>
      </c>
      <c r="H64" s="1337">
        <v>10000</v>
      </c>
      <c r="I64" s="2440">
        <f>SUM(J64:K68)</f>
        <v>0</v>
      </c>
      <c r="J64" s="2440">
        <v>0</v>
      </c>
      <c r="K64" s="2440">
        <v>0</v>
      </c>
      <c r="L64" s="2415">
        <f>IF(I64=0,0,I64/F64:F68*100)</f>
        <v>0</v>
      </c>
      <c r="M64" s="2415">
        <f>IF(J64=0,0,J64/G64:G68*100)</f>
        <v>0</v>
      </c>
      <c r="N64" s="2415">
        <f>IF(K64=0,0,K64/H64:H68*100)</f>
        <v>0</v>
      </c>
      <c r="O64" s="1214" t="s">
        <v>1171</v>
      </c>
      <c r="P64" s="1213" t="s">
        <v>1137</v>
      </c>
      <c r="Q64" s="1065">
        <f t="shared" si="1"/>
        <v>0</v>
      </c>
      <c r="R64" s="1065">
        <f t="shared" si="1"/>
        <v>0</v>
      </c>
      <c r="S64" s="1065">
        <f t="shared" si="1"/>
        <v>0</v>
      </c>
      <c r="T64" s="2410" t="s">
        <v>886</v>
      </c>
      <c r="U64" s="2410" t="s">
        <v>966</v>
      </c>
      <c r="V64" s="2410">
        <v>522</v>
      </c>
      <c r="W64" s="2410" t="s">
        <v>979</v>
      </c>
      <c r="X64" s="2465"/>
      <c r="Z64" s="1311">
        <f t="shared" si="2"/>
        <v>0</v>
      </c>
      <c r="AA64" s="1374">
        <f t="shared" si="4"/>
        <v>0</v>
      </c>
      <c r="AB64" s="1374">
        <f t="shared" si="3"/>
        <v>0</v>
      </c>
    </row>
    <row r="65" spans="1:28" ht="164.25" customHeight="1">
      <c r="A65" s="1335" t="s">
        <v>128</v>
      </c>
      <c r="B65" s="1084" t="s">
        <v>1057</v>
      </c>
      <c r="C65" s="894">
        <f t="shared" si="6"/>
        <v>6400</v>
      </c>
      <c r="D65" s="1249">
        <v>0</v>
      </c>
      <c r="E65" s="1249">
        <v>6400</v>
      </c>
      <c r="F65" s="1348">
        <f t="shared" si="7"/>
        <v>6400</v>
      </c>
      <c r="G65" s="1337">
        <v>0</v>
      </c>
      <c r="H65" s="1337">
        <v>6400</v>
      </c>
      <c r="I65" s="2458"/>
      <c r="J65" s="2458"/>
      <c r="K65" s="2458"/>
      <c r="L65" s="2416"/>
      <c r="M65" s="2416"/>
      <c r="N65" s="2416"/>
      <c r="O65" s="1214" t="s">
        <v>1171</v>
      </c>
      <c r="P65" s="2472" t="s">
        <v>1138</v>
      </c>
      <c r="Q65" s="1065">
        <f t="shared" si="1"/>
        <v>0</v>
      </c>
      <c r="R65" s="1065">
        <f t="shared" si="1"/>
        <v>0</v>
      </c>
      <c r="S65" s="1065">
        <f t="shared" si="1"/>
        <v>0</v>
      </c>
      <c r="T65" s="2410"/>
      <c r="U65" s="2410"/>
      <c r="V65" s="2410"/>
      <c r="W65" s="2410"/>
      <c r="X65" s="2465"/>
      <c r="Z65" s="1311">
        <f t="shared" si="2"/>
        <v>0</v>
      </c>
      <c r="AA65" s="1374">
        <f t="shared" si="4"/>
        <v>0</v>
      </c>
      <c r="AB65" s="1374">
        <f t="shared" si="3"/>
        <v>0</v>
      </c>
    </row>
    <row r="66" spans="1:28" ht="157.5">
      <c r="A66" s="1335" t="s">
        <v>158</v>
      </c>
      <c r="B66" s="1084" t="s">
        <v>1058</v>
      </c>
      <c r="C66" s="894">
        <f t="shared" si="6"/>
        <v>4600</v>
      </c>
      <c r="D66" s="1249">
        <v>0</v>
      </c>
      <c r="E66" s="1249">
        <v>4600</v>
      </c>
      <c r="F66" s="1348">
        <f t="shared" si="7"/>
        <v>4600</v>
      </c>
      <c r="G66" s="1337">
        <v>0</v>
      </c>
      <c r="H66" s="1337">
        <v>4600</v>
      </c>
      <c r="I66" s="2458"/>
      <c r="J66" s="2458"/>
      <c r="K66" s="2458"/>
      <c r="L66" s="2416"/>
      <c r="M66" s="2416"/>
      <c r="N66" s="2416"/>
      <c r="O66" s="1214" t="s">
        <v>1171</v>
      </c>
      <c r="P66" s="2472"/>
      <c r="Q66" s="1065">
        <f t="shared" si="1"/>
        <v>0</v>
      </c>
      <c r="R66" s="1065">
        <f t="shared" si="1"/>
        <v>0</v>
      </c>
      <c r="S66" s="1065">
        <f t="shared" si="1"/>
        <v>0</v>
      </c>
      <c r="T66" s="2410"/>
      <c r="U66" s="2410"/>
      <c r="V66" s="2410"/>
      <c r="W66" s="2410"/>
      <c r="X66" s="2465"/>
      <c r="Z66" s="1311">
        <f t="shared" si="2"/>
        <v>0</v>
      </c>
      <c r="AA66" s="1374">
        <f t="shared" si="4"/>
        <v>0</v>
      </c>
      <c r="AB66" s="1374">
        <f t="shared" si="3"/>
        <v>0</v>
      </c>
    </row>
    <row r="67" spans="1:28" ht="141" customHeight="1">
      <c r="A67" s="1335" t="s">
        <v>129</v>
      </c>
      <c r="B67" s="1084" t="s">
        <v>1059</v>
      </c>
      <c r="C67" s="894">
        <f t="shared" si="6"/>
        <v>10000</v>
      </c>
      <c r="D67" s="1249">
        <v>0</v>
      </c>
      <c r="E67" s="1249">
        <v>10000</v>
      </c>
      <c r="F67" s="1348">
        <f t="shared" si="7"/>
        <v>10000</v>
      </c>
      <c r="G67" s="1337">
        <v>0</v>
      </c>
      <c r="H67" s="1337">
        <v>10000</v>
      </c>
      <c r="I67" s="2458"/>
      <c r="J67" s="2458"/>
      <c r="K67" s="2458"/>
      <c r="L67" s="2416"/>
      <c r="M67" s="2416"/>
      <c r="N67" s="2416"/>
      <c r="O67" s="1214" t="s">
        <v>1171</v>
      </c>
      <c r="P67" s="1213" t="s">
        <v>1137</v>
      </c>
      <c r="Q67" s="1065">
        <f t="shared" si="1"/>
        <v>0</v>
      </c>
      <c r="R67" s="1065">
        <f t="shared" si="1"/>
        <v>0</v>
      </c>
      <c r="S67" s="1065">
        <f t="shared" si="1"/>
        <v>0</v>
      </c>
      <c r="T67" s="2410"/>
      <c r="U67" s="2410"/>
      <c r="V67" s="2410"/>
      <c r="W67" s="2410"/>
      <c r="X67" s="2465"/>
      <c r="Z67" s="1311">
        <f t="shared" si="2"/>
        <v>0</v>
      </c>
      <c r="AA67" s="1374">
        <f t="shared" si="4"/>
        <v>0</v>
      </c>
      <c r="AB67" s="1374">
        <f t="shared" si="3"/>
        <v>0</v>
      </c>
    </row>
    <row r="68" spans="1:28" ht="150" customHeight="1">
      <c r="A68" s="1335" t="s">
        <v>159</v>
      </c>
      <c r="B68" s="1084" t="s">
        <v>1060</v>
      </c>
      <c r="C68" s="894">
        <f t="shared" si="6"/>
        <v>3000</v>
      </c>
      <c r="D68" s="1249">
        <v>0</v>
      </c>
      <c r="E68" s="1249">
        <v>3000</v>
      </c>
      <c r="F68" s="1348">
        <f t="shared" si="7"/>
        <v>3000</v>
      </c>
      <c r="G68" s="1337">
        <v>0</v>
      </c>
      <c r="H68" s="1337">
        <v>3000</v>
      </c>
      <c r="I68" s="2441"/>
      <c r="J68" s="2441"/>
      <c r="K68" s="2441"/>
      <c r="L68" s="2417"/>
      <c r="M68" s="2417"/>
      <c r="N68" s="2417"/>
      <c r="O68" s="1214" t="s">
        <v>1171</v>
      </c>
      <c r="P68" s="1213" t="s">
        <v>1137</v>
      </c>
      <c r="Q68" s="1065">
        <f t="shared" si="1"/>
        <v>0</v>
      </c>
      <c r="R68" s="1065">
        <f t="shared" si="1"/>
        <v>0</v>
      </c>
      <c r="S68" s="1065">
        <f t="shared" si="1"/>
        <v>0</v>
      </c>
      <c r="T68" s="2410"/>
      <c r="U68" s="2410"/>
      <c r="V68" s="2410"/>
      <c r="W68" s="2410"/>
      <c r="X68" s="2465"/>
      <c r="Z68" s="1311">
        <f t="shared" si="2"/>
        <v>0</v>
      </c>
      <c r="AA68" s="1374">
        <f t="shared" si="4"/>
        <v>0</v>
      </c>
      <c r="AB68" s="1374">
        <f t="shared" si="3"/>
        <v>0</v>
      </c>
    </row>
    <row r="69" spans="1:28" s="914" customFormat="1" ht="92.25" customHeight="1">
      <c r="A69" s="1090"/>
      <c r="B69" s="1277" t="s">
        <v>444</v>
      </c>
      <c r="C69" s="1090">
        <f>D69+E69</f>
        <v>325874.2</v>
      </c>
      <c r="D69" s="1090">
        <f>SUM(D70,D73,D76,D78,D80,D82,D85)</f>
        <v>306319.5</v>
      </c>
      <c r="E69" s="1090">
        <f>SUM(E70,E73,E76,E78,E80,E82,E85)</f>
        <v>19554.7</v>
      </c>
      <c r="F69" s="1090">
        <f>G69+H69</f>
        <v>325874.2</v>
      </c>
      <c r="G69" s="1091">
        <f>SUM(G70,G73,G76,G78,G80,G82,G85)</f>
        <v>306319.5</v>
      </c>
      <c r="H69" s="1091">
        <f>SUM(H70,H73,H76,H80,H78,H82,H85)</f>
        <v>19554.7</v>
      </c>
      <c r="I69" s="1090">
        <f>J69+K69</f>
        <v>49402.3</v>
      </c>
      <c r="J69" s="1090">
        <f>SUM(J70,J73,J76,J78,J80,J82,J85)</f>
        <v>46438</v>
      </c>
      <c r="K69" s="1090">
        <f>SUM(K70,K73,K76,K80,K78,K82,K85)</f>
        <v>2964.3</v>
      </c>
      <c r="L69" s="1092">
        <f t="shared" ref="L69:N89" si="10">IF(I69=0,0,I69/F69*100)</f>
        <v>15.2</v>
      </c>
      <c r="M69" s="1093">
        <f t="shared" si="10"/>
        <v>15.2</v>
      </c>
      <c r="N69" s="1093">
        <f t="shared" si="10"/>
        <v>15.2</v>
      </c>
      <c r="O69" s="1224" t="s">
        <v>1117</v>
      </c>
      <c r="P69" s="1224" t="s">
        <v>1117</v>
      </c>
      <c r="Q69" s="1065">
        <f t="shared" si="1"/>
        <v>0</v>
      </c>
      <c r="R69" s="1065">
        <f t="shared" si="1"/>
        <v>0</v>
      </c>
      <c r="S69" s="1065">
        <f t="shared" si="1"/>
        <v>0</v>
      </c>
      <c r="T69" s="1099"/>
      <c r="U69" s="1100"/>
      <c r="V69" s="1099"/>
      <c r="W69" s="1099"/>
      <c r="X69" s="1216"/>
      <c r="Z69" s="1311">
        <f t="shared" si="2"/>
        <v>0</v>
      </c>
      <c r="AA69" s="1374">
        <f t="shared" si="4"/>
        <v>0</v>
      </c>
      <c r="AB69" s="1374">
        <f t="shared" si="3"/>
        <v>0</v>
      </c>
    </row>
    <row r="70" spans="1:28">
      <c r="A70" s="1335"/>
      <c r="B70" s="1236" t="s">
        <v>431</v>
      </c>
      <c r="C70" s="871">
        <f t="shared" ref="C70:C119" si="11">SUM(D70:E70)</f>
        <v>53340.2</v>
      </c>
      <c r="D70" s="1251">
        <f>D71+D72</f>
        <v>50139.4</v>
      </c>
      <c r="E70" s="1251">
        <f>E71+E72</f>
        <v>3200.8</v>
      </c>
      <c r="F70" s="1347">
        <f t="shared" ref="F70:F119" si="12">SUM(G70:H70)</f>
        <v>53340.2</v>
      </c>
      <c r="G70" s="880">
        <f>G71+G72</f>
        <v>50139.4</v>
      </c>
      <c r="H70" s="880">
        <f>H71+H72</f>
        <v>3200.8</v>
      </c>
      <c r="I70" s="1340">
        <f t="shared" ref="I70:I119" si="13">SUM(J70:K70)</f>
        <v>18493</v>
      </c>
      <c r="J70" s="1340">
        <f>J71+J72</f>
        <v>17383.3</v>
      </c>
      <c r="K70" s="1340">
        <f>K71+K72</f>
        <v>1109.7</v>
      </c>
      <c r="L70" s="877">
        <f t="shared" si="10"/>
        <v>34.700000000000003</v>
      </c>
      <c r="M70" s="877">
        <f t="shared" si="10"/>
        <v>34.700000000000003</v>
      </c>
      <c r="N70" s="877">
        <f t="shared" si="10"/>
        <v>34.700000000000003</v>
      </c>
      <c r="O70" s="1214" t="s">
        <v>1117</v>
      </c>
      <c r="P70" s="1214" t="s">
        <v>1117</v>
      </c>
      <c r="Q70" s="1065">
        <f t="shared" si="1"/>
        <v>0</v>
      </c>
      <c r="R70" s="1065">
        <f t="shared" si="1"/>
        <v>0</v>
      </c>
      <c r="S70" s="1065">
        <f t="shared" si="1"/>
        <v>0</v>
      </c>
      <c r="Z70" s="1311">
        <f t="shared" si="2"/>
        <v>0</v>
      </c>
      <c r="AA70" s="1374">
        <f t="shared" si="4"/>
        <v>0</v>
      </c>
      <c r="AB70" s="1374">
        <f t="shared" si="3"/>
        <v>0</v>
      </c>
    </row>
    <row r="71" spans="1:28" ht="36.75" customHeight="1">
      <c r="A71" s="895">
        <v>35</v>
      </c>
      <c r="B71" s="1075" t="s">
        <v>690</v>
      </c>
      <c r="C71" s="894">
        <f t="shared" si="11"/>
        <v>11063.4</v>
      </c>
      <c r="D71" s="972">
        <f>10318.8+80.6</f>
        <v>10399.4</v>
      </c>
      <c r="E71" s="972">
        <f>658.8+5.15</f>
        <v>664</v>
      </c>
      <c r="F71" s="1348">
        <f t="shared" si="12"/>
        <v>11063.4</v>
      </c>
      <c r="G71" s="879">
        <f>D71</f>
        <v>10399.4</v>
      </c>
      <c r="H71" s="879">
        <f>E71</f>
        <v>664</v>
      </c>
      <c r="I71" s="1341">
        <f t="shared" si="13"/>
        <v>7060.4</v>
      </c>
      <c r="J71" s="1341">
        <v>6636.7</v>
      </c>
      <c r="K71" s="1341">
        <v>423.7</v>
      </c>
      <c r="L71" s="877">
        <f t="shared" si="10"/>
        <v>63.8</v>
      </c>
      <c r="M71" s="877">
        <f t="shared" si="10"/>
        <v>63.8</v>
      </c>
      <c r="N71" s="877">
        <f t="shared" si="10"/>
        <v>63.8</v>
      </c>
      <c r="O71" s="1214" t="s">
        <v>1185</v>
      </c>
      <c r="P71" s="1214" t="s">
        <v>1143</v>
      </c>
      <c r="Q71" s="1065">
        <f t="shared" si="1"/>
        <v>0</v>
      </c>
      <c r="R71" s="1065">
        <f t="shared" si="1"/>
        <v>0</v>
      </c>
      <c r="S71" s="1065">
        <f t="shared" si="1"/>
        <v>0</v>
      </c>
      <c r="T71" s="1099" t="s">
        <v>954</v>
      </c>
      <c r="U71" s="1100" t="s">
        <v>974</v>
      </c>
      <c r="V71" s="1099">
        <v>522</v>
      </c>
      <c r="W71" s="1099" t="s">
        <v>958</v>
      </c>
      <c r="Z71" s="1311">
        <f t="shared" si="2"/>
        <v>0</v>
      </c>
      <c r="AA71" s="1374">
        <f t="shared" si="4"/>
        <v>0</v>
      </c>
      <c r="AB71" s="1374">
        <f t="shared" si="3"/>
        <v>0</v>
      </c>
    </row>
    <row r="72" spans="1:28" ht="36.75" customHeight="1">
      <c r="A72" s="1335" t="s">
        <v>160</v>
      </c>
      <c r="B72" s="1075" t="s">
        <v>689</v>
      </c>
      <c r="C72" s="894">
        <f t="shared" si="11"/>
        <v>42276.800000000003</v>
      </c>
      <c r="D72" s="972">
        <f>7948+31792</f>
        <v>39740</v>
      </c>
      <c r="E72" s="972">
        <f>507.4+2029.44</f>
        <v>2536.8000000000002</v>
      </c>
      <c r="F72" s="1348">
        <f t="shared" si="12"/>
        <v>42276.800000000003</v>
      </c>
      <c r="G72" s="879">
        <f>D72</f>
        <v>39740</v>
      </c>
      <c r="H72" s="879">
        <f>E72</f>
        <v>2536.8000000000002</v>
      </c>
      <c r="I72" s="1341">
        <f t="shared" si="13"/>
        <v>11432.6</v>
      </c>
      <c r="J72" s="1341">
        <f>7948+2798.6</f>
        <v>10746.6</v>
      </c>
      <c r="K72" s="1341">
        <f>507.4+178.6</f>
        <v>686</v>
      </c>
      <c r="L72" s="877">
        <f>I72/C72*100</f>
        <v>27</v>
      </c>
      <c r="M72" s="877">
        <f>J72/D72*100</f>
        <v>27</v>
      </c>
      <c r="N72" s="877">
        <f>K72/E72*100</f>
        <v>27</v>
      </c>
      <c r="O72" s="1214" t="s">
        <v>1186</v>
      </c>
      <c r="P72" s="1214" t="s">
        <v>1144</v>
      </c>
      <c r="Q72" s="1065">
        <f t="shared" si="1"/>
        <v>0</v>
      </c>
      <c r="R72" s="1065">
        <f t="shared" si="1"/>
        <v>0</v>
      </c>
      <c r="S72" s="1065">
        <f t="shared" si="1"/>
        <v>0</v>
      </c>
      <c r="T72" s="1099" t="s">
        <v>886</v>
      </c>
      <c r="U72" s="1100" t="s">
        <v>973</v>
      </c>
      <c r="V72" s="1099">
        <v>522</v>
      </c>
      <c r="W72" s="1099" t="s">
        <v>890</v>
      </c>
      <c r="X72" s="1225"/>
      <c r="Z72" s="1311">
        <f t="shared" si="2"/>
        <v>0</v>
      </c>
      <c r="AA72" s="1374">
        <f t="shared" si="4"/>
        <v>0</v>
      </c>
      <c r="AB72" s="1374">
        <f t="shared" si="3"/>
        <v>0</v>
      </c>
    </row>
    <row r="73" spans="1:28">
      <c r="A73" s="1335"/>
      <c r="B73" s="898" t="s">
        <v>457</v>
      </c>
      <c r="C73" s="871">
        <f t="shared" si="11"/>
        <v>39454.5</v>
      </c>
      <c r="D73" s="1252">
        <f>SUM(D74:D75)</f>
        <v>37086.9</v>
      </c>
      <c r="E73" s="1252">
        <f>SUM(E74:E75)</f>
        <v>2367.6</v>
      </c>
      <c r="F73" s="1347">
        <f t="shared" si="12"/>
        <v>39454.5</v>
      </c>
      <c r="G73" s="881">
        <f>SUM(G74:G75)</f>
        <v>37086.9</v>
      </c>
      <c r="H73" s="881">
        <f>SUM(H74:H75)</f>
        <v>2367.6</v>
      </c>
      <c r="I73" s="1340">
        <f t="shared" si="13"/>
        <v>12145.2</v>
      </c>
      <c r="J73" s="881">
        <f>SUM(J74:J75)</f>
        <v>11416.4</v>
      </c>
      <c r="K73" s="881">
        <f>SUM(K74:K75)</f>
        <v>728.8</v>
      </c>
      <c r="L73" s="1338">
        <f t="shared" si="10"/>
        <v>30.8</v>
      </c>
      <c r="M73" s="875">
        <f t="shared" si="10"/>
        <v>30.8</v>
      </c>
      <c r="N73" s="875">
        <f t="shared" si="10"/>
        <v>30.8</v>
      </c>
      <c r="O73" s="1214" t="s">
        <v>1117</v>
      </c>
      <c r="P73" s="1214" t="s">
        <v>1117</v>
      </c>
      <c r="Q73" s="1065">
        <f t="shared" si="1"/>
        <v>0</v>
      </c>
      <c r="R73" s="1065">
        <f t="shared" si="1"/>
        <v>0</v>
      </c>
      <c r="S73" s="1065">
        <f t="shared" si="1"/>
        <v>0</v>
      </c>
      <c r="Z73" s="1311">
        <f t="shared" si="2"/>
        <v>0</v>
      </c>
      <c r="AA73" s="1374">
        <f t="shared" si="4"/>
        <v>0</v>
      </c>
      <c r="AB73" s="1374">
        <f t="shared" si="3"/>
        <v>0</v>
      </c>
    </row>
    <row r="74" spans="1:28" ht="116.25">
      <c r="A74" s="1335" t="s">
        <v>532</v>
      </c>
      <c r="B74" s="1334" t="s">
        <v>838</v>
      </c>
      <c r="C74" s="894">
        <f t="shared" si="11"/>
        <v>8075.8</v>
      </c>
      <c r="D74" s="972">
        <f>7572.8+18.33</f>
        <v>7591.1</v>
      </c>
      <c r="E74" s="972">
        <f>483.5+1.17</f>
        <v>484.7</v>
      </c>
      <c r="F74" s="1348">
        <f t="shared" si="12"/>
        <v>8075.8</v>
      </c>
      <c r="G74" s="879">
        <f>D74</f>
        <v>7591.1</v>
      </c>
      <c r="H74" s="879">
        <f>E74</f>
        <v>484.7</v>
      </c>
      <c r="I74" s="1341">
        <f t="shared" si="13"/>
        <v>8036.6</v>
      </c>
      <c r="J74" s="1341">
        <v>7554.3</v>
      </c>
      <c r="K74" s="1341">
        <v>482.3</v>
      </c>
      <c r="L74" s="877">
        <f t="shared" si="10"/>
        <v>99.5</v>
      </c>
      <c r="M74" s="877">
        <f t="shared" si="10"/>
        <v>99.5</v>
      </c>
      <c r="N74" s="877">
        <f t="shared" si="10"/>
        <v>99.5</v>
      </c>
      <c r="O74" s="1330" t="s">
        <v>1187</v>
      </c>
      <c r="P74" s="1330" t="s">
        <v>1145</v>
      </c>
      <c r="Q74" s="1065">
        <f t="shared" si="1"/>
        <v>0</v>
      </c>
      <c r="R74" s="1065">
        <f t="shared" si="1"/>
        <v>0</v>
      </c>
      <c r="S74" s="1065">
        <f t="shared" si="1"/>
        <v>0</v>
      </c>
      <c r="T74" s="1099">
        <v>1102</v>
      </c>
      <c r="U74" s="1100" t="s">
        <v>981</v>
      </c>
      <c r="V74" s="1099">
        <v>522</v>
      </c>
      <c r="W74" s="1099" t="s">
        <v>958</v>
      </c>
      <c r="Z74" s="1311">
        <f t="shared" si="2"/>
        <v>0</v>
      </c>
      <c r="AA74" s="1374">
        <f t="shared" si="4"/>
        <v>0</v>
      </c>
      <c r="AB74" s="1374">
        <f t="shared" si="3"/>
        <v>0</v>
      </c>
    </row>
    <row r="75" spans="1:28" ht="47.25" customHeight="1">
      <c r="A75" s="895">
        <v>38</v>
      </c>
      <c r="B75" s="1075" t="s">
        <v>678</v>
      </c>
      <c r="C75" s="894">
        <f t="shared" si="11"/>
        <v>31378.7</v>
      </c>
      <c r="D75" s="972">
        <f>5899.2+23596.6</f>
        <v>29495.8</v>
      </c>
      <c r="E75" s="972">
        <f>376.6+1506.29</f>
        <v>1882.9</v>
      </c>
      <c r="F75" s="1348">
        <f t="shared" si="12"/>
        <v>31378.7</v>
      </c>
      <c r="G75" s="879">
        <f>D75</f>
        <v>29495.8</v>
      </c>
      <c r="H75" s="879">
        <f>E75</f>
        <v>1882.9</v>
      </c>
      <c r="I75" s="1341">
        <f t="shared" si="13"/>
        <v>4108.6000000000004</v>
      </c>
      <c r="J75" s="1341">
        <f>3862.1</f>
        <v>3862.1</v>
      </c>
      <c r="K75" s="1341">
        <v>246.5</v>
      </c>
      <c r="L75" s="877">
        <f t="shared" si="10"/>
        <v>13.1</v>
      </c>
      <c r="M75" s="877">
        <f t="shared" si="10"/>
        <v>13.1</v>
      </c>
      <c r="N75" s="877">
        <f t="shared" si="10"/>
        <v>13.1</v>
      </c>
      <c r="O75" s="1214" t="s">
        <v>1188</v>
      </c>
      <c r="P75" s="1214" t="s">
        <v>1139</v>
      </c>
      <c r="Q75" s="1065">
        <f t="shared" si="1"/>
        <v>0</v>
      </c>
      <c r="R75" s="1065">
        <f t="shared" si="1"/>
        <v>0</v>
      </c>
      <c r="S75" s="1065">
        <f t="shared" si="1"/>
        <v>0</v>
      </c>
      <c r="T75" s="1099" t="s">
        <v>886</v>
      </c>
      <c r="U75" s="1100" t="s">
        <v>980</v>
      </c>
      <c r="V75" s="1099">
        <v>522</v>
      </c>
      <c r="W75" s="1099" t="s">
        <v>890</v>
      </c>
      <c r="Z75" s="1311">
        <f t="shared" si="2"/>
        <v>0</v>
      </c>
      <c r="AA75" s="1374">
        <f t="shared" si="4"/>
        <v>0</v>
      </c>
      <c r="AB75" s="1374">
        <f t="shared" si="3"/>
        <v>0</v>
      </c>
    </row>
    <row r="76" spans="1:28">
      <c r="A76" s="1335"/>
      <c r="B76" s="898" t="s">
        <v>433</v>
      </c>
      <c r="C76" s="871">
        <f t="shared" si="11"/>
        <v>14049.3</v>
      </c>
      <c r="D76" s="1250">
        <f>D77</f>
        <v>13206.2</v>
      </c>
      <c r="E76" s="1250">
        <f>E77</f>
        <v>843.1</v>
      </c>
      <c r="F76" s="1347">
        <f t="shared" si="12"/>
        <v>14049.3</v>
      </c>
      <c r="G76" s="875">
        <f>G77</f>
        <v>13206.2</v>
      </c>
      <c r="H76" s="875">
        <f>H77</f>
        <v>843.1</v>
      </c>
      <c r="I76" s="1340">
        <f t="shared" si="13"/>
        <v>3862.8</v>
      </c>
      <c r="J76" s="875">
        <f>J77</f>
        <v>3631</v>
      </c>
      <c r="K76" s="875">
        <f>K77</f>
        <v>231.8</v>
      </c>
      <c r="L76" s="1338">
        <f t="shared" si="10"/>
        <v>27.5</v>
      </c>
      <c r="M76" s="1339">
        <f t="shared" si="10"/>
        <v>27.5</v>
      </c>
      <c r="N76" s="1339">
        <f t="shared" si="10"/>
        <v>27.5</v>
      </c>
      <c r="O76" s="1214" t="s">
        <v>353</v>
      </c>
      <c r="P76" s="1214" t="s">
        <v>353</v>
      </c>
      <c r="Q76" s="1065">
        <f t="shared" si="1"/>
        <v>0</v>
      </c>
      <c r="R76" s="1065">
        <f t="shared" si="1"/>
        <v>0</v>
      </c>
      <c r="S76" s="1065">
        <f t="shared" si="1"/>
        <v>0</v>
      </c>
      <c r="Z76" s="1311">
        <f t="shared" ref="Z76:Z139" si="14">C76-F76</f>
        <v>0</v>
      </c>
      <c r="AA76" s="1374">
        <f t="shared" si="4"/>
        <v>0</v>
      </c>
      <c r="AB76" s="1374">
        <f t="shared" ref="AB76:AB139" si="15">E76-H76</f>
        <v>0</v>
      </c>
    </row>
    <row r="77" spans="1:28" ht="40.5" customHeight="1">
      <c r="A77" s="1335" t="s">
        <v>536</v>
      </c>
      <c r="B77" s="1084" t="s">
        <v>679</v>
      </c>
      <c r="C77" s="894">
        <f t="shared" si="11"/>
        <v>14049.3</v>
      </c>
      <c r="D77" s="1249">
        <v>13206.2</v>
      </c>
      <c r="E77" s="1249">
        <v>843.1</v>
      </c>
      <c r="F77" s="1348">
        <f t="shared" si="12"/>
        <v>14049.3</v>
      </c>
      <c r="G77" s="879">
        <f>D77</f>
        <v>13206.2</v>
      </c>
      <c r="H77" s="879">
        <f>E77</f>
        <v>843.1</v>
      </c>
      <c r="I77" s="1341">
        <f t="shared" si="13"/>
        <v>3862.8</v>
      </c>
      <c r="J77" s="1337">
        <v>3631</v>
      </c>
      <c r="K77" s="1337">
        <v>231.8</v>
      </c>
      <c r="L77" s="877">
        <f t="shared" si="10"/>
        <v>27.5</v>
      </c>
      <c r="M77" s="877">
        <f t="shared" si="10"/>
        <v>27.5</v>
      </c>
      <c r="N77" s="877">
        <f t="shared" si="10"/>
        <v>27.5</v>
      </c>
      <c r="O77" s="1330" t="s">
        <v>1140</v>
      </c>
      <c r="P77" s="1330" t="s">
        <v>1141</v>
      </c>
      <c r="Q77" s="1065">
        <f t="shared" si="1"/>
        <v>0</v>
      </c>
      <c r="R77" s="1065">
        <f t="shared" si="1"/>
        <v>0</v>
      </c>
      <c r="S77" s="1065">
        <f t="shared" si="1"/>
        <v>0</v>
      </c>
      <c r="T77" s="1099" t="s">
        <v>954</v>
      </c>
      <c r="U77" s="1100" t="s">
        <v>982</v>
      </c>
      <c r="V77" s="1099">
        <v>522</v>
      </c>
      <c r="W77" s="1099" t="s">
        <v>958</v>
      </c>
      <c r="Z77" s="1311">
        <f t="shared" si="14"/>
        <v>0</v>
      </c>
      <c r="AA77" s="1374">
        <f t="shared" ref="AA77:AA140" si="16">C77-F77</f>
        <v>0</v>
      </c>
      <c r="AB77" s="1374">
        <f t="shared" si="15"/>
        <v>0</v>
      </c>
    </row>
    <row r="78" spans="1:28">
      <c r="A78" s="895"/>
      <c r="B78" s="898" t="s">
        <v>458</v>
      </c>
      <c r="C78" s="871">
        <f t="shared" si="11"/>
        <v>11408.6</v>
      </c>
      <c r="D78" s="1250">
        <f>D79</f>
        <v>10724</v>
      </c>
      <c r="E78" s="1250">
        <f>E79</f>
        <v>684.6</v>
      </c>
      <c r="F78" s="1347">
        <f t="shared" si="12"/>
        <v>11408.6</v>
      </c>
      <c r="G78" s="875">
        <f>G79</f>
        <v>10724</v>
      </c>
      <c r="H78" s="875">
        <f>H79</f>
        <v>684.6</v>
      </c>
      <c r="I78" s="1340">
        <f t="shared" si="13"/>
        <v>1408.3</v>
      </c>
      <c r="J78" s="875">
        <f>J79</f>
        <v>1323.8</v>
      </c>
      <c r="K78" s="875">
        <f>K79</f>
        <v>84.5</v>
      </c>
      <c r="L78" s="1338">
        <f t="shared" si="10"/>
        <v>12.3</v>
      </c>
      <c r="M78" s="1339">
        <f t="shared" si="10"/>
        <v>12.3</v>
      </c>
      <c r="N78" s="1339">
        <f t="shared" si="10"/>
        <v>12.3</v>
      </c>
      <c r="O78" s="1214" t="s">
        <v>353</v>
      </c>
      <c r="P78" s="1214" t="s">
        <v>353</v>
      </c>
      <c r="Q78" s="1065">
        <f t="shared" ref="Q78:S93" si="17">C78-F78</f>
        <v>0</v>
      </c>
      <c r="R78" s="1065">
        <f t="shared" si="17"/>
        <v>0</v>
      </c>
      <c r="S78" s="1065">
        <f t="shared" si="17"/>
        <v>0</v>
      </c>
      <c r="Z78" s="1311">
        <f t="shared" si="14"/>
        <v>0</v>
      </c>
      <c r="AA78" s="1374">
        <f t="shared" si="16"/>
        <v>0</v>
      </c>
      <c r="AB78" s="1374">
        <f t="shared" si="15"/>
        <v>0</v>
      </c>
    </row>
    <row r="79" spans="1:28" ht="50.25" customHeight="1">
      <c r="A79" s="1335" t="s">
        <v>131</v>
      </c>
      <c r="B79" s="1084" t="s">
        <v>680</v>
      </c>
      <c r="C79" s="894">
        <f t="shared" si="11"/>
        <v>11408.6</v>
      </c>
      <c r="D79" s="1249">
        <v>10724</v>
      </c>
      <c r="E79" s="1249">
        <v>684.6</v>
      </c>
      <c r="F79" s="1348">
        <f t="shared" si="12"/>
        <v>11408.6</v>
      </c>
      <c r="G79" s="879">
        <f>D79</f>
        <v>10724</v>
      </c>
      <c r="H79" s="879">
        <f>E79</f>
        <v>684.6</v>
      </c>
      <c r="I79" s="1341">
        <f t="shared" si="13"/>
        <v>1408.3</v>
      </c>
      <c r="J79" s="1341">
        <v>1323.8</v>
      </c>
      <c r="K79" s="1341">
        <v>84.5</v>
      </c>
      <c r="L79" s="877">
        <f t="shared" si="10"/>
        <v>12.3</v>
      </c>
      <c r="M79" s="877">
        <f t="shared" si="10"/>
        <v>12.3</v>
      </c>
      <c r="N79" s="877">
        <f t="shared" si="10"/>
        <v>12.3</v>
      </c>
      <c r="O79" s="1214" t="s">
        <v>1189</v>
      </c>
      <c r="P79" s="1330" t="s">
        <v>1142</v>
      </c>
      <c r="Q79" s="1065">
        <f t="shared" si="17"/>
        <v>0</v>
      </c>
      <c r="R79" s="1065">
        <f t="shared" si="17"/>
        <v>0</v>
      </c>
      <c r="S79" s="1065">
        <f t="shared" si="17"/>
        <v>0</v>
      </c>
      <c r="T79" s="1099" t="s">
        <v>954</v>
      </c>
      <c r="U79" s="1100" t="s">
        <v>997</v>
      </c>
      <c r="V79" s="1099">
        <v>522</v>
      </c>
      <c r="W79" s="1099" t="s">
        <v>958</v>
      </c>
      <c r="Z79" s="1311">
        <f t="shared" si="14"/>
        <v>0</v>
      </c>
      <c r="AA79" s="1374">
        <f t="shared" si="16"/>
        <v>0</v>
      </c>
      <c r="AB79" s="1374">
        <f t="shared" si="15"/>
        <v>0</v>
      </c>
    </row>
    <row r="80" spans="1:28">
      <c r="A80" s="895"/>
      <c r="B80" s="898" t="s">
        <v>443</v>
      </c>
      <c r="C80" s="871">
        <f t="shared" si="11"/>
        <v>55847.5</v>
      </c>
      <c r="D80" s="1250">
        <f>D81</f>
        <v>52496.6</v>
      </c>
      <c r="E80" s="1250">
        <f>E81</f>
        <v>3350.9</v>
      </c>
      <c r="F80" s="1347">
        <f t="shared" si="12"/>
        <v>55847.5</v>
      </c>
      <c r="G80" s="875">
        <f>G81</f>
        <v>52496.6</v>
      </c>
      <c r="H80" s="875">
        <f>H81</f>
        <v>3350.9</v>
      </c>
      <c r="I80" s="1340">
        <f t="shared" si="13"/>
        <v>374.1</v>
      </c>
      <c r="J80" s="875">
        <f>J81</f>
        <v>351.7</v>
      </c>
      <c r="K80" s="875">
        <f>K81</f>
        <v>22.4</v>
      </c>
      <c r="L80" s="876">
        <f t="shared" si="10"/>
        <v>0.7</v>
      </c>
      <c r="M80" s="877">
        <f t="shared" si="10"/>
        <v>0.7</v>
      </c>
      <c r="N80" s="877">
        <f t="shared" si="10"/>
        <v>0.7</v>
      </c>
      <c r="O80" s="1214" t="s">
        <v>353</v>
      </c>
      <c r="P80" s="1214" t="s">
        <v>353</v>
      </c>
      <c r="Q80" s="1065">
        <f t="shared" si="17"/>
        <v>0</v>
      </c>
      <c r="R80" s="1065">
        <f t="shared" si="17"/>
        <v>0</v>
      </c>
      <c r="S80" s="1065">
        <f t="shared" si="17"/>
        <v>0</v>
      </c>
      <c r="Z80" s="1311">
        <f t="shared" si="14"/>
        <v>0</v>
      </c>
      <c r="AA80" s="1374">
        <f t="shared" si="16"/>
        <v>0</v>
      </c>
      <c r="AB80" s="1374">
        <f t="shared" si="15"/>
        <v>0</v>
      </c>
    </row>
    <row r="81" spans="1:28" ht="50.25" customHeight="1">
      <c r="A81" s="1335" t="s">
        <v>555</v>
      </c>
      <c r="B81" s="1084" t="s">
        <v>681</v>
      </c>
      <c r="C81" s="894">
        <f t="shared" si="11"/>
        <v>55847.5</v>
      </c>
      <c r="D81" s="1249">
        <f>52494.2+2.4</f>
        <v>52496.6</v>
      </c>
      <c r="E81" s="1249">
        <f>3350.7+0.16</f>
        <v>3350.9</v>
      </c>
      <c r="F81" s="1348">
        <f t="shared" si="12"/>
        <v>55847.5</v>
      </c>
      <c r="G81" s="879">
        <f>D81</f>
        <v>52496.6</v>
      </c>
      <c r="H81" s="879">
        <f>E81</f>
        <v>3350.9</v>
      </c>
      <c r="I81" s="1341">
        <f t="shared" si="13"/>
        <v>374.1</v>
      </c>
      <c r="J81" s="1341">
        <v>351.7</v>
      </c>
      <c r="K81" s="1341">
        <v>22.4</v>
      </c>
      <c r="L81" s="877">
        <f t="shared" si="10"/>
        <v>0.7</v>
      </c>
      <c r="M81" s="877">
        <f t="shared" si="10"/>
        <v>0.7</v>
      </c>
      <c r="N81" s="877">
        <f t="shared" si="10"/>
        <v>0.7</v>
      </c>
      <c r="O81" s="1330" t="s">
        <v>1190</v>
      </c>
      <c r="P81" s="1214" t="s">
        <v>1146</v>
      </c>
      <c r="Q81" s="1065">
        <f t="shared" si="17"/>
        <v>0</v>
      </c>
      <c r="R81" s="1065">
        <f t="shared" si="17"/>
        <v>0</v>
      </c>
      <c r="S81" s="1065">
        <f t="shared" si="17"/>
        <v>0</v>
      </c>
      <c r="T81" s="1099" t="s">
        <v>874</v>
      </c>
      <c r="U81" s="1100" t="s">
        <v>984</v>
      </c>
      <c r="V81" s="1099">
        <v>522</v>
      </c>
      <c r="W81" s="1099" t="s">
        <v>985</v>
      </c>
      <c r="Z81" s="1311">
        <f t="shared" si="14"/>
        <v>0</v>
      </c>
      <c r="AA81" s="1374">
        <f t="shared" si="16"/>
        <v>0</v>
      </c>
      <c r="AB81" s="1374">
        <f t="shared" si="15"/>
        <v>0</v>
      </c>
    </row>
    <row r="82" spans="1:28">
      <c r="A82" s="895"/>
      <c r="B82" s="898" t="s">
        <v>281</v>
      </c>
      <c r="C82" s="871">
        <f t="shared" si="11"/>
        <v>115657.60000000001</v>
      </c>
      <c r="D82" s="1250">
        <f>SUM(D83:D84)</f>
        <v>108717.1</v>
      </c>
      <c r="E82" s="1250">
        <f>SUM(E83:E84)</f>
        <v>6940.5</v>
      </c>
      <c r="F82" s="1347">
        <f t="shared" si="12"/>
        <v>115657.60000000001</v>
      </c>
      <c r="G82" s="875">
        <f>SUM(G83:G84)</f>
        <v>108717.1</v>
      </c>
      <c r="H82" s="875">
        <f>SUM(H83:H84)</f>
        <v>6940.5</v>
      </c>
      <c r="I82" s="1340">
        <f t="shared" si="13"/>
        <v>12341.9</v>
      </c>
      <c r="J82" s="875">
        <f>SUM(J83:J84)</f>
        <v>11601.4</v>
      </c>
      <c r="K82" s="875">
        <f>SUM(K83:K84)</f>
        <v>740.5</v>
      </c>
      <c r="L82" s="876">
        <f t="shared" si="10"/>
        <v>10.7</v>
      </c>
      <c r="M82" s="877">
        <f t="shared" si="10"/>
        <v>10.7</v>
      </c>
      <c r="N82" s="877">
        <f t="shared" si="10"/>
        <v>10.7</v>
      </c>
      <c r="O82" s="1214" t="s">
        <v>353</v>
      </c>
      <c r="P82" s="1214" t="s">
        <v>353</v>
      </c>
      <c r="Q82" s="1065">
        <f t="shared" si="17"/>
        <v>0</v>
      </c>
      <c r="R82" s="1065">
        <f t="shared" si="17"/>
        <v>0</v>
      </c>
      <c r="S82" s="1065">
        <f t="shared" si="17"/>
        <v>0</v>
      </c>
      <c r="Z82" s="1311">
        <f t="shared" si="14"/>
        <v>0</v>
      </c>
      <c r="AA82" s="1374">
        <f t="shared" si="16"/>
        <v>0</v>
      </c>
      <c r="AB82" s="1374">
        <f t="shared" si="15"/>
        <v>0</v>
      </c>
    </row>
    <row r="83" spans="1:28" ht="66" customHeight="1">
      <c r="A83" s="1331" t="s">
        <v>1308</v>
      </c>
      <c r="B83" s="1086" t="s">
        <v>682</v>
      </c>
      <c r="C83" s="1253">
        <f t="shared" si="11"/>
        <v>84139</v>
      </c>
      <c r="D83" s="1254">
        <f>75135.3+3954.5</f>
        <v>79089.8</v>
      </c>
      <c r="E83" s="1249">
        <f>4796.7+252.5</f>
        <v>5049.2</v>
      </c>
      <c r="F83" s="1346">
        <f t="shared" si="12"/>
        <v>84139</v>
      </c>
      <c r="G83" s="879">
        <f>D83</f>
        <v>79089.8</v>
      </c>
      <c r="H83" s="879">
        <f>E83</f>
        <v>5049.2</v>
      </c>
      <c r="I83" s="1336">
        <f t="shared" si="13"/>
        <v>12341.9</v>
      </c>
      <c r="J83" s="1336">
        <v>11601.4</v>
      </c>
      <c r="K83" s="1341">
        <v>740.5</v>
      </c>
      <c r="L83" s="1332">
        <f t="shared" si="10"/>
        <v>14.7</v>
      </c>
      <c r="M83" s="1332">
        <f t="shared" si="10"/>
        <v>14.7</v>
      </c>
      <c r="N83" s="1339">
        <f t="shared" si="10"/>
        <v>14.7</v>
      </c>
      <c r="O83" s="1214" t="s">
        <v>1147</v>
      </c>
      <c r="P83" s="1214" t="s">
        <v>1148</v>
      </c>
      <c r="Q83" s="1065">
        <f t="shared" si="17"/>
        <v>0</v>
      </c>
      <c r="R83" s="1065">
        <f t="shared" si="17"/>
        <v>0</v>
      </c>
      <c r="S83" s="1065">
        <f t="shared" si="17"/>
        <v>0</v>
      </c>
      <c r="T83" s="1099" t="s">
        <v>928</v>
      </c>
      <c r="U83" s="1100" t="s">
        <v>987</v>
      </c>
      <c r="V83" s="1099">
        <v>522</v>
      </c>
      <c r="W83" s="1099" t="s">
        <v>930</v>
      </c>
      <c r="Z83" s="1311">
        <f t="shared" si="14"/>
        <v>0</v>
      </c>
      <c r="AA83" s="1374">
        <f t="shared" si="16"/>
        <v>0</v>
      </c>
      <c r="AB83" s="1374">
        <f t="shared" si="15"/>
        <v>0</v>
      </c>
    </row>
    <row r="84" spans="1:28" ht="45.75" customHeight="1">
      <c r="A84" s="1335" t="s">
        <v>556</v>
      </c>
      <c r="B84" s="1084" t="s">
        <v>683</v>
      </c>
      <c r="C84" s="894">
        <f t="shared" si="11"/>
        <v>31518.6</v>
      </c>
      <c r="D84" s="1249">
        <f>29034.8+592.5</f>
        <v>29627.3</v>
      </c>
      <c r="E84" s="1249">
        <f>1853.5+37.83</f>
        <v>1891.3</v>
      </c>
      <c r="F84" s="1348">
        <f t="shared" si="12"/>
        <v>31518.6</v>
      </c>
      <c r="G84" s="879">
        <f>D84</f>
        <v>29627.3</v>
      </c>
      <c r="H84" s="879">
        <f>E84</f>
        <v>1891.3</v>
      </c>
      <c r="I84" s="1341">
        <f t="shared" si="13"/>
        <v>0</v>
      </c>
      <c r="J84" s="1341">
        <v>0</v>
      </c>
      <c r="K84" s="1341">
        <v>0</v>
      </c>
      <c r="L84" s="877">
        <f t="shared" si="10"/>
        <v>0</v>
      </c>
      <c r="M84" s="877">
        <f t="shared" si="10"/>
        <v>0</v>
      </c>
      <c r="N84" s="877">
        <f t="shared" si="10"/>
        <v>0</v>
      </c>
      <c r="O84" s="1214" t="s">
        <v>1191</v>
      </c>
      <c r="P84" s="1214" t="s">
        <v>1118</v>
      </c>
      <c r="Q84" s="1065">
        <f t="shared" si="17"/>
        <v>0</v>
      </c>
      <c r="R84" s="1065">
        <f t="shared" si="17"/>
        <v>0</v>
      </c>
      <c r="S84" s="1065">
        <f t="shared" si="17"/>
        <v>0</v>
      </c>
      <c r="T84" s="1099" t="s">
        <v>954</v>
      </c>
      <c r="U84" s="1100" t="s">
        <v>998</v>
      </c>
      <c r="V84" s="1099">
        <v>522</v>
      </c>
      <c r="W84" s="1099" t="s">
        <v>958</v>
      </c>
      <c r="Z84" s="1311">
        <f t="shared" si="14"/>
        <v>0</v>
      </c>
      <c r="AA84" s="1374">
        <f t="shared" si="16"/>
        <v>0</v>
      </c>
      <c r="AB84" s="1374">
        <f t="shared" si="15"/>
        <v>0</v>
      </c>
    </row>
    <row r="85" spans="1:28">
      <c r="A85" s="1335"/>
      <c r="B85" s="898" t="s">
        <v>583</v>
      </c>
      <c r="C85" s="871">
        <f t="shared" si="11"/>
        <v>36116.5</v>
      </c>
      <c r="D85" s="1250">
        <f>SUM(D86:D86)</f>
        <v>33949.300000000003</v>
      </c>
      <c r="E85" s="1250">
        <f>SUM(E86:E86)</f>
        <v>2167.1999999999998</v>
      </c>
      <c r="F85" s="1347">
        <f t="shared" si="12"/>
        <v>36116.5</v>
      </c>
      <c r="G85" s="875">
        <f>SUM(G86:G86)</f>
        <v>33949.300000000003</v>
      </c>
      <c r="H85" s="875">
        <f>SUM(H86:H86)</f>
        <v>2167.1999999999998</v>
      </c>
      <c r="I85" s="1340">
        <f t="shared" si="13"/>
        <v>777</v>
      </c>
      <c r="J85" s="875">
        <f>SUM(J86:J86)</f>
        <v>730.4</v>
      </c>
      <c r="K85" s="875">
        <f>SUM(K86:K86)</f>
        <v>46.6</v>
      </c>
      <c r="L85" s="876">
        <f t="shared" si="10"/>
        <v>2.2000000000000002</v>
      </c>
      <c r="M85" s="877">
        <f t="shared" si="10"/>
        <v>2.2000000000000002</v>
      </c>
      <c r="N85" s="877">
        <f t="shared" si="10"/>
        <v>2.2000000000000002</v>
      </c>
      <c r="O85" s="1214" t="s">
        <v>353</v>
      </c>
      <c r="P85" s="1214" t="s">
        <v>353</v>
      </c>
      <c r="Q85" s="1065">
        <f t="shared" si="17"/>
        <v>0</v>
      </c>
      <c r="R85" s="1065">
        <f t="shared" si="17"/>
        <v>0</v>
      </c>
      <c r="S85" s="1065">
        <f t="shared" si="17"/>
        <v>0</v>
      </c>
      <c r="Z85" s="1311">
        <f t="shared" si="14"/>
        <v>0</v>
      </c>
      <c r="AA85" s="1374">
        <f t="shared" si="16"/>
        <v>0</v>
      </c>
      <c r="AB85" s="1374">
        <f t="shared" si="15"/>
        <v>0</v>
      </c>
    </row>
    <row r="86" spans="1:28" ht="39" customHeight="1">
      <c r="A86" s="1335" t="s">
        <v>162</v>
      </c>
      <c r="B86" s="1075" t="s">
        <v>684</v>
      </c>
      <c r="C86" s="894">
        <f t="shared" si="11"/>
        <v>36116.5</v>
      </c>
      <c r="D86" s="1249">
        <f>8487.1+25462.18</f>
        <v>33949.300000000003</v>
      </c>
      <c r="E86" s="1249">
        <f>541.8+1625.38</f>
        <v>2167.1999999999998</v>
      </c>
      <c r="F86" s="1348">
        <f t="shared" si="12"/>
        <v>36116.5</v>
      </c>
      <c r="G86" s="879">
        <f>D86</f>
        <v>33949.300000000003</v>
      </c>
      <c r="H86" s="879">
        <f>E86</f>
        <v>2167.1999999999998</v>
      </c>
      <c r="I86" s="1341">
        <f t="shared" si="13"/>
        <v>777</v>
      </c>
      <c r="J86" s="1341">
        <v>730.4</v>
      </c>
      <c r="K86" s="1341">
        <v>46.6</v>
      </c>
      <c r="L86" s="877">
        <f t="shared" si="10"/>
        <v>2.2000000000000002</v>
      </c>
      <c r="M86" s="877">
        <f t="shared" si="10"/>
        <v>2.2000000000000002</v>
      </c>
      <c r="N86" s="877">
        <f t="shared" si="10"/>
        <v>2.2000000000000002</v>
      </c>
      <c r="O86" s="1214" t="s">
        <v>1149</v>
      </c>
      <c r="P86" s="1214" t="s">
        <v>1150</v>
      </c>
      <c r="Q86" s="1065">
        <f t="shared" si="17"/>
        <v>0</v>
      </c>
      <c r="R86" s="1065">
        <f t="shared" si="17"/>
        <v>0</v>
      </c>
      <c r="S86" s="1065">
        <f t="shared" si="17"/>
        <v>0</v>
      </c>
      <c r="T86" s="1099" t="s">
        <v>886</v>
      </c>
      <c r="U86" s="1100" t="s">
        <v>996</v>
      </c>
      <c r="V86" s="1099">
        <v>522</v>
      </c>
      <c r="W86" s="1099" t="s">
        <v>890</v>
      </c>
      <c r="Z86" s="1311">
        <f t="shared" si="14"/>
        <v>0</v>
      </c>
      <c r="AA86" s="1374">
        <f t="shared" si="16"/>
        <v>0</v>
      </c>
      <c r="AB86" s="1374">
        <f t="shared" si="15"/>
        <v>0</v>
      </c>
    </row>
    <row r="87" spans="1:28" s="914" customFormat="1" ht="135" customHeight="1">
      <c r="A87" s="1047" t="s">
        <v>2</v>
      </c>
      <c r="B87" s="1275" t="s">
        <v>313</v>
      </c>
      <c r="C87" s="1047">
        <f t="shared" si="11"/>
        <v>3583404</v>
      </c>
      <c r="D87" s="1047">
        <f>D88</f>
        <v>2888474.5</v>
      </c>
      <c r="E87" s="1047">
        <f>E88</f>
        <v>694929.5</v>
      </c>
      <c r="F87" s="1047">
        <f t="shared" si="12"/>
        <v>3571103.7</v>
      </c>
      <c r="G87" s="1047">
        <f>G88</f>
        <v>2876174.2</v>
      </c>
      <c r="H87" s="1047">
        <f>H88</f>
        <v>694929.5</v>
      </c>
      <c r="I87" s="1047">
        <f t="shared" si="13"/>
        <v>469827.5</v>
      </c>
      <c r="J87" s="1047">
        <f>J88</f>
        <v>359030</v>
      </c>
      <c r="K87" s="1047">
        <f>K88</f>
        <v>110797.5</v>
      </c>
      <c r="L87" s="1048">
        <f t="shared" si="10"/>
        <v>13.2</v>
      </c>
      <c r="M87" s="1049">
        <f t="shared" si="10"/>
        <v>12.5</v>
      </c>
      <c r="N87" s="1049">
        <f t="shared" si="10"/>
        <v>15.9</v>
      </c>
      <c r="O87" s="1227" t="s">
        <v>353</v>
      </c>
      <c r="P87" s="1227" t="s">
        <v>353</v>
      </c>
      <c r="Q87" s="1065">
        <f t="shared" si="17"/>
        <v>12300.3</v>
      </c>
      <c r="R87" s="1065">
        <f t="shared" si="17"/>
        <v>12300.3</v>
      </c>
      <c r="S87" s="1065">
        <f t="shared" si="17"/>
        <v>0</v>
      </c>
      <c r="T87" s="1099"/>
      <c r="U87" s="1100"/>
      <c r="V87" s="1099"/>
      <c r="W87" s="1099"/>
      <c r="X87" s="1216"/>
      <c r="Z87" s="1311">
        <f t="shared" si="14"/>
        <v>12300.3</v>
      </c>
      <c r="AA87" s="1374">
        <f t="shared" si="16"/>
        <v>12300.3</v>
      </c>
      <c r="AB87" s="1374">
        <f t="shared" si="15"/>
        <v>0</v>
      </c>
    </row>
    <row r="88" spans="1:28" s="914" customFormat="1" ht="63.75" customHeight="1">
      <c r="A88" s="933" t="s">
        <v>246</v>
      </c>
      <c r="B88" s="1276" t="s">
        <v>41</v>
      </c>
      <c r="C88" s="933">
        <f t="shared" si="11"/>
        <v>3583404</v>
      </c>
      <c r="D88" s="933">
        <f>SUM(D89:D144)</f>
        <v>2888474.5</v>
      </c>
      <c r="E88" s="933">
        <f>SUM(E89:E144)</f>
        <v>694929.5</v>
      </c>
      <c r="F88" s="933">
        <f>SUM(G88:H88)</f>
        <v>3571103.7</v>
      </c>
      <c r="G88" s="934">
        <f>SUM(G89:G144)</f>
        <v>2876174.2</v>
      </c>
      <c r="H88" s="934">
        <f>SUM(H89:H144)</f>
        <v>694929.5</v>
      </c>
      <c r="I88" s="933">
        <f t="shared" si="13"/>
        <v>469827.5</v>
      </c>
      <c r="J88" s="933">
        <f>SUM(J89:J144)</f>
        <v>359030</v>
      </c>
      <c r="K88" s="933">
        <f>SUM(K89:K144)</f>
        <v>110797.5</v>
      </c>
      <c r="L88" s="935">
        <f t="shared" si="10"/>
        <v>13.2</v>
      </c>
      <c r="M88" s="936">
        <f t="shared" si="10"/>
        <v>12.5</v>
      </c>
      <c r="N88" s="936">
        <f t="shared" si="10"/>
        <v>15.9</v>
      </c>
      <c r="O88" s="1226" t="s">
        <v>353</v>
      </c>
      <c r="P88" s="1226" t="s">
        <v>353</v>
      </c>
      <c r="Q88" s="1065">
        <f t="shared" si="17"/>
        <v>12300.3</v>
      </c>
      <c r="R88" s="1065">
        <f t="shared" si="17"/>
        <v>12300.3</v>
      </c>
      <c r="S88" s="1065">
        <f t="shared" si="17"/>
        <v>0</v>
      </c>
      <c r="T88" s="1099"/>
      <c r="U88" s="1100"/>
      <c r="V88" s="1099"/>
      <c r="W88" s="1099"/>
      <c r="X88" s="1216"/>
      <c r="Z88" s="1311">
        <f t="shared" si="14"/>
        <v>12300.3</v>
      </c>
      <c r="AA88" s="1374">
        <f t="shared" si="16"/>
        <v>12300.3</v>
      </c>
      <c r="AB88" s="1374">
        <f t="shared" si="15"/>
        <v>0</v>
      </c>
    </row>
    <row r="89" spans="1:28" s="892" customFormat="1" ht="111" customHeight="1">
      <c r="A89" s="1120" t="s">
        <v>824</v>
      </c>
      <c r="B89" s="1066" t="s">
        <v>434</v>
      </c>
      <c r="C89" s="871">
        <f>SUM(D89:E89)</f>
        <v>109862.6</v>
      </c>
      <c r="D89" s="873">
        <v>105115.4</v>
      </c>
      <c r="E89" s="873">
        <v>4747.2</v>
      </c>
      <c r="F89" s="1350">
        <f t="shared" si="12"/>
        <v>109862.6</v>
      </c>
      <c r="G89" s="877">
        <f>105115.4</f>
        <v>105115.4</v>
      </c>
      <c r="H89" s="877">
        <v>4747.2</v>
      </c>
      <c r="I89" s="1338">
        <f t="shared" si="13"/>
        <v>4747.1000000000004</v>
      </c>
      <c r="J89" s="1339">
        <v>0</v>
      </c>
      <c r="K89" s="1339">
        <f>4747.1</f>
        <v>4747.1000000000004</v>
      </c>
      <c r="L89" s="876">
        <f t="shared" si="10"/>
        <v>4.3</v>
      </c>
      <c r="M89" s="877">
        <f t="shared" si="10"/>
        <v>0</v>
      </c>
      <c r="N89" s="877">
        <f t="shared" si="10"/>
        <v>100</v>
      </c>
      <c r="O89" s="1214" t="s">
        <v>353</v>
      </c>
      <c r="P89" s="1214" t="s">
        <v>1099</v>
      </c>
      <c r="Q89" s="1065">
        <f t="shared" si="17"/>
        <v>0</v>
      </c>
      <c r="R89" s="1065">
        <f t="shared" si="17"/>
        <v>0</v>
      </c>
      <c r="S89" s="1065">
        <f t="shared" si="17"/>
        <v>0</v>
      </c>
      <c r="T89" s="1099" t="s">
        <v>880</v>
      </c>
      <c r="U89" s="1100" t="s">
        <v>881</v>
      </c>
      <c r="V89" s="1099" t="s">
        <v>882</v>
      </c>
      <c r="W89" s="1099"/>
      <c r="X89" s="1216"/>
      <c r="Z89" s="1311">
        <f t="shared" si="14"/>
        <v>0</v>
      </c>
      <c r="AA89" s="1374">
        <f t="shared" si="16"/>
        <v>0</v>
      </c>
      <c r="AB89" s="1374">
        <f t="shared" si="15"/>
        <v>0</v>
      </c>
    </row>
    <row r="90" spans="1:28" ht="104.25" customHeight="1">
      <c r="A90" s="1335" t="s">
        <v>545</v>
      </c>
      <c r="B90" s="973" t="s">
        <v>793</v>
      </c>
      <c r="C90" s="871">
        <f t="shared" si="11"/>
        <v>5176.2</v>
      </c>
      <c r="D90" s="972">
        <v>0</v>
      </c>
      <c r="E90" s="972">
        <v>5176.2</v>
      </c>
      <c r="F90" s="1347">
        <f>SUM(G90:H90)</f>
        <v>5176.2</v>
      </c>
      <c r="G90" s="879">
        <v>0</v>
      </c>
      <c r="H90" s="879">
        <v>5176.2</v>
      </c>
      <c r="I90" s="1340">
        <f t="shared" si="13"/>
        <v>0</v>
      </c>
      <c r="J90" s="1341">
        <v>0</v>
      </c>
      <c r="K90" s="1341">
        <v>0</v>
      </c>
      <c r="L90" s="876">
        <v>0</v>
      </c>
      <c r="M90" s="877">
        <f t="shared" ref="M90:N98" si="18">IF(J90=0,0,J90/G90*100)</f>
        <v>0</v>
      </c>
      <c r="N90" s="877">
        <f t="shared" si="18"/>
        <v>0</v>
      </c>
      <c r="O90" s="1214" t="s">
        <v>1192</v>
      </c>
      <c r="P90" s="1214" t="s">
        <v>1151</v>
      </c>
      <c r="Q90" s="1065">
        <f t="shared" si="17"/>
        <v>0</v>
      </c>
      <c r="R90" s="1065">
        <f t="shared" si="17"/>
        <v>0</v>
      </c>
      <c r="S90" s="1065">
        <f t="shared" si="17"/>
        <v>0</v>
      </c>
      <c r="T90" s="1099" t="s">
        <v>886</v>
      </c>
      <c r="U90" s="1100" t="s">
        <v>895</v>
      </c>
      <c r="V90" s="1099">
        <v>414</v>
      </c>
      <c r="W90" s="1099">
        <v>30131</v>
      </c>
      <c r="Z90" s="1311">
        <f t="shared" si="14"/>
        <v>0</v>
      </c>
      <c r="AA90" s="1374">
        <f t="shared" si="16"/>
        <v>0</v>
      </c>
      <c r="AB90" s="1374">
        <f t="shared" si="15"/>
        <v>0</v>
      </c>
    </row>
    <row r="91" spans="1:28" ht="65.25" customHeight="1">
      <c r="A91" s="1335" t="s">
        <v>557</v>
      </c>
      <c r="B91" s="973" t="s">
        <v>661</v>
      </c>
      <c r="C91" s="871">
        <f t="shared" si="11"/>
        <v>10224.4</v>
      </c>
      <c r="D91" s="972">
        <v>0</v>
      </c>
      <c r="E91" s="972">
        <v>10224.4</v>
      </c>
      <c r="F91" s="1347">
        <f t="shared" si="12"/>
        <v>10224.4</v>
      </c>
      <c r="G91" s="879">
        <v>0</v>
      </c>
      <c r="H91" s="879">
        <v>10224.4</v>
      </c>
      <c r="I91" s="1340">
        <f t="shared" si="13"/>
        <v>0</v>
      </c>
      <c r="J91" s="1341">
        <v>0</v>
      </c>
      <c r="K91" s="1341">
        <v>0</v>
      </c>
      <c r="L91" s="876">
        <v>0</v>
      </c>
      <c r="M91" s="877">
        <f t="shared" si="18"/>
        <v>0</v>
      </c>
      <c r="N91" s="877">
        <f t="shared" si="18"/>
        <v>0</v>
      </c>
      <c r="O91" s="1214" t="s">
        <v>1222</v>
      </c>
      <c r="P91" s="1214" t="s">
        <v>1152</v>
      </c>
      <c r="Q91" s="1065">
        <f t="shared" si="17"/>
        <v>0</v>
      </c>
      <c r="R91" s="1065">
        <f t="shared" si="17"/>
        <v>0</v>
      </c>
      <c r="S91" s="1065">
        <f t="shared" si="17"/>
        <v>0</v>
      </c>
      <c r="T91" s="1099" t="s">
        <v>886</v>
      </c>
      <c r="U91" s="1100" t="s">
        <v>887</v>
      </c>
      <c r="V91" s="1099">
        <v>414</v>
      </c>
      <c r="W91" s="1099">
        <v>14037</v>
      </c>
      <c r="Z91" s="1311">
        <f t="shared" si="14"/>
        <v>0</v>
      </c>
      <c r="AA91" s="1374">
        <f t="shared" si="16"/>
        <v>0</v>
      </c>
      <c r="AB91" s="1374">
        <f t="shared" si="15"/>
        <v>0</v>
      </c>
    </row>
    <row r="92" spans="1:28" ht="65.25" customHeight="1">
      <c r="A92" s="1335" t="s">
        <v>558</v>
      </c>
      <c r="B92" s="973" t="s">
        <v>662</v>
      </c>
      <c r="C92" s="871">
        <f t="shared" si="11"/>
        <v>2373</v>
      </c>
      <c r="D92" s="972">
        <v>0</v>
      </c>
      <c r="E92" s="972">
        <v>2373</v>
      </c>
      <c r="F92" s="1347">
        <f t="shared" si="12"/>
        <v>2373</v>
      </c>
      <c r="G92" s="879">
        <v>0</v>
      </c>
      <c r="H92" s="879">
        <v>2373</v>
      </c>
      <c r="I92" s="1340">
        <f t="shared" si="13"/>
        <v>0</v>
      </c>
      <c r="J92" s="1341">
        <v>0</v>
      </c>
      <c r="K92" s="1341">
        <v>0</v>
      </c>
      <c r="L92" s="876">
        <v>0</v>
      </c>
      <c r="M92" s="877">
        <f t="shared" si="18"/>
        <v>0</v>
      </c>
      <c r="N92" s="877">
        <f t="shared" si="18"/>
        <v>0</v>
      </c>
      <c r="O92" s="1214" t="s">
        <v>1224</v>
      </c>
      <c r="P92" s="1214" t="s">
        <v>1154</v>
      </c>
      <c r="Q92" s="1065">
        <f t="shared" si="17"/>
        <v>0</v>
      </c>
      <c r="R92" s="1065">
        <f t="shared" si="17"/>
        <v>0</v>
      </c>
      <c r="S92" s="1065">
        <f t="shared" si="17"/>
        <v>0</v>
      </c>
      <c r="T92" s="1099" t="s">
        <v>886</v>
      </c>
      <c r="U92" s="1100" t="s">
        <v>888</v>
      </c>
      <c r="V92" s="1099">
        <v>141</v>
      </c>
      <c r="W92" s="1099">
        <v>14038</v>
      </c>
      <c r="Z92" s="1311">
        <f t="shared" si="14"/>
        <v>0</v>
      </c>
      <c r="AA92" s="1374">
        <f t="shared" si="16"/>
        <v>0</v>
      </c>
      <c r="AB92" s="1374">
        <f t="shared" si="15"/>
        <v>0</v>
      </c>
    </row>
    <row r="93" spans="1:28" ht="103.5" customHeight="1">
      <c r="A93" s="1335" t="s">
        <v>559</v>
      </c>
      <c r="B93" s="973" t="s">
        <v>663</v>
      </c>
      <c r="C93" s="871">
        <f t="shared" si="11"/>
        <v>4074.6</v>
      </c>
      <c r="D93" s="972">
        <v>0</v>
      </c>
      <c r="E93" s="972">
        <v>4074.6</v>
      </c>
      <c r="F93" s="1347">
        <f t="shared" si="12"/>
        <v>4074.6</v>
      </c>
      <c r="G93" s="879">
        <v>0</v>
      </c>
      <c r="H93" s="879">
        <v>4074.6</v>
      </c>
      <c r="I93" s="1340">
        <f t="shared" si="13"/>
        <v>0</v>
      </c>
      <c r="J93" s="1341">
        <v>0</v>
      </c>
      <c r="K93" s="1341">
        <v>0</v>
      </c>
      <c r="L93" s="876">
        <v>0</v>
      </c>
      <c r="M93" s="877">
        <f t="shared" si="18"/>
        <v>0</v>
      </c>
      <c r="N93" s="877">
        <f t="shared" si="18"/>
        <v>0</v>
      </c>
      <c r="O93" s="1214" t="s">
        <v>1223</v>
      </c>
      <c r="P93" s="1214" t="s">
        <v>1153</v>
      </c>
      <c r="Q93" s="1065">
        <f t="shared" si="17"/>
        <v>0</v>
      </c>
      <c r="R93" s="1065">
        <f t="shared" si="17"/>
        <v>0</v>
      </c>
      <c r="S93" s="1065">
        <f t="shared" si="17"/>
        <v>0</v>
      </c>
      <c r="T93" s="1099" t="s">
        <v>886</v>
      </c>
      <c r="U93" s="1100" t="s">
        <v>888</v>
      </c>
      <c r="V93" s="1099">
        <v>414</v>
      </c>
      <c r="W93" s="1099">
        <v>14039</v>
      </c>
      <c r="Z93" s="1311">
        <f t="shared" si="14"/>
        <v>0</v>
      </c>
      <c r="AA93" s="1374">
        <f t="shared" si="16"/>
        <v>0</v>
      </c>
      <c r="AB93" s="1374">
        <f t="shared" si="15"/>
        <v>0</v>
      </c>
    </row>
    <row r="94" spans="1:28" ht="180" customHeight="1">
      <c r="A94" s="1335" t="s">
        <v>560</v>
      </c>
      <c r="B94" s="973" t="s">
        <v>805</v>
      </c>
      <c r="C94" s="871">
        <f t="shared" si="11"/>
        <v>10000</v>
      </c>
      <c r="D94" s="972">
        <v>0</v>
      </c>
      <c r="E94" s="972">
        <v>10000</v>
      </c>
      <c r="F94" s="1347">
        <f>SUM(G94:H94)</f>
        <v>10000</v>
      </c>
      <c r="G94" s="879">
        <v>0</v>
      </c>
      <c r="H94" s="879">
        <v>10000</v>
      </c>
      <c r="I94" s="1340">
        <f t="shared" si="13"/>
        <v>0</v>
      </c>
      <c r="J94" s="1341">
        <v>0</v>
      </c>
      <c r="K94" s="1341">
        <v>0</v>
      </c>
      <c r="L94" s="876">
        <v>0</v>
      </c>
      <c r="M94" s="877">
        <f t="shared" si="18"/>
        <v>0</v>
      </c>
      <c r="N94" s="877">
        <f t="shared" si="18"/>
        <v>0</v>
      </c>
      <c r="O94" s="1214" t="s">
        <v>1192</v>
      </c>
      <c r="P94" s="1214" t="s">
        <v>1155</v>
      </c>
      <c r="Q94" s="1065">
        <f t="shared" ref="Q94:S109" si="19">C94-F94</f>
        <v>0</v>
      </c>
      <c r="R94" s="1065">
        <f t="shared" si="19"/>
        <v>0</v>
      </c>
      <c r="S94" s="1065">
        <f t="shared" si="19"/>
        <v>0</v>
      </c>
      <c r="T94" s="1099" t="s">
        <v>866</v>
      </c>
      <c r="U94" s="1100" t="s">
        <v>883</v>
      </c>
      <c r="V94" s="1099">
        <v>414</v>
      </c>
      <c r="W94" s="1099">
        <v>14051</v>
      </c>
      <c r="Z94" s="1311">
        <f t="shared" si="14"/>
        <v>0</v>
      </c>
      <c r="AA94" s="1374">
        <f t="shared" si="16"/>
        <v>0</v>
      </c>
      <c r="AB94" s="1374">
        <f t="shared" si="15"/>
        <v>0</v>
      </c>
    </row>
    <row r="95" spans="1:28" ht="116.25">
      <c r="A95" s="1335" t="s">
        <v>561</v>
      </c>
      <c r="B95" s="973" t="s">
        <v>664</v>
      </c>
      <c r="C95" s="871">
        <f t="shared" si="11"/>
        <v>1519</v>
      </c>
      <c r="D95" s="972">
        <v>0</v>
      </c>
      <c r="E95" s="972">
        <v>1519</v>
      </c>
      <c r="F95" s="1347">
        <f t="shared" si="12"/>
        <v>1519</v>
      </c>
      <c r="G95" s="879">
        <v>0</v>
      </c>
      <c r="H95" s="879">
        <v>1519</v>
      </c>
      <c r="I95" s="1340">
        <f t="shared" si="13"/>
        <v>0</v>
      </c>
      <c r="J95" s="1341">
        <v>0</v>
      </c>
      <c r="K95" s="1341">
        <v>0</v>
      </c>
      <c r="L95" s="876">
        <v>0</v>
      </c>
      <c r="M95" s="877">
        <f t="shared" si="18"/>
        <v>0</v>
      </c>
      <c r="N95" s="877">
        <f t="shared" si="18"/>
        <v>0</v>
      </c>
      <c r="O95" s="1214" t="s">
        <v>1225</v>
      </c>
      <c r="P95" s="1214" t="s">
        <v>1156</v>
      </c>
      <c r="Q95" s="1065">
        <f t="shared" si="19"/>
        <v>0</v>
      </c>
      <c r="R95" s="1065">
        <f t="shared" si="19"/>
        <v>0</v>
      </c>
      <c r="S95" s="1065">
        <f t="shared" si="19"/>
        <v>0</v>
      </c>
      <c r="T95" s="1099" t="s">
        <v>886</v>
      </c>
      <c r="U95" s="1100" t="s">
        <v>892</v>
      </c>
      <c r="V95" s="1099">
        <v>414</v>
      </c>
      <c r="W95" s="1099">
        <v>14041</v>
      </c>
      <c r="Z95" s="1311">
        <f t="shared" si="14"/>
        <v>0</v>
      </c>
      <c r="AA95" s="1374">
        <f t="shared" si="16"/>
        <v>0</v>
      </c>
      <c r="AB95" s="1374">
        <f t="shared" si="15"/>
        <v>0</v>
      </c>
    </row>
    <row r="96" spans="1:28" ht="116.25">
      <c r="A96" s="1335" t="s">
        <v>563</v>
      </c>
      <c r="B96" s="973" t="s">
        <v>665</v>
      </c>
      <c r="C96" s="871">
        <f t="shared" si="11"/>
        <v>1519</v>
      </c>
      <c r="D96" s="972">
        <v>0</v>
      </c>
      <c r="E96" s="972">
        <v>1519</v>
      </c>
      <c r="F96" s="1347">
        <f t="shared" si="12"/>
        <v>1519</v>
      </c>
      <c r="G96" s="879">
        <v>0</v>
      </c>
      <c r="H96" s="879">
        <v>1519</v>
      </c>
      <c r="I96" s="1340">
        <f t="shared" si="13"/>
        <v>0</v>
      </c>
      <c r="J96" s="1341">
        <v>0</v>
      </c>
      <c r="K96" s="1341">
        <v>0</v>
      </c>
      <c r="L96" s="876">
        <v>0</v>
      </c>
      <c r="M96" s="877">
        <f t="shared" si="18"/>
        <v>0</v>
      </c>
      <c r="N96" s="877">
        <f t="shared" si="18"/>
        <v>0</v>
      </c>
      <c r="O96" s="1214" t="s">
        <v>1226</v>
      </c>
      <c r="P96" s="1214" t="s">
        <v>1156</v>
      </c>
      <c r="Q96" s="1065">
        <f t="shared" si="19"/>
        <v>0</v>
      </c>
      <c r="R96" s="1065">
        <f t="shared" si="19"/>
        <v>0</v>
      </c>
      <c r="S96" s="1065">
        <f t="shared" si="19"/>
        <v>0</v>
      </c>
      <c r="T96" s="1099" t="s">
        <v>886</v>
      </c>
      <c r="U96" s="1100" t="s">
        <v>892</v>
      </c>
      <c r="V96" s="1099">
        <v>414</v>
      </c>
      <c r="W96" s="1099">
        <v>14042</v>
      </c>
      <c r="Z96" s="1311">
        <f t="shared" si="14"/>
        <v>0</v>
      </c>
      <c r="AA96" s="1374">
        <f t="shared" si="16"/>
        <v>0</v>
      </c>
      <c r="AB96" s="1374">
        <f t="shared" si="15"/>
        <v>0</v>
      </c>
    </row>
    <row r="97" spans="1:28" ht="116.25">
      <c r="A97" s="1335" t="s">
        <v>573</v>
      </c>
      <c r="B97" s="973" t="s">
        <v>666</v>
      </c>
      <c r="C97" s="871">
        <f t="shared" si="11"/>
        <v>1400</v>
      </c>
      <c r="D97" s="972">
        <v>0</v>
      </c>
      <c r="E97" s="972">
        <v>1400</v>
      </c>
      <c r="F97" s="1347">
        <f t="shared" si="12"/>
        <v>1400</v>
      </c>
      <c r="G97" s="879">
        <v>0</v>
      </c>
      <c r="H97" s="879">
        <v>1400</v>
      </c>
      <c r="I97" s="1340">
        <f t="shared" si="13"/>
        <v>0</v>
      </c>
      <c r="J97" s="1341">
        <v>0</v>
      </c>
      <c r="K97" s="1341">
        <v>0</v>
      </c>
      <c r="L97" s="876">
        <v>0</v>
      </c>
      <c r="M97" s="877">
        <f t="shared" si="18"/>
        <v>0</v>
      </c>
      <c r="N97" s="877">
        <f t="shared" si="18"/>
        <v>0</v>
      </c>
      <c r="O97" s="1214" t="s">
        <v>1227</v>
      </c>
      <c r="P97" s="1214" t="s">
        <v>1157</v>
      </c>
      <c r="Q97" s="1065">
        <f t="shared" si="19"/>
        <v>0</v>
      </c>
      <c r="R97" s="1065">
        <f t="shared" si="19"/>
        <v>0</v>
      </c>
      <c r="S97" s="1065">
        <f t="shared" si="19"/>
        <v>0</v>
      </c>
      <c r="T97" s="1099" t="s">
        <v>886</v>
      </c>
      <c r="U97" s="1100" t="s">
        <v>892</v>
      </c>
      <c r="V97" s="1099">
        <v>414</v>
      </c>
      <c r="W97" s="1099">
        <v>14043</v>
      </c>
      <c r="Z97" s="1311">
        <f t="shared" si="14"/>
        <v>0</v>
      </c>
      <c r="AA97" s="1374">
        <f t="shared" si="16"/>
        <v>0</v>
      </c>
      <c r="AB97" s="1374">
        <f t="shared" si="15"/>
        <v>0</v>
      </c>
    </row>
    <row r="98" spans="1:28" ht="90.75" customHeight="1">
      <c r="A98" s="1335" t="s">
        <v>624</v>
      </c>
      <c r="B98" s="973" t="s">
        <v>1170</v>
      </c>
      <c r="C98" s="871">
        <f t="shared" si="11"/>
        <v>8293.2999999999993</v>
      </c>
      <c r="D98" s="972">
        <v>0</v>
      </c>
      <c r="E98" s="972">
        <f>20540.7-12247.4</f>
        <v>8293.2999999999993</v>
      </c>
      <c r="F98" s="1347">
        <f t="shared" si="12"/>
        <v>8293.2999999999993</v>
      </c>
      <c r="G98" s="879">
        <v>0</v>
      </c>
      <c r="H98" s="879">
        <f>E98</f>
        <v>8293.2999999999993</v>
      </c>
      <c r="I98" s="1340">
        <f t="shared" si="13"/>
        <v>0</v>
      </c>
      <c r="J98" s="1341">
        <v>0</v>
      </c>
      <c r="K98" s="1341">
        <v>0</v>
      </c>
      <c r="L98" s="876">
        <v>0</v>
      </c>
      <c r="M98" s="877">
        <f t="shared" si="18"/>
        <v>0</v>
      </c>
      <c r="N98" s="877">
        <f t="shared" si="18"/>
        <v>0</v>
      </c>
      <c r="O98" s="1214" t="s">
        <v>1192</v>
      </c>
      <c r="P98" s="1214" t="s">
        <v>1158</v>
      </c>
      <c r="Q98" s="1065">
        <f t="shared" si="19"/>
        <v>0</v>
      </c>
      <c r="R98" s="1065">
        <f t="shared" si="19"/>
        <v>0</v>
      </c>
      <c r="S98" s="1065">
        <f t="shared" si="19"/>
        <v>0</v>
      </c>
      <c r="T98" s="1099" t="s">
        <v>886</v>
      </c>
      <c r="U98" s="1100" t="s">
        <v>893</v>
      </c>
      <c r="V98" s="1099">
        <v>414</v>
      </c>
      <c r="W98" s="1099">
        <v>14044</v>
      </c>
      <c r="Z98" s="1311">
        <f t="shared" si="14"/>
        <v>0</v>
      </c>
      <c r="AA98" s="1374">
        <f t="shared" si="16"/>
        <v>0</v>
      </c>
      <c r="AB98" s="1374">
        <f t="shared" si="15"/>
        <v>0</v>
      </c>
    </row>
    <row r="99" spans="1:28" ht="63" customHeight="1">
      <c r="A99" s="1335" t="s">
        <v>105</v>
      </c>
      <c r="B99" s="1075" t="s">
        <v>771</v>
      </c>
      <c r="C99" s="871">
        <f t="shared" si="11"/>
        <v>319980.59999999998</v>
      </c>
      <c r="D99" s="972">
        <f>319980.6*0.90202494621</f>
        <v>288630.5</v>
      </c>
      <c r="E99" s="972">
        <f>319980.6*(1-0.90202494621)</f>
        <v>31350.1</v>
      </c>
      <c r="F99" s="1347">
        <f t="shared" si="12"/>
        <v>319980.59999999998</v>
      </c>
      <c r="G99" s="879">
        <f>319980.6*0.90202494621</f>
        <v>288630.5</v>
      </c>
      <c r="H99" s="879">
        <f>319980.6*(1-0.90202494621)</f>
        <v>31350.1</v>
      </c>
      <c r="I99" s="2450">
        <f t="shared" si="13"/>
        <v>0</v>
      </c>
      <c r="J99" s="2440">
        <v>0</v>
      </c>
      <c r="K99" s="2440">
        <v>0</v>
      </c>
      <c r="L99" s="2433">
        <f>IF(I99=0,0,I99/F99:F100*_G101100)</f>
        <v>0</v>
      </c>
      <c r="M99" s="2429">
        <f>IF(J99=0,0,J99/G99:G100*100)</f>
        <v>0</v>
      </c>
      <c r="N99" s="2429">
        <f>IF(K99=0,0,K99/H99:H100*100)</f>
        <v>0</v>
      </c>
      <c r="O99" s="1214" t="s">
        <v>1192</v>
      </c>
      <c r="P99" s="1213" t="s">
        <v>1159</v>
      </c>
      <c r="Q99" s="1065">
        <f t="shared" si="19"/>
        <v>0</v>
      </c>
      <c r="R99" s="1065">
        <f t="shared" si="19"/>
        <v>0</v>
      </c>
      <c r="S99" s="1065">
        <f t="shared" si="19"/>
        <v>0</v>
      </c>
      <c r="T99" s="2409" t="s">
        <v>926</v>
      </c>
      <c r="U99" s="2445" t="s">
        <v>927</v>
      </c>
      <c r="V99" s="2409">
        <v>414</v>
      </c>
      <c r="W99" s="2409"/>
      <c r="X99" s="2471"/>
      <c r="Z99" s="1311">
        <f t="shared" si="14"/>
        <v>0</v>
      </c>
      <c r="AA99" s="1374">
        <f t="shared" si="16"/>
        <v>0</v>
      </c>
      <c r="AB99" s="1374">
        <f t="shared" si="15"/>
        <v>0</v>
      </c>
    </row>
    <row r="100" spans="1:28" ht="121.5" customHeight="1">
      <c r="A100" s="1335" t="s">
        <v>1023</v>
      </c>
      <c r="B100" s="1075" t="s">
        <v>772</v>
      </c>
      <c r="C100" s="871">
        <f t="shared" si="11"/>
        <v>359978.2</v>
      </c>
      <c r="D100" s="972">
        <f>359978.2*0.90202494621</f>
        <v>324709.3</v>
      </c>
      <c r="E100" s="972">
        <f>359978.2*(1-0.90202494621)</f>
        <v>35268.9</v>
      </c>
      <c r="F100" s="1347">
        <f t="shared" si="12"/>
        <v>359978.2</v>
      </c>
      <c r="G100" s="879">
        <f>359978.2*0.90202494621</f>
        <v>324709.3</v>
      </c>
      <c r="H100" s="879">
        <f>359978.2*(1-0.90202494621)</f>
        <v>35268.9</v>
      </c>
      <c r="I100" s="2451"/>
      <c r="J100" s="2441"/>
      <c r="K100" s="2441"/>
      <c r="L100" s="2434"/>
      <c r="M100" s="2430"/>
      <c r="N100" s="2430"/>
      <c r="O100" s="1214" t="s">
        <v>1192</v>
      </c>
      <c r="P100" s="1213" t="s">
        <v>1160</v>
      </c>
      <c r="Q100" s="1065">
        <f t="shared" si="19"/>
        <v>0</v>
      </c>
      <c r="R100" s="1065">
        <f t="shared" si="19"/>
        <v>0</v>
      </c>
      <c r="S100" s="1065">
        <f t="shared" si="19"/>
        <v>0</v>
      </c>
      <c r="T100" s="2409"/>
      <c r="U100" s="2445"/>
      <c r="V100" s="2409"/>
      <c r="W100" s="2409"/>
      <c r="X100" s="2471"/>
      <c r="Z100" s="1311">
        <f t="shared" si="14"/>
        <v>0</v>
      </c>
      <c r="AA100" s="1374">
        <f t="shared" si="16"/>
        <v>0</v>
      </c>
      <c r="AB100" s="1374">
        <f t="shared" si="15"/>
        <v>0</v>
      </c>
    </row>
    <row r="101" spans="1:28" ht="66.75" customHeight="1">
      <c r="A101" s="1335" t="s">
        <v>625</v>
      </c>
      <c r="B101" s="1334" t="s">
        <v>460</v>
      </c>
      <c r="C101" s="871">
        <f t="shared" si="11"/>
        <v>65926.600000000006</v>
      </c>
      <c r="D101" s="972">
        <f>20123.6+12300.3</f>
        <v>32423.9</v>
      </c>
      <c r="E101" s="972">
        <f>21202.4+12300.3</f>
        <v>33502.699999999997</v>
      </c>
      <c r="F101" s="1347">
        <f t="shared" si="12"/>
        <v>53626.3</v>
      </c>
      <c r="G101" s="879">
        <f>32423.9-12300.3</f>
        <v>20123.599999999999</v>
      </c>
      <c r="H101" s="879">
        <f>E101</f>
        <v>33502.699999999997</v>
      </c>
      <c r="I101" s="1340">
        <f t="shared" si="13"/>
        <v>15617.5</v>
      </c>
      <c r="J101" s="1341">
        <v>5860.6</v>
      </c>
      <c r="K101" s="1341">
        <v>9756.9</v>
      </c>
      <c r="L101" s="876">
        <f t="shared" ref="L101:N116" si="20">IF(I101=0,0,I101/F101*100)</f>
        <v>29.1</v>
      </c>
      <c r="M101" s="877">
        <f t="shared" si="20"/>
        <v>29.1</v>
      </c>
      <c r="N101" s="877">
        <f t="shared" si="20"/>
        <v>29.1</v>
      </c>
      <c r="O101" s="1214" t="s">
        <v>1228</v>
      </c>
      <c r="P101" s="1214" t="s">
        <v>1161</v>
      </c>
      <c r="Q101" s="1065">
        <f t="shared" si="19"/>
        <v>12300.3</v>
      </c>
      <c r="R101" s="1065">
        <f t="shared" si="19"/>
        <v>12300.3</v>
      </c>
      <c r="S101" s="1065">
        <f t="shared" si="19"/>
        <v>0</v>
      </c>
      <c r="T101" s="1099" t="s">
        <v>954</v>
      </c>
      <c r="V101" s="1099" t="s">
        <v>959</v>
      </c>
      <c r="W101" s="1099" t="s">
        <v>960</v>
      </c>
      <c r="Z101" s="1311">
        <f t="shared" si="14"/>
        <v>12300.3</v>
      </c>
      <c r="AA101" s="1374">
        <f t="shared" si="16"/>
        <v>12300.3</v>
      </c>
      <c r="AB101" s="1374">
        <f t="shared" si="15"/>
        <v>0</v>
      </c>
    </row>
    <row r="102" spans="1:28" ht="80.25" customHeight="1">
      <c r="A102" s="2404" t="s">
        <v>626</v>
      </c>
      <c r="B102" s="975" t="s">
        <v>645</v>
      </c>
      <c r="C102" s="871">
        <f t="shared" si="11"/>
        <v>1929.7</v>
      </c>
      <c r="D102" s="1249">
        <v>0</v>
      </c>
      <c r="E102" s="1249">
        <v>1929.7</v>
      </c>
      <c r="F102" s="1347">
        <f t="shared" si="12"/>
        <v>1929.7</v>
      </c>
      <c r="G102" s="1337">
        <v>0</v>
      </c>
      <c r="H102" s="1337">
        <v>1929.7</v>
      </c>
      <c r="I102" s="1340">
        <f t="shared" si="13"/>
        <v>1240.5</v>
      </c>
      <c r="J102" s="1337">
        <v>0</v>
      </c>
      <c r="K102" s="1337">
        <v>1240.5</v>
      </c>
      <c r="L102" s="876">
        <f t="shared" si="20"/>
        <v>64.3</v>
      </c>
      <c r="M102" s="877">
        <f t="shared" si="20"/>
        <v>0</v>
      </c>
      <c r="N102" s="877">
        <f t="shared" si="20"/>
        <v>64.3</v>
      </c>
      <c r="O102" s="1214" t="s">
        <v>1229</v>
      </c>
      <c r="P102" s="1214" t="s">
        <v>1162</v>
      </c>
      <c r="Q102" s="1065">
        <f t="shared" si="19"/>
        <v>0</v>
      </c>
      <c r="R102" s="1065">
        <f t="shared" si="19"/>
        <v>0</v>
      </c>
      <c r="S102" s="1065">
        <f t="shared" si="19"/>
        <v>0</v>
      </c>
      <c r="T102" s="1099" t="s">
        <v>867</v>
      </c>
      <c r="U102" s="1100">
        <v>1550190400</v>
      </c>
      <c r="V102" s="1099">
        <v>414</v>
      </c>
      <c r="W102" s="1099">
        <v>14024</v>
      </c>
      <c r="Z102" s="1311">
        <f t="shared" si="14"/>
        <v>0</v>
      </c>
      <c r="AA102" s="1374">
        <f t="shared" si="16"/>
        <v>0</v>
      </c>
      <c r="AB102" s="1374">
        <f t="shared" si="15"/>
        <v>0</v>
      </c>
    </row>
    <row r="103" spans="1:28" ht="78.75">
      <c r="A103" s="2405"/>
      <c r="B103" s="975" t="s">
        <v>707</v>
      </c>
      <c r="C103" s="871">
        <f t="shared" si="11"/>
        <v>30000</v>
      </c>
      <c r="D103" s="1249">
        <v>0</v>
      </c>
      <c r="E103" s="1249">
        <v>30000</v>
      </c>
      <c r="F103" s="1347">
        <f t="shared" si="12"/>
        <v>30000</v>
      </c>
      <c r="G103" s="1337">
        <v>0</v>
      </c>
      <c r="H103" s="1337">
        <v>30000</v>
      </c>
      <c r="I103" s="1340">
        <f t="shared" si="13"/>
        <v>0</v>
      </c>
      <c r="J103" s="1337">
        <v>0</v>
      </c>
      <c r="K103" s="1337">
        <v>0</v>
      </c>
      <c r="L103" s="876">
        <f t="shared" si="20"/>
        <v>0</v>
      </c>
      <c r="M103" s="877">
        <f t="shared" si="20"/>
        <v>0</v>
      </c>
      <c r="N103" s="877">
        <f t="shared" si="20"/>
        <v>0</v>
      </c>
      <c r="O103" s="1214" t="s">
        <v>1192</v>
      </c>
      <c r="P103" s="1214" t="s">
        <v>1163</v>
      </c>
      <c r="Q103" s="1065">
        <f t="shared" si="19"/>
        <v>0</v>
      </c>
      <c r="R103" s="1065">
        <f t="shared" si="19"/>
        <v>0</v>
      </c>
      <c r="S103" s="1065">
        <f t="shared" si="19"/>
        <v>0</v>
      </c>
      <c r="T103" s="1099" t="s">
        <v>868</v>
      </c>
      <c r="U103" s="1100">
        <v>1550190400</v>
      </c>
      <c r="V103" s="1099">
        <v>414</v>
      </c>
      <c r="W103" s="1099">
        <v>10120</v>
      </c>
      <c r="Z103" s="1311">
        <f t="shared" si="14"/>
        <v>0</v>
      </c>
      <c r="AA103" s="1374">
        <f t="shared" si="16"/>
        <v>0</v>
      </c>
      <c r="AB103" s="1374">
        <f t="shared" si="15"/>
        <v>0</v>
      </c>
    </row>
    <row r="104" spans="1:28" s="838" customFormat="1" ht="107.25" customHeight="1">
      <c r="A104" s="1335" t="s">
        <v>627</v>
      </c>
      <c r="B104" s="976" t="s">
        <v>839</v>
      </c>
      <c r="C104" s="871">
        <f t="shared" si="11"/>
        <v>2714.8</v>
      </c>
      <c r="D104" s="972">
        <v>0</v>
      </c>
      <c r="E104" s="972">
        <v>2714.8</v>
      </c>
      <c r="F104" s="1347">
        <f t="shared" si="12"/>
        <v>2714.8</v>
      </c>
      <c r="G104" s="879">
        <v>0</v>
      </c>
      <c r="H104" s="879">
        <v>2714.8</v>
      </c>
      <c r="I104" s="1340">
        <f t="shared" si="13"/>
        <v>0</v>
      </c>
      <c r="J104" s="1341">
        <v>0</v>
      </c>
      <c r="K104" s="970">
        <v>0</v>
      </c>
      <c r="L104" s="876">
        <f t="shared" si="20"/>
        <v>0</v>
      </c>
      <c r="M104" s="877">
        <f t="shared" si="20"/>
        <v>0</v>
      </c>
      <c r="N104" s="877">
        <f t="shared" si="20"/>
        <v>0</v>
      </c>
      <c r="O104" s="1214" t="s">
        <v>1230</v>
      </c>
      <c r="P104" s="1214" t="s">
        <v>1164</v>
      </c>
      <c r="Q104" s="1065">
        <f t="shared" si="19"/>
        <v>0</v>
      </c>
      <c r="R104" s="1065">
        <f t="shared" si="19"/>
        <v>0</v>
      </c>
      <c r="S104" s="1065">
        <f t="shared" si="19"/>
        <v>0</v>
      </c>
      <c r="T104" s="1121" t="s">
        <v>886</v>
      </c>
      <c r="U104" s="1122" t="s">
        <v>894</v>
      </c>
      <c r="V104" s="1121">
        <v>414</v>
      </c>
      <c r="W104" s="1121">
        <v>14031</v>
      </c>
      <c r="X104" s="1219"/>
      <c r="Z104" s="1311">
        <f t="shared" si="14"/>
        <v>0</v>
      </c>
      <c r="AA104" s="1374">
        <f t="shared" si="16"/>
        <v>0</v>
      </c>
      <c r="AB104" s="1374">
        <f t="shared" si="15"/>
        <v>0</v>
      </c>
    </row>
    <row r="105" spans="1:28" ht="95.25" customHeight="1">
      <c r="A105" s="1335" t="s">
        <v>628</v>
      </c>
      <c r="B105" s="976" t="s">
        <v>1072</v>
      </c>
      <c r="C105" s="871">
        <f t="shared" si="11"/>
        <v>2100</v>
      </c>
      <c r="D105" s="972">
        <v>0</v>
      </c>
      <c r="E105" s="972">
        <v>2100</v>
      </c>
      <c r="F105" s="1347">
        <f t="shared" si="12"/>
        <v>2100</v>
      </c>
      <c r="G105" s="879">
        <v>0</v>
      </c>
      <c r="H105" s="879">
        <v>2100</v>
      </c>
      <c r="I105" s="1340">
        <f t="shared" si="13"/>
        <v>0</v>
      </c>
      <c r="J105" s="1341">
        <v>0</v>
      </c>
      <c r="K105" s="970">
        <v>0</v>
      </c>
      <c r="L105" s="876">
        <f t="shared" si="20"/>
        <v>0</v>
      </c>
      <c r="M105" s="877">
        <f t="shared" si="20"/>
        <v>0</v>
      </c>
      <c r="N105" s="877">
        <f t="shared" si="20"/>
        <v>0</v>
      </c>
      <c r="O105" s="1214" t="s">
        <v>1231</v>
      </c>
      <c r="P105" s="1214" t="s">
        <v>1165</v>
      </c>
      <c r="Q105" s="1065">
        <f t="shared" si="19"/>
        <v>0</v>
      </c>
      <c r="R105" s="1065">
        <f t="shared" si="19"/>
        <v>0</v>
      </c>
      <c r="S105" s="1065">
        <f t="shared" si="19"/>
        <v>0</v>
      </c>
      <c r="T105" s="1099" t="s">
        <v>886</v>
      </c>
      <c r="U105" s="1100">
        <v>1900290400</v>
      </c>
      <c r="V105" s="1099">
        <v>414</v>
      </c>
      <c r="W105" s="1099">
        <v>14020</v>
      </c>
      <c r="Z105" s="1311">
        <f t="shared" si="14"/>
        <v>0</v>
      </c>
      <c r="AA105" s="1374">
        <f t="shared" si="16"/>
        <v>0</v>
      </c>
      <c r="AB105" s="1374">
        <f t="shared" si="15"/>
        <v>0</v>
      </c>
    </row>
    <row r="106" spans="1:28" ht="66.75" customHeight="1">
      <c r="A106" s="1335" t="s">
        <v>629</v>
      </c>
      <c r="B106" s="900" t="s">
        <v>641</v>
      </c>
      <c r="C106" s="871">
        <f t="shared" si="11"/>
        <v>8850</v>
      </c>
      <c r="D106" s="972">
        <v>0</v>
      </c>
      <c r="E106" s="972">
        <v>8850</v>
      </c>
      <c r="F106" s="1347">
        <f t="shared" si="12"/>
        <v>8850</v>
      </c>
      <c r="G106" s="879">
        <v>0</v>
      </c>
      <c r="H106" s="879">
        <v>8850</v>
      </c>
      <c r="I106" s="1340">
        <f t="shared" si="13"/>
        <v>0</v>
      </c>
      <c r="J106" s="1341">
        <v>0</v>
      </c>
      <c r="K106" s="1341">
        <v>0</v>
      </c>
      <c r="L106" s="876">
        <f t="shared" si="20"/>
        <v>0</v>
      </c>
      <c r="M106" s="877">
        <f t="shared" si="20"/>
        <v>0</v>
      </c>
      <c r="N106" s="877">
        <f t="shared" si="20"/>
        <v>0</v>
      </c>
      <c r="O106" s="1330" t="s">
        <v>1232</v>
      </c>
      <c r="P106" s="1330" t="s">
        <v>1166</v>
      </c>
      <c r="Q106" s="1065">
        <f t="shared" si="19"/>
        <v>0</v>
      </c>
      <c r="R106" s="1065">
        <f t="shared" si="19"/>
        <v>0</v>
      </c>
      <c r="S106" s="1065">
        <f t="shared" si="19"/>
        <v>0</v>
      </c>
      <c r="T106" s="1099" t="s">
        <v>947</v>
      </c>
      <c r="U106" s="1100" t="s">
        <v>948</v>
      </c>
      <c r="V106" s="1099">
        <v>414</v>
      </c>
      <c r="W106" s="1099">
        <v>14016</v>
      </c>
      <c r="Z106" s="1311">
        <f t="shared" si="14"/>
        <v>0</v>
      </c>
      <c r="AA106" s="1374">
        <f t="shared" si="16"/>
        <v>0</v>
      </c>
      <c r="AB106" s="1374">
        <f t="shared" si="15"/>
        <v>0</v>
      </c>
    </row>
    <row r="107" spans="1:28" ht="79.5" customHeight="1">
      <c r="A107" s="1335" t="s">
        <v>630</v>
      </c>
      <c r="B107" s="976" t="s">
        <v>647</v>
      </c>
      <c r="C107" s="871">
        <f t="shared" si="11"/>
        <v>39000</v>
      </c>
      <c r="D107" s="972">
        <v>0</v>
      </c>
      <c r="E107" s="972">
        <v>39000</v>
      </c>
      <c r="F107" s="1347">
        <f t="shared" si="12"/>
        <v>39000</v>
      </c>
      <c r="G107" s="879">
        <v>0</v>
      </c>
      <c r="H107" s="879">
        <v>39000</v>
      </c>
      <c r="I107" s="1340">
        <f t="shared" si="13"/>
        <v>21450</v>
      </c>
      <c r="J107" s="1341">
        <v>0</v>
      </c>
      <c r="K107" s="970">
        <v>21450</v>
      </c>
      <c r="L107" s="876">
        <f t="shared" si="20"/>
        <v>55</v>
      </c>
      <c r="M107" s="877">
        <f t="shared" si="20"/>
        <v>0</v>
      </c>
      <c r="N107" s="877">
        <f t="shared" si="20"/>
        <v>55</v>
      </c>
      <c r="O107" s="1214" t="s">
        <v>1233</v>
      </c>
      <c r="P107" s="1214" t="s">
        <v>1167</v>
      </c>
      <c r="Q107" s="1065">
        <f t="shared" si="19"/>
        <v>0</v>
      </c>
      <c r="R107" s="1065">
        <f t="shared" si="19"/>
        <v>0</v>
      </c>
      <c r="S107" s="1065">
        <f t="shared" si="19"/>
        <v>0</v>
      </c>
      <c r="T107" s="1099" t="s">
        <v>936</v>
      </c>
      <c r="U107" s="1100" t="s">
        <v>944</v>
      </c>
      <c r="V107" s="1099">
        <v>414</v>
      </c>
      <c r="W107" s="1099">
        <v>14050</v>
      </c>
      <c r="Z107" s="1311">
        <f t="shared" si="14"/>
        <v>0</v>
      </c>
      <c r="AA107" s="1374">
        <f t="shared" si="16"/>
        <v>0</v>
      </c>
      <c r="AB107" s="1374">
        <f t="shared" si="15"/>
        <v>0</v>
      </c>
    </row>
    <row r="108" spans="1:28" ht="78.75">
      <c r="A108" s="1335" t="s">
        <v>732</v>
      </c>
      <c r="B108" s="976" t="s">
        <v>804</v>
      </c>
      <c r="C108" s="871">
        <f t="shared" si="11"/>
        <v>2244.9</v>
      </c>
      <c r="D108" s="972">
        <v>0</v>
      </c>
      <c r="E108" s="972">
        <v>2244.9</v>
      </c>
      <c r="F108" s="1347">
        <f t="shared" si="12"/>
        <v>2244.9</v>
      </c>
      <c r="G108" s="879">
        <v>0</v>
      </c>
      <c r="H108" s="879">
        <v>2244.9</v>
      </c>
      <c r="I108" s="1340">
        <f t="shared" si="13"/>
        <v>0</v>
      </c>
      <c r="J108" s="1341">
        <v>0</v>
      </c>
      <c r="K108" s="970">
        <v>0</v>
      </c>
      <c r="L108" s="876">
        <f t="shared" si="20"/>
        <v>0</v>
      </c>
      <c r="M108" s="877">
        <f t="shared" si="20"/>
        <v>0</v>
      </c>
      <c r="N108" s="877">
        <f t="shared" si="20"/>
        <v>0</v>
      </c>
      <c r="O108" s="1214" t="s">
        <v>1192</v>
      </c>
      <c r="P108" s="1214" t="s">
        <v>1193</v>
      </c>
      <c r="Q108" s="1065">
        <f t="shared" si="19"/>
        <v>0</v>
      </c>
      <c r="R108" s="1065">
        <f t="shared" si="19"/>
        <v>0</v>
      </c>
      <c r="S108" s="1065">
        <f t="shared" si="19"/>
        <v>0</v>
      </c>
      <c r="T108" s="1099" t="s">
        <v>945</v>
      </c>
      <c r="U108" s="1100" t="s">
        <v>937</v>
      </c>
      <c r="V108" s="1099">
        <v>414</v>
      </c>
      <c r="W108" s="1099">
        <v>14071</v>
      </c>
      <c r="Z108" s="1311">
        <f t="shared" si="14"/>
        <v>0</v>
      </c>
      <c r="AA108" s="1374">
        <f t="shared" si="16"/>
        <v>0</v>
      </c>
      <c r="AB108" s="1374">
        <f t="shared" si="15"/>
        <v>0</v>
      </c>
    </row>
    <row r="109" spans="1:28" ht="93">
      <c r="A109" s="1335" t="s">
        <v>733</v>
      </c>
      <c r="B109" s="900" t="s">
        <v>637</v>
      </c>
      <c r="C109" s="871">
        <f t="shared" si="11"/>
        <v>4496.8</v>
      </c>
      <c r="D109" s="972">
        <v>0</v>
      </c>
      <c r="E109" s="972">
        <v>4496.8</v>
      </c>
      <c r="F109" s="1347">
        <f t="shared" si="12"/>
        <v>4496.8</v>
      </c>
      <c r="G109" s="879">
        <v>0</v>
      </c>
      <c r="H109" s="879">
        <v>4496.8</v>
      </c>
      <c r="I109" s="1340">
        <f t="shared" si="13"/>
        <v>0</v>
      </c>
      <c r="J109" s="1341">
        <v>0</v>
      </c>
      <c r="K109" s="1341">
        <v>0</v>
      </c>
      <c r="L109" s="876">
        <f t="shared" si="20"/>
        <v>0</v>
      </c>
      <c r="M109" s="877">
        <f t="shared" si="20"/>
        <v>0</v>
      </c>
      <c r="N109" s="877">
        <f t="shared" si="20"/>
        <v>0</v>
      </c>
      <c r="O109" s="1214" t="s">
        <v>1234</v>
      </c>
      <c r="P109" s="1214" t="s">
        <v>1194</v>
      </c>
      <c r="Q109" s="1065">
        <f t="shared" si="19"/>
        <v>0</v>
      </c>
      <c r="R109" s="1065">
        <f t="shared" si="19"/>
        <v>0</v>
      </c>
      <c r="S109" s="1065">
        <f t="shared" si="19"/>
        <v>0</v>
      </c>
      <c r="T109" s="1099" t="s">
        <v>949</v>
      </c>
      <c r="U109" s="1100" t="s">
        <v>951</v>
      </c>
      <c r="V109" s="1099">
        <v>414</v>
      </c>
      <c r="W109" s="1099">
        <v>14057</v>
      </c>
      <c r="Z109" s="1311">
        <f t="shared" si="14"/>
        <v>0</v>
      </c>
      <c r="AA109" s="1374">
        <f t="shared" si="16"/>
        <v>0</v>
      </c>
      <c r="AB109" s="1374">
        <f t="shared" si="15"/>
        <v>0</v>
      </c>
    </row>
    <row r="110" spans="1:28" ht="63" customHeight="1">
      <c r="A110" s="1335" t="s">
        <v>781</v>
      </c>
      <c r="B110" s="901" t="s">
        <v>639</v>
      </c>
      <c r="C110" s="871">
        <f t="shared" si="11"/>
        <v>1946</v>
      </c>
      <c r="D110" s="972">
        <v>0</v>
      </c>
      <c r="E110" s="972">
        <v>1946</v>
      </c>
      <c r="F110" s="1347">
        <f t="shared" si="12"/>
        <v>1946</v>
      </c>
      <c r="G110" s="879">
        <v>0</v>
      </c>
      <c r="H110" s="879">
        <v>1946</v>
      </c>
      <c r="I110" s="1340">
        <f t="shared" si="13"/>
        <v>695</v>
      </c>
      <c r="J110" s="1341">
        <v>0</v>
      </c>
      <c r="K110" s="1341">
        <v>695</v>
      </c>
      <c r="L110" s="876">
        <f t="shared" si="20"/>
        <v>35.700000000000003</v>
      </c>
      <c r="M110" s="877">
        <f t="shared" si="20"/>
        <v>0</v>
      </c>
      <c r="N110" s="877">
        <f t="shared" si="20"/>
        <v>35.700000000000003</v>
      </c>
      <c r="O110" s="1214" t="s">
        <v>1235</v>
      </c>
      <c r="P110" s="1214" t="s">
        <v>1195</v>
      </c>
      <c r="Q110" s="1065">
        <f t="shared" ref="Q110:S123" si="21">C110-F110</f>
        <v>0</v>
      </c>
      <c r="R110" s="1065">
        <f t="shared" si="21"/>
        <v>0</v>
      </c>
      <c r="S110" s="1065">
        <f t="shared" si="21"/>
        <v>0</v>
      </c>
      <c r="T110" s="1099" t="s">
        <v>954</v>
      </c>
      <c r="U110" s="1100" t="s">
        <v>956</v>
      </c>
      <c r="V110" s="1099">
        <v>414</v>
      </c>
      <c r="W110" s="1099">
        <v>14015</v>
      </c>
      <c r="Z110" s="1311">
        <f t="shared" si="14"/>
        <v>0</v>
      </c>
      <c r="AA110" s="1374">
        <f t="shared" si="16"/>
        <v>0</v>
      </c>
      <c r="AB110" s="1374">
        <f t="shared" si="15"/>
        <v>0</v>
      </c>
    </row>
    <row r="111" spans="1:28" s="1216" customFormat="1" ht="63" customHeight="1">
      <c r="A111" s="1335" t="s">
        <v>631</v>
      </c>
      <c r="B111" s="900" t="s">
        <v>643</v>
      </c>
      <c r="C111" s="871">
        <f t="shared" si="11"/>
        <v>2752.8</v>
      </c>
      <c r="D111" s="972">
        <v>0</v>
      </c>
      <c r="E111" s="972">
        <v>2752.8</v>
      </c>
      <c r="F111" s="1347">
        <f t="shared" si="12"/>
        <v>2752.8</v>
      </c>
      <c r="G111" s="879">
        <v>0</v>
      </c>
      <c r="H111" s="879">
        <v>2752.8</v>
      </c>
      <c r="I111" s="1340">
        <f t="shared" si="13"/>
        <v>983.1</v>
      </c>
      <c r="J111" s="1341">
        <v>0</v>
      </c>
      <c r="K111" s="1341">
        <v>983.1</v>
      </c>
      <c r="L111" s="876">
        <f t="shared" si="20"/>
        <v>35.700000000000003</v>
      </c>
      <c r="M111" s="877">
        <f t="shared" si="20"/>
        <v>0</v>
      </c>
      <c r="N111" s="877">
        <f t="shared" si="20"/>
        <v>35.700000000000003</v>
      </c>
      <c r="O111" s="1214" t="s">
        <v>1236</v>
      </c>
      <c r="P111" s="1214" t="s">
        <v>1196</v>
      </c>
      <c r="Q111" s="1065">
        <f t="shared" si="21"/>
        <v>0</v>
      </c>
      <c r="R111" s="1065">
        <f t="shared" si="21"/>
        <v>0</v>
      </c>
      <c r="S111" s="1065">
        <f t="shared" si="21"/>
        <v>0</v>
      </c>
      <c r="T111" s="1099" t="s">
        <v>954</v>
      </c>
      <c r="U111" s="1100" t="s">
        <v>956</v>
      </c>
      <c r="V111" s="1099">
        <v>141</v>
      </c>
      <c r="W111" s="1099">
        <v>14018</v>
      </c>
      <c r="Z111" s="1311">
        <f t="shared" si="14"/>
        <v>0</v>
      </c>
      <c r="AA111" s="1374">
        <f t="shared" si="16"/>
        <v>0</v>
      </c>
      <c r="AB111" s="1374">
        <f t="shared" si="15"/>
        <v>0</v>
      </c>
    </row>
    <row r="112" spans="1:28" s="1216" customFormat="1" ht="69.75" customHeight="1">
      <c r="A112" s="1335" t="s">
        <v>632</v>
      </c>
      <c r="B112" s="900" t="s">
        <v>801</v>
      </c>
      <c r="C112" s="871">
        <f t="shared" si="11"/>
        <v>10292.6</v>
      </c>
      <c r="D112" s="972">
        <v>0</v>
      </c>
      <c r="E112" s="972">
        <v>10292.6</v>
      </c>
      <c r="F112" s="1347">
        <f t="shared" si="12"/>
        <v>10292.6</v>
      </c>
      <c r="G112" s="879">
        <v>0</v>
      </c>
      <c r="H112" s="879">
        <v>10292.6</v>
      </c>
      <c r="I112" s="1340">
        <f t="shared" si="13"/>
        <v>0</v>
      </c>
      <c r="J112" s="1341">
        <v>0</v>
      </c>
      <c r="K112" s="1341">
        <v>0</v>
      </c>
      <c r="L112" s="876">
        <f t="shared" si="20"/>
        <v>0</v>
      </c>
      <c r="M112" s="877">
        <f t="shared" si="20"/>
        <v>0</v>
      </c>
      <c r="N112" s="877">
        <f t="shared" si="20"/>
        <v>0</v>
      </c>
      <c r="O112" s="1214" t="s">
        <v>1192</v>
      </c>
      <c r="P112" s="1214" t="s">
        <v>1197</v>
      </c>
      <c r="Q112" s="1065">
        <f t="shared" si="21"/>
        <v>0</v>
      </c>
      <c r="R112" s="1065">
        <f t="shared" si="21"/>
        <v>0</v>
      </c>
      <c r="S112" s="1065">
        <f t="shared" si="21"/>
        <v>0</v>
      </c>
      <c r="T112" s="1099" t="s">
        <v>954</v>
      </c>
      <c r="U112" s="1100" t="s">
        <v>955</v>
      </c>
      <c r="V112" s="1099">
        <v>414</v>
      </c>
      <c r="W112" s="1099">
        <v>14004</v>
      </c>
      <c r="Z112" s="1311">
        <f t="shared" si="14"/>
        <v>0</v>
      </c>
      <c r="AA112" s="1374">
        <f t="shared" si="16"/>
        <v>0</v>
      </c>
      <c r="AB112" s="1374">
        <f t="shared" si="15"/>
        <v>0</v>
      </c>
    </row>
    <row r="113" spans="1:28" s="1216" customFormat="1" ht="78.75">
      <c r="A113" s="1335" t="s">
        <v>633</v>
      </c>
      <c r="B113" s="900" t="s">
        <v>802</v>
      </c>
      <c r="C113" s="871">
        <f t="shared" si="11"/>
        <v>5000</v>
      </c>
      <c r="D113" s="972">
        <v>0</v>
      </c>
      <c r="E113" s="972">
        <v>5000</v>
      </c>
      <c r="F113" s="1347">
        <f t="shared" si="12"/>
        <v>5000</v>
      </c>
      <c r="G113" s="879">
        <v>0</v>
      </c>
      <c r="H113" s="879">
        <v>5000</v>
      </c>
      <c r="I113" s="1340">
        <f t="shared" si="13"/>
        <v>0</v>
      </c>
      <c r="J113" s="1341">
        <v>0</v>
      </c>
      <c r="K113" s="1341">
        <v>0</v>
      </c>
      <c r="L113" s="876">
        <f t="shared" si="20"/>
        <v>0</v>
      </c>
      <c r="M113" s="877">
        <f t="shared" si="20"/>
        <v>0</v>
      </c>
      <c r="N113" s="877">
        <f t="shared" si="20"/>
        <v>0</v>
      </c>
      <c r="O113" s="1214" t="s">
        <v>1192</v>
      </c>
      <c r="P113" s="1214" t="s">
        <v>1198</v>
      </c>
      <c r="Q113" s="1065">
        <f t="shared" si="21"/>
        <v>0</v>
      </c>
      <c r="R113" s="1065">
        <f t="shared" si="21"/>
        <v>0</v>
      </c>
      <c r="S113" s="1065">
        <f t="shared" si="21"/>
        <v>0</v>
      </c>
      <c r="T113" s="1099" t="s">
        <v>954</v>
      </c>
      <c r="U113" s="1100" t="s">
        <v>956</v>
      </c>
      <c r="V113" s="1099">
        <v>414</v>
      </c>
      <c r="W113" s="1099">
        <v>14060</v>
      </c>
      <c r="Z113" s="1311">
        <f t="shared" si="14"/>
        <v>0</v>
      </c>
      <c r="AA113" s="1374">
        <f t="shared" si="16"/>
        <v>0</v>
      </c>
      <c r="AB113" s="1374">
        <f t="shared" si="15"/>
        <v>0</v>
      </c>
    </row>
    <row r="114" spans="1:28" s="1216" customFormat="1" ht="52.5">
      <c r="A114" s="1335" t="s">
        <v>634</v>
      </c>
      <c r="B114" s="900" t="s">
        <v>812</v>
      </c>
      <c r="C114" s="871">
        <f t="shared" si="11"/>
        <v>1350</v>
      </c>
      <c r="D114" s="972">
        <v>0</v>
      </c>
      <c r="E114" s="972">
        <v>1350</v>
      </c>
      <c r="F114" s="1347">
        <f t="shared" si="12"/>
        <v>1350</v>
      </c>
      <c r="G114" s="879">
        <v>0</v>
      </c>
      <c r="H114" s="879">
        <v>1350</v>
      </c>
      <c r="I114" s="1340">
        <f t="shared" si="13"/>
        <v>1125</v>
      </c>
      <c r="J114" s="1341">
        <v>0</v>
      </c>
      <c r="K114" s="1341">
        <v>1125</v>
      </c>
      <c r="L114" s="876">
        <f t="shared" si="20"/>
        <v>83.3</v>
      </c>
      <c r="M114" s="877">
        <f t="shared" si="20"/>
        <v>0</v>
      </c>
      <c r="N114" s="877">
        <f t="shared" si="20"/>
        <v>83.3</v>
      </c>
      <c r="O114" s="1214" t="s">
        <v>1192</v>
      </c>
      <c r="P114" s="1214" t="s">
        <v>1199</v>
      </c>
      <c r="Q114" s="1065">
        <f t="shared" si="21"/>
        <v>0</v>
      </c>
      <c r="R114" s="1065">
        <f t="shared" si="21"/>
        <v>0</v>
      </c>
      <c r="S114" s="1065">
        <f t="shared" si="21"/>
        <v>0</v>
      </c>
      <c r="T114" s="1099" t="s">
        <v>954</v>
      </c>
      <c r="U114" s="1100" t="s">
        <v>956</v>
      </c>
      <c r="V114" s="1099">
        <v>414</v>
      </c>
      <c r="W114" s="1099">
        <v>14074</v>
      </c>
      <c r="Z114" s="1311">
        <f t="shared" si="14"/>
        <v>0</v>
      </c>
      <c r="AA114" s="1374">
        <f t="shared" si="16"/>
        <v>0</v>
      </c>
      <c r="AB114" s="1374">
        <f t="shared" si="15"/>
        <v>0</v>
      </c>
    </row>
    <row r="115" spans="1:28" s="1216" customFormat="1" ht="90.75" customHeight="1">
      <c r="A115" s="1335" t="s">
        <v>635</v>
      </c>
      <c r="B115" s="1125" t="s">
        <v>795</v>
      </c>
      <c r="C115" s="871">
        <f t="shared" si="11"/>
        <v>1230</v>
      </c>
      <c r="D115" s="1249">
        <v>0</v>
      </c>
      <c r="E115" s="1249">
        <v>1230</v>
      </c>
      <c r="F115" s="1347">
        <f t="shared" si="12"/>
        <v>1230</v>
      </c>
      <c r="G115" s="1337">
        <v>0</v>
      </c>
      <c r="H115" s="1337">
        <v>1230</v>
      </c>
      <c r="I115" s="1340">
        <f t="shared" si="13"/>
        <v>0</v>
      </c>
      <c r="J115" s="1337">
        <v>0</v>
      </c>
      <c r="K115" s="1337">
        <v>0</v>
      </c>
      <c r="L115" s="876">
        <f t="shared" si="20"/>
        <v>0</v>
      </c>
      <c r="M115" s="877">
        <f t="shared" si="20"/>
        <v>0</v>
      </c>
      <c r="N115" s="877">
        <f t="shared" si="20"/>
        <v>0</v>
      </c>
      <c r="O115" s="1214" t="s">
        <v>1192</v>
      </c>
      <c r="P115" s="1214" t="s">
        <v>1198</v>
      </c>
      <c r="Q115" s="1065">
        <f t="shared" si="21"/>
        <v>0</v>
      </c>
      <c r="R115" s="1065">
        <f t="shared" si="21"/>
        <v>0</v>
      </c>
      <c r="S115" s="1065">
        <f t="shared" si="21"/>
        <v>0</v>
      </c>
      <c r="T115" s="1099" t="s">
        <v>886</v>
      </c>
      <c r="U115" s="1100">
        <v>1820190400</v>
      </c>
      <c r="V115" s="1099">
        <v>414</v>
      </c>
      <c r="W115" s="1099">
        <v>14062</v>
      </c>
      <c r="Z115" s="1311">
        <f t="shared" si="14"/>
        <v>0</v>
      </c>
      <c r="AA115" s="1374">
        <f t="shared" si="16"/>
        <v>0</v>
      </c>
      <c r="AB115" s="1374">
        <f t="shared" si="15"/>
        <v>0</v>
      </c>
    </row>
    <row r="116" spans="1:28" s="1216" customFormat="1" ht="86.25" customHeight="1">
      <c r="A116" s="1335" t="s">
        <v>734</v>
      </c>
      <c r="B116" s="937" t="s">
        <v>796</v>
      </c>
      <c r="C116" s="871">
        <f t="shared" si="11"/>
        <v>1020</v>
      </c>
      <c r="D116" s="1249">
        <v>0</v>
      </c>
      <c r="E116" s="1249">
        <v>1020</v>
      </c>
      <c r="F116" s="1347">
        <f t="shared" si="12"/>
        <v>1020</v>
      </c>
      <c r="G116" s="1337">
        <v>0</v>
      </c>
      <c r="H116" s="1337">
        <v>1020</v>
      </c>
      <c r="I116" s="1340">
        <f t="shared" si="13"/>
        <v>0</v>
      </c>
      <c r="J116" s="1337">
        <v>0</v>
      </c>
      <c r="K116" s="1337">
        <v>0</v>
      </c>
      <c r="L116" s="876">
        <f t="shared" si="20"/>
        <v>0</v>
      </c>
      <c r="M116" s="877">
        <f t="shared" si="20"/>
        <v>0</v>
      </c>
      <c r="N116" s="877">
        <f t="shared" si="20"/>
        <v>0</v>
      </c>
      <c r="O116" s="1214" t="s">
        <v>1192</v>
      </c>
      <c r="P116" s="1214" t="s">
        <v>1198</v>
      </c>
      <c r="Q116" s="1065">
        <f t="shared" si="21"/>
        <v>0</v>
      </c>
      <c r="R116" s="1065">
        <f t="shared" si="21"/>
        <v>0</v>
      </c>
      <c r="S116" s="1065">
        <f t="shared" si="21"/>
        <v>0</v>
      </c>
      <c r="T116" s="1099" t="s">
        <v>886</v>
      </c>
      <c r="U116" s="1100">
        <v>1820190400</v>
      </c>
      <c r="V116" s="1099">
        <v>414</v>
      </c>
      <c r="W116" s="1099">
        <v>14063</v>
      </c>
      <c r="Z116" s="1311">
        <f t="shared" si="14"/>
        <v>0</v>
      </c>
      <c r="AA116" s="1374">
        <f t="shared" si="16"/>
        <v>0</v>
      </c>
      <c r="AB116" s="1374">
        <f t="shared" si="15"/>
        <v>0</v>
      </c>
    </row>
    <row r="117" spans="1:28" s="1216" customFormat="1" ht="93">
      <c r="A117" s="1335" t="s">
        <v>735</v>
      </c>
      <c r="B117" s="1126" t="s">
        <v>806</v>
      </c>
      <c r="C117" s="871">
        <f t="shared" si="11"/>
        <v>2100</v>
      </c>
      <c r="D117" s="1249">
        <v>0</v>
      </c>
      <c r="E117" s="1249">
        <v>2100</v>
      </c>
      <c r="F117" s="1347">
        <f t="shared" si="12"/>
        <v>2100</v>
      </c>
      <c r="G117" s="1337">
        <v>0</v>
      </c>
      <c r="H117" s="1337">
        <v>2100</v>
      </c>
      <c r="I117" s="1340">
        <f t="shared" si="13"/>
        <v>0</v>
      </c>
      <c r="J117" s="1337">
        <v>0</v>
      </c>
      <c r="K117" s="1337">
        <v>0</v>
      </c>
      <c r="L117" s="876">
        <f t="shared" ref="L117:N151" si="22">IF(I117=0,0,I117/F117*100)</f>
        <v>0</v>
      </c>
      <c r="M117" s="877">
        <f t="shared" si="22"/>
        <v>0</v>
      </c>
      <c r="N117" s="877">
        <f t="shared" si="22"/>
        <v>0</v>
      </c>
      <c r="O117" s="1214" t="s">
        <v>1192</v>
      </c>
      <c r="P117" s="1214" t="s">
        <v>1200</v>
      </c>
      <c r="Q117" s="1065">
        <f t="shared" si="21"/>
        <v>0</v>
      </c>
      <c r="R117" s="1065">
        <f t="shared" si="21"/>
        <v>0</v>
      </c>
      <c r="S117" s="1065">
        <f t="shared" si="21"/>
        <v>0</v>
      </c>
      <c r="T117" s="1099" t="s">
        <v>886</v>
      </c>
      <c r="U117" s="1100">
        <v>1820190400</v>
      </c>
      <c r="V117" s="1099">
        <v>414</v>
      </c>
      <c r="W117" s="1099">
        <v>14064</v>
      </c>
      <c r="Z117" s="1311">
        <f t="shared" si="14"/>
        <v>0</v>
      </c>
      <c r="AA117" s="1374">
        <f t="shared" si="16"/>
        <v>0</v>
      </c>
      <c r="AB117" s="1374">
        <f t="shared" si="15"/>
        <v>0</v>
      </c>
    </row>
    <row r="118" spans="1:28" s="1216" customFormat="1" ht="93">
      <c r="A118" s="1335" t="s">
        <v>636</v>
      </c>
      <c r="B118" s="1125" t="s">
        <v>807</v>
      </c>
      <c r="C118" s="871">
        <f t="shared" si="11"/>
        <v>2340</v>
      </c>
      <c r="D118" s="1249">
        <v>0</v>
      </c>
      <c r="E118" s="1249">
        <v>2340</v>
      </c>
      <c r="F118" s="1347">
        <f t="shared" si="12"/>
        <v>2340</v>
      </c>
      <c r="G118" s="1337">
        <v>0</v>
      </c>
      <c r="H118" s="1337">
        <v>2340</v>
      </c>
      <c r="I118" s="1340">
        <f t="shared" si="13"/>
        <v>0</v>
      </c>
      <c r="J118" s="1337">
        <v>0</v>
      </c>
      <c r="K118" s="1337">
        <v>0</v>
      </c>
      <c r="L118" s="876">
        <f t="shared" si="22"/>
        <v>0</v>
      </c>
      <c r="M118" s="877">
        <f t="shared" si="22"/>
        <v>0</v>
      </c>
      <c r="N118" s="877">
        <f t="shared" si="22"/>
        <v>0</v>
      </c>
      <c r="O118" s="1214" t="s">
        <v>1192</v>
      </c>
      <c r="P118" s="1214" t="s">
        <v>1201</v>
      </c>
      <c r="Q118" s="1065">
        <f t="shared" si="21"/>
        <v>0</v>
      </c>
      <c r="R118" s="1065">
        <f t="shared" si="21"/>
        <v>0</v>
      </c>
      <c r="S118" s="1065">
        <f t="shared" si="21"/>
        <v>0</v>
      </c>
      <c r="T118" s="1099" t="s">
        <v>886</v>
      </c>
      <c r="U118" s="1100">
        <v>1820190400</v>
      </c>
      <c r="V118" s="1099">
        <v>414</v>
      </c>
      <c r="W118" s="1099">
        <v>14065</v>
      </c>
      <c r="Z118" s="1311">
        <f t="shared" si="14"/>
        <v>0</v>
      </c>
      <c r="AA118" s="1374">
        <f t="shared" si="16"/>
        <v>0</v>
      </c>
      <c r="AB118" s="1374">
        <f t="shared" si="15"/>
        <v>0</v>
      </c>
    </row>
    <row r="119" spans="1:28" s="1216" customFormat="1" ht="111" customHeight="1">
      <c r="A119" s="1335" t="s">
        <v>736</v>
      </c>
      <c r="B119" s="1125" t="s">
        <v>808</v>
      </c>
      <c r="C119" s="871">
        <f t="shared" si="11"/>
        <v>2000</v>
      </c>
      <c r="D119" s="1249">
        <v>0</v>
      </c>
      <c r="E119" s="1249">
        <v>2000</v>
      </c>
      <c r="F119" s="1347">
        <f t="shared" si="12"/>
        <v>2000</v>
      </c>
      <c r="G119" s="1337">
        <v>0</v>
      </c>
      <c r="H119" s="1337">
        <v>2000</v>
      </c>
      <c r="I119" s="1340">
        <f t="shared" si="13"/>
        <v>0</v>
      </c>
      <c r="J119" s="1337">
        <v>0</v>
      </c>
      <c r="K119" s="1337">
        <v>0</v>
      </c>
      <c r="L119" s="876">
        <f t="shared" si="22"/>
        <v>0</v>
      </c>
      <c r="M119" s="877">
        <f t="shared" si="22"/>
        <v>0</v>
      </c>
      <c r="N119" s="877">
        <f t="shared" si="22"/>
        <v>0</v>
      </c>
      <c r="O119" s="1214" t="s">
        <v>1192</v>
      </c>
      <c r="P119" s="1214" t="s">
        <v>1202</v>
      </c>
      <c r="Q119" s="1065">
        <f t="shared" si="21"/>
        <v>0</v>
      </c>
      <c r="R119" s="1065">
        <f t="shared" si="21"/>
        <v>0</v>
      </c>
      <c r="S119" s="1065">
        <f t="shared" si="21"/>
        <v>0</v>
      </c>
      <c r="T119" s="1099" t="s">
        <v>886</v>
      </c>
      <c r="U119" s="1100">
        <v>1820190400</v>
      </c>
      <c r="V119" s="1099">
        <v>414</v>
      </c>
      <c r="W119" s="1099">
        <v>14066</v>
      </c>
      <c r="Z119" s="1311">
        <f t="shared" si="14"/>
        <v>0</v>
      </c>
      <c r="AA119" s="1374">
        <f t="shared" si="16"/>
        <v>0</v>
      </c>
      <c r="AB119" s="1374">
        <f t="shared" si="15"/>
        <v>0</v>
      </c>
    </row>
    <row r="120" spans="1:28" s="1216" customFormat="1" ht="117" customHeight="1">
      <c r="A120" s="1335" t="s">
        <v>737</v>
      </c>
      <c r="B120" s="900" t="s">
        <v>809</v>
      </c>
      <c r="C120" s="871">
        <f>SUM(D120:E120)</f>
        <v>6000</v>
      </c>
      <c r="D120" s="1249">
        <v>0</v>
      </c>
      <c r="E120" s="1249">
        <v>6000</v>
      </c>
      <c r="F120" s="1347">
        <f>SUM(G120:H120)</f>
        <v>6000</v>
      </c>
      <c r="G120" s="1337">
        <v>0</v>
      </c>
      <c r="H120" s="1337">
        <v>6000</v>
      </c>
      <c r="I120" s="1340">
        <f>SUM(J120:K120)</f>
        <v>0</v>
      </c>
      <c r="J120" s="1337">
        <v>0</v>
      </c>
      <c r="K120" s="1337">
        <v>0</v>
      </c>
      <c r="L120" s="876">
        <f t="shared" si="22"/>
        <v>0</v>
      </c>
      <c r="M120" s="877">
        <f t="shared" si="22"/>
        <v>0</v>
      </c>
      <c r="N120" s="877">
        <f t="shared" si="22"/>
        <v>0</v>
      </c>
      <c r="O120" s="1214" t="s">
        <v>1192</v>
      </c>
      <c r="P120" s="1214" t="s">
        <v>1203</v>
      </c>
      <c r="Q120" s="1065">
        <f t="shared" si="21"/>
        <v>0</v>
      </c>
      <c r="R120" s="1065">
        <f t="shared" si="21"/>
        <v>0</v>
      </c>
      <c r="S120" s="1065">
        <f t="shared" si="21"/>
        <v>0</v>
      </c>
      <c r="T120" s="1099" t="s">
        <v>928</v>
      </c>
      <c r="U120" s="1100" t="s">
        <v>929</v>
      </c>
      <c r="V120" s="1099">
        <v>414</v>
      </c>
      <c r="W120" s="1099">
        <v>14072</v>
      </c>
      <c r="Z120" s="1311">
        <f t="shared" si="14"/>
        <v>0</v>
      </c>
      <c r="AA120" s="1374">
        <f t="shared" si="16"/>
        <v>0</v>
      </c>
      <c r="AB120" s="1374">
        <f t="shared" si="15"/>
        <v>0</v>
      </c>
    </row>
    <row r="121" spans="1:28" s="1216" customFormat="1" ht="105">
      <c r="A121" s="1335" t="s">
        <v>738</v>
      </c>
      <c r="B121" s="900" t="s">
        <v>810</v>
      </c>
      <c r="C121" s="871">
        <f>SUM(D121:E121)</f>
        <v>6000</v>
      </c>
      <c r="D121" s="1249">
        <v>0</v>
      </c>
      <c r="E121" s="1249">
        <v>6000</v>
      </c>
      <c r="F121" s="1347">
        <f>SUM(G121:H121)</f>
        <v>6000</v>
      </c>
      <c r="G121" s="1337">
        <v>0</v>
      </c>
      <c r="H121" s="1337">
        <v>6000</v>
      </c>
      <c r="I121" s="1340">
        <f>SUM(J121:K121)</f>
        <v>0</v>
      </c>
      <c r="J121" s="1337">
        <v>0</v>
      </c>
      <c r="K121" s="1337">
        <v>0</v>
      </c>
      <c r="L121" s="876">
        <f t="shared" si="22"/>
        <v>0</v>
      </c>
      <c r="M121" s="877">
        <f t="shared" si="22"/>
        <v>0</v>
      </c>
      <c r="N121" s="877">
        <f t="shared" si="22"/>
        <v>0</v>
      </c>
      <c r="O121" s="1214" t="s">
        <v>1192</v>
      </c>
      <c r="P121" s="1214" t="s">
        <v>1203</v>
      </c>
      <c r="Q121" s="1065">
        <f t="shared" si="21"/>
        <v>0</v>
      </c>
      <c r="R121" s="1065">
        <f t="shared" si="21"/>
        <v>0</v>
      </c>
      <c r="S121" s="1065">
        <f t="shared" si="21"/>
        <v>0</v>
      </c>
      <c r="T121" s="1099" t="s">
        <v>936</v>
      </c>
      <c r="U121" s="1100" t="s">
        <v>937</v>
      </c>
      <c r="V121" s="1099">
        <v>414</v>
      </c>
      <c r="W121" s="1099">
        <v>14058</v>
      </c>
      <c r="Z121" s="1311">
        <f t="shared" si="14"/>
        <v>0</v>
      </c>
      <c r="AA121" s="1374">
        <f t="shared" si="16"/>
        <v>0</v>
      </c>
      <c r="AB121" s="1374">
        <f t="shared" si="15"/>
        <v>0</v>
      </c>
    </row>
    <row r="122" spans="1:28" s="1216" customFormat="1" ht="139.5">
      <c r="A122" s="1335" t="s">
        <v>739</v>
      </c>
      <c r="B122" s="990" t="s">
        <v>811</v>
      </c>
      <c r="C122" s="871">
        <f>SUM(D122:E122)</f>
        <v>16500</v>
      </c>
      <c r="D122" s="1249">
        <v>0</v>
      </c>
      <c r="E122" s="1249">
        <v>16500</v>
      </c>
      <c r="F122" s="1347">
        <f>SUM(G122:H122)</f>
        <v>16500</v>
      </c>
      <c r="G122" s="1337">
        <v>0</v>
      </c>
      <c r="H122" s="1337">
        <v>16500</v>
      </c>
      <c r="I122" s="1340">
        <f>SUM(J122:K122)</f>
        <v>0</v>
      </c>
      <c r="J122" s="1337">
        <v>0</v>
      </c>
      <c r="K122" s="1337">
        <v>0</v>
      </c>
      <c r="L122" s="876">
        <f t="shared" si="22"/>
        <v>0</v>
      </c>
      <c r="M122" s="877">
        <f t="shared" si="22"/>
        <v>0</v>
      </c>
      <c r="N122" s="877">
        <f t="shared" si="22"/>
        <v>0</v>
      </c>
      <c r="O122" s="1214" t="s">
        <v>1192</v>
      </c>
      <c r="P122" s="1214" t="s">
        <v>1204</v>
      </c>
      <c r="Q122" s="1065">
        <f t="shared" si="21"/>
        <v>0</v>
      </c>
      <c r="R122" s="1065">
        <f t="shared" si="21"/>
        <v>0</v>
      </c>
      <c r="S122" s="1065">
        <f t="shared" si="21"/>
        <v>0</v>
      </c>
      <c r="T122" s="1099" t="s">
        <v>936</v>
      </c>
      <c r="U122" s="1100" t="s">
        <v>937</v>
      </c>
      <c r="V122" s="1099">
        <v>414</v>
      </c>
      <c r="W122" s="1099">
        <v>14059</v>
      </c>
      <c r="Z122" s="1311">
        <f t="shared" si="14"/>
        <v>0</v>
      </c>
      <c r="AA122" s="1374">
        <f t="shared" si="16"/>
        <v>0</v>
      </c>
      <c r="AB122" s="1374">
        <f t="shared" si="15"/>
        <v>0</v>
      </c>
    </row>
    <row r="123" spans="1:28" s="1216" customFormat="1" ht="108" customHeight="1">
      <c r="A123" s="1335" t="s">
        <v>740</v>
      </c>
      <c r="B123" s="900" t="s">
        <v>640</v>
      </c>
      <c r="C123" s="1347">
        <f>SUM(D123:E123)</f>
        <v>1400</v>
      </c>
      <c r="D123" s="879">
        <v>0</v>
      </c>
      <c r="E123" s="879">
        <v>1400</v>
      </c>
      <c r="F123" s="1347">
        <f>SUM(G123:H123)</f>
        <v>1400</v>
      </c>
      <c r="G123" s="879">
        <v>0</v>
      </c>
      <c r="H123" s="879">
        <v>1400</v>
      </c>
      <c r="I123" s="1340">
        <f>SUM(J123:K123)</f>
        <v>0</v>
      </c>
      <c r="J123" s="1341">
        <v>0</v>
      </c>
      <c r="K123" s="1341">
        <v>0</v>
      </c>
      <c r="L123" s="876">
        <f t="shared" si="22"/>
        <v>0</v>
      </c>
      <c r="M123" s="877">
        <f t="shared" si="22"/>
        <v>0</v>
      </c>
      <c r="N123" s="877">
        <f t="shared" si="22"/>
        <v>0</v>
      </c>
      <c r="O123" s="1214" t="s">
        <v>1237</v>
      </c>
      <c r="P123" s="1214" t="s">
        <v>1205</v>
      </c>
      <c r="Q123" s="1065">
        <f t="shared" si="21"/>
        <v>0</v>
      </c>
      <c r="R123" s="1065">
        <f t="shared" si="21"/>
        <v>0</v>
      </c>
      <c r="S123" s="1065">
        <f t="shared" si="21"/>
        <v>0</v>
      </c>
      <c r="T123" s="1099" t="s">
        <v>869</v>
      </c>
      <c r="U123" s="1100">
        <v>1410190420</v>
      </c>
      <c r="V123" s="1099">
        <v>414</v>
      </c>
      <c r="W123" s="1099">
        <v>14022</v>
      </c>
      <c r="Z123" s="1311">
        <f t="shared" si="14"/>
        <v>0</v>
      </c>
      <c r="AA123" s="1374">
        <f t="shared" si="16"/>
        <v>0</v>
      </c>
      <c r="AB123" s="1374">
        <f t="shared" si="15"/>
        <v>0</v>
      </c>
    </row>
    <row r="124" spans="1:28" s="1216" customFormat="1" ht="93.75" customHeight="1">
      <c r="A124" s="1335" t="s">
        <v>741</v>
      </c>
      <c r="B124" s="1106" t="s">
        <v>863</v>
      </c>
      <c r="C124" s="871">
        <f>SUM(D124:E124)</f>
        <v>21276.6</v>
      </c>
      <c r="D124" s="972">
        <v>20000</v>
      </c>
      <c r="E124" s="972">
        <v>1276.5999999999999</v>
      </c>
      <c r="F124" s="1347">
        <f>SUM(G124:H124)</f>
        <v>21276.6</v>
      </c>
      <c r="G124" s="879">
        <v>20000</v>
      </c>
      <c r="H124" s="879">
        <v>1276.5999999999999</v>
      </c>
      <c r="I124" s="1340">
        <f>SUM(J124:K124)</f>
        <v>19639.3</v>
      </c>
      <c r="J124" s="1341">
        <v>18460.900000000001</v>
      </c>
      <c r="K124" s="1341">
        <v>1178.4000000000001</v>
      </c>
      <c r="L124" s="876">
        <f t="shared" si="22"/>
        <v>92.3</v>
      </c>
      <c r="M124" s="877">
        <f t="shared" si="22"/>
        <v>92.3</v>
      </c>
      <c r="N124" s="877">
        <f t="shared" si="22"/>
        <v>92.3</v>
      </c>
      <c r="O124" s="1214" t="s">
        <v>1192</v>
      </c>
      <c r="P124" s="1214" t="s">
        <v>1206</v>
      </c>
      <c r="Q124" s="1065"/>
      <c r="R124" s="1065"/>
      <c r="S124" s="1065"/>
      <c r="T124" s="1099" t="s">
        <v>928</v>
      </c>
      <c r="U124" s="1100" t="s">
        <v>932</v>
      </c>
      <c r="V124" s="1099">
        <v>414</v>
      </c>
      <c r="W124" s="1099" t="s">
        <v>933</v>
      </c>
      <c r="Z124" s="1311">
        <f t="shared" si="14"/>
        <v>0</v>
      </c>
      <c r="AA124" s="1374">
        <f t="shared" si="16"/>
        <v>0</v>
      </c>
      <c r="AB124" s="1374">
        <f t="shared" si="15"/>
        <v>0</v>
      </c>
    </row>
    <row r="125" spans="1:28" s="1216" customFormat="1" ht="57.75" customHeight="1">
      <c r="A125" s="1335" t="s">
        <v>742</v>
      </c>
      <c r="B125" s="1127" t="s">
        <v>841</v>
      </c>
      <c r="C125" s="871">
        <f t="shared" ref="C125:C195" si="23">SUM(D125:E125)</f>
        <v>1026</v>
      </c>
      <c r="D125" s="972">
        <v>0</v>
      </c>
      <c r="E125" s="1255">
        <v>1026</v>
      </c>
      <c r="F125" s="1347">
        <f t="shared" ref="F125:F195" si="24">SUM(G125:H125)</f>
        <v>1026</v>
      </c>
      <c r="G125" s="1337">
        <v>0</v>
      </c>
      <c r="H125" s="970">
        <f>E125</f>
        <v>1026</v>
      </c>
      <c r="I125" s="1340">
        <f t="shared" ref="I125:I183" si="25">SUM(J125:K125)</f>
        <v>0</v>
      </c>
      <c r="J125" s="1341">
        <v>0</v>
      </c>
      <c r="K125" s="1341">
        <v>0</v>
      </c>
      <c r="L125" s="876">
        <f t="shared" si="22"/>
        <v>0</v>
      </c>
      <c r="M125" s="877">
        <f t="shared" si="22"/>
        <v>0</v>
      </c>
      <c r="N125" s="877">
        <f t="shared" si="22"/>
        <v>0</v>
      </c>
      <c r="O125" s="1214" t="s">
        <v>1192</v>
      </c>
      <c r="P125" s="1214" t="s">
        <v>1207</v>
      </c>
      <c r="Q125" s="1065">
        <f t="shared" ref="Q125:S163" si="26">C125-F125</f>
        <v>0</v>
      </c>
      <c r="R125" s="1065">
        <f t="shared" si="26"/>
        <v>0</v>
      </c>
      <c r="S125" s="1065">
        <f t="shared" si="26"/>
        <v>0</v>
      </c>
      <c r="T125" s="1099" t="s">
        <v>886</v>
      </c>
      <c r="U125" s="1100" t="s">
        <v>892</v>
      </c>
      <c r="V125" s="1099">
        <v>414</v>
      </c>
      <c r="W125" s="1099">
        <v>14076</v>
      </c>
      <c r="Z125" s="1311">
        <f t="shared" si="14"/>
        <v>0</v>
      </c>
      <c r="AA125" s="1374">
        <f t="shared" si="16"/>
        <v>0</v>
      </c>
      <c r="AB125" s="1374">
        <f t="shared" si="15"/>
        <v>0</v>
      </c>
    </row>
    <row r="126" spans="1:28" s="1216" customFormat="1" ht="67.5" customHeight="1">
      <c r="A126" s="1335" t="s">
        <v>782</v>
      </c>
      <c r="B126" s="1127" t="s">
        <v>842</v>
      </c>
      <c r="C126" s="871">
        <f t="shared" si="23"/>
        <v>813</v>
      </c>
      <c r="D126" s="972">
        <v>0</v>
      </c>
      <c r="E126" s="1255">
        <v>813</v>
      </c>
      <c r="F126" s="1347">
        <f t="shared" si="24"/>
        <v>813</v>
      </c>
      <c r="G126" s="1337">
        <v>0</v>
      </c>
      <c r="H126" s="970">
        <f t="shared" ref="H126:H141" si="27">E126</f>
        <v>813</v>
      </c>
      <c r="I126" s="1340">
        <f t="shared" si="25"/>
        <v>0</v>
      </c>
      <c r="J126" s="1341">
        <v>0</v>
      </c>
      <c r="K126" s="1341">
        <v>0</v>
      </c>
      <c r="L126" s="876">
        <f t="shared" si="22"/>
        <v>0</v>
      </c>
      <c r="M126" s="877">
        <f t="shared" si="22"/>
        <v>0</v>
      </c>
      <c r="N126" s="877">
        <f t="shared" si="22"/>
        <v>0</v>
      </c>
      <c r="O126" s="1214" t="s">
        <v>1192</v>
      </c>
      <c r="P126" s="1214" t="s">
        <v>1208</v>
      </c>
      <c r="Q126" s="1065">
        <f t="shared" si="26"/>
        <v>0</v>
      </c>
      <c r="R126" s="1065">
        <f t="shared" si="26"/>
        <v>0</v>
      </c>
      <c r="S126" s="1065">
        <f t="shared" si="26"/>
        <v>0</v>
      </c>
      <c r="T126" s="1099" t="s">
        <v>886</v>
      </c>
      <c r="U126" s="1100" t="s">
        <v>892</v>
      </c>
      <c r="V126" s="1099">
        <v>414</v>
      </c>
      <c r="W126" s="1099">
        <v>14077</v>
      </c>
      <c r="Z126" s="1311">
        <f t="shared" si="14"/>
        <v>0</v>
      </c>
      <c r="AA126" s="1374">
        <f t="shared" si="16"/>
        <v>0</v>
      </c>
      <c r="AB126" s="1374">
        <f t="shared" si="15"/>
        <v>0</v>
      </c>
    </row>
    <row r="127" spans="1:28" ht="90.75" customHeight="1">
      <c r="A127" s="1335" t="s">
        <v>817</v>
      </c>
      <c r="B127" s="1127" t="s">
        <v>843</v>
      </c>
      <c r="C127" s="871">
        <f t="shared" si="23"/>
        <v>792</v>
      </c>
      <c r="D127" s="972">
        <v>0</v>
      </c>
      <c r="E127" s="1255">
        <v>792</v>
      </c>
      <c r="F127" s="1347">
        <f t="shared" si="24"/>
        <v>792</v>
      </c>
      <c r="G127" s="1337">
        <v>0</v>
      </c>
      <c r="H127" s="970">
        <f t="shared" si="27"/>
        <v>792</v>
      </c>
      <c r="I127" s="1340">
        <f t="shared" si="25"/>
        <v>0</v>
      </c>
      <c r="J127" s="1341">
        <v>0</v>
      </c>
      <c r="K127" s="1341">
        <v>0</v>
      </c>
      <c r="L127" s="876">
        <f t="shared" si="22"/>
        <v>0</v>
      </c>
      <c r="M127" s="877">
        <f t="shared" si="22"/>
        <v>0</v>
      </c>
      <c r="N127" s="877">
        <f t="shared" si="22"/>
        <v>0</v>
      </c>
      <c r="O127" s="1214" t="s">
        <v>1192</v>
      </c>
      <c r="P127" s="1214" t="s">
        <v>1209</v>
      </c>
      <c r="Q127" s="1065">
        <f t="shared" si="26"/>
        <v>0</v>
      </c>
      <c r="R127" s="1065">
        <f t="shared" si="26"/>
        <v>0</v>
      </c>
      <c r="S127" s="1065">
        <f t="shared" si="26"/>
        <v>0</v>
      </c>
      <c r="T127" s="1099" t="s">
        <v>886</v>
      </c>
      <c r="U127" s="1100" t="s">
        <v>892</v>
      </c>
      <c r="V127" s="1099">
        <v>414</v>
      </c>
      <c r="W127" s="1099">
        <v>14078</v>
      </c>
      <c r="Z127" s="1311">
        <f t="shared" si="14"/>
        <v>0</v>
      </c>
      <c r="AA127" s="1374">
        <f t="shared" si="16"/>
        <v>0</v>
      </c>
      <c r="AB127" s="1374">
        <f t="shared" si="15"/>
        <v>0</v>
      </c>
    </row>
    <row r="128" spans="1:28" ht="93">
      <c r="A128" s="1335" t="s">
        <v>818</v>
      </c>
      <c r="B128" s="1127" t="s">
        <v>844</v>
      </c>
      <c r="C128" s="871">
        <f t="shared" si="23"/>
        <v>879</v>
      </c>
      <c r="D128" s="972">
        <v>0</v>
      </c>
      <c r="E128" s="1255">
        <v>879</v>
      </c>
      <c r="F128" s="1347">
        <f t="shared" si="24"/>
        <v>879</v>
      </c>
      <c r="G128" s="1337">
        <v>0</v>
      </c>
      <c r="H128" s="970">
        <f t="shared" si="27"/>
        <v>879</v>
      </c>
      <c r="I128" s="1340">
        <f t="shared" si="25"/>
        <v>0</v>
      </c>
      <c r="J128" s="1341">
        <v>0</v>
      </c>
      <c r="K128" s="1341">
        <v>0</v>
      </c>
      <c r="L128" s="876">
        <f t="shared" si="22"/>
        <v>0</v>
      </c>
      <c r="M128" s="877">
        <f t="shared" si="22"/>
        <v>0</v>
      </c>
      <c r="N128" s="877">
        <f t="shared" si="22"/>
        <v>0</v>
      </c>
      <c r="O128" s="1214" t="s">
        <v>1192</v>
      </c>
      <c r="P128" s="1214" t="s">
        <v>1210</v>
      </c>
      <c r="Q128" s="1065">
        <f t="shared" si="26"/>
        <v>0</v>
      </c>
      <c r="R128" s="1065">
        <f t="shared" si="26"/>
        <v>0</v>
      </c>
      <c r="S128" s="1065">
        <f t="shared" si="26"/>
        <v>0</v>
      </c>
      <c r="T128" s="1099" t="s">
        <v>886</v>
      </c>
      <c r="U128" s="1100" t="s">
        <v>892</v>
      </c>
      <c r="V128" s="1099">
        <v>414</v>
      </c>
      <c r="W128" s="1099">
        <v>14079</v>
      </c>
      <c r="Z128" s="1311">
        <f t="shared" si="14"/>
        <v>0</v>
      </c>
      <c r="AA128" s="1374">
        <f t="shared" si="16"/>
        <v>0</v>
      </c>
      <c r="AB128" s="1374">
        <f t="shared" si="15"/>
        <v>0</v>
      </c>
    </row>
    <row r="129" spans="1:28" ht="93">
      <c r="A129" s="1335" t="s">
        <v>819</v>
      </c>
      <c r="B129" s="1127" t="s">
        <v>845</v>
      </c>
      <c r="C129" s="871">
        <f t="shared" si="23"/>
        <v>1554</v>
      </c>
      <c r="D129" s="1249">
        <v>0</v>
      </c>
      <c r="E129" s="1255">
        <v>1554</v>
      </c>
      <c r="F129" s="1347">
        <f t="shared" si="24"/>
        <v>1554</v>
      </c>
      <c r="G129" s="1337">
        <v>0</v>
      </c>
      <c r="H129" s="970">
        <f t="shared" si="27"/>
        <v>1554</v>
      </c>
      <c r="I129" s="1340">
        <f t="shared" si="25"/>
        <v>0</v>
      </c>
      <c r="J129" s="1341">
        <v>0</v>
      </c>
      <c r="K129" s="1341">
        <v>0</v>
      </c>
      <c r="L129" s="876">
        <f t="shared" si="22"/>
        <v>0</v>
      </c>
      <c r="M129" s="877">
        <f t="shared" si="22"/>
        <v>0</v>
      </c>
      <c r="N129" s="877">
        <f t="shared" si="22"/>
        <v>0</v>
      </c>
      <c r="O129" s="1214" t="s">
        <v>1192</v>
      </c>
      <c r="P129" s="1214" t="s">
        <v>1211</v>
      </c>
      <c r="Q129" s="1065">
        <f t="shared" si="26"/>
        <v>0</v>
      </c>
      <c r="R129" s="1065">
        <f t="shared" si="26"/>
        <v>0</v>
      </c>
      <c r="S129" s="1065">
        <f t="shared" si="26"/>
        <v>0</v>
      </c>
      <c r="T129" s="1099" t="s">
        <v>886</v>
      </c>
      <c r="U129" s="1100" t="s">
        <v>892</v>
      </c>
      <c r="V129" s="1099">
        <v>414</v>
      </c>
      <c r="W129" s="1099">
        <v>14080</v>
      </c>
      <c r="Z129" s="1311">
        <f t="shared" si="14"/>
        <v>0</v>
      </c>
      <c r="AA129" s="1374">
        <f t="shared" si="16"/>
        <v>0</v>
      </c>
      <c r="AB129" s="1374">
        <f t="shared" si="15"/>
        <v>0</v>
      </c>
    </row>
    <row r="130" spans="1:28" ht="57.75" customHeight="1">
      <c r="A130" s="1335" t="s">
        <v>762</v>
      </c>
      <c r="B130" s="1127" t="s">
        <v>846</v>
      </c>
      <c r="C130" s="871">
        <f t="shared" si="23"/>
        <v>879</v>
      </c>
      <c r="D130" s="1249">
        <v>0</v>
      </c>
      <c r="E130" s="1255">
        <v>879</v>
      </c>
      <c r="F130" s="1347">
        <f t="shared" si="24"/>
        <v>879</v>
      </c>
      <c r="G130" s="1337">
        <v>0</v>
      </c>
      <c r="H130" s="970">
        <f t="shared" si="27"/>
        <v>879</v>
      </c>
      <c r="I130" s="1340">
        <f t="shared" si="25"/>
        <v>0</v>
      </c>
      <c r="J130" s="1341">
        <v>0</v>
      </c>
      <c r="K130" s="1341">
        <v>0</v>
      </c>
      <c r="L130" s="876">
        <f t="shared" si="22"/>
        <v>0</v>
      </c>
      <c r="M130" s="877">
        <f t="shared" si="22"/>
        <v>0</v>
      </c>
      <c r="N130" s="877">
        <f t="shared" si="22"/>
        <v>0</v>
      </c>
      <c r="O130" s="1214" t="s">
        <v>1192</v>
      </c>
      <c r="P130" s="1214" t="s">
        <v>1212</v>
      </c>
      <c r="Q130" s="1065">
        <f t="shared" si="26"/>
        <v>0</v>
      </c>
      <c r="R130" s="1065">
        <f t="shared" si="26"/>
        <v>0</v>
      </c>
      <c r="S130" s="1065">
        <f t="shared" si="26"/>
        <v>0</v>
      </c>
      <c r="T130" s="1099" t="s">
        <v>886</v>
      </c>
      <c r="U130" s="1100" t="s">
        <v>892</v>
      </c>
      <c r="V130" s="1099">
        <v>414</v>
      </c>
      <c r="W130" s="1099">
        <v>14081</v>
      </c>
      <c r="Z130" s="1311">
        <f t="shared" si="14"/>
        <v>0</v>
      </c>
      <c r="AA130" s="1374">
        <f t="shared" si="16"/>
        <v>0</v>
      </c>
      <c r="AB130" s="1374">
        <f t="shared" si="15"/>
        <v>0</v>
      </c>
    </row>
    <row r="131" spans="1:28" ht="93">
      <c r="A131" s="1335" t="s">
        <v>743</v>
      </c>
      <c r="B131" s="1127" t="s">
        <v>847</v>
      </c>
      <c r="C131" s="871">
        <f t="shared" si="23"/>
        <v>627</v>
      </c>
      <c r="D131" s="1249">
        <v>0</v>
      </c>
      <c r="E131" s="1255">
        <v>627</v>
      </c>
      <c r="F131" s="1347">
        <f t="shared" si="24"/>
        <v>627</v>
      </c>
      <c r="G131" s="1337">
        <v>0</v>
      </c>
      <c r="H131" s="970">
        <f t="shared" si="27"/>
        <v>627</v>
      </c>
      <c r="I131" s="1340">
        <f t="shared" si="25"/>
        <v>0</v>
      </c>
      <c r="J131" s="1341">
        <v>0</v>
      </c>
      <c r="K131" s="1341">
        <v>0</v>
      </c>
      <c r="L131" s="876">
        <f t="shared" si="22"/>
        <v>0</v>
      </c>
      <c r="M131" s="877">
        <f t="shared" si="22"/>
        <v>0</v>
      </c>
      <c r="N131" s="877">
        <f t="shared" si="22"/>
        <v>0</v>
      </c>
      <c r="O131" s="1214" t="s">
        <v>1192</v>
      </c>
      <c r="P131" s="1214" t="s">
        <v>1213</v>
      </c>
      <c r="Q131" s="1065">
        <f t="shared" si="26"/>
        <v>0</v>
      </c>
      <c r="R131" s="1065">
        <f t="shared" si="26"/>
        <v>0</v>
      </c>
      <c r="S131" s="1065">
        <f t="shared" si="26"/>
        <v>0</v>
      </c>
      <c r="T131" s="1099" t="s">
        <v>886</v>
      </c>
      <c r="U131" s="1100" t="s">
        <v>892</v>
      </c>
      <c r="V131" s="1099">
        <v>414</v>
      </c>
      <c r="W131" s="1099">
        <v>14082</v>
      </c>
      <c r="Z131" s="1311">
        <f t="shared" si="14"/>
        <v>0</v>
      </c>
      <c r="AA131" s="1374">
        <f t="shared" si="16"/>
        <v>0</v>
      </c>
      <c r="AB131" s="1374">
        <f t="shared" si="15"/>
        <v>0</v>
      </c>
    </row>
    <row r="132" spans="1:28" ht="89.25" customHeight="1">
      <c r="A132" s="1335" t="s">
        <v>744</v>
      </c>
      <c r="B132" s="1127" t="s">
        <v>848</v>
      </c>
      <c r="C132" s="871">
        <f t="shared" si="23"/>
        <v>669</v>
      </c>
      <c r="D132" s="1249">
        <v>0</v>
      </c>
      <c r="E132" s="1255">
        <v>669</v>
      </c>
      <c r="F132" s="1347">
        <f t="shared" si="24"/>
        <v>669</v>
      </c>
      <c r="G132" s="1337">
        <v>0</v>
      </c>
      <c r="H132" s="970">
        <f t="shared" si="27"/>
        <v>669</v>
      </c>
      <c r="I132" s="1340">
        <f t="shared" si="25"/>
        <v>0</v>
      </c>
      <c r="J132" s="1341">
        <v>0</v>
      </c>
      <c r="K132" s="1341">
        <v>0</v>
      </c>
      <c r="L132" s="876">
        <f t="shared" si="22"/>
        <v>0</v>
      </c>
      <c r="M132" s="877">
        <f t="shared" si="22"/>
        <v>0</v>
      </c>
      <c r="N132" s="877">
        <f t="shared" si="22"/>
        <v>0</v>
      </c>
      <c r="O132" s="1214" t="s">
        <v>1192</v>
      </c>
      <c r="P132" s="1214" t="s">
        <v>1214</v>
      </c>
      <c r="Q132" s="1065">
        <f t="shared" si="26"/>
        <v>0</v>
      </c>
      <c r="R132" s="1065">
        <f t="shared" si="26"/>
        <v>0</v>
      </c>
      <c r="S132" s="1065">
        <f t="shared" si="26"/>
        <v>0</v>
      </c>
      <c r="T132" s="1099" t="s">
        <v>886</v>
      </c>
      <c r="U132" s="1100" t="s">
        <v>892</v>
      </c>
      <c r="V132" s="1099">
        <v>414</v>
      </c>
      <c r="W132" s="1099">
        <v>14083</v>
      </c>
      <c r="Z132" s="1311">
        <f t="shared" si="14"/>
        <v>0</v>
      </c>
      <c r="AA132" s="1374">
        <f t="shared" si="16"/>
        <v>0</v>
      </c>
      <c r="AB132" s="1374">
        <f t="shared" si="15"/>
        <v>0</v>
      </c>
    </row>
    <row r="133" spans="1:28" ht="54" customHeight="1">
      <c r="A133" s="1335" t="s">
        <v>745</v>
      </c>
      <c r="B133" s="1127" t="s">
        <v>849</v>
      </c>
      <c r="C133" s="871">
        <f t="shared" si="23"/>
        <v>495</v>
      </c>
      <c r="D133" s="1249">
        <v>0</v>
      </c>
      <c r="E133" s="1255">
        <v>495</v>
      </c>
      <c r="F133" s="1347">
        <f t="shared" si="24"/>
        <v>495</v>
      </c>
      <c r="G133" s="1337">
        <v>0</v>
      </c>
      <c r="H133" s="970">
        <f t="shared" si="27"/>
        <v>495</v>
      </c>
      <c r="I133" s="1340">
        <f t="shared" si="25"/>
        <v>0</v>
      </c>
      <c r="J133" s="1341">
        <v>0</v>
      </c>
      <c r="K133" s="1341">
        <v>0</v>
      </c>
      <c r="L133" s="876">
        <f t="shared" si="22"/>
        <v>0</v>
      </c>
      <c r="M133" s="877">
        <f t="shared" si="22"/>
        <v>0</v>
      </c>
      <c r="N133" s="877">
        <f t="shared" si="22"/>
        <v>0</v>
      </c>
      <c r="O133" s="1214" t="s">
        <v>1192</v>
      </c>
      <c r="P133" s="1214" t="s">
        <v>1215</v>
      </c>
      <c r="Q133" s="1065">
        <f t="shared" si="26"/>
        <v>0</v>
      </c>
      <c r="R133" s="1065">
        <f t="shared" si="26"/>
        <v>0</v>
      </c>
      <c r="S133" s="1065">
        <f t="shared" si="26"/>
        <v>0</v>
      </c>
      <c r="T133" s="1099" t="s">
        <v>886</v>
      </c>
      <c r="U133" s="1100" t="s">
        <v>892</v>
      </c>
      <c r="V133" s="1099">
        <v>414</v>
      </c>
      <c r="W133" s="1099">
        <v>14084</v>
      </c>
      <c r="Z133" s="1311">
        <f t="shared" si="14"/>
        <v>0</v>
      </c>
      <c r="AA133" s="1374">
        <f t="shared" si="16"/>
        <v>0</v>
      </c>
      <c r="AB133" s="1374">
        <f t="shared" si="15"/>
        <v>0</v>
      </c>
    </row>
    <row r="134" spans="1:28" ht="54" customHeight="1">
      <c r="A134" s="1335" t="s">
        <v>746</v>
      </c>
      <c r="B134" s="1127" t="s">
        <v>850</v>
      </c>
      <c r="C134" s="871">
        <f t="shared" si="23"/>
        <v>792</v>
      </c>
      <c r="D134" s="1249">
        <v>0</v>
      </c>
      <c r="E134" s="1255">
        <v>792</v>
      </c>
      <c r="F134" s="1347">
        <f t="shared" si="24"/>
        <v>792</v>
      </c>
      <c r="G134" s="1337">
        <v>0</v>
      </c>
      <c r="H134" s="970">
        <f t="shared" si="27"/>
        <v>792</v>
      </c>
      <c r="I134" s="1340">
        <f t="shared" si="25"/>
        <v>0</v>
      </c>
      <c r="J134" s="1341">
        <v>0</v>
      </c>
      <c r="K134" s="1341">
        <v>0</v>
      </c>
      <c r="L134" s="876">
        <f t="shared" si="22"/>
        <v>0</v>
      </c>
      <c r="M134" s="877">
        <f t="shared" si="22"/>
        <v>0</v>
      </c>
      <c r="N134" s="877">
        <f t="shared" si="22"/>
        <v>0</v>
      </c>
      <c r="O134" s="1214" t="s">
        <v>1192</v>
      </c>
      <c r="P134" s="1214" t="s">
        <v>1216</v>
      </c>
      <c r="Q134" s="1065">
        <f t="shared" si="26"/>
        <v>0</v>
      </c>
      <c r="R134" s="1065">
        <f t="shared" si="26"/>
        <v>0</v>
      </c>
      <c r="S134" s="1065">
        <f t="shared" si="26"/>
        <v>0</v>
      </c>
      <c r="T134" s="1099" t="s">
        <v>886</v>
      </c>
      <c r="U134" s="1100" t="s">
        <v>892</v>
      </c>
      <c r="V134" s="1099">
        <v>414</v>
      </c>
      <c r="W134" s="1099">
        <v>14085</v>
      </c>
      <c r="Z134" s="1311">
        <f t="shared" si="14"/>
        <v>0</v>
      </c>
      <c r="AA134" s="1374">
        <f t="shared" si="16"/>
        <v>0</v>
      </c>
      <c r="AB134" s="1374">
        <f t="shared" si="15"/>
        <v>0</v>
      </c>
    </row>
    <row r="135" spans="1:28" ht="54" customHeight="1">
      <c r="A135" s="1335" t="s">
        <v>747</v>
      </c>
      <c r="B135" s="1127" t="s">
        <v>851</v>
      </c>
      <c r="C135" s="871">
        <f t="shared" si="23"/>
        <v>1026</v>
      </c>
      <c r="D135" s="1249">
        <v>0</v>
      </c>
      <c r="E135" s="1255">
        <v>1026</v>
      </c>
      <c r="F135" s="1347">
        <f t="shared" si="24"/>
        <v>1026</v>
      </c>
      <c r="G135" s="1337">
        <v>0</v>
      </c>
      <c r="H135" s="970">
        <f t="shared" si="27"/>
        <v>1026</v>
      </c>
      <c r="I135" s="1340">
        <f t="shared" si="25"/>
        <v>0</v>
      </c>
      <c r="J135" s="1341">
        <v>0</v>
      </c>
      <c r="K135" s="1341">
        <v>0</v>
      </c>
      <c r="L135" s="876">
        <f t="shared" si="22"/>
        <v>0</v>
      </c>
      <c r="M135" s="877">
        <f t="shared" si="22"/>
        <v>0</v>
      </c>
      <c r="N135" s="877">
        <f t="shared" si="22"/>
        <v>0</v>
      </c>
      <c r="O135" s="1214" t="s">
        <v>1192</v>
      </c>
      <c r="P135" s="1214" t="s">
        <v>1217</v>
      </c>
      <c r="Q135" s="1065">
        <f t="shared" si="26"/>
        <v>0</v>
      </c>
      <c r="R135" s="1065">
        <f t="shared" si="26"/>
        <v>0</v>
      </c>
      <c r="S135" s="1065">
        <f t="shared" si="26"/>
        <v>0</v>
      </c>
      <c r="T135" s="1099" t="s">
        <v>886</v>
      </c>
      <c r="U135" s="1100" t="s">
        <v>892</v>
      </c>
      <c r="V135" s="1099">
        <v>414</v>
      </c>
      <c r="W135" s="1099">
        <v>14086</v>
      </c>
      <c r="Z135" s="1311">
        <f t="shared" si="14"/>
        <v>0</v>
      </c>
      <c r="AA135" s="1374">
        <f t="shared" si="16"/>
        <v>0</v>
      </c>
      <c r="AB135" s="1374">
        <f t="shared" si="15"/>
        <v>0</v>
      </c>
    </row>
    <row r="136" spans="1:28" ht="54" customHeight="1">
      <c r="A136" s="1335" t="s">
        <v>748</v>
      </c>
      <c r="B136" s="1127" t="s">
        <v>852</v>
      </c>
      <c r="C136" s="871">
        <f t="shared" si="23"/>
        <v>669</v>
      </c>
      <c r="D136" s="1249">
        <v>0</v>
      </c>
      <c r="E136" s="1255">
        <v>669</v>
      </c>
      <c r="F136" s="1347">
        <f t="shared" si="24"/>
        <v>669</v>
      </c>
      <c r="G136" s="1337">
        <v>0</v>
      </c>
      <c r="H136" s="970">
        <f t="shared" si="27"/>
        <v>669</v>
      </c>
      <c r="I136" s="1340">
        <f t="shared" si="25"/>
        <v>0</v>
      </c>
      <c r="J136" s="1341">
        <v>0</v>
      </c>
      <c r="K136" s="1341">
        <v>0</v>
      </c>
      <c r="L136" s="876">
        <f t="shared" si="22"/>
        <v>0</v>
      </c>
      <c r="M136" s="877">
        <f t="shared" si="22"/>
        <v>0</v>
      </c>
      <c r="N136" s="877">
        <f t="shared" si="22"/>
        <v>0</v>
      </c>
      <c r="O136" s="1214" t="s">
        <v>1192</v>
      </c>
      <c r="P136" s="1214" t="s">
        <v>1218</v>
      </c>
      <c r="Q136" s="1065">
        <f t="shared" si="26"/>
        <v>0</v>
      </c>
      <c r="R136" s="1065">
        <f t="shared" si="26"/>
        <v>0</v>
      </c>
      <c r="S136" s="1065">
        <f t="shared" si="26"/>
        <v>0</v>
      </c>
      <c r="T136" s="1099" t="s">
        <v>886</v>
      </c>
      <c r="U136" s="1100" t="s">
        <v>892</v>
      </c>
      <c r="V136" s="1099">
        <v>414</v>
      </c>
      <c r="W136" s="1099">
        <v>14087</v>
      </c>
      <c r="Z136" s="1311">
        <f t="shared" si="14"/>
        <v>0</v>
      </c>
      <c r="AA136" s="1374">
        <f t="shared" si="16"/>
        <v>0</v>
      </c>
      <c r="AB136" s="1374">
        <f t="shared" si="15"/>
        <v>0</v>
      </c>
    </row>
    <row r="137" spans="1:28" ht="54" customHeight="1">
      <c r="A137" s="1335" t="s">
        <v>749</v>
      </c>
      <c r="B137" s="1127" t="s">
        <v>853</v>
      </c>
      <c r="C137" s="871">
        <f t="shared" si="23"/>
        <v>879</v>
      </c>
      <c r="D137" s="972">
        <v>0</v>
      </c>
      <c r="E137" s="1255">
        <v>879</v>
      </c>
      <c r="F137" s="1347">
        <f t="shared" si="24"/>
        <v>879</v>
      </c>
      <c r="G137" s="1337">
        <v>0</v>
      </c>
      <c r="H137" s="970">
        <f t="shared" si="27"/>
        <v>879</v>
      </c>
      <c r="I137" s="1340">
        <f t="shared" si="25"/>
        <v>0</v>
      </c>
      <c r="J137" s="1341">
        <v>0</v>
      </c>
      <c r="K137" s="1341">
        <v>0</v>
      </c>
      <c r="L137" s="876">
        <f t="shared" si="22"/>
        <v>0</v>
      </c>
      <c r="M137" s="877">
        <f t="shared" si="22"/>
        <v>0</v>
      </c>
      <c r="N137" s="877">
        <f t="shared" si="22"/>
        <v>0</v>
      </c>
      <c r="O137" s="1214" t="s">
        <v>1192</v>
      </c>
      <c r="P137" s="1214" t="s">
        <v>1212</v>
      </c>
      <c r="Q137" s="1065">
        <f t="shared" si="26"/>
        <v>0</v>
      </c>
      <c r="R137" s="1065">
        <f t="shared" si="26"/>
        <v>0</v>
      </c>
      <c r="S137" s="1065">
        <f t="shared" si="26"/>
        <v>0</v>
      </c>
      <c r="T137" s="1099" t="s">
        <v>886</v>
      </c>
      <c r="U137" s="1100" t="s">
        <v>892</v>
      </c>
      <c r="V137" s="1099">
        <v>414</v>
      </c>
      <c r="W137" s="1099">
        <v>14088</v>
      </c>
      <c r="Z137" s="1311">
        <f t="shared" si="14"/>
        <v>0</v>
      </c>
      <c r="AA137" s="1374">
        <f t="shared" si="16"/>
        <v>0</v>
      </c>
      <c r="AB137" s="1374">
        <f t="shared" si="15"/>
        <v>0</v>
      </c>
    </row>
    <row r="138" spans="1:28" s="515" customFormat="1" ht="115.5" customHeight="1">
      <c r="A138" s="1331" t="s">
        <v>750</v>
      </c>
      <c r="B138" s="987" t="s">
        <v>864</v>
      </c>
      <c r="C138" s="871">
        <f t="shared" si="23"/>
        <v>27147</v>
      </c>
      <c r="D138" s="1249">
        <v>0</v>
      </c>
      <c r="E138" s="1249">
        <v>27147</v>
      </c>
      <c r="F138" s="1347">
        <f>SUM(G138:H138)</f>
        <v>27147</v>
      </c>
      <c r="G138" s="1337">
        <v>0</v>
      </c>
      <c r="H138" s="970">
        <f t="shared" si="27"/>
        <v>27147</v>
      </c>
      <c r="I138" s="1340">
        <f t="shared" si="25"/>
        <v>0</v>
      </c>
      <c r="J138" s="1337">
        <v>0</v>
      </c>
      <c r="K138" s="1337">
        <v>0</v>
      </c>
      <c r="L138" s="876">
        <f t="shared" si="22"/>
        <v>0</v>
      </c>
      <c r="M138" s="877">
        <f t="shared" si="22"/>
        <v>0</v>
      </c>
      <c r="N138" s="877">
        <f t="shared" si="22"/>
        <v>0</v>
      </c>
      <c r="O138" s="1214" t="s">
        <v>1192</v>
      </c>
      <c r="P138" s="1214" t="s">
        <v>1219</v>
      </c>
      <c r="Q138" s="1065">
        <f t="shared" si="26"/>
        <v>0</v>
      </c>
      <c r="R138" s="1065">
        <f t="shared" si="26"/>
        <v>0</v>
      </c>
      <c r="S138" s="1065">
        <f t="shared" si="26"/>
        <v>0</v>
      </c>
      <c r="T138" s="1099" t="s">
        <v>872</v>
      </c>
      <c r="U138" s="1100">
        <v>1130390400</v>
      </c>
      <c r="V138" s="1099">
        <v>414</v>
      </c>
      <c r="W138" s="1099">
        <v>10122</v>
      </c>
      <c r="X138" s="1220"/>
      <c r="Z138" s="1311">
        <f t="shared" si="14"/>
        <v>0</v>
      </c>
      <c r="AA138" s="1374">
        <f t="shared" si="16"/>
        <v>0</v>
      </c>
      <c r="AB138" s="1374">
        <f t="shared" si="15"/>
        <v>0</v>
      </c>
    </row>
    <row r="139" spans="1:28" s="515" customFormat="1" ht="54" customHeight="1">
      <c r="A139" s="1331" t="s">
        <v>751</v>
      </c>
      <c r="B139" s="1278" t="s">
        <v>1317</v>
      </c>
      <c r="C139" s="871">
        <f>SUM(D139:E139)</f>
        <v>4800</v>
      </c>
      <c r="D139" s="1249">
        <v>0</v>
      </c>
      <c r="E139" s="1249">
        <v>4800</v>
      </c>
      <c r="F139" s="1347">
        <f>SUM(G139:H139)</f>
        <v>4800</v>
      </c>
      <c r="G139" s="1337">
        <v>0</v>
      </c>
      <c r="H139" s="970">
        <f t="shared" si="27"/>
        <v>4800</v>
      </c>
      <c r="I139" s="1340">
        <f>SUM(J139:K139)</f>
        <v>0</v>
      </c>
      <c r="J139" s="1337">
        <v>0</v>
      </c>
      <c r="K139" s="1337">
        <v>0</v>
      </c>
      <c r="L139" s="876">
        <f>IF(I139=0,0,I139/F139*100)</f>
        <v>0</v>
      </c>
      <c r="M139" s="877">
        <f>IF(J139=0,0,J139/G139*100)</f>
        <v>0</v>
      </c>
      <c r="N139" s="877">
        <f>IF(K139=0,0,K139/H139*100)</f>
        <v>0</v>
      </c>
      <c r="O139" s="1214"/>
      <c r="P139" s="1214"/>
      <c r="Q139" s="1065"/>
      <c r="R139" s="1065"/>
      <c r="S139" s="1065"/>
      <c r="T139" s="1099"/>
      <c r="U139" s="1100"/>
      <c r="V139" s="1099"/>
      <c r="W139" s="1099"/>
      <c r="X139" s="1220"/>
      <c r="Z139" s="1311">
        <f t="shared" si="14"/>
        <v>0</v>
      </c>
      <c r="AA139" s="1374">
        <f t="shared" si="16"/>
        <v>0</v>
      </c>
      <c r="AB139" s="1374">
        <f t="shared" si="15"/>
        <v>0</v>
      </c>
    </row>
    <row r="140" spans="1:28" ht="58.5" customHeight="1">
      <c r="A140" s="1335" t="s">
        <v>854</v>
      </c>
      <c r="B140" s="1127" t="s">
        <v>522</v>
      </c>
      <c r="C140" s="871">
        <f t="shared" si="23"/>
        <v>54207.7</v>
      </c>
      <c r="D140" s="972">
        <v>0</v>
      </c>
      <c r="E140" s="1255">
        <v>54207.7</v>
      </c>
      <c r="F140" s="1347">
        <f t="shared" si="24"/>
        <v>54207.7</v>
      </c>
      <c r="G140" s="1341">
        <v>0</v>
      </c>
      <c r="H140" s="970">
        <f t="shared" si="27"/>
        <v>54207.7</v>
      </c>
      <c r="I140" s="1340">
        <f t="shared" si="25"/>
        <v>10950</v>
      </c>
      <c r="J140" s="1341">
        <v>0</v>
      </c>
      <c r="K140" s="1341">
        <v>10950</v>
      </c>
      <c r="L140" s="876">
        <f t="shared" si="22"/>
        <v>20.2</v>
      </c>
      <c r="M140" s="877">
        <f t="shared" si="22"/>
        <v>0</v>
      </c>
      <c r="N140" s="877">
        <f t="shared" si="22"/>
        <v>20.2</v>
      </c>
      <c r="O140" s="1214" t="s">
        <v>1238</v>
      </c>
      <c r="P140" s="1214" t="s">
        <v>1220</v>
      </c>
      <c r="Q140" s="1065">
        <f t="shared" si="26"/>
        <v>0</v>
      </c>
      <c r="R140" s="1065">
        <f t="shared" si="26"/>
        <v>0</v>
      </c>
      <c r="S140" s="1065">
        <f t="shared" si="26"/>
        <v>0</v>
      </c>
      <c r="T140" s="1099" t="s">
        <v>886</v>
      </c>
      <c r="U140" s="1100">
        <v>1900290400</v>
      </c>
      <c r="V140" s="1099">
        <v>414</v>
      </c>
      <c r="W140" s="1099">
        <v>10123</v>
      </c>
      <c r="Z140" s="1311">
        <f t="shared" ref="Z140:Z206" si="28">C140-F140</f>
        <v>0</v>
      </c>
      <c r="AA140" s="1374">
        <f t="shared" si="16"/>
        <v>0</v>
      </c>
      <c r="AB140" s="1374">
        <f>E140-H140</f>
        <v>0</v>
      </c>
    </row>
    <row r="141" spans="1:28" ht="69" customHeight="1">
      <c r="A141" s="1335" t="s">
        <v>820</v>
      </c>
      <c r="B141" s="1127" t="s">
        <v>919</v>
      </c>
      <c r="C141" s="871">
        <f t="shared" si="23"/>
        <v>37461.300000000003</v>
      </c>
      <c r="D141" s="972">
        <v>0</v>
      </c>
      <c r="E141" s="1255">
        <v>37461.300000000003</v>
      </c>
      <c r="F141" s="1347">
        <f t="shared" si="24"/>
        <v>37461.300000000003</v>
      </c>
      <c r="G141" s="1341">
        <v>0</v>
      </c>
      <c r="H141" s="970">
        <f t="shared" si="27"/>
        <v>37461.300000000003</v>
      </c>
      <c r="I141" s="1340">
        <f t="shared" si="25"/>
        <v>0</v>
      </c>
      <c r="J141" s="1341">
        <v>0</v>
      </c>
      <c r="K141" s="1341">
        <v>0</v>
      </c>
      <c r="L141" s="876">
        <f t="shared" si="22"/>
        <v>0</v>
      </c>
      <c r="M141" s="877">
        <f t="shared" si="22"/>
        <v>0</v>
      </c>
      <c r="N141" s="877">
        <f t="shared" si="22"/>
        <v>0</v>
      </c>
      <c r="O141" s="1214" t="s">
        <v>1239</v>
      </c>
      <c r="P141" s="1214" t="s">
        <v>1221</v>
      </c>
      <c r="Q141" s="1065">
        <f t="shared" si="26"/>
        <v>0</v>
      </c>
      <c r="R141" s="1065">
        <f t="shared" si="26"/>
        <v>0</v>
      </c>
      <c r="S141" s="1065">
        <f t="shared" si="26"/>
        <v>0</v>
      </c>
      <c r="T141" s="1099" t="s">
        <v>886</v>
      </c>
      <c r="U141" s="1100">
        <v>1900290400</v>
      </c>
      <c r="V141" s="1099">
        <v>414</v>
      </c>
      <c r="W141" s="1099">
        <v>10124</v>
      </c>
      <c r="Z141" s="1311">
        <f t="shared" si="28"/>
        <v>0</v>
      </c>
      <c r="AA141" s="1374">
        <f t="shared" ref="AA141:AA204" si="29">C141-F141</f>
        <v>0</v>
      </c>
      <c r="AB141" s="1374">
        <f>E141-H141</f>
        <v>0</v>
      </c>
    </row>
    <row r="142" spans="1:28" ht="56.25" customHeight="1">
      <c r="A142" s="1335" t="s">
        <v>834</v>
      </c>
      <c r="B142" s="1127" t="s">
        <v>1318</v>
      </c>
      <c r="C142" s="871">
        <f t="shared" si="23"/>
        <v>3403.5</v>
      </c>
      <c r="D142" s="972">
        <v>0</v>
      </c>
      <c r="E142" s="1255">
        <v>3403.5</v>
      </c>
      <c r="F142" s="1347">
        <f t="shared" si="24"/>
        <v>3403.5</v>
      </c>
      <c r="G142" s="1341"/>
      <c r="H142" s="970">
        <f>E142</f>
        <v>3403.5</v>
      </c>
      <c r="I142" s="1340">
        <f t="shared" si="25"/>
        <v>0</v>
      </c>
      <c r="J142" s="1341"/>
      <c r="K142" s="1341"/>
      <c r="L142" s="876">
        <f>IF(I142=0,0,I142/F142*100)</f>
        <v>0</v>
      </c>
      <c r="M142" s="877">
        <f>IF(J142=0,0,J142/G142*100)</f>
        <v>0</v>
      </c>
      <c r="N142" s="877">
        <f>IF(K142=0,0,K142/H142*100)</f>
        <v>0</v>
      </c>
      <c r="O142" s="1214"/>
      <c r="P142" s="1214"/>
      <c r="Q142" s="1065"/>
      <c r="R142" s="1065"/>
      <c r="S142" s="1065"/>
      <c r="Z142" s="1311">
        <f t="shared" si="28"/>
        <v>0</v>
      </c>
      <c r="AA142" s="1374">
        <f t="shared" si="29"/>
        <v>0</v>
      </c>
      <c r="AB142" s="1374">
        <f>E142-H142</f>
        <v>0</v>
      </c>
    </row>
    <row r="143" spans="1:28" ht="83.25" customHeight="1">
      <c r="A143" s="1345" t="s">
        <v>835</v>
      </c>
      <c r="B143" s="1127" t="s">
        <v>1331</v>
      </c>
      <c r="C143" s="871">
        <f t="shared" si="23"/>
        <v>7459.4</v>
      </c>
      <c r="D143" s="972"/>
      <c r="E143" s="1255">
        <v>7459.35</v>
      </c>
      <c r="F143" s="1347">
        <f t="shared" si="24"/>
        <v>7459.4</v>
      </c>
      <c r="G143" s="1341"/>
      <c r="H143" s="970">
        <f>E143</f>
        <v>7459.35</v>
      </c>
      <c r="I143" s="1340">
        <f>SUM(J143:K143)</f>
        <v>0</v>
      </c>
      <c r="J143" s="1341"/>
      <c r="K143" s="1341"/>
      <c r="L143" s="876">
        <f>IF(I143=0,0,I143/F143*100)</f>
        <v>0</v>
      </c>
      <c r="M143" s="877"/>
      <c r="N143" s="877"/>
      <c r="O143" s="1214"/>
      <c r="P143" s="1214"/>
      <c r="Q143" s="1065"/>
      <c r="R143" s="1065"/>
      <c r="S143" s="1065"/>
      <c r="Z143" s="1311"/>
      <c r="AA143" s="1374">
        <f t="shared" si="29"/>
        <v>0</v>
      </c>
      <c r="AB143" s="1374">
        <f>E143-H143</f>
        <v>0</v>
      </c>
    </row>
    <row r="144" spans="1:28" s="914" customFormat="1" ht="72.75" customHeight="1">
      <c r="A144" s="1051"/>
      <c r="B144" s="1261" t="s">
        <v>444</v>
      </c>
      <c r="C144" s="1051">
        <f>SUM(D144:E144)</f>
        <v>2364953.4</v>
      </c>
      <c r="D144" s="1051">
        <f>SUM(D145:D203)</f>
        <v>2117595.4</v>
      </c>
      <c r="E144" s="1051">
        <f>SUM(E145:E203)</f>
        <v>247358</v>
      </c>
      <c r="F144" s="1051">
        <f>SUM(G144:H144)</f>
        <v>2364953.4</v>
      </c>
      <c r="G144" s="1051">
        <f>SUM(G145:G203)</f>
        <v>2117595.4</v>
      </c>
      <c r="H144" s="1051">
        <f>SUM(H145:H203)</f>
        <v>247358</v>
      </c>
      <c r="I144" s="1051">
        <f>SUM(J144:K144)</f>
        <v>393380</v>
      </c>
      <c r="J144" s="1051">
        <f>SUM(J145:J203)</f>
        <v>334708.5</v>
      </c>
      <c r="K144" s="1051">
        <f>SUM(K145:K203)</f>
        <v>58671.5</v>
      </c>
      <c r="L144" s="1053">
        <f t="shared" si="22"/>
        <v>16.600000000000001</v>
      </c>
      <c r="M144" s="1053">
        <f t="shared" si="22"/>
        <v>15.8</v>
      </c>
      <c r="N144" s="1053">
        <f t="shared" si="22"/>
        <v>23.7</v>
      </c>
      <c r="O144" s="1214"/>
      <c r="P144" s="1214"/>
      <c r="Q144" s="1065">
        <f t="shared" si="26"/>
        <v>0</v>
      </c>
      <c r="R144" s="1065">
        <f t="shared" si="26"/>
        <v>0</v>
      </c>
      <c r="S144" s="1065">
        <f t="shared" si="26"/>
        <v>0</v>
      </c>
      <c r="T144" s="1114"/>
      <c r="U144" s="1100"/>
      <c r="V144" s="1099"/>
      <c r="W144" s="1099"/>
      <c r="X144" s="1216"/>
      <c r="Z144" s="1311">
        <f t="shared" si="28"/>
        <v>0</v>
      </c>
      <c r="AA144" s="1374">
        <f t="shared" si="29"/>
        <v>0</v>
      </c>
      <c r="AB144" s="1374">
        <f>E144-H144</f>
        <v>0</v>
      </c>
    </row>
    <row r="145" spans="1:28" ht="120" customHeight="1">
      <c r="A145" s="1344" t="s">
        <v>826</v>
      </c>
      <c r="B145" s="955" t="s">
        <v>648</v>
      </c>
      <c r="C145" s="871">
        <f t="shared" si="23"/>
        <v>800</v>
      </c>
      <c r="D145" s="1249">
        <v>0</v>
      </c>
      <c r="E145" s="1249">
        <v>800</v>
      </c>
      <c r="F145" s="1347">
        <f t="shared" si="24"/>
        <v>800</v>
      </c>
      <c r="G145" s="1337">
        <f>D145</f>
        <v>0</v>
      </c>
      <c r="H145" s="1337">
        <f>E145</f>
        <v>800</v>
      </c>
      <c r="I145" s="1340">
        <f t="shared" si="25"/>
        <v>800</v>
      </c>
      <c r="J145" s="1337">
        <v>0</v>
      </c>
      <c r="K145" s="1337">
        <v>800</v>
      </c>
      <c r="L145" s="876">
        <f t="shared" si="22"/>
        <v>100</v>
      </c>
      <c r="M145" s="877">
        <f t="shared" si="22"/>
        <v>0</v>
      </c>
      <c r="N145" s="877">
        <f t="shared" si="22"/>
        <v>100</v>
      </c>
      <c r="O145" s="1214" t="s">
        <v>1290</v>
      </c>
      <c r="P145" s="1214" t="s">
        <v>1240</v>
      </c>
      <c r="Q145" s="1065">
        <f t="shared" si="26"/>
        <v>0</v>
      </c>
      <c r="R145" s="1065">
        <f t="shared" si="26"/>
        <v>0</v>
      </c>
      <c r="S145" s="1065">
        <f t="shared" si="26"/>
        <v>0</v>
      </c>
      <c r="T145" s="1099" t="s">
        <v>886</v>
      </c>
      <c r="U145" s="1100">
        <v>1820190400</v>
      </c>
      <c r="V145" s="1099">
        <v>414</v>
      </c>
      <c r="W145" s="1099">
        <v>14054</v>
      </c>
      <c r="Z145" s="1311">
        <f t="shared" si="28"/>
        <v>0</v>
      </c>
      <c r="AA145" s="1374">
        <f t="shared" si="29"/>
        <v>0</v>
      </c>
      <c r="AB145" s="1374">
        <f t="shared" ref="AB145:AB208" si="30">E145-H145</f>
        <v>0</v>
      </c>
    </row>
    <row r="146" spans="1:28" s="736" customFormat="1" ht="122.25" customHeight="1">
      <c r="A146" s="1344" t="s">
        <v>827</v>
      </c>
      <c r="B146" s="956" t="s">
        <v>649</v>
      </c>
      <c r="C146" s="871">
        <f t="shared" si="23"/>
        <v>100</v>
      </c>
      <c r="D146" s="1249">
        <v>0</v>
      </c>
      <c r="E146" s="1249">
        <v>100</v>
      </c>
      <c r="F146" s="1347">
        <f t="shared" si="24"/>
        <v>100</v>
      </c>
      <c r="G146" s="1337">
        <f t="shared" ref="G146:H203" si="31">D146</f>
        <v>0</v>
      </c>
      <c r="H146" s="1337">
        <f t="shared" si="31"/>
        <v>100</v>
      </c>
      <c r="I146" s="1340">
        <f t="shared" si="25"/>
        <v>0</v>
      </c>
      <c r="J146" s="1337">
        <v>0</v>
      </c>
      <c r="K146" s="1337">
        <v>0</v>
      </c>
      <c r="L146" s="876">
        <f t="shared" si="22"/>
        <v>0</v>
      </c>
      <c r="M146" s="877">
        <f t="shared" si="22"/>
        <v>0</v>
      </c>
      <c r="N146" s="877">
        <f t="shared" si="22"/>
        <v>0</v>
      </c>
      <c r="O146" s="1214" t="s">
        <v>1291</v>
      </c>
      <c r="P146" s="1214" t="s">
        <v>1241</v>
      </c>
      <c r="Q146" s="1065">
        <f t="shared" si="26"/>
        <v>0</v>
      </c>
      <c r="R146" s="1065">
        <f t="shared" si="26"/>
        <v>0</v>
      </c>
      <c r="S146" s="1065">
        <f t="shared" si="26"/>
        <v>0</v>
      </c>
      <c r="T146" s="1099" t="s">
        <v>886</v>
      </c>
      <c r="U146" s="1100">
        <v>1820190400</v>
      </c>
      <c r="V146" s="1099">
        <v>414</v>
      </c>
      <c r="W146" s="1099">
        <v>14056</v>
      </c>
      <c r="X146" s="1216"/>
      <c r="Z146" s="1311">
        <f t="shared" si="28"/>
        <v>0</v>
      </c>
      <c r="AA146" s="1374">
        <f t="shared" si="29"/>
        <v>0</v>
      </c>
      <c r="AB146" s="1374">
        <f t="shared" si="30"/>
        <v>0</v>
      </c>
    </row>
    <row r="147" spans="1:28" s="736" customFormat="1" ht="112.5" customHeight="1">
      <c r="A147" s="1344" t="s">
        <v>752</v>
      </c>
      <c r="B147" s="956" t="s">
        <v>650</v>
      </c>
      <c r="C147" s="871">
        <f t="shared" si="23"/>
        <v>1500</v>
      </c>
      <c r="D147" s="1249">
        <v>0</v>
      </c>
      <c r="E147" s="1249">
        <v>1500</v>
      </c>
      <c r="F147" s="1347">
        <f t="shared" si="24"/>
        <v>1500</v>
      </c>
      <c r="G147" s="1337">
        <f t="shared" si="31"/>
        <v>0</v>
      </c>
      <c r="H147" s="1337">
        <f t="shared" si="31"/>
        <v>1500</v>
      </c>
      <c r="I147" s="1340">
        <f t="shared" si="25"/>
        <v>0</v>
      </c>
      <c r="J147" s="1337">
        <v>0</v>
      </c>
      <c r="K147" s="1337">
        <v>0</v>
      </c>
      <c r="L147" s="876">
        <f t="shared" si="22"/>
        <v>0</v>
      </c>
      <c r="M147" s="877">
        <f t="shared" si="22"/>
        <v>0</v>
      </c>
      <c r="N147" s="877">
        <f t="shared" si="22"/>
        <v>0</v>
      </c>
      <c r="O147" s="1214" t="s">
        <v>1292</v>
      </c>
      <c r="P147" s="1214" t="s">
        <v>1242</v>
      </c>
      <c r="Q147" s="1065">
        <f t="shared" si="26"/>
        <v>0</v>
      </c>
      <c r="R147" s="1065">
        <f t="shared" si="26"/>
        <v>0</v>
      </c>
      <c r="S147" s="1065">
        <f t="shared" si="26"/>
        <v>0</v>
      </c>
      <c r="T147" s="1099" t="s">
        <v>886</v>
      </c>
      <c r="U147" s="1100">
        <v>1820190400</v>
      </c>
      <c r="V147" s="1099">
        <v>414</v>
      </c>
      <c r="W147" s="1099">
        <v>14055</v>
      </c>
      <c r="X147" s="1216"/>
      <c r="Z147" s="1311">
        <f t="shared" si="28"/>
        <v>0</v>
      </c>
      <c r="AA147" s="1374">
        <f t="shared" si="29"/>
        <v>0</v>
      </c>
      <c r="AB147" s="1374">
        <f t="shared" si="30"/>
        <v>0</v>
      </c>
    </row>
    <row r="148" spans="1:28" s="736" customFormat="1" ht="129.75" customHeight="1">
      <c r="A148" s="1345" t="s">
        <v>753</v>
      </c>
      <c r="B148" s="956" t="s">
        <v>651</v>
      </c>
      <c r="C148" s="871">
        <f t="shared" si="23"/>
        <v>100</v>
      </c>
      <c r="D148" s="1249">
        <v>0</v>
      </c>
      <c r="E148" s="1249">
        <v>100</v>
      </c>
      <c r="F148" s="1347">
        <f t="shared" si="24"/>
        <v>100</v>
      </c>
      <c r="G148" s="1337">
        <f t="shared" si="31"/>
        <v>0</v>
      </c>
      <c r="H148" s="1337">
        <f t="shared" si="31"/>
        <v>100</v>
      </c>
      <c r="I148" s="1340">
        <f t="shared" si="25"/>
        <v>100</v>
      </c>
      <c r="J148" s="1337">
        <v>0</v>
      </c>
      <c r="K148" s="1337">
        <v>100</v>
      </c>
      <c r="L148" s="876">
        <f t="shared" si="22"/>
        <v>100</v>
      </c>
      <c r="M148" s="877">
        <f t="shared" si="22"/>
        <v>0</v>
      </c>
      <c r="N148" s="877">
        <f t="shared" si="22"/>
        <v>100</v>
      </c>
      <c r="O148" s="1214" t="s">
        <v>1293</v>
      </c>
      <c r="P148" s="1214" t="s">
        <v>1101</v>
      </c>
      <c r="Q148" s="1065">
        <f t="shared" si="26"/>
        <v>0</v>
      </c>
      <c r="R148" s="1065">
        <f t="shared" si="26"/>
        <v>0</v>
      </c>
      <c r="S148" s="1065">
        <f t="shared" si="26"/>
        <v>0</v>
      </c>
      <c r="T148" s="1099" t="s">
        <v>886</v>
      </c>
      <c r="U148" s="1100">
        <v>1820190400</v>
      </c>
      <c r="V148" s="1099">
        <v>414</v>
      </c>
      <c r="W148" s="1099">
        <v>14021</v>
      </c>
      <c r="X148" s="1216"/>
      <c r="Z148" s="1311">
        <f t="shared" si="28"/>
        <v>0</v>
      </c>
      <c r="AA148" s="1374">
        <f t="shared" si="29"/>
        <v>0</v>
      </c>
      <c r="AB148" s="1374">
        <f t="shared" si="30"/>
        <v>0</v>
      </c>
    </row>
    <row r="149" spans="1:28" s="736" customFormat="1" ht="92.25" customHeight="1">
      <c r="A149" s="1345" t="s">
        <v>754</v>
      </c>
      <c r="B149" s="956" t="s">
        <v>830</v>
      </c>
      <c r="C149" s="871">
        <f t="shared" si="23"/>
        <v>2800</v>
      </c>
      <c r="D149" s="1249">
        <v>0</v>
      </c>
      <c r="E149" s="1249">
        <f>100+2700</f>
        <v>2800</v>
      </c>
      <c r="F149" s="1347">
        <f t="shared" si="24"/>
        <v>2800</v>
      </c>
      <c r="G149" s="1337">
        <f t="shared" si="31"/>
        <v>0</v>
      </c>
      <c r="H149" s="1337">
        <f t="shared" si="31"/>
        <v>2800</v>
      </c>
      <c r="I149" s="1340">
        <f t="shared" si="25"/>
        <v>0</v>
      </c>
      <c r="J149" s="1337">
        <v>0</v>
      </c>
      <c r="K149" s="1337">
        <v>0</v>
      </c>
      <c r="L149" s="876">
        <f t="shared" si="22"/>
        <v>0</v>
      </c>
      <c r="M149" s="877">
        <f t="shared" si="22"/>
        <v>0</v>
      </c>
      <c r="N149" s="877">
        <f t="shared" si="22"/>
        <v>0</v>
      </c>
      <c r="O149" s="1214" t="s">
        <v>1192</v>
      </c>
      <c r="P149" s="1214" t="s">
        <v>1243</v>
      </c>
      <c r="Q149" s="1065">
        <f t="shared" si="26"/>
        <v>0</v>
      </c>
      <c r="R149" s="1065">
        <f t="shared" si="26"/>
        <v>0</v>
      </c>
      <c r="S149" s="1065">
        <f t="shared" si="26"/>
        <v>0</v>
      </c>
      <c r="T149" s="1099" t="s">
        <v>886</v>
      </c>
      <c r="U149" s="1100">
        <v>1820190400</v>
      </c>
      <c r="V149" s="1099">
        <v>414</v>
      </c>
      <c r="W149" s="1099">
        <v>14046</v>
      </c>
      <c r="X149" s="1216"/>
      <c r="Z149" s="1311">
        <f t="shared" si="28"/>
        <v>0</v>
      </c>
      <c r="AA149" s="1374">
        <f t="shared" si="29"/>
        <v>0</v>
      </c>
      <c r="AB149" s="1374">
        <f t="shared" si="30"/>
        <v>0</v>
      </c>
    </row>
    <row r="150" spans="1:28" s="736" customFormat="1" ht="84.75" customHeight="1">
      <c r="A150" s="1345" t="s">
        <v>755</v>
      </c>
      <c r="B150" s="956" t="s">
        <v>831</v>
      </c>
      <c r="C150" s="871">
        <f t="shared" si="23"/>
        <v>3100</v>
      </c>
      <c r="D150" s="1249">
        <v>0</v>
      </c>
      <c r="E150" s="1249">
        <f>100+3000</f>
        <v>3100</v>
      </c>
      <c r="F150" s="1347">
        <f t="shared" si="24"/>
        <v>3100</v>
      </c>
      <c r="G150" s="1337">
        <f t="shared" si="31"/>
        <v>0</v>
      </c>
      <c r="H150" s="1337">
        <f t="shared" si="31"/>
        <v>3100</v>
      </c>
      <c r="I150" s="1340">
        <f t="shared" si="25"/>
        <v>0</v>
      </c>
      <c r="J150" s="1337">
        <v>0</v>
      </c>
      <c r="K150" s="1337">
        <v>0</v>
      </c>
      <c r="L150" s="876">
        <f t="shared" si="22"/>
        <v>0</v>
      </c>
      <c r="M150" s="877">
        <f t="shared" si="22"/>
        <v>0</v>
      </c>
      <c r="N150" s="877">
        <f t="shared" si="22"/>
        <v>0</v>
      </c>
      <c r="O150" s="1214" t="s">
        <v>1294</v>
      </c>
      <c r="P150" s="1214" t="s">
        <v>1244</v>
      </c>
      <c r="Q150" s="1065">
        <f t="shared" si="26"/>
        <v>0</v>
      </c>
      <c r="R150" s="1065">
        <f t="shared" si="26"/>
        <v>0</v>
      </c>
      <c r="S150" s="1065">
        <f t="shared" si="26"/>
        <v>0</v>
      </c>
      <c r="T150" s="1099" t="s">
        <v>886</v>
      </c>
      <c r="U150" s="1100">
        <v>1820190400</v>
      </c>
      <c r="V150" s="1099">
        <v>414</v>
      </c>
      <c r="W150" s="1099">
        <v>14048</v>
      </c>
      <c r="X150" s="1216"/>
      <c r="Z150" s="1311">
        <f t="shared" si="28"/>
        <v>0</v>
      </c>
      <c r="AA150" s="1374">
        <f t="shared" si="29"/>
        <v>0</v>
      </c>
      <c r="AB150" s="1374">
        <f t="shared" si="30"/>
        <v>0</v>
      </c>
    </row>
    <row r="151" spans="1:28" s="736" customFormat="1" ht="84.75" customHeight="1">
      <c r="A151" s="1345" t="s">
        <v>756</v>
      </c>
      <c r="B151" s="956" t="s">
        <v>833</v>
      </c>
      <c r="C151" s="871">
        <f t="shared" si="23"/>
        <v>2200</v>
      </c>
      <c r="D151" s="1249">
        <v>0</v>
      </c>
      <c r="E151" s="1249">
        <v>2200</v>
      </c>
      <c r="F151" s="1347">
        <f t="shared" si="24"/>
        <v>2200</v>
      </c>
      <c r="G151" s="1337">
        <f t="shared" si="31"/>
        <v>0</v>
      </c>
      <c r="H151" s="1337">
        <f t="shared" si="31"/>
        <v>2200</v>
      </c>
      <c r="I151" s="1340">
        <f t="shared" si="25"/>
        <v>0</v>
      </c>
      <c r="J151" s="1337">
        <v>0</v>
      </c>
      <c r="K151" s="1337">
        <v>0</v>
      </c>
      <c r="L151" s="876">
        <f t="shared" si="22"/>
        <v>0</v>
      </c>
      <c r="M151" s="877">
        <f t="shared" si="22"/>
        <v>0</v>
      </c>
      <c r="N151" s="877">
        <f t="shared" si="22"/>
        <v>0</v>
      </c>
      <c r="O151" s="1214" t="s">
        <v>1295</v>
      </c>
      <c r="P151" s="1214" t="s">
        <v>1245</v>
      </c>
      <c r="Q151" s="1065">
        <f t="shared" si="26"/>
        <v>0</v>
      </c>
      <c r="R151" s="1065">
        <f t="shared" si="26"/>
        <v>0</v>
      </c>
      <c r="S151" s="1065">
        <f t="shared" si="26"/>
        <v>0</v>
      </c>
      <c r="T151" s="1099" t="s">
        <v>886</v>
      </c>
      <c r="U151" s="1100">
        <v>1820190400</v>
      </c>
      <c r="V151" s="1099">
        <v>414</v>
      </c>
      <c r="W151" s="1099">
        <v>14047</v>
      </c>
      <c r="X151" s="1216"/>
      <c r="Z151" s="1311">
        <f t="shared" si="28"/>
        <v>0</v>
      </c>
      <c r="AA151" s="1374">
        <f t="shared" si="29"/>
        <v>0</v>
      </c>
      <c r="AB151" s="1374">
        <f t="shared" si="30"/>
        <v>0</v>
      </c>
    </row>
    <row r="152" spans="1:28" s="736" customFormat="1" ht="78.75">
      <c r="A152" s="1345" t="s">
        <v>913</v>
      </c>
      <c r="B152" s="955" t="s">
        <v>705</v>
      </c>
      <c r="C152" s="871">
        <f t="shared" si="23"/>
        <v>53585.7</v>
      </c>
      <c r="D152" s="1249">
        <v>50369.9</v>
      </c>
      <c r="E152" s="1249">
        <v>3215.8</v>
      </c>
      <c r="F152" s="1347">
        <f t="shared" si="24"/>
        <v>53585.7</v>
      </c>
      <c r="G152" s="1337">
        <f t="shared" si="31"/>
        <v>50369.9</v>
      </c>
      <c r="H152" s="1337">
        <f t="shared" si="31"/>
        <v>3215.8</v>
      </c>
      <c r="I152" s="1340">
        <f t="shared" si="25"/>
        <v>0</v>
      </c>
      <c r="J152" s="2466">
        <v>0</v>
      </c>
      <c r="K152" s="2466">
        <v>0</v>
      </c>
      <c r="L152" s="2469">
        <f>IF(I152=0,0,I152/F152:F158*100)</f>
        <v>0</v>
      </c>
      <c r="M152" s="2470">
        <f>IF(J152=0,0,J152/G152:G158*100)</f>
        <v>0</v>
      </c>
      <c r="N152" s="2470">
        <f>IF(K152=0,0,K152/H152:H158*100)</f>
        <v>0</v>
      </c>
      <c r="O152" s="1214" t="s">
        <v>1192</v>
      </c>
      <c r="P152" s="1214" t="s">
        <v>1219</v>
      </c>
      <c r="Q152" s="1065">
        <f t="shared" si="26"/>
        <v>0</v>
      </c>
      <c r="R152" s="1065">
        <f t="shared" si="26"/>
        <v>0</v>
      </c>
      <c r="S152" s="1065">
        <f t="shared" si="26"/>
        <v>0</v>
      </c>
      <c r="T152" s="2456" t="s">
        <v>886</v>
      </c>
      <c r="U152" s="2456" t="s">
        <v>912</v>
      </c>
      <c r="V152" s="2456">
        <v>414</v>
      </c>
      <c r="W152" s="2456" t="s">
        <v>890</v>
      </c>
      <c r="X152" s="2468"/>
      <c r="Z152" s="1311">
        <f t="shared" si="28"/>
        <v>0</v>
      </c>
      <c r="AA152" s="1374">
        <f t="shared" si="29"/>
        <v>0</v>
      </c>
      <c r="AB152" s="1374">
        <f t="shared" si="30"/>
        <v>0</v>
      </c>
    </row>
    <row r="153" spans="1:28" s="736" customFormat="1" ht="93">
      <c r="A153" s="1345" t="s">
        <v>914</v>
      </c>
      <c r="B153" s="956" t="s">
        <v>704</v>
      </c>
      <c r="C153" s="871">
        <f t="shared" si="23"/>
        <v>28400</v>
      </c>
      <c r="D153" s="1249">
        <v>26696</v>
      </c>
      <c r="E153" s="1249">
        <v>1704</v>
      </c>
      <c r="F153" s="1347">
        <f t="shared" si="24"/>
        <v>28400</v>
      </c>
      <c r="G153" s="1337">
        <f t="shared" si="31"/>
        <v>26696</v>
      </c>
      <c r="H153" s="1337">
        <f t="shared" si="31"/>
        <v>1704</v>
      </c>
      <c r="I153" s="1340">
        <f t="shared" si="25"/>
        <v>0</v>
      </c>
      <c r="J153" s="2466"/>
      <c r="K153" s="2466"/>
      <c r="L153" s="2469"/>
      <c r="M153" s="2470"/>
      <c r="N153" s="2470"/>
      <c r="O153" s="1214" t="s">
        <v>1192</v>
      </c>
      <c r="P153" s="1214" t="s">
        <v>1246</v>
      </c>
      <c r="Q153" s="1065">
        <f t="shared" si="26"/>
        <v>0</v>
      </c>
      <c r="R153" s="1065">
        <f t="shared" si="26"/>
        <v>0</v>
      </c>
      <c r="S153" s="1065">
        <f t="shared" si="26"/>
        <v>0</v>
      </c>
      <c r="T153" s="2456"/>
      <c r="U153" s="2456"/>
      <c r="V153" s="2456"/>
      <c r="W153" s="2456"/>
      <c r="X153" s="2468"/>
      <c r="Z153" s="1311">
        <f t="shared" si="28"/>
        <v>0</v>
      </c>
      <c r="AA153" s="1374">
        <f t="shared" si="29"/>
        <v>0</v>
      </c>
      <c r="AB153" s="1374">
        <f t="shared" si="30"/>
        <v>0</v>
      </c>
    </row>
    <row r="154" spans="1:28" s="736" customFormat="1" ht="83.25" customHeight="1">
      <c r="A154" s="1345" t="s">
        <v>934</v>
      </c>
      <c r="B154" s="956" t="s">
        <v>703</v>
      </c>
      <c r="C154" s="871">
        <f t="shared" si="23"/>
        <v>54300</v>
      </c>
      <c r="D154" s="1249">
        <v>51042</v>
      </c>
      <c r="E154" s="1249">
        <v>3258</v>
      </c>
      <c r="F154" s="1347">
        <f t="shared" si="24"/>
        <v>54300</v>
      </c>
      <c r="G154" s="1337">
        <f t="shared" si="31"/>
        <v>51042</v>
      </c>
      <c r="H154" s="1337">
        <f t="shared" si="31"/>
        <v>3258</v>
      </c>
      <c r="I154" s="1340">
        <f t="shared" si="25"/>
        <v>0</v>
      </c>
      <c r="J154" s="2466"/>
      <c r="K154" s="2466"/>
      <c r="L154" s="2469"/>
      <c r="M154" s="2470"/>
      <c r="N154" s="2470"/>
      <c r="O154" s="1214" t="s">
        <v>1192</v>
      </c>
      <c r="P154" s="1214" t="s">
        <v>1247</v>
      </c>
      <c r="Q154" s="1065">
        <f t="shared" si="26"/>
        <v>0</v>
      </c>
      <c r="R154" s="1065">
        <f t="shared" si="26"/>
        <v>0</v>
      </c>
      <c r="S154" s="1065">
        <f t="shared" si="26"/>
        <v>0</v>
      </c>
      <c r="T154" s="2456"/>
      <c r="U154" s="2456"/>
      <c r="V154" s="2456"/>
      <c r="W154" s="2456"/>
      <c r="X154" s="2468"/>
      <c r="Z154" s="1311">
        <f t="shared" si="28"/>
        <v>0</v>
      </c>
      <c r="AA154" s="1374">
        <f t="shared" si="29"/>
        <v>0</v>
      </c>
      <c r="AB154" s="1374">
        <f t="shared" si="30"/>
        <v>0</v>
      </c>
    </row>
    <row r="155" spans="1:28" s="736" customFormat="1" ht="86.25" customHeight="1">
      <c r="A155" s="1345" t="s">
        <v>1024</v>
      </c>
      <c r="B155" s="956" t="s">
        <v>702</v>
      </c>
      <c r="C155" s="871">
        <f t="shared" si="23"/>
        <v>56697.8</v>
      </c>
      <c r="D155" s="1249">
        <v>53295.9</v>
      </c>
      <c r="E155" s="1249">
        <v>3401.9</v>
      </c>
      <c r="F155" s="1347">
        <f t="shared" si="24"/>
        <v>56697.8</v>
      </c>
      <c r="G155" s="1337">
        <f t="shared" si="31"/>
        <v>53295.9</v>
      </c>
      <c r="H155" s="1337">
        <f t="shared" si="31"/>
        <v>3401.9</v>
      </c>
      <c r="I155" s="1340">
        <f t="shared" si="25"/>
        <v>0</v>
      </c>
      <c r="J155" s="2466"/>
      <c r="K155" s="2466"/>
      <c r="L155" s="2469"/>
      <c r="M155" s="2470"/>
      <c r="N155" s="2470"/>
      <c r="O155" s="1214" t="s">
        <v>1192</v>
      </c>
      <c r="P155" s="1214" t="s">
        <v>1219</v>
      </c>
      <c r="Q155" s="1065">
        <f t="shared" si="26"/>
        <v>0</v>
      </c>
      <c r="R155" s="1065">
        <f t="shared" si="26"/>
        <v>0</v>
      </c>
      <c r="S155" s="1065">
        <f t="shared" si="26"/>
        <v>0</v>
      </c>
      <c r="T155" s="2456"/>
      <c r="U155" s="2456"/>
      <c r="V155" s="2456"/>
      <c r="W155" s="2456"/>
      <c r="X155" s="2468"/>
      <c r="Z155" s="1311">
        <f t="shared" si="28"/>
        <v>0</v>
      </c>
      <c r="AA155" s="1374">
        <f t="shared" si="29"/>
        <v>0</v>
      </c>
      <c r="AB155" s="1374">
        <f t="shared" si="30"/>
        <v>0</v>
      </c>
    </row>
    <row r="156" spans="1:28" s="736" customFormat="1" ht="58.5" customHeight="1">
      <c r="A156" s="1345" t="s">
        <v>1025</v>
      </c>
      <c r="B156" s="956" t="s">
        <v>832</v>
      </c>
      <c r="C156" s="871">
        <f t="shared" si="23"/>
        <v>8000</v>
      </c>
      <c r="D156" s="1249">
        <v>7520</v>
      </c>
      <c r="E156" s="1249">
        <v>480</v>
      </c>
      <c r="F156" s="1347">
        <f t="shared" si="24"/>
        <v>8000</v>
      </c>
      <c r="G156" s="1337">
        <f t="shared" si="31"/>
        <v>7520</v>
      </c>
      <c r="H156" s="1337">
        <f t="shared" si="31"/>
        <v>480</v>
      </c>
      <c r="I156" s="1340">
        <f t="shared" si="25"/>
        <v>0</v>
      </c>
      <c r="J156" s="2466"/>
      <c r="K156" s="2466"/>
      <c r="L156" s="2469"/>
      <c r="M156" s="2470"/>
      <c r="N156" s="2470"/>
      <c r="O156" s="1214" t="s">
        <v>1192</v>
      </c>
      <c r="P156" s="1214" t="s">
        <v>1219</v>
      </c>
      <c r="Q156" s="1065">
        <f t="shared" si="26"/>
        <v>0</v>
      </c>
      <c r="R156" s="1065">
        <f t="shared" si="26"/>
        <v>0</v>
      </c>
      <c r="S156" s="1065">
        <f t="shared" si="26"/>
        <v>0</v>
      </c>
      <c r="T156" s="2456"/>
      <c r="U156" s="2456"/>
      <c r="V156" s="2456"/>
      <c r="W156" s="2456"/>
      <c r="X156" s="2468"/>
      <c r="Z156" s="1311">
        <f t="shared" si="28"/>
        <v>0</v>
      </c>
      <c r="AA156" s="1374">
        <f t="shared" si="29"/>
        <v>0</v>
      </c>
      <c r="AB156" s="1374">
        <f t="shared" si="30"/>
        <v>0</v>
      </c>
    </row>
    <row r="157" spans="1:28" s="736" customFormat="1" ht="60" customHeight="1">
      <c r="A157" s="1345" t="s">
        <v>1319</v>
      </c>
      <c r="B157" s="956" t="s">
        <v>775</v>
      </c>
      <c r="C157" s="871">
        <f t="shared" si="23"/>
        <v>20200</v>
      </c>
      <c r="D157" s="1249">
        <v>18988</v>
      </c>
      <c r="E157" s="1249">
        <v>1212</v>
      </c>
      <c r="F157" s="1347">
        <f t="shared" si="24"/>
        <v>20200</v>
      </c>
      <c r="G157" s="1337">
        <f t="shared" si="31"/>
        <v>18988</v>
      </c>
      <c r="H157" s="1337">
        <f t="shared" si="31"/>
        <v>1212</v>
      </c>
      <c r="I157" s="1340">
        <f t="shared" si="25"/>
        <v>0</v>
      </c>
      <c r="J157" s="2466"/>
      <c r="K157" s="2466"/>
      <c r="L157" s="2469"/>
      <c r="M157" s="2470"/>
      <c r="N157" s="2470"/>
      <c r="O157" s="1214" t="s">
        <v>1192</v>
      </c>
      <c r="P157" s="1214" t="s">
        <v>1219</v>
      </c>
      <c r="Q157" s="1065">
        <f t="shared" si="26"/>
        <v>0</v>
      </c>
      <c r="R157" s="1065">
        <f t="shared" si="26"/>
        <v>0</v>
      </c>
      <c r="S157" s="1065">
        <f t="shared" si="26"/>
        <v>0</v>
      </c>
      <c r="T157" s="2456"/>
      <c r="U157" s="2456"/>
      <c r="V157" s="2456"/>
      <c r="W157" s="2456"/>
      <c r="X157" s="2468"/>
      <c r="Z157" s="1311">
        <f t="shared" si="28"/>
        <v>0</v>
      </c>
      <c r="AA157" s="1374">
        <f t="shared" si="29"/>
        <v>0</v>
      </c>
      <c r="AB157" s="1374">
        <f t="shared" si="30"/>
        <v>0</v>
      </c>
    </row>
    <row r="158" spans="1:28" s="736" customFormat="1" ht="60" customHeight="1">
      <c r="A158" s="1345" t="s">
        <v>1325</v>
      </c>
      <c r="B158" s="956" t="s">
        <v>774</v>
      </c>
      <c r="C158" s="871">
        <f t="shared" si="23"/>
        <v>20500</v>
      </c>
      <c r="D158" s="1249">
        <v>19270</v>
      </c>
      <c r="E158" s="1249">
        <v>1230</v>
      </c>
      <c r="F158" s="1347">
        <f t="shared" si="24"/>
        <v>20500</v>
      </c>
      <c r="G158" s="1337">
        <f t="shared" si="31"/>
        <v>19270</v>
      </c>
      <c r="H158" s="1337">
        <f t="shared" si="31"/>
        <v>1230</v>
      </c>
      <c r="I158" s="1340">
        <f t="shared" si="25"/>
        <v>0</v>
      </c>
      <c r="J158" s="2466"/>
      <c r="K158" s="2466"/>
      <c r="L158" s="2469"/>
      <c r="M158" s="2470"/>
      <c r="N158" s="2470"/>
      <c r="O158" s="1214" t="s">
        <v>1192</v>
      </c>
      <c r="P158" s="1214" t="s">
        <v>1219</v>
      </c>
      <c r="Q158" s="1065">
        <f t="shared" si="26"/>
        <v>0</v>
      </c>
      <c r="R158" s="1065">
        <f t="shared" si="26"/>
        <v>0</v>
      </c>
      <c r="S158" s="1065">
        <f t="shared" si="26"/>
        <v>0</v>
      </c>
      <c r="T158" s="2456"/>
      <c r="U158" s="2456"/>
      <c r="V158" s="2456"/>
      <c r="W158" s="2456"/>
      <c r="X158" s="2468"/>
      <c r="Z158" s="1311">
        <f t="shared" si="28"/>
        <v>0</v>
      </c>
      <c r="AA158" s="1374">
        <f t="shared" si="29"/>
        <v>0</v>
      </c>
      <c r="AB158" s="1374">
        <f t="shared" si="30"/>
        <v>0</v>
      </c>
    </row>
    <row r="159" spans="1:28" ht="105.75" customHeight="1">
      <c r="A159" s="1345" t="s">
        <v>757</v>
      </c>
      <c r="B159" s="955" t="s">
        <v>588</v>
      </c>
      <c r="C159" s="871">
        <f>SUM(D159:E159)</f>
        <v>100</v>
      </c>
      <c r="D159" s="1249">
        <v>0</v>
      </c>
      <c r="E159" s="1249">
        <v>100</v>
      </c>
      <c r="F159" s="1347">
        <f>SUM(G159:H159)</f>
        <v>100</v>
      </c>
      <c r="G159" s="1337">
        <f t="shared" si="31"/>
        <v>0</v>
      </c>
      <c r="H159" s="1337">
        <f t="shared" si="31"/>
        <v>100</v>
      </c>
      <c r="I159" s="1340">
        <f>SUM(J159:K159)</f>
        <v>29.5</v>
      </c>
      <c r="J159" s="1337">
        <v>0</v>
      </c>
      <c r="K159" s="1337">
        <v>29.5</v>
      </c>
      <c r="L159" s="876">
        <f t="shared" ref="L159:N174" si="32">IF(I159=0,0,I159/F159*100)</f>
        <v>29.5</v>
      </c>
      <c r="M159" s="877">
        <f t="shared" si="32"/>
        <v>0</v>
      </c>
      <c r="N159" s="877">
        <f t="shared" si="32"/>
        <v>29.5</v>
      </c>
      <c r="O159" s="1214" t="s">
        <v>1192</v>
      </c>
      <c r="P159" s="1214" t="s">
        <v>1251</v>
      </c>
      <c r="Q159" s="1065">
        <f t="shared" si="26"/>
        <v>0</v>
      </c>
      <c r="R159" s="1065">
        <f t="shared" si="26"/>
        <v>0</v>
      </c>
      <c r="S159" s="1065">
        <f t="shared" si="26"/>
        <v>0</v>
      </c>
      <c r="T159" s="1099" t="s">
        <v>886</v>
      </c>
      <c r="U159" s="1100" t="s">
        <v>903</v>
      </c>
      <c r="V159" s="1099">
        <v>414</v>
      </c>
      <c r="W159" s="1099" t="s">
        <v>890</v>
      </c>
      <c r="Z159" s="1311">
        <f t="shared" si="28"/>
        <v>0</v>
      </c>
      <c r="AA159" s="1374">
        <f t="shared" si="29"/>
        <v>0</v>
      </c>
      <c r="AB159" s="1374">
        <f t="shared" si="30"/>
        <v>0</v>
      </c>
    </row>
    <row r="160" spans="1:28" ht="105.75" customHeight="1">
      <c r="A160" s="895">
        <v>103</v>
      </c>
      <c r="B160" s="955" t="s">
        <v>589</v>
      </c>
      <c r="C160" s="871">
        <f>SUM(D160:E160)</f>
        <v>100</v>
      </c>
      <c r="D160" s="1249">
        <v>0</v>
      </c>
      <c r="E160" s="1249">
        <v>100</v>
      </c>
      <c r="F160" s="1347">
        <f>SUM(G160:H160)</f>
        <v>100</v>
      </c>
      <c r="G160" s="1337">
        <f t="shared" si="31"/>
        <v>0</v>
      </c>
      <c r="H160" s="1337">
        <f t="shared" si="31"/>
        <v>100</v>
      </c>
      <c r="I160" s="1340">
        <f>SUM(J160:K160)</f>
        <v>29.7</v>
      </c>
      <c r="J160" s="1337">
        <v>0</v>
      </c>
      <c r="K160" s="1337">
        <v>29.7</v>
      </c>
      <c r="L160" s="876">
        <f t="shared" si="32"/>
        <v>29.7</v>
      </c>
      <c r="M160" s="877">
        <f t="shared" si="32"/>
        <v>0</v>
      </c>
      <c r="N160" s="877">
        <f t="shared" si="32"/>
        <v>29.7</v>
      </c>
      <c r="O160" s="1214" t="s">
        <v>1285</v>
      </c>
      <c r="P160" s="1214" t="s">
        <v>1252</v>
      </c>
      <c r="Q160" s="1065">
        <f t="shared" si="26"/>
        <v>0</v>
      </c>
      <c r="R160" s="1065">
        <f t="shared" si="26"/>
        <v>0</v>
      </c>
      <c r="S160" s="1065">
        <f t="shared" si="26"/>
        <v>0</v>
      </c>
      <c r="T160" s="1099" t="s">
        <v>886</v>
      </c>
      <c r="U160" s="1100" t="s">
        <v>904</v>
      </c>
      <c r="V160" s="1099">
        <v>414</v>
      </c>
      <c r="W160" s="1099" t="s">
        <v>890</v>
      </c>
      <c r="Z160" s="1311">
        <f t="shared" si="28"/>
        <v>0</v>
      </c>
      <c r="AA160" s="1374">
        <f t="shared" si="29"/>
        <v>0</v>
      </c>
      <c r="AB160" s="1374">
        <f t="shared" si="30"/>
        <v>0</v>
      </c>
    </row>
    <row r="161" spans="1:28" ht="105.75" customHeight="1">
      <c r="A161" s="895">
        <v>104</v>
      </c>
      <c r="B161" s="955" t="s">
        <v>591</v>
      </c>
      <c r="C161" s="871">
        <f>SUM(D161:E161)</f>
        <v>100</v>
      </c>
      <c r="D161" s="1249">
        <v>0</v>
      </c>
      <c r="E161" s="1249">
        <v>100</v>
      </c>
      <c r="F161" s="1347">
        <f>SUM(G161:H161)</f>
        <v>100</v>
      </c>
      <c r="G161" s="1337">
        <f t="shared" si="31"/>
        <v>0</v>
      </c>
      <c r="H161" s="1337">
        <f t="shared" si="31"/>
        <v>100</v>
      </c>
      <c r="I161" s="1340">
        <f>SUM(J161:K161)</f>
        <v>29.6</v>
      </c>
      <c r="J161" s="1337">
        <v>0</v>
      </c>
      <c r="K161" s="1337">
        <v>29.6</v>
      </c>
      <c r="L161" s="876">
        <f t="shared" si="32"/>
        <v>29.6</v>
      </c>
      <c r="M161" s="877">
        <f t="shared" si="32"/>
        <v>0</v>
      </c>
      <c r="N161" s="877">
        <f t="shared" si="32"/>
        <v>29.6</v>
      </c>
      <c r="O161" s="1214" t="s">
        <v>1192</v>
      </c>
      <c r="P161" s="1214" t="s">
        <v>1254</v>
      </c>
      <c r="Q161" s="1065">
        <f t="shared" si="26"/>
        <v>0</v>
      </c>
      <c r="R161" s="1065">
        <f t="shared" si="26"/>
        <v>0</v>
      </c>
      <c r="S161" s="1065">
        <f t="shared" si="26"/>
        <v>0</v>
      </c>
      <c r="T161" s="1099" t="s">
        <v>886</v>
      </c>
      <c r="U161" s="1100" t="s">
        <v>906</v>
      </c>
      <c r="V161" s="1099">
        <v>414</v>
      </c>
      <c r="W161" s="1099" t="s">
        <v>890</v>
      </c>
      <c r="Z161" s="1311">
        <f t="shared" si="28"/>
        <v>0</v>
      </c>
      <c r="AA161" s="1374">
        <f t="shared" si="29"/>
        <v>0</v>
      </c>
      <c r="AB161" s="1374">
        <f t="shared" si="30"/>
        <v>0</v>
      </c>
    </row>
    <row r="162" spans="1:28" s="736" customFormat="1" ht="96.75" customHeight="1">
      <c r="A162" s="1345" t="s">
        <v>760</v>
      </c>
      <c r="B162" s="901" t="s">
        <v>465</v>
      </c>
      <c r="C162" s="871">
        <f t="shared" si="23"/>
        <v>18259.5</v>
      </c>
      <c r="D162" s="1249">
        <f>7398.4+9765.43</f>
        <v>17163.8</v>
      </c>
      <c r="E162" s="1249">
        <f>472.3+623.38</f>
        <v>1095.7</v>
      </c>
      <c r="F162" s="1347">
        <f t="shared" si="24"/>
        <v>18259.5</v>
      </c>
      <c r="G162" s="1337">
        <f t="shared" si="31"/>
        <v>17163.8</v>
      </c>
      <c r="H162" s="1337">
        <f t="shared" si="31"/>
        <v>1095.7</v>
      </c>
      <c r="I162" s="1340">
        <f t="shared" si="25"/>
        <v>0</v>
      </c>
      <c r="J162" s="1337">
        <v>0</v>
      </c>
      <c r="K162" s="1337">
        <v>0</v>
      </c>
      <c r="L162" s="876">
        <f t="shared" si="32"/>
        <v>0</v>
      </c>
      <c r="M162" s="877">
        <f t="shared" si="32"/>
        <v>0</v>
      </c>
      <c r="N162" s="877">
        <f t="shared" si="32"/>
        <v>0</v>
      </c>
      <c r="O162" s="1214" t="s">
        <v>1282</v>
      </c>
      <c r="P162" s="1214" t="s">
        <v>1248</v>
      </c>
      <c r="Q162" s="1065">
        <f t="shared" si="26"/>
        <v>0</v>
      </c>
      <c r="R162" s="1065">
        <f t="shared" si="26"/>
        <v>0</v>
      </c>
      <c r="S162" s="1065">
        <f t="shared" si="26"/>
        <v>0</v>
      </c>
      <c r="T162" s="1099" t="s">
        <v>886</v>
      </c>
      <c r="U162" s="1100" t="s">
        <v>901</v>
      </c>
      <c r="V162" s="1099">
        <v>414</v>
      </c>
      <c r="W162" s="1099" t="s">
        <v>890</v>
      </c>
      <c r="X162" s="1216"/>
      <c r="Z162" s="1311">
        <f t="shared" si="28"/>
        <v>0</v>
      </c>
      <c r="AA162" s="1374">
        <f t="shared" si="29"/>
        <v>0</v>
      </c>
      <c r="AB162" s="1374">
        <f t="shared" si="30"/>
        <v>0</v>
      </c>
    </row>
    <row r="163" spans="1:28" s="736" customFormat="1" ht="90.75" customHeight="1">
      <c r="A163" s="1345" t="s">
        <v>761</v>
      </c>
      <c r="B163" s="1084" t="s">
        <v>537</v>
      </c>
      <c r="C163" s="871">
        <f t="shared" si="23"/>
        <v>10370</v>
      </c>
      <c r="D163" s="1249">
        <f>8589.3+1158.49</f>
        <v>9747.7999999999993</v>
      </c>
      <c r="E163" s="1249">
        <f>548.3+73.9</f>
        <v>622.20000000000005</v>
      </c>
      <c r="F163" s="1347">
        <f t="shared" si="24"/>
        <v>10370</v>
      </c>
      <c r="G163" s="1337">
        <f t="shared" si="31"/>
        <v>9747.7999999999993</v>
      </c>
      <c r="H163" s="1337">
        <f t="shared" si="31"/>
        <v>622.20000000000005</v>
      </c>
      <c r="I163" s="871">
        <f t="shared" si="25"/>
        <v>6005.2</v>
      </c>
      <c r="J163" s="1249">
        <v>5644.9</v>
      </c>
      <c r="K163" s="1249">
        <v>360.3</v>
      </c>
      <c r="L163" s="876">
        <f t="shared" si="32"/>
        <v>57.9</v>
      </c>
      <c r="M163" s="877">
        <f t="shared" si="32"/>
        <v>57.9</v>
      </c>
      <c r="N163" s="877">
        <f t="shared" si="32"/>
        <v>57.9</v>
      </c>
      <c r="O163" s="1214" t="s">
        <v>1283</v>
      </c>
      <c r="P163" s="1214" t="s">
        <v>1249</v>
      </c>
      <c r="Q163" s="1065">
        <f t="shared" si="26"/>
        <v>0</v>
      </c>
      <c r="R163" s="1065">
        <f t="shared" si="26"/>
        <v>0</v>
      </c>
      <c r="S163" s="1065">
        <f t="shared" si="26"/>
        <v>0</v>
      </c>
      <c r="T163" s="1099" t="s">
        <v>886</v>
      </c>
      <c r="U163" s="1100" t="s">
        <v>907</v>
      </c>
      <c r="V163" s="1099">
        <v>414</v>
      </c>
      <c r="W163" s="1099" t="s">
        <v>890</v>
      </c>
      <c r="X163" s="1216"/>
      <c r="Z163" s="1311">
        <f t="shared" si="28"/>
        <v>0</v>
      </c>
      <c r="AA163" s="1374">
        <f t="shared" si="29"/>
        <v>0</v>
      </c>
      <c r="AB163" s="1374">
        <f t="shared" si="30"/>
        <v>0</v>
      </c>
    </row>
    <row r="164" spans="1:28" s="736" customFormat="1" ht="93">
      <c r="A164" s="1345" t="s">
        <v>764</v>
      </c>
      <c r="B164" s="1084" t="s">
        <v>587</v>
      </c>
      <c r="C164" s="871">
        <f t="shared" si="23"/>
        <v>16203.2</v>
      </c>
      <c r="D164" s="1249">
        <f>12178.9+3052.05</f>
        <v>15231</v>
      </c>
      <c r="E164" s="1249">
        <f>777.4+194.83</f>
        <v>972.2</v>
      </c>
      <c r="F164" s="1347">
        <f t="shared" si="24"/>
        <v>16203.2</v>
      </c>
      <c r="G164" s="1337">
        <f t="shared" si="31"/>
        <v>15231</v>
      </c>
      <c r="H164" s="1337">
        <f t="shared" si="31"/>
        <v>972.2</v>
      </c>
      <c r="I164" s="1340">
        <f t="shared" si="25"/>
        <v>4229.3</v>
      </c>
      <c r="J164" s="1337">
        <v>3975.5</v>
      </c>
      <c r="K164" s="1337">
        <v>253.8</v>
      </c>
      <c r="L164" s="876">
        <f t="shared" si="32"/>
        <v>26.1</v>
      </c>
      <c r="M164" s="877">
        <f t="shared" si="32"/>
        <v>26.1</v>
      </c>
      <c r="N164" s="877">
        <f t="shared" si="32"/>
        <v>26.1</v>
      </c>
      <c r="O164" s="1214" t="s">
        <v>1284</v>
      </c>
      <c r="P164" s="1214" t="s">
        <v>1250</v>
      </c>
      <c r="Q164" s="1065">
        <f t="shared" ref="Q164:S179" si="33">C164-F164</f>
        <v>0</v>
      </c>
      <c r="R164" s="1065">
        <f t="shared" si="33"/>
        <v>0</v>
      </c>
      <c r="S164" s="1065">
        <f t="shared" si="33"/>
        <v>0</v>
      </c>
      <c r="T164" s="1099" t="s">
        <v>886</v>
      </c>
      <c r="U164" s="1100" t="s">
        <v>900</v>
      </c>
      <c r="V164" s="1099">
        <v>414</v>
      </c>
      <c r="W164" s="1099" t="s">
        <v>890</v>
      </c>
      <c r="X164" s="1216"/>
      <c r="Z164" s="1311">
        <f t="shared" si="28"/>
        <v>0</v>
      </c>
      <c r="AA164" s="1374">
        <f t="shared" si="29"/>
        <v>0</v>
      </c>
      <c r="AB164" s="1374">
        <f t="shared" si="30"/>
        <v>0</v>
      </c>
    </row>
    <row r="165" spans="1:28" ht="136.5" customHeight="1">
      <c r="A165" s="1345" t="s">
        <v>1326</v>
      </c>
      <c r="B165" s="955" t="s">
        <v>588</v>
      </c>
      <c r="C165" s="871">
        <f t="shared" si="23"/>
        <v>22869.1</v>
      </c>
      <c r="D165" s="1249">
        <f>18886.8+2610.06</f>
        <v>21496.9</v>
      </c>
      <c r="E165" s="1249">
        <f>1205.6+166.61</f>
        <v>1372.2</v>
      </c>
      <c r="F165" s="1347">
        <f t="shared" si="24"/>
        <v>22869.1</v>
      </c>
      <c r="G165" s="1337">
        <f t="shared" si="31"/>
        <v>21496.9</v>
      </c>
      <c r="H165" s="1337">
        <f t="shared" si="31"/>
        <v>1372.2</v>
      </c>
      <c r="I165" s="1340">
        <f t="shared" si="25"/>
        <v>0</v>
      </c>
      <c r="J165" s="1359">
        <v>0</v>
      </c>
      <c r="K165" s="1359">
        <v>0</v>
      </c>
      <c r="L165" s="876">
        <f t="shared" si="32"/>
        <v>0</v>
      </c>
      <c r="M165" s="877">
        <f t="shared" si="32"/>
        <v>0</v>
      </c>
      <c r="N165" s="877">
        <f t="shared" si="32"/>
        <v>0</v>
      </c>
      <c r="O165" s="1214" t="s">
        <v>1192</v>
      </c>
      <c r="P165" s="1214" t="s">
        <v>1251</v>
      </c>
      <c r="Q165" s="1065">
        <f t="shared" si="33"/>
        <v>0</v>
      </c>
      <c r="R165" s="1065">
        <f t="shared" si="33"/>
        <v>0</v>
      </c>
      <c r="S165" s="1065">
        <f t="shared" si="33"/>
        <v>0</v>
      </c>
      <c r="T165" s="1099" t="s">
        <v>886</v>
      </c>
      <c r="U165" s="1100" t="s">
        <v>903</v>
      </c>
      <c r="V165" s="1099">
        <v>414</v>
      </c>
      <c r="W165" s="1099" t="s">
        <v>890</v>
      </c>
      <c r="Z165" s="1311">
        <f t="shared" si="28"/>
        <v>0</v>
      </c>
      <c r="AA165" s="1374">
        <f t="shared" si="29"/>
        <v>0</v>
      </c>
      <c r="AB165" s="1374">
        <f t="shared" si="30"/>
        <v>0</v>
      </c>
    </row>
    <row r="166" spans="1:28" ht="105" customHeight="1">
      <c r="A166" s="895" t="s">
        <v>1327</v>
      </c>
      <c r="B166" s="955" t="s">
        <v>589</v>
      </c>
      <c r="C166" s="871">
        <f t="shared" si="23"/>
        <v>10547.8</v>
      </c>
      <c r="D166" s="1249">
        <f>8642.5+1272.44</f>
        <v>9914.9</v>
      </c>
      <c r="E166" s="1249">
        <f>551.7+81.23</f>
        <v>632.9</v>
      </c>
      <c r="F166" s="1347">
        <f t="shared" si="24"/>
        <v>10547.8</v>
      </c>
      <c r="G166" s="1337">
        <f t="shared" si="31"/>
        <v>9914.9</v>
      </c>
      <c r="H166" s="1337">
        <f t="shared" si="31"/>
        <v>632.9</v>
      </c>
      <c r="I166" s="1340">
        <f t="shared" si="25"/>
        <v>0</v>
      </c>
      <c r="J166" s="1337">
        <v>0</v>
      </c>
      <c r="K166" s="1337">
        <v>0</v>
      </c>
      <c r="L166" s="876">
        <f t="shared" si="32"/>
        <v>0</v>
      </c>
      <c r="M166" s="877">
        <f t="shared" si="32"/>
        <v>0</v>
      </c>
      <c r="N166" s="877">
        <f t="shared" si="32"/>
        <v>0</v>
      </c>
      <c r="O166" s="1214" t="s">
        <v>1285</v>
      </c>
      <c r="P166" s="1214" t="s">
        <v>1252</v>
      </c>
      <c r="Q166" s="1065">
        <f t="shared" si="33"/>
        <v>0</v>
      </c>
      <c r="R166" s="1065">
        <f t="shared" si="33"/>
        <v>0</v>
      </c>
      <c r="S166" s="1065">
        <f t="shared" si="33"/>
        <v>0</v>
      </c>
      <c r="T166" s="1099" t="s">
        <v>886</v>
      </c>
      <c r="U166" s="1100" t="s">
        <v>904</v>
      </c>
      <c r="V166" s="1099">
        <v>414</v>
      </c>
      <c r="W166" s="1099" t="s">
        <v>890</v>
      </c>
      <c r="Z166" s="1311">
        <f t="shared" si="28"/>
        <v>0</v>
      </c>
      <c r="AA166" s="1374">
        <f t="shared" si="29"/>
        <v>0</v>
      </c>
      <c r="AB166" s="1374">
        <f t="shared" si="30"/>
        <v>0</v>
      </c>
    </row>
    <row r="167" spans="1:28" ht="88.5" customHeight="1">
      <c r="A167" s="895">
        <v>108</v>
      </c>
      <c r="B167" s="955" t="s">
        <v>616</v>
      </c>
      <c r="C167" s="871">
        <f t="shared" si="23"/>
        <v>64593.7</v>
      </c>
      <c r="D167" s="1249">
        <f>17561.3+43156.37</f>
        <v>60717.7</v>
      </c>
      <c r="E167" s="1249">
        <f>1121.1+2754.89</f>
        <v>3876</v>
      </c>
      <c r="F167" s="1347">
        <f t="shared" si="24"/>
        <v>64593.7</v>
      </c>
      <c r="G167" s="1337">
        <f t="shared" si="31"/>
        <v>60717.7</v>
      </c>
      <c r="H167" s="1337">
        <f t="shared" si="31"/>
        <v>3876</v>
      </c>
      <c r="I167" s="1340">
        <f t="shared" si="25"/>
        <v>0</v>
      </c>
      <c r="J167" s="1337">
        <v>0</v>
      </c>
      <c r="K167" s="1337">
        <v>0</v>
      </c>
      <c r="L167" s="876">
        <f t="shared" si="32"/>
        <v>0</v>
      </c>
      <c r="M167" s="877">
        <f t="shared" si="32"/>
        <v>0</v>
      </c>
      <c r="N167" s="877">
        <f t="shared" si="32"/>
        <v>0</v>
      </c>
      <c r="O167" s="1214" t="s">
        <v>1192</v>
      </c>
      <c r="P167" s="1214" t="s">
        <v>1253</v>
      </c>
      <c r="Q167" s="1065">
        <f t="shared" si="33"/>
        <v>0</v>
      </c>
      <c r="R167" s="1065">
        <f t="shared" si="33"/>
        <v>0</v>
      </c>
      <c r="S167" s="1065">
        <f t="shared" si="33"/>
        <v>0</v>
      </c>
      <c r="T167" s="1099" t="s">
        <v>886</v>
      </c>
      <c r="U167" s="1100" t="s">
        <v>905</v>
      </c>
      <c r="V167" s="1099">
        <v>414</v>
      </c>
      <c r="W167" s="1099" t="s">
        <v>890</v>
      </c>
      <c r="Z167" s="1311">
        <f t="shared" si="28"/>
        <v>0</v>
      </c>
      <c r="AA167" s="1374">
        <f t="shared" si="29"/>
        <v>0</v>
      </c>
      <c r="AB167" s="1374">
        <f t="shared" si="30"/>
        <v>0</v>
      </c>
    </row>
    <row r="168" spans="1:28" ht="118.5" customHeight="1">
      <c r="A168" s="895" t="s">
        <v>1332</v>
      </c>
      <c r="B168" s="955" t="s">
        <v>591</v>
      </c>
      <c r="C168" s="871">
        <f t="shared" si="23"/>
        <v>36681.5</v>
      </c>
      <c r="D168" s="1249">
        <f>32344.5+2136.03</f>
        <v>34480.5</v>
      </c>
      <c r="E168" s="1249">
        <f>2064.6+136.35</f>
        <v>2201</v>
      </c>
      <c r="F168" s="1347">
        <f t="shared" si="24"/>
        <v>36681.5</v>
      </c>
      <c r="G168" s="1337">
        <f t="shared" si="31"/>
        <v>34480.5</v>
      </c>
      <c r="H168" s="1337">
        <f t="shared" si="31"/>
        <v>2201</v>
      </c>
      <c r="I168" s="1340">
        <f t="shared" si="25"/>
        <v>0</v>
      </c>
      <c r="J168" s="1337">
        <v>0</v>
      </c>
      <c r="K168" s="1337">
        <v>0</v>
      </c>
      <c r="L168" s="876">
        <f t="shared" si="32"/>
        <v>0</v>
      </c>
      <c r="M168" s="877">
        <f t="shared" si="32"/>
        <v>0</v>
      </c>
      <c r="N168" s="877">
        <f t="shared" si="32"/>
        <v>0</v>
      </c>
      <c r="O168" s="1214" t="s">
        <v>1192</v>
      </c>
      <c r="P168" s="1214" t="s">
        <v>1254</v>
      </c>
      <c r="Q168" s="1065">
        <f t="shared" si="33"/>
        <v>0</v>
      </c>
      <c r="R168" s="1065">
        <f t="shared" si="33"/>
        <v>0</v>
      </c>
      <c r="S168" s="1065">
        <f t="shared" si="33"/>
        <v>0</v>
      </c>
      <c r="T168" s="1099" t="s">
        <v>886</v>
      </c>
      <c r="U168" s="1100" t="s">
        <v>906</v>
      </c>
      <c r="V168" s="1099">
        <v>414</v>
      </c>
      <c r="W168" s="1099" t="s">
        <v>890</v>
      </c>
      <c r="Z168" s="1311">
        <f t="shared" si="28"/>
        <v>0</v>
      </c>
      <c r="AA168" s="1374">
        <f t="shared" si="29"/>
        <v>0</v>
      </c>
      <c r="AB168" s="1374">
        <f t="shared" si="30"/>
        <v>0</v>
      </c>
    </row>
    <row r="169" spans="1:28" ht="93">
      <c r="A169" s="895">
        <v>109</v>
      </c>
      <c r="B169" s="1084" t="s">
        <v>575</v>
      </c>
      <c r="C169" s="871">
        <f t="shared" si="23"/>
        <v>5568.4</v>
      </c>
      <c r="D169" s="1249">
        <f>2306.5+2927.68</f>
        <v>5234.2</v>
      </c>
      <c r="E169" s="1249">
        <f>147.3+186.89</f>
        <v>334.2</v>
      </c>
      <c r="F169" s="1347">
        <f t="shared" si="24"/>
        <v>5568.4</v>
      </c>
      <c r="G169" s="1337">
        <f t="shared" si="31"/>
        <v>5234.2</v>
      </c>
      <c r="H169" s="1337">
        <f t="shared" si="31"/>
        <v>334.2</v>
      </c>
      <c r="I169" s="1340">
        <f t="shared" si="25"/>
        <v>0</v>
      </c>
      <c r="J169" s="1337">
        <v>0</v>
      </c>
      <c r="K169" s="1337">
        <v>0</v>
      </c>
      <c r="L169" s="876">
        <f t="shared" si="32"/>
        <v>0</v>
      </c>
      <c r="M169" s="877">
        <f t="shared" si="32"/>
        <v>0</v>
      </c>
      <c r="N169" s="877">
        <f t="shared" si="32"/>
        <v>0</v>
      </c>
      <c r="O169" s="1214" t="s">
        <v>1192</v>
      </c>
      <c r="P169" s="1214" t="s">
        <v>1102</v>
      </c>
      <c r="Q169" s="1065">
        <f t="shared" si="33"/>
        <v>0</v>
      </c>
      <c r="R169" s="1065">
        <f t="shared" si="33"/>
        <v>0</v>
      </c>
      <c r="S169" s="1065">
        <f t="shared" si="33"/>
        <v>0</v>
      </c>
      <c r="T169" s="1099" t="s">
        <v>886</v>
      </c>
      <c r="U169" s="1100" t="s">
        <v>902</v>
      </c>
      <c r="V169" s="1099">
        <v>414</v>
      </c>
      <c r="W169" s="1099" t="s">
        <v>890</v>
      </c>
      <c r="Z169" s="1311">
        <f t="shared" si="28"/>
        <v>0</v>
      </c>
      <c r="AA169" s="1374">
        <f t="shared" si="29"/>
        <v>0</v>
      </c>
      <c r="AB169" s="1374">
        <f t="shared" si="30"/>
        <v>0</v>
      </c>
    </row>
    <row r="170" spans="1:28" ht="99" customHeight="1">
      <c r="A170" s="1345" t="s">
        <v>829</v>
      </c>
      <c r="B170" s="1084" t="s">
        <v>660</v>
      </c>
      <c r="C170" s="871">
        <f t="shared" si="23"/>
        <v>14883.1</v>
      </c>
      <c r="D170" s="1249">
        <f>6906.5+7083.4</f>
        <v>13989.9</v>
      </c>
      <c r="E170" s="1249">
        <f>441.1+452.1</f>
        <v>893.2</v>
      </c>
      <c r="F170" s="1347">
        <f t="shared" si="24"/>
        <v>14883.1</v>
      </c>
      <c r="G170" s="1337">
        <f t="shared" si="31"/>
        <v>13989.9</v>
      </c>
      <c r="H170" s="1337">
        <f t="shared" si="31"/>
        <v>893.2</v>
      </c>
      <c r="I170" s="1340">
        <f t="shared" si="25"/>
        <v>5677.5</v>
      </c>
      <c r="J170" s="1337">
        <f>5121.824+215</f>
        <v>5336.8</v>
      </c>
      <c r="K170" s="1337">
        <f>326.952+13.7</f>
        <v>340.7</v>
      </c>
      <c r="L170" s="876">
        <f t="shared" si="32"/>
        <v>38.1</v>
      </c>
      <c r="M170" s="877">
        <f t="shared" si="32"/>
        <v>38.1</v>
      </c>
      <c r="N170" s="877">
        <f t="shared" si="32"/>
        <v>38.1</v>
      </c>
      <c r="O170" s="1214" t="s">
        <v>1286</v>
      </c>
      <c r="P170" s="1214" t="s">
        <v>1255</v>
      </c>
      <c r="Q170" s="1065">
        <f t="shared" si="33"/>
        <v>0</v>
      </c>
      <c r="R170" s="1065">
        <f t="shared" si="33"/>
        <v>0</v>
      </c>
      <c r="S170" s="1065">
        <f t="shared" si="33"/>
        <v>0</v>
      </c>
      <c r="T170" s="1099" t="s">
        <v>886</v>
      </c>
      <c r="U170" s="1100" t="s">
        <v>908</v>
      </c>
      <c r="V170" s="1099">
        <v>414</v>
      </c>
      <c r="W170" s="1099" t="s">
        <v>890</v>
      </c>
      <c r="Z170" s="1311">
        <f t="shared" si="28"/>
        <v>0</v>
      </c>
      <c r="AA170" s="1374">
        <f t="shared" si="29"/>
        <v>0</v>
      </c>
      <c r="AB170" s="1374">
        <f t="shared" si="30"/>
        <v>0</v>
      </c>
    </row>
    <row r="171" spans="1:28" ht="63" customHeight="1">
      <c r="A171" s="1345" t="s">
        <v>821</v>
      </c>
      <c r="B171" s="1084" t="s">
        <v>659</v>
      </c>
      <c r="C171" s="871">
        <f t="shared" si="23"/>
        <v>5350.5</v>
      </c>
      <c r="D171" s="1249">
        <f>4104.3+925.11</f>
        <v>5029.3999999999996</v>
      </c>
      <c r="E171" s="1249">
        <f>262.1+59</f>
        <v>321.10000000000002</v>
      </c>
      <c r="F171" s="1347">
        <f t="shared" si="24"/>
        <v>5350.5</v>
      </c>
      <c r="G171" s="1337">
        <f t="shared" si="31"/>
        <v>5029.3999999999996</v>
      </c>
      <c r="H171" s="1337">
        <f t="shared" si="31"/>
        <v>321.10000000000002</v>
      </c>
      <c r="I171" s="1340">
        <f t="shared" si="25"/>
        <v>0</v>
      </c>
      <c r="J171" s="1337">
        <v>0</v>
      </c>
      <c r="K171" s="1337">
        <v>0</v>
      </c>
      <c r="L171" s="876">
        <f t="shared" si="32"/>
        <v>0</v>
      </c>
      <c r="M171" s="877">
        <f t="shared" si="32"/>
        <v>0</v>
      </c>
      <c r="N171" s="877">
        <f t="shared" si="32"/>
        <v>0</v>
      </c>
      <c r="O171" s="1214" t="s">
        <v>1287</v>
      </c>
      <c r="P171" s="1214" t="s">
        <v>1256</v>
      </c>
      <c r="Q171" s="1065">
        <f t="shared" si="33"/>
        <v>0</v>
      </c>
      <c r="R171" s="1065">
        <f t="shared" si="33"/>
        <v>0</v>
      </c>
      <c r="S171" s="1065">
        <f t="shared" si="33"/>
        <v>0</v>
      </c>
      <c r="T171" s="1099" t="s">
        <v>886</v>
      </c>
      <c r="U171" s="1100" t="s">
        <v>909</v>
      </c>
      <c r="V171" s="1099">
        <v>414</v>
      </c>
      <c r="W171" s="1099" t="s">
        <v>910</v>
      </c>
      <c r="Z171" s="1311">
        <f t="shared" si="28"/>
        <v>0</v>
      </c>
      <c r="AA171" s="1374">
        <f t="shared" si="29"/>
        <v>0</v>
      </c>
      <c r="AB171" s="1374">
        <f t="shared" si="30"/>
        <v>0</v>
      </c>
    </row>
    <row r="172" spans="1:28" ht="86.25" customHeight="1">
      <c r="A172" s="1345" t="s">
        <v>822</v>
      </c>
      <c r="B172" s="1334" t="s">
        <v>459</v>
      </c>
      <c r="C172" s="871">
        <f t="shared" si="23"/>
        <v>3006.6</v>
      </c>
      <c r="D172" s="972">
        <f>2610.1+215.98</f>
        <v>2826.1</v>
      </c>
      <c r="E172" s="972">
        <f>166.7+13.79</f>
        <v>180.5</v>
      </c>
      <c r="F172" s="1347">
        <f t="shared" si="24"/>
        <v>3006.6</v>
      </c>
      <c r="G172" s="1337">
        <f t="shared" si="31"/>
        <v>2826.1</v>
      </c>
      <c r="H172" s="1337">
        <f t="shared" si="31"/>
        <v>180.5</v>
      </c>
      <c r="I172" s="1340">
        <f t="shared" si="25"/>
        <v>0</v>
      </c>
      <c r="J172" s="1341">
        <v>0</v>
      </c>
      <c r="K172" s="1341">
        <v>0</v>
      </c>
      <c r="L172" s="876">
        <f t="shared" si="32"/>
        <v>0</v>
      </c>
      <c r="M172" s="877">
        <f t="shared" si="32"/>
        <v>0</v>
      </c>
      <c r="N172" s="877">
        <f t="shared" si="32"/>
        <v>0</v>
      </c>
      <c r="O172" s="1214" t="s">
        <v>1288</v>
      </c>
      <c r="P172" s="1214" t="s">
        <v>1257</v>
      </c>
      <c r="Q172" s="1065">
        <f t="shared" si="33"/>
        <v>0</v>
      </c>
      <c r="R172" s="1065">
        <f t="shared" si="33"/>
        <v>0</v>
      </c>
      <c r="S172" s="1065">
        <f t="shared" si="33"/>
        <v>0</v>
      </c>
      <c r="T172" s="1099" t="s">
        <v>886</v>
      </c>
      <c r="U172" s="1100" t="s">
        <v>889</v>
      </c>
      <c r="V172" s="1099">
        <v>414</v>
      </c>
      <c r="W172" s="1099" t="s">
        <v>890</v>
      </c>
      <c r="Z172" s="1311">
        <f t="shared" si="28"/>
        <v>0</v>
      </c>
      <c r="AA172" s="1374">
        <f t="shared" si="29"/>
        <v>0</v>
      </c>
      <c r="AB172" s="1374">
        <f t="shared" si="30"/>
        <v>0</v>
      </c>
    </row>
    <row r="173" spans="1:28" s="515" customFormat="1" ht="72.75" customHeight="1">
      <c r="A173" s="1345" t="s">
        <v>915</v>
      </c>
      <c r="B173" s="1075" t="s">
        <v>568</v>
      </c>
      <c r="C173" s="871">
        <f t="shared" si="23"/>
        <v>4391.5</v>
      </c>
      <c r="D173" s="972">
        <f>3674.8+453.18</f>
        <v>4128</v>
      </c>
      <c r="E173" s="972">
        <f>234.6+28.93</f>
        <v>263.5</v>
      </c>
      <c r="F173" s="1347">
        <f t="shared" si="24"/>
        <v>4391.5</v>
      </c>
      <c r="G173" s="1337">
        <f t="shared" si="31"/>
        <v>4128</v>
      </c>
      <c r="H173" s="1337">
        <f t="shared" si="31"/>
        <v>263.5</v>
      </c>
      <c r="I173" s="1340">
        <f t="shared" si="25"/>
        <v>356.8</v>
      </c>
      <c r="J173" s="1341">
        <v>335.4</v>
      </c>
      <c r="K173" s="1341">
        <v>21.4</v>
      </c>
      <c r="L173" s="876">
        <f t="shared" si="32"/>
        <v>8.1</v>
      </c>
      <c r="M173" s="877">
        <f t="shared" si="32"/>
        <v>8.1</v>
      </c>
      <c r="N173" s="877">
        <f t="shared" si="32"/>
        <v>8.1</v>
      </c>
      <c r="O173" s="1214" t="s">
        <v>1289</v>
      </c>
      <c r="P173" s="1214" t="s">
        <v>1258</v>
      </c>
      <c r="Q173" s="1065">
        <f t="shared" si="33"/>
        <v>0</v>
      </c>
      <c r="R173" s="1065">
        <f t="shared" si="33"/>
        <v>0</v>
      </c>
      <c r="S173" s="1065">
        <f t="shared" si="33"/>
        <v>0</v>
      </c>
      <c r="T173" s="1099" t="s">
        <v>886</v>
      </c>
      <c r="U173" s="1100" t="s">
        <v>891</v>
      </c>
      <c r="V173" s="1099">
        <v>414</v>
      </c>
      <c r="W173" s="1099" t="s">
        <v>890</v>
      </c>
      <c r="X173" s="1220"/>
      <c r="Z173" s="1311">
        <f t="shared" si="28"/>
        <v>0</v>
      </c>
      <c r="AA173" s="1374">
        <f t="shared" si="29"/>
        <v>0</v>
      </c>
      <c r="AB173" s="1374">
        <f t="shared" si="30"/>
        <v>0</v>
      </c>
    </row>
    <row r="174" spans="1:28" s="515" customFormat="1" ht="81.75" customHeight="1">
      <c r="A174" s="1345" t="s">
        <v>915</v>
      </c>
      <c r="B174" s="900" t="s">
        <v>693</v>
      </c>
      <c r="C174" s="871">
        <f t="shared" si="23"/>
        <v>23921.1</v>
      </c>
      <c r="D174" s="972">
        <f>18560.9+3924.8</f>
        <v>22485.7</v>
      </c>
      <c r="E174" s="972">
        <f>1184.8+250.55</f>
        <v>1435.4</v>
      </c>
      <c r="F174" s="1347">
        <f t="shared" si="24"/>
        <v>23921.1</v>
      </c>
      <c r="G174" s="1337">
        <f t="shared" si="31"/>
        <v>22485.7</v>
      </c>
      <c r="H174" s="1337">
        <f t="shared" si="31"/>
        <v>1435.4</v>
      </c>
      <c r="I174" s="1340">
        <f t="shared" si="25"/>
        <v>0</v>
      </c>
      <c r="J174" s="1341">
        <v>0</v>
      </c>
      <c r="K174" s="1341">
        <v>0</v>
      </c>
      <c r="L174" s="876">
        <f t="shared" si="32"/>
        <v>0</v>
      </c>
      <c r="M174" s="877">
        <f t="shared" si="32"/>
        <v>0</v>
      </c>
      <c r="N174" s="877">
        <f t="shared" si="32"/>
        <v>0</v>
      </c>
      <c r="O174" s="1214" t="s">
        <v>1192</v>
      </c>
      <c r="P174" s="1214" t="s">
        <v>1251</v>
      </c>
      <c r="Q174" s="1065">
        <f t="shared" si="33"/>
        <v>0</v>
      </c>
      <c r="R174" s="1065">
        <f t="shared" si="33"/>
        <v>0</v>
      </c>
      <c r="S174" s="1065">
        <f t="shared" si="33"/>
        <v>0</v>
      </c>
      <c r="T174" s="1099" t="s">
        <v>866</v>
      </c>
      <c r="U174" s="1100" t="s">
        <v>884</v>
      </c>
      <c r="V174" s="1099">
        <v>414</v>
      </c>
      <c r="W174" s="1099" t="s">
        <v>885</v>
      </c>
      <c r="X174" s="1220"/>
      <c r="Z174" s="1311">
        <f t="shared" si="28"/>
        <v>0</v>
      </c>
      <c r="AA174" s="1374">
        <f t="shared" si="29"/>
        <v>0</v>
      </c>
      <c r="AB174" s="1374">
        <f t="shared" si="30"/>
        <v>0</v>
      </c>
    </row>
    <row r="175" spans="1:28" s="515" customFormat="1" ht="63" customHeight="1">
      <c r="A175" s="1345" t="s">
        <v>916</v>
      </c>
      <c r="B175" s="987" t="s">
        <v>794</v>
      </c>
      <c r="C175" s="871">
        <f t="shared" si="23"/>
        <v>264888.5</v>
      </c>
      <c r="D175" s="972">
        <f>160380+75158.5+12733.8</f>
        <v>248272.3</v>
      </c>
      <c r="E175" s="1256">
        <f>15758.6+857.6</f>
        <v>16616.2</v>
      </c>
      <c r="F175" s="1347">
        <f t="shared" si="24"/>
        <v>264888.5</v>
      </c>
      <c r="G175" s="1337">
        <f t="shared" si="31"/>
        <v>248272.3</v>
      </c>
      <c r="H175" s="1337">
        <f t="shared" si="31"/>
        <v>16616.2</v>
      </c>
      <c r="I175" s="1340">
        <f t="shared" si="25"/>
        <v>42294.2</v>
      </c>
      <c r="J175" s="1341">
        <v>39625.800000000003</v>
      </c>
      <c r="K175" s="1341">
        <v>2668.4</v>
      </c>
      <c r="L175" s="876">
        <f t="shared" ref="L175:N180" si="34">IF(I175=0,0,I175/F175*100)</f>
        <v>16</v>
      </c>
      <c r="M175" s="877">
        <f t="shared" si="34"/>
        <v>16</v>
      </c>
      <c r="N175" s="877">
        <f t="shared" si="34"/>
        <v>16.100000000000001</v>
      </c>
      <c r="O175" s="1214" t="s">
        <v>1296</v>
      </c>
      <c r="P175" s="1214" t="s">
        <v>1259</v>
      </c>
      <c r="Q175" s="1065">
        <f t="shared" si="33"/>
        <v>0</v>
      </c>
      <c r="R175" s="1065">
        <f t="shared" si="33"/>
        <v>0</v>
      </c>
      <c r="S175" s="1065">
        <f t="shared" si="33"/>
        <v>0</v>
      </c>
      <c r="T175" s="1099" t="s">
        <v>866</v>
      </c>
      <c r="U175" s="1100" t="s">
        <v>896</v>
      </c>
      <c r="V175" s="1099">
        <v>414</v>
      </c>
      <c r="W175" s="1099" t="s">
        <v>897</v>
      </c>
      <c r="X175" s="1220"/>
      <c r="Z175" s="1311">
        <f t="shared" si="28"/>
        <v>0</v>
      </c>
      <c r="AA175" s="1374">
        <f t="shared" si="29"/>
        <v>0</v>
      </c>
      <c r="AB175" s="1374">
        <f t="shared" si="30"/>
        <v>0</v>
      </c>
    </row>
    <row r="176" spans="1:28" ht="63" customHeight="1">
      <c r="A176" s="2404" t="s">
        <v>1322</v>
      </c>
      <c r="B176" s="1084" t="s">
        <v>644</v>
      </c>
      <c r="C176" s="871">
        <f t="shared" si="23"/>
        <v>16856</v>
      </c>
      <c r="D176" s="1249">
        <v>0</v>
      </c>
      <c r="E176" s="1379">
        <v>16856</v>
      </c>
      <c r="F176" s="1001">
        <f t="shared" si="24"/>
        <v>16856</v>
      </c>
      <c r="G176" s="1380">
        <f t="shared" si="31"/>
        <v>0</v>
      </c>
      <c r="H176" s="1380">
        <f t="shared" si="31"/>
        <v>16856</v>
      </c>
      <c r="I176" s="1340">
        <f t="shared" si="25"/>
        <v>15355.9</v>
      </c>
      <c r="J176" s="1337">
        <v>0</v>
      </c>
      <c r="K176" s="1337">
        <v>15355.9</v>
      </c>
      <c r="L176" s="876">
        <f t="shared" si="34"/>
        <v>91.1</v>
      </c>
      <c r="M176" s="877">
        <f t="shared" si="34"/>
        <v>0</v>
      </c>
      <c r="N176" s="877">
        <f t="shared" si="34"/>
        <v>91.1</v>
      </c>
      <c r="O176" s="1214" t="s">
        <v>1297</v>
      </c>
      <c r="P176" s="1214" t="s">
        <v>1260</v>
      </c>
      <c r="Q176" s="1065">
        <f t="shared" si="33"/>
        <v>0</v>
      </c>
      <c r="R176" s="1065">
        <f t="shared" si="33"/>
        <v>0</v>
      </c>
      <c r="S176" s="1065">
        <f t="shared" si="33"/>
        <v>0</v>
      </c>
      <c r="T176" s="1099" t="s">
        <v>872</v>
      </c>
      <c r="U176" s="1100">
        <v>1130390420</v>
      </c>
      <c r="V176" s="1099">
        <v>414</v>
      </c>
      <c r="W176" s="1099">
        <v>14019</v>
      </c>
      <c r="Z176" s="1311">
        <f t="shared" si="28"/>
        <v>0</v>
      </c>
      <c r="AA176" s="1374">
        <f t="shared" si="29"/>
        <v>0</v>
      </c>
      <c r="AB176" s="1374">
        <f t="shared" si="30"/>
        <v>0</v>
      </c>
    </row>
    <row r="177" spans="1:28" ht="63" customHeight="1">
      <c r="A177" s="2405"/>
      <c r="B177" s="1084" t="s">
        <v>478</v>
      </c>
      <c r="C177" s="871">
        <f t="shared" si="23"/>
        <v>444195.7</v>
      </c>
      <c r="D177" s="1249">
        <f>412659.9+4883.9</f>
        <v>417543.8</v>
      </c>
      <c r="E177" s="1257">
        <f>26340.05+311.8</f>
        <v>26651.85</v>
      </c>
      <c r="F177" s="1347">
        <f t="shared" si="24"/>
        <v>444195.7</v>
      </c>
      <c r="G177" s="1337">
        <f t="shared" si="31"/>
        <v>417543.8</v>
      </c>
      <c r="H177" s="1068">
        <f t="shared" si="31"/>
        <v>26651.85</v>
      </c>
      <c r="I177" s="1340">
        <f t="shared" si="25"/>
        <v>259355.4</v>
      </c>
      <c r="J177" s="1337">
        <v>243794</v>
      </c>
      <c r="K177" s="1337">
        <v>15561.4</v>
      </c>
      <c r="L177" s="876">
        <f t="shared" si="34"/>
        <v>58.4</v>
      </c>
      <c r="M177" s="877">
        <f t="shared" si="34"/>
        <v>58.4</v>
      </c>
      <c r="N177" s="877">
        <f t="shared" si="34"/>
        <v>58.4</v>
      </c>
      <c r="O177" s="1214" t="s">
        <v>1298</v>
      </c>
      <c r="P177" s="1214" t="s">
        <v>1261</v>
      </c>
      <c r="Q177" s="1065">
        <f t="shared" si="33"/>
        <v>0</v>
      </c>
      <c r="R177" s="1065">
        <f t="shared" si="33"/>
        <v>0</v>
      </c>
      <c r="S177" s="1065">
        <f t="shared" si="33"/>
        <v>0</v>
      </c>
      <c r="T177" s="1099" t="s">
        <v>886</v>
      </c>
      <c r="U177" s="1100" t="s">
        <v>898</v>
      </c>
      <c r="V177" s="1099">
        <v>414</v>
      </c>
      <c r="W177" s="1099" t="s">
        <v>899</v>
      </c>
      <c r="Z177" s="1311">
        <f t="shared" si="28"/>
        <v>0</v>
      </c>
      <c r="AA177" s="1374">
        <f t="shared" si="29"/>
        <v>0</v>
      </c>
      <c r="AB177" s="1374">
        <f t="shared" si="30"/>
        <v>0</v>
      </c>
    </row>
    <row r="178" spans="1:28" s="515" customFormat="1" ht="74.25" customHeight="1">
      <c r="A178" s="1345" t="s">
        <v>860</v>
      </c>
      <c r="B178" s="900" t="s">
        <v>499</v>
      </c>
      <c r="C178" s="871">
        <f t="shared" si="23"/>
        <v>9981.4</v>
      </c>
      <c r="D178" s="972">
        <f>8500+859.8</f>
        <v>9359.7999999999993</v>
      </c>
      <c r="E178" s="972">
        <f>564.5+57.1</f>
        <v>621.6</v>
      </c>
      <c r="F178" s="1347">
        <f t="shared" si="24"/>
        <v>9981.4</v>
      </c>
      <c r="G178" s="1337">
        <f t="shared" si="31"/>
        <v>9359.7999999999993</v>
      </c>
      <c r="H178" s="1337">
        <f t="shared" si="31"/>
        <v>621.6</v>
      </c>
      <c r="I178" s="1340">
        <f t="shared" si="25"/>
        <v>2477.8000000000002</v>
      </c>
      <c r="J178" s="1341">
        <v>2323.5</v>
      </c>
      <c r="K178" s="1341">
        <v>154.30000000000001</v>
      </c>
      <c r="L178" s="876">
        <f t="shared" si="34"/>
        <v>24.8</v>
      </c>
      <c r="M178" s="877">
        <f t="shared" si="34"/>
        <v>24.8</v>
      </c>
      <c r="N178" s="877">
        <f t="shared" si="34"/>
        <v>24.8</v>
      </c>
      <c r="O178" s="1214" t="s">
        <v>1299</v>
      </c>
      <c r="P178" s="1214" t="s">
        <v>1262</v>
      </c>
      <c r="Q178" s="1065">
        <f t="shared" si="33"/>
        <v>0</v>
      </c>
      <c r="R178" s="1065">
        <f t="shared" si="33"/>
        <v>0</v>
      </c>
      <c r="S178" s="1065">
        <f t="shared" si="33"/>
        <v>0</v>
      </c>
      <c r="T178" s="1099" t="s">
        <v>871</v>
      </c>
      <c r="U178" s="1100" t="s">
        <v>870</v>
      </c>
      <c r="V178" s="1099">
        <v>414</v>
      </c>
      <c r="W178" s="1099" t="s">
        <v>873</v>
      </c>
      <c r="X178" s="1220"/>
      <c r="Z178" s="1311">
        <f t="shared" si="28"/>
        <v>0</v>
      </c>
      <c r="AA178" s="1374">
        <f t="shared" si="29"/>
        <v>0</v>
      </c>
      <c r="AB178" s="1374">
        <f t="shared" si="30"/>
        <v>0</v>
      </c>
    </row>
    <row r="179" spans="1:28" ht="54.75" customHeight="1">
      <c r="A179" s="1344" t="s">
        <v>1026</v>
      </c>
      <c r="B179" s="900" t="s">
        <v>768</v>
      </c>
      <c r="C179" s="871">
        <f t="shared" si="23"/>
        <v>8900</v>
      </c>
      <c r="D179" s="972">
        <v>0</v>
      </c>
      <c r="E179" s="972">
        <v>8900</v>
      </c>
      <c r="F179" s="1347">
        <f t="shared" si="24"/>
        <v>8900</v>
      </c>
      <c r="G179" s="1337">
        <f t="shared" si="31"/>
        <v>0</v>
      </c>
      <c r="H179" s="1337">
        <f t="shared" si="31"/>
        <v>8900</v>
      </c>
      <c r="I179" s="1340">
        <f t="shared" si="25"/>
        <v>0</v>
      </c>
      <c r="J179" s="1341">
        <v>0</v>
      </c>
      <c r="K179" s="1341">
        <v>0</v>
      </c>
      <c r="L179" s="876">
        <f t="shared" si="34"/>
        <v>0</v>
      </c>
      <c r="M179" s="877">
        <f t="shared" si="34"/>
        <v>0</v>
      </c>
      <c r="N179" s="877">
        <f t="shared" si="34"/>
        <v>0</v>
      </c>
      <c r="O179" s="1214" t="s">
        <v>1300</v>
      </c>
      <c r="P179" s="1214" t="s">
        <v>1263</v>
      </c>
      <c r="Q179" s="1065">
        <f>C179-F179</f>
        <v>0</v>
      </c>
      <c r="R179" s="1065">
        <f t="shared" si="33"/>
        <v>0</v>
      </c>
      <c r="S179" s="1065">
        <f t="shared" si="33"/>
        <v>0</v>
      </c>
      <c r="T179" s="1099" t="s">
        <v>872</v>
      </c>
      <c r="U179" s="1100">
        <v>1130390420</v>
      </c>
      <c r="V179" s="1099">
        <v>414</v>
      </c>
      <c r="W179" s="1099">
        <v>14009</v>
      </c>
      <c r="Z179" s="1311">
        <f t="shared" si="28"/>
        <v>0</v>
      </c>
      <c r="AA179" s="1374">
        <f t="shared" si="29"/>
        <v>0</v>
      </c>
      <c r="AB179" s="1374">
        <f t="shared" si="30"/>
        <v>0</v>
      </c>
    </row>
    <row r="180" spans="1:28" ht="74.25" customHeight="1">
      <c r="A180" s="1345" t="s">
        <v>1320</v>
      </c>
      <c r="B180" s="900" t="s">
        <v>769</v>
      </c>
      <c r="C180" s="871">
        <f t="shared" si="23"/>
        <v>21489</v>
      </c>
      <c r="D180" s="972">
        <v>0</v>
      </c>
      <c r="E180" s="972">
        <v>21489</v>
      </c>
      <c r="F180" s="1347">
        <f t="shared" si="24"/>
        <v>21489</v>
      </c>
      <c r="G180" s="1337">
        <f t="shared" si="31"/>
        <v>0</v>
      </c>
      <c r="H180" s="1337">
        <f t="shared" si="31"/>
        <v>21489</v>
      </c>
      <c r="I180" s="1340">
        <f t="shared" si="25"/>
        <v>6446.7</v>
      </c>
      <c r="J180" s="1341">
        <v>0</v>
      </c>
      <c r="K180" s="1341">
        <v>6446.7</v>
      </c>
      <c r="L180" s="876">
        <f t="shared" si="34"/>
        <v>30</v>
      </c>
      <c r="M180" s="877">
        <f t="shared" si="34"/>
        <v>0</v>
      </c>
      <c r="N180" s="877">
        <f t="shared" si="34"/>
        <v>30</v>
      </c>
      <c r="O180" s="1214" t="s">
        <v>1301</v>
      </c>
      <c r="P180" s="1214" t="s">
        <v>1264</v>
      </c>
      <c r="Q180" s="1065">
        <f>C180-F180</f>
        <v>0</v>
      </c>
      <c r="R180" s="1065">
        <f t="shared" ref="Q180:S197" si="35">D180-G180</f>
        <v>0</v>
      </c>
      <c r="S180" s="1065">
        <f t="shared" si="35"/>
        <v>0</v>
      </c>
      <c r="T180" s="1099" t="s">
        <v>872</v>
      </c>
      <c r="U180" s="1100">
        <v>1130390420</v>
      </c>
      <c r="V180" s="1099">
        <v>414</v>
      </c>
      <c r="W180" s="1099">
        <v>14053</v>
      </c>
      <c r="Z180" s="1311">
        <f t="shared" si="28"/>
        <v>0</v>
      </c>
      <c r="AA180" s="1374">
        <f t="shared" si="29"/>
        <v>0</v>
      </c>
      <c r="AB180" s="1374">
        <f t="shared" si="30"/>
        <v>0</v>
      </c>
    </row>
    <row r="181" spans="1:28" s="736" customFormat="1" ht="27.75">
      <c r="A181" s="1345" t="s">
        <v>1027</v>
      </c>
      <c r="B181" s="900" t="s">
        <v>692</v>
      </c>
      <c r="C181" s="871">
        <f>SUM(D181:E181)</f>
        <v>22300</v>
      </c>
      <c r="D181" s="972">
        <f>22300*0.9396914446</f>
        <v>20955.099999999999</v>
      </c>
      <c r="E181" s="972">
        <f>22300*(1-0.9396914446)</f>
        <v>1344.9</v>
      </c>
      <c r="F181" s="1347">
        <f>SUM(G181:H181)</f>
        <v>22300</v>
      </c>
      <c r="G181" s="1337">
        <f t="shared" si="31"/>
        <v>20955.099999999999</v>
      </c>
      <c r="H181" s="1337">
        <f t="shared" si="31"/>
        <v>1344.9</v>
      </c>
      <c r="I181" s="2463">
        <f>SUM(J181:K181)</f>
        <v>0</v>
      </c>
      <c r="J181" s="2464">
        <v>0</v>
      </c>
      <c r="K181" s="2464">
        <v>0</v>
      </c>
      <c r="L181" s="2467">
        <f>IF(I181=0,0,I181/F181:F182*100)</f>
        <v>0</v>
      </c>
      <c r="M181" s="2462">
        <f>IF(J181=0,0,J181/G181:G182*100)</f>
        <v>0</v>
      </c>
      <c r="N181" s="2462">
        <f>IF(K181=0,0,K181/H181:H182*100)</f>
        <v>0</v>
      </c>
      <c r="O181" s="2460" t="s">
        <v>1192</v>
      </c>
      <c r="P181" s="2460" t="s">
        <v>1265</v>
      </c>
      <c r="Q181" s="1065">
        <f>C181-F181</f>
        <v>0</v>
      </c>
      <c r="R181" s="1065">
        <f t="shared" si="35"/>
        <v>0</v>
      </c>
      <c r="S181" s="1065">
        <f t="shared" si="35"/>
        <v>0</v>
      </c>
      <c r="T181" s="2409" t="s">
        <v>874</v>
      </c>
      <c r="U181" s="2445" t="s">
        <v>875</v>
      </c>
      <c r="V181" s="2409">
        <v>414</v>
      </c>
      <c r="W181" s="2409" t="s">
        <v>876</v>
      </c>
      <c r="X181" s="2468"/>
      <c r="Z181" s="1311">
        <f t="shared" si="28"/>
        <v>0</v>
      </c>
      <c r="AA181" s="1374">
        <f t="shared" si="29"/>
        <v>0</v>
      </c>
      <c r="AB181" s="1374">
        <f t="shared" si="30"/>
        <v>0</v>
      </c>
    </row>
    <row r="182" spans="1:28" s="736" customFormat="1" ht="27.75">
      <c r="A182" s="1345" t="s">
        <v>1321</v>
      </c>
      <c r="B182" s="900" t="s">
        <v>691</v>
      </c>
      <c r="C182" s="871">
        <f t="shared" si="23"/>
        <v>49000</v>
      </c>
      <c r="D182" s="972">
        <f>49000*0.9396914446</f>
        <v>46044.9</v>
      </c>
      <c r="E182" s="972">
        <f>49000*(1-0.9396914446)</f>
        <v>2955.1</v>
      </c>
      <c r="F182" s="1347">
        <f t="shared" si="24"/>
        <v>49000</v>
      </c>
      <c r="G182" s="1337">
        <f t="shared" si="31"/>
        <v>46044.9</v>
      </c>
      <c r="H182" s="1337">
        <f t="shared" si="31"/>
        <v>2955.1</v>
      </c>
      <c r="I182" s="2463"/>
      <c r="J182" s="2464"/>
      <c r="K182" s="2464"/>
      <c r="L182" s="2467"/>
      <c r="M182" s="2462"/>
      <c r="N182" s="2462"/>
      <c r="O182" s="2461"/>
      <c r="P182" s="2461"/>
      <c r="Q182" s="1065">
        <f t="shared" si="35"/>
        <v>0</v>
      </c>
      <c r="R182" s="1065">
        <f t="shared" si="35"/>
        <v>0</v>
      </c>
      <c r="S182" s="1065">
        <f t="shared" si="35"/>
        <v>0</v>
      </c>
      <c r="T182" s="2409"/>
      <c r="U182" s="2445"/>
      <c r="V182" s="2409"/>
      <c r="W182" s="2409"/>
      <c r="X182" s="2468"/>
      <c r="Z182" s="1311">
        <f t="shared" si="28"/>
        <v>0</v>
      </c>
      <c r="AA182" s="1374">
        <f t="shared" si="29"/>
        <v>0</v>
      </c>
      <c r="AB182" s="1374">
        <f t="shared" si="30"/>
        <v>0</v>
      </c>
    </row>
    <row r="183" spans="1:28" s="736" customFormat="1" ht="70.5" customHeight="1">
      <c r="A183" s="1345" t="s">
        <v>1312</v>
      </c>
      <c r="B183" s="955" t="s">
        <v>767</v>
      </c>
      <c r="C183" s="871">
        <f t="shared" si="23"/>
        <v>5777.1</v>
      </c>
      <c r="D183" s="1249">
        <v>0</v>
      </c>
      <c r="E183" s="1249">
        <v>5777.1</v>
      </c>
      <c r="F183" s="1347">
        <f t="shared" si="24"/>
        <v>5777.1</v>
      </c>
      <c r="G183" s="1337">
        <f t="shared" si="31"/>
        <v>0</v>
      </c>
      <c r="H183" s="1337">
        <f t="shared" si="31"/>
        <v>5777.1</v>
      </c>
      <c r="I183" s="1340">
        <f t="shared" si="25"/>
        <v>0</v>
      </c>
      <c r="J183" s="1337">
        <v>0</v>
      </c>
      <c r="K183" s="1337">
        <v>0</v>
      </c>
      <c r="L183" s="876">
        <f>IF(I183=0,0,I183/F183*100)</f>
        <v>0</v>
      </c>
      <c r="M183" s="877">
        <f>IF(J183=0,0,J183/G183*100)</f>
        <v>0</v>
      </c>
      <c r="N183" s="877">
        <f>IF(K183=0,0,K183/H183*100)</f>
        <v>0</v>
      </c>
      <c r="O183" s="1214" t="s">
        <v>1302</v>
      </c>
      <c r="P183" s="1214" t="s">
        <v>1266</v>
      </c>
      <c r="Q183" s="1065">
        <f>C183-F183</f>
        <v>0</v>
      </c>
      <c r="R183" s="1065">
        <f t="shared" si="35"/>
        <v>0</v>
      </c>
      <c r="S183" s="1065">
        <f t="shared" si="35"/>
        <v>0</v>
      </c>
      <c r="T183" s="1099" t="s">
        <v>872</v>
      </c>
      <c r="U183" s="1100">
        <v>1130490420</v>
      </c>
      <c r="V183" s="1099">
        <v>414</v>
      </c>
      <c r="W183" s="1099">
        <v>14007</v>
      </c>
      <c r="X183" s="1216"/>
      <c r="Z183" s="1311">
        <f t="shared" si="28"/>
        <v>0</v>
      </c>
      <c r="AA183" s="1374">
        <f t="shared" si="29"/>
        <v>0</v>
      </c>
      <c r="AB183" s="1374">
        <f t="shared" si="30"/>
        <v>0</v>
      </c>
    </row>
    <row r="184" spans="1:28" s="736" customFormat="1" ht="37.5" customHeight="1">
      <c r="A184" s="1345" t="s">
        <v>1333</v>
      </c>
      <c r="B184" s="955" t="s">
        <v>763</v>
      </c>
      <c r="C184" s="871">
        <f t="shared" si="23"/>
        <v>32800</v>
      </c>
      <c r="D184" s="1249">
        <v>30832</v>
      </c>
      <c r="E184" s="1249">
        <v>1968</v>
      </c>
      <c r="F184" s="1347">
        <f t="shared" si="24"/>
        <v>32800</v>
      </c>
      <c r="G184" s="1337">
        <f t="shared" si="31"/>
        <v>30832</v>
      </c>
      <c r="H184" s="1337">
        <f t="shared" si="31"/>
        <v>1968</v>
      </c>
      <c r="I184" s="2463">
        <f>SUM(J184:K186)</f>
        <v>0</v>
      </c>
      <c r="J184" s="2466">
        <v>0</v>
      </c>
      <c r="K184" s="2466">
        <v>0</v>
      </c>
      <c r="L184" s="2467">
        <f>IF(I184=0,0,I184/F184:F186*100)</f>
        <v>0</v>
      </c>
      <c r="M184" s="2462">
        <f>IF(J184=0,0,J184/G184:G186*100)</f>
        <v>0</v>
      </c>
      <c r="N184" s="2462">
        <f>IF(K184=0,0,K184/H184:H186*100)</f>
        <v>0</v>
      </c>
      <c r="O184" s="1214" t="s">
        <v>1267</v>
      </c>
      <c r="P184" s="1214" t="s">
        <v>1219</v>
      </c>
      <c r="Q184" s="1065">
        <f t="shared" si="35"/>
        <v>0</v>
      </c>
      <c r="R184" s="1065">
        <f t="shared" si="35"/>
        <v>0</v>
      </c>
      <c r="S184" s="1065">
        <f t="shared" si="35"/>
        <v>0</v>
      </c>
      <c r="T184" s="2409" t="s">
        <v>872</v>
      </c>
      <c r="U184" s="2445" t="s">
        <v>878</v>
      </c>
      <c r="V184" s="2409">
        <v>414</v>
      </c>
      <c r="W184" s="2409" t="s">
        <v>879</v>
      </c>
      <c r="X184" s="2465"/>
      <c r="Z184" s="1311">
        <f t="shared" si="28"/>
        <v>0</v>
      </c>
      <c r="AA184" s="1374">
        <f t="shared" si="29"/>
        <v>0</v>
      </c>
      <c r="AB184" s="1374">
        <f t="shared" si="30"/>
        <v>0</v>
      </c>
    </row>
    <row r="185" spans="1:28" s="736" customFormat="1" ht="37.5" customHeight="1">
      <c r="A185" s="895">
        <v>120</v>
      </c>
      <c r="B185" s="955" t="s">
        <v>765</v>
      </c>
      <c r="C185" s="871">
        <f t="shared" si="23"/>
        <v>1200</v>
      </c>
      <c r="D185" s="1249">
        <v>1128</v>
      </c>
      <c r="E185" s="1249">
        <v>72</v>
      </c>
      <c r="F185" s="1347">
        <f t="shared" si="24"/>
        <v>1200</v>
      </c>
      <c r="G185" s="1337">
        <f t="shared" si="31"/>
        <v>1128</v>
      </c>
      <c r="H185" s="1337">
        <f t="shared" si="31"/>
        <v>72</v>
      </c>
      <c r="I185" s="2463"/>
      <c r="J185" s="2466"/>
      <c r="K185" s="2466"/>
      <c r="L185" s="2467"/>
      <c r="M185" s="2462"/>
      <c r="N185" s="2462"/>
      <c r="O185" s="1214" t="s">
        <v>1192</v>
      </c>
      <c r="P185" s="1214" t="s">
        <v>1219</v>
      </c>
      <c r="Q185" s="1065">
        <f t="shared" si="35"/>
        <v>0</v>
      </c>
      <c r="R185" s="1065">
        <f t="shared" si="35"/>
        <v>0</v>
      </c>
      <c r="S185" s="1065">
        <f t="shared" si="35"/>
        <v>0</v>
      </c>
      <c r="T185" s="2409"/>
      <c r="U185" s="2445"/>
      <c r="V185" s="2409"/>
      <c r="W185" s="2409"/>
      <c r="X185" s="2465"/>
      <c r="Z185" s="1311">
        <f t="shared" si="28"/>
        <v>0</v>
      </c>
      <c r="AA185" s="1374">
        <f t="shared" si="29"/>
        <v>0</v>
      </c>
      <c r="AB185" s="1374">
        <f t="shared" si="30"/>
        <v>0</v>
      </c>
    </row>
    <row r="186" spans="1:28" s="736" customFormat="1" ht="37.5" customHeight="1">
      <c r="A186" s="895">
        <v>121</v>
      </c>
      <c r="B186" s="955" t="s">
        <v>766</v>
      </c>
      <c r="C186" s="871">
        <f t="shared" si="23"/>
        <v>1500</v>
      </c>
      <c r="D186" s="1249">
        <v>1410</v>
      </c>
      <c r="E186" s="1249">
        <v>90</v>
      </c>
      <c r="F186" s="1347">
        <f t="shared" si="24"/>
        <v>1500</v>
      </c>
      <c r="G186" s="1337">
        <f t="shared" si="31"/>
        <v>1410</v>
      </c>
      <c r="H186" s="1337">
        <f t="shared" si="31"/>
        <v>90</v>
      </c>
      <c r="I186" s="2463"/>
      <c r="J186" s="2466"/>
      <c r="K186" s="2466"/>
      <c r="L186" s="2467"/>
      <c r="M186" s="2462"/>
      <c r="N186" s="2462"/>
      <c r="O186" s="1214" t="s">
        <v>1267</v>
      </c>
      <c r="P186" s="1214" t="s">
        <v>1219</v>
      </c>
      <c r="Q186" s="1065">
        <f t="shared" si="35"/>
        <v>0</v>
      </c>
      <c r="R186" s="1065">
        <f t="shared" si="35"/>
        <v>0</v>
      </c>
      <c r="S186" s="1065">
        <f t="shared" si="35"/>
        <v>0</v>
      </c>
      <c r="T186" s="2409"/>
      <c r="U186" s="2445"/>
      <c r="V186" s="2409"/>
      <c r="W186" s="2409"/>
      <c r="X186" s="2465"/>
      <c r="Z186" s="1311">
        <f t="shared" si="28"/>
        <v>0</v>
      </c>
      <c r="AA186" s="1374">
        <f t="shared" si="29"/>
        <v>0</v>
      </c>
      <c r="AB186" s="1374">
        <f t="shared" si="30"/>
        <v>0</v>
      </c>
    </row>
    <row r="187" spans="1:28" s="736" customFormat="1" ht="54.75" customHeight="1">
      <c r="A187" s="1335" t="s">
        <v>1323</v>
      </c>
      <c r="B187" s="900" t="s">
        <v>463</v>
      </c>
      <c r="C187" s="871">
        <f t="shared" si="23"/>
        <v>19846.5</v>
      </c>
      <c r="D187" s="972">
        <f>18651.8+3.79</f>
        <v>18655.599999999999</v>
      </c>
      <c r="E187" s="972">
        <f>1190.7+0.2</f>
        <v>1190.9000000000001</v>
      </c>
      <c r="F187" s="1347">
        <f t="shared" si="24"/>
        <v>19846.5</v>
      </c>
      <c r="G187" s="1337">
        <f t="shared" si="31"/>
        <v>18655.599999999999</v>
      </c>
      <c r="H187" s="1337">
        <f t="shared" si="31"/>
        <v>1190.9000000000001</v>
      </c>
      <c r="I187" s="1340">
        <f t="shared" ref="I187:I224" si="36">SUM(J187:K187)</f>
        <v>30</v>
      </c>
      <c r="J187" s="1341">
        <v>28.2</v>
      </c>
      <c r="K187" s="1341">
        <v>1.8</v>
      </c>
      <c r="L187" s="876">
        <f t="shared" ref="L187:N230" si="37">IF(I187=0,0,I187/F187*100)</f>
        <v>0.2</v>
      </c>
      <c r="M187" s="877">
        <f t="shared" si="37"/>
        <v>0.2</v>
      </c>
      <c r="N187" s="877">
        <f t="shared" si="37"/>
        <v>0.2</v>
      </c>
      <c r="O187" s="1214" t="s">
        <v>1303</v>
      </c>
      <c r="P187" s="1214" t="s">
        <v>1268</v>
      </c>
      <c r="Q187" s="1065">
        <f t="shared" si="35"/>
        <v>0</v>
      </c>
      <c r="R187" s="1065">
        <f t="shared" si="35"/>
        <v>0</v>
      </c>
      <c r="S187" s="1065">
        <f t="shared" si="35"/>
        <v>0</v>
      </c>
      <c r="T187" s="1099" t="s">
        <v>923</v>
      </c>
      <c r="U187" s="1100" t="s">
        <v>924</v>
      </c>
      <c r="V187" s="1099">
        <v>414</v>
      </c>
      <c r="W187" s="1099" t="s">
        <v>922</v>
      </c>
      <c r="X187" s="1216"/>
      <c r="Z187" s="1311">
        <f t="shared" si="28"/>
        <v>0</v>
      </c>
      <c r="AA187" s="1374">
        <f t="shared" si="29"/>
        <v>0</v>
      </c>
      <c r="AB187" s="1374">
        <f t="shared" si="30"/>
        <v>0</v>
      </c>
    </row>
    <row r="188" spans="1:28" s="736" customFormat="1" ht="60" customHeight="1">
      <c r="A188" s="1345" t="s">
        <v>856</v>
      </c>
      <c r="B188" s="900" t="s">
        <v>592</v>
      </c>
      <c r="C188" s="871">
        <f t="shared" si="23"/>
        <v>28317.1</v>
      </c>
      <c r="D188" s="972">
        <f>11848.8+14769.21</f>
        <v>26618</v>
      </c>
      <c r="E188" s="972">
        <f>756.4+942.7</f>
        <v>1699.1</v>
      </c>
      <c r="F188" s="1347">
        <f t="shared" si="24"/>
        <v>28317.1</v>
      </c>
      <c r="G188" s="1337">
        <f t="shared" si="31"/>
        <v>26618</v>
      </c>
      <c r="H188" s="1337">
        <f t="shared" si="31"/>
        <v>1699.1</v>
      </c>
      <c r="I188" s="1340">
        <f t="shared" si="36"/>
        <v>0</v>
      </c>
      <c r="J188" s="1341">
        <v>0</v>
      </c>
      <c r="K188" s="1341">
        <v>0</v>
      </c>
      <c r="L188" s="876">
        <f t="shared" si="37"/>
        <v>0</v>
      </c>
      <c r="M188" s="877">
        <f t="shared" si="37"/>
        <v>0</v>
      </c>
      <c r="N188" s="877">
        <f t="shared" si="37"/>
        <v>0</v>
      </c>
      <c r="O188" s="1214" t="s">
        <v>1192</v>
      </c>
      <c r="P188" s="1214" t="s">
        <v>1253</v>
      </c>
      <c r="Q188" s="1065">
        <f t="shared" si="35"/>
        <v>0</v>
      </c>
      <c r="R188" s="1065">
        <f t="shared" si="35"/>
        <v>0</v>
      </c>
      <c r="S188" s="1065">
        <f t="shared" si="35"/>
        <v>0</v>
      </c>
      <c r="T188" s="1099" t="s">
        <v>923</v>
      </c>
      <c r="U188" s="1100" t="s">
        <v>925</v>
      </c>
      <c r="V188" s="1099">
        <v>414</v>
      </c>
      <c r="W188" s="1099" t="s">
        <v>922</v>
      </c>
      <c r="X188" s="1216"/>
      <c r="Z188" s="1311">
        <f t="shared" si="28"/>
        <v>0</v>
      </c>
      <c r="AA188" s="1374">
        <f t="shared" si="29"/>
        <v>0</v>
      </c>
      <c r="AB188" s="1374">
        <f t="shared" si="30"/>
        <v>0</v>
      </c>
    </row>
    <row r="189" spans="1:28" s="736" customFormat="1" ht="69.75">
      <c r="A189" s="2404" t="s">
        <v>857</v>
      </c>
      <c r="B189" s="900" t="s">
        <v>776</v>
      </c>
      <c r="C189" s="871">
        <f>SUM(D189:E189)</f>
        <v>28483.9</v>
      </c>
      <c r="D189" s="972">
        <f>27685.1-D190</f>
        <v>26774.6</v>
      </c>
      <c r="E189" s="972">
        <f>1767.2-E190</f>
        <v>1709.3</v>
      </c>
      <c r="F189" s="1347">
        <f t="shared" si="24"/>
        <v>28483.9</v>
      </c>
      <c r="G189" s="972">
        <f>D189</f>
        <v>26774.6</v>
      </c>
      <c r="H189" s="972">
        <f>E189</f>
        <v>1709.3</v>
      </c>
      <c r="I189" s="1340">
        <f t="shared" si="36"/>
        <v>0</v>
      </c>
      <c r="J189" s="1341">
        <v>0</v>
      </c>
      <c r="K189" s="1341">
        <v>0</v>
      </c>
      <c r="L189" s="876">
        <f t="shared" si="37"/>
        <v>0</v>
      </c>
      <c r="M189" s="877">
        <f t="shared" si="37"/>
        <v>0</v>
      </c>
      <c r="N189" s="877">
        <f t="shared" si="37"/>
        <v>0</v>
      </c>
      <c r="O189" s="1214" t="s">
        <v>1192</v>
      </c>
      <c r="P189" s="1214" t="s">
        <v>1269</v>
      </c>
      <c r="Q189" s="1065">
        <f t="shared" si="35"/>
        <v>0</v>
      </c>
      <c r="R189" s="1065">
        <f t="shared" si="35"/>
        <v>0</v>
      </c>
      <c r="S189" s="1065">
        <f t="shared" si="35"/>
        <v>0</v>
      </c>
      <c r="T189" s="1099" t="s">
        <v>920</v>
      </c>
      <c r="U189" s="1100" t="s">
        <v>921</v>
      </c>
      <c r="V189" s="1099">
        <v>414</v>
      </c>
      <c r="W189" s="1099" t="s">
        <v>922</v>
      </c>
      <c r="X189" s="1216"/>
      <c r="Z189" s="1311">
        <f t="shared" si="28"/>
        <v>0</v>
      </c>
      <c r="AA189" s="1374">
        <f t="shared" si="29"/>
        <v>0</v>
      </c>
      <c r="AB189" s="1374">
        <f t="shared" si="30"/>
        <v>0</v>
      </c>
    </row>
    <row r="190" spans="1:28" s="736" customFormat="1" ht="33.75" customHeight="1">
      <c r="A190" s="2405"/>
      <c r="B190" s="900" t="s">
        <v>1335</v>
      </c>
      <c r="C190" s="1354">
        <f>SUM(D190:E190)</f>
        <v>968.4</v>
      </c>
      <c r="D190" s="1353">
        <v>910.5</v>
      </c>
      <c r="E190" s="1353">
        <v>57.9</v>
      </c>
      <c r="F190" s="1354">
        <f>SUM(G190:H190)</f>
        <v>968.4</v>
      </c>
      <c r="G190" s="879">
        <f>D190</f>
        <v>910.5</v>
      </c>
      <c r="H190" s="879">
        <f>E190</f>
        <v>57.9</v>
      </c>
      <c r="I190" s="1354">
        <f>SUM(J190:K190)</f>
        <v>0</v>
      </c>
      <c r="J190" s="1353"/>
      <c r="K190" s="1353"/>
      <c r="L190" s="876">
        <f>IF(I190=0,0,I190/F190*100)</f>
        <v>0</v>
      </c>
      <c r="M190" s="877">
        <f>IF(J190=0,0,J190/G190*100)</f>
        <v>0</v>
      </c>
      <c r="N190" s="877">
        <f>IF(K190=0,0,K190/H190*100)</f>
        <v>0</v>
      </c>
      <c r="O190" s="1214" t="s">
        <v>1272</v>
      </c>
      <c r="P190" s="1214" t="s">
        <v>1273</v>
      </c>
      <c r="Q190" s="1065">
        <f>C190-F190</f>
        <v>0</v>
      </c>
      <c r="R190" s="1065">
        <f>D190-G190</f>
        <v>0</v>
      </c>
      <c r="S190" s="1065">
        <f>E190-H190</f>
        <v>0</v>
      </c>
      <c r="T190" s="1099" t="s">
        <v>928</v>
      </c>
      <c r="U190" s="1100" t="s">
        <v>929</v>
      </c>
      <c r="V190" s="1099">
        <v>414</v>
      </c>
      <c r="W190" s="1099">
        <v>14036</v>
      </c>
      <c r="X190" s="1216"/>
      <c r="Z190" s="1311">
        <f>C190-F190</f>
        <v>0</v>
      </c>
      <c r="AA190" s="1374">
        <f t="shared" si="29"/>
        <v>0</v>
      </c>
      <c r="AB190" s="1374">
        <f t="shared" si="30"/>
        <v>0</v>
      </c>
    </row>
    <row r="191" spans="1:28" s="736" customFormat="1" ht="78.75">
      <c r="A191" s="2442" t="s">
        <v>858</v>
      </c>
      <c r="B191" s="901" t="s">
        <v>638</v>
      </c>
      <c r="C191" s="871">
        <f t="shared" si="23"/>
        <v>15520</v>
      </c>
      <c r="D191" s="972">
        <v>0</v>
      </c>
      <c r="E191" s="972">
        <v>15520</v>
      </c>
      <c r="F191" s="1347">
        <f t="shared" si="24"/>
        <v>15520</v>
      </c>
      <c r="G191" s="1337">
        <f t="shared" si="31"/>
        <v>0</v>
      </c>
      <c r="H191" s="1337">
        <f t="shared" si="31"/>
        <v>15520</v>
      </c>
      <c r="I191" s="1340">
        <f t="shared" si="36"/>
        <v>4656</v>
      </c>
      <c r="J191" s="1341">
        <v>0</v>
      </c>
      <c r="K191" s="1341">
        <v>4656</v>
      </c>
      <c r="L191" s="876">
        <f t="shared" si="37"/>
        <v>30</v>
      </c>
      <c r="M191" s="877">
        <f t="shared" si="37"/>
        <v>0</v>
      </c>
      <c r="N191" s="877">
        <f t="shared" si="37"/>
        <v>30</v>
      </c>
      <c r="O191" s="1214" t="s">
        <v>1304</v>
      </c>
      <c r="P191" s="1214" t="s">
        <v>1270</v>
      </c>
      <c r="Q191" s="1065">
        <f t="shared" si="35"/>
        <v>0</v>
      </c>
      <c r="R191" s="1065">
        <f t="shared" si="35"/>
        <v>0</v>
      </c>
      <c r="S191" s="1065">
        <f t="shared" si="35"/>
        <v>0</v>
      </c>
      <c r="T191" s="1099" t="s">
        <v>928</v>
      </c>
      <c r="U191" s="1100" t="s">
        <v>929</v>
      </c>
      <c r="V191" s="1099">
        <v>414</v>
      </c>
      <c r="W191" s="1099">
        <v>14003</v>
      </c>
      <c r="X191" s="1216"/>
      <c r="Z191" s="1311">
        <f t="shared" si="28"/>
        <v>0</v>
      </c>
      <c r="AA191" s="1374">
        <f t="shared" si="29"/>
        <v>0</v>
      </c>
      <c r="AB191" s="1374">
        <f t="shared" si="30"/>
        <v>0</v>
      </c>
    </row>
    <row r="192" spans="1:28" s="736" customFormat="1" ht="67.5" customHeight="1">
      <c r="A192" s="2442"/>
      <c r="B192" s="990" t="s">
        <v>694</v>
      </c>
      <c r="C192" s="871">
        <f t="shared" si="23"/>
        <v>251200</v>
      </c>
      <c r="D192" s="972">
        <v>236128</v>
      </c>
      <c r="E192" s="972">
        <v>15072</v>
      </c>
      <c r="F192" s="1347">
        <f t="shared" si="24"/>
        <v>251200</v>
      </c>
      <c r="G192" s="1337">
        <f t="shared" si="31"/>
        <v>236128</v>
      </c>
      <c r="H192" s="1337">
        <f t="shared" si="31"/>
        <v>15072</v>
      </c>
      <c r="I192" s="1340">
        <f t="shared" si="36"/>
        <v>0</v>
      </c>
      <c r="J192" s="1341">
        <v>0</v>
      </c>
      <c r="K192" s="1341">
        <v>0</v>
      </c>
      <c r="L192" s="876">
        <f t="shared" si="37"/>
        <v>0</v>
      </c>
      <c r="M192" s="877">
        <f t="shared" si="37"/>
        <v>0</v>
      </c>
      <c r="N192" s="877">
        <f t="shared" si="37"/>
        <v>0</v>
      </c>
      <c r="O192" s="1214" t="s">
        <v>1192</v>
      </c>
      <c r="P192" s="1214" t="s">
        <v>1271</v>
      </c>
      <c r="Q192" s="1065">
        <f t="shared" si="35"/>
        <v>0</v>
      </c>
      <c r="R192" s="1065">
        <f t="shared" si="35"/>
        <v>0</v>
      </c>
      <c r="S192" s="1065">
        <f t="shared" si="35"/>
        <v>0</v>
      </c>
      <c r="T192" s="1099" t="s">
        <v>928</v>
      </c>
      <c r="U192" s="1100" t="s">
        <v>931</v>
      </c>
      <c r="V192" s="1099">
        <v>414</v>
      </c>
      <c r="W192" s="1099" t="s">
        <v>930</v>
      </c>
      <c r="X192" s="1216"/>
      <c r="Z192" s="1311">
        <f t="shared" si="28"/>
        <v>0</v>
      </c>
      <c r="AA192" s="1374">
        <f t="shared" si="29"/>
        <v>0</v>
      </c>
      <c r="AB192" s="1374">
        <f t="shared" si="30"/>
        <v>0</v>
      </c>
    </row>
    <row r="193" spans="1:30" s="736" customFormat="1" ht="87.75" customHeight="1">
      <c r="A193" s="2404" t="s">
        <v>859</v>
      </c>
      <c r="B193" s="900" t="s">
        <v>646</v>
      </c>
      <c r="C193" s="871">
        <f t="shared" si="23"/>
        <v>7500</v>
      </c>
      <c r="D193" s="1249">
        <v>0</v>
      </c>
      <c r="E193" s="1249">
        <v>7500</v>
      </c>
      <c r="F193" s="1347">
        <f t="shared" si="24"/>
        <v>7500</v>
      </c>
      <c r="G193" s="1337">
        <f t="shared" si="31"/>
        <v>0</v>
      </c>
      <c r="H193" s="1337">
        <f t="shared" si="31"/>
        <v>7500</v>
      </c>
      <c r="I193" s="1340">
        <f t="shared" si="36"/>
        <v>7450</v>
      </c>
      <c r="J193" s="1337">
        <v>0</v>
      </c>
      <c r="K193" s="1337">
        <v>7450</v>
      </c>
      <c r="L193" s="876">
        <f t="shared" si="37"/>
        <v>99.3</v>
      </c>
      <c r="M193" s="877">
        <f t="shared" si="37"/>
        <v>0</v>
      </c>
      <c r="N193" s="877">
        <f t="shared" si="37"/>
        <v>99.3</v>
      </c>
      <c r="O193" s="1214" t="s">
        <v>1272</v>
      </c>
      <c r="P193" s="1214" t="s">
        <v>1273</v>
      </c>
      <c r="Q193" s="1065">
        <f t="shared" si="35"/>
        <v>0</v>
      </c>
      <c r="R193" s="1065">
        <f t="shared" si="35"/>
        <v>0</v>
      </c>
      <c r="S193" s="1065">
        <f t="shared" si="35"/>
        <v>0</v>
      </c>
      <c r="T193" s="1099" t="s">
        <v>928</v>
      </c>
      <c r="U193" s="1100" t="s">
        <v>929</v>
      </c>
      <c r="V193" s="1099">
        <v>414</v>
      </c>
      <c r="W193" s="1099">
        <v>14036</v>
      </c>
      <c r="X193" s="1216"/>
      <c r="Z193" s="1311">
        <f t="shared" si="28"/>
        <v>0</v>
      </c>
      <c r="AA193" s="1374">
        <f t="shared" si="29"/>
        <v>0</v>
      </c>
      <c r="AB193" s="1374">
        <f t="shared" si="30"/>
        <v>0</v>
      </c>
    </row>
    <row r="194" spans="1:30" s="736" customFormat="1" ht="61.5" customHeight="1">
      <c r="A194" s="2483"/>
      <c r="B194" s="990" t="s">
        <v>695</v>
      </c>
      <c r="C194" s="871">
        <f t="shared" si="23"/>
        <v>134909.6</v>
      </c>
      <c r="D194" s="972">
        <f>133919.9-D195</f>
        <v>126813.7</v>
      </c>
      <c r="E194" s="972">
        <f>8548.1-E195</f>
        <v>8095.9</v>
      </c>
      <c r="F194" s="1347">
        <f t="shared" si="24"/>
        <v>134909.6</v>
      </c>
      <c r="G194" s="1337">
        <f>D194</f>
        <v>126813.7</v>
      </c>
      <c r="H194" s="1353">
        <f>E194</f>
        <v>8095.9</v>
      </c>
      <c r="I194" s="1340">
        <f t="shared" si="36"/>
        <v>0</v>
      </c>
      <c r="J194" s="1341">
        <v>0</v>
      </c>
      <c r="K194" s="1341">
        <v>0</v>
      </c>
      <c r="L194" s="876">
        <f t="shared" si="37"/>
        <v>0</v>
      </c>
      <c r="M194" s="877">
        <f t="shared" si="37"/>
        <v>0</v>
      </c>
      <c r="N194" s="877">
        <f t="shared" si="37"/>
        <v>0</v>
      </c>
      <c r="O194" s="1214" t="s">
        <v>1192</v>
      </c>
      <c r="P194" s="1214" t="s">
        <v>1274</v>
      </c>
      <c r="Q194" s="1065">
        <f t="shared" si="35"/>
        <v>0</v>
      </c>
      <c r="R194" s="1065">
        <f t="shared" si="35"/>
        <v>0</v>
      </c>
      <c r="S194" s="1065">
        <f t="shared" si="35"/>
        <v>0</v>
      </c>
      <c r="T194" s="1099" t="s">
        <v>928</v>
      </c>
      <c r="U194" s="1100" t="s">
        <v>1030</v>
      </c>
      <c r="V194" s="1099">
        <v>414</v>
      </c>
      <c r="W194" s="1099" t="s">
        <v>930</v>
      </c>
      <c r="X194" s="1216"/>
      <c r="Z194" s="1311">
        <f t="shared" si="28"/>
        <v>0</v>
      </c>
      <c r="AA194" s="1374">
        <f t="shared" si="29"/>
        <v>0</v>
      </c>
      <c r="AB194" s="1374">
        <f t="shared" si="30"/>
        <v>0</v>
      </c>
    </row>
    <row r="195" spans="1:30" s="736" customFormat="1" ht="33.75" customHeight="1">
      <c r="A195" s="2483"/>
      <c r="B195" s="900" t="s">
        <v>1335</v>
      </c>
      <c r="C195" s="871">
        <f t="shared" si="23"/>
        <v>7558.4</v>
      </c>
      <c r="D195" s="1353">
        <v>7106.2</v>
      </c>
      <c r="E195" s="1353">
        <v>452.2</v>
      </c>
      <c r="F195" s="1354">
        <f t="shared" si="24"/>
        <v>7558.4</v>
      </c>
      <c r="G195" s="1353">
        <f>D195</f>
        <v>7106.2</v>
      </c>
      <c r="H195" s="1353">
        <f>E195</f>
        <v>452.2</v>
      </c>
      <c r="I195" s="1354">
        <f t="shared" si="36"/>
        <v>0</v>
      </c>
      <c r="J195" s="1353"/>
      <c r="K195" s="1353"/>
      <c r="L195" s="876">
        <f t="shared" ref="L195:N196" si="38">IF(I195=0,0,I195/F195*100)</f>
        <v>0</v>
      </c>
      <c r="M195" s="877">
        <f t="shared" si="38"/>
        <v>0</v>
      </c>
      <c r="N195" s="877">
        <f t="shared" si="38"/>
        <v>0</v>
      </c>
      <c r="O195" s="1214" t="s">
        <v>1272</v>
      </c>
      <c r="P195" s="1214" t="s">
        <v>1273</v>
      </c>
      <c r="Q195" s="1065">
        <f>C195-F195</f>
        <v>0</v>
      </c>
      <c r="R195" s="1065">
        <f>D195-G195</f>
        <v>0</v>
      </c>
      <c r="S195" s="1065">
        <f>E195-H195</f>
        <v>0</v>
      </c>
      <c r="T195" s="1099" t="s">
        <v>928</v>
      </c>
      <c r="U195" s="1100" t="s">
        <v>929</v>
      </c>
      <c r="V195" s="1099">
        <v>414</v>
      </c>
      <c r="W195" s="1099">
        <v>14036</v>
      </c>
      <c r="X195" s="1216"/>
      <c r="Z195" s="1311">
        <f>C195-F195</f>
        <v>0</v>
      </c>
      <c r="AA195" s="1374">
        <f t="shared" si="29"/>
        <v>0</v>
      </c>
      <c r="AB195" s="1374">
        <f t="shared" si="30"/>
        <v>0</v>
      </c>
    </row>
    <row r="196" spans="1:30" s="736" customFormat="1" ht="78.75">
      <c r="A196" s="2483" t="s">
        <v>917</v>
      </c>
      <c r="B196" s="990" t="s">
        <v>1336</v>
      </c>
      <c r="C196" s="871">
        <f>SUM(D196:E196)</f>
        <v>6308.4</v>
      </c>
      <c r="D196" s="1353"/>
      <c r="E196" s="1353">
        <v>6308.4</v>
      </c>
      <c r="F196" s="1354">
        <f>SUM(G196:H196)</f>
        <v>6308.4</v>
      </c>
      <c r="G196" s="1353"/>
      <c r="H196" s="1353">
        <v>6308.4</v>
      </c>
      <c r="I196" s="1354">
        <f t="shared" si="36"/>
        <v>2253</v>
      </c>
      <c r="J196" s="1353"/>
      <c r="K196" s="1353">
        <v>2253</v>
      </c>
      <c r="L196" s="876">
        <f t="shared" si="38"/>
        <v>35.700000000000003</v>
      </c>
      <c r="M196" s="877">
        <f t="shared" si="38"/>
        <v>0</v>
      </c>
      <c r="N196" s="877">
        <f t="shared" si="38"/>
        <v>35.700000000000003</v>
      </c>
      <c r="O196" s="1214"/>
      <c r="P196" s="1214"/>
      <c r="Q196" s="1065"/>
      <c r="R196" s="1065"/>
      <c r="S196" s="1065"/>
      <c r="T196" s="1099"/>
      <c r="U196" s="1100"/>
      <c r="V196" s="1099"/>
      <c r="W196" s="1099"/>
      <c r="X196" s="1216"/>
      <c r="Z196" s="1311"/>
      <c r="AA196" s="1374">
        <f t="shared" si="29"/>
        <v>0</v>
      </c>
      <c r="AB196" s="1374">
        <f t="shared" si="30"/>
        <v>0</v>
      </c>
    </row>
    <row r="197" spans="1:30" s="736" customFormat="1" ht="64.5" customHeight="1">
      <c r="A197" s="2405"/>
      <c r="B197" s="990" t="s">
        <v>698</v>
      </c>
      <c r="C197" s="871">
        <f t="shared" ref="C197:C223" si="39">SUM(D197:E197)</f>
        <v>96270.7</v>
      </c>
      <c r="D197" s="972">
        <v>90460.9</v>
      </c>
      <c r="E197" s="1258">
        <v>5809.75</v>
      </c>
      <c r="F197" s="1347">
        <f t="shared" ref="F197:F224" si="40">SUM(G197:H197)</f>
        <v>96270.7</v>
      </c>
      <c r="G197" s="1337">
        <f t="shared" si="31"/>
        <v>90460.9</v>
      </c>
      <c r="H197" s="1068">
        <f t="shared" si="31"/>
        <v>5809.75</v>
      </c>
      <c r="I197" s="1340">
        <f t="shared" si="36"/>
        <v>0</v>
      </c>
      <c r="J197" s="1341">
        <v>0</v>
      </c>
      <c r="K197" s="1341">
        <v>0</v>
      </c>
      <c r="L197" s="876">
        <f t="shared" si="37"/>
        <v>0</v>
      </c>
      <c r="M197" s="877">
        <f t="shared" si="37"/>
        <v>0</v>
      </c>
      <c r="N197" s="877">
        <f t="shared" si="37"/>
        <v>0</v>
      </c>
      <c r="O197" s="1214" t="s">
        <v>1192</v>
      </c>
      <c r="P197" s="1214" t="s">
        <v>1276</v>
      </c>
      <c r="Q197" s="1065">
        <f t="shared" si="35"/>
        <v>0</v>
      </c>
      <c r="R197" s="1065">
        <f t="shared" si="35"/>
        <v>0</v>
      </c>
      <c r="S197" s="1065">
        <f t="shared" si="35"/>
        <v>0</v>
      </c>
      <c r="T197" s="1130" t="s">
        <v>936</v>
      </c>
      <c r="U197" s="1100" t="s">
        <v>940</v>
      </c>
      <c r="V197" s="1099">
        <v>414</v>
      </c>
      <c r="W197" s="1099" t="s">
        <v>939</v>
      </c>
      <c r="X197" s="1216"/>
      <c r="Z197" s="1311">
        <f t="shared" si="28"/>
        <v>0</v>
      </c>
      <c r="AA197" s="1374">
        <f t="shared" si="29"/>
        <v>0</v>
      </c>
      <c r="AB197" s="1374">
        <f t="shared" si="30"/>
        <v>0</v>
      </c>
    </row>
    <row r="198" spans="1:30" s="736" customFormat="1" ht="105" customHeight="1">
      <c r="A198" s="1345" t="s">
        <v>918</v>
      </c>
      <c r="B198" s="990" t="s">
        <v>697</v>
      </c>
      <c r="C198" s="871">
        <f t="shared" si="39"/>
        <v>150000</v>
      </c>
      <c r="D198" s="972">
        <v>140955</v>
      </c>
      <c r="E198" s="972">
        <v>9045</v>
      </c>
      <c r="F198" s="1347">
        <f t="shared" si="40"/>
        <v>150000</v>
      </c>
      <c r="G198" s="1337">
        <f t="shared" si="31"/>
        <v>140955</v>
      </c>
      <c r="H198" s="1337">
        <f t="shared" si="31"/>
        <v>9045</v>
      </c>
      <c r="I198" s="1340">
        <f t="shared" si="36"/>
        <v>33387.5</v>
      </c>
      <c r="J198" s="1341">
        <v>31373.8</v>
      </c>
      <c r="K198" s="1341">
        <v>2013.7</v>
      </c>
      <c r="L198" s="876">
        <f t="shared" si="37"/>
        <v>22.3</v>
      </c>
      <c r="M198" s="877">
        <f t="shared" si="37"/>
        <v>22.3</v>
      </c>
      <c r="N198" s="877">
        <f t="shared" si="37"/>
        <v>22.3</v>
      </c>
      <c r="O198" s="1214" t="s">
        <v>1306</v>
      </c>
      <c r="P198" s="1214" t="s">
        <v>1277</v>
      </c>
      <c r="Q198" s="1065">
        <f t="shared" ref="Q198:S206" si="41">C198-F198</f>
        <v>0</v>
      </c>
      <c r="R198" s="1065">
        <f t="shared" si="41"/>
        <v>0</v>
      </c>
      <c r="S198" s="1065">
        <f t="shared" si="41"/>
        <v>0</v>
      </c>
      <c r="T198" s="1130" t="s">
        <v>936</v>
      </c>
      <c r="U198" s="1100" t="s">
        <v>941</v>
      </c>
      <c r="V198" s="1099">
        <v>414</v>
      </c>
      <c r="W198" s="1099" t="s">
        <v>939</v>
      </c>
      <c r="X198" s="1216"/>
      <c r="Z198" s="1311">
        <f t="shared" si="28"/>
        <v>0</v>
      </c>
      <c r="AA198" s="1374">
        <f t="shared" si="29"/>
        <v>0</v>
      </c>
      <c r="AB198" s="1374">
        <f t="shared" si="30"/>
        <v>0</v>
      </c>
    </row>
    <row r="199" spans="1:30" ht="131.25" customHeight="1">
      <c r="A199" s="1345" t="s">
        <v>1028</v>
      </c>
      <c r="B199" s="990" t="s">
        <v>942</v>
      </c>
      <c r="C199" s="871">
        <f t="shared" si="39"/>
        <v>34500</v>
      </c>
      <c r="D199" s="972">
        <v>32419.7</v>
      </c>
      <c r="E199" s="972">
        <v>2080.3000000000002</v>
      </c>
      <c r="F199" s="1347">
        <f t="shared" si="40"/>
        <v>34500</v>
      </c>
      <c r="G199" s="1337">
        <f t="shared" si="31"/>
        <v>32419.7</v>
      </c>
      <c r="H199" s="1337">
        <f t="shared" si="31"/>
        <v>2080.3000000000002</v>
      </c>
      <c r="I199" s="1340">
        <f t="shared" si="36"/>
        <v>0</v>
      </c>
      <c r="J199" s="1341">
        <v>0</v>
      </c>
      <c r="K199" s="1341">
        <v>0</v>
      </c>
      <c r="L199" s="876">
        <f t="shared" si="37"/>
        <v>0</v>
      </c>
      <c r="M199" s="877">
        <f t="shared" si="37"/>
        <v>0</v>
      </c>
      <c r="N199" s="877">
        <f t="shared" si="37"/>
        <v>0</v>
      </c>
      <c r="O199" s="1214" t="s">
        <v>1192</v>
      </c>
      <c r="P199" s="1214" t="s">
        <v>1278</v>
      </c>
      <c r="Q199" s="1065">
        <f t="shared" si="41"/>
        <v>0</v>
      </c>
      <c r="R199" s="1065">
        <f t="shared" si="41"/>
        <v>0</v>
      </c>
      <c r="S199" s="1065">
        <f t="shared" si="41"/>
        <v>0</v>
      </c>
      <c r="T199" s="1099" t="s">
        <v>936</v>
      </c>
      <c r="U199" s="1100" t="s">
        <v>943</v>
      </c>
      <c r="V199" s="1099">
        <v>414</v>
      </c>
      <c r="W199" s="1099" t="s">
        <v>939</v>
      </c>
      <c r="Z199" s="1311">
        <f t="shared" si="28"/>
        <v>0</v>
      </c>
      <c r="AA199" s="1374">
        <f t="shared" si="29"/>
        <v>0</v>
      </c>
      <c r="AB199" s="1374">
        <f t="shared" si="30"/>
        <v>0</v>
      </c>
    </row>
    <row r="200" spans="1:30" ht="90.75" customHeight="1">
      <c r="A200" s="1345" t="s">
        <v>1029</v>
      </c>
      <c r="B200" s="901" t="s">
        <v>462</v>
      </c>
      <c r="C200" s="871">
        <f t="shared" si="39"/>
        <v>16153.6</v>
      </c>
      <c r="D200" s="972">
        <f>13560+1620.2</f>
        <v>15180.2</v>
      </c>
      <c r="E200" s="972">
        <f>869.4+104</f>
        <v>973.4</v>
      </c>
      <c r="F200" s="1347">
        <f t="shared" si="40"/>
        <v>16153.6</v>
      </c>
      <c r="G200" s="1337">
        <f t="shared" si="31"/>
        <v>15180.2</v>
      </c>
      <c r="H200" s="1337">
        <f t="shared" si="31"/>
        <v>973.4</v>
      </c>
      <c r="I200" s="1340">
        <f t="shared" si="36"/>
        <v>1014.3</v>
      </c>
      <c r="J200" s="1341">
        <v>953.1</v>
      </c>
      <c r="K200" s="1341">
        <v>61.2</v>
      </c>
      <c r="L200" s="876">
        <f t="shared" si="37"/>
        <v>6.3</v>
      </c>
      <c r="M200" s="877">
        <f t="shared" si="37"/>
        <v>6.3</v>
      </c>
      <c r="N200" s="877">
        <f t="shared" si="37"/>
        <v>6.3</v>
      </c>
      <c r="O200" s="1214" t="s">
        <v>1192</v>
      </c>
      <c r="P200" s="1214" t="s">
        <v>1279</v>
      </c>
      <c r="Q200" s="1065">
        <f t="shared" si="41"/>
        <v>0</v>
      </c>
      <c r="R200" s="1065">
        <f t="shared" si="41"/>
        <v>0</v>
      </c>
      <c r="S200" s="1065">
        <f t="shared" si="41"/>
        <v>0</v>
      </c>
      <c r="T200" s="1099" t="s">
        <v>936</v>
      </c>
      <c r="U200" s="1100" t="s">
        <v>938</v>
      </c>
      <c r="V200" s="1099">
        <v>414</v>
      </c>
      <c r="W200" s="1099" t="s">
        <v>939</v>
      </c>
      <c r="Z200" s="1311">
        <f t="shared" si="28"/>
        <v>0</v>
      </c>
      <c r="AA200" s="1374">
        <f t="shared" si="29"/>
        <v>0</v>
      </c>
      <c r="AB200" s="1374">
        <f t="shared" si="30"/>
        <v>0</v>
      </c>
    </row>
    <row r="201" spans="1:30" s="515" customFormat="1" ht="60.75" customHeight="1">
      <c r="A201" s="2442" t="s">
        <v>1324</v>
      </c>
      <c r="B201" s="900" t="s">
        <v>700</v>
      </c>
      <c r="C201" s="871">
        <f t="shared" si="39"/>
        <v>18000</v>
      </c>
      <c r="D201" s="972">
        <v>0</v>
      </c>
      <c r="E201" s="972">
        <v>18000</v>
      </c>
      <c r="F201" s="1347">
        <f t="shared" si="40"/>
        <v>18000</v>
      </c>
      <c r="G201" s="1337">
        <f t="shared" si="31"/>
        <v>0</v>
      </c>
      <c r="H201" s="1337">
        <f t="shared" si="31"/>
        <v>18000</v>
      </c>
      <c r="I201" s="1340">
        <f t="shared" si="36"/>
        <v>0</v>
      </c>
      <c r="J201" s="1341">
        <v>0</v>
      </c>
      <c r="K201" s="1341">
        <v>0</v>
      </c>
      <c r="L201" s="876">
        <f t="shared" si="37"/>
        <v>0</v>
      </c>
      <c r="M201" s="877">
        <f t="shared" si="37"/>
        <v>0</v>
      </c>
      <c r="N201" s="877">
        <f t="shared" si="37"/>
        <v>0</v>
      </c>
      <c r="O201" s="1214" t="s">
        <v>1307</v>
      </c>
      <c r="P201" s="1214" t="s">
        <v>1280</v>
      </c>
      <c r="Q201" s="1065">
        <f t="shared" si="41"/>
        <v>0</v>
      </c>
      <c r="R201" s="1065">
        <f t="shared" si="41"/>
        <v>0</v>
      </c>
      <c r="S201" s="1065">
        <f t="shared" si="41"/>
        <v>0</v>
      </c>
      <c r="T201" s="1099" t="s">
        <v>949</v>
      </c>
      <c r="U201" s="1100" t="s">
        <v>950</v>
      </c>
      <c r="V201" s="1099">
        <v>414</v>
      </c>
      <c r="W201" s="1099">
        <v>14052</v>
      </c>
      <c r="X201" s="1220"/>
      <c r="Z201" s="1311">
        <f t="shared" si="28"/>
        <v>0</v>
      </c>
      <c r="AA201" s="1374">
        <f t="shared" si="29"/>
        <v>0</v>
      </c>
      <c r="AB201" s="1374">
        <f t="shared" si="30"/>
        <v>0</v>
      </c>
    </row>
    <row r="202" spans="1:30" s="515" customFormat="1" ht="52.5">
      <c r="A202" s="2442"/>
      <c r="B202" s="900" t="s">
        <v>699</v>
      </c>
      <c r="C202" s="871">
        <f t="shared" si="39"/>
        <v>151300</v>
      </c>
      <c r="D202" s="972">
        <v>142200</v>
      </c>
      <c r="E202" s="972">
        <v>9100</v>
      </c>
      <c r="F202" s="1347">
        <f t="shared" si="40"/>
        <v>151300</v>
      </c>
      <c r="G202" s="1337">
        <f t="shared" si="31"/>
        <v>142200</v>
      </c>
      <c r="H202" s="1337">
        <f t="shared" si="31"/>
        <v>9100</v>
      </c>
      <c r="I202" s="1340">
        <f t="shared" si="36"/>
        <v>0</v>
      </c>
      <c r="J202" s="1341">
        <v>0</v>
      </c>
      <c r="K202" s="1341">
        <v>0</v>
      </c>
      <c r="L202" s="876">
        <f t="shared" si="37"/>
        <v>0</v>
      </c>
      <c r="M202" s="877">
        <f t="shared" si="37"/>
        <v>0</v>
      </c>
      <c r="N202" s="877">
        <f t="shared" si="37"/>
        <v>0</v>
      </c>
      <c r="O202" s="1214" t="s">
        <v>1192</v>
      </c>
      <c r="P202" s="1214" t="s">
        <v>1219</v>
      </c>
      <c r="Q202" s="1065">
        <f t="shared" si="41"/>
        <v>0</v>
      </c>
      <c r="R202" s="1065">
        <f t="shared" si="41"/>
        <v>0</v>
      </c>
      <c r="S202" s="1065">
        <f t="shared" si="41"/>
        <v>0</v>
      </c>
      <c r="T202" s="1099" t="s">
        <v>949</v>
      </c>
      <c r="U202" s="1100" t="s">
        <v>952</v>
      </c>
      <c r="V202" s="1099">
        <v>414</v>
      </c>
      <c r="W202" s="1099" t="s">
        <v>953</v>
      </c>
      <c r="X202" s="1220"/>
      <c r="Z202" s="1311">
        <f t="shared" si="28"/>
        <v>0</v>
      </c>
      <c r="AA202" s="1374">
        <f t="shared" si="29"/>
        <v>0</v>
      </c>
      <c r="AB202" s="1374">
        <f t="shared" si="30"/>
        <v>0</v>
      </c>
    </row>
    <row r="203" spans="1:30" ht="67.5" customHeight="1">
      <c r="A203" s="1345" t="s">
        <v>1334</v>
      </c>
      <c r="B203" s="900" t="s">
        <v>461</v>
      </c>
      <c r="C203" s="871">
        <f t="shared" si="39"/>
        <v>29999.7</v>
      </c>
      <c r="D203" s="972">
        <f>25201.1+2998.27</f>
        <v>28199.4</v>
      </c>
      <c r="E203" s="972">
        <f>1608.9+191.41</f>
        <v>1800.3</v>
      </c>
      <c r="F203" s="1347">
        <f t="shared" si="40"/>
        <v>29999.7</v>
      </c>
      <c r="G203" s="1337">
        <f t="shared" si="31"/>
        <v>28199.4</v>
      </c>
      <c r="H203" s="1337">
        <f t="shared" si="31"/>
        <v>1800.3</v>
      </c>
      <c r="I203" s="1340">
        <f t="shared" si="36"/>
        <v>1401.6</v>
      </c>
      <c r="J203" s="1341">
        <v>1317.5</v>
      </c>
      <c r="K203" s="1341">
        <v>84.1</v>
      </c>
      <c r="L203" s="876">
        <f t="shared" si="37"/>
        <v>4.7</v>
      </c>
      <c r="M203" s="877">
        <f t="shared" si="37"/>
        <v>4.7</v>
      </c>
      <c r="N203" s="877">
        <f t="shared" si="37"/>
        <v>4.7</v>
      </c>
      <c r="O203" s="1213" t="s">
        <v>1192</v>
      </c>
      <c r="P203" s="1214" t="s">
        <v>1281</v>
      </c>
      <c r="Q203" s="1065">
        <f t="shared" si="41"/>
        <v>0</v>
      </c>
      <c r="R203" s="1065">
        <f t="shared" si="41"/>
        <v>0</v>
      </c>
      <c r="S203" s="1065">
        <f t="shared" si="41"/>
        <v>0</v>
      </c>
      <c r="T203" s="1099" t="s">
        <v>954</v>
      </c>
      <c r="U203" s="1100" t="s">
        <v>957</v>
      </c>
      <c r="V203" s="1099">
        <v>414</v>
      </c>
      <c r="W203" s="1099" t="s">
        <v>958</v>
      </c>
      <c r="Z203" s="1311">
        <f t="shared" si="28"/>
        <v>0</v>
      </c>
      <c r="AA203" s="1374">
        <f t="shared" si="29"/>
        <v>0</v>
      </c>
      <c r="AB203" s="1374">
        <f t="shared" si="30"/>
        <v>0</v>
      </c>
    </row>
    <row r="204" spans="1:30" s="914" customFormat="1" ht="69.75" customHeight="1">
      <c r="A204" s="2401" t="s">
        <v>456</v>
      </c>
      <c r="B204" s="2401"/>
      <c r="C204" s="917">
        <f t="shared" si="39"/>
        <v>1798416.4</v>
      </c>
      <c r="D204" s="917">
        <f>SUM(D205,D224)</f>
        <v>1509500</v>
      </c>
      <c r="E204" s="917">
        <f>SUM(E205,E224)</f>
        <v>288916.40000000002</v>
      </c>
      <c r="F204" s="917">
        <f t="shared" si="40"/>
        <v>1796524.1</v>
      </c>
      <c r="G204" s="917">
        <f>SUM(G205,G224)</f>
        <v>1507801.2</v>
      </c>
      <c r="H204" s="917">
        <f>SUM(H205,H224)</f>
        <v>288722.90000000002</v>
      </c>
      <c r="I204" s="917">
        <f t="shared" si="36"/>
        <v>504989.2</v>
      </c>
      <c r="J204" s="917">
        <f>SUM(J205,J224)</f>
        <v>452906.5</v>
      </c>
      <c r="K204" s="917">
        <f>SUM(K205,K224)</f>
        <v>52082.7</v>
      </c>
      <c r="L204" s="918">
        <f t="shared" si="37"/>
        <v>28.1</v>
      </c>
      <c r="M204" s="920">
        <f t="shared" si="37"/>
        <v>30</v>
      </c>
      <c r="N204" s="920">
        <f t="shared" si="37"/>
        <v>18</v>
      </c>
      <c r="O204" s="1282"/>
      <c r="P204" s="1281" t="s">
        <v>1103</v>
      </c>
      <c r="Q204" s="1065">
        <f t="shared" si="41"/>
        <v>1892.3</v>
      </c>
      <c r="R204" s="1065">
        <f>D204-G204</f>
        <v>1698.8</v>
      </c>
      <c r="S204" s="1065">
        <f>E204-H204</f>
        <v>193.5</v>
      </c>
      <c r="T204" s="1099"/>
      <c r="U204" s="1100"/>
      <c r="V204" s="1099"/>
      <c r="W204" s="1099"/>
      <c r="X204" s="1216"/>
      <c r="Z204" s="1311">
        <f t="shared" si="28"/>
        <v>1892.3</v>
      </c>
      <c r="AA204" s="1374">
        <f t="shared" si="29"/>
        <v>1892.3</v>
      </c>
      <c r="AB204" s="1374">
        <f t="shared" si="30"/>
        <v>193.5</v>
      </c>
      <c r="AC204" s="1378">
        <v>504989.3</v>
      </c>
      <c r="AD204" s="1378">
        <f>I204-AC204</f>
        <v>-0.1</v>
      </c>
    </row>
    <row r="205" spans="1:30" s="914" customFormat="1" ht="120.75" customHeight="1">
      <c r="A205" s="1280" t="s">
        <v>6</v>
      </c>
      <c r="B205" s="925" t="s">
        <v>439</v>
      </c>
      <c r="C205" s="926">
        <f t="shared" si="39"/>
        <v>115750</v>
      </c>
      <c r="D205" s="926">
        <f>SUM(D206,D218,D220,D222)</f>
        <v>0</v>
      </c>
      <c r="E205" s="926">
        <f>SUM(E206,E218,E220,E222)</f>
        <v>115750</v>
      </c>
      <c r="F205" s="926">
        <f>SUM(G205:H205)</f>
        <v>115750</v>
      </c>
      <c r="G205" s="926">
        <f>SUM(G206,G218,G220,G222)</f>
        <v>0</v>
      </c>
      <c r="H205" s="926">
        <f>SUM(H206,H218,H220,H222)</f>
        <v>115750</v>
      </c>
      <c r="I205" s="926">
        <f t="shared" si="36"/>
        <v>0</v>
      </c>
      <c r="J205" s="926">
        <f>SUM(J206,J218,J220,J222)</f>
        <v>0</v>
      </c>
      <c r="K205" s="926">
        <f>SUM(K206,K218,K220,K222)</f>
        <v>0</v>
      </c>
      <c r="L205" s="927">
        <f t="shared" si="37"/>
        <v>0</v>
      </c>
      <c r="M205" s="928">
        <f t="shared" si="37"/>
        <v>0</v>
      </c>
      <c r="N205" s="928">
        <f t="shared" si="37"/>
        <v>0</v>
      </c>
      <c r="O205" s="1282"/>
      <c r="P205" s="1281" t="s">
        <v>1104</v>
      </c>
      <c r="Q205" s="1065">
        <f t="shared" si="41"/>
        <v>0</v>
      </c>
      <c r="R205" s="1065">
        <f>D205-G205</f>
        <v>0</v>
      </c>
      <c r="S205" s="1065">
        <f>E205-H205</f>
        <v>0</v>
      </c>
      <c r="T205" s="1099"/>
      <c r="U205" s="1100"/>
      <c r="V205" s="1099"/>
      <c r="W205" s="1099"/>
      <c r="X205" s="1216"/>
      <c r="Z205" s="1311">
        <f t="shared" si="28"/>
        <v>0</v>
      </c>
      <c r="AA205" s="1374">
        <f t="shared" ref="AA205:AA256" si="42">C205-F205</f>
        <v>0</v>
      </c>
      <c r="AB205" s="1374">
        <f t="shared" si="30"/>
        <v>0</v>
      </c>
    </row>
    <row r="206" spans="1:30">
      <c r="A206" s="1335"/>
      <c r="B206" s="898" t="s">
        <v>283</v>
      </c>
      <c r="C206" s="1347">
        <f t="shared" si="39"/>
        <v>110906</v>
      </c>
      <c r="D206" s="875">
        <f>SUM(D207:D217)</f>
        <v>0</v>
      </c>
      <c r="E206" s="875">
        <f>SUM(E207:E217)</f>
        <v>110906</v>
      </c>
      <c r="F206" s="1347">
        <f>SUM(G206:H206)</f>
        <v>110906</v>
      </c>
      <c r="G206" s="875">
        <f>SUM(G207:G217)</f>
        <v>0</v>
      </c>
      <c r="H206" s="875">
        <f>SUM(H207:H217)</f>
        <v>110906</v>
      </c>
      <c r="I206" s="1340">
        <f t="shared" si="36"/>
        <v>0</v>
      </c>
      <c r="J206" s="875">
        <f>SUM(J207:J217)</f>
        <v>0</v>
      </c>
      <c r="K206" s="875">
        <f>SUM(K207:K217)</f>
        <v>0</v>
      </c>
      <c r="L206" s="876">
        <f t="shared" si="37"/>
        <v>0</v>
      </c>
      <c r="M206" s="877">
        <f t="shared" si="37"/>
        <v>0</v>
      </c>
      <c r="N206" s="877">
        <f t="shared" si="37"/>
        <v>0</v>
      </c>
      <c r="O206" s="1282"/>
      <c r="P206" s="1281" t="s">
        <v>1100</v>
      </c>
      <c r="Q206" s="1065">
        <f t="shared" si="41"/>
        <v>0</v>
      </c>
      <c r="R206" s="1065">
        <f t="shared" si="41"/>
        <v>0</v>
      </c>
      <c r="S206" s="1065">
        <f t="shared" si="41"/>
        <v>0</v>
      </c>
      <c r="Z206" s="1311">
        <f t="shared" si="28"/>
        <v>0</v>
      </c>
      <c r="AA206" s="1374">
        <f t="shared" si="42"/>
        <v>0</v>
      </c>
      <c r="AB206" s="1374">
        <f t="shared" si="30"/>
        <v>0</v>
      </c>
    </row>
    <row r="207" spans="1:30" ht="73.5" customHeight="1">
      <c r="A207" s="1335" t="s">
        <v>538</v>
      </c>
      <c r="B207" s="1333" t="s">
        <v>1080</v>
      </c>
      <c r="C207" s="1347">
        <f t="shared" si="39"/>
        <v>19450</v>
      </c>
      <c r="D207" s="1349">
        <v>0</v>
      </c>
      <c r="E207" s="1349">
        <v>19450</v>
      </c>
      <c r="F207" s="1347">
        <f t="shared" si="40"/>
        <v>19450</v>
      </c>
      <c r="G207" s="1337">
        <v>0</v>
      </c>
      <c r="H207" s="1337">
        <v>19450</v>
      </c>
      <c r="I207" s="1341">
        <f t="shared" si="36"/>
        <v>0</v>
      </c>
      <c r="J207" s="1341">
        <v>0</v>
      </c>
      <c r="K207" s="1341">
        <v>0</v>
      </c>
      <c r="L207" s="877">
        <f t="shared" si="37"/>
        <v>0</v>
      </c>
      <c r="M207" s="877">
        <f t="shared" si="37"/>
        <v>0</v>
      </c>
      <c r="N207" s="877">
        <f t="shared" si="37"/>
        <v>0</v>
      </c>
      <c r="O207" s="1282"/>
      <c r="P207" s="1281" t="s">
        <v>1105</v>
      </c>
      <c r="Q207" s="1065"/>
      <c r="R207" s="1065"/>
      <c r="S207" s="1065"/>
      <c r="T207" s="1099" t="s">
        <v>999</v>
      </c>
      <c r="U207" s="1100">
        <v>1110243180</v>
      </c>
      <c r="V207" s="1099">
        <v>522</v>
      </c>
      <c r="W207" s="1099" t="s">
        <v>1019</v>
      </c>
      <c r="Z207" s="1311">
        <f t="shared" ref="Z207:Z255" si="43">C207-F207</f>
        <v>0</v>
      </c>
      <c r="AA207" s="1374">
        <f t="shared" si="42"/>
        <v>0</v>
      </c>
      <c r="AB207" s="1374">
        <f t="shared" si="30"/>
        <v>0</v>
      </c>
    </row>
    <row r="208" spans="1:30" ht="78.75">
      <c r="A208" s="1335" t="s">
        <v>539</v>
      </c>
      <c r="B208" s="1333" t="s">
        <v>1081</v>
      </c>
      <c r="C208" s="1347">
        <f t="shared" si="39"/>
        <v>3235</v>
      </c>
      <c r="D208" s="1349">
        <v>0</v>
      </c>
      <c r="E208" s="1349">
        <v>3235</v>
      </c>
      <c r="F208" s="1347">
        <f t="shared" si="40"/>
        <v>3235</v>
      </c>
      <c r="G208" s="1337">
        <v>0</v>
      </c>
      <c r="H208" s="1337">
        <v>3235</v>
      </c>
      <c r="I208" s="1341">
        <f t="shared" si="36"/>
        <v>0</v>
      </c>
      <c r="J208" s="1341">
        <v>0</v>
      </c>
      <c r="K208" s="1341">
        <v>0</v>
      </c>
      <c r="L208" s="877">
        <f t="shared" si="37"/>
        <v>0</v>
      </c>
      <c r="M208" s="877">
        <f t="shared" si="37"/>
        <v>0</v>
      </c>
      <c r="N208" s="877">
        <f t="shared" si="37"/>
        <v>0</v>
      </c>
      <c r="O208" s="1282"/>
      <c r="Q208" s="1065"/>
      <c r="R208" s="1065"/>
      <c r="S208" s="1065"/>
      <c r="T208" s="1099" t="s">
        <v>999</v>
      </c>
      <c r="U208" s="1100">
        <v>1110243180</v>
      </c>
      <c r="V208" s="1099">
        <v>522</v>
      </c>
      <c r="W208" s="1099" t="s">
        <v>1019</v>
      </c>
      <c r="Z208" s="1311">
        <f t="shared" si="43"/>
        <v>0</v>
      </c>
      <c r="AA208" s="1374">
        <f t="shared" si="42"/>
        <v>0</v>
      </c>
      <c r="AB208" s="1374">
        <f t="shared" si="30"/>
        <v>0</v>
      </c>
    </row>
    <row r="209" spans="1:28" ht="61.5" customHeight="1">
      <c r="A209" s="1335" t="s">
        <v>19</v>
      </c>
      <c r="B209" s="1333" t="s">
        <v>1082</v>
      </c>
      <c r="C209" s="1347">
        <f t="shared" si="39"/>
        <v>4116</v>
      </c>
      <c r="D209" s="1349">
        <v>0</v>
      </c>
      <c r="E209" s="1349">
        <v>4116</v>
      </c>
      <c r="F209" s="1347">
        <f t="shared" si="40"/>
        <v>4116</v>
      </c>
      <c r="G209" s="1337">
        <v>0</v>
      </c>
      <c r="H209" s="1337">
        <v>4116</v>
      </c>
      <c r="I209" s="1341">
        <f t="shared" si="36"/>
        <v>0</v>
      </c>
      <c r="J209" s="1341">
        <v>0</v>
      </c>
      <c r="K209" s="1341">
        <v>0</v>
      </c>
      <c r="L209" s="877">
        <f t="shared" si="37"/>
        <v>0</v>
      </c>
      <c r="M209" s="877">
        <f t="shared" si="37"/>
        <v>0</v>
      </c>
      <c r="N209" s="877">
        <f t="shared" si="37"/>
        <v>0</v>
      </c>
      <c r="O209" s="1282"/>
      <c r="Q209" s="1065"/>
      <c r="R209" s="1065"/>
      <c r="S209" s="1065"/>
      <c r="T209" s="1099" t="s">
        <v>999</v>
      </c>
      <c r="U209" s="1100">
        <v>1110243180</v>
      </c>
      <c r="V209" s="1099">
        <v>522</v>
      </c>
      <c r="W209" s="1099" t="s">
        <v>1019</v>
      </c>
      <c r="Z209" s="1311">
        <f t="shared" si="43"/>
        <v>0</v>
      </c>
      <c r="AA209" s="1374">
        <f t="shared" si="42"/>
        <v>0</v>
      </c>
      <c r="AB209" s="1374">
        <f t="shared" ref="AB209:AB242" si="44">E209-H209</f>
        <v>0</v>
      </c>
    </row>
    <row r="210" spans="1:28" ht="87.75" customHeight="1">
      <c r="A210" s="1335" t="s">
        <v>20</v>
      </c>
      <c r="B210" s="1333" t="s">
        <v>1083</v>
      </c>
      <c r="C210" s="1347">
        <f t="shared" si="39"/>
        <v>10687</v>
      </c>
      <c r="D210" s="1349">
        <v>0</v>
      </c>
      <c r="E210" s="1349">
        <v>10687</v>
      </c>
      <c r="F210" s="1347">
        <f t="shared" si="40"/>
        <v>10687</v>
      </c>
      <c r="G210" s="1337">
        <v>0</v>
      </c>
      <c r="H210" s="1337">
        <v>10687</v>
      </c>
      <c r="I210" s="1341">
        <f t="shared" si="36"/>
        <v>0</v>
      </c>
      <c r="J210" s="1341">
        <v>0</v>
      </c>
      <c r="K210" s="1341">
        <v>0</v>
      </c>
      <c r="L210" s="877">
        <f t="shared" si="37"/>
        <v>0</v>
      </c>
      <c r="M210" s="877">
        <f t="shared" si="37"/>
        <v>0</v>
      </c>
      <c r="N210" s="877">
        <f t="shared" si="37"/>
        <v>0</v>
      </c>
      <c r="O210" s="1282"/>
      <c r="Q210" s="1065"/>
      <c r="R210" s="1065"/>
      <c r="S210" s="1065"/>
      <c r="T210" s="1099" t="s">
        <v>999</v>
      </c>
      <c r="U210" s="1100">
        <v>1110243180</v>
      </c>
      <c r="V210" s="1099">
        <v>522</v>
      </c>
      <c r="W210" s="1099" t="s">
        <v>1019</v>
      </c>
      <c r="Z210" s="1311">
        <f t="shared" si="43"/>
        <v>0</v>
      </c>
      <c r="AA210" s="1374">
        <f t="shared" si="42"/>
        <v>0</v>
      </c>
      <c r="AB210" s="1374">
        <f t="shared" si="44"/>
        <v>0</v>
      </c>
    </row>
    <row r="211" spans="1:28" ht="95.25" customHeight="1">
      <c r="A211" s="1335" t="s">
        <v>467</v>
      </c>
      <c r="B211" s="1333" t="s">
        <v>1084</v>
      </c>
      <c r="C211" s="1347">
        <f t="shared" si="39"/>
        <v>3822</v>
      </c>
      <c r="D211" s="1349">
        <v>0</v>
      </c>
      <c r="E211" s="1349">
        <v>3822</v>
      </c>
      <c r="F211" s="1347">
        <f t="shared" si="40"/>
        <v>3822</v>
      </c>
      <c r="G211" s="1337">
        <v>0</v>
      </c>
      <c r="H211" s="1337">
        <v>3822</v>
      </c>
      <c r="I211" s="1341">
        <f t="shared" si="36"/>
        <v>0</v>
      </c>
      <c r="J211" s="1341">
        <v>0</v>
      </c>
      <c r="K211" s="1341">
        <v>0</v>
      </c>
      <c r="L211" s="877">
        <f t="shared" si="37"/>
        <v>0</v>
      </c>
      <c r="M211" s="877">
        <f t="shared" si="37"/>
        <v>0</v>
      </c>
      <c r="N211" s="877">
        <f t="shared" si="37"/>
        <v>0</v>
      </c>
      <c r="O211" s="1282"/>
      <c r="Q211" s="1065"/>
      <c r="R211" s="1065"/>
      <c r="S211" s="1065"/>
      <c r="T211" s="1099" t="s">
        <v>999</v>
      </c>
      <c r="U211" s="1100">
        <v>1110243180</v>
      </c>
      <c r="V211" s="1099">
        <v>522</v>
      </c>
      <c r="W211" s="1099" t="s">
        <v>1019</v>
      </c>
      <c r="Z211" s="1311">
        <f t="shared" si="43"/>
        <v>0</v>
      </c>
      <c r="AA211" s="1374">
        <f t="shared" si="42"/>
        <v>0</v>
      </c>
      <c r="AB211" s="1374">
        <f t="shared" si="44"/>
        <v>0</v>
      </c>
    </row>
    <row r="212" spans="1:28" ht="78.75">
      <c r="A212" s="1335" t="s">
        <v>468</v>
      </c>
      <c r="B212" s="1355" t="s">
        <v>1085</v>
      </c>
      <c r="C212" s="1347">
        <f t="shared" si="39"/>
        <v>1176</v>
      </c>
      <c r="D212" s="1349">
        <v>0</v>
      </c>
      <c r="E212" s="1349">
        <v>1176</v>
      </c>
      <c r="F212" s="1347">
        <f t="shared" si="40"/>
        <v>1176</v>
      </c>
      <c r="G212" s="1337">
        <v>0</v>
      </c>
      <c r="H212" s="1337">
        <v>1176</v>
      </c>
      <c r="I212" s="1341">
        <f t="shared" si="36"/>
        <v>0</v>
      </c>
      <c r="J212" s="1341">
        <v>0</v>
      </c>
      <c r="K212" s="1341">
        <v>0</v>
      </c>
      <c r="L212" s="877">
        <f t="shared" si="37"/>
        <v>0</v>
      </c>
      <c r="M212" s="877">
        <f t="shared" si="37"/>
        <v>0</v>
      </c>
      <c r="N212" s="877">
        <f t="shared" si="37"/>
        <v>0</v>
      </c>
      <c r="O212" s="1282"/>
      <c r="Q212" s="1065"/>
      <c r="R212" s="1065"/>
      <c r="S212" s="1065"/>
      <c r="T212" s="1099" t="s">
        <v>999</v>
      </c>
      <c r="U212" s="1100">
        <v>1110243180</v>
      </c>
      <c r="V212" s="1099">
        <v>522</v>
      </c>
      <c r="W212" s="1099" t="s">
        <v>1019</v>
      </c>
      <c r="Z212" s="1311">
        <f t="shared" si="43"/>
        <v>0</v>
      </c>
      <c r="AA212" s="1374">
        <f t="shared" si="42"/>
        <v>0</v>
      </c>
      <c r="AB212" s="1374">
        <f t="shared" si="44"/>
        <v>0</v>
      </c>
    </row>
    <row r="213" spans="1:28" ht="89.25" customHeight="1">
      <c r="A213" s="1335" t="s">
        <v>685</v>
      </c>
      <c r="B213" s="1333" t="s">
        <v>1086</v>
      </c>
      <c r="C213" s="1347">
        <f t="shared" si="39"/>
        <v>17670</v>
      </c>
      <c r="D213" s="1349">
        <v>0</v>
      </c>
      <c r="E213" s="1349">
        <v>17670</v>
      </c>
      <c r="F213" s="1347">
        <f t="shared" si="40"/>
        <v>17670</v>
      </c>
      <c r="G213" s="1337">
        <v>0</v>
      </c>
      <c r="H213" s="1337">
        <v>17670</v>
      </c>
      <c r="I213" s="1341">
        <f t="shared" si="36"/>
        <v>0</v>
      </c>
      <c r="J213" s="1341">
        <v>0</v>
      </c>
      <c r="K213" s="1341">
        <v>0</v>
      </c>
      <c r="L213" s="877">
        <f t="shared" si="37"/>
        <v>0</v>
      </c>
      <c r="M213" s="877">
        <f t="shared" si="37"/>
        <v>0</v>
      </c>
      <c r="N213" s="877">
        <f t="shared" si="37"/>
        <v>0</v>
      </c>
      <c r="O213" s="1282"/>
      <c r="Q213" s="1065"/>
      <c r="R213" s="1065"/>
      <c r="S213" s="1065"/>
      <c r="T213" s="1099" t="s">
        <v>999</v>
      </c>
      <c r="U213" s="1100">
        <v>1110243180</v>
      </c>
      <c r="V213" s="1099">
        <v>522</v>
      </c>
      <c r="W213" s="1099" t="s">
        <v>1019</v>
      </c>
      <c r="Z213" s="1311">
        <f t="shared" si="43"/>
        <v>0</v>
      </c>
      <c r="AA213" s="1374">
        <f t="shared" si="42"/>
        <v>0</v>
      </c>
      <c r="AB213" s="1374">
        <f t="shared" si="44"/>
        <v>0</v>
      </c>
    </row>
    <row r="214" spans="1:28" ht="115.5" customHeight="1">
      <c r="A214" s="1335" t="s">
        <v>687</v>
      </c>
      <c r="B214" s="1355" t="s">
        <v>1087</v>
      </c>
      <c r="C214" s="1358">
        <f t="shared" si="39"/>
        <v>19800</v>
      </c>
      <c r="D214" s="1357">
        <v>0</v>
      </c>
      <c r="E214" s="1357">
        <v>19800</v>
      </c>
      <c r="F214" s="1347">
        <f t="shared" si="40"/>
        <v>19800</v>
      </c>
      <c r="G214" s="1337">
        <v>0</v>
      </c>
      <c r="H214" s="1337">
        <v>19800</v>
      </c>
      <c r="I214" s="1341">
        <f t="shared" si="36"/>
        <v>0</v>
      </c>
      <c r="J214" s="1341">
        <v>0</v>
      </c>
      <c r="K214" s="1341">
        <v>0</v>
      </c>
      <c r="L214" s="877">
        <f t="shared" si="37"/>
        <v>0</v>
      </c>
      <c r="M214" s="877">
        <f t="shared" si="37"/>
        <v>0</v>
      </c>
      <c r="N214" s="877">
        <f t="shared" si="37"/>
        <v>0</v>
      </c>
      <c r="O214" s="1282"/>
      <c r="Q214" s="1065"/>
      <c r="R214" s="1065"/>
      <c r="S214" s="1065"/>
      <c r="T214" s="1099" t="s">
        <v>999</v>
      </c>
      <c r="U214" s="1100">
        <v>1110243180</v>
      </c>
      <c r="V214" s="1099">
        <v>522</v>
      </c>
      <c r="W214" s="1099" t="s">
        <v>1019</v>
      </c>
      <c r="Z214" s="1311">
        <f t="shared" si="43"/>
        <v>0</v>
      </c>
      <c r="AA214" s="1374">
        <f t="shared" si="42"/>
        <v>0</v>
      </c>
      <c r="AB214" s="1374">
        <f t="shared" si="44"/>
        <v>0</v>
      </c>
    </row>
    <row r="215" spans="1:28" ht="89.25" customHeight="1">
      <c r="A215" s="1335" t="s">
        <v>686</v>
      </c>
      <c r="B215" s="1355" t="s">
        <v>1089</v>
      </c>
      <c r="C215" s="1358">
        <f t="shared" si="39"/>
        <v>7650</v>
      </c>
      <c r="D215" s="1357">
        <v>0</v>
      </c>
      <c r="E215" s="1357">
        <v>7650</v>
      </c>
      <c r="F215" s="1347">
        <f t="shared" si="40"/>
        <v>7650</v>
      </c>
      <c r="G215" s="1337">
        <v>0</v>
      </c>
      <c r="H215" s="1337">
        <v>7650</v>
      </c>
      <c r="I215" s="1341">
        <f t="shared" si="36"/>
        <v>0</v>
      </c>
      <c r="J215" s="1341">
        <v>0</v>
      </c>
      <c r="K215" s="1341">
        <v>0</v>
      </c>
      <c r="L215" s="877">
        <f t="shared" si="37"/>
        <v>0</v>
      </c>
      <c r="M215" s="877">
        <f t="shared" si="37"/>
        <v>0</v>
      </c>
      <c r="N215" s="877">
        <f t="shared" si="37"/>
        <v>0</v>
      </c>
      <c r="O215" s="1282"/>
      <c r="Q215" s="1065"/>
      <c r="R215" s="1065"/>
      <c r="S215" s="1065"/>
      <c r="T215" s="1099" t="s">
        <v>999</v>
      </c>
      <c r="U215" s="1100">
        <v>1110243180</v>
      </c>
      <c r="V215" s="1099">
        <v>522</v>
      </c>
      <c r="W215" s="1099" t="s">
        <v>1019</v>
      </c>
      <c r="Z215" s="1311">
        <f t="shared" si="43"/>
        <v>0</v>
      </c>
      <c r="AA215" s="1374">
        <f t="shared" si="42"/>
        <v>0</v>
      </c>
      <c r="AB215" s="1374">
        <f t="shared" si="44"/>
        <v>0</v>
      </c>
    </row>
    <row r="216" spans="1:28" ht="87.75" customHeight="1">
      <c r="A216" s="1335" t="s">
        <v>688</v>
      </c>
      <c r="B216" s="1355" t="s">
        <v>1090</v>
      </c>
      <c r="C216" s="1358">
        <f t="shared" si="39"/>
        <v>3500</v>
      </c>
      <c r="D216" s="1357">
        <v>0</v>
      </c>
      <c r="E216" s="1357">
        <v>3500</v>
      </c>
      <c r="F216" s="1347">
        <f t="shared" si="40"/>
        <v>3500</v>
      </c>
      <c r="G216" s="1337">
        <v>0</v>
      </c>
      <c r="H216" s="1337">
        <v>3500</v>
      </c>
      <c r="I216" s="1341">
        <f t="shared" si="36"/>
        <v>0</v>
      </c>
      <c r="J216" s="1341">
        <v>0</v>
      </c>
      <c r="K216" s="1341">
        <v>0</v>
      </c>
      <c r="L216" s="877">
        <f t="shared" si="37"/>
        <v>0</v>
      </c>
      <c r="M216" s="877">
        <f t="shared" si="37"/>
        <v>0</v>
      </c>
      <c r="N216" s="877">
        <f t="shared" si="37"/>
        <v>0</v>
      </c>
      <c r="O216" s="1282"/>
      <c r="Q216" s="1065"/>
      <c r="R216" s="1065"/>
      <c r="S216" s="1065"/>
      <c r="T216" s="1099" t="s">
        <v>999</v>
      </c>
      <c r="U216" s="1100">
        <v>1110243180</v>
      </c>
      <c r="V216" s="1099">
        <v>522</v>
      </c>
      <c r="W216" s="1099" t="s">
        <v>1019</v>
      </c>
      <c r="Z216" s="1311">
        <f t="shared" si="43"/>
        <v>0</v>
      </c>
      <c r="AA216" s="1374">
        <f t="shared" si="42"/>
        <v>0</v>
      </c>
      <c r="AB216" s="1374">
        <f t="shared" si="44"/>
        <v>0</v>
      </c>
    </row>
    <row r="217" spans="1:28" ht="81.75" customHeight="1">
      <c r="A217" s="1335" t="s">
        <v>98</v>
      </c>
      <c r="B217" s="1333" t="s">
        <v>1090</v>
      </c>
      <c r="C217" s="1347">
        <f t="shared" si="39"/>
        <v>19800</v>
      </c>
      <c r="D217" s="1349">
        <v>0</v>
      </c>
      <c r="E217" s="1349">
        <v>19800</v>
      </c>
      <c r="F217" s="1347">
        <f t="shared" si="40"/>
        <v>19800</v>
      </c>
      <c r="G217" s="1337">
        <v>0</v>
      </c>
      <c r="H217" s="1337">
        <v>19800</v>
      </c>
      <c r="I217" s="1341">
        <f t="shared" si="36"/>
        <v>0</v>
      </c>
      <c r="J217" s="1341">
        <v>0</v>
      </c>
      <c r="K217" s="1341">
        <v>0</v>
      </c>
      <c r="L217" s="877">
        <f t="shared" si="37"/>
        <v>0</v>
      </c>
      <c r="M217" s="877">
        <f t="shared" si="37"/>
        <v>0</v>
      </c>
      <c r="N217" s="877">
        <f t="shared" si="37"/>
        <v>0</v>
      </c>
      <c r="O217" s="1282"/>
      <c r="Q217" s="1065"/>
      <c r="R217" s="1065"/>
      <c r="S217" s="1065"/>
      <c r="T217" s="1099" t="s">
        <v>999</v>
      </c>
      <c r="U217" s="1100">
        <v>1110243180</v>
      </c>
      <c r="V217" s="1099">
        <v>522</v>
      </c>
      <c r="W217" s="1099" t="s">
        <v>1019</v>
      </c>
      <c r="Z217" s="1311">
        <f t="shared" si="43"/>
        <v>0</v>
      </c>
      <c r="AA217" s="1374">
        <f t="shared" si="42"/>
        <v>0</v>
      </c>
      <c r="AB217" s="1374">
        <f t="shared" si="44"/>
        <v>0</v>
      </c>
    </row>
    <row r="218" spans="1:28">
      <c r="A218" s="1335"/>
      <c r="B218" s="898" t="s">
        <v>457</v>
      </c>
      <c r="C218" s="1347">
        <f t="shared" si="39"/>
        <v>1325</v>
      </c>
      <c r="D218" s="875">
        <f>SUM(D219)</f>
        <v>0</v>
      </c>
      <c r="E218" s="875">
        <f>SUM(E219)</f>
        <v>1325</v>
      </c>
      <c r="F218" s="1347">
        <f t="shared" si="40"/>
        <v>1325</v>
      </c>
      <c r="G218" s="875">
        <f>SUM(G219)</f>
        <v>0</v>
      </c>
      <c r="H218" s="875">
        <f>SUM(H219)</f>
        <v>1325</v>
      </c>
      <c r="I218" s="1340">
        <f t="shared" si="36"/>
        <v>0</v>
      </c>
      <c r="J218" s="875">
        <f>SUM(J219)</f>
        <v>0</v>
      </c>
      <c r="K218" s="875">
        <f>SUM(K219)</f>
        <v>0</v>
      </c>
      <c r="L218" s="1338">
        <f t="shared" si="37"/>
        <v>0</v>
      </c>
      <c r="M218" s="875">
        <f t="shared" si="37"/>
        <v>0</v>
      </c>
      <c r="N218" s="875">
        <f t="shared" si="37"/>
        <v>0</v>
      </c>
      <c r="O218" s="1282"/>
      <c r="Q218" s="1065">
        <f t="shared" ref="Q218:S222" si="45">C218-F218</f>
        <v>0</v>
      </c>
      <c r="R218" s="1065">
        <f t="shared" si="45"/>
        <v>0</v>
      </c>
      <c r="S218" s="1065">
        <f t="shared" si="45"/>
        <v>0</v>
      </c>
      <c r="Z218" s="1311">
        <f t="shared" si="43"/>
        <v>0</v>
      </c>
      <c r="AA218" s="1374">
        <f t="shared" si="42"/>
        <v>0</v>
      </c>
      <c r="AB218" s="1374">
        <f t="shared" si="44"/>
        <v>0</v>
      </c>
    </row>
    <row r="219" spans="1:28" ht="108" customHeight="1">
      <c r="A219" s="1335" t="s">
        <v>99</v>
      </c>
      <c r="B219" s="1333" t="s">
        <v>1093</v>
      </c>
      <c r="C219" s="1348">
        <f t="shared" si="39"/>
        <v>1325</v>
      </c>
      <c r="D219" s="879">
        <v>0</v>
      </c>
      <c r="E219" s="879">
        <v>1325</v>
      </c>
      <c r="F219" s="1348">
        <f t="shared" si="40"/>
        <v>1325</v>
      </c>
      <c r="G219" s="879">
        <v>0</v>
      </c>
      <c r="H219" s="879">
        <v>1325</v>
      </c>
      <c r="I219" s="1341">
        <f t="shared" si="36"/>
        <v>0</v>
      </c>
      <c r="J219" s="1341">
        <v>0</v>
      </c>
      <c r="K219" s="1341">
        <v>0</v>
      </c>
      <c r="L219" s="877">
        <f t="shared" si="37"/>
        <v>0</v>
      </c>
      <c r="M219" s="877">
        <f t="shared" si="37"/>
        <v>0</v>
      </c>
      <c r="N219" s="877">
        <f t="shared" si="37"/>
        <v>0</v>
      </c>
      <c r="O219" s="1282"/>
      <c r="Q219" s="1065">
        <f t="shared" si="45"/>
        <v>0</v>
      </c>
      <c r="R219" s="1065">
        <f t="shared" si="45"/>
        <v>0</v>
      </c>
      <c r="S219" s="1065">
        <f t="shared" si="45"/>
        <v>0</v>
      </c>
      <c r="T219" s="1099" t="s">
        <v>999</v>
      </c>
      <c r="U219" s="1100">
        <v>1110243180</v>
      </c>
      <c r="V219" s="1099">
        <v>522</v>
      </c>
      <c r="W219" s="1099" t="s">
        <v>1019</v>
      </c>
      <c r="Z219" s="1311">
        <f t="shared" si="43"/>
        <v>0</v>
      </c>
      <c r="AA219" s="1374">
        <f t="shared" si="42"/>
        <v>0</v>
      </c>
      <c r="AB219" s="1374">
        <f t="shared" si="44"/>
        <v>0</v>
      </c>
    </row>
    <row r="220" spans="1:28">
      <c r="A220" s="991"/>
      <c r="B220" s="898" t="s">
        <v>68</v>
      </c>
      <c r="C220" s="1347">
        <f t="shared" si="39"/>
        <v>671</v>
      </c>
      <c r="D220" s="875">
        <f>SUM(D221)</f>
        <v>0</v>
      </c>
      <c r="E220" s="875">
        <f>SUM(E221)</f>
        <v>671</v>
      </c>
      <c r="F220" s="1347">
        <f t="shared" si="40"/>
        <v>671</v>
      </c>
      <c r="G220" s="875">
        <f>SUM(G221)</f>
        <v>0</v>
      </c>
      <c r="H220" s="875">
        <f>SUM(H221)</f>
        <v>671</v>
      </c>
      <c r="I220" s="1340">
        <f t="shared" si="36"/>
        <v>0</v>
      </c>
      <c r="J220" s="875">
        <f>SUM(J221)</f>
        <v>0</v>
      </c>
      <c r="K220" s="875">
        <f>SUM(K221)</f>
        <v>0</v>
      </c>
      <c r="L220" s="876">
        <f t="shared" si="37"/>
        <v>0</v>
      </c>
      <c r="M220" s="877">
        <f t="shared" si="37"/>
        <v>0</v>
      </c>
      <c r="N220" s="877">
        <f t="shared" si="37"/>
        <v>0</v>
      </c>
      <c r="O220" s="1282"/>
      <c r="Q220" s="1065">
        <f t="shared" si="45"/>
        <v>0</v>
      </c>
      <c r="R220" s="1065">
        <f t="shared" si="45"/>
        <v>0</v>
      </c>
      <c r="S220" s="1065">
        <f t="shared" si="45"/>
        <v>0</v>
      </c>
      <c r="Z220" s="1311">
        <f t="shared" si="43"/>
        <v>0</v>
      </c>
      <c r="AA220" s="1374">
        <f t="shared" si="42"/>
        <v>0</v>
      </c>
      <c r="AB220" s="1374">
        <f t="shared" si="44"/>
        <v>0</v>
      </c>
    </row>
    <row r="221" spans="1:28" ht="147" customHeight="1">
      <c r="A221" s="1335" t="s">
        <v>100</v>
      </c>
      <c r="B221" s="1333" t="s">
        <v>1091</v>
      </c>
      <c r="C221" s="1348">
        <f t="shared" si="39"/>
        <v>671</v>
      </c>
      <c r="D221" s="1349">
        <v>0</v>
      </c>
      <c r="E221" s="1349">
        <v>671</v>
      </c>
      <c r="F221" s="1348">
        <f t="shared" si="40"/>
        <v>671</v>
      </c>
      <c r="G221" s="1337">
        <v>0</v>
      </c>
      <c r="H221" s="1337">
        <v>671</v>
      </c>
      <c r="I221" s="1341">
        <f t="shared" si="36"/>
        <v>0</v>
      </c>
      <c r="J221" s="1341">
        <v>0</v>
      </c>
      <c r="K221" s="1341">
        <v>0</v>
      </c>
      <c r="L221" s="877">
        <f t="shared" si="37"/>
        <v>0</v>
      </c>
      <c r="M221" s="877">
        <f t="shared" si="37"/>
        <v>0</v>
      </c>
      <c r="N221" s="877">
        <f t="shared" si="37"/>
        <v>0</v>
      </c>
      <c r="O221" s="1282"/>
      <c r="Q221" s="1065">
        <f t="shared" si="45"/>
        <v>0</v>
      </c>
      <c r="R221" s="1065">
        <f t="shared" si="45"/>
        <v>0</v>
      </c>
      <c r="S221" s="1065">
        <f t="shared" si="45"/>
        <v>0</v>
      </c>
      <c r="T221" s="1099" t="s">
        <v>999</v>
      </c>
      <c r="U221" s="1100">
        <v>1110243180</v>
      </c>
      <c r="V221" s="1099">
        <v>522</v>
      </c>
      <c r="W221" s="1099" t="s">
        <v>1019</v>
      </c>
      <c r="Z221" s="1311">
        <f t="shared" si="43"/>
        <v>0</v>
      </c>
      <c r="AA221" s="1374">
        <f t="shared" si="42"/>
        <v>0</v>
      </c>
      <c r="AB221" s="1374">
        <f t="shared" si="44"/>
        <v>0</v>
      </c>
    </row>
    <row r="222" spans="1:28" ht="39" customHeight="1">
      <c r="A222" s="1335"/>
      <c r="B222" s="898" t="s">
        <v>431</v>
      </c>
      <c r="C222" s="1347">
        <f t="shared" si="39"/>
        <v>2848</v>
      </c>
      <c r="D222" s="875">
        <f>SUM(D223)</f>
        <v>0</v>
      </c>
      <c r="E222" s="875">
        <f>SUM(E223)</f>
        <v>2848</v>
      </c>
      <c r="F222" s="1347">
        <f t="shared" si="40"/>
        <v>2848</v>
      </c>
      <c r="G222" s="875">
        <f>SUM(G223)</f>
        <v>0</v>
      </c>
      <c r="H222" s="875">
        <f>SUM(H223)</f>
        <v>2848</v>
      </c>
      <c r="I222" s="1340">
        <f t="shared" si="36"/>
        <v>0</v>
      </c>
      <c r="J222" s="875">
        <f>SUM(J223)</f>
        <v>0</v>
      </c>
      <c r="K222" s="875">
        <f>SUM(K223)</f>
        <v>0</v>
      </c>
      <c r="L222" s="876">
        <f t="shared" si="37"/>
        <v>0</v>
      </c>
      <c r="M222" s="877">
        <f t="shared" si="37"/>
        <v>0</v>
      </c>
      <c r="N222" s="877">
        <f t="shared" si="37"/>
        <v>0</v>
      </c>
      <c r="O222" s="1282"/>
      <c r="Q222" s="1065">
        <f t="shared" si="45"/>
        <v>0</v>
      </c>
      <c r="R222" s="1065">
        <f t="shared" si="45"/>
        <v>0</v>
      </c>
      <c r="S222" s="1065">
        <f t="shared" si="45"/>
        <v>0</v>
      </c>
      <c r="Z222" s="1311">
        <f t="shared" si="43"/>
        <v>0</v>
      </c>
      <c r="AA222" s="1374">
        <f t="shared" si="42"/>
        <v>0</v>
      </c>
      <c r="AB222" s="1374">
        <f t="shared" si="44"/>
        <v>0</v>
      </c>
    </row>
    <row r="223" spans="1:28" ht="130.5" customHeight="1">
      <c r="A223" s="1335" t="s">
        <v>101</v>
      </c>
      <c r="B223" s="1333" t="s">
        <v>1092</v>
      </c>
      <c r="C223" s="1348">
        <f t="shared" si="39"/>
        <v>2848</v>
      </c>
      <c r="D223" s="1349">
        <v>0</v>
      </c>
      <c r="E223" s="1349">
        <v>2848</v>
      </c>
      <c r="F223" s="1348">
        <f t="shared" si="40"/>
        <v>2848</v>
      </c>
      <c r="G223" s="1337">
        <v>0</v>
      </c>
      <c r="H223" s="1337">
        <f>E223</f>
        <v>2848</v>
      </c>
      <c r="I223" s="1341">
        <f t="shared" si="36"/>
        <v>0</v>
      </c>
      <c r="J223" s="1341">
        <v>0</v>
      </c>
      <c r="K223" s="1341">
        <v>0</v>
      </c>
      <c r="L223" s="877">
        <f t="shared" si="37"/>
        <v>0</v>
      </c>
      <c r="M223" s="877">
        <f t="shared" si="37"/>
        <v>0</v>
      </c>
      <c r="N223" s="877">
        <f t="shared" si="37"/>
        <v>0</v>
      </c>
      <c r="O223" s="1282"/>
      <c r="Q223" s="1065"/>
      <c r="R223" s="1065"/>
      <c r="S223" s="1065"/>
      <c r="T223" s="1099" t="s">
        <v>999</v>
      </c>
      <c r="U223" s="1100">
        <v>1110243180</v>
      </c>
      <c r="V223" s="1099">
        <v>522</v>
      </c>
      <c r="W223" s="1099" t="s">
        <v>1019</v>
      </c>
      <c r="Z223" s="1311">
        <f t="shared" si="43"/>
        <v>0</v>
      </c>
      <c r="AA223" s="1374">
        <f t="shared" si="42"/>
        <v>0</v>
      </c>
      <c r="AB223" s="1374">
        <f t="shared" si="44"/>
        <v>0</v>
      </c>
    </row>
    <row r="224" spans="1:28" s="914" customFormat="1" ht="87.75" customHeight="1">
      <c r="A224" s="1304" t="s">
        <v>2</v>
      </c>
      <c r="B224" s="925" t="s">
        <v>222</v>
      </c>
      <c r="C224" s="926">
        <f>SUM(D224:E224)</f>
        <v>1682666.4</v>
      </c>
      <c r="D224" s="926">
        <f>SUM(D225,D244)</f>
        <v>1509500</v>
      </c>
      <c r="E224" s="926">
        <f>SUM(E225,E244)</f>
        <v>173166.4</v>
      </c>
      <c r="F224" s="926">
        <f t="shared" si="40"/>
        <v>1680774.1</v>
      </c>
      <c r="G224" s="926">
        <f>SUM(G225,G244)</f>
        <v>1507801.2</v>
      </c>
      <c r="H224" s="926">
        <f>SUM(H225,H244)</f>
        <v>172972.9</v>
      </c>
      <c r="I224" s="926">
        <f t="shared" si="36"/>
        <v>504989.2</v>
      </c>
      <c r="J224" s="926">
        <f>SUM(J225,J244)</f>
        <v>452906.5</v>
      </c>
      <c r="K224" s="926">
        <f>SUM(K225,K244)</f>
        <v>52082.7</v>
      </c>
      <c r="L224" s="927">
        <f t="shared" si="37"/>
        <v>30</v>
      </c>
      <c r="M224" s="928">
        <f t="shared" si="37"/>
        <v>30</v>
      </c>
      <c r="N224" s="928">
        <f t="shared" si="37"/>
        <v>30.1</v>
      </c>
      <c r="O224" s="1282"/>
      <c r="P224" s="1208"/>
      <c r="Q224" s="1065">
        <f t="shared" ref="Q224:S256" si="46">C224-F224</f>
        <v>1892.3</v>
      </c>
      <c r="R224" s="1065">
        <f t="shared" si="46"/>
        <v>1698.8</v>
      </c>
      <c r="S224" s="1065">
        <f t="shared" si="46"/>
        <v>193.5</v>
      </c>
      <c r="T224" s="1099"/>
      <c r="U224" s="1100"/>
      <c r="V224" s="1099"/>
      <c r="W224" s="1099"/>
      <c r="X224" s="1216"/>
      <c r="Z224" s="1311">
        <f t="shared" si="43"/>
        <v>1892.3</v>
      </c>
      <c r="AA224" s="1374">
        <f t="shared" si="42"/>
        <v>1892.3</v>
      </c>
      <c r="AB224" s="1374">
        <f t="shared" si="44"/>
        <v>193.5</v>
      </c>
    </row>
    <row r="225" spans="1:28" s="914" customFormat="1" ht="62.25" customHeight="1">
      <c r="A225" s="1305" t="s">
        <v>246</v>
      </c>
      <c r="B225" s="932" t="s">
        <v>41</v>
      </c>
      <c r="C225" s="933">
        <f>D225+E225</f>
        <v>1567706.4</v>
      </c>
      <c r="D225" s="933">
        <f>D226+D229+D242</f>
        <v>1509500</v>
      </c>
      <c r="E225" s="933">
        <f>E226+E229+E242</f>
        <v>58206.400000000001</v>
      </c>
      <c r="F225" s="933">
        <f>G225+H225</f>
        <v>1565814.1</v>
      </c>
      <c r="G225" s="933">
        <f>G226+G229+G242</f>
        <v>1507801.2</v>
      </c>
      <c r="H225" s="933">
        <f>H226+H229+H242</f>
        <v>58012.9</v>
      </c>
      <c r="I225" s="933">
        <f>J225+K225</f>
        <v>481828.4</v>
      </c>
      <c r="J225" s="933">
        <f>J226+J229+J242</f>
        <v>452906.5</v>
      </c>
      <c r="K225" s="933">
        <f>K226+K229+K242</f>
        <v>28921.9</v>
      </c>
      <c r="L225" s="935">
        <f t="shared" si="37"/>
        <v>30.8</v>
      </c>
      <c r="M225" s="936">
        <f t="shared" si="37"/>
        <v>30</v>
      </c>
      <c r="N225" s="936">
        <f t="shared" si="37"/>
        <v>49.9</v>
      </c>
      <c r="O225" s="1282"/>
      <c r="P225" s="1208"/>
      <c r="Q225" s="1065">
        <f t="shared" si="46"/>
        <v>1892.3</v>
      </c>
      <c r="R225" s="1065">
        <f t="shared" si="46"/>
        <v>1698.8</v>
      </c>
      <c r="S225" s="1065">
        <f t="shared" si="46"/>
        <v>193.5</v>
      </c>
      <c r="T225" s="1099"/>
      <c r="U225" s="1100"/>
      <c r="V225" s="1099"/>
      <c r="W225" s="1099"/>
      <c r="X225" s="1216"/>
      <c r="Z225" s="1311">
        <f t="shared" si="43"/>
        <v>1892.3</v>
      </c>
      <c r="AA225" s="1374">
        <f t="shared" si="42"/>
        <v>1892.3</v>
      </c>
      <c r="AB225" s="1374">
        <f t="shared" si="44"/>
        <v>193.5</v>
      </c>
    </row>
    <row r="226" spans="1:28" s="914" customFormat="1" ht="69.75" customHeight="1">
      <c r="A226" s="1360" t="s">
        <v>247</v>
      </c>
      <c r="B226" s="1361" t="s">
        <v>1337</v>
      </c>
      <c r="C226" s="1018">
        <f>SUM(D226:E226)</f>
        <v>600000</v>
      </c>
      <c r="D226" s="1362">
        <f>SUM(D227:D228)</f>
        <v>600000</v>
      </c>
      <c r="E226" s="1362">
        <f>SUM(E227:E228)</f>
        <v>0</v>
      </c>
      <c r="F226" s="1018">
        <f>G226+H226</f>
        <v>600000</v>
      </c>
      <c r="G226" s="1362">
        <f>SUM(G227:G228)</f>
        <v>600000</v>
      </c>
      <c r="H226" s="1362">
        <f>SUM(H227:H228)</f>
        <v>0</v>
      </c>
      <c r="I226" s="1018">
        <f>SUM(J226:K226)</f>
        <v>0</v>
      </c>
      <c r="J226" s="1362">
        <f>SUM(J227:J228)</f>
        <v>0</v>
      </c>
      <c r="K226" s="1362">
        <f>SUM(K227:K228)</f>
        <v>0</v>
      </c>
      <c r="L226" s="1363">
        <f t="shared" ref="L226:N227" si="47">IF(I226=0,0,I226/F226*100)</f>
        <v>0</v>
      </c>
      <c r="M226" s="1363">
        <f t="shared" si="47"/>
        <v>0</v>
      </c>
      <c r="N226" s="1363">
        <f t="shared" si="47"/>
        <v>0</v>
      </c>
      <c r="O226" s="1282"/>
      <c r="P226" s="1208"/>
      <c r="Q226" s="1065"/>
      <c r="R226" s="1065"/>
      <c r="S226" s="1065"/>
      <c r="T226" s="1099"/>
      <c r="U226" s="1100"/>
      <c r="V226" s="1099"/>
      <c r="W226" s="1099"/>
      <c r="X226" s="1216"/>
      <c r="Z226" s="1311"/>
      <c r="AA226" s="1374">
        <f t="shared" si="42"/>
        <v>0</v>
      </c>
      <c r="AB226" s="1374">
        <f t="shared" si="44"/>
        <v>0</v>
      </c>
    </row>
    <row r="227" spans="1:28" s="914" customFormat="1" ht="63.75" customHeight="1">
      <c r="A227" s="944" t="s">
        <v>1338</v>
      </c>
      <c r="B227" s="1238" t="s">
        <v>1169</v>
      </c>
      <c r="C227" s="871">
        <f>SUM(D227:E227)</f>
        <v>300000</v>
      </c>
      <c r="D227" s="884">
        <v>300000</v>
      </c>
      <c r="E227" s="887">
        <v>0</v>
      </c>
      <c r="F227" s="1375">
        <f t="shared" ref="F227:H228" si="48">C227</f>
        <v>300000</v>
      </c>
      <c r="G227" s="1376">
        <f t="shared" si="48"/>
        <v>300000</v>
      </c>
      <c r="H227" s="1376">
        <f t="shared" si="48"/>
        <v>0</v>
      </c>
      <c r="I227" s="1358">
        <f>SUM(J227:K227)</f>
        <v>0</v>
      </c>
      <c r="J227" s="884">
        <v>0</v>
      </c>
      <c r="K227" s="887">
        <v>0</v>
      </c>
      <c r="L227" s="876">
        <f t="shared" si="47"/>
        <v>0</v>
      </c>
      <c r="M227" s="877">
        <f t="shared" si="47"/>
        <v>0</v>
      </c>
      <c r="N227" s="877">
        <f t="shared" si="47"/>
        <v>0</v>
      </c>
      <c r="O227" s="1282"/>
      <c r="P227" s="1208"/>
      <c r="Q227" s="1065"/>
      <c r="R227" s="1065"/>
      <c r="S227" s="1065"/>
      <c r="T227" s="1099"/>
      <c r="U227" s="1100"/>
      <c r="V227" s="1099"/>
      <c r="W227" s="1099"/>
      <c r="X227" s="1216"/>
      <c r="Z227" s="1311"/>
      <c r="AA227" s="1374">
        <f t="shared" si="42"/>
        <v>0</v>
      </c>
      <c r="AB227" s="1374">
        <f t="shared" si="44"/>
        <v>0</v>
      </c>
    </row>
    <row r="228" spans="1:28" s="914" customFormat="1">
      <c r="A228" s="944" t="s">
        <v>1339</v>
      </c>
      <c r="B228" s="1356" t="s">
        <v>1340</v>
      </c>
      <c r="C228" s="871">
        <f>SUM(D228:E228)</f>
        <v>300000</v>
      </c>
      <c r="D228" s="884">
        <v>300000</v>
      </c>
      <c r="E228" s="887">
        <v>0</v>
      </c>
      <c r="F228" s="1375">
        <f t="shared" si="48"/>
        <v>300000</v>
      </c>
      <c r="G228" s="1376">
        <f t="shared" si="48"/>
        <v>300000</v>
      </c>
      <c r="H228" s="1376">
        <f t="shared" si="48"/>
        <v>0</v>
      </c>
      <c r="I228" s="1352">
        <f>SUM(J228:K228)</f>
        <v>0</v>
      </c>
      <c r="J228" s="884">
        <v>0</v>
      </c>
      <c r="K228" s="887">
        <v>0</v>
      </c>
      <c r="L228" s="876">
        <f t="shared" si="37"/>
        <v>0</v>
      </c>
      <c r="M228" s="877">
        <f t="shared" si="37"/>
        <v>0</v>
      </c>
      <c r="N228" s="877">
        <f t="shared" si="37"/>
        <v>0</v>
      </c>
      <c r="O228" s="1282"/>
      <c r="P228" s="1208"/>
      <c r="Q228" s="1065"/>
      <c r="R228" s="1065"/>
      <c r="S228" s="1065"/>
      <c r="T228" s="1099"/>
      <c r="U228" s="1100"/>
      <c r="V228" s="1099"/>
      <c r="W228" s="1099"/>
      <c r="X228" s="1216"/>
      <c r="Z228" s="1311"/>
      <c r="AA228" s="1374">
        <f t="shared" si="42"/>
        <v>0</v>
      </c>
      <c r="AB228" s="1374">
        <f t="shared" si="44"/>
        <v>0</v>
      </c>
    </row>
    <row r="229" spans="1:28" s="959" customFormat="1" ht="63.75" customHeight="1">
      <c r="A229" s="1189" t="s">
        <v>248</v>
      </c>
      <c r="B229" s="1054" t="s">
        <v>446</v>
      </c>
      <c r="C229" s="1055">
        <f>SUM(D229:E229)</f>
        <v>907600</v>
      </c>
      <c r="D229" s="1056">
        <f>SUM(D230:D241)</f>
        <v>853000</v>
      </c>
      <c r="E229" s="1056">
        <f>SUM(E230:E241)</f>
        <v>54600</v>
      </c>
      <c r="F229" s="1055">
        <f>SUM(G229:H229)</f>
        <v>905707.7</v>
      </c>
      <c r="G229" s="1056">
        <f>SUM(G230:G241)</f>
        <v>851301.2</v>
      </c>
      <c r="H229" s="1056">
        <f>SUM(H230:H241)</f>
        <v>54406.5</v>
      </c>
      <c r="I229" s="1055">
        <f>SUM(J229:K229)</f>
        <v>432666.4</v>
      </c>
      <c r="J229" s="1056">
        <f>SUM(J230:J241)</f>
        <v>406694.2</v>
      </c>
      <c r="K229" s="1056">
        <f>SUM(K230:K241)</f>
        <v>25972.2</v>
      </c>
      <c r="L229" s="1053">
        <f t="shared" si="37"/>
        <v>47.8</v>
      </c>
      <c r="M229" s="1053">
        <f t="shared" si="37"/>
        <v>47.8</v>
      </c>
      <c r="N229" s="1053">
        <f t="shared" si="37"/>
        <v>47.7</v>
      </c>
      <c r="O229" s="1282"/>
      <c r="P229" s="1208"/>
      <c r="Q229" s="1065">
        <f t="shared" si="46"/>
        <v>1892.3</v>
      </c>
      <c r="R229" s="1065">
        <f t="shared" si="46"/>
        <v>1698.8</v>
      </c>
      <c r="S229" s="1065">
        <f t="shared" si="46"/>
        <v>193.5</v>
      </c>
      <c r="T229" s="1099"/>
      <c r="U229" s="1100"/>
      <c r="V229" s="1099"/>
      <c r="W229" s="1099"/>
      <c r="X229" s="1218"/>
      <c r="Z229" s="1311">
        <f t="shared" si="43"/>
        <v>1892.3</v>
      </c>
      <c r="AA229" s="1374">
        <f t="shared" si="42"/>
        <v>1892.3</v>
      </c>
      <c r="AB229" s="1374">
        <f t="shared" si="44"/>
        <v>193.5</v>
      </c>
    </row>
    <row r="230" spans="1:28" s="959" customFormat="1" ht="39" customHeight="1">
      <c r="A230" s="895"/>
      <c r="B230" s="937" t="s">
        <v>1000</v>
      </c>
      <c r="C230" s="871">
        <f>SUM(D230:E230)</f>
        <v>1892.3</v>
      </c>
      <c r="D230" s="884">
        <v>1698.8</v>
      </c>
      <c r="E230" s="887">
        <v>193.5</v>
      </c>
      <c r="F230" s="1347">
        <f>G230+H230</f>
        <v>0</v>
      </c>
      <c r="G230" s="887">
        <v>0</v>
      </c>
      <c r="H230" s="887">
        <v>0</v>
      </c>
      <c r="I230" s="1340">
        <f t="shared" ref="I230:I248" si="49">SUM(J230:K230)</f>
        <v>0</v>
      </c>
      <c r="J230" s="884">
        <v>0</v>
      </c>
      <c r="K230" s="887">
        <v>0</v>
      </c>
      <c r="L230" s="876">
        <f t="shared" si="37"/>
        <v>0</v>
      </c>
      <c r="M230" s="877">
        <f t="shared" si="37"/>
        <v>0</v>
      </c>
      <c r="N230" s="877">
        <f t="shared" si="37"/>
        <v>0</v>
      </c>
      <c r="O230" s="1282"/>
      <c r="P230" s="1208"/>
      <c r="Q230" s="1065"/>
      <c r="R230" s="1065"/>
      <c r="S230" s="1065"/>
      <c r="T230" s="1099" t="s">
        <v>999</v>
      </c>
      <c r="U230" s="1100" t="s">
        <v>1001</v>
      </c>
      <c r="V230" s="1099">
        <v>414</v>
      </c>
      <c r="W230" s="1099"/>
      <c r="X230" s="1218"/>
      <c r="Z230" s="1311">
        <f t="shared" si="43"/>
        <v>1892.3</v>
      </c>
      <c r="AA230" s="1374">
        <f t="shared" si="42"/>
        <v>1892.3</v>
      </c>
      <c r="AB230" s="1374">
        <f t="shared" si="44"/>
        <v>193.5</v>
      </c>
    </row>
    <row r="231" spans="1:28" ht="61.5" customHeight="1">
      <c r="A231" s="895">
        <v>1</v>
      </c>
      <c r="B231" s="937" t="s">
        <v>668</v>
      </c>
      <c r="C231" s="871">
        <f t="shared" ref="C231:C248" si="50">SUM(D231:E231)</f>
        <v>452152</v>
      </c>
      <c r="D231" s="884">
        <v>425019.2</v>
      </c>
      <c r="E231" s="887">
        <v>27132.799999999999</v>
      </c>
      <c r="F231" s="1347">
        <f>G231+H231</f>
        <v>452152</v>
      </c>
      <c r="G231" s="887">
        <f>D231</f>
        <v>425019.2</v>
      </c>
      <c r="H231" s="887">
        <f>E231</f>
        <v>27132.799999999999</v>
      </c>
      <c r="I231" s="1340">
        <f t="shared" si="49"/>
        <v>310959.8</v>
      </c>
      <c r="J231" s="884">
        <v>292299.7</v>
      </c>
      <c r="K231" s="887">
        <v>18660.099999999999</v>
      </c>
      <c r="L231" s="876">
        <f t="shared" ref="L231:N248" si="51">IF(I231=0,0,I231/F231*100)</f>
        <v>68.8</v>
      </c>
      <c r="M231" s="877">
        <f t="shared" si="51"/>
        <v>68.8</v>
      </c>
      <c r="N231" s="877">
        <f t="shared" si="51"/>
        <v>68.8</v>
      </c>
      <c r="O231" s="1282"/>
      <c r="Q231" s="1065">
        <f t="shared" si="46"/>
        <v>0</v>
      </c>
      <c r="R231" s="1065">
        <f t="shared" si="46"/>
        <v>0</v>
      </c>
      <c r="S231" s="1065">
        <f t="shared" si="46"/>
        <v>0</v>
      </c>
      <c r="T231" s="1099" t="s">
        <v>999</v>
      </c>
      <c r="U231" s="1100" t="s">
        <v>1005</v>
      </c>
      <c r="V231" s="1099">
        <v>414</v>
      </c>
      <c r="W231" s="1099" t="s">
        <v>1006</v>
      </c>
      <c r="Z231" s="1311">
        <f t="shared" si="43"/>
        <v>0</v>
      </c>
      <c r="AA231" s="1374">
        <f t="shared" si="42"/>
        <v>0</v>
      </c>
      <c r="AB231" s="1374">
        <f t="shared" si="44"/>
        <v>0</v>
      </c>
    </row>
    <row r="232" spans="1:28" ht="75" customHeight="1">
      <c r="A232" s="895">
        <v>2</v>
      </c>
      <c r="B232" s="1334" t="s">
        <v>470</v>
      </c>
      <c r="C232" s="871">
        <f t="shared" si="50"/>
        <v>50107.7</v>
      </c>
      <c r="D232" s="887">
        <v>47101.2</v>
      </c>
      <c r="E232" s="887">
        <v>3006.5</v>
      </c>
      <c r="F232" s="871">
        <f t="shared" ref="F232:F248" si="52">SUM(G232:H232)</f>
        <v>50107.7</v>
      </c>
      <c r="G232" s="887">
        <f t="shared" ref="G232:H241" si="53">D232</f>
        <v>47101.2</v>
      </c>
      <c r="H232" s="887">
        <f t="shared" si="53"/>
        <v>3006.5</v>
      </c>
      <c r="I232" s="871">
        <f t="shared" si="49"/>
        <v>36081.199999999997</v>
      </c>
      <c r="J232" s="887">
        <v>33916.300000000003</v>
      </c>
      <c r="K232" s="887">
        <v>2164.9</v>
      </c>
      <c r="L232" s="872">
        <f t="shared" si="51"/>
        <v>72</v>
      </c>
      <c r="M232" s="873">
        <f t="shared" si="51"/>
        <v>72</v>
      </c>
      <c r="N232" s="873">
        <f t="shared" si="51"/>
        <v>72</v>
      </c>
      <c r="O232" s="1282"/>
      <c r="Q232" s="1065">
        <f t="shared" si="46"/>
        <v>0</v>
      </c>
      <c r="R232" s="1065">
        <f t="shared" si="46"/>
        <v>0</v>
      </c>
      <c r="S232" s="1065">
        <f t="shared" si="46"/>
        <v>0</v>
      </c>
      <c r="T232" s="1099" t="s">
        <v>999</v>
      </c>
      <c r="U232" s="1100" t="s">
        <v>1010</v>
      </c>
      <c r="V232" s="1099">
        <v>414</v>
      </c>
      <c r="W232" s="1099" t="s">
        <v>1011</v>
      </c>
      <c r="Z232" s="1311">
        <f t="shared" si="43"/>
        <v>0</v>
      </c>
      <c r="AA232" s="1374">
        <f t="shared" si="42"/>
        <v>0</v>
      </c>
      <c r="AB232" s="1374">
        <f t="shared" si="44"/>
        <v>0</v>
      </c>
    </row>
    <row r="233" spans="1:28" ht="90" customHeight="1">
      <c r="A233" s="895">
        <v>3</v>
      </c>
      <c r="B233" s="1334" t="s">
        <v>622</v>
      </c>
      <c r="C233" s="871">
        <f>SUM(D233:E233)</f>
        <v>64810.2</v>
      </c>
      <c r="D233" s="887">
        <v>60910.9</v>
      </c>
      <c r="E233" s="887">
        <v>3899.3</v>
      </c>
      <c r="F233" s="871">
        <f t="shared" si="52"/>
        <v>64810.2</v>
      </c>
      <c r="G233" s="887">
        <f t="shared" si="53"/>
        <v>60910.9</v>
      </c>
      <c r="H233" s="887">
        <f t="shared" si="53"/>
        <v>3899.3</v>
      </c>
      <c r="I233" s="871">
        <f t="shared" si="49"/>
        <v>17826.7</v>
      </c>
      <c r="J233" s="887">
        <v>16755.099999999999</v>
      </c>
      <c r="K233" s="887">
        <v>1071.5999999999999</v>
      </c>
      <c r="L233" s="872">
        <f t="shared" si="51"/>
        <v>27.5</v>
      </c>
      <c r="M233" s="873">
        <f t="shared" si="51"/>
        <v>27.5</v>
      </c>
      <c r="N233" s="873">
        <f t="shared" si="51"/>
        <v>27.5</v>
      </c>
      <c r="O233" s="1282"/>
      <c r="Q233" s="1065">
        <f t="shared" si="46"/>
        <v>0</v>
      </c>
      <c r="R233" s="1065">
        <f t="shared" si="46"/>
        <v>0</v>
      </c>
      <c r="S233" s="1065">
        <f t="shared" si="46"/>
        <v>0</v>
      </c>
      <c r="T233" s="1099" t="s">
        <v>999</v>
      </c>
      <c r="U233" s="1100" t="s">
        <v>1016</v>
      </c>
      <c r="V233" s="1099">
        <v>414</v>
      </c>
      <c r="W233" s="1099" t="s">
        <v>1004</v>
      </c>
      <c r="Z233" s="1311">
        <f t="shared" si="43"/>
        <v>0</v>
      </c>
      <c r="AA233" s="1374">
        <f t="shared" si="42"/>
        <v>0</v>
      </c>
      <c r="AB233" s="1374">
        <f t="shared" si="44"/>
        <v>0</v>
      </c>
    </row>
    <row r="234" spans="1:28" ht="90" customHeight="1">
      <c r="A234" s="895">
        <v>4</v>
      </c>
      <c r="B234" s="1334" t="s">
        <v>837</v>
      </c>
      <c r="C234" s="871">
        <f t="shared" si="50"/>
        <v>38427.4</v>
      </c>
      <c r="D234" s="887">
        <v>36115.4</v>
      </c>
      <c r="E234" s="887">
        <v>2312</v>
      </c>
      <c r="F234" s="871">
        <f t="shared" si="52"/>
        <v>38427.4</v>
      </c>
      <c r="G234" s="887">
        <f t="shared" si="53"/>
        <v>36115.4</v>
      </c>
      <c r="H234" s="887">
        <f t="shared" si="53"/>
        <v>2312</v>
      </c>
      <c r="I234" s="871">
        <f t="shared" si="49"/>
        <v>9344</v>
      </c>
      <c r="J234" s="887">
        <v>8782.2999999999993</v>
      </c>
      <c r="K234" s="887">
        <v>561.70000000000005</v>
      </c>
      <c r="L234" s="872">
        <f t="shared" si="51"/>
        <v>24.3</v>
      </c>
      <c r="M234" s="873">
        <f t="shared" si="51"/>
        <v>24.3</v>
      </c>
      <c r="N234" s="873">
        <f t="shared" si="51"/>
        <v>24.3</v>
      </c>
      <c r="O234" s="1282"/>
      <c r="Q234" s="1065">
        <f t="shared" si="46"/>
        <v>0</v>
      </c>
      <c r="R234" s="1065">
        <f t="shared" si="46"/>
        <v>0</v>
      </c>
      <c r="S234" s="1065">
        <f t="shared" si="46"/>
        <v>0</v>
      </c>
      <c r="T234" s="1099" t="s">
        <v>999</v>
      </c>
      <c r="U234" s="1100" t="s">
        <v>1015</v>
      </c>
      <c r="V234" s="1099">
        <v>414</v>
      </c>
      <c r="W234" s="1099" t="s">
        <v>1004</v>
      </c>
      <c r="Z234" s="1311">
        <f t="shared" si="43"/>
        <v>0</v>
      </c>
      <c r="AA234" s="1374">
        <f t="shared" si="42"/>
        <v>0</v>
      </c>
      <c r="AB234" s="1374">
        <f t="shared" si="44"/>
        <v>0</v>
      </c>
    </row>
    <row r="235" spans="1:28" ht="90" customHeight="1">
      <c r="A235" s="895">
        <v>5</v>
      </c>
      <c r="B235" s="1334" t="s">
        <v>620</v>
      </c>
      <c r="C235" s="871">
        <f>SUM(D235:E235)</f>
        <v>115978.8</v>
      </c>
      <c r="D235" s="887">
        <v>109001</v>
      </c>
      <c r="E235" s="887">
        <v>6977.8</v>
      </c>
      <c r="F235" s="871">
        <f t="shared" si="52"/>
        <v>115978.8</v>
      </c>
      <c r="G235" s="887">
        <f t="shared" si="53"/>
        <v>109001</v>
      </c>
      <c r="H235" s="887">
        <f t="shared" si="53"/>
        <v>6977.8</v>
      </c>
      <c r="I235" s="871">
        <f t="shared" si="49"/>
        <v>23306.2</v>
      </c>
      <c r="J235" s="887">
        <v>21905.200000000001</v>
      </c>
      <c r="K235" s="887">
        <v>1401</v>
      </c>
      <c r="L235" s="872">
        <f t="shared" si="51"/>
        <v>20.100000000000001</v>
      </c>
      <c r="M235" s="873">
        <f t="shared" si="51"/>
        <v>20.100000000000001</v>
      </c>
      <c r="N235" s="873">
        <f t="shared" si="51"/>
        <v>20.100000000000001</v>
      </c>
      <c r="O235" s="1282"/>
      <c r="Q235" s="1065">
        <f t="shared" si="46"/>
        <v>0</v>
      </c>
      <c r="R235" s="1065">
        <f t="shared" si="46"/>
        <v>0</v>
      </c>
      <c r="S235" s="1065">
        <f t="shared" si="46"/>
        <v>0</v>
      </c>
      <c r="T235" s="1099" t="s">
        <v>999</v>
      </c>
      <c r="U235" s="1100" t="s">
        <v>1014</v>
      </c>
      <c r="V235" s="1099">
        <v>414</v>
      </c>
      <c r="W235" s="1099" t="s">
        <v>1004</v>
      </c>
      <c r="Z235" s="1311">
        <f t="shared" si="43"/>
        <v>0</v>
      </c>
      <c r="AA235" s="1374">
        <f t="shared" si="42"/>
        <v>0</v>
      </c>
      <c r="AB235" s="1374">
        <f t="shared" si="44"/>
        <v>0</v>
      </c>
    </row>
    <row r="236" spans="1:28" ht="75" customHeight="1">
      <c r="A236" s="895">
        <v>6</v>
      </c>
      <c r="B236" s="1334" t="s">
        <v>471</v>
      </c>
      <c r="C236" s="871">
        <f t="shared" si="50"/>
        <v>9500</v>
      </c>
      <c r="D236" s="887">
        <v>8928.4</v>
      </c>
      <c r="E236" s="887">
        <v>571.6</v>
      </c>
      <c r="F236" s="871">
        <f t="shared" si="52"/>
        <v>9500</v>
      </c>
      <c r="G236" s="887">
        <f t="shared" si="53"/>
        <v>8928.4</v>
      </c>
      <c r="H236" s="887">
        <f t="shared" si="53"/>
        <v>571.6</v>
      </c>
      <c r="I236" s="871">
        <f t="shared" si="49"/>
        <v>614.6</v>
      </c>
      <c r="J236" s="887">
        <v>577.6</v>
      </c>
      <c r="K236" s="887">
        <v>37</v>
      </c>
      <c r="L236" s="872">
        <f t="shared" si="51"/>
        <v>6.5</v>
      </c>
      <c r="M236" s="873">
        <f t="shared" si="51"/>
        <v>6.5</v>
      </c>
      <c r="N236" s="873">
        <f t="shared" si="51"/>
        <v>6.5</v>
      </c>
      <c r="O236" s="1282"/>
      <c r="Q236" s="1065">
        <f t="shared" si="46"/>
        <v>0</v>
      </c>
      <c r="R236" s="1065">
        <f t="shared" si="46"/>
        <v>0</v>
      </c>
      <c r="S236" s="1065">
        <f t="shared" si="46"/>
        <v>0</v>
      </c>
      <c r="T236" s="1099" t="s">
        <v>999</v>
      </c>
      <c r="U236" s="1100" t="s">
        <v>1012</v>
      </c>
      <c r="V236" s="1099">
        <v>414</v>
      </c>
      <c r="W236" s="1099" t="s">
        <v>1004</v>
      </c>
      <c r="Z236" s="1311">
        <f t="shared" si="43"/>
        <v>0</v>
      </c>
      <c r="AA236" s="1374">
        <f t="shared" si="42"/>
        <v>0</v>
      </c>
      <c r="AB236" s="1374">
        <f t="shared" si="44"/>
        <v>0</v>
      </c>
    </row>
    <row r="237" spans="1:28" ht="75" customHeight="1">
      <c r="A237" s="895">
        <v>7</v>
      </c>
      <c r="B237" s="1334" t="s">
        <v>472</v>
      </c>
      <c r="C237" s="871">
        <f t="shared" si="50"/>
        <v>16500</v>
      </c>
      <c r="D237" s="887">
        <v>15507.2</v>
      </c>
      <c r="E237" s="887">
        <v>992.8</v>
      </c>
      <c r="F237" s="871">
        <f t="shared" si="52"/>
        <v>16500</v>
      </c>
      <c r="G237" s="887">
        <f t="shared" si="53"/>
        <v>15507.2</v>
      </c>
      <c r="H237" s="887">
        <f t="shared" si="53"/>
        <v>992.8</v>
      </c>
      <c r="I237" s="871">
        <f t="shared" si="49"/>
        <v>650.1</v>
      </c>
      <c r="J237" s="887">
        <v>611</v>
      </c>
      <c r="K237" s="887">
        <v>39.1</v>
      </c>
      <c r="L237" s="872">
        <f t="shared" si="51"/>
        <v>3.9</v>
      </c>
      <c r="M237" s="873">
        <f t="shared" si="51"/>
        <v>3.9</v>
      </c>
      <c r="N237" s="873">
        <f t="shared" si="51"/>
        <v>3.9</v>
      </c>
      <c r="O237" s="1282"/>
      <c r="Q237" s="1065">
        <f t="shared" si="46"/>
        <v>0</v>
      </c>
      <c r="R237" s="1065">
        <f t="shared" si="46"/>
        <v>0</v>
      </c>
      <c r="S237" s="1065">
        <f t="shared" si="46"/>
        <v>0</v>
      </c>
      <c r="T237" s="1099" t="s">
        <v>999</v>
      </c>
      <c r="U237" s="1100" t="s">
        <v>1007</v>
      </c>
      <c r="V237" s="1099">
        <v>414</v>
      </c>
      <c r="W237" s="1099" t="s">
        <v>1004</v>
      </c>
      <c r="Z237" s="1311">
        <f t="shared" si="43"/>
        <v>0</v>
      </c>
      <c r="AA237" s="1374">
        <f t="shared" si="42"/>
        <v>0</v>
      </c>
      <c r="AB237" s="1374">
        <f t="shared" si="44"/>
        <v>0</v>
      </c>
    </row>
    <row r="238" spans="1:28" ht="75" customHeight="1">
      <c r="A238" s="895">
        <v>8</v>
      </c>
      <c r="B238" s="1334" t="s">
        <v>473</v>
      </c>
      <c r="C238" s="871">
        <f t="shared" si="50"/>
        <v>10549.1</v>
      </c>
      <c r="D238" s="887">
        <v>9914.4</v>
      </c>
      <c r="E238" s="887">
        <v>634.70000000000005</v>
      </c>
      <c r="F238" s="871">
        <f t="shared" si="52"/>
        <v>10549.1</v>
      </c>
      <c r="G238" s="887">
        <f t="shared" si="53"/>
        <v>9914.4</v>
      </c>
      <c r="H238" s="887">
        <f t="shared" si="53"/>
        <v>634.70000000000005</v>
      </c>
      <c r="I238" s="871">
        <f t="shared" si="49"/>
        <v>10125.9</v>
      </c>
      <c r="J238" s="887">
        <v>9517.2000000000007</v>
      </c>
      <c r="K238" s="887">
        <v>608.70000000000005</v>
      </c>
      <c r="L238" s="872">
        <f t="shared" si="51"/>
        <v>96</v>
      </c>
      <c r="M238" s="873">
        <f t="shared" si="51"/>
        <v>96</v>
      </c>
      <c r="N238" s="873">
        <f t="shared" si="51"/>
        <v>95.9</v>
      </c>
      <c r="O238" s="1282"/>
      <c r="Q238" s="1065">
        <f t="shared" si="46"/>
        <v>0</v>
      </c>
      <c r="R238" s="1065">
        <f t="shared" si="46"/>
        <v>0</v>
      </c>
      <c r="S238" s="1065">
        <f t="shared" si="46"/>
        <v>0</v>
      </c>
      <c r="T238" s="1099" t="s">
        <v>999</v>
      </c>
      <c r="U238" s="1100" t="s">
        <v>1003</v>
      </c>
      <c r="V238" s="1099">
        <v>414</v>
      </c>
      <c r="W238" s="1099" t="s">
        <v>1004</v>
      </c>
      <c r="Z238" s="1311">
        <f t="shared" si="43"/>
        <v>0</v>
      </c>
      <c r="AA238" s="1374">
        <f t="shared" si="42"/>
        <v>0</v>
      </c>
      <c r="AB238" s="1374">
        <f t="shared" si="44"/>
        <v>0</v>
      </c>
    </row>
    <row r="239" spans="1:28" ht="75" customHeight="1">
      <c r="A239" s="895">
        <v>9</v>
      </c>
      <c r="B239" s="1334" t="s">
        <v>474</v>
      </c>
      <c r="C239" s="871">
        <f>SUM(D239:E239)</f>
        <v>26243.8</v>
      </c>
      <c r="D239" s="887">
        <v>24664.799999999999</v>
      </c>
      <c r="E239" s="887">
        <v>1579</v>
      </c>
      <c r="F239" s="871">
        <f t="shared" si="52"/>
        <v>26243.8</v>
      </c>
      <c r="G239" s="887">
        <f t="shared" si="53"/>
        <v>24664.799999999999</v>
      </c>
      <c r="H239" s="887">
        <f t="shared" si="53"/>
        <v>1579</v>
      </c>
      <c r="I239" s="871">
        <f t="shared" si="49"/>
        <v>23757.9</v>
      </c>
      <c r="J239" s="887">
        <v>22329.8</v>
      </c>
      <c r="K239" s="887">
        <v>1428.1</v>
      </c>
      <c r="L239" s="872">
        <f t="shared" si="51"/>
        <v>90.5</v>
      </c>
      <c r="M239" s="873">
        <f t="shared" si="51"/>
        <v>90.5</v>
      </c>
      <c r="N239" s="873">
        <f t="shared" si="51"/>
        <v>90.4</v>
      </c>
      <c r="O239" s="1282"/>
      <c r="Q239" s="1065">
        <f t="shared" si="46"/>
        <v>0</v>
      </c>
      <c r="R239" s="1065">
        <f t="shared" si="46"/>
        <v>0</v>
      </c>
      <c r="S239" s="1065">
        <f t="shared" si="46"/>
        <v>0</v>
      </c>
      <c r="T239" s="1099" t="s">
        <v>999</v>
      </c>
      <c r="U239" s="1100" t="s">
        <v>1013</v>
      </c>
      <c r="V239" s="1099">
        <v>414</v>
      </c>
      <c r="W239" s="1099" t="s">
        <v>1004</v>
      </c>
      <c r="Z239" s="1311">
        <f t="shared" si="43"/>
        <v>0</v>
      </c>
      <c r="AA239" s="1374">
        <f t="shared" si="42"/>
        <v>0</v>
      </c>
      <c r="AB239" s="1374">
        <f t="shared" si="44"/>
        <v>0</v>
      </c>
    </row>
    <row r="240" spans="1:28" ht="75" customHeight="1">
      <c r="A240" s="895">
        <v>10</v>
      </c>
      <c r="B240" s="1334" t="s">
        <v>617</v>
      </c>
      <c r="C240" s="871">
        <f t="shared" si="50"/>
        <v>81990.7</v>
      </c>
      <c r="D240" s="887">
        <v>77057.899999999994</v>
      </c>
      <c r="E240" s="887">
        <v>4932.8</v>
      </c>
      <c r="F240" s="871">
        <f t="shared" si="52"/>
        <v>81990.7</v>
      </c>
      <c r="G240" s="887">
        <f t="shared" si="53"/>
        <v>77057.899999999994</v>
      </c>
      <c r="H240" s="887">
        <f t="shared" si="53"/>
        <v>4932.8</v>
      </c>
      <c r="I240" s="871">
        <f t="shared" si="49"/>
        <v>0</v>
      </c>
      <c r="J240" s="887">
        <v>0</v>
      </c>
      <c r="K240" s="887">
        <v>0</v>
      </c>
      <c r="L240" s="872">
        <f t="shared" si="51"/>
        <v>0</v>
      </c>
      <c r="M240" s="873">
        <f t="shared" si="51"/>
        <v>0</v>
      </c>
      <c r="N240" s="873">
        <f t="shared" si="51"/>
        <v>0</v>
      </c>
      <c r="O240" s="1282"/>
      <c r="Q240" s="1065">
        <f t="shared" si="46"/>
        <v>0</v>
      </c>
      <c r="R240" s="1065">
        <f t="shared" si="46"/>
        <v>0</v>
      </c>
      <c r="S240" s="1065">
        <f t="shared" si="46"/>
        <v>0</v>
      </c>
      <c r="T240" s="1099" t="s">
        <v>999</v>
      </c>
      <c r="U240" s="1100" t="s">
        <v>1002</v>
      </c>
      <c r="V240" s="1099">
        <v>414</v>
      </c>
      <c r="W240" s="1099" t="s">
        <v>1004</v>
      </c>
      <c r="Z240" s="1311">
        <f t="shared" si="43"/>
        <v>0</v>
      </c>
      <c r="AA240" s="1374">
        <f t="shared" si="42"/>
        <v>0</v>
      </c>
      <c r="AB240" s="1374">
        <f t="shared" si="44"/>
        <v>0</v>
      </c>
    </row>
    <row r="241" spans="1:28" ht="75" customHeight="1">
      <c r="A241" s="895">
        <v>12</v>
      </c>
      <c r="B241" s="1334" t="s">
        <v>619</v>
      </c>
      <c r="C241" s="871">
        <f>SUM(D241:E241)</f>
        <v>39448</v>
      </c>
      <c r="D241" s="887">
        <v>37080.800000000003</v>
      </c>
      <c r="E241" s="887">
        <v>2367.1999999999998</v>
      </c>
      <c r="F241" s="871">
        <f t="shared" si="52"/>
        <v>39448</v>
      </c>
      <c r="G241" s="887">
        <f t="shared" si="53"/>
        <v>37080.800000000003</v>
      </c>
      <c r="H241" s="887">
        <f t="shared" si="53"/>
        <v>2367.1999999999998</v>
      </c>
      <c r="I241" s="871">
        <f t="shared" si="49"/>
        <v>0</v>
      </c>
      <c r="J241" s="887">
        <v>0</v>
      </c>
      <c r="K241" s="887">
        <v>0</v>
      </c>
      <c r="L241" s="872">
        <f t="shared" si="51"/>
        <v>0</v>
      </c>
      <c r="M241" s="873">
        <f t="shared" si="51"/>
        <v>0</v>
      </c>
      <c r="N241" s="873">
        <f t="shared" si="51"/>
        <v>0</v>
      </c>
      <c r="O241" s="1282"/>
      <c r="Q241" s="1065">
        <f t="shared" si="46"/>
        <v>0</v>
      </c>
      <c r="R241" s="1065">
        <f t="shared" si="46"/>
        <v>0</v>
      </c>
      <c r="S241" s="1065">
        <f t="shared" si="46"/>
        <v>0</v>
      </c>
      <c r="T241" s="1099" t="s">
        <v>999</v>
      </c>
      <c r="U241" s="1100" t="s">
        <v>1008</v>
      </c>
      <c r="V241" s="1099">
        <v>414</v>
      </c>
      <c r="W241" s="1099" t="s">
        <v>1006</v>
      </c>
      <c r="Z241" s="1311">
        <f t="shared" si="43"/>
        <v>0</v>
      </c>
      <c r="AA241" s="1374">
        <f t="shared" si="42"/>
        <v>0</v>
      </c>
      <c r="AB241" s="1374">
        <f t="shared" si="44"/>
        <v>0</v>
      </c>
    </row>
    <row r="242" spans="1:28" s="914" customFormat="1" ht="110.25" customHeight="1">
      <c r="A242" s="1314" t="s">
        <v>1341</v>
      </c>
      <c r="B242" s="947" t="s">
        <v>656</v>
      </c>
      <c r="C242" s="948">
        <f>SUM(D242:E242)</f>
        <v>60106.400000000001</v>
      </c>
      <c r="D242" s="949">
        <f>D243</f>
        <v>56500</v>
      </c>
      <c r="E242" s="949">
        <f>E243</f>
        <v>3606.4</v>
      </c>
      <c r="F242" s="950">
        <f t="shared" si="52"/>
        <v>60106.400000000001</v>
      </c>
      <c r="G242" s="949">
        <f>G243</f>
        <v>56500</v>
      </c>
      <c r="H242" s="949">
        <f>H243</f>
        <v>3606.4</v>
      </c>
      <c r="I242" s="950">
        <f t="shared" si="49"/>
        <v>49162</v>
      </c>
      <c r="J242" s="949">
        <f>J243</f>
        <v>46212.3</v>
      </c>
      <c r="K242" s="949">
        <f>K243</f>
        <v>2949.7</v>
      </c>
      <c r="L242" s="951">
        <f t="shared" si="51"/>
        <v>81.8</v>
      </c>
      <c r="M242" s="952">
        <f t="shared" si="51"/>
        <v>81.8</v>
      </c>
      <c r="N242" s="952">
        <f t="shared" si="51"/>
        <v>81.8</v>
      </c>
      <c r="O242" s="1282"/>
      <c r="P242" s="1208"/>
      <c r="Q242" s="1065">
        <f t="shared" si="46"/>
        <v>0</v>
      </c>
      <c r="R242" s="1065">
        <f t="shared" si="46"/>
        <v>0</v>
      </c>
      <c r="S242" s="1065">
        <f t="shared" si="46"/>
        <v>0</v>
      </c>
      <c r="T242" s="1099"/>
      <c r="U242" s="1100"/>
      <c r="V242" s="1099"/>
      <c r="W242" s="1099"/>
      <c r="X242" s="1216"/>
      <c r="Z242" s="1311">
        <f t="shared" si="43"/>
        <v>0</v>
      </c>
      <c r="AA242" s="1374">
        <f t="shared" si="42"/>
        <v>0</v>
      </c>
      <c r="AB242" s="1374">
        <f t="shared" si="44"/>
        <v>0</v>
      </c>
    </row>
    <row r="243" spans="1:28" ht="58.5" customHeight="1">
      <c r="A243" s="895">
        <v>13</v>
      </c>
      <c r="B243" s="937" t="s">
        <v>623</v>
      </c>
      <c r="C243" s="871">
        <f>SUM(D243:E243)</f>
        <v>60106.400000000001</v>
      </c>
      <c r="D243" s="884">
        <v>56500</v>
      </c>
      <c r="E243" s="887">
        <v>3606.4</v>
      </c>
      <c r="F243" s="871">
        <f t="shared" si="52"/>
        <v>60106.400000000001</v>
      </c>
      <c r="G243" s="884">
        <f>D243</f>
        <v>56500</v>
      </c>
      <c r="H243" s="884">
        <f>E243</f>
        <v>3606.4</v>
      </c>
      <c r="I243" s="1340">
        <f t="shared" si="49"/>
        <v>49162</v>
      </c>
      <c r="J243" s="884">
        <v>46212.3</v>
      </c>
      <c r="K243" s="887">
        <v>2949.7</v>
      </c>
      <c r="L243" s="876">
        <f t="shared" si="51"/>
        <v>81.8</v>
      </c>
      <c r="M243" s="877">
        <f t="shared" si="51"/>
        <v>81.8</v>
      </c>
      <c r="N243" s="877">
        <f t="shared" si="51"/>
        <v>81.8</v>
      </c>
      <c r="O243" s="1282"/>
      <c r="Q243" s="1065">
        <f t="shared" si="46"/>
        <v>0</v>
      </c>
      <c r="R243" s="1065">
        <f t="shared" si="46"/>
        <v>0</v>
      </c>
      <c r="S243" s="1065">
        <f t="shared" si="46"/>
        <v>0</v>
      </c>
      <c r="T243" s="1099" t="s">
        <v>999</v>
      </c>
      <c r="U243" s="1100" t="s">
        <v>1017</v>
      </c>
      <c r="V243" s="1099">
        <v>414</v>
      </c>
      <c r="W243" s="1099" t="s">
        <v>1018</v>
      </c>
      <c r="Z243" s="1311">
        <f t="shared" si="43"/>
        <v>0</v>
      </c>
      <c r="AA243" s="1374">
        <f t="shared" si="42"/>
        <v>0</v>
      </c>
    </row>
    <row r="244" spans="1:28" s="914" customFormat="1" ht="56.25" customHeight="1">
      <c r="A244" s="1305" t="s">
        <v>249</v>
      </c>
      <c r="B244" s="932" t="s">
        <v>39</v>
      </c>
      <c r="C244" s="933">
        <f t="shared" si="50"/>
        <v>114960</v>
      </c>
      <c r="D244" s="933">
        <f>SUM(D245:D248)</f>
        <v>0</v>
      </c>
      <c r="E244" s="933">
        <f>SUM(E245:E248)</f>
        <v>114960</v>
      </c>
      <c r="F244" s="933">
        <f t="shared" si="52"/>
        <v>114960</v>
      </c>
      <c r="G244" s="933">
        <f>SUM(G245:G248)</f>
        <v>0</v>
      </c>
      <c r="H244" s="933">
        <f>SUM(H245:H248)</f>
        <v>114960</v>
      </c>
      <c r="I244" s="933">
        <f t="shared" si="49"/>
        <v>23160.799999999999</v>
      </c>
      <c r="J244" s="933">
        <f>SUM(J245:J248)</f>
        <v>0</v>
      </c>
      <c r="K244" s="933">
        <f>SUM(K245:K248)</f>
        <v>23160.799999999999</v>
      </c>
      <c r="L244" s="935">
        <f t="shared" si="51"/>
        <v>20.100000000000001</v>
      </c>
      <c r="M244" s="936">
        <f t="shared" si="51"/>
        <v>0</v>
      </c>
      <c r="N244" s="936">
        <f t="shared" si="51"/>
        <v>20.100000000000001</v>
      </c>
      <c r="O244" s="1282"/>
      <c r="P244" s="1208"/>
      <c r="Q244" s="1065">
        <f t="shared" si="46"/>
        <v>0</v>
      </c>
      <c r="R244" s="1065">
        <f t="shared" si="46"/>
        <v>0</v>
      </c>
      <c r="S244" s="1065">
        <f t="shared" si="46"/>
        <v>0</v>
      </c>
      <c r="T244" s="1099"/>
      <c r="U244" s="1100"/>
      <c r="V244" s="1099"/>
      <c r="W244" s="1099"/>
      <c r="X244" s="1216"/>
      <c r="Z244" s="1311">
        <f t="shared" si="43"/>
        <v>0</v>
      </c>
      <c r="AA244" s="1374">
        <f t="shared" si="42"/>
        <v>0</v>
      </c>
    </row>
    <row r="245" spans="1:28" s="736" customFormat="1" ht="58.5" customHeight="1">
      <c r="A245" s="895">
        <v>14</v>
      </c>
      <c r="B245" s="1238" t="s">
        <v>706</v>
      </c>
      <c r="C245" s="871">
        <f>SUM(D245:E245)</f>
        <v>2760</v>
      </c>
      <c r="D245" s="887">
        <v>0</v>
      </c>
      <c r="E245" s="887">
        <v>2760</v>
      </c>
      <c r="F245" s="871">
        <f t="shared" si="52"/>
        <v>2760</v>
      </c>
      <c r="G245" s="887">
        <f t="shared" ref="G245:H248" si="54">D245</f>
        <v>0</v>
      </c>
      <c r="H245" s="887">
        <f t="shared" si="54"/>
        <v>2760</v>
      </c>
      <c r="I245" s="871">
        <f t="shared" si="49"/>
        <v>0</v>
      </c>
      <c r="J245" s="887">
        <v>0</v>
      </c>
      <c r="K245" s="887">
        <v>0</v>
      </c>
      <c r="L245" s="872">
        <f t="shared" si="51"/>
        <v>0</v>
      </c>
      <c r="M245" s="873">
        <f t="shared" si="51"/>
        <v>0</v>
      </c>
      <c r="N245" s="873">
        <f t="shared" si="51"/>
        <v>0</v>
      </c>
      <c r="O245" s="1282"/>
      <c r="P245" s="1208"/>
      <c r="Q245" s="1065">
        <f t="shared" si="46"/>
        <v>0</v>
      </c>
      <c r="R245" s="1065">
        <f t="shared" si="46"/>
        <v>0</v>
      </c>
      <c r="S245" s="1065">
        <f t="shared" si="46"/>
        <v>0</v>
      </c>
      <c r="T245" s="1099" t="s">
        <v>999</v>
      </c>
      <c r="U245" s="1100">
        <v>1110290400</v>
      </c>
      <c r="V245" s="1099">
        <v>414</v>
      </c>
      <c r="W245" s="1099">
        <v>10119</v>
      </c>
      <c r="X245" s="1216"/>
      <c r="Z245" s="1311">
        <f t="shared" si="43"/>
        <v>0</v>
      </c>
      <c r="AA245" s="1374">
        <f t="shared" si="42"/>
        <v>0</v>
      </c>
    </row>
    <row r="246" spans="1:28" s="736" customFormat="1" ht="59.25" customHeight="1">
      <c r="A246" s="895"/>
      <c r="B246" s="1238" t="s">
        <v>1169</v>
      </c>
      <c r="C246" s="871">
        <f>SUM(D246:E246)</f>
        <v>12000</v>
      </c>
      <c r="D246" s="887">
        <v>0</v>
      </c>
      <c r="E246" s="887">
        <v>12000</v>
      </c>
      <c r="F246" s="871">
        <f t="shared" si="52"/>
        <v>12000</v>
      </c>
      <c r="G246" s="887">
        <f t="shared" si="54"/>
        <v>0</v>
      </c>
      <c r="H246" s="887">
        <f t="shared" si="54"/>
        <v>12000</v>
      </c>
      <c r="I246" s="871">
        <f t="shared" si="49"/>
        <v>0</v>
      </c>
      <c r="J246" s="887">
        <v>0</v>
      </c>
      <c r="K246" s="887">
        <v>0</v>
      </c>
      <c r="L246" s="872"/>
      <c r="M246" s="873"/>
      <c r="N246" s="873"/>
      <c r="O246" s="1282"/>
      <c r="P246" s="1208"/>
      <c r="Q246" s="1065"/>
      <c r="R246" s="1065"/>
      <c r="S246" s="1065"/>
      <c r="T246" s="1099"/>
      <c r="U246" s="1100"/>
      <c r="V246" s="1099"/>
      <c r="W246" s="1099"/>
      <c r="X246" s="1216"/>
      <c r="Z246" s="1311">
        <f t="shared" si="43"/>
        <v>0</v>
      </c>
      <c r="AA246" s="1374">
        <f t="shared" si="42"/>
        <v>0</v>
      </c>
    </row>
    <row r="247" spans="1:28" s="736" customFormat="1" ht="58.5" customHeight="1">
      <c r="A247" s="895"/>
      <c r="B247" s="1238" t="s">
        <v>268</v>
      </c>
      <c r="C247" s="871">
        <f>SUM(D247:E247)</f>
        <v>700</v>
      </c>
      <c r="D247" s="887">
        <v>0</v>
      </c>
      <c r="E247" s="887">
        <v>700</v>
      </c>
      <c r="F247" s="871">
        <f t="shared" si="52"/>
        <v>700</v>
      </c>
      <c r="G247" s="887">
        <f t="shared" si="54"/>
        <v>0</v>
      </c>
      <c r="H247" s="887">
        <f t="shared" si="54"/>
        <v>700</v>
      </c>
      <c r="I247" s="871">
        <f t="shared" si="49"/>
        <v>315.10000000000002</v>
      </c>
      <c r="J247" s="887">
        <v>0</v>
      </c>
      <c r="K247" s="887">
        <v>315.10000000000002</v>
      </c>
      <c r="L247" s="872">
        <f t="shared" si="51"/>
        <v>45</v>
      </c>
      <c r="M247" s="873">
        <f t="shared" si="51"/>
        <v>0</v>
      </c>
      <c r="N247" s="873">
        <f t="shared" si="51"/>
        <v>45</v>
      </c>
      <c r="O247" s="1282"/>
      <c r="P247" s="1208"/>
      <c r="Q247" s="1065">
        <f>C247-F247</f>
        <v>0</v>
      </c>
      <c r="R247" s="1065">
        <f t="shared" si="46"/>
        <v>0</v>
      </c>
      <c r="S247" s="1065">
        <f t="shared" si="46"/>
        <v>0</v>
      </c>
      <c r="T247" s="1099" t="s">
        <v>999</v>
      </c>
      <c r="U247" s="1100">
        <v>1110290400</v>
      </c>
      <c r="V247" s="1099">
        <v>414</v>
      </c>
      <c r="W247" s="1099">
        <v>10044</v>
      </c>
      <c r="X247" s="1216"/>
      <c r="Z247" s="1311">
        <f t="shared" si="43"/>
        <v>0</v>
      </c>
      <c r="AA247" s="1374">
        <f t="shared" si="42"/>
        <v>0</v>
      </c>
    </row>
    <row r="248" spans="1:28" s="736" customFormat="1" ht="29.25" customHeight="1">
      <c r="A248" s="895"/>
      <c r="B248" s="1238" t="s">
        <v>263</v>
      </c>
      <c r="C248" s="871">
        <f t="shared" si="50"/>
        <v>99500</v>
      </c>
      <c r="D248" s="887">
        <v>0</v>
      </c>
      <c r="E248" s="887">
        <v>99500</v>
      </c>
      <c r="F248" s="871">
        <f t="shared" si="52"/>
        <v>99500</v>
      </c>
      <c r="G248" s="887">
        <f t="shared" si="54"/>
        <v>0</v>
      </c>
      <c r="H248" s="887">
        <f t="shared" si="54"/>
        <v>99500</v>
      </c>
      <c r="I248" s="871">
        <f t="shared" si="49"/>
        <v>22845.7</v>
      </c>
      <c r="J248" s="887">
        <v>0</v>
      </c>
      <c r="K248" s="887">
        <v>22845.7</v>
      </c>
      <c r="L248" s="872">
        <f t="shared" si="51"/>
        <v>23</v>
      </c>
      <c r="M248" s="873">
        <f t="shared" si="51"/>
        <v>0</v>
      </c>
      <c r="N248" s="873">
        <f t="shared" si="51"/>
        <v>23</v>
      </c>
      <c r="O248" s="1282"/>
      <c r="P248" s="1208"/>
      <c r="Q248" s="1065">
        <f t="shared" si="46"/>
        <v>0</v>
      </c>
      <c r="R248" s="1065">
        <f t="shared" si="46"/>
        <v>0</v>
      </c>
      <c r="S248" s="1065">
        <f t="shared" si="46"/>
        <v>0</v>
      </c>
      <c r="T248" s="1099" t="s">
        <v>999</v>
      </c>
      <c r="U248" s="1100">
        <v>1110290400</v>
      </c>
      <c r="V248" s="1099">
        <v>414</v>
      </c>
      <c r="W248" s="1099">
        <v>10001</v>
      </c>
      <c r="X248" s="1216"/>
      <c r="Z248" s="1311">
        <f t="shared" si="43"/>
        <v>0</v>
      </c>
      <c r="AA248" s="1374">
        <f t="shared" si="42"/>
        <v>0</v>
      </c>
    </row>
    <row r="249" spans="1:28" ht="35.25" customHeight="1">
      <c r="A249" s="1102"/>
      <c r="B249" s="1079" t="s">
        <v>432</v>
      </c>
      <c r="C249" s="1080"/>
      <c r="D249" s="1079"/>
      <c r="E249" s="1079"/>
      <c r="F249" s="1080"/>
      <c r="G249" s="1079"/>
      <c r="H249" s="1079"/>
      <c r="I249" s="1203"/>
      <c r="J249" s="1210"/>
      <c r="K249" s="1210"/>
      <c r="L249" s="1081"/>
      <c r="M249" s="1082"/>
      <c r="N249" s="1082"/>
      <c r="O249" s="1282"/>
      <c r="Q249" s="1065">
        <f t="shared" si="46"/>
        <v>0</v>
      </c>
      <c r="R249" s="1065">
        <f t="shared" si="46"/>
        <v>0</v>
      </c>
      <c r="S249" s="1065">
        <f t="shared" si="46"/>
        <v>0</v>
      </c>
      <c r="Z249" s="1311">
        <f t="shared" si="43"/>
        <v>0</v>
      </c>
      <c r="AA249" s="1374">
        <f t="shared" si="42"/>
        <v>0</v>
      </c>
    </row>
    <row r="250" spans="1:28" ht="198" customHeight="1">
      <c r="A250" s="2402" t="s">
        <v>836</v>
      </c>
      <c r="B250" s="2406"/>
      <c r="C250" s="893">
        <f t="shared" ref="C250:C255" si="55">SUM(D250:E250)</f>
        <v>865629.1</v>
      </c>
      <c r="D250" s="894">
        <f>SUM(D89,D19:D20)</f>
        <v>853456.8</v>
      </c>
      <c r="E250" s="894">
        <f>SUM(E89,E19:E20)</f>
        <v>12172.3</v>
      </c>
      <c r="F250" s="893">
        <f t="shared" ref="F250:F255" si="56">SUM(G250:H250)</f>
        <v>865629.1</v>
      </c>
      <c r="G250" s="894">
        <f>SUM(G89,G19:G20)</f>
        <v>853456.8</v>
      </c>
      <c r="H250" s="894">
        <f>SUM(H89,H19:H20)</f>
        <v>12172.3</v>
      </c>
      <c r="I250" s="893">
        <f t="shared" ref="I250:I255" si="57">SUM(J250:K250)</f>
        <v>78009.5</v>
      </c>
      <c r="J250" s="894">
        <f>SUM(J89,J19:J20)</f>
        <v>72639.199999999997</v>
      </c>
      <c r="K250" s="894">
        <f>SUM(K89,K19:K20)</f>
        <v>5370.3</v>
      </c>
      <c r="L250" s="893">
        <f t="shared" ref="L250:L256" si="58">SUM(M250:N250)</f>
        <v>79.900000000000006</v>
      </c>
      <c r="M250" s="894">
        <f>SUM(M225,M122,M68)</f>
        <v>30</v>
      </c>
      <c r="N250" s="894">
        <f>SUM(N225,N122,N68)</f>
        <v>49.9</v>
      </c>
      <c r="O250" s="1282"/>
      <c r="Q250" s="1065">
        <f t="shared" si="46"/>
        <v>0</v>
      </c>
      <c r="R250" s="1065">
        <f t="shared" si="46"/>
        <v>0</v>
      </c>
      <c r="S250" s="1065">
        <f t="shared" si="46"/>
        <v>0</v>
      </c>
      <c r="Z250" s="1311">
        <f t="shared" si="43"/>
        <v>0</v>
      </c>
      <c r="AA250" s="1374">
        <f t="shared" si="42"/>
        <v>0</v>
      </c>
    </row>
    <row r="251" spans="1:28" ht="63.75" customHeight="1">
      <c r="A251" s="2402" t="s">
        <v>1098</v>
      </c>
      <c r="B251" s="2406"/>
      <c r="C251" s="893">
        <f t="shared" si="55"/>
        <v>810630.4</v>
      </c>
      <c r="D251" s="894">
        <f>SUM(D18,D101,D99,D100,D124)</f>
        <v>708797.4</v>
      </c>
      <c r="E251" s="894">
        <f>SUM(E18,E101,E99,E100,E124)</f>
        <v>101833</v>
      </c>
      <c r="F251" s="893">
        <f>SUM(G251:H251)</f>
        <v>754861.7</v>
      </c>
      <c r="G251" s="894">
        <f>SUM(G18,G101,G99,G100,G124)</f>
        <v>653463.4</v>
      </c>
      <c r="H251" s="894">
        <f>SUM(H18,H101,H99,H100,H124)</f>
        <v>101398.3</v>
      </c>
      <c r="I251" s="893">
        <f>SUM(J251:K251)</f>
        <v>35256.800000000003</v>
      </c>
      <c r="J251" s="894">
        <f>SUM(J18,J101,J99,J100,J124)</f>
        <v>24321.5</v>
      </c>
      <c r="K251" s="894">
        <f>SUM(K18,K101,K99,K100,K124)</f>
        <v>10935.3</v>
      </c>
      <c r="L251" s="893">
        <f t="shared" si="58"/>
        <v>125.9</v>
      </c>
      <c r="M251" s="894">
        <f>SUM(M229,M123,M69)</f>
        <v>63</v>
      </c>
      <c r="N251" s="894">
        <f>SUM(N229,N123,N69)</f>
        <v>62.9</v>
      </c>
      <c r="O251" s="1282"/>
      <c r="Q251" s="1065"/>
      <c r="R251" s="1065"/>
      <c r="S251" s="1065"/>
      <c r="Z251" s="1311">
        <f t="shared" si="43"/>
        <v>55768.7</v>
      </c>
      <c r="AA251" s="1374">
        <f t="shared" si="42"/>
        <v>55768.7</v>
      </c>
    </row>
    <row r="252" spans="1:28" ht="65.25" customHeight="1">
      <c r="A252" s="2402" t="s">
        <v>780</v>
      </c>
      <c r="B252" s="2406"/>
      <c r="C252" s="1377">
        <f t="shared" si="55"/>
        <v>3487177.1</v>
      </c>
      <c r="D252" s="1376">
        <f>D144+D69+D229-D254</f>
        <v>3276914.9</v>
      </c>
      <c r="E252" s="1376">
        <f>E144+E69+E229-E254</f>
        <v>210262.2</v>
      </c>
      <c r="F252" s="1377">
        <f>SUM(G252:H252)</f>
        <v>3485284.8</v>
      </c>
      <c r="G252" s="1376">
        <f>G144+G69+G229-G254</f>
        <v>3275216.1</v>
      </c>
      <c r="H252" s="1376">
        <f>H144+H69+H229-H254</f>
        <v>210068.7</v>
      </c>
      <c r="I252" s="1377">
        <f t="shared" si="57"/>
        <v>838298.3</v>
      </c>
      <c r="J252" s="1376">
        <f>J144+J69+J229-J254</f>
        <v>787840.7</v>
      </c>
      <c r="K252" s="1376">
        <f>K144+K69+K229-K254</f>
        <v>50457.599999999999</v>
      </c>
      <c r="L252" s="1377">
        <f t="shared" si="58"/>
        <v>165.4</v>
      </c>
      <c r="M252" s="1376">
        <f>SUM(M229,M144,M69)</f>
        <v>78.8</v>
      </c>
      <c r="N252" s="1376">
        <f>SUM(N229,N144,N69)</f>
        <v>86.6</v>
      </c>
      <c r="O252" s="1282"/>
      <c r="Q252" s="1065">
        <f t="shared" si="46"/>
        <v>1892.3</v>
      </c>
      <c r="R252" s="1065">
        <f t="shared" si="46"/>
        <v>1698.8</v>
      </c>
      <c r="S252" s="1065">
        <f t="shared" si="46"/>
        <v>193.5</v>
      </c>
      <c r="Z252" s="1311">
        <f t="shared" si="43"/>
        <v>1892.3</v>
      </c>
      <c r="AA252" s="1374">
        <f t="shared" si="42"/>
        <v>1892.3</v>
      </c>
    </row>
    <row r="253" spans="1:28" ht="62.25" customHeight="1">
      <c r="A253" s="2402" t="s">
        <v>1031</v>
      </c>
      <c r="B253" s="2406"/>
      <c r="C253" s="1377">
        <f t="shared" si="55"/>
        <v>291224.90000000002</v>
      </c>
      <c r="D253" s="1376">
        <f>SUM(D254:D255)</f>
        <v>0</v>
      </c>
      <c r="E253" s="1376">
        <f>SUM(E254:E255)</f>
        <v>291224.90000000002</v>
      </c>
      <c r="F253" s="1377">
        <f t="shared" si="56"/>
        <v>291224.90000000002</v>
      </c>
      <c r="G253" s="1376">
        <f>SUM(G254:G255)</f>
        <v>0</v>
      </c>
      <c r="H253" s="1376">
        <f>SUM(H254:H255)</f>
        <v>291224.90000000002</v>
      </c>
      <c r="I253" s="1377">
        <f t="shared" si="57"/>
        <v>62644</v>
      </c>
      <c r="J253" s="1376">
        <f>SUM(J254:J255)</f>
        <v>0</v>
      </c>
      <c r="K253" s="1376">
        <f>SUM(K254:K255)</f>
        <v>62644</v>
      </c>
      <c r="L253" s="1377">
        <f t="shared" si="58"/>
        <v>207</v>
      </c>
      <c r="M253" s="1376">
        <f t="shared" ref="M253:N256" si="59">SUM(M231,M152,M70)</f>
        <v>103.5</v>
      </c>
      <c r="N253" s="1376">
        <f t="shared" si="59"/>
        <v>103.5</v>
      </c>
      <c r="O253" s="1282"/>
      <c r="Q253" s="1065">
        <f t="shared" si="46"/>
        <v>0</v>
      </c>
      <c r="R253" s="1065">
        <f t="shared" si="46"/>
        <v>0</v>
      </c>
      <c r="S253" s="1065">
        <f t="shared" si="46"/>
        <v>0</v>
      </c>
      <c r="Z253" s="1311">
        <f t="shared" si="43"/>
        <v>0</v>
      </c>
      <c r="AA253" s="1374">
        <f t="shared" si="42"/>
        <v>0</v>
      </c>
    </row>
    <row r="254" spans="1:28" ht="36" customHeight="1">
      <c r="A254" s="895"/>
      <c r="B254" s="1334" t="s">
        <v>778</v>
      </c>
      <c r="C254" s="876">
        <f t="shared" ref="C254:J254" si="60">SUM(C145,C146,C147,C148,C149,C151,C150,C176,C180,C183,C191,C193,C201,C179,C159:C161,C196)</f>
        <v>111250.5</v>
      </c>
      <c r="D254" s="877">
        <f t="shared" si="60"/>
        <v>0</v>
      </c>
      <c r="E254" s="877">
        <f>SUM(E145,E146,E147,E148,E149,E151,E150,E176,E180,E183,E191,E193,E201,E179,E159:E161,E196)</f>
        <v>111250.5</v>
      </c>
      <c r="F254" s="876">
        <f t="shared" si="60"/>
        <v>111250.5</v>
      </c>
      <c r="G254" s="877">
        <f t="shared" si="60"/>
        <v>0</v>
      </c>
      <c r="H254" s="877">
        <f>SUM(H145,H146,H147,H148,H149,H151,H150,H176,H180,H183,H191,H193,H201,H179,H159:H161,H196)</f>
        <v>111250.5</v>
      </c>
      <c r="I254" s="876">
        <f t="shared" si="60"/>
        <v>37150.400000000001</v>
      </c>
      <c r="J254" s="877">
        <f t="shared" si="60"/>
        <v>0</v>
      </c>
      <c r="K254" s="877">
        <f>SUM(K145,K146,K147,K148,K149,K151,K150,K176,K180,K183,K191,K193,K201,K179,K159:K161,K196)</f>
        <v>37150.400000000001</v>
      </c>
      <c r="L254" s="1377">
        <f t="shared" si="58"/>
        <v>271.60000000000002</v>
      </c>
      <c r="M254" s="1376">
        <f t="shared" si="59"/>
        <v>135.80000000000001</v>
      </c>
      <c r="N254" s="1376">
        <f t="shared" si="59"/>
        <v>135.80000000000001</v>
      </c>
      <c r="O254" s="1282"/>
      <c r="Q254" s="1065">
        <f t="shared" si="46"/>
        <v>0</v>
      </c>
      <c r="R254" s="1065">
        <f t="shared" si="46"/>
        <v>0</v>
      </c>
      <c r="S254" s="1065">
        <f t="shared" si="46"/>
        <v>0</v>
      </c>
      <c r="T254" s="1114"/>
      <c r="Z254" s="1311">
        <f t="shared" si="43"/>
        <v>0</v>
      </c>
      <c r="AA254" s="1374">
        <f t="shared" si="42"/>
        <v>0</v>
      </c>
    </row>
    <row r="255" spans="1:28" ht="36" customHeight="1">
      <c r="A255" s="895"/>
      <c r="B255" s="1334" t="s">
        <v>779</v>
      </c>
      <c r="C255" s="1377">
        <f t="shared" si="55"/>
        <v>179974.39999999999</v>
      </c>
      <c r="D255" s="877">
        <f>SUM(D104:D114,D91:D98,D115:D119,D120:D123,D102,D125:D137)</f>
        <v>0</v>
      </c>
      <c r="E255" s="877">
        <f>SUM(E104:E114,E91:E98,E115:E119,E120:E123,E102,E125:E137,E139,E142)</f>
        <v>179974.39999999999</v>
      </c>
      <c r="F255" s="1377">
        <f t="shared" si="56"/>
        <v>179974.39999999999</v>
      </c>
      <c r="G255" s="877">
        <f>SUM(G104:G114,G91:G98,G115:G119,G120:G123,G102,G125:G137)</f>
        <v>0</v>
      </c>
      <c r="H255" s="877">
        <f>SUM(H104:H114,H91:H98,H115:H119,H120:H123,H102,H125:H137,H139,H142)</f>
        <v>179974.39999999999</v>
      </c>
      <c r="I255" s="1377">
        <f t="shared" si="57"/>
        <v>25493.599999999999</v>
      </c>
      <c r="J255" s="877">
        <f>SUM(J104:J114,J91:J98,J115:J119,J120:J123,J102,J125:J137)</f>
        <v>0</v>
      </c>
      <c r="K255" s="877">
        <f>SUM(K104:K114,K91:K98,K115:K119,K120:K123,K102,K125:K137,K139,K142)</f>
        <v>25493.599999999999</v>
      </c>
      <c r="L255" s="1377">
        <f t="shared" si="58"/>
        <v>109</v>
      </c>
      <c r="M255" s="1376">
        <f t="shared" si="59"/>
        <v>54.5</v>
      </c>
      <c r="N255" s="1376">
        <f t="shared" si="59"/>
        <v>54.5</v>
      </c>
      <c r="O255" s="1282"/>
      <c r="Q255" s="1065">
        <f t="shared" si="46"/>
        <v>0</v>
      </c>
      <c r="R255" s="1065">
        <f t="shared" si="46"/>
        <v>0</v>
      </c>
      <c r="S255" s="1065">
        <f t="shared" si="46"/>
        <v>0</v>
      </c>
      <c r="Z255" s="1311">
        <f t="shared" si="43"/>
        <v>0</v>
      </c>
      <c r="AA255" s="1374">
        <f t="shared" si="42"/>
        <v>0</v>
      </c>
    </row>
    <row r="256" spans="1:28" ht="70.5" customHeight="1">
      <c r="A256" s="2397" t="s">
        <v>1316</v>
      </c>
      <c r="B256" s="2398"/>
      <c r="C256" s="876">
        <f>D256+E256</f>
        <v>1287150.1000000001</v>
      </c>
      <c r="D256" s="879">
        <f>D12-D250-D251-D252-D253</f>
        <v>656500</v>
      </c>
      <c r="E256" s="879">
        <f>E12-E250-E251-E252-E253</f>
        <v>630650.1</v>
      </c>
      <c r="F256" s="876">
        <f>G256+H256</f>
        <v>1282943.1000000001</v>
      </c>
      <c r="G256" s="879">
        <f>G12-G250-G251-G252-G253</f>
        <v>656500</v>
      </c>
      <c r="H256" s="879">
        <f>H12-H250-H251-H252-H253</f>
        <v>626443.1</v>
      </c>
      <c r="I256" s="876">
        <f>J256+K256</f>
        <v>93277.4</v>
      </c>
      <c r="J256" s="879">
        <f>J12-J250-J251-J252-J253</f>
        <v>46212.3</v>
      </c>
      <c r="K256" s="879">
        <f>K12-K250-K251-K252-K253</f>
        <v>47065.1</v>
      </c>
      <c r="L256" s="893">
        <f t="shared" si="58"/>
        <v>110.2</v>
      </c>
      <c r="M256" s="894">
        <f t="shared" si="59"/>
        <v>55.1</v>
      </c>
      <c r="N256" s="894">
        <f t="shared" si="59"/>
        <v>55.1</v>
      </c>
      <c r="O256" s="1282"/>
      <c r="Q256" s="1065">
        <f t="shared" si="46"/>
        <v>4207</v>
      </c>
      <c r="R256" s="1065">
        <f t="shared" si="46"/>
        <v>0</v>
      </c>
      <c r="S256" s="1065">
        <f t="shared" si="46"/>
        <v>4207</v>
      </c>
      <c r="Z256" s="1311">
        <f>C256-F256</f>
        <v>4207</v>
      </c>
      <c r="AA256" s="1374">
        <f t="shared" si="42"/>
        <v>4207</v>
      </c>
    </row>
    <row r="257" spans="1:26" ht="51.75" customHeight="1">
      <c r="A257" s="1103"/>
      <c r="B257" s="797"/>
      <c r="C257" s="799"/>
      <c r="D257" s="799"/>
      <c r="E257" s="799"/>
      <c r="F257" s="799"/>
      <c r="G257" s="799"/>
      <c r="H257" s="799"/>
      <c r="I257" s="1204"/>
      <c r="J257" s="799"/>
      <c r="K257" s="799"/>
      <c r="L257" s="799"/>
      <c r="M257" s="799"/>
      <c r="N257" s="799"/>
      <c r="Q257" s="807" t="s">
        <v>813</v>
      </c>
      <c r="R257" s="1070" t="s">
        <v>814</v>
      </c>
      <c r="S257" s="1070" t="s">
        <v>815</v>
      </c>
    </row>
    <row r="258" spans="1:26" s="939" customFormat="1" ht="35.25" customHeight="1">
      <c r="A258" s="1104"/>
      <c r="B258" s="939" t="s">
        <v>310</v>
      </c>
      <c r="C258" s="940"/>
      <c r="D258" s="941"/>
      <c r="E258" s="1288"/>
      <c r="F258" s="941"/>
      <c r="G258" s="942"/>
      <c r="H258" s="942"/>
      <c r="I258" s="1205"/>
      <c r="J258" s="942"/>
      <c r="K258" s="2399" t="s">
        <v>613</v>
      </c>
      <c r="L258" s="2399"/>
      <c r="M258" s="943"/>
      <c r="N258" s="943"/>
      <c r="O258" s="1208"/>
      <c r="P258" s="1208"/>
      <c r="Q258" s="807"/>
      <c r="R258" s="778"/>
      <c r="S258" s="778">
        <f>S139+S140</f>
        <v>0</v>
      </c>
      <c r="T258" s="1138" t="s">
        <v>1034</v>
      </c>
      <c r="U258" s="1100"/>
      <c r="V258" s="1099"/>
      <c r="W258" s="1099"/>
      <c r="X258" s="1216"/>
      <c r="Z258" s="1312"/>
    </row>
    <row r="259" spans="1:26" s="939" customFormat="1" ht="39.75" customHeight="1">
      <c r="A259" s="1104"/>
      <c r="B259" s="712" t="s">
        <v>1342</v>
      </c>
      <c r="C259" s="1366"/>
      <c r="D259" s="1367"/>
      <c r="E259" s="943"/>
      <c r="F259" s="1367"/>
      <c r="G259" s="1368"/>
      <c r="H259" s="1368"/>
      <c r="I259" s="1369"/>
      <c r="J259" s="1368"/>
      <c r="K259" s="2399"/>
      <c r="L259" s="2399"/>
      <c r="M259" s="943"/>
      <c r="N259" s="943"/>
      <c r="O259" s="1208"/>
      <c r="P259" s="1208"/>
      <c r="Q259" s="807"/>
      <c r="R259" s="778"/>
      <c r="S259" s="778">
        <f>S140+S141</f>
        <v>0</v>
      </c>
      <c r="T259" s="1138" t="s">
        <v>1034</v>
      </c>
      <c r="U259" s="1100"/>
      <c r="V259" s="1099"/>
      <c r="W259" s="1099"/>
      <c r="X259" s="1216"/>
      <c r="Z259" s="1312"/>
    </row>
    <row r="260" spans="1:26" s="939" customFormat="1" ht="78.75" customHeight="1">
      <c r="A260" s="1104"/>
      <c r="C260" s="1366"/>
      <c r="D260" s="1367"/>
      <c r="E260" s="943"/>
      <c r="F260" s="1367"/>
      <c r="G260" s="1368"/>
      <c r="H260" s="1368"/>
      <c r="I260" s="1369"/>
      <c r="J260" s="1368"/>
      <c r="K260" s="1365"/>
      <c r="L260" s="1365"/>
      <c r="M260" s="943"/>
      <c r="N260" s="943"/>
      <c r="O260" s="1208"/>
      <c r="P260" s="1208"/>
      <c r="Q260" s="807"/>
      <c r="R260" s="778"/>
      <c r="S260" s="778"/>
      <c r="T260" s="1138"/>
      <c r="U260" s="1100"/>
      <c r="V260" s="1099"/>
      <c r="W260" s="1099"/>
      <c r="X260" s="1216"/>
      <c r="Z260" s="1312"/>
    </row>
    <row r="261" spans="1:26" ht="88.5" customHeight="1">
      <c r="A261" s="1105"/>
      <c r="B261" s="791"/>
      <c r="C261" s="1370"/>
      <c r="D261" s="1371"/>
      <c r="E261" s="2372"/>
      <c r="F261" s="2372"/>
      <c r="G261" s="1372"/>
      <c r="H261" s="1371"/>
      <c r="I261" s="1373"/>
      <c r="J261" s="1371"/>
      <c r="K261" s="1371"/>
      <c r="Q261" s="807"/>
      <c r="R261" s="778">
        <f>R224</f>
        <v>1698.8</v>
      </c>
      <c r="S261" s="778">
        <f>S224</f>
        <v>193.5</v>
      </c>
      <c r="T261" s="1138" t="s">
        <v>1033</v>
      </c>
    </row>
    <row r="262" spans="1:26" ht="45" customHeight="1">
      <c r="A262" s="1105"/>
      <c r="B262" s="791"/>
      <c r="C262" s="793"/>
      <c r="E262" s="1343"/>
      <c r="F262" s="1014"/>
      <c r="G262" s="756"/>
      <c r="Q262" s="807"/>
      <c r="R262" s="1071"/>
      <c r="S262" s="1071"/>
      <c r="T262" s="1138"/>
    </row>
    <row r="263" spans="1:26" ht="58.5" customHeight="1">
      <c r="E263" s="742"/>
      <c r="Q263" s="1071"/>
      <c r="R263" s="778">
        <f>R18</f>
        <v>43033.7</v>
      </c>
      <c r="S263" s="778">
        <f>S18</f>
        <v>434.7</v>
      </c>
      <c r="T263" s="1138" t="s">
        <v>816</v>
      </c>
    </row>
    <row r="264" spans="1:26" s="1100" customFormat="1" ht="46.5" customHeight="1">
      <c r="A264" s="1101"/>
      <c r="B264" s="497"/>
      <c r="C264" s="700"/>
      <c r="D264" s="497"/>
      <c r="E264" s="742"/>
      <c r="F264" s="700"/>
      <c r="G264" s="497"/>
      <c r="H264" s="497"/>
      <c r="I264" s="714"/>
      <c r="J264" s="497"/>
      <c r="K264" s="497"/>
      <c r="L264" s="700"/>
      <c r="M264" s="497"/>
      <c r="N264" s="497"/>
      <c r="O264" s="1208"/>
      <c r="P264" s="1208"/>
      <c r="Q264" s="778"/>
      <c r="R264" s="778"/>
      <c r="S264" s="778"/>
      <c r="T264" s="1138"/>
      <c r="V264" s="1099"/>
      <c r="W264" s="1099"/>
      <c r="X264" s="1216"/>
      <c r="Y264" s="497"/>
      <c r="Z264" s="1035"/>
    </row>
    <row r="265" spans="1:26" s="1100" customFormat="1" ht="47.25" customHeight="1">
      <c r="A265" s="1101"/>
      <c r="B265" s="497"/>
      <c r="C265" s="700"/>
      <c r="D265" s="497"/>
      <c r="E265" s="497"/>
      <c r="F265" s="700"/>
      <c r="G265" s="497"/>
      <c r="H265" s="497"/>
      <c r="I265" s="714"/>
      <c r="J265" s="497"/>
      <c r="K265" s="497"/>
      <c r="L265" s="700"/>
      <c r="M265" s="497"/>
      <c r="N265" s="497"/>
      <c r="O265" s="1208"/>
      <c r="P265" s="1208"/>
      <c r="Q265" s="1071"/>
      <c r="R265" s="1071"/>
      <c r="S265" s="778"/>
      <c r="T265" s="1138"/>
      <c r="V265" s="1099"/>
      <c r="W265" s="1099"/>
      <c r="X265" s="1216"/>
      <c r="Y265" s="497"/>
      <c r="Z265" s="1035"/>
    </row>
    <row r="266" spans="1:26" s="1100" customFormat="1" ht="45" customHeight="1">
      <c r="A266" s="1101"/>
      <c r="B266" s="497"/>
      <c r="C266" s="700"/>
      <c r="D266" s="497"/>
      <c r="E266" s="497"/>
      <c r="F266" s="700"/>
      <c r="G266" s="497"/>
      <c r="H266" s="497"/>
      <c r="I266" s="714"/>
      <c r="J266" s="497"/>
      <c r="K266" s="497"/>
      <c r="L266" s="700"/>
      <c r="M266" s="497"/>
      <c r="N266" s="497"/>
      <c r="O266" s="1208"/>
      <c r="P266" s="1208"/>
      <c r="Q266" s="497"/>
      <c r="R266" s="756">
        <f>R12-R259-R261-R262-R263-R264-R265</f>
        <v>12300.3</v>
      </c>
      <c r="S266" s="756">
        <f>S12-S259-S261-S262-S263-S264-S265</f>
        <v>4207</v>
      </c>
      <c r="T266" s="1099"/>
      <c r="V266" s="1099"/>
      <c r="W266" s="1099"/>
      <c r="X266" s="1216"/>
      <c r="Y266" s="497"/>
      <c r="Z266" s="1035"/>
    </row>
    <row r="267" spans="1:26" s="1100" customFormat="1" ht="56.25" customHeight="1">
      <c r="A267" s="1101"/>
      <c r="B267" s="497"/>
      <c r="C267" s="700"/>
      <c r="D267" s="497"/>
      <c r="E267" s="497"/>
      <c r="F267" s="700"/>
      <c r="G267" s="497"/>
      <c r="H267" s="497"/>
      <c r="I267" s="714"/>
      <c r="J267" s="497"/>
      <c r="K267" s="497"/>
      <c r="L267" s="700"/>
      <c r="M267" s="497"/>
      <c r="N267" s="497"/>
      <c r="O267" s="1208"/>
      <c r="P267" s="1208"/>
      <c r="Q267" s="497"/>
      <c r="R267" s="1067"/>
      <c r="S267" s="1067"/>
      <c r="T267" s="1099"/>
      <c r="V267" s="1099"/>
      <c r="W267" s="1099"/>
      <c r="X267" s="1216"/>
      <c r="Y267" s="497"/>
      <c r="Z267" s="1035"/>
    </row>
  </sheetData>
  <mergeCells count="105">
    <mergeCell ref="K258:L258"/>
    <mergeCell ref="A196:A197"/>
    <mergeCell ref="A256:B256"/>
    <mergeCell ref="K259:L259"/>
    <mergeCell ref="E261:F261"/>
    <mergeCell ref="A201:A202"/>
    <mergeCell ref="A204:B204"/>
    <mergeCell ref="A250:B250"/>
    <mergeCell ref="A251:B251"/>
    <mergeCell ref="A252:B252"/>
    <mergeCell ref="A253:B253"/>
    <mergeCell ref="V184:V186"/>
    <mergeCell ref="W184:W186"/>
    <mergeCell ref="X184:X186"/>
    <mergeCell ref="A191:A192"/>
    <mergeCell ref="A189:A190"/>
    <mergeCell ref="A193:A195"/>
    <mergeCell ref="W181:W182"/>
    <mergeCell ref="X181:X182"/>
    <mergeCell ref="I184:I186"/>
    <mergeCell ref="J184:J186"/>
    <mergeCell ref="K184:K186"/>
    <mergeCell ref="L184:L186"/>
    <mergeCell ref="M184:M186"/>
    <mergeCell ref="N184:N186"/>
    <mergeCell ref="T184:T186"/>
    <mergeCell ref="U184:U186"/>
    <mergeCell ref="N181:N182"/>
    <mergeCell ref="O181:O182"/>
    <mergeCell ref="P181:P182"/>
    <mergeCell ref="T181:T182"/>
    <mergeCell ref="U181:U182"/>
    <mergeCell ref="V181:V182"/>
    <mergeCell ref="U152:U158"/>
    <mergeCell ref="V152:V158"/>
    <mergeCell ref="W152:W158"/>
    <mergeCell ref="X152:X158"/>
    <mergeCell ref="A176:A177"/>
    <mergeCell ref="I181:I182"/>
    <mergeCell ref="J181:J182"/>
    <mergeCell ref="K181:K182"/>
    <mergeCell ref="L181:L182"/>
    <mergeCell ref="M181:M182"/>
    <mergeCell ref="J152:J158"/>
    <mergeCell ref="K152:K158"/>
    <mergeCell ref="L152:L158"/>
    <mergeCell ref="M152:M158"/>
    <mergeCell ref="N152:N158"/>
    <mergeCell ref="T152:T158"/>
    <mergeCell ref="W64:W68"/>
    <mergeCell ref="X64:X68"/>
    <mergeCell ref="P65:P66"/>
    <mergeCell ref="W99:W100"/>
    <mergeCell ref="X99:X100"/>
    <mergeCell ref="V64:V68"/>
    <mergeCell ref="X37:X38"/>
    <mergeCell ref="N37:N38"/>
    <mergeCell ref="N64:N68"/>
    <mergeCell ref="T64:T68"/>
    <mergeCell ref="U64:U68"/>
    <mergeCell ref="V37:V38"/>
    <mergeCell ref="W37:W38"/>
    <mergeCell ref="V99:V100"/>
    <mergeCell ref="A102:A103"/>
    <mergeCell ref="I99:I100"/>
    <mergeCell ref="J99:J100"/>
    <mergeCell ref="K99:K100"/>
    <mergeCell ref="L99:L100"/>
    <mergeCell ref="M37:M38"/>
    <mergeCell ref="N99:N100"/>
    <mergeCell ref="T37:T38"/>
    <mergeCell ref="U37:U38"/>
    <mergeCell ref="M99:M100"/>
    <mergeCell ref="T99:T100"/>
    <mergeCell ref="U99:U100"/>
    <mergeCell ref="I64:I68"/>
    <mergeCell ref="J64:J68"/>
    <mergeCell ref="K64:K68"/>
    <mergeCell ref="L64:L68"/>
    <mergeCell ref="M64:M68"/>
    <mergeCell ref="I37:I38"/>
    <mergeCell ref="J37:J38"/>
    <mergeCell ref="K37:K38"/>
    <mergeCell ref="L37:L38"/>
    <mergeCell ref="A13:B13"/>
    <mergeCell ref="J9:K9"/>
    <mergeCell ref="X18:X20"/>
    <mergeCell ref="P8:Q8"/>
    <mergeCell ref="A9:A10"/>
    <mergeCell ref="B9:B10"/>
    <mergeCell ref="C9:C10"/>
    <mergeCell ref="D9:E9"/>
    <mergeCell ref="F9:F10"/>
    <mergeCell ref="P9:P10"/>
    <mergeCell ref="I9:I10"/>
    <mergeCell ref="G9:H9"/>
    <mergeCell ref="A1:B1"/>
    <mergeCell ref="K1:N1"/>
    <mergeCell ref="I3:L3"/>
    <mergeCell ref="A5:W5"/>
    <mergeCell ref="A6:W6"/>
    <mergeCell ref="A7:W7"/>
    <mergeCell ref="L9:L10"/>
    <mergeCell ref="M9:N9"/>
    <mergeCell ref="O9:O10"/>
  </mergeCells>
  <pageMargins left="0.22" right="0.19685039370078741" top="0.23622047244094491" bottom="0.51181102362204722" header="0.15748031496062992" footer="0.47244094488188981"/>
  <pageSetup paperSize="9" scale="35" fitToHeight="15" orientation="landscape" r:id="rId1"/>
  <customProperties>
    <customPr name="krista_fm_consts" r:id="rId2"/>
  </customProperties>
</worksheet>
</file>

<file path=xl/worksheets/sheet25.xml><?xml version="1.0" encoding="utf-8"?>
<worksheet xmlns="http://schemas.openxmlformats.org/spreadsheetml/2006/main" xmlns:r="http://schemas.openxmlformats.org/officeDocument/2006/relationships">
  <sheetPr>
    <pageSetUpPr fitToPage="1"/>
  </sheetPr>
  <dimension ref="A1:AD268"/>
  <sheetViews>
    <sheetView topLeftCell="A6" zoomScale="60" zoomScaleNormal="60" zoomScaleSheetLayoutView="40" workbookViewId="0">
      <selection activeCell="J21" sqref="J21"/>
    </sheetView>
  </sheetViews>
  <sheetFormatPr defaultColWidth="9.140625" defaultRowHeight="30"/>
  <cols>
    <col min="1" max="1" width="14.14062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4.140625" style="714" customWidth="1"/>
    <col min="10" max="10" width="22.5703125" style="497" customWidth="1"/>
    <col min="11" max="11" width="22" style="497"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26" width="22" style="1035" hidden="1" customWidth="1"/>
    <col min="27" max="27" width="38.85546875" style="497" hidden="1" customWidth="1"/>
    <col min="28" max="28" width="37.7109375" style="497" customWidth="1"/>
    <col min="29" max="29" width="20.85546875" style="497" bestFit="1" customWidth="1"/>
    <col min="30" max="30" width="25.5703125" style="497" customWidth="1"/>
    <col min="31" max="16384" width="9.140625" style="497"/>
  </cols>
  <sheetData>
    <row r="1" spans="1:28">
      <c r="A1" s="2359"/>
      <c r="B1" s="2359"/>
      <c r="C1" s="817"/>
      <c r="D1" s="817"/>
      <c r="E1" s="817"/>
      <c r="F1" s="817"/>
      <c r="G1" s="817"/>
      <c r="H1" s="817"/>
      <c r="I1" s="817"/>
      <c r="K1" s="2384" t="s">
        <v>513</v>
      </c>
      <c r="L1" s="2384"/>
      <c r="M1" s="2384"/>
      <c r="N1" s="2384"/>
    </row>
    <row r="2" spans="1:28" hidden="1">
      <c r="B2" s="1381"/>
      <c r="C2" s="714"/>
      <c r="D2" s="1381"/>
      <c r="E2" s="1381"/>
      <c r="L2" s="714"/>
    </row>
    <row r="3" spans="1:28" s="467" customFormat="1" hidden="1">
      <c r="A3" s="860"/>
      <c r="B3" s="859"/>
      <c r="C3" s="715"/>
      <c r="D3" s="716"/>
      <c r="E3" s="716"/>
      <c r="F3" s="715"/>
      <c r="G3" s="716"/>
      <c r="H3" s="716"/>
      <c r="I3" s="2312"/>
      <c r="J3" s="2312"/>
      <c r="K3" s="2312"/>
      <c r="L3" s="2312"/>
      <c r="N3" s="717"/>
      <c r="O3" s="1221"/>
      <c r="P3" s="1221"/>
      <c r="T3" s="1107"/>
      <c r="U3" s="1108"/>
      <c r="V3" s="1107"/>
      <c r="W3" s="1107"/>
      <c r="X3" s="1217"/>
      <c r="Z3" s="1032"/>
    </row>
    <row r="4" spans="1:28"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c r="Z4" s="1032"/>
    </row>
    <row r="5" spans="1:28" s="467" customFormat="1" ht="28.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row>
    <row r="6" spans="1:28"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row>
    <row r="7" spans="1:28" s="467" customFormat="1" ht="38.25" customHeight="1">
      <c r="A7" s="2473" t="s">
        <v>1348</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row>
    <row r="8" spans="1:28" s="1063" customFormat="1" ht="25.5" customHeight="1">
      <c r="A8" s="1073"/>
      <c r="B8" s="1073"/>
      <c r="C8" s="1059"/>
      <c r="D8" s="1351"/>
      <c r="E8" s="1058"/>
      <c r="F8" s="1059"/>
      <c r="G8" s="1058"/>
      <c r="H8" s="1060"/>
      <c r="I8" s="1201"/>
      <c r="J8" s="1062"/>
      <c r="K8" s="1364"/>
      <c r="L8" s="1409"/>
      <c r="N8" s="1062"/>
      <c r="O8" s="1221"/>
      <c r="P8" s="2423"/>
      <c r="Q8" s="2423"/>
      <c r="T8" s="1107"/>
      <c r="U8" s="1108"/>
      <c r="V8" s="1107"/>
      <c r="W8" s="1107"/>
      <c r="X8" s="1212"/>
      <c r="Z8" s="1309"/>
    </row>
    <row r="9" spans="1:28" s="791" customFormat="1" ht="70.5" customHeight="1">
      <c r="A9" s="2394" t="s">
        <v>18</v>
      </c>
      <c r="B9" s="2395" t="s">
        <v>0</v>
      </c>
      <c r="C9" s="2396" t="s">
        <v>614</v>
      </c>
      <c r="D9" s="2424" t="s">
        <v>257</v>
      </c>
      <c r="E9" s="2424"/>
      <c r="F9" s="2396" t="s">
        <v>442</v>
      </c>
      <c r="G9" s="2424" t="s">
        <v>257</v>
      </c>
      <c r="H9" s="2424"/>
      <c r="I9" s="2407" t="s">
        <v>237</v>
      </c>
      <c r="J9" s="2424" t="s">
        <v>257</v>
      </c>
      <c r="K9" s="2424"/>
      <c r="L9" s="2396" t="s">
        <v>1313</v>
      </c>
      <c r="M9" s="2424" t="s">
        <v>448</v>
      </c>
      <c r="N9" s="2424"/>
      <c r="O9" s="2460" t="s">
        <v>1110</v>
      </c>
      <c r="P9" s="2460" t="s">
        <v>1106</v>
      </c>
      <c r="T9" s="1099"/>
      <c r="U9" s="1100"/>
      <c r="V9" s="1099"/>
      <c r="W9" s="1099"/>
      <c r="X9" s="1216"/>
      <c r="Z9" s="1310"/>
    </row>
    <row r="10" spans="1:28" s="791" customFormat="1" ht="150" customHeight="1">
      <c r="A10" s="2394"/>
      <c r="B10" s="2395"/>
      <c r="C10" s="2396"/>
      <c r="D10" s="905" t="s">
        <v>1074</v>
      </c>
      <c r="E10" s="905" t="s">
        <v>258</v>
      </c>
      <c r="F10" s="2396"/>
      <c r="G10" s="905" t="s">
        <v>1074</v>
      </c>
      <c r="H10" s="905" t="s">
        <v>258</v>
      </c>
      <c r="I10" s="2408"/>
      <c r="J10" s="905" t="s">
        <v>1074</v>
      </c>
      <c r="K10" s="905" t="s">
        <v>258</v>
      </c>
      <c r="L10" s="2396"/>
      <c r="M10" s="905" t="s">
        <v>1074</v>
      </c>
      <c r="N10" s="905" t="s">
        <v>258</v>
      </c>
      <c r="O10" s="2461"/>
      <c r="P10" s="2461"/>
      <c r="T10" s="1099"/>
      <c r="U10" s="1100"/>
      <c r="V10" s="1099"/>
      <c r="W10" s="1099"/>
      <c r="X10" s="1216"/>
      <c r="Z10" s="1310"/>
    </row>
    <row r="11" spans="1:28" ht="26.25">
      <c r="A11" s="263">
        <v>1</v>
      </c>
      <c r="B11" s="263">
        <v>2</v>
      </c>
      <c r="C11" s="1401">
        <v>3</v>
      </c>
      <c r="D11" s="263">
        <v>4</v>
      </c>
      <c r="E11" s="263">
        <v>5</v>
      </c>
      <c r="F11" s="1404">
        <v>7</v>
      </c>
      <c r="G11" s="721">
        <v>8</v>
      </c>
      <c r="H11" s="721">
        <v>9</v>
      </c>
      <c r="I11" s="1404">
        <v>6</v>
      </c>
      <c r="J11" s="721">
        <v>7</v>
      </c>
      <c r="K11" s="721">
        <v>8</v>
      </c>
      <c r="L11" s="1404">
        <v>9</v>
      </c>
      <c r="M11" s="721">
        <v>10</v>
      </c>
      <c r="N11" s="721">
        <v>11</v>
      </c>
      <c r="O11" s="30">
        <v>10</v>
      </c>
      <c r="P11" s="30">
        <v>11</v>
      </c>
      <c r="Q11" s="497" t="s">
        <v>791</v>
      </c>
      <c r="T11" s="1206"/>
      <c r="U11" s="1207"/>
      <c r="V11" s="1206"/>
      <c r="W11" s="1206"/>
    </row>
    <row r="12" spans="1:28" s="914" customFormat="1" ht="43.5" customHeight="1">
      <c r="A12" s="1313"/>
      <c r="B12" s="916" t="s">
        <v>10</v>
      </c>
      <c r="C12" s="917">
        <f>SUM(D12:E12)</f>
        <v>6741811.7000000002</v>
      </c>
      <c r="D12" s="917">
        <f>SUM(D13,D204)</f>
        <v>5495668.9000000004</v>
      </c>
      <c r="E12" s="917">
        <f>SUM(E13,E204)</f>
        <v>1246142.8</v>
      </c>
      <c r="F12" s="917">
        <f>SUM(G12:H12)</f>
        <v>6679943.5999999996</v>
      </c>
      <c r="G12" s="917">
        <f>SUM(G13,G204)</f>
        <v>5438636.0999999996</v>
      </c>
      <c r="H12" s="917">
        <f>SUM(H13,H204)</f>
        <v>1241307.5</v>
      </c>
      <c r="I12" s="917">
        <f>SUM(J12:K12)</f>
        <v>1138557.3999999999</v>
      </c>
      <c r="J12" s="917">
        <f>SUM(J13,J204)</f>
        <v>947371.7</v>
      </c>
      <c r="K12" s="917">
        <f>SUM(K13,K204)</f>
        <v>191185.7</v>
      </c>
      <c r="L12" s="918">
        <f t="shared" ref="L12:N13" si="0">IF(I12=0,0,I12/F12*100)</f>
        <v>17</v>
      </c>
      <c r="M12" s="918">
        <f t="shared" si="0"/>
        <v>17.399999999999999</v>
      </c>
      <c r="N12" s="918">
        <f t="shared" si="0"/>
        <v>15.4</v>
      </c>
      <c r="O12" s="1232" t="s">
        <v>353</v>
      </c>
      <c r="P12" s="1232"/>
      <c r="Q12" s="1229">
        <f t="shared" ref="Q12:S77" si="1">C12-F12</f>
        <v>61868.1</v>
      </c>
      <c r="R12" s="1229">
        <f t="shared" si="1"/>
        <v>57032.800000000003</v>
      </c>
      <c r="S12" s="1229">
        <f t="shared" si="1"/>
        <v>4835.3</v>
      </c>
      <c r="T12" s="1230"/>
      <c r="U12" s="1231"/>
      <c r="V12" s="1230"/>
      <c r="W12" s="1230"/>
      <c r="X12" s="1216"/>
      <c r="Z12" s="1311">
        <f t="shared" ref="Z12:Z75" si="2">C12-F12</f>
        <v>61868.1</v>
      </c>
      <c r="AA12" s="1374">
        <f>C12-F12</f>
        <v>61868.1</v>
      </c>
      <c r="AB12" s="1374">
        <f t="shared" ref="AB12:AB75" si="3">E12-H12</f>
        <v>4835.3</v>
      </c>
    </row>
    <row r="13" spans="1:28" s="914" customFormat="1" ht="71.25" customHeight="1">
      <c r="A13" s="2401" t="s">
        <v>453</v>
      </c>
      <c r="B13" s="2401"/>
      <c r="C13" s="917">
        <f>D13+E13</f>
        <v>4943395.3</v>
      </c>
      <c r="D13" s="917">
        <f>SUM(D15,D87)</f>
        <v>3986168.9</v>
      </c>
      <c r="E13" s="917">
        <f>SUM(E15,E87)</f>
        <v>957226.4</v>
      </c>
      <c r="F13" s="917">
        <f>G13+H13</f>
        <v>4883419.5</v>
      </c>
      <c r="G13" s="917">
        <f>SUM(G15,G87)</f>
        <v>3930834.9</v>
      </c>
      <c r="H13" s="917">
        <f>SUM(H15,H87)</f>
        <v>952584.6</v>
      </c>
      <c r="I13" s="917">
        <f>J13+K13</f>
        <v>631501.4</v>
      </c>
      <c r="J13" s="917">
        <f>SUM(J15,J87)</f>
        <v>494465.2</v>
      </c>
      <c r="K13" s="917">
        <f>SUM(K15,K87)</f>
        <v>137036.20000000001</v>
      </c>
      <c r="L13" s="918">
        <f t="shared" si="0"/>
        <v>12.9</v>
      </c>
      <c r="M13" s="920">
        <f t="shared" si="0"/>
        <v>12.6</v>
      </c>
      <c r="N13" s="920">
        <f t="shared" si="0"/>
        <v>14.4</v>
      </c>
      <c r="O13" s="1232" t="s">
        <v>353</v>
      </c>
      <c r="P13" s="1232" t="s">
        <v>353</v>
      </c>
      <c r="Q13" s="1229">
        <f t="shared" si="1"/>
        <v>59975.8</v>
      </c>
      <c r="R13" s="1229">
        <f t="shared" si="1"/>
        <v>55334</v>
      </c>
      <c r="S13" s="1229">
        <f t="shared" si="1"/>
        <v>4641.8</v>
      </c>
      <c r="T13" s="1230"/>
      <c r="U13" s="1231"/>
      <c r="V13" s="1230"/>
      <c r="W13" s="1230"/>
      <c r="X13" s="1216"/>
      <c r="Z13" s="1311">
        <f t="shared" si="2"/>
        <v>59975.8</v>
      </c>
      <c r="AA13" s="1374">
        <f t="shared" ref="AA13:AA76" si="4">C13-F13</f>
        <v>59975.8</v>
      </c>
      <c r="AB13" s="1374">
        <f t="shared" si="3"/>
        <v>4641.8</v>
      </c>
    </row>
    <row r="14" spans="1:28" s="914" customFormat="1" ht="54" hidden="1">
      <c r="A14" s="944" t="s">
        <v>6</v>
      </c>
      <c r="B14" s="1234" t="s">
        <v>437</v>
      </c>
      <c r="C14" s="922"/>
      <c r="D14" s="922"/>
      <c r="E14" s="922"/>
      <c r="F14" s="922"/>
      <c r="G14" s="922"/>
      <c r="H14" s="922"/>
      <c r="I14" s="922"/>
      <c r="J14" s="922"/>
      <c r="K14" s="922"/>
      <c r="L14" s="923"/>
      <c r="M14" s="924"/>
      <c r="N14" s="924"/>
      <c r="O14" s="1214"/>
      <c r="P14" s="1214"/>
      <c r="Q14" s="1065">
        <f t="shared" si="1"/>
        <v>0</v>
      </c>
      <c r="R14" s="1065">
        <f t="shared" si="1"/>
        <v>0</v>
      </c>
      <c r="S14" s="1065">
        <f t="shared" si="1"/>
        <v>0</v>
      </c>
      <c r="T14" s="1099"/>
      <c r="U14" s="1100"/>
      <c r="V14" s="1099"/>
      <c r="W14" s="1099"/>
      <c r="X14" s="1216"/>
      <c r="Z14" s="1311">
        <f t="shared" si="2"/>
        <v>0</v>
      </c>
      <c r="AA14" s="1374">
        <f t="shared" si="4"/>
        <v>0</v>
      </c>
      <c r="AB14" s="1374">
        <f t="shared" si="3"/>
        <v>0</v>
      </c>
    </row>
    <row r="15" spans="1:28" s="914" customFormat="1" ht="117" customHeight="1">
      <c r="A15" s="926" t="s">
        <v>6</v>
      </c>
      <c r="B15" s="1259" t="s">
        <v>439</v>
      </c>
      <c r="C15" s="926">
        <f>SUM(D15:E15)</f>
        <v>1359991.2</v>
      </c>
      <c r="D15" s="926">
        <f>SUM(D16)</f>
        <v>1097694.6000000001</v>
      </c>
      <c r="E15" s="926">
        <f>SUM(E16)</f>
        <v>262296.59999999998</v>
      </c>
      <c r="F15" s="926">
        <f>SUM(G15:H15)</f>
        <v>1312315.7</v>
      </c>
      <c r="G15" s="926">
        <f>SUM(G16)</f>
        <v>1054660.8999999999</v>
      </c>
      <c r="H15" s="926">
        <f>SUM(H16)</f>
        <v>257654.8</v>
      </c>
      <c r="I15" s="926">
        <f>SUM(J15:K15)</f>
        <v>160984.79999999999</v>
      </c>
      <c r="J15" s="926">
        <f>SUM(J16)</f>
        <v>135435.29999999999</v>
      </c>
      <c r="K15" s="926">
        <f>SUM(K16)</f>
        <v>25549.5</v>
      </c>
      <c r="L15" s="927">
        <f t="shared" ref="L15:N36" si="5">IF(I15=0,0,I15/F15*100)</f>
        <v>12.3</v>
      </c>
      <c r="M15" s="928">
        <f t="shared" si="5"/>
        <v>12.8</v>
      </c>
      <c r="N15" s="928">
        <f t="shared" si="5"/>
        <v>9.9</v>
      </c>
      <c r="O15" s="1233" t="s">
        <v>353</v>
      </c>
      <c r="P15" s="1233" t="s">
        <v>353</v>
      </c>
      <c r="Q15" s="1065">
        <f t="shared" si="1"/>
        <v>47675.5</v>
      </c>
      <c r="R15" s="1065">
        <f t="shared" si="1"/>
        <v>43033.7</v>
      </c>
      <c r="S15" s="1065">
        <f t="shared" si="1"/>
        <v>4641.8</v>
      </c>
      <c r="T15" s="1114"/>
      <c r="U15" s="1100"/>
      <c r="V15" s="1099"/>
      <c r="W15" s="1099"/>
      <c r="X15" s="1216"/>
      <c r="Z15" s="1311">
        <f t="shared" si="2"/>
        <v>47675.5</v>
      </c>
      <c r="AA15" s="1374">
        <f t="shared" si="4"/>
        <v>47675.5</v>
      </c>
      <c r="AB15" s="1374">
        <f t="shared" si="3"/>
        <v>4641.8</v>
      </c>
    </row>
    <row r="16" spans="1:28" s="914" customFormat="1" ht="63.75" customHeight="1">
      <c r="A16" s="929" t="s">
        <v>253</v>
      </c>
      <c r="B16" s="1260" t="s">
        <v>41</v>
      </c>
      <c r="C16" s="929">
        <f>SUM(D16:E16)</f>
        <v>1359991.2</v>
      </c>
      <c r="D16" s="929">
        <f>SUM(D17:D18,D19,D21,D24,D26,D29,D32,D34,D39,D43,D46,D48,D52,D57,D59,D61,D69,D63,D20,D55)</f>
        <v>1097694.6000000001</v>
      </c>
      <c r="E16" s="929">
        <f>SUM(E17:E18,E19,E21,E24,E26,E29,E32,E34,E39,E43,E46,E48,E52,E57,E59,E61,E69,E63,E20,E55)</f>
        <v>262296.59999999998</v>
      </c>
      <c r="F16" s="929">
        <f>SUM(G16:H16)</f>
        <v>1312315.7</v>
      </c>
      <c r="G16" s="929">
        <f>SUM(G17:G18,G19,G21,G24,G26,G29,G32,G34,G39,G43,G46,G48,G52,G57,G59,G61,G69,G63,G20,G55)</f>
        <v>1054660.8999999999</v>
      </c>
      <c r="H16" s="929">
        <f>SUM(H17:H18,H19,H21,H24,H26,H29,H32,H34,H39,H43,H46,H48,H52,H57,H59,H61,H69,H63,H20,H55)</f>
        <v>257654.8</v>
      </c>
      <c r="I16" s="929">
        <f>SUM(J16:K16)</f>
        <v>160984.79999999999</v>
      </c>
      <c r="J16" s="929">
        <f>SUM(J17:J18,J19,J21,J24,J26,J29,J32,J34,J39,J43,J46,J48,J52,J57,J59,J61,J69,J63,J20,J55)</f>
        <v>135435.29999999999</v>
      </c>
      <c r="K16" s="929">
        <f>SUM(K17:K18,K19,K21,K24,K26,K29,K32,K34,K39,K43,K46,K48,K52,K57,K59,K61,K69,K63,K20,K55)</f>
        <v>25549.5</v>
      </c>
      <c r="L16" s="930">
        <f t="shared" si="5"/>
        <v>12.3</v>
      </c>
      <c r="M16" s="931">
        <f t="shared" si="5"/>
        <v>12.8</v>
      </c>
      <c r="N16" s="931">
        <f t="shared" si="5"/>
        <v>9.9</v>
      </c>
      <c r="O16" s="1228" t="s">
        <v>353</v>
      </c>
      <c r="P16" s="1228" t="s">
        <v>353</v>
      </c>
      <c r="Q16" s="1065">
        <f t="shared" si="1"/>
        <v>47675.5</v>
      </c>
      <c r="R16" s="1065">
        <f t="shared" si="1"/>
        <v>43033.7</v>
      </c>
      <c r="S16" s="1065">
        <f t="shared" si="1"/>
        <v>4641.8</v>
      </c>
      <c r="T16" s="1099"/>
      <c r="U16" s="1100"/>
      <c r="V16" s="1099"/>
      <c r="W16" s="1099"/>
      <c r="X16" s="1216"/>
      <c r="Z16" s="1311">
        <f t="shared" si="2"/>
        <v>47675.5</v>
      </c>
      <c r="AA16" s="1374">
        <f t="shared" si="4"/>
        <v>47675.5</v>
      </c>
      <c r="AB16" s="1374">
        <f t="shared" si="3"/>
        <v>4641.8</v>
      </c>
    </row>
    <row r="17" spans="1:28" s="736" customFormat="1" ht="105" hidden="1">
      <c r="A17" s="1388" t="s">
        <v>538</v>
      </c>
      <c r="B17" s="1066" t="s">
        <v>434</v>
      </c>
      <c r="C17" s="871">
        <f t="shared" ref="C17:C68" si="6">SUM(D17:E17)</f>
        <v>0</v>
      </c>
      <c r="D17" s="972"/>
      <c r="E17" s="972"/>
      <c r="F17" s="871">
        <f t="shared" ref="F17:F68" si="7">SUM(G17:H17)</f>
        <v>0</v>
      </c>
      <c r="G17" s="972"/>
      <c r="H17" s="972"/>
      <c r="I17" s="871">
        <f t="shared" ref="I17:I60" si="8">SUM(J17:K17)</f>
        <v>0</v>
      </c>
      <c r="J17" s="894"/>
      <c r="K17" s="894"/>
      <c r="L17" s="872">
        <f t="shared" si="5"/>
        <v>0</v>
      </c>
      <c r="M17" s="873">
        <f t="shared" si="5"/>
        <v>0</v>
      </c>
      <c r="N17" s="873">
        <f t="shared" si="5"/>
        <v>0</v>
      </c>
      <c r="O17" s="1214"/>
      <c r="P17" s="1214"/>
      <c r="Q17" s="1065">
        <f t="shared" si="1"/>
        <v>0</v>
      </c>
      <c r="R17" s="1065">
        <f t="shared" si="1"/>
        <v>0</v>
      </c>
      <c r="S17" s="1065">
        <f t="shared" si="1"/>
        <v>0</v>
      </c>
      <c r="T17" s="1099"/>
      <c r="U17" s="1100"/>
      <c r="V17" s="1099"/>
      <c r="W17" s="1099"/>
      <c r="X17" s="1216"/>
      <c r="Z17" s="1311">
        <f t="shared" si="2"/>
        <v>0</v>
      </c>
      <c r="AA17" s="1374">
        <f t="shared" si="4"/>
        <v>0</v>
      </c>
      <c r="AB17" s="1374">
        <f t="shared" si="3"/>
        <v>0</v>
      </c>
    </row>
    <row r="18" spans="1:28" s="736" customFormat="1" ht="80.25" customHeight="1">
      <c r="A18" s="1388" t="s">
        <v>538</v>
      </c>
      <c r="B18" s="1066" t="s">
        <v>1076</v>
      </c>
      <c r="C18" s="871">
        <f t="shared" si="6"/>
        <v>43468.4</v>
      </c>
      <c r="D18" s="972">
        <v>43033.7</v>
      </c>
      <c r="E18" s="972">
        <v>434.7</v>
      </c>
      <c r="F18" s="871">
        <f t="shared" si="7"/>
        <v>0</v>
      </c>
      <c r="G18" s="972">
        <v>0</v>
      </c>
      <c r="H18" s="972">
        <v>0</v>
      </c>
      <c r="I18" s="871">
        <f t="shared" si="8"/>
        <v>0</v>
      </c>
      <c r="J18" s="894">
        <v>0</v>
      </c>
      <c r="K18" s="894">
        <v>0</v>
      </c>
      <c r="L18" s="872">
        <f t="shared" si="5"/>
        <v>0</v>
      </c>
      <c r="M18" s="873">
        <f t="shared" si="5"/>
        <v>0</v>
      </c>
      <c r="N18" s="873">
        <f t="shared" si="5"/>
        <v>0</v>
      </c>
      <c r="O18" s="1214" t="s">
        <v>1171</v>
      </c>
      <c r="P18" s="1214" t="s">
        <v>1107</v>
      </c>
      <c r="Q18" s="1065">
        <f t="shared" si="1"/>
        <v>43468.4</v>
      </c>
      <c r="R18" s="1065">
        <f t="shared" si="1"/>
        <v>43033.7</v>
      </c>
      <c r="S18" s="1065">
        <f t="shared" si="1"/>
        <v>434.7</v>
      </c>
      <c r="T18" s="1099" t="s">
        <v>866</v>
      </c>
      <c r="U18" s="1100" t="s">
        <v>865</v>
      </c>
      <c r="V18" s="1099">
        <v>522</v>
      </c>
      <c r="W18" s="1099"/>
      <c r="X18" s="2480"/>
      <c r="Z18" s="1311">
        <f t="shared" si="2"/>
        <v>43468.4</v>
      </c>
      <c r="AA18" s="1374">
        <f t="shared" si="4"/>
        <v>43468.4</v>
      </c>
      <c r="AB18" s="1374">
        <f t="shared" si="3"/>
        <v>434.7</v>
      </c>
    </row>
    <row r="19" spans="1:28" s="892" customFormat="1" ht="117" customHeight="1">
      <c r="A19" s="1388" t="s">
        <v>539</v>
      </c>
      <c r="B19" s="1066" t="s">
        <v>434</v>
      </c>
      <c r="C19" s="1395">
        <f>SUM(D19:E19)</f>
        <v>14736.7</v>
      </c>
      <c r="D19" s="877">
        <v>14736.7</v>
      </c>
      <c r="E19" s="877">
        <v>0</v>
      </c>
      <c r="F19" s="1398">
        <f>SUM(G19:H19)</f>
        <v>14736.7</v>
      </c>
      <c r="G19" s="877">
        <v>14736.7</v>
      </c>
      <c r="H19" s="877">
        <v>0</v>
      </c>
      <c r="I19" s="1398">
        <f t="shared" si="8"/>
        <v>11326.4</v>
      </c>
      <c r="J19" s="1394">
        <v>11326.4</v>
      </c>
      <c r="K19" s="1394">
        <v>0</v>
      </c>
      <c r="L19" s="876">
        <f t="shared" si="5"/>
        <v>76.900000000000006</v>
      </c>
      <c r="M19" s="877">
        <f t="shared" si="5"/>
        <v>76.900000000000006</v>
      </c>
      <c r="N19" s="877">
        <f t="shared" si="5"/>
        <v>0</v>
      </c>
      <c r="O19" s="1383" t="s">
        <v>1172</v>
      </c>
      <c r="P19" s="1214" t="s">
        <v>1108</v>
      </c>
      <c r="Q19" s="1065">
        <f t="shared" si="1"/>
        <v>0</v>
      </c>
      <c r="R19" s="1065">
        <f t="shared" si="1"/>
        <v>0</v>
      </c>
      <c r="S19" s="1065">
        <f t="shared" si="1"/>
        <v>0</v>
      </c>
      <c r="T19" s="1099" t="s">
        <v>961</v>
      </c>
      <c r="U19" s="1100" t="s">
        <v>962</v>
      </c>
      <c r="V19" s="1099">
        <v>522</v>
      </c>
      <c r="W19" s="1099"/>
      <c r="X19" s="2481"/>
      <c r="Z19" s="1311">
        <f t="shared" si="2"/>
        <v>0</v>
      </c>
      <c r="AA19" s="1374">
        <f t="shared" si="4"/>
        <v>0</v>
      </c>
      <c r="AB19" s="1374">
        <f t="shared" si="3"/>
        <v>0</v>
      </c>
    </row>
    <row r="20" spans="1:28" s="892" customFormat="1" ht="118.5" customHeight="1">
      <c r="A20" s="1388" t="s">
        <v>19</v>
      </c>
      <c r="B20" s="1066" t="s">
        <v>792</v>
      </c>
      <c r="C20" s="1395">
        <f t="shared" si="6"/>
        <v>741029.8</v>
      </c>
      <c r="D20" s="877">
        <v>733604.7</v>
      </c>
      <c r="E20" s="877">
        <v>7425.1</v>
      </c>
      <c r="F20" s="1398">
        <f t="shared" si="7"/>
        <v>741029.7</v>
      </c>
      <c r="G20" s="877">
        <v>733604.7</v>
      </c>
      <c r="H20" s="877">
        <v>7425</v>
      </c>
      <c r="I20" s="1398">
        <f t="shared" si="8"/>
        <v>78426.8</v>
      </c>
      <c r="J20" s="1411">
        <v>77670.899999999994</v>
      </c>
      <c r="K20" s="1394">
        <v>755.9</v>
      </c>
      <c r="L20" s="876">
        <f t="shared" si="5"/>
        <v>10.6</v>
      </c>
      <c r="M20" s="877">
        <f t="shared" si="5"/>
        <v>10.6</v>
      </c>
      <c r="N20" s="877">
        <f t="shared" si="5"/>
        <v>10.199999999999999</v>
      </c>
      <c r="O20" s="1214" t="s">
        <v>1171</v>
      </c>
      <c r="P20" s="1214" t="s">
        <v>1109</v>
      </c>
      <c r="Q20" s="1065">
        <f t="shared" si="1"/>
        <v>0.1</v>
      </c>
      <c r="R20" s="1065">
        <f t="shared" si="1"/>
        <v>0</v>
      </c>
      <c r="S20" s="1065">
        <f t="shared" si="1"/>
        <v>0.1</v>
      </c>
      <c r="T20" s="1099" t="s">
        <v>963</v>
      </c>
      <c r="U20" s="1100" t="s">
        <v>964</v>
      </c>
      <c r="V20" s="1099">
        <v>522</v>
      </c>
      <c r="W20" s="1099"/>
      <c r="X20" s="2482"/>
      <c r="Z20" s="1311">
        <f t="shared" si="2"/>
        <v>0.1</v>
      </c>
      <c r="AA20" s="1374">
        <f t="shared" si="4"/>
        <v>0.1</v>
      </c>
      <c r="AB20" s="1374">
        <f t="shared" si="3"/>
        <v>0.1</v>
      </c>
    </row>
    <row r="21" spans="1:28">
      <c r="A21" s="1388"/>
      <c r="B21" s="898" t="s">
        <v>283</v>
      </c>
      <c r="C21" s="1395">
        <f t="shared" si="6"/>
        <v>13903.1</v>
      </c>
      <c r="D21" s="875">
        <f>SUM(D23:D23)</f>
        <v>0</v>
      </c>
      <c r="E21" s="875">
        <f>SUM(E22:E23)</f>
        <v>13903.1</v>
      </c>
      <c r="F21" s="1395">
        <f t="shared" si="7"/>
        <v>13903.1</v>
      </c>
      <c r="G21" s="875">
        <f>SUM(G23:G23)</f>
        <v>0</v>
      </c>
      <c r="H21" s="875">
        <f>SUM(H22:H23)</f>
        <v>13903.1</v>
      </c>
      <c r="I21" s="1395">
        <f t="shared" si="8"/>
        <v>4543</v>
      </c>
      <c r="J21" s="875">
        <f>SUM(J23:J23)</f>
        <v>0</v>
      </c>
      <c r="K21" s="875">
        <f>SUM(K23:K23)</f>
        <v>4543</v>
      </c>
      <c r="L21" s="876">
        <f t="shared" si="5"/>
        <v>32.700000000000003</v>
      </c>
      <c r="M21" s="877">
        <f t="shared" si="5"/>
        <v>0</v>
      </c>
      <c r="N21" s="877">
        <f t="shared" si="5"/>
        <v>32.700000000000003</v>
      </c>
      <c r="O21" s="1214" t="s">
        <v>353</v>
      </c>
      <c r="P21" s="1214" t="s">
        <v>353</v>
      </c>
      <c r="Q21" s="1065">
        <f t="shared" si="1"/>
        <v>0</v>
      </c>
      <c r="R21" s="1065">
        <f t="shared" si="1"/>
        <v>0</v>
      </c>
      <c r="S21" s="1065">
        <f t="shared" si="1"/>
        <v>0</v>
      </c>
      <c r="Z21" s="1311">
        <f t="shared" si="2"/>
        <v>0</v>
      </c>
      <c r="AA21" s="1374">
        <f t="shared" si="4"/>
        <v>0</v>
      </c>
      <c r="AB21" s="1374">
        <f t="shared" si="3"/>
        <v>0</v>
      </c>
    </row>
    <row r="22" spans="1:28" ht="115.5" customHeight="1">
      <c r="A22" s="1388" t="s">
        <v>20</v>
      </c>
      <c r="B22" s="1399" t="s">
        <v>1119</v>
      </c>
      <c r="C22" s="871">
        <f>SUM(D22:E22)</f>
        <v>5016.7</v>
      </c>
      <c r="D22" s="1249">
        <v>0</v>
      </c>
      <c r="E22" s="1249">
        <v>5016.7</v>
      </c>
      <c r="F22" s="1395">
        <f>SUM(G22:H22)</f>
        <v>5016.7</v>
      </c>
      <c r="G22" s="1397">
        <v>0</v>
      </c>
      <c r="H22" s="1397">
        <v>5016.7</v>
      </c>
      <c r="I22" s="1395">
        <f>SUM(J22:K22)</f>
        <v>0</v>
      </c>
      <c r="J22" s="1396">
        <v>0</v>
      </c>
      <c r="K22" s="1396">
        <v>0</v>
      </c>
      <c r="L22" s="876">
        <f t="shared" si="5"/>
        <v>0</v>
      </c>
      <c r="M22" s="877">
        <f t="shared" si="5"/>
        <v>0</v>
      </c>
      <c r="N22" s="877">
        <f t="shared" si="5"/>
        <v>0</v>
      </c>
      <c r="O22" s="1214" t="s">
        <v>1171</v>
      </c>
      <c r="P22" s="1214" t="s">
        <v>1120</v>
      </c>
      <c r="Q22" s="1065"/>
      <c r="R22" s="1065"/>
      <c r="S22" s="1065"/>
      <c r="T22" s="1099" t="s">
        <v>954</v>
      </c>
      <c r="U22" s="1100" t="s">
        <v>976</v>
      </c>
      <c r="V22" s="1099">
        <v>522</v>
      </c>
      <c r="W22" s="1099">
        <v>24356</v>
      </c>
      <c r="Z22" s="1311">
        <f t="shared" si="2"/>
        <v>0</v>
      </c>
      <c r="AA22" s="1374">
        <f t="shared" si="4"/>
        <v>0</v>
      </c>
      <c r="AB22" s="1374">
        <f t="shared" si="3"/>
        <v>0</v>
      </c>
    </row>
    <row r="23" spans="1:28" ht="95.25" customHeight="1">
      <c r="A23" s="1388" t="s">
        <v>467</v>
      </c>
      <c r="B23" s="1084" t="s">
        <v>770</v>
      </c>
      <c r="C23" s="871">
        <f>SUM(D23:E23)</f>
        <v>8886.4</v>
      </c>
      <c r="D23" s="1249">
        <v>0</v>
      </c>
      <c r="E23" s="1249">
        <v>8886.4</v>
      </c>
      <c r="F23" s="1395">
        <f>SUM(G23:H23)</f>
        <v>8886.4</v>
      </c>
      <c r="G23" s="1397">
        <v>0</v>
      </c>
      <c r="H23" s="1397">
        <v>8886.4</v>
      </c>
      <c r="I23" s="1395">
        <f t="shared" si="8"/>
        <v>4543</v>
      </c>
      <c r="J23" s="1396">
        <v>0</v>
      </c>
      <c r="K23" s="1396">
        <v>4543</v>
      </c>
      <c r="L23" s="876">
        <f t="shared" si="5"/>
        <v>51.1</v>
      </c>
      <c r="M23" s="877">
        <f t="shared" si="5"/>
        <v>0</v>
      </c>
      <c r="N23" s="877">
        <f t="shared" si="5"/>
        <v>51.1</v>
      </c>
      <c r="O23" s="1214" t="s">
        <v>1124</v>
      </c>
      <c r="P23" s="1214" t="s">
        <v>1121</v>
      </c>
      <c r="Q23" s="1065">
        <f t="shared" si="1"/>
        <v>0</v>
      </c>
      <c r="R23" s="1065">
        <f t="shared" si="1"/>
        <v>0</v>
      </c>
      <c r="S23" s="1065">
        <f t="shared" si="1"/>
        <v>0</v>
      </c>
      <c r="T23" s="1099" t="s">
        <v>926</v>
      </c>
      <c r="U23" s="1100" t="s">
        <v>965</v>
      </c>
      <c r="V23" s="1099">
        <v>522</v>
      </c>
      <c r="W23" s="1099" t="s">
        <v>975</v>
      </c>
      <c r="Z23" s="1311">
        <f t="shared" si="2"/>
        <v>0</v>
      </c>
      <c r="AA23" s="1374">
        <f t="shared" si="4"/>
        <v>0</v>
      </c>
      <c r="AB23" s="1374">
        <f t="shared" si="3"/>
        <v>0</v>
      </c>
    </row>
    <row r="24" spans="1:28">
      <c r="A24" s="1388"/>
      <c r="B24" s="898" t="s">
        <v>724</v>
      </c>
      <c r="C24" s="871">
        <f t="shared" si="6"/>
        <v>8700</v>
      </c>
      <c r="D24" s="1250">
        <f>D25</f>
        <v>0</v>
      </c>
      <c r="E24" s="1250">
        <f>E25</f>
        <v>8700</v>
      </c>
      <c r="F24" s="1395">
        <f t="shared" si="7"/>
        <v>8700</v>
      </c>
      <c r="G24" s="875">
        <f>G25</f>
        <v>0</v>
      </c>
      <c r="H24" s="875">
        <f>H25</f>
        <v>8700</v>
      </c>
      <c r="I24" s="1395">
        <f t="shared" si="8"/>
        <v>0</v>
      </c>
      <c r="J24" s="875">
        <f>J25</f>
        <v>0</v>
      </c>
      <c r="K24" s="875">
        <f>K25</f>
        <v>0</v>
      </c>
      <c r="L24" s="876">
        <f t="shared" si="5"/>
        <v>0</v>
      </c>
      <c r="M24" s="877">
        <f t="shared" si="5"/>
        <v>0</v>
      </c>
      <c r="N24" s="877">
        <f t="shared" si="5"/>
        <v>0</v>
      </c>
      <c r="O24" s="1214" t="s">
        <v>353</v>
      </c>
      <c r="P24" s="1214" t="s">
        <v>353</v>
      </c>
      <c r="Q24" s="1065">
        <f t="shared" si="1"/>
        <v>0</v>
      </c>
      <c r="R24" s="1065">
        <f t="shared" si="1"/>
        <v>0</v>
      </c>
      <c r="S24" s="1065">
        <f t="shared" si="1"/>
        <v>0</v>
      </c>
      <c r="Z24" s="1311">
        <f t="shared" si="2"/>
        <v>0</v>
      </c>
      <c r="AA24" s="1374">
        <f t="shared" si="4"/>
        <v>0</v>
      </c>
      <c r="AB24" s="1374">
        <f t="shared" si="3"/>
        <v>0</v>
      </c>
    </row>
    <row r="25" spans="1:28" ht="165.75" customHeight="1">
      <c r="A25" s="1388" t="s">
        <v>468</v>
      </c>
      <c r="B25" s="1084" t="s">
        <v>861</v>
      </c>
      <c r="C25" s="871">
        <f t="shared" si="6"/>
        <v>8700</v>
      </c>
      <c r="D25" s="1249">
        <v>0</v>
      </c>
      <c r="E25" s="1249">
        <v>8700</v>
      </c>
      <c r="F25" s="1395">
        <f t="shared" si="7"/>
        <v>8700</v>
      </c>
      <c r="G25" s="1397">
        <v>0</v>
      </c>
      <c r="H25" s="1397">
        <v>8700</v>
      </c>
      <c r="I25" s="1395">
        <f t="shared" si="8"/>
        <v>0</v>
      </c>
      <c r="J25" s="1396">
        <v>0</v>
      </c>
      <c r="K25" s="1396">
        <v>0</v>
      </c>
      <c r="L25" s="876">
        <f t="shared" si="5"/>
        <v>0</v>
      </c>
      <c r="M25" s="877">
        <f t="shared" si="5"/>
        <v>0</v>
      </c>
      <c r="N25" s="877">
        <f t="shared" si="5"/>
        <v>0</v>
      </c>
      <c r="O25" s="1214" t="s">
        <v>1173</v>
      </c>
      <c r="P25" s="1383" t="s">
        <v>1122</v>
      </c>
      <c r="Q25" s="1065">
        <f t="shared" si="1"/>
        <v>0</v>
      </c>
      <c r="R25" s="1065">
        <f t="shared" si="1"/>
        <v>0</v>
      </c>
      <c r="S25" s="1065">
        <f t="shared" si="1"/>
        <v>0</v>
      </c>
      <c r="T25" s="1099" t="s">
        <v>886</v>
      </c>
      <c r="U25" s="1100" t="s">
        <v>966</v>
      </c>
      <c r="V25" s="1099">
        <v>522</v>
      </c>
      <c r="W25" s="1099" t="s">
        <v>977</v>
      </c>
      <c r="Z25" s="1311">
        <f t="shared" si="2"/>
        <v>0</v>
      </c>
      <c r="AA25" s="1374">
        <f t="shared" si="4"/>
        <v>0</v>
      </c>
      <c r="AB25" s="1374">
        <f t="shared" si="3"/>
        <v>0</v>
      </c>
    </row>
    <row r="26" spans="1:28" s="700" customFormat="1">
      <c r="A26" s="1388"/>
      <c r="B26" s="1074" t="s">
        <v>12</v>
      </c>
      <c r="C26" s="871">
        <f t="shared" si="6"/>
        <v>13835</v>
      </c>
      <c r="D26" s="1251">
        <f>SUM(D27:D28)</f>
        <v>0</v>
      </c>
      <c r="E26" s="1251">
        <f>SUM(E27:E28)</f>
        <v>13835</v>
      </c>
      <c r="F26" s="1395">
        <f t="shared" si="7"/>
        <v>13835</v>
      </c>
      <c r="G26" s="880">
        <f>SUM(G27:G28)</f>
        <v>0</v>
      </c>
      <c r="H26" s="880">
        <f>SUM(H27:H28)</f>
        <v>13835</v>
      </c>
      <c r="I26" s="1395">
        <f t="shared" si="8"/>
        <v>0</v>
      </c>
      <c r="J26" s="1395">
        <f>SUM(J27:J28)</f>
        <v>0</v>
      </c>
      <c r="K26" s="1395">
        <f>SUM(K27:K28)</f>
        <v>0</v>
      </c>
      <c r="L26" s="876">
        <f t="shared" si="5"/>
        <v>0</v>
      </c>
      <c r="M26" s="876">
        <f t="shared" si="5"/>
        <v>0</v>
      </c>
      <c r="N26" s="876">
        <f t="shared" si="5"/>
        <v>0</v>
      </c>
      <c r="O26" s="1214" t="s">
        <v>353</v>
      </c>
      <c r="P26" s="1215" t="s">
        <v>353</v>
      </c>
      <c r="Q26" s="1065">
        <f t="shared" si="1"/>
        <v>0</v>
      </c>
      <c r="R26" s="1065">
        <f t="shared" si="1"/>
        <v>0</v>
      </c>
      <c r="S26" s="1065">
        <f t="shared" si="1"/>
        <v>0</v>
      </c>
      <c r="T26" s="1099"/>
      <c r="U26" s="1100"/>
      <c r="V26" s="1099"/>
      <c r="W26" s="1099"/>
      <c r="X26" s="1218"/>
      <c r="Z26" s="1311">
        <f t="shared" si="2"/>
        <v>0</v>
      </c>
      <c r="AA26" s="1374">
        <f t="shared" si="4"/>
        <v>0</v>
      </c>
      <c r="AB26" s="1374">
        <f t="shared" si="3"/>
        <v>0</v>
      </c>
    </row>
    <row r="27" spans="1:28" ht="84" customHeight="1">
      <c r="A27" s="1388" t="s">
        <v>685</v>
      </c>
      <c r="B27" s="1075" t="s">
        <v>1037</v>
      </c>
      <c r="C27" s="871">
        <f t="shared" si="6"/>
        <v>7000</v>
      </c>
      <c r="D27" s="972">
        <v>0</v>
      </c>
      <c r="E27" s="972">
        <v>7000</v>
      </c>
      <c r="F27" s="1395">
        <f t="shared" si="7"/>
        <v>7000</v>
      </c>
      <c r="G27" s="879">
        <v>0</v>
      </c>
      <c r="H27" s="879">
        <v>7000</v>
      </c>
      <c r="I27" s="1395">
        <f t="shared" si="8"/>
        <v>0</v>
      </c>
      <c r="J27" s="1396">
        <v>0</v>
      </c>
      <c r="K27" s="1396">
        <v>0</v>
      </c>
      <c r="L27" s="876">
        <f t="shared" si="5"/>
        <v>0</v>
      </c>
      <c r="M27" s="877">
        <f t="shared" si="5"/>
        <v>0</v>
      </c>
      <c r="N27" s="877">
        <f t="shared" si="5"/>
        <v>0</v>
      </c>
      <c r="O27" s="1214" t="s">
        <v>1171</v>
      </c>
      <c r="P27" s="1214" t="s">
        <v>1111</v>
      </c>
      <c r="Q27" s="1065">
        <f t="shared" si="1"/>
        <v>0</v>
      </c>
      <c r="R27" s="1065">
        <f t="shared" si="1"/>
        <v>0</v>
      </c>
      <c r="S27" s="1065">
        <f t="shared" si="1"/>
        <v>0</v>
      </c>
      <c r="T27" s="1099" t="s">
        <v>886</v>
      </c>
      <c r="U27" s="1100" t="s">
        <v>970</v>
      </c>
      <c r="V27" s="1099">
        <v>522</v>
      </c>
      <c r="W27" s="1099">
        <v>24351</v>
      </c>
      <c r="Z27" s="1311">
        <f t="shared" si="2"/>
        <v>0</v>
      </c>
      <c r="AA27" s="1374">
        <f t="shared" si="4"/>
        <v>0</v>
      </c>
      <c r="AB27" s="1374">
        <f t="shared" si="3"/>
        <v>0</v>
      </c>
    </row>
    <row r="28" spans="1:28" ht="57.75" customHeight="1">
      <c r="A28" s="1388" t="s">
        <v>687</v>
      </c>
      <c r="B28" s="1075" t="s">
        <v>1038</v>
      </c>
      <c r="C28" s="871">
        <f>SUM(D28:E28)</f>
        <v>6835</v>
      </c>
      <c r="D28" s="972">
        <v>0</v>
      </c>
      <c r="E28" s="972">
        <v>6835</v>
      </c>
      <c r="F28" s="1395">
        <f>SUM(G28:H28)</f>
        <v>6835</v>
      </c>
      <c r="G28" s="879">
        <v>0</v>
      </c>
      <c r="H28" s="879">
        <v>6835</v>
      </c>
      <c r="I28" s="1395">
        <f t="shared" si="8"/>
        <v>0</v>
      </c>
      <c r="J28" s="1396">
        <v>0</v>
      </c>
      <c r="K28" s="1396">
        <v>0</v>
      </c>
      <c r="L28" s="876">
        <f t="shared" si="5"/>
        <v>0</v>
      </c>
      <c r="M28" s="877">
        <f t="shared" si="5"/>
        <v>0</v>
      </c>
      <c r="N28" s="877">
        <f t="shared" si="5"/>
        <v>0</v>
      </c>
      <c r="O28" s="1214" t="s">
        <v>1171</v>
      </c>
      <c r="P28" s="1214" t="s">
        <v>1123</v>
      </c>
      <c r="Q28" s="1065">
        <f t="shared" si="1"/>
        <v>0</v>
      </c>
      <c r="R28" s="1065">
        <f t="shared" si="1"/>
        <v>0</v>
      </c>
      <c r="S28" s="1065">
        <f t="shared" si="1"/>
        <v>0</v>
      </c>
      <c r="T28" s="1099" t="s">
        <v>886</v>
      </c>
      <c r="U28" s="1100" t="s">
        <v>968</v>
      </c>
      <c r="V28" s="1099">
        <v>522</v>
      </c>
      <c r="W28" s="1099" t="s">
        <v>969</v>
      </c>
      <c r="Z28" s="1311">
        <f t="shared" si="2"/>
        <v>0</v>
      </c>
      <c r="AA28" s="1374">
        <f t="shared" si="4"/>
        <v>0</v>
      </c>
      <c r="AB28" s="1374">
        <f t="shared" si="3"/>
        <v>0</v>
      </c>
    </row>
    <row r="29" spans="1:28" s="700" customFormat="1">
      <c r="A29" s="991"/>
      <c r="B29" s="1074" t="s">
        <v>729</v>
      </c>
      <c r="C29" s="871">
        <f t="shared" si="6"/>
        <v>8500</v>
      </c>
      <c r="D29" s="1251">
        <f>SUM(D30:D31)</f>
        <v>0</v>
      </c>
      <c r="E29" s="1251">
        <f>SUM(E30:E31)</f>
        <v>8500</v>
      </c>
      <c r="F29" s="1395">
        <f t="shared" si="7"/>
        <v>8500</v>
      </c>
      <c r="G29" s="880">
        <f>SUM(G30:G31)</f>
        <v>0</v>
      </c>
      <c r="H29" s="880">
        <f>SUM(H30:H31)</f>
        <v>8500</v>
      </c>
      <c r="I29" s="1395">
        <f t="shared" si="8"/>
        <v>0</v>
      </c>
      <c r="J29" s="1395">
        <f>SUM(J30:J31)</f>
        <v>0</v>
      </c>
      <c r="K29" s="1395">
        <f>SUM(K30:K31)</f>
        <v>0</v>
      </c>
      <c r="L29" s="876">
        <f t="shared" si="5"/>
        <v>0</v>
      </c>
      <c r="M29" s="876">
        <f t="shared" si="5"/>
        <v>0</v>
      </c>
      <c r="N29" s="876">
        <f t="shared" si="5"/>
        <v>0</v>
      </c>
      <c r="O29" s="1214" t="s">
        <v>353</v>
      </c>
      <c r="P29" s="1215" t="s">
        <v>353</v>
      </c>
      <c r="Q29" s="1065">
        <f t="shared" si="1"/>
        <v>0</v>
      </c>
      <c r="R29" s="1065">
        <f t="shared" si="1"/>
        <v>0</v>
      </c>
      <c r="S29" s="1065">
        <f t="shared" si="1"/>
        <v>0</v>
      </c>
      <c r="T29" s="1099"/>
      <c r="U29" s="1100"/>
      <c r="V29" s="1099"/>
      <c r="W29" s="1099"/>
      <c r="X29" s="1218"/>
      <c r="Z29" s="1311">
        <f t="shared" si="2"/>
        <v>0</v>
      </c>
      <c r="AA29" s="1374">
        <f t="shared" si="4"/>
        <v>0</v>
      </c>
      <c r="AB29" s="1374">
        <f t="shared" si="3"/>
        <v>0</v>
      </c>
    </row>
    <row r="30" spans="1:28" ht="90" customHeight="1">
      <c r="A30" s="1388" t="s">
        <v>686</v>
      </c>
      <c r="B30" s="1075" t="s">
        <v>1039</v>
      </c>
      <c r="C30" s="871">
        <f t="shared" si="6"/>
        <v>7000</v>
      </c>
      <c r="D30" s="972">
        <v>0</v>
      </c>
      <c r="E30" s="972">
        <v>7000</v>
      </c>
      <c r="F30" s="1395">
        <f t="shared" si="7"/>
        <v>7000</v>
      </c>
      <c r="G30" s="879">
        <v>0</v>
      </c>
      <c r="H30" s="879">
        <v>7000</v>
      </c>
      <c r="I30" s="1395">
        <f t="shared" si="8"/>
        <v>0</v>
      </c>
      <c r="J30" s="1396">
        <v>0</v>
      </c>
      <c r="K30" s="1396">
        <v>0</v>
      </c>
      <c r="L30" s="876">
        <f t="shared" si="5"/>
        <v>0</v>
      </c>
      <c r="M30" s="877">
        <f t="shared" si="5"/>
        <v>0</v>
      </c>
      <c r="N30" s="877">
        <f t="shared" si="5"/>
        <v>0</v>
      </c>
      <c r="O30" s="1214" t="s">
        <v>1174</v>
      </c>
      <c r="P30" s="1214" t="s">
        <v>1112</v>
      </c>
      <c r="Q30" s="1065">
        <f t="shared" si="1"/>
        <v>0</v>
      </c>
      <c r="R30" s="1065">
        <f t="shared" si="1"/>
        <v>0</v>
      </c>
      <c r="S30" s="1065">
        <f t="shared" si="1"/>
        <v>0</v>
      </c>
      <c r="T30" s="1099" t="s">
        <v>926</v>
      </c>
      <c r="U30" s="1100" t="s">
        <v>970</v>
      </c>
      <c r="V30" s="1099">
        <v>522</v>
      </c>
      <c r="W30" s="1099" t="s">
        <v>993</v>
      </c>
      <c r="Z30" s="1311">
        <f t="shared" si="2"/>
        <v>0</v>
      </c>
      <c r="AA30" s="1374">
        <f t="shared" si="4"/>
        <v>0</v>
      </c>
      <c r="AB30" s="1374">
        <f t="shared" si="3"/>
        <v>0</v>
      </c>
    </row>
    <row r="31" spans="1:28" ht="66" customHeight="1">
      <c r="A31" s="1388" t="s">
        <v>688</v>
      </c>
      <c r="B31" s="1075" t="s">
        <v>1040</v>
      </c>
      <c r="C31" s="871">
        <f t="shared" si="6"/>
        <v>1500</v>
      </c>
      <c r="D31" s="972">
        <v>0</v>
      </c>
      <c r="E31" s="972">
        <v>1500</v>
      </c>
      <c r="F31" s="1395">
        <f t="shared" si="7"/>
        <v>1500</v>
      </c>
      <c r="G31" s="879">
        <v>0</v>
      </c>
      <c r="H31" s="879">
        <v>1500</v>
      </c>
      <c r="I31" s="1395">
        <f t="shared" si="8"/>
        <v>0</v>
      </c>
      <c r="J31" s="1396">
        <v>0</v>
      </c>
      <c r="K31" s="1396">
        <v>0</v>
      </c>
      <c r="L31" s="876">
        <f t="shared" si="5"/>
        <v>0</v>
      </c>
      <c r="M31" s="877">
        <f t="shared" si="5"/>
        <v>0</v>
      </c>
      <c r="N31" s="877">
        <f t="shared" si="5"/>
        <v>0</v>
      </c>
      <c r="O31" s="1214" t="s">
        <v>1171</v>
      </c>
      <c r="P31" s="1214"/>
      <c r="Q31" s="1065">
        <f t="shared" si="1"/>
        <v>0</v>
      </c>
      <c r="R31" s="1065">
        <f t="shared" si="1"/>
        <v>0</v>
      </c>
      <c r="S31" s="1065">
        <f t="shared" si="1"/>
        <v>0</v>
      </c>
      <c r="T31" s="1099" t="s">
        <v>923</v>
      </c>
      <c r="U31" s="1100" t="s">
        <v>970</v>
      </c>
      <c r="V31" s="1099">
        <v>522</v>
      </c>
      <c r="W31" s="1099" t="s">
        <v>992</v>
      </c>
      <c r="Z31" s="1311">
        <f t="shared" si="2"/>
        <v>0</v>
      </c>
      <c r="AA31" s="1374">
        <f t="shared" si="4"/>
        <v>0</v>
      </c>
      <c r="AB31" s="1374">
        <f t="shared" si="3"/>
        <v>0</v>
      </c>
    </row>
    <row r="32" spans="1:28" s="700" customFormat="1">
      <c r="A32" s="1388"/>
      <c r="B32" s="1074" t="s">
        <v>615</v>
      </c>
      <c r="C32" s="871">
        <f t="shared" si="6"/>
        <v>10156</v>
      </c>
      <c r="D32" s="1251">
        <f>D33</f>
        <v>0</v>
      </c>
      <c r="E32" s="1251">
        <f>E33</f>
        <v>10156</v>
      </c>
      <c r="F32" s="1395">
        <f t="shared" si="7"/>
        <v>10156</v>
      </c>
      <c r="G32" s="880">
        <f>G33</f>
        <v>0</v>
      </c>
      <c r="H32" s="880">
        <f>H33</f>
        <v>10156</v>
      </c>
      <c r="I32" s="1395">
        <f t="shared" si="8"/>
        <v>0</v>
      </c>
      <c r="J32" s="1395">
        <f>J33</f>
        <v>0</v>
      </c>
      <c r="K32" s="1395">
        <f>K33</f>
        <v>0</v>
      </c>
      <c r="L32" s="876">
        <f t="shared" si="5"/>
        <v>0</v>
      </c>
      <c r="M32" s="876">
        <f t="shared" si="5"/>
        <v>0</v>
      </c>
      <c r="N32" s="876">
        <f t="shared" si="5"/>
        <v>0</v>
      </c>
      <c r="O32" s="1214" t="s">
        <v>353</v>
      </c>
      <c r="P32" s="1215" t="s">
        <v>353</v>
      </c>
      <c r="Q32" s="1065">
        <f t="shared" si="1"/>
        <v>0</v>
      </c>
      <c r="R32" s="1065">
        <f t="shared" si="1"/>
        <v>0</v>
      </c>
      <c r="S32" s="1065">
        <f t="shared" si="1"/>
        <v>0</v>
      </c>
      <c r="T32" s="1099"/>
      <c r="U32" s="1100"/>
      <c r="V32" s="1099"/>
      <c r="W32" s="1099"/>
      <c r="X32" s="1218"/>
      <c r="Z32" s="1311">
        <f t="shared" si="2"/>
        <v>0</v>
      </c>
      <c r="AA32" s="1374">
        <f t="shared" si="4"/>
        <v>0</v>
      </c>
      <c r="AB32" s="1374">
        <f t="shared" si="3"/>
        <v>0</v>
      </c>
    </row>
    <row r="33" spans="1:28" ht="55.5" customHeight="1">
      <c r="A33" s="1388" t="s">
        <v>98</v>
      </c>
      <c r="B33" s="1075" t="s">
        <v>673</v>
      </c>
      <c r="C33" s="871">
        <f t="shared" si="6"/>
        <v>10156</v>
      </c>
      <c r="D33" s="972">
        <v>0</v>
      </c>
      <c r="E33" s="972">
        <v>10156</v>
      </c>
      <c r="F33" s="1395">
        <f t="shared" si="7"/>
        <v>10156</v>
      </c>
      <c r="G33" s="879">
        <v>0</v>
      </c>
      <c r="H33" s="879">
        <v>10156</v>
      </c>
      <c r="I33" s="1395">
        <f t="shared" si="8"/>
        <v>0</v>
      </c>
      <c r="J33" s="1396">
        <v>0</v>
      </c>
      <c r="K33" s="1396">
        <v>0</v>
      </c>
      <c r="L33" s="876">
        <f t="shared" si="5"/>
        <v>0</v>
      </c>
      <c r="M33" s="877">
        <f t="shared" si="5"/>
        <v>0</v>
      </c>
      <c r="N33" s="877">
        <f t="shared" si="5"/>
        <v>0</v>
      </c>
      <c r="O33" s="1214" t="s">
        <v>1175</v>
      </c>
      <c r="P33" s="1214" t="s">
        <v>1113</v>
      </c>
      <c r="Q33" s="1065">
        <f t="shared" si="1"/>
        <v>0</v>
      </c>
      <c r="R33" s="1065">
        <f t="shared" si="1"/>
        <v>0</v>
      </c>
      <c r="S33" s="1065">
        <f t="shared" si="1"/>
        <v>0</v>
      </c>
      <c r="T33" s="1099" t="s">
        <v>926</v>
      </c>
      <c r="U33" s="1100" t="s">
        <v>965</v>
      </c>
      <c r="V33" s="1099">
        <v>522</v>
      </c>
      <c r="W33" s="1099">
        <v>24345</v>
      </c>
      <c r="Z33" s="1311">
        <f t="shared" si="2"/>
        <v>0</v>
      </c>
      <c r="AA33" s="1374">
        <f t="shared" si="4"/>
        <v>0</v>
      </c>
      <c r="AB33" s="1374">
        <f t="shared" si="3"/>
        <v>0</v>
      </c>
    </row>
    <row r="34" spans="1:28">
      <c r="A34" s="991"/>
      <c r="B34" s="898" t="s">
        <v>68</v>
      </c>
      <c r="C34" s="871">
        <f t="shared" si="6"/>
        <v>23520</v>
      </c>
      <c r="D34" s="1250">
        <f>SUM(D35:D38)</f>
        <v>0</v>
      </c>
      <c r="E34" s="1250">
        <f>SUM(E35:E38)</f>
        <v>23520</v>
      </c>
      <c r="F34" s="1395">
        <f t="shared" si="7"/>
        <v>23520</v>
      </c>
      <c r="G34" s="875">
        <f>SUM(G35:G38)</f>
        <v>0</v>
      </c>
      <c r="H34" s="875">
        <f>SUM(H35:H38)</f>
        <v>23520</v>
      </c>
      <c r="I34" s="1395">
        <f t="shared" si="8"/>
        <v>9912.5</v>
      </c>
      <c r="J34" s="875">
        <f>SUM(J35:J38)</f>
        <v>0</v>
      </c>
      <c r="K34" s="875">
        <f>SUM(K35:K38)</f>
        <v>9912.5</v>
      </c>
      <c r="L34" s="876">
        <f t="shared" si="5"/>
        <v>42.1</v>
      </c>
      <c r="M34" s="877">
        <f t="shared" si="5"/>
        <v>0</v>
      </c>
      <c r="N34" s="877">
        <f t="shared" si="5"/>
        <v>42.1</v>
      </c>
      <c r="O34" s="1214" t="s">
        <v>353</v>
      </c>
      <c r="P34" s="1214" t="s">
        <v>353</v>
      </c>
      <c r="Q34" s="1065">
        <f t="shared" si="1"/>
        <v>0</v>
      </c>
      <c r="R34" s="1065">
        <f t="shared" si="1"/>
        <v>0</v>
      </c>
      <c r="S34" s="1065">
        <f t="shared" si="1"/>
        <v>0</v>
      </c>
      <c r="Z34" s="1311">
        <f t="shared" si="2"/>
        <v>0</v>
      </c>
      <c r="AA34" s="1374">
        <f t="shared" si="4"/>
        <v>0</v>
      </c>
      <c r="AB34" s="1374">
        <f t="shared" si="3"/>
        <v>0</v>
      </c>
    </row>
    <row r="35" spans="1:28" ht="105" customHeight="1">
      <c r="A35" s="1388" t="s">
        <v>99</v>
      </c>
      <c r="B35" s="1084" t="s">
        <v>1041</v>
      </c>
      <c r="C35" s="871">
        <f t="shared" si="6"/>
        <v>1240</v>
      </c>
      <c r="D35" s="1249">
        <v>0</v>
      </c>
      <c r="E35" s="1249">
        <v>1240</v>
      </c>
      <c r="F35" s="1395">
        <f t="shared" si="7"/>
        <v>1240</v>
      </c>
      <c r="G35" s="1397">
        <v>0</v>
      </c>
      <c r="H35" s="1397">
        <v>1240</v>
      </c>
      <c r="I35" s="1395">
        <f t="shared" si="8"/>
        <v>312.5</v>
      </c>
      <c r="J35" s="1396">
        <v>0</v>
      </c>
      <c r="K35" s="1396">
        <v>312.5</v>
      </c>
      <c r="L35" s="876">
        <f t="shared" si="5"/>
        <v>25.2</v>
      </c>
      <c r="M35" s="877">
        <f t="shared" si="5"/>
        <v>0</v>
      </c>
      <c r="N35" s="877">
        <f t="shared" si="5"/>
        <v>25.2</v>
      </c>
      <c r="O35" s="1214" t="s">
        <v>1176</v>
      </c>
      <c r="P35" s="1214" t="s">
        <v>1125</v>
      </c>
      <c r="Q35" s="1065">
        <f t="shared" si="1"/>
        <v>0</v>
      </c>
      <c r="R35" s="1065">
        <f t="shared" si="1"/>
        <v>0</v>
      </c>
      <c r="S35" s="1065">
        <f t="shared" si="1"/>
        <v>0</v>
      </c>
      <c r="T35" s="1099" t="s">
        <v>886</v>
      </c>
      <c r="U35" s="1100" t="s">
        <v>967</v>
      </c>
      <c r="V35" s="1099">
        <v>522</v>
      </c>
      <c r="W35" s="1099" t="s">
        <v>969</v>
      </c>
      <c r="Z35" s="1311">
        <f t="shared" si="2"/>
        <v>0</v>
      </c>
      <c r="AA35" s="1374">
        <f t="shared" si="4"/>
        <v>0</v>
      </c>
      <c r="AB35" s="1374">
        <f t="shared" si="3"/>
        <v>0</v>
      </c>
    </row>
    <row r="36" spans="1:28" ht="104.25" customHeight="1">
      <c r="A36" s="1388" t="s">
        <v>100</v>
      </c>
      <c r="B36" s="1084" t="s">
        <v>1095</v>
      </c>
      <c r="C36" s="871">
        <f>SUM(D36:E36)</f>
        <v>6280</v>
      </c>
      <c r="D36" s="1249">
        <v>0</v>
      </c>
      <c r="E36" s="1249">
        <v>6280</v>
      </c>
      <c r="F36" s="1395">
        <f>SUM(G36:H36)</f>
        <v>6280</v>
      </c>
      <c r="G36" s="1397">
        <v>0</v>
      </c>
      <c r="H36" s="1397">
        <v>6280</v>
      </c>
      <c r="I36" s="1395">
        <f>SUM(J36:K36)</f>
        <v>0</v>
      </c>
      <c r="J36" s="1396">
        <v>0</v>
      </c>
      <c r="K36" s="1396">
        <v>0</v>
      </c>
      <c r="L36" s="876">
        <f t="shared" si="5"/>
        <v>0</v>
      </c>
      <c r="M36" s="877">
        <f t="shared" si="5"/>
        <v>0</v>
      </c>
      <c r="N36" s="877">
        <f t="shared" si="5"/>
        <v>0</v>
      </c>
      <c r="O36" s="1214" t="s">
        <v>1171</v>
      </c>
      <c r="P36" s="1214" t="s">
        <v>1128</v>
      </c>
      <c r="Q36" s="1065"/>
      <c r="R36" s="1065"/>
      <c r="S36" s="1065"/>
      <c r="T36" s="1099" t="s">
        <v>961</v>
      </c>
      <c r="U36" s="1100">
        <v>1240343280</v>
      </c>
      <c r="V36" s="1099">
        <v>522</v>
      </c>
      <c r="W36" s="1099" t="s">
        <v>971</v>
      </c>
      <c r="Z36" s="1311">
        <f t="shared" si="2"/>
        <v>0</v>
      </c>
      <c r="AA36" s="1374">
        <f t="shared" si="4"/>
        <v>0</v>
      </c>
      <c r="AB36" s="1374">
        <f t="shared" si="3"/>
        <v>0</v>
      </c>
    </row>
    <row r="37" spans="1:28" ht="166.5" customHeight="1">
      <c r="A37" s="1388" t="s">
        <v>101</v>
      </c>
      <c r="B37" s="1084" t="s">
        <v>1043</v>
      </c>
      <c r="C37" s="871">
        <f t="shared" si="6"/>
        <v>6000</v>
      </c>
      <c r="D37" s="1249">
        <v>0</v>
      </c>
      <c r="E37" s="1249">
        <v>6000</v>
      </c>
      <c r="F37" s="1395">
        <f t="shared" si="7"/>
        <v>6000</v>
      </c>
      <c r="G37" s="1397">
        <v>0</v>
      </c>
      <c r="H37" s="1397">
        <v>6000</v>
      </c>
      <c r="I37" s="2450">
        <f t="shared" si="8"/>
        <v>9600</v>
      </c>
      <c r="J37" s="2440">
        <v>0</v>
      </c>
      <c r="K37" s="2440">
        <v>9600</v>
      </c>
      <c r="L37" s="2425">
        <f>IF(I37=0,0,I37/SUM(F37:F38)*100)</f>
        <v>60</v>
      </c>
      <c r="M37" s="2418">
        <f>IF(J37=0,0,J37/SUM(G37:G38)*100)</f>
        <v>0</v>
      </c>
      <c r="N37" s="2418">
        <f>IF(K37=0,0,K37/SUM(H37:H38)*100)</f>
        <v>60</v>
      </c>
      <c r="O37" s="1213" t="s">
        <v>1177</v>
      </c>
      <c r="P37" s="1213" t="s">
        <v>1126</v>
      </c>
      <c r="Q37" s="1065">
        <f t="shared" si="1"/>
        <v>0</v>
      </c>
      <c r="R37" s="1065">
        <f t="shared" si="1"/>
        <v>0</v>
      </c>
      <c r="S37" s="1065">
        <f t="shared" si="1"/>
        <v>0</v>
      </c>
      <c r="T37" s="2409" t="s">
        <v>886</v>
      </c>
      <c r="U37" s="2409" t="s">
        <v>966</v>
      </c>
      <c r="V37" s="2409">
        <v>522</v>
      </c>
      <c r="W37" s="2409" t="s">
        <v>977</v>
      </c>
      <c r="X37" s="2471"/>
      <c r="Z37" s="1311">
        <f t="shared" si="2"/>
        <v>0</v>
      </c>
      <c r="AA37" s="1374">
        <f t="shared" si="4"/>
        <v>0</v>
      </c>
      <c r="AB37" s="1374">
        <f t="shared" si="3"/>
        <v>0</v>
      </c>
    </row>
    <row r="38" spans="1:28" ht="198.75" customHeight="1">
      <c r="A38" s="1388" t="s">
        <v>102</v>
      </c>
      <c r="B38" s="1084" t="s">
        <v>1044</v>
      </c>
      <c r="C38" s="871">
        <f t="shared" si="6"/>
        <v>10000</v>
      </c>
      <c r="D38" s="1249">
        <v>0</v>
      </c>
      <c r="E38" s="1249">
        <v>10000</v>
      </c>
      <c r="F38" s="1395">
        <f t="shared" si="7"/>
        <v>10000</v>
      </c>
      <c r="G38" s="1397">
        <v>0</v>
      </c>
      <c r="H38" s="1397">
        <v>10000</v>
      </c>
      <c r="I38" s="2451"/>
      <c r="J38" s="2441"/>
      <c r="K38" s="2441"/>
      <c r="L38" s="2427"/>
      <c r="M38" s="2419"/>
      <c r="N38" s="2419"/>
      <c r="O38" s="1213" t="s">
        <v>1178</v>
      </c>
      <c r="P38" s="1213" t="s">
        <v>1127</v>
      </c>
      <c r="Q38" s="1065">
        <f t="shared" si="1"/>
        <v>0</v>
      </c>
      <c r="R38" s="1065">
        <f t="shared" si="1"/>
        <v>0</v>
      </c>
      <c r="S38" s="1065">
        <f t="shared" si="1"/>
        <v>0</v>
      </c>
      <c r="T38" s="2409"/>
      <c r="U38" s="2409"/>
      <c r="V38" s="2409"/>
      <c r="W38" s="2409"/>
      <c r="X38" s="2471"/>
      <c r="Z38" s="1311">
        <f t="shared" si="2"/>
        <v>0</v>
      </c>
      <c r="AA38" s="1374">
        <f t="shared" si="4"/>
        <v>0</v>
      </c>
      <c r="AB38" s="1374">
        <f t="shared" si="3"/>
        <v>0</v>
      </c>
    </row>
    <row r="39" spans="1:28">
      <c r="A39" s="1388"/>
      <c r="B39" s="898" t="s">
        <v>281</v>
      </c>
      <c r="C39" s="871">
        <f t="shared" si="6"/>
        <v>21207</v>
      </c>
      <c r="D39" s="1250">
        <f>SUM(D41:D42)</f>
        <v>0</v>
      </c>
      <c r="E39" s="1250">
        <f>SUM(E40:E42)</f>
        <v>21207</v>
      </c>
      <c r="F39" s="1395">
        <f t="shared" si="7"/>
        <v>17000</v>
      </c>
      <c r="G39" s="875">
        <f>SUM(G41:G42)</f>
        <v>0</v>
      </c>
      <c r="H39" s="875">
        <f>SUM(H40:H42)</f>
        <v>17000</v>
      </c>
      <c r="I39" s="1395">
        <f t="shared" si="8"/>
        <v>0</v>
      </c>
      <c r="J39" s="875">
        <f>SUM(J41:J42)</f>
        <v>0</v>
      </c>
      <c r="K39" s="875">
        <f>SUM(K41:K42)</f>
        <v>0</v>
      </c>
      <c r="L39" s="876">
        <f t="shared" ref="L39:N63" si="9">IF(I39=0,0,I39/F39*100)</f>
        <v>0</v>
      </c>
      <c r="M39" s="877">
        <f t="shared" si="9"/>
        <v>0</v>
      </c>
      <c r="N39" s="877">
        <f t="shared" si="9"/>
        <v>0</v>
      </c>
      <c r="O39" s="1214" t="s">
        <v>353</v>
      </c>
      <c r="P39" s="1214" t="s">
        <v>353</v>
      </c>
      <c r="Q39" s="1065">
        <f t="shared" si="1"/>
        <v>4207</v>
      </c>
      <c r="R39" s="1065">
        <f t="shared" si="1"/>
        <v>0</v>
      </c>
      <c r="S39" s="1065">
        <f t="shared" si="1"/>
        <v>4207</v>
      </c>
      <c r="Z39" s="1311">
        <f t="shared" si="2"/>
        <v>4207</v>
      </c>
      <c r="AA39" s="1374">
        <f t="shared" si="4"/>
        <v>4207</v>
      </c>
      <c r="AB39" s="1374">
        <f t="shared" si="3"/>
        <v>4207</v>
      </c>
    </row>
    <row r="40" spans="1:28" ht="69.75">
      <c r="A40" s="1388" t="s">
        <v>103</v>
      </c>
      <c r="B40" s="1399" t="s">
        <v>682</v>
      </c>
      <c r="C40" s="871">
        <f>SUM(D40:E40)</f>
        <v>4207</v>
      </c>
      <c r="D40" s="1249">
        <v>0</v>
      </c>
      <c r="E40" s="1249">
        <v>4207</v>
      </c>
      <c r="F40" s="1395">
        <f>SUM(G40:H40)</f>
        <v>0</v>
      </c>
      <c r="G40" s="1397">
        <v>0</v>
      </c>
      <c r="H40" s="1397">
        <v>0</v>
      </c>
      <c r="I40" s="1395">
        <f>SUM(J40:K40)</f>
        <v>0</v>
      </c>
      <c r="J40" s="1396">
        <v>0</v>
      </c>
      <c r="K40" s="1396">
        <v>0</v>
      </c>
      <c r="L40" s="876">
        <f t="shared" si="9"/>
        <v>0</v>
      </c>
      <c r="M40" s="877">
        <f t="shared" si="9"/>
        <v>0</v>
      </c>
      <c r="N40" s="877">
        <f t="shared" si="9"/>
        <v>0</v>
      </c>
      <c r="O40" s="1214" t="s">
        <v>353</v>
      </c>
      <c r="P40" s="1214" t="s">
        <v>1114</v>
      </c>
      <c r="Q40" s="1065"/>
      <c r="R40" s="1065"/>
      <c r="S40" s="1065"/>
      <c r="T40" s="1099" t="s">
        <v>928</v>
      </c>
      <c r="U40" s="1100" t="s">
        <v>988</v>
      </c>
      <c r="V40" s="1099">
        <v>522</v>
      </c>
      <c r="W40" s="1099" t="s">
        <v>989</v>
      </c>
      <c r="Z40" s="1311">
        <f t="shared" si="2"/>
        <v>4207</v>
      </c>
      <c r="AA40" s="1374">
        <f t="shared" si="4"/>
        <v>4207</v>
      </c>
      <c r="AB40" s="1374">
        <f t="shared" si="3"/>
        <v>4207</v>
      </c>
    </row>
    <row r="41" spans="1:28" ht="101.25" customHeight="1">
      <c r="A41" s="1388" t="s">
        <v>107</v>
      </c>
      <c r="B41" s="1084" t="s">
        <v>675</v>
      </c>
      <c r="C41" s="871">
        <f t="shared" si="6"/>
        <v>13000</v>
      </c>
      <c r="D41" s="1249">
        <v>0</v>
      </c>
      <c r="E41" s="1249">
        <v>13000</v>
      </c>
      <c r="F41" s="1395">
        <f t="shared" si="7"/>
        <v>13000</v>
      </c>
      <c r="G41" s="1397">
        <v>0</v>
      </c>
      <c r="H41" s="1397">
        <v>13000</v>
      </c>
      <c r="I41" s="1395">
        <f t="shared" si="8"/>
        <v>0</v>
      </c>
      <c r="J41" s="1396">
        <v>0</v>
      </c>
      <c r="K41" s="1396">
        <v>0</v>
      </c>
      <c r="L41" s="876">
        <f t="shared" si="9"/>
        <v>0</v>
      </c>
      <c r="M41" s="877">
        <f t="shared" si="9"/>
        <v>0</v>
      </c>
      <c r="N41" s="877">
        <f t="shared" si="9"/>
        <v>0</v>
      </c>
      <c r="O41" s="1383" t="s">
        <v>1179</v>
      </c>
      <c r="P41" s="1383" t="s">
        <v>1130</v>
      </c>
      <c r="Q41" s="1067">
        <f t="shared" si="1"/>
        <v>0</v>
      </c>
      <c r="R41" s="1067">
        <f t="shared" si="1"/>
        <v>0</v>
      </c>
      <c r="S41" s="1067">
        <f t="shared" si="1"/>
        <v>0</v>
      </c>
      <c r="T41" s="1222" t="s">
        <v>886</v>
      </c>
      <c r="U41" s="1223" t="s">
        <v>967</v>
      </c>
      <c r="V41" s="1222">
        <v>522</v>
      </c>
      <c r="W41" s="1222" t="s">
        <v>983</v>
      </c>
      <c r="Z41" s="1311">
        <f t="shared" si="2"/>
        <v>0</v>
      </c>
      <c r="AA41" s="1374">
        <f t="shared" si="4"/>
        <v>0</v>
      </c>
      <c r="AB41" s="1374">
        <f t="shared" si="3"/>
        <v>0</v>
      </c>
    </row>
    <row r="42" spans="1:28" ht="131.25">
      <c r="A42" s="1388" t="s">
        <v>108</v>
      </c>
      <c r="B42" s="1084" t="s">
        <v>1045</v>
      </c>
      <c r="C42" s="871">
        <f t="shared" si="6"/>
        <v>4000</v>
      </c>
      <c r="D42" s="1249">
        <v>0</v>
      </c>
      <c r="E42" s="1249">
        <v>4000</v>
      </c>
      <c r="F42" s="1395">
        <f t="shared" si="7"/>
        <v>4000</v>
      </c>
      <c r="G42" s="1397">
        <v>0</v>
      </c>
      <c r="H42" s="1397">
        <v>4000</v>
      </c>
      <c r="I42" s="1395">
        <f t="shared" si="8"/>
        <v>0</v>
      </c>
      <c r="J42" s="1396">
        <v>0</v>
      </c>
      <c r="K42" s="1396">
        <v>0</v>
      </c>
      <c r="L42" s="876">
        <f t="shared" si="9"/>
        <v>0</v>
      </c>
      <c r="M42" s="877">
        <f t="shared" si="9"/>
        <v>0</v>
      </c>
      <c r="N42" s="877">
        <f t="shared" si="9"/>
        <v>0</v>
      </c>
      <c r="O42" s="1214" t="s">
        <v>1115</v>
      </c>
      <c r="P42" s="1214" t="s">
        <v>1129</v>
      </c>
      <c r="Q42" s="1065">
        <f t="shared" si="1"/>
        <v>0</v>
      </c>
      <c r="R42" s="1065">
        <f t="shared" si="1"/>
        <v>0</v>
      </c>
      <c r="S42" s="1065">
        <f t="shared" si="1"/>
        <v>0</v>
      </c>
      <c r="T42" s="1099" t="s">
        <v>886</v>
      </c>
      <c r="U42" s="1100">
        <v>510243220</v>
      </c>
      <c r="V42" s="1099">
        <v>522</v>
      </c>
      <c r="W42" s="1099" t="s">
        <v>979</v>
      </c>
      <c r="Z42" s="1311">
        <f t="shared" si="2"/>
        <v>0</v>
      </c>
      <c r="AA42" s="1374">
        <f t="shared" si="4"/>
        <v>0</v>
      </c>
      <c r="AB42" s="1374">
        <f t="shared" si="3"/>
        <v>0</v>
      </c>
    </row>
    <row r="43" spans="1:28">
      <c r="A43" s="1388"/>
      <c r="B43" s="898" t="s">
        <v>431</v>
      </c>
      <c r="C43" s="871">
        <f t="shared" si="6"/>
        <v>10900</v>
      </c>
      <c r="D43" s="1250">
        <f>D45</f>
        <v>0</v>
      </c>
      <c r="E43" s="1250">
        <f>SUM(E44:E45)</f>
        <v>10900</v>
      </c>
      <c r="F43" s="1395">
        <f t="shared" si="7"/>
        <v>10900</v>
      </c>
      <c r="G43" s="875">
        <f>G45</f>
        <v>0</v>
      </c>
      <c r="H43" s="875">
        <f>SUM(H44:H45)</f>
        <v>10900</v>
      </c>
      <c r="I43" s="1395">
        <f t="shared" si="8"/>
        <v>4324.1000000000004</v>
      </c>
      <c r="J43" s="875">
        <f>J45</f>
        <v>0</v>
      </c>
      <c r="K43" s="875">
        <f>K45</f>
        <v>4324.1000000000004</v>
      </c>
      <c r="L43" s="876">
        <f t="shared" si="9"/>
        <v>39.700000000000003</v>
      </c>
      <c r="M43" s="877">
        <f t="shared" si="9"/>
        <v>0</v>
      </c>
      <c r="N43" s="877">
        <f t="shared" si="9"/>
        <v>39.700000000000003</v>
      </c>
      <c r="O43" s="1214" t="s">
        <v>353</v>
      </c>
      <c r="P43" s="1214" t="s">
        <v>353</v>
      </c>
      <c r="Q43" s="1065">
        <f t="shared" si="1"/>
        <v>0</v>
      </c>
      <c r="R43" s="1065">
        <f t="shared" si="1"/>
        <v>0</v>
      </c>
      <c r="S43" s="1065">
        <f t="shared" si="1"/>
        <v>0</v>
      </c>
      <c r="Z43" s="1311">
        <f t="shared" si="2"/>
        <v>0</v>
      </c>
      <c r="AA43" s="1374">
        <f t="shared" si="4"/>
        <v>0</v>
      </c>
      <c r="AB43" s="1374">
        <f t="shared" si="3"/>
        <v>0</v>
      </c>
    </row>
    <row r="44" spans="1:28" ht="86.25" customHeight="1">
      <c r="A44" s="1388" t="s">
        <v>106</v>
      </c>
      <c r="B44" s="1390" t="s">
        <v>1096</v>
      </c>
      <c r="C44" s="871">
        <f t="shared" si="6"/>
        <v>6500</v>
      </c>
      <c r="D44" s="1249">
        <v>0</v>
      </c>
      <c r="E44" s="1249">
        <v>6500</v>
      </c>
      <c r="F44" s="1395">
        <f>SUM(G44:H44)</f>
        <v>6500</v>
      </c>
      <c r="G44" s="1397">
        <v>0</v>
      </c>
      <c r="H44" s="1397">
        <v>6500</v>
      </c>
      <c r="I44" s="1395">
        <f>SUM(J44:K44)</f>
        <v>0</v>
      </c>
      <c r="J44" s="1396">
        <v>0</v>
      </c>
      <c r="K44" s="1396">
        <v>0</v>
      </c>
      <c r="L44" s="876">
        <f t="shared" si="9"/>
        <v>0</v>
      </c>
      <c r="M44" s="877">
        <f t="shared" si="9"/>
        <v>0</v>
      </c>
      <c r="N44" s="877">
        <f t="shared" si="9"/>
        <v>0</v>
      </c>
      <c r="O44" s="1214" t="s">
        <v>1171</v>
      </c>
      <c r="P44" s="1214" t="s">
        <v>1128</v>
      </c>
      <c r="Q44" s="1065"/>
      <c r="R44" s="1065"/>
      <c r="S44" s="1065"/>
      <c r="T44" s="1099" t="s">
        <v>961</v>
      </c>
      <c r="U44" s="1100">
        <v>1240343280</v>
      </c>
      <c r="V44" s="1099">
        <v>522</v>
      </c>
      <c r="W44" s="1099" t="s">
        <v>971</v>
      </c>
      <c r="Z44" s="1311">
        <f t="shared" si="2"/>
        <v>0</v>
      </c>
      <c r="AA44" s="1374">
        <f t="shared" si="4"/>
        <v>0</v>
      </c>
      <c r="AB44" s="1374">
        <f t="shared" si="3"/>
        <v>0</v>
      </c>
    </row>
    <row r="45" spans="1:28" ht="111" customHeight="1">
      <c r="A45" s="1388" t="s">
        <v>109</v>
      </c>
      <c r="B45" s="1084" t="s">
        <v>676</v>
      </c>
      <c r="C45" s="871">
        <f t="shared" si="6"/>
        <v>4400</v>
      </c>
      <c r="D45" s="1249">
        <v>0</v>
      </c>
      <c r="E45" s="1249">
        <v>4400</v>
      </c>
      <c r="F45" s="1395">
        <f t="shared" si="7"/>
        <v>4400</v>
      </c>
      <c r="G45" s="1397">
        <v>0</v>
      </c>
      <c r="H45" s="1397">
        <v>4400</v>
      </c>
      <c r="I45" s="1395">
        <f t="shared" si="8"/>
        <v>4324.1000000000004</v>
      </c>
      <c r="J45" s="1396">
        <v>0</v>
      </c>
      <c r="K45" s="1396">
        <v>4324.1000000000004</v>
      </c>
      <c r="L45" s="876">
        <f t="shared" si="9"/>
        <v>98.3</v>
      </c>
      <c r="M45" s="877">
        <f t="shared" si="9"/>
        <v>0</v>
      </c>
      <c r="N45" s="877">
        <f t="shared" si="9"/>
        <v>98.3</v>
      </c>
      <c r="O45" s="1214" t="s">
        <v>1180</v>
      </c>
      <c r="P45" s="1214" t="s">
        <v>1131</v>
      </c>
      <c r="Q45" s="1065">
        <f t="shared" si="1"/>
        <v>0</v>
      </c>
      <c r="R45" s="1065">
        <f t="shared" si="1"/>
        <v>0</v>
      </c>
      <c r="S45" s="1065">
        <f t="shared" si="1"/>
        <v>0</v>
      </c>
      <c r="T45" s="1099" t="s">
        <v>886</v>
      </c>
      <c r="U45" s="1100" t="s">
        <v>972</v>
      </c>
      <c r="V45" s="1099">
        <v>522</v>
      </c>
      <c r="W45" s="1099" t="s">
        <v>978</v>
      </c>
      <c r="Z45" s="1311">
        <f t="shared" si="2"/>
        <v>0</v>
      </c>
      <c r="AA45" s="1374">
        <f t="shared" si="4"/>
        <v>0</v>
      </c>
      <c r="AB45" s="1374">
        <f t="shared" si="3"/>
        <v>0</v>
      </c>
    </row>
    <row r="46" spans="1:28">
      <c r="A46" s="1388"/>
      <c r="B46" s="898" t="s">
        <v>583</v>
      </c>
      <c r="C46" s="871">
        <f t="shared" si="6"/>
        <v>2500</v>
      </c>
      <c r="D46" s="1250">
        <f>D47</f>
        <v>0</v>
      </c>
      <c r="E46" s="1250">
        <f>E47</f>
        <v>2500</v>
      </c>
      <c r="F46" s="1395">
        <f t="shared" si="7"/>
        <v>2500</v>
      </c>
      <c r="G46" s="875">
        <f>G47</f>
        <v>0</v>
      </c>
      <c r="H46" s="875">
        <f>H47</f>
        <v>2500</v>
      </c>
      <c r="I46" s="1395">
        <f t="shared" si="8"/>
        <v>0</v>
      </c>
      <c r="J46" s="875">
        <f>J47</f>
        <v>0</v>
      </c>
      <c r="K46" s="875">
        <f>K47</f>
        <v>0</v>
      </c>
      <c r="L46" s="876">
        <f t="shared" si="9"/>
        <v>0</v>
      </c>
      <c r="M46" s="877">
        <f t="shared" si="9"/>
        <v>0</v>
      </c>
      <c r="N46" s="877">
        <f t="shared" si="9"/>
        <v>0</v>
      </c>
      <c r="O46" s="1214" t="s">
        <v>353</v>
      </c>
      <c r="P46" s="1214" t="s">
        <v>353</v>
      </c>
      <c r="Q46" s="1065">
        <f t="shared" si="1"/>
        <v>0</v>
      </c>
      <c r="R46" s="1065">
        <f t="shared" si="1"/>
        <v>0</v>
      </c>
      <c r="S46" s="1065">
        <f t="shared" si="1"/>
        <v>0</v>
      </c>
      <c r="Z46" s="1311">
        <f t="shared" si="2"/>
        <v>0</v>
      </c>
      <c r="AA46" s="1374">
        <f t="shared" si="4"/>
        <v>0</v>
      </c>
      <c r="AB46" s="1374">
        <f t="shared" si="3"/>
        <v>0</v>
      </c>
    </row>
    <row r="47" spans="1:28" s="1216" customFormat="1" ht="69.75">
      <c r="A47" s="1388" t="s">
        <v>117</v>
      </c>
      <c r="B47" s="1084" t="s">
        <v>1046</v>
      </c>
      <c r="C47" s="871">
        <f t="shared" si="6"/>
        <v>2500</v>
      </c>
      <c r="D47" s="1249">
        <v>0</v>
      </c>
      <c r="E47" s="1249">
        <v>2500</v>
      </c>
      <c r="F47" s="1395">
        <f t="shared" si="7"/>
        <v>2500</v>
      </c>
      <c r="G47" s="1397">
        <v>0</v>
      </c>
      <c r="H47" s="1397">
        <v>2500</v>
      </c>
      <c r="I47" s="1395">
        <f t="shared" si="8"/>
        <v>0</v>
      </c>
      <c r="J47" s="1396">
        <v>0</v>
      </c>
      <c r="K47" s="1396">
        <v>0</v>
      </c>
      <c r="L47" s="876">
        <f t="shared" si="9"/>
        <v>0</v>
      </c>
      <c r="M47" s="877">
        <f t="shared" si="9"/>
        <v>0</v>
      </c>
      <c r="N47" s="877">
        <f t="shared" si="9"/>
        <v>0</v>
      </c>
      <c r="O47" s="1214" t="s">
        <v>1181</v>
      </c>
      <c r="P47" s="1214" t="s">
        <v>1132</v>
      </c>
      <c r="Q47" s="1065">
        <f t="shared" si="1"/>
        <v>0</v>
      </c>
      <c r="R47" s="1065">
        <f t="shared" si="1"/>
        <v>0</v>
      </c>
      <c r="S47" s="1065">
        <f t="shared" si="1"/>
        <v>0</v>
      </c>
      <c r="T47" s="1099" t="s">
        <v>886</v>
      </c>
      <c r="U47" s="1100" t="s">
        <v>967</v>
      </c>
      <c r="V47" s="1099">
        <v>522</v>
      </c>
      <c r="W47" s="1099" t="s">
        <v>969</v>
      </c>
      <c r="Z47" s="1311">
        <f t="shared" si="2"/>
        <v>0</v>
      </c>
      <c r="AA47" s="1374">
        <f t="shared" si="4"/>
        <v>0</v>
      </c>
      <c r="AB47" s="1374">
        <f t="shared" si="3"/>
        <v>0</v>
      </c>
    </row>
    <row r="48" spans="1:28" s="1216" customFormat="1">
      <c r="A48" s="1388"/>
      <c r="B48" s="898" t="s">
        <v>709</v>
      </c>
      <c r="C48" s="871">
        <f>SUM(D48:E48)</f>
        <v>57350</v>
      </c>
      <c r="D48" s="1250">
        <f>SUM(D49:D51)</f>
        <v>0</v>
      </c>
      <c r="E48" s="1250">
        <f>SUM(E49:E51)</f>
        <v>57350</v>
      </c>
      <c r="F48" s="871">
        <f>SUM(G48:H48)</f>
        <v>57350</v>
      </c>
      <c r="G48" s="1250">
        <f>SUM(G49:G51)</f>
        <v>0</v>
      </c>
      <c r="H48" s="1250">
        <f>SUM(H49:H51)</f>
        <v>57350</v>
      </c>
      <c r="I48" s="871">
        <f>SUM(J48:K48)</f>
        <v>3049.7</v>
      </c>
      <c r="J48" s="1250">
        <f>SUM(J49:J51)</f>
        <v>0</v>
      </c>
      <c r="K48" s="1250">
        <f>SUM(K49:K51)</f>
        <v>3049.7</v>
      </c>
      <c r="L48" s="876">
        <f t="shared" si="9"/>
        <v>5.3</v>
      </c>
      <c r="M48" s="877">
        <f t="shared" si="9"/>
        <v>0</v>
      </c>
      <c r="N48" s="877">
        <f t="shared" si="9"/>
        <v>5.3</v>
      </c>
      <c r="O48" s="1214" t="s">
        <v>353</v>
      </c>
      <c r="P48" s="1214" t="s">
        <v>353</v>
      </c>
      <c r="Q48" s="1065">
        <f t="shared" si="1"/>
        <v>0</v>
      </c>
      <c r="R48" s="1065">
        <f t="shared" si="1"/>
        <v>0</v>
      </c>
      <c r="S48" s="1065">
        <f t="shared" si="1"/>
        <v>0</v>
      </c>
      <c r="T48" s="1099"/>
      <c r="U48" s="1100"/>
      <c r="V48" s="1099"/>
      <c r="W48" s="1099"/>
      <c r="Z48" s="1311">
        <f t="shared" si="2"/>
        <v>0</v>
      </c>
      <c r="AA48" s="1374">
        <f t="shared" si="4"/>
        <v>0</v>
      </c>
      <c r="AB48" s="1374">
        <f t="shared" si="3"/>
        <v>0</v>
      </c>
    </row>
    <row r="49" spans="1:28" s="1216" customFormat="1" ht="78.75">
      <c r="A49" s="1388" t="s">
        <v>118</v>
      </c>
      <c r="B49" s="1390" t="s">
        <v>1047</v>
      </c>
      <c r="C49" s="871">
        <f>SUM(D49:E49)</f>
        <v>35000</v>
      </c>
      <c r="D49" s="1249">
        <v>0</v>
      </c>
      <c r="E49" s="1249">
        <v>35000</v>
      </c>
      <c r="F49" s="1395">
        <f>SUM(G49:H49)</f>
        <v>35000</v>
      </c>
      <c r="G49" s="1397">
        <v>0</v>
      </c>
      <c r="H49" s="1397">
        <v>35000</v>
      </c>
      <c r="I49" s="1395">
        <f t="shared" si="8"/>
        <v>3049.7</v>
      </c>
      <c r="J49" s="1396">
        <v>0</v>
      </c>
      <c r="K49" s="1396">
        <v>3049.7</v>
      </c>
      <c r="L49" s="876">
        <f t="shared" si="9"/>
        <v>8.6999999999999993</v>
      </c>
      <c r="M49" s="877">
        <f t="shared" si="9"/>
        <v>0</v>
      </c>
      <c r="N49" s="877">
        <f t="shared" si="9"/>
        <v>8.6999999999999993</v>
      </c>
      <c r="O49" s="1214" t="s">
        <v>1171</v>
      </c>
      <c r="P49" s="1214" t="s">
        <v>1133</v>
      </c>
      <c r="Q49" s="1065"/>
      <c r="R49" s="1065"/>
      <c r="S49" s="1065"/>
      <c r="T49" s="1099" t="s">
        <v>961</v>
      </c>
      <c r="U49" s="1100" t="s">
        <v>990</v>
      </c>
      <c r="V49" s="1099">
        <v>522</v>
      </c>
      <c r="W49" s="1099">
        <v>24357</v>
      </c>
      <c r="Z49" s="1311">
        <f t="shared" si="2"/>
        <v>0</v>
      </c>
      <c r="AA49" s="1374">
        <f t="shared" si="4"/>
        <v>0</v>
      </c>
      <c r="AB49" s="1374">
        <f t="shared" si="3"/>
        <v>0</v>
      </c>
    </row>
    <row r="50" spans="1:28" s="1216" customFormat="1" ht="78.75">
      <c r="A50" s="1388" t="s">
        <v>154</v>
      </c>
      <c r="B50" s="1084" t="s">
        <v>1048</v>
      </c>
      <c r="C50" s="871">
        <f>SUM(D50:E50)</f>
        <v>4500</v>
      </c>
      <c r="D50" s="1249">
        <v>0</v>
      </c>
      <c r="E50" s="1249">
        <v>4500</v>
      </c>
      <c r="F50" s="1395">
        <f>SUM(G50:H50)</f>
        <v>4500</v>
      </c>
      <c r="G50" s="1397">
        <v>0</v>
      </c>
      <c r="H50" s="1397">
        <v>4500</v>
      </c>
      <c r="I50" s="1395">
        <f t="shared" si="8"/>
        <v>0</v>
      </c>
      <c r="J50" s="1396">
        <v>0</v>
      </c>
      <c r="K50" s="1396">
        <v>0</v>
      </c>
      <c r="L50" s="876">
        <f t="shared" si="9"/>
        <v>0</v>
      </c>
      <c r="M50" s="877">
        <f t="shared" si="9"/>
        <v>0</v>
      </c>
      <c r="N50" s="877">
        <f t="shared" si="9"/>
        <v>0</v>
      </c>
      <c r="O50" s="1214" t="s">
        <v>1171</v>
      </c>
      <c r="P50" s="1214" t="s">
        <v>1116</v>
      </c>
      <c r="Q50" s="1065">
        <f t="shared" si="1"/>
        <v>0</v>
      </c>
      <c r="R50" s="1065">
        <f t="shared" si="1"/>
        <v>0</v>
      </c>
      <c r="S50" s="1065">
        <f t="shared" si="1"/>
        <v>0</v>
      </c>
      <c r="T50" s="1099" t="s">
        <v>886</v>
      </c>
      <c r="U50" s="1100" t="s">
        <v>967</v>
      </c>
      <c r="V50" s="1099">
        <v>522</v>
      </c>
      <c r="W50" s="1099" t="s">
        <v>991</v>
      </c>
      <c r="Z50" s="1311">
        <f t="shared" si="2"/>
        <v>0</v>
      </c>
      <c r="AA50" s="1374">
        <f t="shared" si="4"/>
        <v>0</v>
      </c>
      <c r="AB50" s="1374">
        <f t="shared" si="3"/>
        <v>0</v>
      </c>
    </row>
    <row r="51" spans="1:28" s="1216" customFormat="1" ht="78.75">
      <c r="A51" s="1388" t="s">
        <v>155</v>
      </c>
      <c r="B51" s="1084" t="s">
        <v>1049</v>
      </c>
      <c r="C51" s="871">
        <f t="shared" si="6"/>
        <v>17850</v>
      </c>
      <c r="D51" s="1249">
        <v>0</v>
      </c>
      <c r="E51" s="1249">
        <v>17850</v>
      </c>
      <c r="F51" s="1395">
        <f t="shared" si="7"/>
        <v>17850</v>
      </c>
      <c r="G51" s="1397">
        <v>0</v>
      </c>
      <c r="H51" s="1397">
        <v>17850</v>
      </c>
      <c r="I51" s="1395">
        <f t="shared" si="8"/>
        <v>0</v>
      </c>
      <c r="J51" s="1396">
        <v>0</v>
      </c>
      <c r="K51" s="1396">
        <v>0</v>
      </c>
      <c r="L51" s="876">
        <f t="shared" si="9"/>
        <v>0</v>
      </c>
      <c r="M51" s="877">
        <f t="shared" si="9"/>
        <v>0</v>
      </c>
      <c r="N51" s="877">
        <f t="shared" si="9"/>
        <v>0</v>
      </c>
      <c r="O51" s="1214" t="s">
        <v>1171</v>
      </c>
      <c r="P51" s="1214" t="s">
        <v>1116</v>
      </c>
      <c r="Q51" s="1065">
        <f t="shared" si="1"/>
        <v>0</v>
      </c>
      <c r="R51" s="1065">
        <f t="shared" si="1"/>
        <v>0</v>
      </c>
      <c r="S51" s="1065">
        <f t="shared" si="1"/>
        <v>0</v>
      </c>
      <c r="T51" s="1099" t="s">
        <v>886</v>
      </c>
      <c r="U51" s="1100" t="s">
        <v>967</v>
      </c>
      <c r="V51" s="1099">
        <v>522</v>
      </c>
      <c r="W51" s="1099" t="s">
        <v>969</v>
      </c>
      <c r="Z51" s="1311">
        <f t="shared" si="2"/>
        <v>0</v>
      </c>
      <c r="AA51" s="1374">
        <f t="shared" si="4"/>
        <v>0</v>
      </c>
      <c r="AB51" s="1374">
        <f t="shared" si="3"/>
        <v>0</v>
      </c>
    </row>
    <row r="52" spans="1:28" s="1216" customFormat="1">
      <c r="A52" s="1388"/>
      <c r="B52" s="898" t="s">
        <v>333</v>
      </c>
      <c r="C52" s="871">
        <f t="shared" si="6"/>
        <v>9843</v>
      </c>
      <c r="D52" s="1250">
        <f>SUM(D53:D54)</f>
        <v>0</v>
      </c>
      <c r="E52" s="1250">
        <f>SUM(E53:E54)</f>
        <v>9843</v>
      </c>
      <c r="F52" s="1395">
        <f t="shared" si="7"/>
        <v>9843</v>
      </c>
      <c r="G52" s="875">
        <f>SUM(G53:G54)</f>
        <v>0</v>
      </c>
      <c r="H52" s="875">
        <f>SUM(H53:H54)</f>
        <v>9843</v>
      </c>
      <c r="I52" s="1395">
        <f>SUM(J52:K52)</f>
        <v>0</v>
      </c>
      <c r="J52" s="875">
        <f>SUM(J53:J54)</f>
        <v>0</v>
      </c>
      <c r="K52" s="875">
        <f>SUM(K53:K54)</f>
        <v>0</v>
      </c>
      <c r="L52" s="876">
        <f t="shared" si="9"/>
        <v>0</v>
      </c>
      <c r="M52" s="877">
        <f t="shared" si="9"/>
        <v>0</v>
      </c>
      <c r="N52" s="877">
        <f t="shared" si="9"/>
        <v>0</v>
      </c>
      <c r="O52" s="1214" t="s">
        <v>353</v>
      </c>
      <c r="P52" s="1214" t="s">
        <v>353</v>
      </c>
      <c r="Q52" s="1065">
        <f t="shared" si="1"/>
        <v>0</v>
      </c>
      <c r="R52" s="1065">
        <f t="shared" si="1"/>
        <v>0</v>
      </c>
      <c r="S52" s="1065">
        <f t="shared" si="1"/>
        <v>0</v>
      </c>
      <c r="T52" s="1099"/>
      <c r="U52" s="1100"/>
      <c r="V52" s="1099"/>
      <c r="W52" s="1099"/>
      <c r="Z52" s="1311">
        <f t="shared" si="2"/>
        <v>0</v>
      </c>
      <c r="AA52" s="1374">
        <f t="shared" si="4"/>
        <v>0</v>
      </c>
      <c r="AB52" s="1374">
        <f t="shared" si="3"/>
        <v>0</v>
      </c>
    </row>
    <row r="53" spans="1:28" s="1216" customFormat="1" ht="52.5">
      <c r="A53" s="1388" t="s">
        <v>156</v>
      </c>
      <c r="B53" s="1084" t="s">
        <v>1051</v>
      </c>
      <c r="C53" s="871">
        <f>SUM(D53:E53)</f>
        <v>3000</v>
      </c>
      <c r="D53" s="1249">
        <v>0</v>
      </c>
      <c r="E53" s="1249">
        <v>3000</v>
      </c>
      <c r="F53" s="1395">
        <f>SUM(G53:H53)</f>
        <v>3000</v>
      </c>
      <c r="G53" s="1397">
        <v>0</v>
      </c>
      <c r="H53" s="1397">
        <v>3000</v>
      </c>
      <c r="I53" s="1395">
        <f t="shared" si="8"/>
        <v>0</v>
      </c>
      <c r="J53" s="1396">
        <v>0</v>
      </c>
      <c r="K53" s="1396">
        <v>0</v>
      </c>
      <c r="L53" s="876">
        <f t="shared" si="9"/>
        <v>0</v>
      </c>
      <c r="M53" s="877">
        <f t="shared" si="9"/>
        <v>0</v>
      </c>
      <c r="N53" s="877">
        <f t="shared" si="9"/>
        <v>0</v>
      </c>
      <c r="O53" s="1214" t="s">
        <v>1171</v>
      </c>
      <c r="P53" s="1214" t="s">
        <v>1116</v>
      </c>
      <c r="Q53" s="1065">
        <f t="shared" si="1"/>
        <v>0</v>
      </c>
      <c r="R53" s="1065">
        <f t="shared" si="1"/>
        <v>0</v>
      </c>
      <c r="S53" s="1065">
        <f t="shared" si="1"/>
        <v>0</v>
      </c>
      <c r="T53" s="1099" t="s">
        <v>886</v>
      </c>
      <c r="U53" s="1100" t="s">
        <v>967</v>
      </c>
      <c r="V53" s="1099">
        <v>522</v>
      </c>
      <c r="W53" s="1099" t="s">
        <v>994</v>
      </c>
      <c r="Z53" s="1311">
        <f t="shared" si="2"/>
        <v>0</v>
      </c>
      <c r="AA53" s="1374">
        <f t="shared" si="4"/>
        <v>0</v>
      </c>
      <c r="AB53" s="1374">
        <f t="shared" si="3"/>
        <v>0</v>
      </c>
    </row>
    <row r="54" spans="1:28" s="1216" customFormat="1" ht="52.5">
      <c r="A54" s="1388" t="s">
        <v>122</v>
      </c>
      <c r="B54" s="1084" t="s">
        <v>1050</v>
      </c>
      <c r="C54" s="871">
        <f t="shared" si="6"/>
        <v>6843</v>
      </c>
      <c r="D54" s="1249">
        <v>0</v>
      </c>
      <c r="E54" s="1249">
        <v>6843</v>
      </c>
      <c r="F54" s="1395">
        <f t="shared" si="7"/>
        <v>6843</v>
      </c>
      <c r="G54" s="1397">
        <v>0</v>
      </c>
      <c r="H54" s="1397">
        <v>6843</v>
      </c>
      <c r="I54" s="1395">
        <f t="shared" si="8"/>
        <v>0</v>
      </c>
      <c r="J54" s="1396">
        <v>0</v>
      </c>
      <c r="K54" s="1396">
        <v>0</v>
      </c>
      <c r="L54" s="876">
        <f t="shared" si="9"/>
        <v>0</v>
      </c>
      <c r="M54" s="877">
        <f t="shared" si="9"/>
        <v>0</v>
      </c>
      <c r="N54" s="877">
        <f t="shared" si="9"/>
        <v>0</v>
      </c>
      <c r="O54" s="1214" t="s">
        <v>1171</v>
      </c>
      <c r="P54" s="1214" t="s">
        <v>1116</v>
      </c>
      <c r="Q54" s="1065">
        <f t="shared" si="1"/>
        <v>0</v>
      </c>
      <c r="R54" s="1065">
        <f t="shared" si="1"/>
        <v>0</v>
      </c>
      <c r="S54" s="1065">
        <f t="shared" si="1"/>
        <v>0</v>
      </c>
      <c r="T54" s="1099" t="s">
        <v>886</v>
      </c>
      <c r="U54" s="1100" t="s">
        <v>967</v>
      </c>
      <c r="V54" s="1099">
        <v>522</v>
      </c>
      <c r="W54" s="1099" t="s">
        <v>995</v>
      </c>
      <c r="Z54" s="1311">
        <f t="shared" si="2"/>
        <v>0</v>
      </c>
      <c r="AA54" s="1374">
        <f t="shared" si="4"/>
        <v>0</v>
      </c>
      <c r="AB54" s="1374">
        <f t="shared" si="3"/>
        <v>0</v>
      </c>
    </row>
    <row r="55" spans="1:28" s="1216" customFormat="1">
      <c r="A55" s="1388"/>
      <c r="B55" s="898" t="s">
        <v>443</v>
      </c>
      <c r="C55" s="871">
        <f>SUM(D55:E55)</f>
        <v>4368</v>
      </c>
      <c r="D55" s="1250">
        <f>D56</f>
        <v>0</v>
      </c>
      <c r="E55" s="1250">
        <f>E56</f>
        <v>4368</v>
      </c>
      <c r="F55" s="1395">
        <f>SUM(G55:H55)</f>
        <v>4368</v>
      </c>
      <c r="G55" s="875">
        <f>G56</f>
        <v>0</v>
      </c>
      <c r="H55" s="875">
        <f>H56</f>
        <v>4368</v>
      </c>
      <c r="I55" s="1395">
        <f>SUM(J55:K55)</f>
        <v>0</v>
      </c>
      <c r="J55" s="875">
        <f>J56</f>
        <v>0</v>
      </c>
      <c r="K55" s="875">
        <f>K56</f>
        <v>0</v>
      </c>
      <c r="L55" s="876">
        <f t="shared" si="9"/>
        <v>0</v>
      </c>
      <c r="M55" s="877">
        <f t="shared" si="9"/>
        <v>0</v>
      </c>
      <c r="N55" s="877">
        <f t="shared" si="9"/>
        <v>0</v>
      </c>
      <c r="O55" s="1214" t="s">
        <v>353</v>
      </c>
      <c r="P55" s="1214" t="s">
        <v>353</v>
      </c>
      <c r="Q55" s="1065">
        <f t="shared" si="1"/>
        <v>0</v>
      </c>
      <c r="R55" s="1065">
        <f t="shared" si="1"/>
        <v>0</v>
      </c>
      <c r="S55" s="1065">
        <f t="shared" si="1"/>
        <v>0</v>
      </c>
      <c r="T55" s="1099"/>
      <c r="U55" s="1100"/>
      <c r="V55" s="1099"/>
      <c r="W55" s="1099"/>
      <c r="Z55" s="1311">
        <f t="shared" si="2"/>
        <v>0</v>
      </c>
      <c r="AA55" s="1374">
        <f t="shared" si="4"/>
        <v>0</v>
      </c>
      <c r="AB55" s="1374">
        <f t="shared" si="3"/>
        <v>0</v>
      </c>
    </row>
    <row r="56" spans="1:28" s="1216" customFormat="1" ht="52.5">
      <c r="A56" s="1388" t="s">
        <v>123</v>
      </c>
      <c r="B56" s="1084" t="s">
        <v>1052</v>
      </c>
      <c r="C56" s="871">
        <f>SUM(D56:E56)</f>
        <v>4368</v>
      </c>
      <c r="D56" s="1249">
        <v>0</v>
      </c>
      <c r="E56" s="1249">
        <v>4368</v>
      </c>
      <c r="F56" s="1395">
        <f>SUM(G56:H56)</f>
        <v>4368</v>
      </c>
      <c r="G56" s="1397">
        <v>0</v>
      </c>
      <c r="H56" s="1397">
        <v>4368</v>
      </c>
      <c r="I56" s="1395">
        <f t="shared" si="8"/>
        <v>0</v>
      </c>
      <c r="J56" s="1396">
        <v>0</v>
      </c>
      <c r="K56" s="1396">
        <v>0</v>
      </c>
      <c r="L56" s="876">
        <f t="shared" si="9"/>
        <v>0</v>
      </c>
      <c r="M56" s="877">
        <f t="shared" si="9"/>
        <v>0</v>
      </c>
      <c r="N56" s="877">
        <f t="shared" si="9"/>
        <v>0</v>
      </c>
      <c r="O56" s="1214" t="s">
        <v>1171</v>
      </c>
      <c r="P56" s="1214" t="s">
        <v>1116</v>
      </c>
      <c r="Q56" s="1065">
        <f t="shared" si="1"/>
        <v>0</v>
      </c>
      <c r="R56" s="1065">
        <f t="shared" si="1"/>
        <v>0</v>
      </c>
      <c r="S56" s="1065">
        <f t="shared" si="1"/>
        <v>0</v>
      </c>
      <c r="T56" s="1099" t="s">
        <v>886</v>
      </c>
      <c r="U56" s="1100" t="s">
        <v>967</v>
      </c>
      <c r="V56" s="1099">
        <v>522</v>
      </c>
      <c r="W56" s="1099" t="s">
        <v>986</v>
      </c>
      <c r="Z56" s="1311">
        <f t="shared" si="2"/>
        <v>0</v>
      </c>
      <c r="AA56" s="1374">
        <f t="shared" si="4"/>
        <v>0</v>
      </c>
      <c r="AB56" s="1374">
        <f t="shared" si="3"/>
        <v>0</v>
      </c>
    </row>
    <row r="57" spans="1:28" s="1216" customFormat="1">
      <c r="A57" s="1388"/>
      <c r="B57" s="898" t="s">
        <v>90</v>
      </c>
      <c r="C57" s="871">
        <f t="shared" si="6"/>
        <v>1300</v>
      </c>
      <c r="D57" s="1250">
        <f>D58</f>
        <v>0</v>
      </c>
      <c r="E57" s="1250">
        <f>E58</f>
        <v>1300</v>
      </c>
      <c r="F57" s="1395">
        <f t="shared" si="7"/>
        <v>1300</v>
      </c>
      <c r="G57" s="875">
        <f>G58</f>
        <v>0</v>
      </c>
      <c r="H57" s="875">
        <f>H58</f>
        <v>1300</v>
      </c>
      <c r="I57" s="1395">
        <f>SUM(J57:K57)</f>
        <v>0</v>
      </c>
      <c r="J57" s="875">
        <f>J58</f>
        <v>0</v>
      </c>
      <c r="K57" s="875">
        <f>K58</f>
        <v>0</v>
      </c>
      <c r="L57" s="876">
        <f t="shared" si="9"/>
        <v>0</v>
      </c>
      <c r="M57" s="877">
        <f t="shared" si="9"/>
        <v>0</v>
      </c>
      <c r="N57" s="877">
        <f t="shared" si="9"/>
        <v>0</v>
      </c>
      <c r="O57" s="1214" t="s">
        <v>353</v>
      </c>
      <c r="P57" s="1214" t="s">
        <v>353</v>
      </c>
      <c r="Q57" s="1065">
        <f t="shared" si="1"/>
        <v>0</v>
      </c>
      <c r="R57" s="1065">
        <f t="shared" si="1"/>
        <v>0</v>
      </c>
      <c r="S57" s="1065">
        <f t="shared" si="1"/>
        <v>0</v>
      </c>
      <c r="T57" s="1099"/>
      <c r="U57" s="1100"/>
      <c r="V57" s="1099"/>
      <c r="W57" s="1099"/>
      <c r="Z57" s="1311">
        <f t="shared" si="2"/>
        <v>0</v>
      </c>
      <c r="AA57" s="1374">
        <f t="shared" si="4"/>
        <v>0</v>
      </c>
      <c r="AB57" s="1374">
        <f t="shared" si="3"/>
        <v>0</v>
      </c>
    </row>
    <row r="58" spans="1:28" s="1216" customFormat="1" ht="60" customHeight="1">
      <c r="A58" s="1388" t="s">
        <v>124</v>
      </c>
      <c r="B58" s="1084" t="s">
        <v>1053</v>
      </c>
      <c r="C58" s="871">
        <f t="shared" si="6"/>
        <v>1300</v>
      </c>
      <c r="D58" s="1249">
        <v>0</v>
      </c>
      <c r="E58" s="1249">
        <v>1300</v>
      </c>
      <c r="F58" s="1395">
        <f t="shared" si="7"/>
        <v>1300</v>
      </c>
      <c r="G58" s="1397">
        <v>0</v>
      </c>
      <c r="H58" s="1397">
        <v>1300</v>
      </c>
      <c r="I58" s="1395">
        <f t="shared" si="8"/>
        <v>0</v>
      </c>
      <c r="J58" s="1396">
        <v>0</v>
      </c>
      <c r="K58" s="1396">
        <v>0</v>
      </c>
      <c r="L58" s="876">
        <f t="shared" si="9"/>
        <v>0</v>
      </c>
      <c r="M58" s="877">
        <f t="shared" si="9"/>
        <v>0</v>
      </c>
      <c r="N58" s="877">
        <f t="shared" si="9"/>
        <v>0</v>
      </c>
      <c r="O58" s="1214" t="s">
        <v>1182</v>
      </c>
      <c r="P58" s="1214" t="s">
        <v>1134</v>
      </c>
      <c r="Q58" s="1065">
        <f t="shared" si="1"/>
        <v>0</v>
      </c>
      <c r="R58" s="1065">
        <f t="shared" si="1"/>
        <v>0</v>
      </c>
      <c r="S58" s="1065">
        <f t="shared" si="1"/>
        <v>0</v>
      </c>
      <c r="T58" s="1099" t="s">
        <v>886</v>
      </c>
      <c r="U58" s="1100">
        <v>520343220</v>
      </c>
      <c r="V58" s="1099">
        <v>522</v>
      </c>
      <c r="W58" s="1099" t="s">
        <v>994</v>
      </c>
      <c r="Z58" s="1311">
        <f t="shared" si="2"/>
        <v>0</v>
      </c>
      <c r="AA58" s="1374">
        <f t="shared" si="4"/>
        <v>0</v>
      </c>
      <c r="AB58" s="1374">
        <f t="shared" si="3"/>
        <v>0</v>
      </c>
    </row>
    <row r="59" spans="1:28" s="1216" customFormat="1">
      <c r="A59" s="1388"/>
      <c r="B59" s="898" t="s">
        <v>712</v>
      </c>
      <c r="C59" s="871">
        <f t="shared" si="6"/>
        <v>2300</v>
      </c>
      <c r="D59" s="1250">
        <f>D60</f>
        <v>0</v>
      </c>
      <c r="E59" s="1250">
        <f>E60</f>
        <v>2300</v>
      </c>
      <c r="F59" s="1395">
        <f t="shared" si="7"/>
        <v>2300</v>
      </c>
      <c r="G59" s="875">
        <f>G60</f>
        <v>0</v>
      </c>
      <c r="H59" s="875">
        <f>H60</f>
        <v>2300</v>
      </c>
      <c r="I59" s="1395">
        <f>SUM(J59:K59)</f>
        <v>0</v>
      </c>
      <c r="J59" s="875">
        <f>J60</f>
        <v>0</v>
      </c>
      <c r="K59" s="875">
        <f>K60</f>
        <v>0</v>
      </c>
      <c r="L59" s="876">
        <f t="shared" si="9"/>
        <v>0</v>
      </c>
      <c r="M59" s="877">
        <f t="shared" si="9"/>
        <v>0</v>
      </c>
      <c r="N59" s="877">
        <f t="shared" si="9"/>
        <v>0</v>
      </c>
      <c r="O59" s="1214" t="s">
        <v>353</v>
      </c>
      <c r="P59" s="1214" t="s">
        <v>353</v>
      </c>
      <c r="Q59" s="1065">
        <f t="shared" si="1"/>
        <v>0</v>
      </c>
      <c r="R59" s="1065">
        <f t="shared" si="1"/>
        <v>0</v>
      </c>
      <c r="S59" s="1065">
        <f t="shared" si="1"/>
        <v>0</v>
      </c>
      <c r="T59" s="1099"/>
      <c r="U59" s="1100"/>
      <c r="V59" s="1099"/>
      <c r="W59" s="1099"/>
      <c r="Z59" s="1311">
        <f t="shared" si="2"/>
        <v>0</v>
      </c>
      <c r="AA59" s="1374">
        <f t="shared" si="4"/>
        <v>0</v>
      </c>
      <c r="AB59" s="1374">
        <f t="shared" si="3"/>
        <v>0</v>
      </c>
    </row>
    <row r="60" spans="1:28" s="1216" customFormat="1" ht="55.5" customHeight="1">
      <c r="A60" s="1388" t="s">
        <v>125</v>
      </c>
      <c r="B60" s="1084" t="s">
        <v>1054</v>
      </c>
      <c r="C60" s="871">
        <f t="shared" si="6"/>
        <v>2300</v>
      </c>
      <c r="D60" s="1249">
        <v>0</v>
      </c>
      <c r="E60" s="1249">
        <v>2300</v>
      </c>
      <c r="F60" s="1395">
        <f t="shared" si="7"/>
        <v>2300</v>
      </c>
      <c r="G60" s="1397">
        <v>0</v>
      </c>
      <c r="H60" s="1397">
        <v>2300</v>
      </c>
      <c r="I60" s="1395">
        <f t="shared" si="8"/>
        <v>0</v>
      </c>
      <c r="J60" s="1396">
        <v>0</v>
      </c>
      <c r="K60" s="1396">
        <v>0</v>
      </c>
      <c r="L60" s="876">
        <f t="shared" si="9"/>
        <v>0</v>
      </c>
      <c r="M60" s="877">
        <f t="shared" si="9"/>
        <v>0</v>
      </c>
      <c r="N60" s="877">
        <f t="shared" si="9"/>
        <v>0</v>
      </c>
      <c r="O60" s="1214" t="s">
        <v>1183</v>
      </c>
      <c r="P60" s="1214" t="s">
        <v>1135</v>
      </c>
      <c r="Q60" s="1065">
        <f t="shared" si="1"/>
        <v>0</v>
      </c>
      <c r="R60" s="1065">
        <f t="shared" si="1"/>
        <v>0</v>
      </c>
      <c r="S60" s="1065">
        <f t="shared" si="1"/>
        <v>0</v>
      </c>
      <c r="T60" s="1099" t="s">
        <v>886</v>
      </c>
      <c r="U60" s="1100" t="s">
        <v>967</v>
      </c>
      <c r="V60" s="1099">
        <v>522</v>
      </c>
      <c r="W60" s="1099" t="s">
        <v>983</v>
      </c>
      <c r="Z60" s="1311">
        <f t="shared" si="2"/>
        <v>0</v>
      </c>
      <c r="AA60" s="1374">
        <f t="shared" si="4"/>
        <v>0</v>
      </c>
      <c r="AB60" s="1374">
        <f t="shared" si="3"/>
        <v>0</v>
      </c>
    </row>
    <row r="61" spans="1:28" s="1216" customFormat="1">
      <c r="A61" s="1388"/>
      <c r="B61" s="898" t="s">
        <v>46</v>
      </c>
      <c r="C61" s="871">
        <f t="shared" si="6"/>
        <v>12500</v>
      </c>
      <c r="D61" s="1250">
        <f>D62</f>
        <v>0</v>
      </c>
      <c r="E61" s="1250">
        <f>E62</f>
        <v>12500</v>
      </c>
      <c r="F61" s="1395">
        <f t="shared" si="7"/>
        <v>12500</v>
      </c>
      <c r="G61" s="875">
        <f>G62</f>
        <v>0</v>
      </c>
      <c r="H61" s="875">
        <f>H62</f>
        <v>12500</v>
      </c>
      <c r="I61" s="1395">
        <f>SUM(J61:K61)</f>
        <v>0</v>
      </c>
      <c r="J61" s="875">
        <f>J62</f>
        <v>0</v>
      </c>
      <c r="K61" s="875">
        <f>K62</f>
        <v>0</v>
      </c>
      <c r="L61" s="876">
        <f t="shared" si="9"/>
        <v>0</v>
      </c>
      <c r="M61" s="877">
        <f t="shared" si="9"/>
        <v>0</v>
      </c>
      <c r="N61" s="877">
        <f t="shared" si="9"/>
        <v>0</v>
      </c>
      <c r="O61" s="1214" t="s">
        <v>353</v>
      </c>
      <c r="P61" s="1214" t="s">
        <v>353</v>
      </c>
      <c r="Q61" s="1065">
        <f t="shared" si="1"/>
        <v>0</v>
      </c>
      <c r="R61" s="1065">
        <f t="shared" si="1"/>
        <v>0</v>
      </c>
      <c r="S61" s="1065">
        <f t="shared" si="1"/>
        <v>0</v>
      </c>
      <c r="T61" s="1099"/>
      <c r="U61" s="1100"/>
      <c r="V61" s="1099"/>
      <c r="W61" s="1099"/>
      <c r="Z61" s="1311">
        <f t="shared" si="2"/>
        <v>0</v>
      </c>
      <c r="AA61" s="1374">
        <f t="shared" si="4"/>
        <v>0</v>
      </c>
      <c r="AB61" s="1374">
        <f t="shared" si="3"/>
        <v>0</v>
      </c>
    </row>
    <row r="62" spans="1:28" s="1216" customFormat="1" ht="120" customHeight="1">
      <c r="A62" s="1388" t="s">
        <v>126</v>
      </c>
      <c r="B62" s="1084" t="s">
        <v>1055</v>
      </c>
      <c r="C62" s="871">
        <f t="shared" si="6"/>
        <v>12500</v>
      </c>
      <c r="D62" s="1249">
        <v>0</v>
      </c>
      <c r="E62" s="1249">
        <v>12500</v>
      </c>
      <c r="F62" s="1395">
        <f t="shared" si="7"/>
        <v>12500</v>
      </c>
      <c r="G62" s="1397">
        <v>0</v>
      </c>
      <c r="H62" s="1397">
        <v>12500</v>
      </c>
      <c r="I62" s="1395"/>
      <c r="J62" s="1396">
        <v>0</v>
      </c>
      <c r="K62" s="1396">
        <v>0</v>
      </c>
      <c r="L62" s="876">
        <f t="shared" si="9"/>
        <v>0</v>
      </c>
      <c r="M62" s="877">
        <f t="shared" si="9"/>
        <v>0</v>
      </c>
      <c r="N62" s="877">
        <f t="shared" si="9"/>
        <v>0</v>
      </c>
      <c r="O62" s="1214" t="s">
        <v>1184</v>
      </c>
      <c r="P62" s="1214" t="s">
        <v>1136</v>
      </c>
      <c r="Q62" s="1065">
        <f t="shared" si="1"/>
        <v>0</v>
      </c>
      <c r="R62" s="1065">
        <f t="shared" si="1"/>
        <v>0</v>
      </c>
      <c r="S62" s="1065">
        <f t="shared" si="1"/>
        <v>0</v>
      </c>
      <c r="T62" s="1099" t="s">
        <v>886</v>
      </c>
      <c r="U62" s="1100" t="s">
        <v>966</v>
      </c>
      <c r="V62" s="1099">
        <v>522</v>
      </c>
      <c r="W62" s="1099" t="s">
        <v>977</v>
      </c>
      <c r="Z62" s="1311">
        <f t="shared" si="2"/>
        <v>0</v>
      </c>
      <c r="AA62" s="1374">
        <f t="shared" si="4"/>
        <v>0</v>
      </c>
      <c r="AB62" s="1374">
        <f t="shared" si="3"/>
        <v>0</v>
      </c>
    </row>
    <row r="63" spans="1:28">
      <c r="A63" s="1388"/>
      <c r="B63" s="898" t="s">
        <v>457</v>
      </c>
      <c r="C63" s="871">
        <f t="shared" si="6"/>
        <v>34000</v>
      </c>
      <c r="D63" s="1250">
        <f>SUM(D64:D68)</f>
        <v>0</v>
      </c>
      <c r="E63" s="1250">
        <f>SUM(E64:E68)</f>
        <v>34000</v>
      </c>
      <c r="F63" s="1395">
        <f t="shared" si="7"/>
        <v>34000</v>
      </c>
      <c r="G63" s="875">
        <f>SUM(G64:G68)</f>
        <v>0</v>
      </c>
      <c r="H63" s="875">
        <f>SUM(H64:H68)</f>
        <v>34000</v>
      </c>
      <c r="I63" s="1395">
        <f>SUM(J63:K63)</f>
        <v>0</v>
      </c>
      <c r="J63" s="875">
        <f>SUM(J64:J68)</f>
        <v>0</v>
      </c>
      <c r="K63" s="875">
        <f>SUM(K64:K68)</f>
        <v>0</v>
      </c>
      <c r="L63" s="876">
        <f t="shared" si="9"/>
        <v>0</v>
      </c>
      <c r="M63" s="877">
        <f t="shared" si="9"/>
        <v>0</v>
      </c>
      <c r="N63" s="877">
        <f t="shared" si="9"/>
        <v>0</v>
      </c>
      <c r="O63" s="1214" t="s">
        <v>353</v>
      </c>
      <c r="P63" s="1214" t="s">
        <v>353</v>
      </c>
      <c r="Q63" s="1065">
        <f t="shared" si="1"/>
        <v>0</v>
      </c>
      <c r="R63" s="1065">
        <f t="shared" si="1"/>
        <v>0</v>
      </c>
      <c r="S63" s="1065">
        <f t="shared" si="1"/>
        <v>0</v>
      </c>
      <c r="Z63" s="1311">
        <f t="shared" si="2"/>
        <v>0</v>
      </c>
      <c r="AA63" s="1374">
        <f t="shared" si="4"/>
        <v>0</v>
      </c>
      <c r="AB63" s="1374">
        <f t="shared" si="3"/>
        <v>0</v>
      </c>
    </row>
    <row r="64" spans="1:28" ht="105">
      <c r="A64" s="1388" t="s">
        <v>127</v>
      </c>
      <c r="B64" s="1084" t="s">
        <v>1056</v>
      </c>
      <c r="C64" s="871">
        <f t="shared" si="6"/>
        <v>10000</v>
      </c>
      <c r="D64" s="1249">
        <v>0</v>
      </c>
      <c r="E64" s="1249">
        <v>10000</v>
      </c>
      <c r="F64" s="1395">
        <f t="shared" si="7"/>
        <v>10000</v>
      </c>
      <c r="G64" s="1397">
        <v>0</v>
      </c>
      <c r="H64" s="1397">
        <v>10000</v>
      </c>
      <c r="I64" s="2450">
        <f>SUM(J64:K68)</f>
        <v>0</v>
      </c>
      <c r="J64" s="2440">
        <v>0</v>
      </c>
      <c r="K64" s="2440">
        <v>0</v>
      </c>
      <c r="L64" s="2446">
        <f>IF(I64=0,0,I64/F64:F68*100)</f>
        <v>0</v>
      </c>
      <c r="M64" s="2415">
        <f>IF(J64=0,0,J64/G64:G68*100)</f>
        <v>0</v>
      </c>
      <c r="N64" s="2415">
        <f>IF(K64=0,0,K64/H64:H68*100)</f>
        <v>0</v>
      </c>
      <c r="O64" s="1214" t="s">
        <v>1171</v>
      </c>
      <c r="P64" s="1213" t="s">
        <v>1137</v>
      </c>
      <c r="Q64" s="1065">
        <f t="shared" si="1"/>
        <v>0</v>
      </c>
      <c r="R64" s="1065">
        <f t="shared" si="1"/>
        <v>0</v>
      </c>
      <c r="S64" s="1065">
        <f t="shared" si="1"/>
        <v>0</v>
      </c>
      <c r="T64" s="2410" t="s">
        <v>886</v>
      </c>
      <c r="U64" s="2410" t="s">
        <v>966</v>
      </c>
      <c r="V64" s="2410">
        <v>522</v>
      </c>
      <c r="W64" s="2410" t="s">
        <v>979</v>
      </c>
      <c r="X64" s="2465"/>
      <c r="Z64" s="1311">
        <f t="shared" si="2"/>
        <v>0</v>
      </c>
      <c r="AA64" s="1374">
        <f t="shared" si="4"/>
        <v>0</v>
      </c>
      <c r="AB64" s="1374">
        <f t="shared" si="3"/>
        <v>0</v>
      </c>
    </row>
    <row r="65" spans="1:28" ht="164.25" customHeight="1">
      <c r="A65" s="1388" t="s">
        <v>128</v>
      </c>
      <c r="B65" s="1084" t="s">
        <v>1057</v>
      </c>
      <c r="C65" s="871">
        <f t="shared" si="6"/>
        <v>6400</v>
      </c>
      <c r="D65" s="1249">
        <v>0</v>
      </c>
      <c r="E65" s="1249">
        <v>6400</v>
      </c>
      <c r="F65" s="1395">
        <f t="shared" si="7"/>
        <v>6400</v>
      </c>
      <c r="G65" s="1397">
        <v>0</v>
      </c>
      <c r="H65" s="1397">
        <v>6400</v>
      </c>
      <c r="I65" s="2457"/>
      <c r="J65" s="2458"/>
      <c r="K65" s="2458"/>
      <c r="L65" s="2447"/>
      <c r="M65" s="2416"/>
      <c r="N65" s="2416"/>
      <c r="O65" s="1214" t="s">
        <v>1171</v>
      </c>
      <c r="P65" s="2472" t="s">
        <v>1138</v>
      </c>
      <c r="Q65" s="1065">
        <f t="shared" si="1"/>
        <v>0</v>
      </c>
      <c r="R65" s="1065">
        <f t="shared" si="1"/>
        <v>0</v>
      </c>
      <c r="S65" s="1065">
        <f t="shared" si="1"/>
        <v>0</v>
      </c>
      <c r="T65" s="2410"/>
      <c r="U65" s="2410"/>
      <c r="V65" s="2410"/>
      <c r="W65" s="2410"/>
      <c r="X65" s="2465"/>
      <c r="Z65" s="1311">
        <f t="shared" si="2"/>
        <v>0</v>
      </c>
      <c r="AA65" s="1374">
        <f t="shared" si="4"/>
        <v>0</v>
      </c>
      <c r="AB65" s="1374">
        <f t="shared" si="3"/>
        <v>0</v>
      </c>
    </row>
    <row r="66" spans="1:28" ht="157.5">
      <c r="A66" s="1388" t="s">
        <v>158</v>
      </c>
      <c r="B66" s="1084" t="s">
        <v>1058</v>
      </c>
      <c r="C66" s="871">
        <f t="shared" si="6"/>
        <v>4600</v>
      </c>
      <c r="D66" s="1249">
        <v>0</v>
      </c>
      <c r="E66" s="1249">
        <v>4600</v>
      </c>
      <c r="F66" s="1395">
        <f t="shared" si="7"/>
        <v>4600</v>
      </c>
      <c r="G66" s="1397">
        <v>0</v>
      </c>
      <c r="H66" s="1397">
        <v>4600</v>
      </c>
      <c r="I66" s="2457"/>
      <c r="J66" s="2458"/>
      <c r="K66" s="2458"/>
      <c r="L66" s="2447"/>
      <c r="M66" s="2416"/>
      <c r="N66" s="2416"/>
      <c r="O66" s="1214" t="s">
        <v>1171</v>
      </c>
      <c r="P66" s="2472"/>
      <c r="Q66" s="1065">
        <f t="shared" si="1"/>
        <v>0</v>
      </c>
      <c r="R66" s="1065">
        <f t="shared" si="1"/>
        <v>0</v>
      </c>
      <c r="S66" s="1065">
        <f t="shared" si="1"/>
        <v>0</v>
      </c>
      <c r="T66" s="2410"/>
      <c r="U66" s="2410"/>
      <c r="V66" s="2410"/>
      <c r="W66" s="2410"/>
      <c r="X66" s="2465"/>
      <c r="Z66" s="1311">
        <f t="shared" si="2"/>
        <v>0</v>
      </c>
      <c r="AA66" s="1374">
        <f t="shared" si="4"/>
        <v>0</v>
      </c>
      <c r="AB66" s="1374">
        <f t="shared" si="3"/>
        <v>0</v>
      </c>
    </row>
    <row r="67" spans="1:28" ht="141" customHeight="1">
      <c r="A67" s="1388" t="s">
        <v>129</v>
      </c>
      <c r="B67" s="1084" t="s">
        <v>1059</v>
      </c>
      <c r="C67" s="871">
        <f t="shared" si="6"/>
        <v>10000</v>
      </c>
      <c r="D67" s="1249">
        <v>0</v>
      </c>
      <c r="E67" s="1249">
        <v>10000</v>
      </c>
      <c r="F67" s="1395">
        <f t="shared" si="7"/>
        <v>10000</v>
      </c>
      <c r="G67" s="1397">
        <v>0</v>
      </c>
      <c r="H67" s="1397">
        <v>10000</v>
      </c>
      <c r="I67" s="2457"/>
      <c r="J67" s="2458"/>
      <c r="K67" s="2458"/>
      <c r="L67" s="2447"/>
      <c r="M67" s="2416"/>
      <c r="N67" s="2416"/>
      <c r="O67" s="1214" t="s">
        <v>1171</v>
      </c>
      <c r="P67" s="1213" t="s">
        <v>1137</v>
      </c>
      <c r="Q67" s="1065">
        <f t="shared" si="1"/>
        <v>0</v>
      </c>
      <c r="R67" s="1065">
        <f t="shared" si="1"/>
        <v>0</v>
      </c>
      <c r="S67" s="1065">
        <f t="shared" si="1"/>
        <v>0</v>
      </c>
      <c r="T67" s="2410"/>
      <c r="U67" s="2410"/>
      <c r="V67" s="2410"/>
      <c r="W67" s="2410"/>
      <c r="X67" s="2465"/>
      <c r="Z67" s="1311">
        <f t="shared" si="2"/>
        <v>0</v>
      </c>
      <c r="AA67" s="1374">
        <f t="shared" si="4"/>
        <v>0</v>
      </c>
      <c r="AB67" s="1374">
        <f t="shared" si="3"/>
        <v>0</v>
      </c>
    </row>
    <row r="68" spans="1:28" ht="150" customHeight="1">
      <c r="A68" s="1388" t="s">
        <v>159</v>
      </c>
      <c r="B68" s="1084" t="s">
        <v>1060</v>
      </c>
      <c r="C68" s="871">
        <f t="shared" si="6"/>
        <v>3000</v>
      </c>
      <c r="D68" s="1249">
        <v>0</v>
      </c>
      <c r="E68" s="1249">
        <v>3000</v>
      </c>
      <c r="F68" s="1395">
        <f t="shared" si="7"/>
        <v>3000</v>
      </c>
      <c r="G68" s="1397">
        <v>0</v>
      </c>
      <c r="H68" s="1397">
        <v>3000</v>
      </c>
      <c r="I68" s="2451"/>
      <c r="J68" s="2441"/>
      <c r="K68" s="2441"/>
      <c r="L68" s="2448"/>
      <c r="M68" s="2417"/>
      <c r="N68" s="2417"/>
      <c r="O68" s="1214" t="s">
        <v>1171</v>
      </c>
      <c r="P68" s="1213" t="s">
        <v>1137</v>
      </c>
      <c r="Q68" s="1065">
        <f t="shared" si="1"/>
        <v>0</v>
      </c>
      <c r="R68" s="1065">
        <f t="shared" si="1"/>
        <v>0</v>
      </c>
      <c r="S68" s="1065">
        <f t="shared" si="1"/>
        <v>0</v>
      </c>
      <c r="T68" s="2410"/>
      <c r="U68" s="2410"/>
      <c r="V68" s="2410"/>
      <c r="W68" s="2410"/>
      <c r="X68" s="2465"/>
      <c r="Z68" s="1311">
        <f t="shared" si="2"/>
        <v>0</v>
      </c>
      <c r="AA68" s="1374">
        <f t="shared" si="4"/>
        <v>0</v>
      </c>
      <c r="AB68" s="1374">
        <f t="shared" si="3"/>
        <v>0</v>
      </c>
    </row>
    <row r="69" spans="1:28" s="914" customFormat="1" ht="92.25" customHeight="1">
      <c r="A69" s="1090"/>
      <c r="B69" s="1277" t="s">
        <v>444</v>
      </c>
      <c r="C69" s="1090">
        <f>D69+E69</f>
        <v>325874.2</v>
      </c>
      <c r="D69" s="1090">
        <f>SUM(D70,D73,D76,D78,D80,D82,D85)</f>
        <v>306319.5</v>
      </c>
      <c r="E69" s="1090">
        <f>SUM(E70,E73,E76,E78,E80,E82,E85)</f>
        <v>19554.7</v>
      </c>
      <c r="F69" s="1090">
        <f>G69+H69</f>
        <v>325874.2</v>
      </c>
      <c r="G69" s="1091">
        <f>SUM(G70,G73,G76,G78,G80,G82,G85)</f>
        <v>306319.5</v>
      </c>
      <c r="H69" s="1091">
        <f>SUM(H70,H73,H76,H80,H78,H82,H85)</f>
        <v>19554.7</v>
      </c>
      <c r="I69" s="1090">
        <f>J69+K69</f>
        <v>49402.3</v>
      </c>
      <c r="J69" s="1090">
        <f>SUM(J70,J73,J76,J78,J80,J82,J85)</f>
        <v>46438</v>
      </c>
      <c r="K69" s="1090">
        <f>SUM(K70,K73,K76,K80,K78,K82,K85)</f>
        <v>2964.3</v>
      </c>
      <c r="L69" s="1092">
        <f t="shared" ref="L69:N89" si="10">IF(I69=0,0,I69/F69*100)</f>
        <v>15.2</v>
      </c>
      <c r="M69" s="1093">
        <f t="shared" si="10"/>
        <v>15.2</v>
      </c>
      <c r="N69" s="1093">
        <f t="shared" si="10"/>
        <v>15.2</v>
      </c>
      <c r="O69" s="1224" t="s">
        <v>1117</v>
      </c>
      <c r="P69" s="1224" t="s">
        <v>1117</v>
      </c>
      <c r="Q69" s="1065">
        <f t="shared" si="1"/>
        <v>0</v>
      </c>
      <c r="R69" s="1065">
        <f t="shared" si="1"/>
        <v>0</v>
      </c>
      <c r="S69" s="1065">
        <f t="shared" si="1"/>
        <v>0</v>
      </c>
      <c r="T69" s="1099"/>
      <c r="U69" s="1100"/>
      <c r="V69" s="1099"/>
      <c r="W69" s="1099"/>
      <c r="X69" s="1216"/>
      <c r="Z69" s="1311">
        <f t="shared" si="2"/>
        <v>0</v>
      </c>
      <c r="AA69" s="1374">
        <f t="shared" si="4"/>
        <v>0</v>
      </c>
      <c r="AB69" s="1374">
        <f t="shared" si="3"/>
        <v>0</v>
      </c>
    </row>
    <row r="70" spans="1:28">
      <c r="A70" s="1388"/>
      <c r="B70" s="1236" t="s">
        <v>431</v>
      </c>
      <c r="C70" s="871">
        <f t="shared" ref="C70:C119" si="11">SUM(D70:E70)</f>
        <v>53340.2</v>
      </c>
      <c r="D70" s="1251">
        <f>D71+D72</f>
        <v>50139.4</v>
      </c>
      <c r="E70" s="1251">
        <f>E71+E72</f>
        <v>3200.8</v>
      </c>
      <c r="F70" s="1395">
        <f t="shared" ref="F70:F119" si="12">SUM(G70:H70)</f>
        <v>53340.2</v>
      </c>
      <c r="G70" s="880">
        <f>G71+G72</f>
        <v>50139.4</v>
      </c>
      <c r="H70" s="880">
        <f>H71+H72</f>
        <v>3200.8</v>
      </c>
      <c r="I70" s="1395">
        <f t="shared" ref="I70:I119" si="13">SUM(J70:K70)</f>
        <v>18493</v>
      </c>
      <c r="J70" s="1395">
        <f>J71+J72</f>
        <v>17383.3</v>
      </c>
      <c r="K70" s="1395">
        <f>K71+K72</f>
        <v>1109.7</v>
      </c>
      <c r="L70" s="876">
        <f t="shared" si="10"/>
        <v>34.700000000000003</v>
      </c>
      <c r="M70" s="877">
        <f t="shared" si="10"/>
        <v>34.700000000000003</v>
      </c>
      <c r="N70" s="877">
        <f t="shared" si="10"/>
        <v>34.700000000000003</v>
      </c>
      <c r="O70" s="1214" t="s">
        <v>1117</v>
      </c>
      <c r="P70" s="1214" t="s">
        <v>1117</v>
      </c>
      <c r="Q70" s="1065">
        <f t="shared" si="1"/>
        <v>0</v>
      </c>
      <c r="R70" s="1065">
        <f t="shared" si="1"/>
        <v>0</v>
      </c>
      <c r="S70" s="1065">
        <f t="shared" si="1"/>
        <v>0</v>
      </c>
      <c r="Z70" s="1311">
        <f t="shared" si="2"/>
        <v>0</v>
      </c>
      <c r="AA70" s="1374">
        <f t="shared" si="4"/>
        <v>0</v>
      </c>
      <c r="AB70" s="1374">
        <f t="shared" si="3"/>
        <v>0</v>
      </c>
    </row>
    <row r="71" spans="1:28" ht="36.75" customHeight="1">
      <c r="A71" s="895">
        <v>35</v>
      </c>
      <c r="B71" s="1075" t="s">
        <v>690</v>
      </c>
      <c r="C71" s="871">
        <f t="shared" si="11"/>
        <v>11063.4</v>
      </c>
      <c r="D71" s="972">
        <f>10318.8+80.6</f>
        <v>10399.4</v>
      </c>
      <c r="E71" s="972">
        <f>658.8+5.15</f>
        <v>664</v>
      </c>
      <c r="F71" s="1395">
        <f t="shared" si="12"/>
        <v>11063.4</v>
      </c>
      <c r="G71" s="879">
        <f>D71</f>
        <v>10399.4</v>
      </c>
      <c r="H71" s="879">
        <f>E71</f>
        <v>664</v>
      </c>
      <c r="I71" s="1395">
        <f t="shared" si="13"/>
        <v>7060.4</v>
      </c>
      <c r="J71" s="1396">
        <v>6636.7</v>
      </c>
      <c r="K71" s="1396">
        <v>423.7</v>
      </c>
      <c r="L71" s="876">
        <f t="shared" si="10"/>
        <v>63.8</v>
      </c>
      <c r="M71" s="877">
        <f t="shared" si="10"/>
        <v>63.8</v>
      </c>
      <c r="N71" s="877">
        <f t="shared" si="10"/>
        <v>63.8</v>
      </c>
      <c r="O71" s="1214" t="s">
        <v>1185</v>
      </c>
      <c r="P71" s="1214" t="s">
        <v>1143</v>
      </c>
      <c r="Q71" s="1065">
        <f t="shared" si="1"/>
        <v>0</v>
      </c>
      <c r="R71" s="1065">
        <f t="shared" si="1"/>
        <v>0</v>
      </c>
      <c r="S71" s="1065">
        <f t="shared" si="1"/>
        <v>0</v>
      </c>
      <c r="T71" s="1099" t="s">
        <v>954</v>
      </c>
      <c r="U71" s="1100" t="s">
        <v>974</v>
      </c>
      <c r="V71" s="1099">
        <v>522</v>
      </c>
      <c r="W71" s="1099" t="s">
        <v>958</v>
      </c>
      <c r="Z71" s="1311">
        <f t="shared" si="2"/>
        <v>0</v>
      </c>
      <c r="AA71" s="1374">
        <f t="shared" si="4"/>
        <v>0</v>
      </c>
      <c r="AB71" s="1374">
        <f t="shared" si="3"/>
        <v>0</v>
      </c>
    </row>
    <row r="72" spans="1:28" ht="36.75" customHeight="1">
      <c r="A72" s="1388" t="s">
        <v>160</v>
      </c>
      <c r="B72" s="1075" t="s">
        <v>689</v>
      </c>
      <c r="C72" s="871">
        <f t="shared" si="11"/>
        <v>42276.800000000003</v>
      </c>
      <c r="D72" s="972">
        <f>7948+31792</f>
        <v>39740</v>
      </c>
      <c r="E72" s="972">
        <f>507.4+2029.44</f>
        <v>2536.8000000000002</v>
      </c>
      <c r="F72" s="1395">
        <f t="shared" si="12"/>
        <v>42276.800000000003</v>
      </c>
      <c r="G72" s="879">
        <f>D72</f>
        <v>39740</v>
      </c>
      <c r="H72" s="879">
        <f>E72</f>
        <v>2536.8000000000002</v>
      </c>
      <c r="I72" s="1395">
        <f t="shared" si="13"/>
        <v>11432.6</v>
      </c>
      <c r="J72" s="1396">
        <f>7948.036+2798.60235</f>
        <v>10746.6</v>
      </c>
      <c r="K72" s="1396">
        <f>507.363+178.648</f>
        <v>686</v>
      </c>
      <c r="L72" s="876">
        <f>I72/C72*100</f>
        <v>27</v>
      </c>
      <c r="M72" s="877">
        <f>J72/D72*100</f>
        <v>27</v>
      </c>
      <c r="N72" s="877">
        <f>K72/E72*100</f>
        <v>27</v>
      </c>
      <c r="O72" s="1214" t="s">
        <v>1186</v>
      </c>
      <c r="P72" s="1214" t="s">
        <v>1144</v>
      </c>
      <c r="Q72" s="1065">
        <f t="shared" si="1"/>
        <v>0</v>
      </c>
      <c r="R72" s="1065">
        <f t="shared" si="1"/>
        <v>0</v>
      </c>
      <c r="S72" s="1065">
        <f t="shared" si="1"/>
        <v>0</v>
      </c>
      <c r="T72" s="1099" t="s">
        <v>886</v>
      </c>
      <c r="U72" s="1100" t="s">
        <v>973</v>
      </c>
      <c r="V72" s="1099">
        <v>522</v>
      </c>
      <c r="W72" s="1099" t="s">
        <v>890</v>
      </c>
      <c r="X72" s="1225"/>
      <c r="Z72" s="1311">
        <f t="shared" si="2"/>
        <v>0</v>
      </c>
      <c r="AA72" s="1374">
        <f t="shared" si="4"/>
        <v>0</v>
      </c>
      <c r="AB72" s="1374">
        <f t="shared" si="3"/>
        <v>0</v>
      </c>
    </row>
    <row r="73" spans="1:28">
      <c r="A73" s="1388"/>
      <c r="B73" s="898" t="s">
        <v>457</v>
      </c>
      <c r="C73" s="871">
        <f t="shared" si="11"/>
        <v>39454.5</v>
      </c>
      <c r="D73" s="1252">
        <f>SUM(D74:D75)</f>
        <v>37086.9</v>
      </c>
      <c r="E73" s="1252">
        <f>SUM(E74:E75)</f>
        <v>2367.6</v>
      </c>
      <c r="F73" s="1395">
        <f t="shared" si="12"/>
        <v>39454.5</v>
      </c>
      <c r="G73" s="881">
        <f>SUM(G74:G75)</f>
        <v>37086.9</v>
      </c>
      <c r="H73" s="881">
        <f>SUM(H74:H75)</f>
        <v>2367.6</v>
      </c>
      <c r="I73" s="1395">
        <f t="shared" si="13"/>
        <v>12145.2</v>
      </c>
      <c r="J73" s="881">
        <f>SUM(J74:J75)</f>
        <v>11416.4</v>
      </c>
      <c r="K73" s="881">
        <f>SUM(K74:K75)</f>
        <v>728.8</v>
      </c>
      <c r="L73" s="1398">
        <f t="shared" si="10"/>
        <v>30.8</v>
      </c>
      <c r="M73" s="875">
        <f t="shared" si="10"/>
        <v>30.8</v>
      </c>
      <c r="N73" s="875">
        <f t="shared" si="10"/>
        <v>30.8</v>
      </c>
      <c r="O73" s="1214" t="s">
        <v>1117</v>
      </c>
      <c r="P73" s="1214" t="s">
        <v>1117</v>
      </c>
      <c r="Q73" s="1065">
        <f t="shared" si="1"/>
        <v>0</v>
      </c>
      <c r="R73" s="1065">
        <f t="shared" si="1"/>
        <v>0</v>
      </c>
      <c r="S73" s="1065">
        <f t="shared" si="1"/>
        <v>0</v>
      </c>
      <c r="Z73" s="1311">
        <f t="shared" si="2"/>
        <v>0</v>
      </c>
      <c r="AA73" s="1374">
        <f t="shared" si="4"/>
        <v>0</v>
      </c>
      <c r="AB73" s="1374">
        <f t="shared" si="3"/>
        <v>0</v>
      </c>
    </row>
    <row r="74" spans="1:28" ht="116.25">
      <c r="A74" s="1388" t="s">
        <v>532</v>
      </c>
      <c r="B74" s="1391" t="s">
        <v>838</v>
      </c>
      <c r="C74" s="871">
        <f t="shared" si="11"/>
        <v>8075.8</v>
      </c>
      <c r="D74" s="972">
        <f>7572.8+18.33</f>
        <v>7591.1</v>
      </c>
      <c r="E74" s="972">
        <f>483.5+1.17</f>
        <v>484.7</v>
      </c>
      <c r="F74" s="1395">
        <f t="shared" si="12"/>
        <v>8075.8</v>
      </c>
      <c r="G74" s="879">
        <f>D74</f>
        <v>7591.1</v>
      </c>
      <c r="H74" s="879">
        <f>E74</f>
        <v>484.7</v>
      </c>
      <c r="I74" s="1395">
        <f t="shared" si="13"/>
        <v>8036.6</v>
      </c>
      <c r="J74" s="1396">
        <v>7554.3</v>
      </c>
      <c r="K74" s="1396">
        <v>482.3</v>
      </c>
      <c r="L74" s="876">
        <f t="shared" si="10"/>
        <v>99.5</v>
      </c>
      <c r="M74" s="877">
        <f t="shared" si="10"/>
        <v>99.5</v>
      </c>
      <c r="N74" s="877">
        <f t="shared" si="10"/>
        <v>99.5</v>
      </c>
      <c r="O74" s="1383" t="s">
        <v>1187</v>
      </c>
      <c r="P74" s="1383" t="s">
        <v>1145</v>
      </c>
      <c r="Q74" s="1065">
        <f t="shared" si="1"/>
        <v>0</v>
      </c>
      <c r="R74" s="1065">
        <f t="shared" si="1"/>
        <v>0</v>
      </c>
      <c r="S74" s="1065">
        <f t="shared" si="1"/>
        <v>0</v>
      </c>
      <c r="T74" s="1099">
        <v>1102</v>
      </c>
      <c r="U74" s="1100" t="s">
        <v>981</v>
      </c>
      <c r="V74" s="1099">
        <v>522</v>
      </c>
      <c r="W74" s="1099" t="s">
        <v>958</v>
      </c>
      <c r="Z74" s="1311">
        <f t="shared" si="2"/>
        <v>0</v>
      </c>
      <c r="AA74" s="1374">
        <f t="shared" si="4"/>
        <v>0</v>
      </c>
      <c r="AB74" s="1374">
        <f t="shared" si="3"/>
        <v>0</v>
      </c>
    </row>
    <row r="75" spans="1:28" ht="47.25" customHeight="1">
      <c r="A75" s="895">
        <v>38</v>
      </c>
      <c r="B75" s="1075" t="s">
        <v>678</v>
      </c>
      <c r="C75" s="871">
        <f t="shared" si="11"/>
        <v>31378.7</v>
      </c>
      <c r="D75" s="972">
        <f>5899.2+23596.6</f>
        <v>29495.8</v>
      </c>
      <c r="E75" s="972">
        <f>376.6+1506.29</f>
        <v>1882.9</v>
      </c>
      <c r="F75" s="1395">
        <f t="shared" si="12"/>
        <v>31378.7</v>
      </c>
      <c r="G75" s="879">
        <f>D75</f>
        <v>29495.8</v>
      </c>
      <c r="H75" s="879">
        <f>E75</f>
        <v>1882.9</v>
      </c>
      <c r="I75" s="1395">
        <f t="shared" si="13"/>
        <v>4108.6000000000004</v>
      </c>
      <c r="J75" s="1396">
        <f>3862.1</f>
        <v>3862.1</v>
      </c>
      <c r="K75" s="1396">
        <v>246.5</v>
      </c>
      <c r="L75" s="876">
        <f t="shared" si="10"/>
        <v>13.1</v>
      </c>
      <c r="M75" s="877">
        <f t="shared" si="10"/>
        <v>13.1</v>
      </c>
      <c r="N75" s="877">
        <f t="shared" si="10"/>
        <v>13.1</v>
      </c>
      <c r="O75" s="1214" t="s">
        <v>1188</v>
      </c>
      <c r="P75" s="1214" t="s">
        <v>1139</v>
      </c>
      <c r="Q75" s="1065">
        <f t="shared" si="1"/>
        <v>0</v>
      </c>
      <c r="R75" s="1065">
        <f t="shared" si="1"/>
        <v>0</v>
      </c>
      <c r="S75" s="1065">
        <f t="shared" si="1"/>
        <v>0</v>
      </c>
      <c r="T75" s="1099" t="s">
        <v>886</v>
      </c>
      <c r="U75" s="1100" t="s">
        <v>980</v>
      </c>
      <c r="V75" s="1099">
        <v>522</v>
      </c>
      <c r="W75" s="1099" t="s">
        <v>890</v>
      </c>
      <c r="Z75" s="1311">
        <f t="shared" si="2"/>
        <v>0</v>
      </c>
      <c r="AA75" s="1374">
        <f t="shared" si="4"/>
        <v>0</v>
      </c>
      <c r="AB75" s="1374">
        <f t="shared" si="3"/>
        <v>0</v>
      </c>
    </row>
    <row r="76" spans="1:28">
      <c r="A76" s="1388"/>
      <c r="B76" s="898" t="s">
        <v>433</v>
      </c>
      <c r="C76" s="871">
        <f t="shared" si="11"/>
        <v>14049.3</v>
      </c>
      <c r="D76" s="1250">
        <f>D77</f>
        <v>13206.2</v>
      </c>
      <c r="E76" s="1250">
        <f>E77</f>
        <v>843.1</v>
      </c>
      <c r="F76" s="1395">
        <f t="shared" si="12"/>
        <v>14049.3</v>
      </c>
      <c r="G76" s="875">
        <f>G77</f>
        <v>13206.2</v>
      </c>
      <c r="H76" s="875">
        <f>H77</f>
        <v>843.1</v>
      </c>
      <c r="I76" s="1395">
        <f t="shared" si="13"/>
        <v>3862.8</v>
      </c>
      <c r="J76" s="875">
        <f>J77</f>
        <v>3631</v>
      </c>
      <c r="K76" s="875">
        <f>K77</f>
        <v>231.8</v>
      </c>
      <c r="L76" s="1398">
        <f t="shared" si="10"/>
        <v>27.5</v>
      </c>
      <c r="M76" s="1394">
        <f t="shared" si="10"/>
        <v>27.5</v>
      </c>
      <c r="N76" s="1394">
        <f t="shared" si="10"/>
        <v>27.5</v>
      </c>
      <c r="O76" s="1214" t="s">
        <v>353</v>
      </c>
      <c r="P76" s="1214" t="s">
        <v>353</v>
      </c>
      <c r="Q76" s="1065">
        <f t="shared" si="1"/>
        <v>0</v>
      </c>
      <c r="R76" s="1065">
        <f t="shared" si="1"/>
        <v>0</v>
      </c>
      <c r="S76" s="1065">
        <f t="shared" si="1"/>
        <v>0</v>
      </c>
      <c r="Z76" s="1311">
        <f t="shared" ref="Z76:Z139" si="14">C76-F76</f>
        <v>0</v>
      </c>
      <c r="AA76" s="1374">
        <f t="shared" si="4"/>
        <v>0</v>
      </c>
      <c r="AB76" s="1374">
        <f t="shared" ref="AB76:AB139" si="15">E76-H76</f>
        <v>0</v>
      </c>
    </row>
    <row r="77" spans="1:28" ht="40.5" customHeight="1">
      <c r="A77" s="1388" t="s">
        <v>536</v>
      </c>
      <c r="B77" s="1084" t="s">
        <v>679</v>
      </c>
      <c r="C77" s="871">
        <f t="shared" si="11"/>
        <v>14049.3</v>
      </c>
      <c r="D77" s="1249">
        <v>13206.2</v>
      </c>
      <c r="E77" s="1249">
        <v>843.1</v>
      </c>
      <c r="F77" s="1395">
        <f t="shared" si="12"/>
        <v>14049.3</v>
      </c>
      <c r="G77" s="879">
        <f>D77</f>
        <v>13206.2</v>
      </c>
      <c r="H77" s="879">
        <f>E77</f>
        <v>843.1</v>
      </c>
      <c r="I77" s="1395">
        <f t="shared" si="13"/>
        <v>3862.8</v>
      </c>
      <c r="J77" s="1397">
        <v>3631</v>
      </c>
      <c r="K77" s="1397">
        <v>231.8</v>
      </c>
      <c r="L77" s="876">
        <f t="shared" si="10"/>
        <v>27.5</v>
      </c>
      <c r="M77" s="877">
        <f t="shared" si="10"/>
        <v>27.5</v>
      </c>
      <c r="N77" s="877">
        <f t="shared" si="10"/>
        <v>27.5</v>
      </c>
      <c r="O77" s="1383" t="s">
        <v>1140</v>
      </c>
      <c r="P77" s="1383" t="s">
        <v>1141</v>
      </c>
      <c r="Q77" s="1065">
        <f t="shared" si="1"/>
        <v>0</v>
      </c>
      <c r="R77" s="1065">
        <f t="shared" si="1"/>
        <v>0</v>
      </c>
      <c r="S77" s="1065">
        <f t="shared" si="1"/>
        <v>0</v>
      </c>
      <c r="T77" s="1099" t="s">
        <v>954</v>
      </c>
      <c r="U77" s="1100" t="s">
        <v>982</v>
      </c>
      <c r="V77" s="1099">
        <v>522</v>
      </c>
      <c r="W77" s="1099" t="s">
        <v>958</v>
      </c>
      <c r="Z77" s="1311">
        <f t="shared" si="14"/>
        <v>0</v>
      </c>
      <c r="AA77" s="1374">
        <f t="shared" ref="AA77:AA140" si="16">C77-F77</f>
        <v>0</v>
      </c>
      <c r="AB77" s="1374">
        <f t="shared" si="15"/>
        <v>0</v>
      </c>
    </row>
    <row r="78" spans="1:28">
      <c r="A78" s="895"/>
      <c r="B78" s="898" t="s">
        <v>458</v>
      </c>
      <c r="C78" s="871">
        <f t="shared" si="11"/>
        <v>11408.6</v>
      </c>
      <c r="D78" s="1250">
        <f>D79</f>
        <v>10724</v>
      </c>
      <c r="E78" s="1250">
        <f>E79</f>
        <v>684.6</v>
      </c>
      <c r="F78" s="1395">
        <f t="shared" si="12"/>
        <v>11408.6</v>
      </c>
      <c r="G78" s="875">
        <f>G79</f>
        <v>10724</v>
      </c>
      <c r="H78" s="875">
        <f>H79</f>
        <v>684.6</v>
      </c>
      <c r="I78" s="1395">
        <f t="shared" si="13"/>
        <v>1408.3</v>
      </c>
      <c r="J78" s="875">
        <f>J79</f>
        <v>1323.8</v>
      </c>
      <c r="K78" s="875">
        <f>K79</f>
        <v>84.5</v>
      </c>
      <c r="L78" s="1398">
        <f t="shared" si="10"/>
        <v>12.3</v>
      </c>
      <c r="M78" s="1394">
        <f t="shared" si="10"/>
        <v>12.3</v>
      </c>
      <c r="N78" s="1394">
        <f t="shared" si="10"/>
        <v>12.3</v>
      </c>
      <c r="O78" s="1214" t="s">
        <v>353</v>
      </c>
      <c r="P78" s="1214" t="s">
        <v>353</v>
      </c>
      <c r="Q78" s="1065">
        <f t="shared" ref="Q78:S93" si="17">C78-F78</f>
        <v>0</v>
      </c>
      <c r="R78" s="1065">
        <f t="shared" si="17"/>
        <v>0</v>
      </c>
      <c r="S78" s="1065">
        <f t="shared" si="17"/>
        <v>0</v>
      </c>
      <c r="Z78" s="1311">
        <f t="shared" si="14"/>
        <v>0</v>
      </c>
      <c r="AA78" s="1374">
        <f t="shared" si="16"/>
        <v>0</v>
      </c>
      <c r="AB78" s="1374">
        <f t="shared" si="15"/>
        <v>0</v>
      </c>
    </row>
    <row r="79" spans="1:28" ht="50.25" customHeight="1">
      <c r="A79" s="1388" t="s">
        <v>131</v>
      </c>
      <c r="B79" s="1084" t="s">
        <v>680</v>
      </c>
      <c r="C79" s="871">
        <f t="shared" si="11"/>
        <v>11408.6</v>
      </c>
      <c r="D79" s="1249">
        <v>10724</v>
      </c>
      <c r="E79" s="1249">
        <v>684.6</v>
      </c>
      <c r="F79" s="1395">
        <f t="shared" si="12"/>
        <v>11408.6</v>
      </c>
      <c r="G79" s="879">
        <f>D79</f>
        <v>10724</v>
      </c>
      <c r="H79" s="879">
        <f>E79</f>
        <v>684.6</v>
      </c>
      <c r="I79" s="1395">
        <f t="shared" si="13"/>
        <v>1408.3</v>
      </c>
      <c r="J79" s="1396">
        <v>1323.8</v>
      </c>
      <c r="K79" s="1396">
        <v>84.5</v>
      </c>
      <c r="L79" s="876">
        <f t="shared" si="10"/>
        <v>12.3</v>
      </c>
      <c r="M79" s="877">
        <f t="shared" si="10"/>
        <v>12.3</v>
      </c>
      <c r="N79" s="877">
        <f t="shared" si="10"/>
        <v>12.3</v>
      </c>
      <c r="O79" s="1214" t="s">
        <v>1189</v>
      </c>
      <c r="P79" s="1383" t="s">
        <v>1142</v>
      </c>
      <c r="Q79" s="1065">
        <f t="shared" si="17"/>
        <v>0</v>
      </c>
      <c r="R79" s="1065">
        <f t="shared" si="17"/>
        <v>0</v>
      </c>
      <c r="S79" s="1065">
        <f t="shared" si="17"/>
        <v>0</v>
      </c>
      <c r="T79" s="1099" t="s">
        <v>954</v>
      </c>
      <c r="U79" s="1100" t="s">
        <v>997</v>
      </c>
      <c r="V79" s="1099">
        <v>522</v>
      </c>
      <c r="W79" s="1099" t="s">
        <v>958</v>
      </c>
      <c r="Z79" s="1311">
        <f t="shared" si="14"/>
        <v>0</v>
      </c>
      <c r="AA79" s="1374">
        <f t="shared" si="16"/>
        <v>0</v>
      </c>
      <c r="AB79" s="1374">
        <f t="shared" si="15"/>
        <v>0</v>
      </c>
    </row>
    <row r="80" spans="1:28">
      <c r="A80" s="895"/>
      <c r="B80" s="898" t="s">
        <v>443</v>
      </c>
      <c r="C80" s="871">
        <f t="shared" si="11"/>
        <v>55847.5</v>
      </c>
      <c r="D80" s="1250">
        <f>D81</f>
        <v>52496.6</v>
      </c>
      <c r="E80" s="1250">
        <f>E81</f>
        <v>3350.9</v>
      </c>
      <c r="F80" s="1395">
        <f t="shared" si="12"/>
        <v>55847.5</v>
      </c>
      <c r="G80" s="875">
        <f>G81</f>
        <v>52496.6</v>
      </c>
      <c r="H80" s="875">
        <f>H81</f>
        <v>3350.9</v>
      </c>
      <c r="I80" s="1395">
        <f t="shared" si="13"/>
        <v>374.1</v>
      </c>
      <c r="J80" s="875">
        <f>J81</f>
        <v>351.7</v>
      </c>
      <c r="K80" s="875">
        <f>K81</f>
        <v>22.4</v>
      </c>
      <c r="L80" s="876">
        <f t="shared" si="10"/>
        <v>0.7</v>
      </c>
      <c r="M80" s="877">
        <f t="shared" si="10"/>
        <v>0.7</v>
      </c>
      <c r="N80" s="877">
        <f t="shared" si="10"/>
        <v>0.7</v>
      </c>
      <c r="O80" s="1214" t="s">
        <v>353</v>
      </c>
      <c r="P80" s="1214" t="s">
        <v>353</v>
      </c>
      <c r="Q80" s="1065">
        <f t="shared" si="17"/>
        <v>0</v>
      </c>
      <c r="R80" s="1065">
        <f t="shared" si="17"/>
        <v>0</v>
      </c>
      <c r="S80" s="1065">
        <f t="shared" si="17"/>
        <v>0</v>
      </c>
      <c r="Z80" s="1311">
        <f t="shared" si="14"/>
        <v>0</v>
      </c>
      <c r="AA80" s="1374">
        <f t="shared" si="16"/>
        <v>0</v>
      </c>
      <c r="AB80" s="1374">
        <f t="shared" si="15"/>
        <v>0</v>
      </c>
    </row>
    <row r="81" spans="1:28" ht="50.25" customHeight="1">
      <c r="A81" s="1388" t="s">
        <v>555</v>
      </c>
      <c r="B81" s="1084" t="s">
        <v>681</v>
      </c>
      <c r="C81" s="871">
        <f t="shared" si="11"/>
        <v>55847.5</v>
      </c>
      <c r="D81" s="1249">
        <f>52494.2+2.4</f>
        <v>52496.6</v>
      </c>
      <c r="E81" s="1249">
        <f>3350.7+0.16</f>
        <v>3350.9</v>
      </c>
      <c r="F81" s="1395">
        <f t="shared" si="12"/>
        <v>55847.5</v>
      </c>
      <c r="G81" s="879">
        <f>D81</f>
        <v>52496.6</v>
      </c>
      <c r="H81" s="879">
        <f>E81</f>
        <v>3350.9</v>
      </c>
      <c r="I81" s="1395">
        <f t="shared" si="13"/>
        <v>374.1</v>
      </c>
      <c r="J81" s="1396">
        <v>351.7</v>
      </c>
      <c r="K81" s="1396">
        <v>22.4</v>
      </c>
      <c r="L81" s="876">
        <f t="shared" si="10"/>
        <v>0.7</v>
      </c>
      <c r="M81" s="877">
        <f t="shared" si="10"/>
        <v>0.7</v>
      </c>
      <c r="N81" s="877">
        <f t="shared" si="10"/>
        <v>0.7</v>
      </c>
      <c r="O81" s="1383" t="s">
        <v>1190</v>
      </c>
      <c r="P81" s="1214" t="s">
        <v>1146</v>
      </c>
      <c r="Q81" s="1065">
        <f t="shared" si="17"/>
        <v>0</v>
      </c>
      <c r="R81" s="1065">
        <f t="shared" si="17"/>
        <v>0</v>
      </c>
      <c r="S81" s="1065">
        <f t="shared" si="17"/>
        <v>0</v>
      </c>
      <c r="T81" s="1099" t="s">
        <v>874</v>
      </c>
      <c r="U81" s="1100" t="s">
        <v>984</v>
      </c>
      <c r="V81" s="1099">
        <v>522</v>
      </c>
      <c r="W81" s="1099" t="s">
        <v>985</v>
      </c>
      <c r="Z81" s="1311">
        <f t="shared" si="14"/>
        <v>0</v>
      </c>
      <c r="AA81" s="1374">
        <f t="shared" si="16"/>
        <v>0</v>
      </c>
      <c r="AB81" s="1374">
        <f t="shared" si="15"/>
        <v>0</v>
      </c>
    </row>
    <row r="82" spans="1:28">
      <c r="A82" s="895"/>
      <c r="B82" s="898" t="s">
        <v>281</v>
      </c>
      <c r="C82" s="871">
        <f t="shared" si="11"/>
        <v>115657.60000000001</v>
      </c>
      <c r="D82" s="1250">
        <f>SUM(D83:D84)</f>
        <v>108717.1</v>
      </c>
      <c r="E82" s="1250">
        <f>SUM(E83:E84)</f>
        <v>6940.5</v>
      </c>
      <c r="F82" s="1395">
        <f t="shared" si="12"/>
        <v>115657.60000000001</v>
      </c>
      <c r="G82" s="875">
        <f>SUM(G83:G84)</f>
        <v>108717.1</v>
      </c>
      <c r="H82" s="875">
        <f>SUM(H83:H84)</f>
        <v>6940.5</v>
      </c>
      <c r="I82" s="1395">
        <f t="shared" si="13"/>
        <v>12341.9</v>
      </c>
      <c r="J82" s="875">
        <f>SUM(J83:J84)</f>
        <v>11601.4</v>
      </c>
      <c r="K82" s="875">
        <f>SUM(K83:K84)</f>
        <v>740.5</v>
      </c>
      <c r="L82" s="876">
        <f t="shared" si="10"/>
        <v>10.7</v>
      </c>
      <c r="M82" s="877">
        <f t="shared" si="10"/>
        <v>10.7</v>
      </c>
      <c r="N82" s="877">
        <f t="shared" si="10"/>
        <v>10.7</v>
      </c>
      <c r="O82" s="1214" t="s">
        <v>353</v>
      </c>
      <c r="P82" s="1214" t="s">
        <v>353</v>
      </c>
      <c r="Q82" s="1065">
        <f t="shared" si="17"/>
        <v>0</v>
      </c>
      <c r="R82" s="1065">
        <f t="shared" si="17"/>
        <v>0</v>
      </c>
      <c r="S82" s="1065">
        <f t="shared" si="17"/>
        <v>0</v>
      </c>
      <c r="Z82" s="1311">
        <f t="shared" si="14"/>
        <v>0</v>
      </c>
      <c r="AA82" s="1374">
        <f t="shared" si="16"/>
        <v>0</v>
      </c>
      <c r="AB82" s="1374">
        <f t="shared" si="15"/>
        <v>0</v>
      </c>
    </row>
    <row r="83" spans="1:28" ht="66" customHeight="1">
      <c r="A83" s="1384" t="s">
        <v>1308</v>
      </c>
      <c r="B83" s="1086" t="s">
        <v>682</v>
      </c>
      <c r="C83" s="1402">
        <f t="shared" si="11"/>
        <v>84139</v>
      </c>
      <c r="D83" s="1254">
        <f>75135.3+3954.5</f>
        <v>79089.8</v>
      </c>
      <c r="E83" s="1249">
        <f>4796.7+252.5</f>
        <v>5049.2</v>
      </c>
      <c r="F83" s="1392">
        <f t="shared" si="12"/>
        <v>84139</v>
      </c>
      <c r="G83" s="879">
        <f>D83</f>
        <v>79089.8</v>
      </c>
      <c r="H83" s="879">
        <f>E83</f>
        <v>5049.2</v>
      </c>
      <c r="I83" s="1392">
        <f t="shared" si="13"/>
        <v>12341.9</v>
      </c>
      <c r="J83" s="1389">
        <v>11601.4</v>
      </c>
      <c r="K83" s="1396">
        <v>740.5</v>
      </c>
      <c r="L83" s="1393">
        <f t="shared" si="10"/>
        <v>14.7</v>
      </c>
      <c r="M83" s="1387">
        <f t="shared" si="10"/>
        <v>14.7</v>
      </c>
      <c r="N83" s="1394">
        <f t="shared" si="10"/>
        <v>14.7</v>
      </c>
      <c r="O83" s="1214" t="s">
        <v>1147</v>
      </c>
      <c r="P83" s="1214" t="s">
        <v>1148</v>
      </c>
      <c r="Q83" s="1065">
        <f t="shared" si="17"/>
        <v>0</v>
      </c>
      <c r="R83" s="1065">
        <f t="shared" si="17"/>
        <v>0</v>
      </c>
      <c r="S83" s="1065">
        <f t="shared" si="17"/>
        <v>0</v>
      </c>
      <c r="T83" s="1099" t="s">
        <v>928</v>
      </c>
      <c r="U83" s="1100" t="s">
        <v>987</v>
      </c>
      <c r="V83" s="1099">
        <v>522</v>
      </c>
      <c r="W83" s="1099" t="s">
        <v>930</v>
      </c>
      <c r="Z83" s="1311">
        <f t="shared" si="14"/>
        <v>0</v>
      </c>
      <c r="AA83" s="1374">
        <f t="shared" si="16"/>
        <v>0</v>
      </c>
      <c r="AB83" s="1374">
        <f t="shared" si="15"/>
        <v>0</v>
      </c>
    </row>
    <row r="84" spans="1:28" ht="72" customHeight="1">
      <c r="A84" s="1388" t="s">
        <v>556</v>
      </c>
      <c r="B84" s="1084" t="s">
        <v>1345</v>
      </c>
      <c r="C84" s="871">
        <f t="shared" si="11"/>
        <v>31518.6</v>
      </c>
      <c r="D84" s="1249">
        <f>29034.8+592.5</f>
        <v>29627.3</v>
      </c>
      <c r="E84" s="1249">
        <f>1853.5+37.83</f>
        <v>1891.3</v>
      </c>
      <c r="F84" s="1395">
        <f t="shared" si="12"/>
        <v>31518.6</v>
      </c>
      <c r="G84" s="879">
        <f>D84</f>
        <v>29627.3</v>
      </c>
      <c r="H84" s="879">
        <f>E84</f>
        <v>1891.3</v>
      </c>
      <c r="I84" s="1395">
        <f t="shared" si="13"/>
        <v>0</v>
      </c>
      <c r="J84" s="1396">
        <v>0</v>
      </c>
      <c r="K84" s="1396">
        <v>0</v>
      </c>
      <c r="L84" s="876">
        <f t="shared" si="10"/>
        <v>0</v>
      </c>
      <c r="M84" s="877">
        <f t="shared" si="10"/>
        <v>0</v>
      </c>
      <c r="N84" s="877">
        <f t="shared" si="10"/>
        <v>0</v>
      </c>
      <c r="O84" s="1214" t="s">
        <v>1191</v>
      </c>
      <c r="P84" s="1214" t="s">
        <v>1118</v>
      </c>
      <c r="Q84" s="1065">
        <f t="shared" si="17"/>
        <v>0</v>
      </c>
      <c r="R84" s="1065">
        <f t="shared" si="17"/>
        <v>0</v>
      </c>
      <c r="S84" s="1065">
        <f t="shared" si="17"/>
        <v>0</v>
      </c>
      <c r="T84" s="1099" t="s">
        <v>954</v>
      </c>
      <c r="U84" s="1100" t="s">
        <v>998</v>
      </c>
      <c r="V84" s="1099">
        <v>522</v>
      </c>
      <c r="W84" s="1099" t="s">
        <v>958</v>
      </c>
      <c r="Z84" s="1311">
        <f t="shared" si="14"/>
        <v>0</v>
      </c>
      <c r="AA84" s="1374">
        <f t="shared" si="16"/>
        <v>0</v>
      </c>
      <c r="AB84" s="1374">
        <f t="shared" si="15"/>
        <v>0</v>
      </c>
    </row>
    <row r="85" spans="1:28">
      <c r="A85" s="1388"/>
      <c r="B85" s="898" t="s">
        <v>583</v>
      </c>
      <c r="C85" s="871">
        <f t="shared" si="11"/>
        <v>36116.5</v>
      </c>
      <c r="D85" s="1250">
        <f>SUM(D86:D86)</f>
        <v>33949.300000000003</v>
      </c>
      <c r="E85" s="1250">
        <f>SUM(E86:E86)</f>
        <v>2167.1999999999998</v>
      </c>
      <c r="F85" s="1395">
        <f t="shared" si="12"/>
        <v>36116.5</v>
      </c>
      <c r="G85" s="875">
        <f>SUM(G86:G86)</f>
        <v>33949.300000000003</v>
      </c>
      <c r="H85" s="875">
        <f>SUM(H86:H86)</f>
        <v>2167.1999999999998</v>
      </c>
      <c r="I85" s="1395">
        <f t="shared" si="13"/>
        <v>777</v>
      </c>
      <c r="J85" s="875">
        <f>SUM(J86:J86)</f>
        <v>730.4</v>
      </c>
      <c r="K85" s="875">
        <f>SUM(K86:K86)</f>
        <v>46.6</v>
      </c>
      <c r="L85" s="876">
        <f t="shared" si="10"/>
        <v>2.2000000000000002</v>
      </c>
      <c r="M85" s="877">
        <f t="shared" si="10"/>
        <v>2.2000000000000002</v>
      </c>
      <c r="N85" s="877">
        <f t="shared" si="10"/>
        <v>2.2000000000000002</v>
      </c>
      <c r="O85" s="1214" t="s">
        <v>353</v>
      </c>
      <c r="P85" s="1214" t="s">
        <v>353</v>
      </c>
      <c r="Q85" s="1065">
        <f t="shared" si="17"/>
        <v>0</v>
      </c>
      <c r="R85" s="1065">
        <f t="shared" si="17"/>
        <v>0</v>
      </c>
      <c r="S85" s="1065">
        <f t="shared" si="17"/>
        <v>0</v>
      </c>
      <c r="Z85" s="1311">
        <f t="shared" si="14"/>
        <v>0</v>
      </c>
      <c r="AA85" s="1374">
        <f t="shared" si="16"/>
        <v>0</v>
      </c>
      <c r="AB85" s="1374">
        <f t="shared" si="15"/>
        <v>0</v>
      </c>
    </row>
    <row r="86" spans="1:28" ht="39" customHeight="1">
      <c r="A86" s="1388" t="s">
        <v>162</v>
      </c>
      <c r="B86" s="1075" t="s">
        <v>684</v>
      </c>
      <c r="C86" s="871">
        <f t="shared" si="11"/>
        <v>36116.5</v>
      </c>
      <c r="D86" s="1249">
        <f>8487.1+25462.18</f>
        <v>33949.300000000003</v>
      </c>
      <c r="E86" s="1249">
        <f>541.8+1625.38</f>
        <v>2167.1999999999998</v>
      </c>
      <c r="F86" s="1395">
        <f t="shared" si="12"/>
        <v>36116.5</v>
      </c>
      <c r="G86" s="879">
        <f>D86</f>
        <v>33949.300000000003</v>
      </c>
      <c r="H86" s="879">
        <f>E86</f>
        <v>2167.1999999999998</v>
      </c>
      <c r="I86" s="1395">
        <f t="shared" si="13"/>
        <v>777</v>
      </c>
      <c r="J86" s="1396">
        <v>730.4</v>
      </c>
      <c r="K86" s="1396">
        <v>46.6</v>
      </c>
      <c r="L86" s="876">
        <f t="shared" si="10"/>
        <v>2.2000000000000002</v>
      </c>
      <c r="M86" s="877">
        <f t="shared" si="10"/>
        <v>2.2000000000000002</v>
      </c>
      <c r="N86" s="877">
        <f t="shared" si="10"/>
        <v>2.2000000000000002</v>
      </c>
      <c r="O86" s="1214" t="s">
        <v>1149</v>
      </c>
      <c r="P86" s="1214" t="s">
        <v>1150</v>
      </c>
      <c r="Q86" s="1065">
        <f t="shared" si="17"/>
        <v>0</v>
      </c>
      <c r="R86" s="1065">
        <f t="shared" si="17"/>
        <v>0</v>
      </c>
      <c r="S86" s="1065">
        <f t="shared" si="17"/>
        <v>0</v>
      </c>
      <c r="T86" s="1099" t="s">
        <v>886</v>
      </c>
      <c r="U86" s="1100" t="s">
        <v>996</v>
      </c>
      <c r="V86" s="1099">
        <v>522</v>
      </c>
      <c r="W86" s="1099" t="s">
        <v>890</v>
      </c>
      <c r="Z86" s="1311">
        <f t="shared" si="14"/>
        <v>0</v>
      </c>
      <c r="AA86" s="1374">
        <f t="shared" si="16"/>
        <v>0</v>
      </c>
      <c r="AB86" s="1374">
        <f t="shared" si="15"/>
        <v>0</v>
      </c>
    </row>
    <row r="87" spans="1:28" s="914" customFormat="1" ht="135" customHeight="1">
      <c r="A87" s="1047" t="s">
        <v>2</v>
      </c>
      <c r="B87" s="1275" t="s">
        <v>313</v>
      </c>
      <c r="C87" s="1047">
        <f t="shared" si="11"/>
        <v>3583404.1</v>
      </c>
      <c r="D87" s="1047">
        <f>D88</f>
        <v>2888474.3</v>
      </c>
      <c r="E87" s="1047">
        <f>E88</f>
        <v>694929.8</v>
      </c>
      <c r="F87" s="1047">
        <f t="shared" si="12"/>
        <v>3571103.8</v>
      </c>
      <c r="G87" s="1047">
        <f>G88</f>
        <v>2876174</v>
      </c>
      <c r="H87" s="1047">
        <f>H88</f>
        <v>694929.8</v>
      </c>
      <c r="I87" s="1047">
        <f t="shared" si="13"/>
        <v>470516.6</v>
      </c>
      <c r="J87" s="1047">
        <f>J88</f>
        <v>359029.9</v>
      </c>
      <c r="K87" s="1047">
        <f>K88</f>
        <v>111486.7</v>
      </c>
      <c r="L87" s="1048">
        <f t="shared" si="10"/>
        <v>13.2</v>
      </c>
      <c r="M87" s="1049">
        <f t="shared" si="10"/>
        <v>12.5</v>
      </c>
      <c r="N87" s="1049">
        <f t="shared" si="10"/>
        <v>16</v>
      </c>
      <c r="O87" s="1227" t="s">
        <v>353</v>
      </c>
      <c r="P87" s="1227" t="s">
        <v>353</v>
      </c>
      <c r="Q87" s="1065">
        <f t="shared" si="17"/>
        <v>12300.3</v>
      </c>
      <c r="R87" s="1065">
        <f t="shared" si="17"/>
        <v>12300.3</v>
      </c>
      <c r="S87" s="1065">
        <f t="shared" si="17"/>
        <v>0</v>
      </c>
      <c r="T87" s="1099"/>
      <c r="U87" s="1100"/>
      <c r="V87" s="1099"/>
      <c r="W87" s="1099"/>
      <c r="X87" s="1216"/>
      <c r="Z87" s="1311">
        <f t="shared" si="14"/>
        <v>12300.3</v>
      </c>
      <c r="AA87" s="1374">
        <f t="shared" si="16"/>
        <v>12300.3</v>
      </c>
      <c r="AB87" s="1374">
        <f t="shared" si="15"/>
        <v>0</v>
      </c>
    </row>
    <row r="88" spans="1:28" s="914" customFormat="1" ht="63.75" customHeight="1">
      <c r="A88" s="933" t="s">
        <v>246</v>
      </c>
      <c r="B88" s="1276" t="s">
        <v>41</v>
      </c>
      <c r="C88" s="933">
        <f t="shared" si="11"/>
        <v>3583404.1</v>
      </c>
      <c r="D88" s="933">
        <f>SUM(D89:D144)</f>
        <v>2888474.3</v>
      </c>
      <c r="E88" s="933">
        <f>SUM(E89:E144)</f>
        <v>694929.8</v>
      </c>
      <c r="F88" s="933">
        <f>SUM(G88:H88)</f>
        <v>3571103.8</v>
      </c>
      <c r="G88" s="934">
        <f>SUM(G89:G144)</f>
        <v>2876174</v>
      </c>
      <c r="H88" s="934">
        <f>SUM(H89:H144)</f>
        <v>694929.8</v>
      </c>
      <c r="I88" s="933">
        <f t="shared" si="13"/>
        <v>470516.6</v>
      </c>
      <c r="J88" s="933">
        <f>SUM(J89:J144)</f>
        <v>359029.9</v>
      </c>
      <c r="K88" s="933">
        <f>SUM(K89:K144)</f>
        <v>111486.7</v>
      </c>
      <c r="L88" s="935">
        <f t="shared" si="10"/>
        <v>13.2</v>
      </c>
      <c r="M88" s="936">
        <f t="shared" si="10"/>
        <v>12.5</v>
      </c>
      <c r="N88" s="936">
        <f t="shared" si="10"/>
        <v>16</v>
      </c>
      <c r="O88" s="1226" t="s">
        <v>353</v>
      </c>
      <c r="P88" s="1226" t="s">
        <v>353</v>
      </c>
      <c r="Q88" s="1065">
        <f t="shared" si="17"/>
        <v>12300.3</v>
      </c>
      <c r="R88" s="1065">
        <f t="shared" si="17"/>
        <v>12300.3</v>
      </c>
      <c r="S88" s="1065">
        <f t="shared" si="17"/>
        <v>0</v>
      </c>
      <c r="T88" s="1099"/>
      <c r="U88" s="1100"/>
      <c r="V88" s="1099"/>
      <c r="W88" s="1099"/>
      <c r="X88" s="1216"/>
      <c r="Z88" s="1311">
        <f t="shared" si="14"/>
        <v>12300.3</v>
      </c>
      <c r="AA88" s="1374">
        <f t="shared" si="16"/>
        <v>12300.3</v>
      </c>
      <c r="AB88" s="1374">
        <f t="shared" si="15"/>
        <v>0</v>
      </c>
    </row>
    <row r="89" spans="1:28" s="892" customFormat="1" ht="111" customHeight="1">
      <c r="A89" s="1120" t="s">
        <v>824</v>
      </c>
      <c r="B89" s="1066" t="s">
        <v>434</v>
      </c>
      <c r="C89" s="871">
        <f>SUM(D89:E89)</f>
        <v>109862.6</v>
      </c>
      <c r="D89" s="873">
        <v>105115.4</v>
      </c>
      <c r="E89" s="873">
        <v>4747.2</v>
      </c>
      <c r="F89" s="1398">
        <f t="shared" si="12"/>
        <v>109862.6</v>
      </c>
      <c r="G89" s="877">
        <f>105115.4</f>
        <v>105115.4</v>
      </c>
      <c r="H89" s="877">
        <v>4747.2</v>
      </c>
      <c r="I89" s="1398">
        <f t="shared" si="13"/>
        <v>4747.1000000000004</v>
      </c>
      <c r="J89" s="1394">
        <v>0</v>
      </c>
      <c r="K89" s="1394">
        <v>4747.1000000000004</v>
      </c>
      <c r="L89" s="876">
        <f t="shared" si="10"/>
        <v>4.3</v>
      </c>
      <c r="M89" s="877">
        <f t="shared" si="10"/>
        <v>0</v>
      </c>
      <c r="N89" s="877">
        <f t="shared" si="10"/>
        <v>100</v>
      </c>
      <c r="O89" s="1214" t="s">
        <v>353</v>
      </c>
      <c r="P89" s="1214" t="s">
        <v>1099</v>
      </c>
      <c r="Q89" s="1065">
        <f t="shared" si="17"/>
        <v>0</v>
      </c>
      <c r="R89" s="1065">
        <f t="shared" si="17"/>
        <v>0</v>
      </c>
      <c r="S89" s="1065">
        <f t="shared" si="17"/>
        <v>0</v>
      </c>
      <c r="T89" s="1099" t="s">
        <v>880</v>
      </c>
      <c r="U89" s="1100" t="s">
        <v>881</v>
      </c>
      <c r="V89" s="1099" t="s">
        <v>882</v>
      </c>
      <c r="W89" s="1099"/>
      <c r="X89" s="1216"/>
      <c r="Z89" s="1311">
        <f t="shared" si="14"/>
        <v>0</v>
      </c>
      <c r="AA89" s="1374">
        <f t="shared" si="16"/>
        <v>0</v>
      </c>
      <c r="AB89" s="1374">
        <f t="shared" si="15"/>
        <v>0</v>
      </c>
    </row>
    <row r="90" spans="1:28" ht="104.25" customHeight="1">
      <c r="A90" s="1388" t="s">
        <v>545</v>
      </c>
      <c r="B90" s="973" t="s">
        <v>793</v>
      </c>
      <c r="C90" s="871">
        <f t="shared" si="11"/>
        <v>5176.2</v>
      </c>
      <c r="D90" s="972">
        <v>0</v>
      </c>
      <c r="E90" s="972">
        <v>5176.2</v>
      </c>
      <c r="F90" s="1395">
        <f>SUM(G90:H90)</f>
        <v>5176.2</v>
      </c>
      <c r="G90" s="879">
        <v>0</v>
      </c>
      <c r="H90" s="879">
        <v>5176.2</v>
      </c>
      <c r="I90" s="1395">
        <f t="shared" si="13"/>
        <v>0</v>
      </c>
      <c r="J90" s="1396">
        <v>0</v>
      </c>
      <c r="K90" s="1396">
        <v>0</v>
      </c>
      <c r="L90" s="876">
        <v>0</v>
      </c>
      <c r="M90" s="877">
        <f t="shared" ref="M90:N98" si="18">IF(J90=0,0,J90/G90*100)</f>
        <v>0</v>
      </c>
      <c r="N90" s="877">
        <f t="shared" si="18"/>
        <v>0</v>
      </c>
      <c r="O90" s="1214" t="s">
        <v>1192</v>
      </c>
      <c r="P90" s="1214" t="s">
        <v>1151</v>
      </c>
      <c r="Q90" s="1065">
        <f t="shared" si="17"/>
        <v>0</v>
      </c>
      <c r="R90" s="1065">
        <f t="shared" si="17"/>
        <v>0</v>
      </c>
      <c r="S90" s="1065">
        <f t="shared" si="17"/>
        <v>0</v>
      </c>
      <c r="T90" s="1099" t="s">
        <v>886</v>
      </c>
      <c r="U90" s="1100" t="s">
        <v>895</v>
      </c>
      <c r="V90" s="1099">
        <v>414</v>
      </c>
      <c r="W90" s="1099">
        <v>30131</v>
      </c>
      <c r="Z90" s="1311">
        <f t="shared" si="14"/>
        <v>0</v>
      </c>
      <c r="AA90" s="1374">
        <f t="shared" si="16"/>
        <v>0</v>
      </c>
      <c r="AB90" s="1374">
        <f t="shared" si="15"/>
        <v>0</v>
      </c>
    </row>
    <row r="91" spans="1:28" ht="65.25" customHeight="1">
      <c r="A91" s="1388" t="s">
        <v>557</v>
      </c>
      <c r="B91" s="973" t="s">
        <v>661</v>
      </c>
      <c r="C91" s="871">
        <f t="shared" si="11"/>
        <v>10224.4</v>
      </c>
      <c r="D91" s="972">
        <v>0</v>
      </c>
      <c r="E91" s="972">
        <v>10224.4</v>
      </c>
      <c r="F91" s="1395">
        <f t="shared" si="12"/>
        <v>10224.4</v>
      </c>
      <c r="G91" s="879">
        <v>0</v>
      </c>
      <c r="H91" s="879">
        <v>10224.4</v>
      </c>
      <c r="I91" s="1395">
        <f t="shared" si="13"/>
        <v>0</v>
      </c>
      <c r="J91" s="1396">
        <v>0</v>
      </c>
      <c r="K91" s="1396">
        <v>0</v>
      </c>
      <c r="L91" s="876">
        <v>0</v>
      </c>
      <c r="M91" s="877">
        <f t="shared" si="18"/>
        <v>0</v>
      </c>
      <c r="N91" s="877">
        <f t="shared" si="18"/>
        <v>0</v>
      </c>
      <c r="O91" s="1214" t="s">
        <v>1222</v>
      </c>
      <c r="P91" s="1214" t="s">
        <v>1152</v>
      </c>
      <c r="Q91" s="1065">
        <f t="shared" si="17"/>
        <v>0</v>
      </c>
      <c r="R91" s="1065">
        <f t="shared" si="17"/>
        <v>0</v>
      </c>
      <c r="S91" s="1065">
        <f t="shared" si="17"/>
        <v>0</v>
      </c>
      <c r="T91" s="1099" t="s">
        <v>886</v>
      </c>
      <c r="U91" s="1100" t="s">
        <v>887</v>
      </c>
      <c r="V91" s="1099">
        <v>414</v>
      </c>
      <c r="W91" s="1099">
        <v>14037</v>
      </c>
      <c r="Z91" s="1311">
        <f t="shared" si="14"/>
        <v>0</v>
      </c>
      <c r="AA91" s="1374">
        <f t="shared" si="16"/>
        <v>0</v>
      </c>
      <c r="AB91" s="1374">
        <f t="shared" si="15"/>
        <v>0</v>
      </c>
    </row>
    <row r="92" spans="1:28" ht="65.25" customHeight="1">
      <c r="A92" s="1388" t="s">
        <v>558</v>
      </c>
      <c r="B92" s="973" t="s">
        <v>662</v>
      </c>
      <c r="C92" s="871">
        <f t="shared" si="11"/>
        <v>2373</v>
      </c>
      <c r="D92" s="972">
        <v>0</v>
      </c>
      <c r="E92" s="972">
        <v>2373</v>
      </c>
      <c r="F92" s="1395">
        <f t="shared" si="12"/>
        <v>2373</v>
      </c>
      <c r="G92" s="879">
        <v>0</v>
      </c>
      <c r="H92" s="879">
        <v>2373</v>
      </c>
      <c r="I92" s="1395">
        <f t="shared" si="13"/>
        <v>0</v>
      </c>
      <c r="J92" s="1396">
        <v>0</v>
      </c>
      <c r="K92" s="1396">
        <v>0</v>
      </c>
      <c r="L92" s="876">
        <v>0</v>
      </c>
      <c r="M92" s="877">
        <f t="shared" si="18"/>
        <v>0</v>
      </c>
      <c r="N92" s="877">
        <f t="shared" si="18"/>
        <v>0</v>
      </c>
      <c r="O92" s="1214" t="s">
        <v>1224</v>
      </c>
      <c r="P92" s="1214" t="s">
        <v>1154</v>
      </c>
      <c r="Q92" s="1065">
        <f t="shared" si="17"/>
        <v>0</v>
      </c>
      <c r="R92" s="1065">
        <f t="shared" si="17"/>
        <v>0</v>
      </c>
      <c r="S92" s="1065">
        <f t="shared" si="17"/>
        <v>0</v>
      </c>
      <c r="T92" s="1099" t="s">
        <v>886</v>
      </c>
      <c r="U92" s="1100" t="s">
        <v>888</v>
      </c>
      <c r="V92" s="1099">
        <v>141</v>
      </c>
      <c r="W92" s="1099">
        <v>14038</v>
      </c>
      <c r="Z92" s="1311">
        <f t="shared" si="14"/>
        <v>0</v>
      </c>
      <c r="AA92" s="1374">
        <f t="shared" si="16"/>
        <v>0</v>
      </c>
      <c r="AB92" s="1374">
        <f t="shared" si="15"/>
        <v>0</v>
      </c>
    </row>
    <row r="93" spans="1:28" ht="103.5" customHeight="1">
      <c r="A93" s="1388" t="s">
        <v>559</v>
      </c>
      <c r="B93" s="973" t="s">
        <v>663</v>
      </c>
      <c r="C93" s="871">
        <f t="shared" si="11"/>
        <v>4074.6</v>
      </c>
      <c r="D93" s="972">
        <v>0</v>
      </c>
      <c r="E93" s="972">
        <v>4074.6</v>
      </c>
      <c r="F93" s="1395">
        <f t="shared" si="12"/>
        <v>4074.6</v>
      </c>
      <c r="G93" s="879">
        <v>0</v>
      </c>
      <c r="H93" s="879">
        <f>E93</f>
        <v>4074.6</v>
      </c>
      <c r="I93" s="1395">
        <f t="shared" si="13"/>
        <v>0</v>
      </c>
      <c r="J93" s="1396">
        <v>0</v>
      </c>
      <c r="K93" s="1396">
        <v>0</v>
      </c>
      <c r="L93" s="876">
        <v>0</v>
      </c>
      <c r="M93" s="877">
        <f t="shared" si="18"/>
        <v>0</v>
      </c>
      <c r="N93" s="877">
        <f t="shared" si="18"/>
        <v>0</v>
      </c>
      <c r="O93" s="1214" t="s">
        <v>1223</v>
      </c>
      <c r="P93" s="1214" t="s">
        <v>1153</v>
      </c>
      <c r="Q93" s="1065">
        <f t="shared" si="17"/>
        <v>0</v>
      </c>
      <c r="R93" s="1065">
        <f t="shared" si="17"/>
        <v>0</v>
      </c>
      <c r="S93" s="1065">
        <f t="shared" si="17"/>
        <v>0</v>
      </c>
      <c r="T93" s="1099" t="s">
        <v>886</v>
      </c>
      <c r="U93" s="1100" t="s">
        <v>888</v>
      </c>
      <c r="V93" s="1099">
        <v>414</v>
      </c>
      <c r="W93" s="1099">
        <v>14039</v>
      </c>
      <c r="Z93" s="1311">
        <f t="shared" si="14"/>
        <v>0</v>
      </c>
      <c r="AA93" s="1374">
        <f t="shared" si="16"/>
        <v>0</v>
      </c>
      <c r="AB93" s="1374">
        <f t="shared" si="15"/>
        <v>0</v>
      </c>
    </row>
    <row r="94" spans="1:28" ht="180" customHeight="1">
      <c r="A94" s="1388" t="s">
        <v>560</v>
      </c>
      <c r="B94" s="973" t="s">
        <v>805</v>
      </c>
      <c r="C94" s="871">
        <f t="shared" si="11"/>
        <v>10000</v>
      </c>
      <c r="D94" s="972">
        <v>0</v>
      </c>
      <c r="E94" s="972">
        <v>10000</v>
      </c>
      <c r="F94" s="1395">
        <f>SUM(G94:H94)</f>
        <v>10000</v>
      </c>
      <c r="G94" s="879">
        <v>0</v>
      </c>
      <c r="H94" s="879">
        <v>10000</v>
      </c>
      <c r="I94" s="1395">
        <f t="shared" si="13"/>
        <v>0</v>
      </c>
      <c r="J94" s="1396">
        <v>0</v>
      </c>
      <c r="K94" s="1396">
        <v>0</v>
      </c>
      <c r="L94" s="876">
        <v>0</v>
      </c>
      <c r="M94" s="877">
        <f t="shared" si="18"/>
        <v>0</v>
      </c>
      <c r="N94" s="877">
        <f t="shared" si="18"/>
        <v>0</v>
      </c>
      <c r="O94" s="1214" t="s">
        <v>1192</v>
      </c>
      <c r="P94" s="1214" t="s">
        <v>1155</v>
      </c>
      <c r="Q94" s="1065">
        <f t="shared" ref="Q94:S109" si="19">C94-F94</f>
        <v>0</v>
      </c>
      <c r="R94" s="1065">
        <f t="shared" si="19"/>
        <v>0</v>
      </c>
      <c r="S94" s="1065">
        <f t="shared" si="19"/>
        <v>0</v>
      </c>
      <c r="T94" s="1099" t="s">
        <v>866</v>
      </c>
      <c r="U94" s="1100" t="s">
        <v>883</v>
      </c>
      <c r="V94" s="1099">
        <v>414</v>
      </c>
      <c r="W94" s="1099">
        <v>14051</v>
      </c>
      <c r="Z94" s="1311">
        <f t="shared" si="14"/>
        <v>0</v>
      </c>
      <c r="AA94" s="1374">
        <f t="shared" si="16"/>
        <v>0</v>
      </c>
      <c r="AB94" s="1374">
        <f t="shared" si="15"/>
        <v>0</v>
      </c>
    </row>
    <row r="95" spans="1:28" ht="116.25">
      <c r="A95" s="1388" t="s">
        <v>561</v>
      </c>
      <c r="B95" s="973" t="s">
        <v>664</v>
      </c>
      <c r="C95" s="871">
        <f t="shared" si="11"/>
        <v>1519</v>
      </c>
      <c r="D95" s="972">
        <v>0</v>
      </c>
      <c r="E95" s="972">
        <v>1519</v>
      </c>
      <c r="F95" s="1395">
        <f t="shared" si="12"/>
        <v>1519</v>
      </c>
      <c r="G95" s="879">
        <v>0</v>
      </c>
      <c r="H95" s="879">
        <v>1519</v>
      </c>
      <c r="I95" s="1395">
        <f t="shared" si="13"/>
        <v>0</v>
      </c>
      <c r="J95" s="1396">
        <v>0</v>
      </c>
      <c r="K95" s="1396">
        <v>0</v>
      </c>
      <c r="L95" s="876">
        <v>0</v>
      </c>
      <c r="M95" s="877">
        <f t="shared" si="18"/>
        <v>0</v>
      </c>
      <c r="N95" s="877">
        <f t="shared" si="18"/>
        <v>0</v>
      </c>
      <c r="O95" s="1214" t="s">
        <v>1225</v>
      </c>
      <c r="P95" s="1214" t="s">
        <v>1156</v>
      </c>
      <c r="Q95" s="1065">
        <f t="shared" si="19"/>
        <v>0</v>
      </c>
      <c r="R95" s="1065">
        <f t="shared" si="19"/>
        <v>0</v>
      </c>
      <c r="S95" s="1065">
        <f t="shared" si="19"/>
        <v>0</v>
      </c>
      <c r="T95" s="1099" t="s">
        <v>886</v>
      </c>
      <c r="U95" s="1100" t="s">
        <v>892</v>
      </c>
      <c r="V95" s="1099">
        <v>414</v>
      </c>
      <c r="W95" s="1099">
        <v>14041</v>
      </c>
      <c r="Z95" s="1311">
        <f t="shared" si="14"/>
        <v>0</v>
      </c>
      <c r="AA95" s="1374">
        <f t="shared" si="16"/>
        <v>0</v>
      </c>
      <c r="AB95" s="1374">
        <f t="shared" si="15"/>
        <v>0</v>
      </c>
    </row>
    <row r="96" spans="1:28" ht="116.25">
      <c r="A96" s="1388" t="s">
        <v>563</v>
      </c>
      <c r="B96" s="973" t="s">
        <v>665</v>
      </c>
      <c r="C96" s="871">
        <f t="shared" si="11"/>
        <v>1519</v>
      </c>
      <c r="D96" s="972">
        <v>0</v>
      </c>
      <c r="E96" s="972">
        <v>1519</v>
      </c>
      <c r="F96" s="1395">
        <f t="shared" si="12"/>
        <v>1519</v>
      </c>
      <c r="G96" s="879">
        <v>0</v>
      </c>
      <c r="H96" s="879">
        <v>1519</v>
      </c>
      <c r="I96" s="1395">
        <f t="shared" si="13"/>
        <v>0</v>
      </c>
      <c r="J96" s="1396">
        <v>0</v>
      </c>
      <c r="K96" s="1396">
        <v>0</v>
      </c>
      <c r="L96" s="876">
        <v>0</v>
      </c>
      <c r="M96" s="877">
        <f t="shared" si="18"/>
        <v>0</v>
      </c>
      <c r="N96" s="877">
        <f t="shared" si="18"/>
        <v>0</v>
      </c>
      <c r="O96" s="1214" t="s">
        <v>1226</v>
      </c>
      <c r="P96" s="1214" t="s">
        <v>1156</v>
      </c>
      <c r="Q96" s="1065">
        <f t="shared" si="19"/>
        <v>0</v>
      </c>
      <c r="R96" s="1065">
        <f t="shared" si="19"/>
        <v>0</v>
      </c>
      <c r="S96" s="1065">
        <f t="shared" si="19"/>
        <v>0</v>
      </c>
      <c r="T96" s="1099" t="s">
        <v>886</v>
      </c>
      <c r="U96" s="1100" t="s">
        <v>892</v>
      </c>
      <c r="V96" s="1099">
        <v>414</v>
      </c>
      <c r="W96" s="1099">
        <v>14042</v>
      </c>
      <c r="Z96" s="1311">
        <f t="shared" si="14"/>
        <v>0</v>
      </c>
      <c r="AA96" s="1374">
        <f t="shared" si="16"/>
        <v>0</v>
      </c>
      <c r="AB96" s="1374">
        <f t="shared" si="15"/>
        <v>0</v>
      </c>
    </row>
    <row r="97" spans="1:28" ht="116.25">
      <c r="A97" s="1388" t="s">
        <v>573</v>
      </c>
      <c r="B97" s="973" t="s">
        <v>666</v>
      </c>
      <c r="C97" s="871">
        <f t="shared" si="11"/>
        <v>1400</v>
      </c>
      <c r="D97" s="972">
        <v>0</v>
      </c>
      <c r="E97" s="972">
        <v>1400</v>
      </c>
      <c r="F97" s="1395">
        <f t="shared" si="12"/>
        <v>1400</v>
      </c>
      <c r="G97" s="879">
        <v>0</v>
      </c>
      <c r="H97" s="879">
        <v>1400</v>
      </c>
      <c r="I97" s="1395">
        <f t="shared" si="13"/>
        <v>0</v>
      </c>
      <c r="J97" s="1396">
        <v>0</v>
      </c>
      <c r="K97" s="1396">
        <v>0</v>
      </c>
      <c r="L97" s="876">
        <v>0</v>
      </c>
      <c r="M97" s="877">
        <f t="shared" si="18"/>
        <v>0</v>
      </c>
      <c r="N97" s="877">
        <f t="shared" si="18"/>
        <v>0</v>
      </c>
      <c r="O97" s="1214" t="s">
        <v>1227</v>
      </c>
      <c r="P97" s="1214" t="s">
        <v>1157</v>
      </c>
      <c r="Q97" s="1065">
        <f t="shared" si="19"/>
        <v>0</v>
      </c>
      <c r="R97" s="1065">
        <f t="shared" si="19"/>
        <v>0</v>
      </c>
      <c r="S97" s="1065">
        <f t="shared" si="19"/>
        <v>0</v>
      </c>
      <c r="T97" s="1099" t="s">
        <v>886</v>
      </c>
      <c r="U97" s="1100" t="s">
        <v>892</v>
      </c>
      <c r="V97" s="1099">
        <v>414</v>
      </c>
      <c r="W97" s="1099">
        <v>14043</v>
      </c>
      <c r="Z97" s="1311">
        <f t="shared" si="14"/>
        <v>0</v>
      </c>
      <c r="AA97" s="1374">
        <f t="shared" si="16"/>
        <v>0</v>
      </c>
      <c r="AB97" s="1374">
        <f t="shared" si="15"/>
        <v>0</v>
      </c>
    </row>
    <row r="98" spans="1:28" ht="90.75" customHeight="1">
      <c r="A98" s="1388" t="s">
        <v>624</v>
      </c>
      <c r="B98" s="973" t="s">
        <v>1170</v>
      </c>
      <c r="C98" s="871">
        <f t="shared" si="11"/>
        <v>8293.2999999999993</v>
      </c>
      <c r="D98" s="972">
        <v>0</v>
      </c>
      <c r="E98" s="972">
        <v>8293.2999999999993</v>
      </c>
      <c r="F98" s="1395">
        <f t="shared" si="12"/>
        <v>8293.2999999999993</v>
      </c>
      <c r="G98" s="879">
        <v>0</v>
      </c>
      <c r="H98" s="879">
        <f>E98</f>
        <v>8293.2999999999993</v>
      </c>
      <c r="I98" s="1395">
        <f t="shared" si="13"/>
        <v>0</v>
      </c>
      <c r="J98" s="1396">
        <v>0</v>
      </c>
      <c r="K98" s="1396">
        <v>0</v>
      </c>
      <c r="L98" s="876">
        <v>0</v>
      </c>
      <c r="M98" s="877">
        <f t="shared" si="18"/>
        <v>0</v>
      </c>
      <c r="N98" s="877">
        <f t="shared" si="18"/>
        <v>0</v>
      </c>
      <c r="O98" s="1214" t="s">
        <v>1192</v>
      </c>
      <c r="P98" s="1214" t="s">
        <v>1158</v>
      </c>
      <c r="Q98" s="1065">
        <f t="shared" si="19"/>
        <v>0</v>
      </c>
      <c r="R98" s="1065">
        <f t="shared" si="19"/>
        <v>0</v>
      </c>
      <c r="S98" s="1065">
        <f t="shared" si="19"/>
        <v>0</v>
      </c>
      <c r="T98" s="1099" t="s">
        <v>886</v>
      </c>
      <c r="U98" s="1100" t="s">
        <v>893</v>
      </c>
      <c r="V98" s="1099">
        <v>414</v>
      </c>
      <c r="W98" s="1099">
        <v>14044</v>
      </c>
      <c r="Z98" s="1311">
        <f t="shared" si="14"/>
        <v>0</v>
      </c>
      <c r="AA98" s="1374">
        <f t="shared" si="16"/>
        <v>0</v>
      </c>
      <c r="AB98" s="1374">
        <f t="shared" si="15"/>
        <v>0</v>
      </c>
    </row>
    <row r="99" spans="1:28" ht="63" customHeight="1">
      <c r="A99" s="1388" t="s">
        <v>105</v>
      </c>
      <c r="B99" s="1075" t="s">
        <v>771</v>
      </c>
      <c r="C99" s="871">
        <f t="shared" si="11"/>
        <v>319980.59999999998</v>
      </c>
      <c r="D99" s="972">
        <f>319980.6*0.90202494621</f>
        <v>288630.5</v>
      </c>
      <c r="E99" s="972">
        <f>319980.6*(1-0.90202494621)</f>
        <v>31350.1</v>
      </c>
      <c r="F99" s="1395">
        <f t="shared" si="12"/>
        <v>319980.59999999998</v>
      </c>
      <c r="G99" s="879">
        <f>319980.6*0.90202494621</f>
        <v>288630.5</v>
      </c>
      <c r="H99" s="879">
        <f>319980.6*(1-0.90202494621)</f>
        <v>31350.1</v>
      </c>
      <c r="I99" s="2450">
        <f t="shared" si="13"/>
        <v>0</v>
      </c>
      <c r="J99" s="2440">
        <v>0</v>
      </c>
      <c r="K99" s="2440">
        <v>0</v>
      </c>
      <c r="L99" s="2433">
        <f>IF(I99=0,0,I99/F99:F100*_G101100)</f>
        <v>0</v>
      </c>
      <c r="M99" s="2429">
        <f>IF(J99=0,0,J99/G99:G100*100)</f>
        <v>0</v>
      </c>
      <c r="N99" s="2429">
        <f>IF(K99=0,0,K99/H99:H100*100)</f>
        <v>0</v>
      </c>
      <c r="O99" s="1214" t="s">
        <v>1192</v>
      </c>
      <c r="P99" s="1213" t="s">
        <v>1159</v>
      </c>
      <c r="Q99" s="1065">
        <f t="shared" si="19"/>
        <v>0</v>
      </c>
      <c r="R99" s="1065">
        <f t="shared" si="19"/>
        <v>0</v>
      </c>
      <c r="S99" s="1065">
        <f t="shared" si="19"/>
        <v>0</v>
      </c>
      <c r="T99" s="2409" t="s">
        <v>926</v>
      </c>
      <c r="U99" s="2445" t="s">
        <v>927</v>
      </c>
      <c r="V99" s="2409">
        <v>414</v>
      </c>
      <c r="W99" s="2409"/>
      <c r="X99" s="2471"/>
      <c r="Z99" s="1311">
        <f t="shared" si="14"/>
        <v>0</v>
      </c>
      <c r="AA99" s="1374">
        <f t="shared" si="16"/>
        <v>0</v>
      </c>
      <c r="AB99" s="1374">
        <f t="shared" si="15"/>
        <v>0</v>
      </c>
    </row>
    <row r="100" spans="1:28" ht="121.5" customHeight="1">
      <c r="A100" s="1388" t="s">
        <v>1023</v>
      </c>
      <c r="B100" s="1075" t="s">
        <v>772</v>
      </c>
      <c r="C100" s="871">
        <f t="shared" si="11"/>
        <v>359978.2</v>
      </c>
      <c r="D100" s="972">
        <f>359978.2*0.90202494621</f>
        <v>324709.3</v>
      </c>
      <c r="E100" s="972">
        <f>359978.2*(1-0.90202494621)</f>
        <v>35268.9</v>
      </c>
      <c r="F100" s="1395">
        <f t="shared" si="12"/>
        <v>359978.2</v>
      </c>
      <c r="G100" s="879">
        <f>359978.2*0.90202494621</f>
        <v>324709.3</v>
      </c>
      <c r="H100" s="879">
        <f>359978.2*(1-0.90202494621)</f>
        <v>35268.9</v>
      </c>
      <c r="I100" s="2451"/>
      <c r="J100" s="2441"/>
      <c r="K100" s="2441"/>
      <c r="L100" s="2434"/>
      <c r="M100" s="2430"/>
      <c r="N100" s="2430"/>
      <c r="O100" s="1214" t="s">
        <v>1192</v>
      </c>
      <c r="P100" s="1213" t="s">
        <v>1160</v>
      </c>
      <c r="Q100" s="1065">
        <f t="shared" si="19"/>
        <v>0</v>
      </c>
      <c r="R100" s="1065">
        <f t="shared" si="19"/>
        <v>0</v>
      </c>
      <c r="S100" s="1065">
        <f t="shared" si="19"/>
        <v>0</v>
      </c>
      <c r="T100" s="2409"/>
      <c r="U100" s="2445"/>
      <c r="V100" s="2409"/>
      <c r="W100" s="2409"/>
      <c r="X100" s="2471"/>
      <c r="Z100" s="1311">
        <f t="shared" si="14"/>
        <v>0</v>
      </c>
      <c r="AA100" s="1374">
        <f t="shared" si="16"/>
        <v>0</v>
      </c>
      <c r="AB100" s="1374">
        <f t="shared" si="15"/>
        <v>0</v>
      </c>
    </row>
    <row r="101" spans="1:28" ht="66.75" customHeight="1">
      <c r="A101" s="1388" t="s">
        <v>625</v>
      </c>
      <c r="B101" s="1391" t="s">
        <v>460</v>
      </c>
      <c r="C101" s="871">
        <f t="shared" si="11"/>
        <v>65926.600000000006</v>
      </c>
      <c r="D101" s="972">
        <f>20123.6+12300.3</f>
        <v>32423.9</v>
      </c>
      <c r="E101" s="972">
        <f>21202.4+12300.3</f>
        <v>33502.699999999997</v>
      </c>
      <c r="F101" s="1395">
        <f t="shared" si="12"/>
        <v>53626.3</v>
      </c>
      <c r="G101" s="879">
        <f>32423.9-12300.3</f>
        <v>20123.599999999999</v>
      </c>
      <c r="H101" s="879">
        <f>E101</f>
        <v>33502.699999999997</v>
      </c>
      <c r="I101" s="1395">
        <f t="shared" si="13"/>
        <v>15617.5</v>
      </c>
      <c r="J101" s="1396">
        <v>5860.6</v>
      </c>
      <c r="K101" s="1396">
        <v>9756.9</v>
      </c>
      <c r="L101" s="876">
        <f t="shared" ref="L101:N116" si="20">IF(I101=0,0,I101/F101*100)</f>
        <v>29.1</v>
      </c>
      <c r="M101" s="877">
        <f t="shared" si="20"/>
        <v>29.1</v>
      </c>
      <c r="N101" s="877">
        <f t="shared" si="20"/>
        <v>29.1</v>
      </c>
      <c r="O101" s="1214" t="s">
        <v>1228</v>
      </c>
      <c r="P101" s="1214" t="s">
        <v>1161</v>
      </c>
      <c r="Q101" s="1065">
        <f t="shared" si="19"/>
        <v>12300.3</v>
      </c>
      <c r="R101" s="1065">
        <f t="shared" si="19"/>
        <v>12300.3</v>
      </c>
      <c r="S101" s="1065">
        <f t="shared" si="19"/>
        <v>0</v>
      </c>
      <c r="T101" s="1099" t="s">
        <v>954</v>
      </c>
      <c r="V101" s="1099" t="s">
        <v>959</v>
      </c>
      <c r="W101" s="1099" t="s">
        <v>960</v>
      </c>
      <c r="Z101" s="1311">
        <f t="shared" si="14"/>
        <v>12300.3</v>
      </c>
      <c r="AA101" s="1374">
        <f t="shared" si="16"/>
        <v>12300.3</v>
      </c>
      <c r="AB101" s="1374">
        <f t="shared" si="15"/>
        <v>0</v>
      </c>
    </row>
    <row r="102" spans="1:28" ht="80.25" customHeight="1">
      <c r="A102" s="2404" t="s">
        <v>626</v>
      </c>
      <c r="B102" s="975" t="s">
        <v>645</v>
      </c>
      <c r="C102" s="871">
        <f t="shared" si="11"/>
        <v>1929.7</v>
      </c>
      <c r="D102" s="1249">
        <v>0</v>
      </c>
      <c r="E102" s="1249">
        <v>1929.7</v>
      </c>
      <c r="F102" s="1395">
        <f t="shared" si="12"/>
        <v>1929.7</v>
      </c>
      <c r="G102" s="1397">
        <v>0</v>
      </c>
      <c r="H102" s="1397">
        <v>1929.7</v>
      </c>
      <c r="I102" s="1395">
        <f t="shared" si="13"/>
        <v>1929.7</v>
      </c>
      <c r="J102" s="1397">
        <v>0</v>
      </c>
      <c r="K102" s="1397">
        <v>1929.7</v>
      </c>
      <c r="L102" s="876">
        <f t="shared" si="20"/>
        <v>100</v>
      </c>
      <c r="M102" s="877">
        <f t="shared" si="20"/>
        <v>0</v>
      </c>
      <c r="N102" s="877">
        <f t="shared" si="20"/>
        <v>100</v>
      </c>
      <c r="O102" s="1214" t="s">
        <v>1229</v>
      </c>
      <c r="P102" s="1214" t="s">
        <v>1162</v>
      </c>
      <c r="Q102" s="1065">
        <f t="shared" si="19"/>
        <v>0</v>
      </c>
      <c r="R102" s="1065">
        <f t="shared" si="19"/>
        <v>0</v>
      </c>
      <c r="S102" s="1065">
        <f t="shared" si="19"/>
        <v>0</v>
      </c>
      <c r="T102" s="1099" t="s">
        <v>867</v>
      </c>
      <c r="U102" s="1100">
        <v>1550190400</v>
      </c>
      <c r="V102" s="1099">
        <v>414</v>
      </c>
      <c r="W102" s="1099">
        <v>14024</v>
      </c>
      <c r="Z102" s="1311">
        <f t="shared" si="14"/>
        <v>0</v>
      </c>
      <c r="AA102" s="1374">
        <f t="shared" si="16"/>
        <v>0</v>
      </c>
      <c r="AB102" s="1374">
        <f t="shared" si="15"/>
        <v>0</v>
      </c>
    </row>
    <row r="103" spans="1:28" ht="78.75">
      <c r="A103" s="2405"/>
      <c r="B103" s="975" t="s">
        <v>707</v>
      </c>
      <c r="C103" s="871">
        <f t="shared" si="11"/>
        <v>30000</v>
      </c>
      <c r="D103" s="1249">
        <v>0</v>
      </c>
      <c r="E103" s="1249">
        <v>30000</v>
      </c>
      <c r="F103" s="1395">
        <f t="shared" si="12"/>
        <v>30000</v>
      </c>
      <c r="G103" s="1397">
        <v>0</v>
      </c>
      <c r="H103" s="1397">
        <v>30000</v>
      </c>
      <c r="I103" s="1395">
        <f t="shared" si="13"/>
        <v>0</v>
      </c>
      <c r="J103" s="1397">
        <v>0</v>
      </c>
      <c r="K103" s="1397">
        <v>0</v>
      </c>
      <c r="L103" s="876">
        <f t="shared" si="20"/>
        <v>0</v>
      </c>
      <c r="M103" s="877">
        <f t="shared" si="20"/>
        <v>0</v>
      </c>
      <c r="N103" s="877">
        <f t="shared" si="20"/>
        <v>0</v>
      </c>
      <c r="O103" s="1214" t="s">
        <v>1192</v>
      </c>
      <c r="P103" s="1214" t="s">
        <v>1163</v>
      </c>
      <c r="Q103" s="1065">
        <f t="shared" si="19"/>
        <v>0</v>
      </c>
      <c r="R103" s="1065">
        <f t="shared" si="19"/>
        <v>0</v>
      </c>
      <c r="S103" s="1065">
        <f t="shared" si="19"/>
        <v>0</v>
      </c>
      <c r="T103" s="1099" t="s">
        <v>868</v>
      </c>
      <c r="U103" s="1100">
        <v>1550190400</v>
      </c>
      <c r="V103" s="1099">
        <v>414</v>
      </c>
      <c r="W103" s="1099">
        <v>10120</v>
      </c>
      <c r="Z103" s="1311">
        <f t="shared" si="14"/>
        <v>0</v>
      </c>
      <c r="AA103" s="1374">
        <f t="shared" si="16"/>
        <v>0</v>
      </c>
      <c r="AB103" s="1374">
        <f t="shared" si="15"/>
        <v>0</v>
      </c>
    </row>
    <row r="104" spans="1:28" s="838" customFormat="1" ht="107.25" customHeight="1">
      <c r="A104" s="1388" t="s">
        <v>627</v>
      </c>
      <c r="B104" s="976" t="s">
        <v>839</v>
      </c>
      <c r="C104" s="871">
        <f t="shared" si="11"/>
        <v>2714.8</v>
      </c>
      <c r="D104" s="972">
        <v>0</v>
      </c>
      <c r="E104" s="972">
        <v>2714.8</v>
      </c>
      <c r="F104" s="1395">
        <f t="shared" si="12"/>
        <v>2714.8</v>
      </c>
      <c r="G104" s="879">
        <v>0</v>
      </c>
      <c r="H104" s="879">
        <v>2714.8</v>
      </c>
      <c r="I104" s="1395">
        <f t="shared" si="13"/>
        <v>0</v>
      </c>
      <c r="J104" s="1396">
        <v>0</v>
      </c>
      <c r="K104" s="970">
        <v>0</v>
      </c>
      <c r="L104" s="876">
        <f t="shared" si="20"/>
        <v>0</v>
      </c>
      <c r="M104" s="877">
        <f t="shared" si="20"/>
        <v>0</v>
      </c>
      <c r="N104" s="877">
        <f t="shared" si="20"/>
        <v>0</v>
      </c>
      <c r="O104" s="1214" t="s">
        <v>1230</v>
      </c>
      <c r="P104" s="1214" t="s">
        <v>1164</v>
      </c>
      <c r="Q104" s="1065">
        <f t="shared" si="19"/>
        <v>0</v>
      </c>
      <c r="R104" s="1065">
        <f t="shared" si="19"/>
        <v>0</v>
      </c>
      <c r="S104" s="1065">
        <f t="shared" si="19"/>
        <v>0</v>
      </c>
      <c r="T104" s="1121" t="s">
        <v>886</v>
      </c>
      <c r="U104" s="1122" t="s">
        <v>894</v>
      </c>
      <c r="V104" s="1121">
        <v>414</v>
      </c>
      <c r="W104" s="1121">
        <v>14031</v>
      </c>
      <c r="X104" s="1219"/>
      <c r="Z104" s="1311">
        <f t="shared" si="14"/>
        <v>0</v>
      </c>
      <c r="AA104" s="1374">
        <f t="shared" si="16"/>
        <v>0</v>
      </c>
      <c r="AB104" s="1374">
        <f t="shared" si="15"/>
        <v>0</v>
      </c>
    </row>
    <row r="105" spans="1:28" ht="75" customHeight="1">
      <c r="A105" s="1388" t="s">
        <v>628</v>
      </c>
      <c r="B105" s="976" t="s">
        <v>1344</v>
      </c>
      <c r="C105" s="871">
        <f t="shared" si="11"/>
        <v>2100</v>
      </c>
      <c r="D105" s="972">
        <v>0</v>
      </c>
      <c r="E105" s="972">
        <v>2100</v>
      </c>
      <c r="F105" s="1395">
        <f t="shared" si="12"/>
        <v>2100</v>
      </c>
      <c r="G105" s="879">
        <v>0</v>
      </c>
      <c r="H105" s="879">
        <v>2100</v>
      </c>
      <c r="I105" s="1395">
        <f t="shared" si="13"/>
        <v>0</v>
      </c>
      <c r="J105" s="1396">
        <v>0</v>
      </c>
      <c r="K105" s="970">
        <v>0</v>
      </c>
      <c r="L105" s="876">
        <f t="shared" si="20"/>
        <v>0</v>
      </c>
      <c r="M105" s="877">
        <f t="shared" si="20"/>
        <v>0</v>
      </c>
      <c r="N105" s="877">
        <f t="shared" si="20"/>
        <v>0</v>
      </c>
      <c r="O105" s="1214" t="s">
        <v>1231</v>
      </c>
      <c r="P105" s="1214" t="s">
        <v>1165</v>
      </c>
      <c r="Q105" s="1065">
        <f t="shared" si="19"/>
        <v>0</v>
      </c>
      <c r="R105" s="1065">
        <f t="shared" si="19"/>
        <v>0</v>
      </c>
      <c r="S105" s="1065">
        <f t="shared" si="19"/>
        <v>0</v>
      </c>
      <c r="T105" s="1099" t="s">
        <v>886</v>
      </c>
      <c r="U105" s="1100">
        <v>1900290400</v>
      </c>
      <c r="V105" s="1099">
        <v>414</v>
      </c>
      <c r="W105" s="1099">
        <v>14020</v>
      </c>
      <c r="Z105" s="1311">
        <f t="shared" si="14"/>
        <v>0</v>
      </c>
      <c r="AA105" s="1374">
        <f t="shared" si="16"/>
        <v>0</v>
      </c>
      <c r="AB105" s="1374">
        <f t="shared" si="15"/>
        <v>0</v>
      </c>
    </row>
    <row r="106" spans="1:28" ht="66.75" customHeight="1">
      <c r="A106" s="1388" t="s">
        <v>629</v>
      </c>
      <c r="B106" s="900" t="s">
        <v>641</v>
      </c>
      <c r="C106" s="871">
        <f t="shared" si="11"/>
        <v>8850</v>
      </c>
      <c r="D106" s="972">
        <v>0</v>
      </c>
      <c r="E106" s="972">
        <v>8850</v>
      </c>
      <c r="F106" s="1395">
        <f t="shared" si="12"/>
        <v>8850</v>
      </c>
      <c r="G106" s="879">
        <v>0</v>
      </c>
      <c r="H106" s="879">
        <v>8850</v>
      </c>
      <c r="I106" s="1395">
        <f t="shared" si="13"/>
        <v>0</v>
      </c>
      <c r="J106" s="1396">
        <v>0</v>
      </c>
      <c r="K106" s="1396">
        <v>0</v>
      </c>
      <c r="L106" s="876">
        <f t="shared" si="20"/>
        <v>0</v>
      </c>
      <c r="M106" s="877">
        <f t="shared" si="20"/>
        <v>0</v>
      </c>
      <c r="N106" s="877">
        <f t="shared" si="20"/>
        <v>0</v>
      </c>
      <c r="O106" s="1383" t="s">
        <v>1232</v>
      </c>
      <c r="P106" s="1383" t="s">
        <v>1166</v>
      </c>
      <c r="Q106" s="1065">
        <f t="shared" si="19"/>
        <v>0</v>
      </c>
      <c r="R106" s="1065">
        <f t="shared" si="19"/>
        <v>0</v>
      </c>
      <c r="S106" s="1065">
        <f t="shared" si="19"/>
        <v>0</v>
      </c>
      <c r="T106" s="1099" t="s">
        <v>947</v>
      </c>
      <c r="U106" s="1100" t="s">
        <v>948</v>
      </c>
      <c r="V106" s="1099">
        <v>414</v>
      </c>
      <c r="W106" s="1099">
        <v>14016</v>
      </c>
      <c r="Z106" s="1311">
        <f t="shared" si="14"/>
        <v>0</v>
      </c>
      <c r="AA106" s="1374">
        <f t="shared" si="16"/>
        <v>0</v>
      </c>
      <c r="AB106" s="1374">
        <f t="shared" si="15"/>
        <v>0</v>
      </c>
    </row>
    <row r="107" spans="1:28" ht="79.5" customHeight="1">
      <c r="A107" s="1388" t="s">
        <v>630</v>
      </c>
      <c r="B107" s="976" t="s">
        <v>647</v>
      </c>
      <c r="C107" s="871">
        <f t="shared" si="11"/>
        <v>39000</v>
      </c>
      <c r="D107" s="972">
        <v>0</v>
      </c>
      <c r="E107" s="972">
        <v>39000</v>
      </c>
      <c r="F107" s="1395">
        <f t="shared" si="12"/>
        <v>39000</v>
      </c>
      <c r="G107" s="879">
        <v>0</v>
      </c>
      <c r="H107" s="879">
        <v>39000</v>
      </c>
      <c r="I107" s="1395">
        <f t="shared" si="13"/>
        <v>21450</v>
      </c>
      <c r="J107" s="1396">
        <v>0</v>
      </c>
      <c r="K107" s="970">
        <v>21450</v>
      </c>
      <c r="L107" s="876">
        <f t="shared" si="20"/>
        <v>55</v>
      </c>
      <c r="M107" s="877">
        <f t="shared" si="20"/>
        <v>0</v>
      </c>
      <c r="N107" s="877">
        <f t="shared" si="20"/>
        <v>55</v>
      </c>
      <c r="O107" s="1214" t="s">
        <v>1233</v>
      </c>
      <c r="P107" s="1214" t="s">
        <v>1167</v>
      </c>
      <c r="Q107" s="1065">
        <f t="shared" si="19"/>
        <v>0</v>
      </c>
      <c r="R107" s="1065">
        <f t="shared" si="19"/>
        <v>0</v>
      </c>
      <c r="S107" s="1065">
        <f t="shared" si="19"/>
        <v>0</v>
      </c>
      <c r="T107" s="1099" t="s">
        <v>936</v>
      </c>
      <c r="U107" s="1100" t="s">
        <v>944</v>
      </c>
      <c r="V107" s="1099">
        <v>414</v>
      </c>
      <c r="W107" s="1099">
        <v>14050</v>
      </c>
      <c r="Z107" s="1311">
        <f t="shared" si="14"/>
        <v>0</v>
      </c>
      <c r="AA107" s="1374">
        <f t="shared" si="16"/>
        <v>0</v>
      </c>
      <c r="AB107" s="1374">
        <f t="shared" si="15"/>
        <v>0</v>
      </c>
    </row>
    <row r="108" spans="1:28" ht="78.75">
      <c r="A108" s="1388" t="s">
        <v>732</v>
      </c>
      <c r="B108" s="976" t="s">
        <v>804</v>
      </c>
      <c r="C108" s="871">
        <f t="shared" si="11"/>
        <v>2244.9</v>
      </c>
      <c r="D108" s="972">
        <v>0</v>
      </c>
      <c r="E108" s="972">
        <v>2244.9</v>
      </c>
      <c r="F108" s="1395">
        <f t="shared" si="12"/>
        <v>2244.9</v>
      </c>
      <c r="G108" s="879">
        <v>0</v>
      </c>
      <c r="H108" s="879">
        <v>2244.9</v>
      </c>
      <c r="I108" s="1395">
        <f t="shared" si="13"/>
        <v>0</v>
      </c>
      <c r="J108" s="1396">
        <v>0</v>
      </c>
      <c r="K108" s="970">
        <v>0</v>
      </c>
      <c r="L108" s="876">
        <f t="shared" si="20"/>
        <v>0</v>
      </c>
      <c r="M108" s="877">
        <f t="shared" si="20"/>
        <v>0</v>
      </c>
      <c r="N108" s="877">
        <f t="shared" si="20"/>
        <v>0</v>
      </c>
      <c r="O108" s="1214" t="s">
        <v>1192</v>
      </c>
      <c r="P108" s="1214" t="s">
        <v>1193</v>
      </c>
      <c r="Q108" s="1065">
        <f t="shared" si="19"/>
        <v>0</v>
      </c>
      <c r="R108" s="1065">
        <f t="shared" si="19"/>
        <v>0</v>
      </c>
      <c r="S108" s="1065">
        <f t="shared" si="19"/>
        <v>0</v>
      </c>
      <c r="T108" s="1099" t="s">
        <v>945</v>
      </c>
      <c r="U108" s="1100" t="s">
        <v>937</v>
      </c>
      <c r="V108" s="1099">
        <v>414</v>
      </c>
      <c r="W108" s="1099">
        <v>14071</v>
      </c>
      <c r="Z108" s="1311">
        <f t="shared" si="14"/>
        <v>0</v>
      </c>
      <c r="AA108" s="1374">
        <f t="shared" si="16"/>
        <v>0</v>
      </c>
      <c r="AB108" s="1374">
        <f t="shared" si="15"/>
        <v>0</v>
      </c>
    </row>
    <row r="109" spans="1:28" ht="93">
      <c r="A109" s="1388" t="s">
        <v>733</v>
      </c>
      <c r="B109" s="900" t="s">
        <v>637</v>
      </c>
      <c r="C109" s="871">
        <f t="shared" si="11"/>
        <v>4496.8</v>
      </c>
      <c r="D109" s="972">
        <v>0</v>
      </c>
      <c r="E109" s="972">
        <v>4496.8</v>
      </c>
      <c r="F109" s="1395">
        <f t="shared" si="12"/>
        <v>4496.8</v>
      </c>
      <c r="G109" s="879">
        <v>0</v>
      </c>
      <c r="H109" s="879">
        <v>4496.8</v>
      </c>
      <c r="I109" s="1395">
        <f t="shared" si="13"/>
        <v>0</v>
      </c>
      <c r="J109" s="1396">
        <v>0</v>
      </c>
      <c r="K109" s="1396">
        <v>0</v>
      </c>
      <c r="L109" s="876">
        <f t="shared" si="20"/>
        <v>0</v>
      </c>
      <c r="M109" s="877">
        <f t="shared" si="20"/>
        <v>0</v>
      </c>
      <c r="N109" s="877">
        <f t="shared" si="20"/>
        <v>0</v>
      </c>
      <c r="O109" s="1214" t="s">
        <v>1234</v>
      </c>
      <c r="P109" s="1214" t="s">
        <v>1194</v>
      </c>
      <c r="Q109" s="1065">
        <f t="shared" si="19"/>
        <v>0</v>
      </c>
      <c r="R109" s="1065">
        <f t="shared" si="19"/>
        <v>0</v>
      </c>
      <c r="S109" s="1065">
        <f t="shared" si="19"/>
        <v>0</v>
      </c>
      <c r="T109" s="1099" t="s">
        <v>949</v>
      </c>
      <c r="U109" s="1100" t="s">
        <v>951</v>
      </c>
      <c r="V109" s="1099">
        <v>414</v>
      </c>
      <c r="W109" s="1099">
        <v>14057</v>
      </c>
      <c r="Z109" s="1311">
        <f t="shared" si="14"/>
        <v>0</v>
      </c>
      <c r="AA109" s="1374">
        <f t="shared" si="16"/>
        <v>0</v>
      </c>
      <c r="AB109" s="1374">
        <f t="shared" si="15"/>
        <v>0</v>
      </c>
    </row>
    <row r="110" spans="1:28" ht="63" customHeight="1">
      <c r="A110" s="1388" t="s">
        <v>781</v>
      </c>
      <c r="B110" s="901" t="s">
        <v>639</v>
      </c>
      <c r="C110" s="871">
        <f t="shared" si="11"/>
        <v>1946</v>
      </c>
      <c r="D110" s="972">
        <v>0</v>
      </c>
      <c r="E110" s="972">
        <v>1946</v>
      </c>
      <c r="F110" s="1395">
        <f t="shared" si="12"/>
        <v>1946</v>
      </c>
      <c r="G110" s="879">
        <v>0</v>
      </c>
      <c r="H110" s="879">
        <v>1946</v>
      </c>
      <c r="I110" s="1395">
        <f t="shared" si="13"/>
        <v>695</v>
      </c>
      <c r="J110" s="1396">
        <v>0</v>
      </c>
      <c r="K110" s="1396">
        <v>695</v>
      </c>
      <c r="L110" s="876">
        <f t="shared" si="20"/>
        <v>35.700000000000003</v>
      </c>
      <c r="M110" s="877">
        <f t="shared" si="20"/>
        <v>0</v>
      </c>
      <c r="N110" s="877">
        <f t="shared" si="20"/>
        <v>35.700000000000003</v>
      </c>
      <c r="O110" s="1214" t="s">
        <v>1235</v>
      </c>
      <c r="P110" s="1214" t="s">
        <v>1195</v>
      </c>
      <c r="Q110" s="1065">
        <f t="shared" ref="Q110:S123" si="21">C110-F110</f>
        <v>0</v>
      </c>
      <c r="R110" s="1065">
        <f t="shared" si="21"/>
        <v>0</v>
      </c>
      <c r="S110" s="1065">
        <f t="shared" si="21"/>
        <v>0</v>
      </c>
      <c r="T110" s="1099" t="s">
        <v>954</v>
      </c>
      <c r="U110" s="1100" t="s">
        <v>956</v>
      </c>
      <c r="V110" s="1099">
        <v>414</v>
      </c>
      <c r="W110" s="1099">
        <v>14015</v>
      </c>
      <c r="Z110" s="1311">
        <f t="shared" si="14"/>
        <v>0</v>
      </c>
      <c r="AA110" s="1374">
        <f t="shared" si="16"/>
        <v>0</v>
      </c>
      <c r="AB110" s="1374">
        <f t="shared" si="15"/>
        <v>0</v>
      </c>
    </row>
    <row r="111" spans="1:28" s="1216" customFormat="1" ht="63" customHeight="1">
      <c r="A111" s="1388" t="s">
        <v>631</v>
      </c>
      <c r="B111" s="900" t="s">
        <v>643</v>
      </c>
      <c r="C111" s="871">
        <f t="shared" si="11"/>
        <v>2752.8</v>
      </c>
      <c r="D111" s="972">
        <v>0</v>
      </c>
      <c r="E111" s="972">
        <v>2752.8</v>
      </c>
      <c r="F111" s="1395">
        <f t="shared" si="12"/>
        <v>2752.8</v>
      </c>
      <c r="G111" s="879">
        <v>0</v>
      </c>
      <c r="H111" s="879">
        <v>2752.8</v>
      </c>
      <c r="I111" s="1395">
        <f t="shared" si="13"/>
        <v>983.1</v>
      </c>
      <c r="J111" s="1396">
        <v>0</v>
      </c>
      <c r="K111" s="1396">
        <v>983.1</v>
      </c>
      <c r="L111" s="876">
        <f t="shared" si="20"/>
        <v>35.700000000000003</v>
      </c>
      <c r="M111" s="877">
        <f t="shared" si="20"/>
        <v>0</v>
      </c>
      <c r="N111" s="877">
        <f t="shared" si="20"/>
        <v>35.700000000000003</v>
      </c>
      <c r="O111" s="1214" t="s">
        <v>1236</v>
      </c>
      <c r="P111" s="1214" t="s">
        <v>1196</v>
      </c>
      <c r="Q111" s="1065">
        <f t="shared" si="21"/>
        <v>0</v>
      </c>
      <c r="R111" s="1065">
        <f t="shared" si="21"/>
        <v>0</v>
      </c>
      <c r="S111" s="1065">
        <f t="shared" si="21"/>
        <v>0</v>
      </c>
      <c r="T111" s="1099" t="s">
        <v>954</v>
      </c>
      <c r="U111" s="1100" t="s">
        <v>956</v>
      </c>
      <c r="V111" s="1099">
        <v>141</v>
      </c>
      <c r="W111" s="1099">
        <v>14018</v>
      </c>
      <c r="Z111" s="1311">
        <f t="shared" si="14"/>
        <v>0</v>
      </c>
      <c r="AA111" s="1374">
        <f t="shared" si="16"/>
        <v>0</v>
      </c>
      <c r="AB111" s="1374">
        <f t="shared" si="15"/>
        <v>0</v>
      </c>
    </row>
    <row r="112" spans="1:28" s="1216" customFormat="1" ht="69.75" customHeight="1">
      <c r="A112" s="1388" t="s">
        <v>632</v>
      </c>
      <c r="B112" s="900" t="s">
        <v>801</v>
      </c>
      <c r="C112" s="871">
        <f t="shared" si="11"/>
        <v>10292.6</v>
      </c>
      <c r="D112" s="972">
        <v>0</v>
      </c>
      <c r="E112" s="972">
        <v>10292.6</v>
      </c>
      <c r="F112" s="1395">
        <f t="shared" si="12"/>
        <v>10292.6</v>
      </c>
      <c r="G112" s="879">
        <v>0</v>
      </c>
      <c r="H112" s="879">
        <v>10292.6</v>
      </c>
      <c r="I112" s="1395">
        <f t="shared" si="13"/>
        <v>0</v>
      </c>
      <c r="J112" s="1396">
        <v>0</v>
      </c>
      <c r="K112" s="1396">
        <v>0</v>
      </c>
      <c r="L112" s="876">
        <f t="shared" si="20"/>
        <v>0</v>
      </c>
      <c r="M112" s="877">
        <f t="shared" si="20"/>
        <v>0</v>
      </c>
      <c r="N112" s="877">
        <f t="shared" si="20"/>
        <v>0</v>
      </c>
      <c r="O112" s="1214" t="s">
        <v>1192</v>
      </c>
      <c r="P112" s="1214" t="s">
        <v>1197</v>
      </c>
      <c r="Q112" s="1065">
        <f t="shared" si="21"/>
        <v>0</v>
      </c>
      <c r="R112" s="1065">
        <f t="shared" si="21"/>
        <v>0</v>
      </c>
      <c r="S112" s="1065">
        <f t="shared" si="21"/>
        <v>0</v>
      </c>
      <c r="T112" s="1099" t="s">
        <v>954</v>
      </c>
      <c r="U112" s="1100" t="s">
        <v>955</v>
      </c>
      <c r="V112" s="1099">
        <v>414</v>
      </c>
      <c r="W112" s="1099">
        <v>14004</v>
      </c>
      <c r="Z112" s="1311">
        <f t="shared" si="14"/>
        <v>0</v>
      </c>
      <c r="AA112" s="1374">
        <f t="shared" si="16"/>
        <v>0</v>
      </c>
      <c r="AB112" s="1374">
        <f t="shared" si="15"/>
        <v>0</v>
      </c>
    </row>
    <row r="113" spans="1:28" s="1216" customFormat="1" ht="78.75">
      <c r="A113" s="1388" t="s">
        <v>633</v>
      </c>
      <c r="B113" s="900" t="s">
        <v>802</v>
      </c>
      <c r="C113" s="871">
        <f t="shared" si="11"/>
        <v>5000</v>
      </c>
      <c r="D113" s="972">
        <v>0</v>
      </c>
      <c r="E113" s="972">
        <v>5000</v>
      </c>
      <c r="F113" s="1395">
        <f t="shared" si="12"/>
        <v>5000</v>
      </c>
      <c r="G113" s="879">
        <v>0</v>
      </c>
      <c r="H113" s="879">
        <v>5000</v>
      </c>
      <c r="I113" s="1395">
        <f t="shared" si="13"/>
        <v>0</v>
      </c>
      <c r="J113" s="1396">
        <v>0</v>
      </c>
      <c r="K113" s="1396">
        <v>0</v>
      </c>
      <c r="L113" s="876">
        <f t="shared" si="20"/>
        <v>0</v>
      </c>
      <c r="M113" s="877">
        <f t="shared" si="20"/>
        <v>0</v>
      </c>
      <c r="N113" s="877">
        <f t="shared" si="20"/>
        <v>0</v>
      </c>
      <c r="O113" s="1214" t="s">
        <v>1192</v>
      </c>
      <c r="P113" s="1214" t="s">
        <v>1198</v>
      </c>
      <c r="Q113" s="1065">
        <f t="shared" si="21"/>
        <v>0</v>
      </c>
      <c r="R113" s="1065">
        <f t="shared" si="21"/>
        <v>0</v>
      </c>
      <c r="S113" s="1065">
        <f t="shared" si="21"/>
        <v>0</v>
      </c>
      <c r="T113" s="1099" t="s">
        <v>954</v>
      </c>
      <c r="U113" s="1100" t="s">
        <v>956</v>
      </c>
      <c r="V113" s="1099">
        <v>414</v>
      </c>
      <c r="W113" s="1099">
        <v>14060</v>
      </c>
      <c r="Z113" s="1311">
        <f t="shared" si="14"/>
        <v>0</v>
      </c>
      <c r="AA113" s="1374">
        <f t="shared" si="16"/>
        <v>0</v>
      </c>
      <c r="AB113" s="1374">
        <f t="shared" si="15"/>
        <v>0</v>
      </c>
    </row>
    <row r="114" spans="1:28" s="1216" customFormat="1" ht="52.5">
      <c r="A114" s="1388" t="s">
        <v>634</v>
      </c>
      <c r="B114" s="900" t="s">
        <v>812</v>
      </c>
      <c r="C114" s="871">
        <f t="shared" si="11"/>
        <v>1350</v>
      </c>
      <c r="D114" s="972">
        <v>0</v>
      </c>
      <c r="E114" s="972">
        <v>1350</v>
      </c>
      <c r="F114" s="1395">
        <f t="shared" si="12"/>
        <v>1350</v>
      </c>
      <c r="G114" s="879">
        <v>0</v>
      </c>
      <c r="H114" s="879">
        <v>1350</v>
      </c>
      <c r="I114" s="1395">
        <f t="shared" si="13"/>
        <v>1125</v>
      </c>
      <c r="J114" s="1396">
        <v>0</v>
      </c>
      <c r="K114" s="1396">
        <v>1125</v>
      </c>
      <c r="L114" s="876">
        <f t="shared" si="20"/>
        <v>83.3</v>
      </c>
      <c r="M114" s="877">
        <f t="shared" si="20"/>
        <v>0</v>
      </c>
      <c r="N114" s="877">
        <f t="shared" si="20"/>
        <v>83.3</v>
      </c>
      <c r="O114" s="1214" t="s">
        <v>1192</v>
      </c>
      <c r="P114" s="1214" t="s">
        <v>1199</v>
      </c>
      <c r="Q114" s="1065">
        <f t="shared" si="21"/>
        <v>0</v>
      </c>
      <c r="R114" s="1065">
        <f t="shared" si="21"/>
        <v>0</v>
      </c>
      <c r="S114" s="1065">
        <f t="shared" si="21"/>
        <v>0</v>
      </c>
      <c r="T114" s="1099" t="s">
        <v>954</v>
      </c>
      <c r="U114" s="1100" t="s">
        <v>956</v>
      </c>
      <c r="V114" s="1099">
        <v>414</v>
      </c>
      <c r="W114" s="1099">
        <v>14074</v>
      </c>
      <c r="Z114" s="1311">
        <f t="shared" si="14"/>
        <v>0</v>
      </c>
      <c r="AA114" s="1374">
        <f t="shared" si="16"/>
        <v>0</v>
      </c>
      <c r="AB114" s="1374">
        <f t="shared" si="15"/>
        <v>0</v>
      </c>
    </row>
    <row r="115" spans="1:28" s="1216" customFormat="1" ht="90.75" customHeight="1">
      <c r="A115" s="1388" t="s">
        <v>635</v>
      </c>
      <c r="B115" s="1125" t="s">
        <v>795</v>
      </c>
      <c r="C115" s="871">
        <f t="shared" si="11"/>
        <v>1230</v>
      </c>
      <c r="D115" s="1249">
        <v>0</v>
      </c>
      <c r="E115" s="1249">
        <v>1230</v>
      </c>
      <c r="F115" s="1395">
        <f t="shared" si="12"/>
        <v>1230</v>
      </c>
      <c r="G115" s="1397">
        <v>0</v>
      </c>
      <c r="H115" s="1397">
        <v>1230</v>
      </c>
      <c r="I115" s="1395">
        <f t="shared" si="13"/>
        <v>0</v>
      </c>
      <c r="J115" s="1397">
        <v>0</v>
      </c>
      <c r="K115" s="1397">
        <v>0</v>
      </c>
      <c r="L115" s="876">
        <f t="shared" si="20"/>
        <v>0</v>
      </c>
      <c r="M115" s="877">
        <f t="shared" si="20"/>
        <v>0</v>
      </c>
      <c r="N115" s="877">
        <f t="shared" si="20"/>
        <v>0</v>
      </c>
      <c r="O115" s="1214" t="s">
        <v>1192</v>
      </c>
      <c r="P115" s="1214" t="s">
        <v>1198</v>
      </c>
      <c r="Q115" s="1065">
        <f t="shared" si="21"/>
        <v>0</v>
      </c>
      <c r="R115" s="1065">
        <f t="shared" si="21"/>
        <v>0</v>
      </c>
      <c r="S115" s="1065">
        <f t="shared" si="21"/>
        <v>0</v>
      </c>
      <c r="T115" s="1099" t="s">
        <v>886</v>
      </c>
      <c r="U115" s="1100">
        <v>1820190400</v>
      </c>
      <c r="V115" s="1099">
        <v>414</v>
      </c>
      <c r="W115" s="1099">
        <v>14062</v>
      </c>
      <c r="Z115" s="1311">
        <f t="shared" si="14"/>
        <v>0</v>
      </c>
      <c r="AA115" s="1374">
        <f t="shared" si="16"/>
        <v>0</v>
      </c>
      <c r="AB115" s="1374">
        <f t="shared" si="15"/>
        <v>0</v>
      </c>
    </row>
    <row r="116" spans="1:28" s="1216" customFormat="1" ht="86.25" customHeight="1">
      <c r="A116" s="1388" t="s">
        <v>734</v>
      </c>
      <c r="B116" s="937" t="s">
        <v>796</v>
      </c>
      <c r="C116" s="871">
        <f t="shared" si="11"/>
        <v>1020</v>
      </c>
      <c r="D116" s="1249">
        <v>0</v>
      </c>
      <c r="E116" s="1249">
        <v>1020</v>
      </c>
      <c r="F116" s="1395">
        <f t="shared" si="12"/>
        <v>1020</v>
      </c>
      <c r="G116" s="1397">
        <v>0</v>
      </c>
      <c r="H116" s="1397">
        <v>1020</v>
      </c>
      <c r="I116" s="1395">
        <f t="shared" si="13"/>
        <v>0</v>
      </c>
      <c r="J116" s="1397">
        <v>0</v>
      </c>
      <c r="K116" s="1397">
        <v>0</v>
      </c>
      <c r="L116" s="876">
        <f t="shared" si="20"/>
        <v>0</v>
      </c>
      <c r="M116" s="877">
        <f t="shared" si="20"/>
        <v>0</v>
      </c>
      <c r="N116" s="877">
        <f t="shared" si="20"/>
        <v>0</v>
      </c>
      <c r="O116" s="1214" t="s">
        <v>1192</v>
      </c>
      <c r="P116" s="1214" t="s">
        <v>1198</v>
      </c>
      <c r="Q116" s="1065">
        <f t="shared" si="21"/>
        <v>0</v>
      </c>
      <c r="R116" s="1065">
        <f t="shared" si="21"/>
        <v>0</v>
      </c>
      <c r="S116" s="1065">
        <f t="shared" si="21"/>
        <v>0</v>
      </c>
      <c r="T116" s="1099" t="s">
        <v>886</v>
      </c>
      <c r="U116" s="1100">
        <v>1820190400</v>
      </c>
      <c r="V116" s="1099">
        <v>414</v>
      </c>
      <c r="W116" s="1099">
        <v>14063</v>
      </c>
      <c r="Z116" s="1311">
        <f t="shared" si="14"/>
        <v>0</v>
      </c>
      <c r="AA116" s="1374">
        <f t="shared" si="16"/>
        <v>0</v>
      </c>
      <c r="AB116" s="1374">
        <f t="shared" si="15"/>
        <v>0</v>
      </c>
    </row>
    <row r="117" spans="1:28" s="1216" customFormat="1" ht="93">
      <c r="A117" s="1388" t="s">
        <v>735</v>
      </c>
      <c r="B117" s="1126" t="s">
        <v>806</v>
      </c>
      <c r="C117" s="871">
        <f t="shared" si="11"/>
        <v>2100</v>
      </c>
      <c r="D117" s="1249">
        <v>0</v>
      </c>
      <c r="E117" s="1249">
        <v>2100</v>
      </c>
      <c r="F117" s="1395">
        <f t="shared" si="12"/>
        <v>2100</v>
      </c>
      <c r="G117" s="1397">
        <v>0</v>
      </c>
      <c r="H117" s="1397">
        <v>2100</v>
      </c>
      <c r="I117" s="1395">
        <f t="shared" si="13"/>
        <v>0</v>
      </c>
      <c r="J117" s="1397">
        <v>0</v>
      </c>
      <c r="K117" s="1397">
        <v>0</v>
      </c>
      <c r="L117" s="876">
        <f t="shared" ref="L117:N151" si="22">IF(I117=0,0,I117/F117*100)</f>
        <v>0</v>
      </c>
      <c r="M117" s="877">
        <f t="shared" si="22"/>
        <v>0</v>
      </c>
      <c r="N117" s="877">
        <f t="shared" si="22"/>
        <v>0</v>
      </c>
      <c r="O117" s="1214" t="s">
        <v>1192</v>
      </c>
      <c r="P117" s="1214" t="s">
        <v>1200</v>
      </c>
      <c r="Q117" s="1065">
        <f t="shared" si="21"/>
        <v>0</v>
      </c>
      <c r="R117" s="1065">
        <f t="shared" si="21"/>
        <v>0</v>
      </c>
      <c r="S117" s="1065">
        <f t="shared" si="21"/>
        <v>0</v>
      </c>
      <c r="T117" s="1099" t="s">
        <v>886</v>
      </c>
      <c r="U117" s="1100">
        <v>1820190400</v>
      </c>
      <c r="V117" s="1099">
        <v>414</v>
      </c>
      <c r="W117" s="1099">
        <v>14064</v>
      </c>
      <c r="Z117" s="1311">
        <f t="shared" si="14"/>
        <v>0</v>
      </c>
      <c r="AA117" s="1374">
        <f t="shared" si="16"/>
        <v>0</v>
      </c>
      <c r="AB117" s="1374">
        <f t="shared" si="15"/>
        <v>0</v>
      </c>
    </row>
    <row r="118" spans="1:28" s="1216" customFormat="1" ht="93">
      <c r="A118" s="1388" t="s">
        <v>636</v>
      </c>
      <c r="B118" s="1125" t="s">
        <v>807</v>
      </c>
      <c r="C118" s="871">
        <f t="shared" si="11"/>
        <v>2340</v>
      </c>
      <c r="D118" s="1249">
        <v>0</v>
      </c>
      <c r="E118" s="1249">
        <v>2340</v>
      </c>
      <c r="F118" s="1395">
        <f t="shared" si="12"/>
        <v>2340</v>
      </c>
      <c r="G118" s="1397">
        <v>0</v>
      </c>
      <c r="H118" s="1397">
        <v>2340</v>
      </c>
      <c r="I118" s="1395">
        <f t="shared" si="13"/>
        <v>0</v>
      </c>
      <c r="J118" s="1397">
        <v>0</v>
      </c>
      <c r="K118" s="1397">
        <v>0</v>
      </c>
      <c r="L118" s="876">
        <f t="shared" si="22"/>
        <v>0</v>
      </c>
      <c r="M118" s="877">
        <f t="shared" si="22"/>
        <v>0</v>
      </c>
      <c r="N118" s="877">
        <f t="shared" si="22"/>
        <v>0</v>
      </c>
      <c r="O118" s="1214" t="s">
        <v>1192</v>
      </c>
      <c r="P118" s="1214" t="s">
        <v>1201</v>
      </c>
      <c r="Q118" s="1065">
        <f t="shared" si="21"/>
        <v>0</v>
      </c>
      <c r="R118" s="1065">
        <f t="shared" si="21"/>
        <v>0</v>
      </c>
      <c r="S118" s="1065">
        <f t="shared" si="21"/>
        <v>0</v>
      </c>
      <c r="T118" s="1099" t="s">
        <v>886</v>
      </c>
      <c r="U118" s="1100">
        <v>1820190400</v>
      </c>
      <c r="V118" s="1099">
        <v>414</v>
      </c>
      <c r="W118" s="1099">
        <v>14065</v>
      </c>
      <c r="Z118" s="1311">
        <f t="shared" si="14"/>
        <v>0</v>
      </c>
      <c r="AA118" s="1374">
        <f t="shared" si="16"/>
        <v>0</v>
      </c>
      <c r="AB118" s="1374">
        <f t="shared" si="15"/>
        <v>0</v>
      </c>
    </row>
    <row r="119" spans="1:28" s="1216" customFormat="1" ht="111" customHeight="1">
      <c r="A119" s="1388" t="s">
        <v>736</v>
      </c>
      <c r="B119" s="1125" t="s">
        <v>808</v>
      </c>
      <c r="C119" s="871">
        <f t="shared" si="11"/>
        <v>2000</v>
      </c>
      <c r="D119" s="1249">
        <v>0</v>
      </c>
      <c r="E119" s="1249">
        <v>2000</v>
      </c>
      <c r="F119" s="1395">
        <f t="shared" si="12"/>
        <v>2000</v>
      </c>
      <c r="G119" s="1397">
        <v>0</v>
      </c>
      <c r="H119" s="1397">
        <v>2000</v>
      </c>
      <c r="I119" s="1395">
        <f t="shared" si="13"/>
        <v>0</v>
      </c>
      <c r="J119" s="1397">
        <v>0</v>
      </c>
      <c r="K119" s="1397">
        <v>0</v>
      </c>
      <c r="L119" s="876">
        <f t="shared" si="22"/>
        <v>0</v>
      </c>
      <c r="M119" s="877">
        <f t="shared" si="22"/>
        <v>0</v>
      </c>
      <c r="N119" s="877">
        <f t="shared" si="22"/>
        <v>0</v>
      </c>
      <c r="O119" s="1214" t="s">
        <v>1192</v>
      </c>
      <c r="P119" s="1214" t="s">
        <v>1202</v>
      </c>
      <c r="Q119" s="1065">
        <f t="shared" si="21"/>
        <v>0</v>
      </c>
      <c r="R119" s="1065">
        <f t="shared" si="21"/>
        <v>0</v>
      </c>
      <c r="S119" s="1065">
        <f t="shared" si="21"/>
        <v>0</v>
      </c>
      <c r="T119" s="1099" t="s">
        <v>886</v>
      </c>
      <c r="U119" s="1100">
        <v>1820190400</v>
      </c>
      <c r="V119" s="1099">
        <v>414</v>
      </c>
      <c r="W119" s="1099">
        <v>14066</v>
      </c>
      <c r="Z119" s="1311">
        <f t="shared" si="14"/>
        <v>0</v>
      </c>
      <c r="AA119" s="1374">
        <f t="shared" si="16"/>
        <v>0</v>
      </c>
      <c r="AB119" s="1374">
        <f t="shared" si="15"/>
        <v>0</v>
      </c>
    </row>
    <row r="120" spans="1:28" s="1216" customFormat="1" ht="117" customHeight="1">
      <c r="A120" s="1388" t="s">
        <v>737</v>
      </c>
      <c r="B120" s="900" t="s">
        <v>809</v>
      </c>
      <c r="C120" s="871">
        <f>SUM(D120:E120)</f>
        <v>6000</v>
      </c>
      <c r="D120" s="1249">
        <v>0</v>
      </c>
      <c r="E120" s="1249">
        <v>6000</v>
      </c>
      <c r="F120" s="1395">
        <f>SUM(G120:H120)</f>
        <v>6000</v>
      </c>
      <c r="G120" s="1397">
        <v>0</v>
      </c>
      <c r="H120" s="1397">
        <v>6000</v>
      </c>
      <c r="I120" s="1395">
        <f>SUM(J120:K120)</f>
        <v>0</v>
      </c>
      <c r="J120" s="1397">
        <v>0</v>
      </c>
      <c r="K120" s="1397">
        <v>0</v>
      </c>
      <c r="L120" s="876">
        <f t="shared" si="22"/>
        <v>0</v>
      </c>
      <c r="M120" s="877">
        <f t="shared" si="22"/>
        <v>0</v>
      </c>
      <c r="N120" s="877">
        <f t="shared" si="22"/>
        <v>0</v>
      </c>
      <c r="O120" s="1214" t="s">
        <v>1192</v>
      </c>
      <c r="P120" s="1214" t="s">
        <v>1203</v>
      </c>
      <c r="Q120" s="1065">
        <f t="shared" si="21"/>
        <v>0</v>
      </c>
      <c r="R120" s="1065">
        <f t="shared" si="21"/>
        <v>0</v>
      </c>
      <c r="S120" s="1065">
        <f t="shared" si="21"/>
        <v>0</v>
      </c>
      <c r="T120" s="1099" t="s">
        <v>928</v>
      </c>
      <c r="U120" s="1100" t="s">
        <v>929</v>
      </c>
      <c r="V120" s="1099">
        <v>414</v>
      </c>
      <c r="W120" s="1099">
        <v>14072</v>
      </c>
      <c r="Z120" s="1311">
        <f t="shared" si="14"/>
        <v>0</v>
      </c>
      <c r="AA120" s="1374">
        <f t="shared" si="16"/>
        <v>0</v>
      </c>
      <c r="AB120" s="1374">
        <f t="shared" si="15"/>
        <v>0</v>
      </c>
    </row>
    <row r="121" spans="1:28" s="1216" customFormat="1" ht="105">
      <c r="A121" s="1388" t="s">
        <v>738</v>
      </c>
      <c r="B121" s="900" t="s">
        <v>810</v>
      </c>
      <c r="C121" s="871">
        <f>SUM(D121:E121)</f>
        <v>6000</v>
      </c>
      <c r="D121" s="1249">
        <v>0</v>
      </c>
      <c r="E121" s="1249">
        <v>6000</v>
      </c>
      <c r="F121" s="1395">
        <f>SUM(G121:H121)</f>
        <v>6000</v>
      </c>
      <c r="G121" s="1397">
        <v>0</v>
      </c>
      <c r="H121" s="1397">
        <v>6000</v>
      </c>
      <c r="I121" s="1395">
        <f>SUM(J121:K121)</f>
        <v>0</v>
      </c>
      <c r="J121" s="1397">
        <v>0</v>
      </c>
      <c r="K121" s="1397">
        <v>0</v>
      </c>
      <c r="L121" s="876">
        <f t="shared" si="22"/>
        <v>0</v>
      </c>
      <c r="M121" s="877">
        <f t="shared" si="22"/>
        <v>0</v>
      </c>
      <c r="N121" s="877">
        <f t="shared" si="22"/>
        <v>0</v>
      </c>
      <c r="O121" s="1214" t="s">
        <v>1192</v>
      </c>
      <c r="P121" s="1214" t="s">
        <v>1203</v>
      </c>
      <c r="Q121" s="1065">
        <f t="shared" si="21"/>
        <v>0</v>
      </c>
      <c r="R121" s="1065">
        <f t="shared" si="21"/>
        <v>0</v>
      </c>
      <c r="S121" s="1065">
        <f t="shared" si="21"/>
        <v>0</v>
      </c>
      <c r="T121" s="1099" t="s">
        <v>936</v>
      </c>
      <c r="U121" s="1100" t="s">
        <v>937</v>
      </c>
      <c r="V121" s="1099">
        <v>414</v>
      </c>
      <c r="W121" s="1099">
        <v>14058</v>
      </c>
      <c r="Z121" s="1311">
        <f t="shared" si="14"/>
        <v>0</v>
      </c>
      <c r="AA121" s="1374">
        <f t="shared" si="16"/>
        <v>0</v>
      </c>
      <c r="AB121" s="1374">
        <f t="shared" si="15"/>
        <v>0</v>
      </c>
    </row>
    <row r="122" spans="1:28" s="1216" customFormat="1" ht="139.5">
      <c r="A122" s="1388" t="s">
        <v>739</v>
      </c>
      <c r="B122" s="990" t="s">
        <v>811</v>
      </c>
      <c r="C122" s="871">
        <f>SUM(D122:E122)</f>
        <v>16500</v>
      </c>
      <c r="D122" s="1249">
        <v>0</v>
      </c>
      <c r="E122" s="1249">
        <v>16500</v>
      </c>
      <c r="F122" s="1395">
        <f>SUM(G122:H122)</f>
        <v>16500</v>
      </c>
      <c r="G122" s="1397">
        <v>0</v>
      </c>
      <c r="H122" s="1397">
        <v>16500</v>
      </c>
      <c r="I122" s="1395">
        <f>SUM(J122:K122)</f>
        <v>0</v>
      </c>
      <c r="J122" s="1397">
        <v>0</v>
      </c>
      <c r="K122" s="1397">
        <v>0</v>
      </c>
      <c r="L122" s="876">
        <f t="shared" si="22"/>
        <v>0</v>
      </c>
      <c r="M122" s="877">
        <f t="shared" si="22"/>
        <v>0</v>
      </c>
      <c r="N122" s="877">
        <f t="shared" si="22"/>
        <v>0</v>
      </c>
      <c r="O122" s="1214" t="s">
        <v>1192</v>
      </c>
      <c r="P122" s="1214" t="s">
        <v>1204</v>
      </c>
      <c r="Q122" s="1065">
        <f t="shared" si="21"/>
        <v>0</v>
      </c>
      <c r="R122" s="1065">
        <f t="shared" si="21"/>
        <v>0</v>
      </c>
      <c r="S122" s="1065">
        <f t="shared" si="21"/>
        <v>0</v>
      </c>
      <c r="T122" s="1099" t="s">
        <v>936</v>
      </c>
      <c r="U122" s="1100" t="s">
        <v>937</v>
      </c>
      <c r="V122" s="1099">
        <v>414</v>
      </c>
      <c r="W122" s="1099">
        <v>14059</v>
      </c>
      <c r="Z122" s="1311">
        <f t="shared" si="14"/>
        <v>0</v>
      </c>
      <c r="AA122" s="1374">
        <f t="shared" si="16"/>
        <v>0</v>
      </c>
      <c r="AB122" s="1374">
        <f t="shared" si="15"/>
        <v>0</v>
      </c>
    </row>
    <row r="123" spans="1:28" s="1216" customFormat="1" ht="108" customHeight="1">
      <c r="A123" s="1388" t="s">
        <v>740</v>
      </c>
      <c r="B123" s="900" t="s">
        <v>640</v>
      </c>
      <c r="C123" s="1395">
        <f>SUM(D123:E123)</f>
        <v>1400</v>
      </c>
      <c r="D123" s="879">
        <v>0</v>
      </c>
      <c r="E123" s="879">
        <v>1400</v>
      </c>
      <c r="F123" s="1395">
        <f>SUM(G123:H123)</f>
        <v>1400</v>
      </c>
      <c r="G123" s="879">
        <v>0</v>
      </c>
      <c r="H123" s="879">
        <v>1400</v>
      </c>
      <c r="I123" s="1395">
        <f>SUM(J123:K123)</f>
        <v>0</v>
      </c>
      <c r="J123" s="1396">
        <v>0</v>
      </c>
      <c r="K123" s="1396">
        <v>0</v>
      </c>
      <c r="L123" s="876">
        <f t="shared" si="22"/>
        <v>0</v>
      </c>
      <c r="M123" s="877">
        <f t="shared" si="22"/>
        <v>0</v>
      </c>
      <c r="N123" s="877">
        <f t="shared" si="22"/>
        <v>0</v>
      </c>
      <c r="O123" s="1214" t="s">
        <v>1237</v>
      </c>
      <c r="P123" s="1214" t="s">
        <v>1205</v>
      </c>
      <c r="Q123" s="1065">
        <f t="shared" si="21"/>
        <v>0</v>
      </c>
      <c r="R123" s="1065">
        <f t="shared" si="21"/>
        <v>0</v>
      </c>
      <c r="S123" s="1065">
        <f t="shared" si="21"/>
        <v>0</v>
      </c>
      <c r="T123" s="1099" t="s">
        <v>869</v>
      </c>
      <c r="U123" s="1100">
        <v>1410190420</v>
      </c>
      <c r="V123" s="1099">
        <v>414</v>
      </c>
      <c r="W123" s="1099">
        <v>14022</v>
      </c>
      <c r="Z123" s="1311">
        <f t="shared" si="14"/>
        <v>0</v>
      </c>
      <c r="AA123" s="1374">
        <f t="shared" si="16"/>
        <v>0</v>
      </c>
      <c r="AB123" s="1374">
        <f t="shared" si="15"/>
        <v>0</v>
      </c>
    </row>
    <row r="124" spans="1:28" s="1216" customFormat="1" ht="93.75" customHeight="1">
      <c r="A124" s="1388" t="s">
        <v>741</v>
      </c>
      <c r="B124" s="1106" t="s">
        <v>863</v>
      </c>
      <c r="C124" s="871">
        <f>SUM(D124:E124)</f>
        <v>21276.6</v>
      </c>
      <c r="D124" s="972">
        <v>20000</v>
      </c>
      <c r="E124" s="972">
        <v>1276.5999999999999</v>
      </c>
      <c r="F124" s="1395">
        <f>SUM(G124:H124)</f>
        <v>21276.6</v>
      </c>
      <c r="G124" s="879">
        <v>20000</v>
      </c>
      <c r="H124" s="879">
        <v>1276.5999999999999</v>
      </c>
      <c r="I124" s="1395">
        <f>SUM(J124:K124)</f>
        <v>19639.3</v>
      </c>
      <c r="J124" s="1396">
        <v>18460.900000000001</v>
      </c>
      <c r="K124" s="1396">
        <v>1178.4000000000001</v>
      </c>
      <c r="L124" s="876">
        <f t="shared" si="22"/>
        <v>92.3</v>
      </c>
      <c r="M124" s="877">
        <f t="shared" si="22"/>
        <v>92.3</v>
      </c>
      <c r="N124" s="877">
        <f t="shared" si="22"/>
        <v>92.3</v>
      </c>
      <c r="O124" s="1214" t="s">
        <v>1192</v>
      </c>
      <c r="P124" s="1214" t="s">
        <v>1206</v>
      </c>
      <c r="Q124" s="1065"/>
      <c r="R124" s="1065"/>
      <c r="S124" s="1065"/>
      <c r="T124" s="1099" t="s">
        <v>928</v>
      </c>
      <c r="U124" s="1100" t="s">
        <v>932</v>
      </c>
      <c r="V124" s="1099">
        <v>414</v>
      </c>
      <c r="W124" s="1099" t="s">
        <v>933</v>
      </c>
      <c r="Z124" s="1311">
        <f t="shared" si="14"/>
        <v>0</v>
      </c>
      <c r="AA124" s="1374">
        <f t="shared" si="16"/>
        <v>0</v>
      </c>
      <c r="AB124" s="1374">
        <f t="shared" si="15"/>
        <v>0</v>
      </c>
    </row>
    <row r="125" spans="1:28" s="1216" customFormat="1" ht="57.75" customHeight="1">
      <c r="A125" s="1388" t="s">
        <v>742</v>
      </c>
      <c r="B125" s="1127" t="s">
        <v>841</v>
      </c>
      <c r="C125" s="871">
        <f t="shared" ref="C125:C195" si="23">SUM(D125:E125)</f>
        <v>1026</v>
      </c>
      <c r="D125" s="972">
        <v>0</v>
      </c>
      <c r="E125" s="1255">
        <v>1026</v>
      </c>
      <c r="F125" s="1395">
        <f t="shared" ref="F125:F195" si="24">SUM(G125:H125)</f>
        <v>1026</v>
      </c>
      <c r="G125" s="1397">
        <v>0</v>
      </c>
      <c r="H125" s="970">
        <f>E125</f>
        <v>1026</v>
      </c>
      <c r="I125" s="1395">
        <f t="shared" ref="I125:I183" si="25">SUM(J125:K125)</f>
        <v>0</v>
      </c>
      <c r="J125" s="1396">
        <v>0</v>
      </c>
      <c r="K125" s="1396">
        <v>0</v>
      </c>
      <c r="L125" s="876">
        <f t="shared" si="22"/>
        <v>0</v>
      </c>
      <c r="M125" s="877">
        <f t="shared" si="22"/>
        <v>0</v>
      </c>
      <c r="N125" s="877">
        <f t="shared" si="22"/>
        <v>0</v>
      </c>
      <c r="O125" s="1214" t="s">
        <v>1192</v>
      </c>
      <c r="P125" s="1214" t="s">
        <v>1207</v>
      </c>
      <c r="Q125" s="1065">
        <f t="shared" ref="Q125:S163" si="26">C125-F125</f>
        <v>0</v>
      </c>
      <c r="R125" s="1065">
        <f t="shared" si="26"/>
        <v>0</v>
      </c>
      <c r="S125" s="1065">
        <f t="shared" si="26"/>
        <v>0</v>
      </c>
      <c r="T125" s="1099" t="s">
        <v>886</v>
      </c>
      <c r="U125" s="1100" t="s">
        <v>892</v>
      </c>
      <c r="V125" s="1099">
        <v>414</v>
      </c>
      <c r="W125" s="1099">
        <v>14076</v>
      </c>
      <c r="Z125" s="1311">
        <f t="shared" si="14"/>
        <v>0</v>
      </c>
      <c r="AA125" s="1374">
        <f t="shared" si="16"/>
        <v>0</v>
      </c>
      <c r="AB125" s="1374">
        <f t="shared" si="15"/>
        <v>0</v>
      </c>
    </row>
    <row r="126" spans="1:28" s="1216" customFormat="1" ht="67.5" customHeight="1">
      <c r="A126" s="1388" t="s">
        <v>782</v>
      </c>
      <c r="B126" s="1127" t="s">
        <v>842</v>
      </c>
      <c r="C126" s="871">
        <f t="shared" si="23"/>
        <v>813</v>
      </c>
      <c r="D126" s="972">
        <v>0</v>
      </c>
      <c r="E126" s="1255">
        <v>813</v>
      </c>
      <c r="F126" s="1395">
        <f t="shared" si="24"/>
        <v>813</v>
      </c>
      <c r="G126" s="1397">
        <v>0</v>
      </c>
      <c r="H126" s="970">
        <f t="shared" ref="H126:H141" si="27">E126</f>
        <v>813</v>
      </c>
      <c r="I126" s="1395">
        <f t="shared" si="25"/>
        <v>0</v>
      </c>
      <c r="J126" s="1396">
        <v>0</v>
      </c>
      <c r="K126" s="1396">
        <v>0</v>
      </c>
      <c r="L126" s="876">
        <f t="shared" si="22"/>
        <v>0</v>
      </c>
      <c r="M126" s="877">
        <f t="shared" si="22"/>
        <v>0</v>
      </c>
      <c r="N126" s="877">
        <f t="shared" si="22"/>
        <v>0</v>
      </c>
      <c r="O126" s="1214" t="s">
        <v>1192</v>
      </c>
      <c r="P126" s="1214" t="s">
        <v>1208</v>
      </c>
      <c r="Q126" s="1065">
        <f t="shared" si="26"/>
        <v>0</v>
      </c>
      <c r="R126" s="1065">
        <f t="shared" si="26"/>
        <v>0</v>
      </c>
      <c r="S126" s="1065">
        <f t="shared" si="26"/>
        <v>0</v>
      </c>
      <c r="T126" s="1099" t="s">
        <v>886</v>
      </c>
      <c r="U126" s="1100" t="s">
        <v>892</v>
      </c>
      <c r="V126" s="1099">
        <v>414</v>
      </c>
      <c r="W126" s="1099">
        <v>14077</v>
      </c>
      <c r="Z126" s="1311">
        <f t="shared" si="14"/>
        <v>0</v>
      </c>
      <c r="AA126" s="1374">
        <f t="shared" si="16"/>
        <v>0</v>
      </c>
      <c r="AB126" s="1374">
        <f t="shared" si="15"/>
        <v>0</v>
      </c>
    </row>
    <row r="127" spans="1:28" ht="90.75" customHeight="1">
      <c r="A127" s="1388" t="s">
        <v>817</v>
      </c>
      <c r="B127" s="1127" t="s">
        <v>843</v>
      </c>
      <c r="C127" s="871">
        <f t="shared" si="23"/>
        <v>792</v>
      </c>
      <c r="D127" s="972">
        <v>0</v>
      </c>
      <c r="E127" s="1255">
        <v>792</v>
      </c>
      <c r="F127" s="1395">
        <f t="shared" si="24"/>
        <v>792</v>
      </c>
      <c r="G127" s="1397">
        <v>0</v>
      </c>
      <c r="H127" s="970">
        <f t="shared" si="27"/>
        <v>792</v>
      </c>
      <c r="I127" s="1395">
        <f t="shared" si="25"/>
        <v>0</v>
      </c>
      <c r="J127" s="1396">
        <v>0</v>
      </c>
      <c r="K127" s="1396">
        <v>0</v>
      </c>
      <c r="L127" s="876">
        <f t="shared" si="22"/>
        <v>0</v>
      </c>
      <c r="M127" s="877">
        <f t="shared" si="22"/>
        <v>0</v>
      </c>
      <c r="N127" s="877">
        <f t="shared" si="22"/>
        <v>0</v>
      </c>
      <c r="O127" s="1214" t="s">
        <v>1192</v>
      </c>
      <c r="P127" s="1214" t="s">
        <v>1209</v>
      </c>
      <c r="Q127" s="1065">
        <f t="shared" si="26"/>
        <v>0</v>
      </c>
      <c r="R127" s="1065">
        <f t="shared" si="26"/>
        <v>0</v>
      </c>
      <c r="S127" s="1065">
        <f t="shared" si="26"/>
        <v>0</v>
      </c>
      <c r="T127" s="1099" t="s">
        <v>886</v>
      </c>
      <c r="U127" s="1100" t="s">
        <v>892</v>
      </c>
      <c r="V127" s="1099">
        <v>414</v>
      </c>
      <c r="W127" s="1099">
        <v>14078</v>
      </c>
      <c r="Z127" s="1311">
        <f t="shared" si="14"/>
        <v>0</v>
      </c>
      <c r="AA127" s="1374">
        <f t="shared" si="16"/>
        <v>0</v>
      </c>
      <c r="AB127" s="1374">
        <f t="shared" si="15"/>
        <v>0</v>
      </c>
    </row>
    <row r="128" spans="1:28" ht="93">
      <c r="A128" s="1388" t="s">
        <v>818</v>
      </c>
      <c r="B128" s="1127" t="s">
        <v>844</v>
      </c>
      <c r="C128" s="871">
        <f t="shared" si="23"/>
        <v>879</v>
      </c>
      <c r="D128" s="972">
        <v>0</v>
      </c>
      <c r="E128" s="1255">
        <v>879</v>
      </c>
      <c r="F128" s="1395">
        <f t="shared" si="24"/>
        <v>879</v>
      </c>
      <c r="G128" s="1397">
        <v>0</v>
      </c>
      <c r="H128" s="970">
        <f t="shared" si="27"/>
        <v>879</v>
      </c>
      <c r="I128" s="1395">
        <f t="shared" si="25"/>
        <v>0</v>
      </c>
      <c r="J128" s="1396">
        <v>0</v>
      </c>
      <c r="K128" s="1396">
        <v>0</v>
      </c>
      <c r="L128" s="876">
        <f t="shared" si="22"/>
        <v>0</v>
      </c>
      <c r="M128" s="877">
        <f t="shared" si="22"/>
        <v>0</v>
      </c>
      <c r="N128" s="877">
        <f t="shared" si="22"/>
        <v>0</v>
      </c>
      <c r="O128" s="1214" t="s">
        <v>1192</v>
      </c>
      <c r="P128" s="1214" t="s">
        <v>1210</v>
      </c>
      <c r="Q128" s="1065">
        <f t="shared" si="26"/>
        <v>0</v>
      </c>
      <c r="R128" s="1065">
        <f t="shared" si="26"/>
        <v>0</v>
      </c>
      <c r="S128" s="1065">
        <f t="shared" si="26"/>
        <v>0</v>
      </c>
      <c r="T128" s="1099" t="s">
        <v>886</v>
      </c>
      <c r="U128" s="1100" t="s">
        <v>892</v>
      </c>
      <c r="V128" s="1099">
        <v>414</v>
      </c>
      <c r="W128" s="1099">
        <v>14079</v>
      </c>
      <c r="Z128" s="1311">
        <f t="shared" si="14"/>
        <v>0</v>
      </c>
      <c r="AA128" s="1374">
        <f t="shared" si="16"/>
        <v>0</v>
      </c>
      <c r="AB128" s="1374">
        <f t="shared" si="15"/>
        <v>0</v>
      </c>
    </row>
    <row r="129" spans="1:28" ht="93">
      <c r="A129" s="1388" t="s">
        <v>819</v>
      </c>
      <c r="B129" s="1127" t="s">
        <v>845</v>
      </c>
      <c r="C129" s="871">
        <f t="shared" si="23"/>
        <v>1554</v>
      </c>
      <c r="D129" s="1249">
        <v>0</v>
      </c>
      <c r="E129" s="1255">
        <v>1554</v>
      </c>
      <c r="F129" s="1395">
        <f t="shared" si="24"/>
        <v>1554</v>
      </c>
      <c r="G129" s="1397">
        <v>0</v>
      </c>
      <c r="H129" s="970">
        <f t="shared" si="27"/>
        <v>1554</v>
      </c>
      <c r="I129" s="1395">
        <f t="shared" si="25"/>
        <v>0</v>
      </c>
      <c r="J129" s="1396">
        <v>0</v>
      </c>
      <c r="K129" s="1396">
        <v>0</v>
      </c>
      <c r="L129" s="876">
        <f t="shared" si="22"/>
        <v>0</v>
      </c>
      <c r="M129" s="877">
        <f t="shared" si="22"/>
        <v>0</v>
      </c>
      <c r="N129" s="877">
        <f t="shared" si="22"/>
        <v>0</v>
      </c>
      <c r="O129" s="1214" t="s">
        <v>1192</v>
      </c>
      <c r="P129" s="1214" t="s">
        <v>1211</v>
      </c>
      <c r="Q129" s="1065">
        <f t="shared" si="26"/>
        <v>0</v>
      </c>
      <c r="R129" s="1065">
        <f t="shared" si="26"/>
        <v>0</v>
      </c>
      <c r="S129" s="1065">
        <f t="shared" si="26"/>
        <v>0</v>
      </c>
      <c r="T129" s="1099" t="s">
        <v>886</v>
      </c>
      <c r="U129" s="1100" t="s">
        <v>892</v>
      </c>
      <c r="V129" s="1099">
        <v>414</v>
      </c>
      <c r="W129" s="1099">
        <v>14080</v>
      </c>
      <c r="Z129" s="1311">
        <f t="shared" si="14"/>
        <v>0</v>
      </c>
      <c r="AA129" s="1374">
        <f t="shared" si="16"/>
        <v>0</v>
      </c>
      <c r="AB129" s="1374">
        <f t="shared" si="15"/>
        <v>0</v>
      </c>
    </row>
    <row r="130" spans="1:28" ht="57.75" customHeight="1">
      <c r="A130" s="1388" t="s">
        <v>762</v>
      </c>
      <c r="B130" s="1127" t="s">
        <v>846</v>
      </c>
      <c r="C130" s="871">
        <f t="shared" si="23"/>
        <v>879</v>
      </c>
      <c r="D130" s="1249">
        <v>0</v>
      </c>
      <c r="E130" s="1255">
        <v>879</v>
      </c>
      <c r="F130" s="1395">
        <f t="shared" si="24"/>
        <v>879</v>
      </c>
      <c r="G130" s="1397">
        <v>0</v>
      </c>
      <c r="H130" s="970">
        <f t="shared" si="27"/>
        <v>879</v>
      </c>
      <c r="I130" s="1395">
        <f t="shared" si="25"/>
        <v>0</v>
      </c>
      <c r="J130" s="1396">
        <v>0</v>
      </c>
      <c r="K130" s="1396">
        <v>0</v>
      </c>
      <c r="L130" s="876">
        <f t="shared" si="22"/>
        <v>0</v>
      </c>
      <c r="M130" s="877">
        <f t="shared" si="22"/>
        <v>0</v>
      </c>
      <c r="N130" s="877">
        <f t="shared" si="22"/>
        <v>0</v>
      </c>
      <c r="O130" s="1214" t="s">
        <v>1192</v>
      </c>
      <c r="P130" s="1214" t="s">
        <v>1212</v>
      </c>
      <c r="Q130" s="1065">
        <f t="shared" si="26"/>
        <v>0</v>
      </c>
      <c r="R130" s="1065">
        <f t="shared" si="26"/>
        <v>0</v>
      </c>
      <c r="S130" s="1065">
        <f t="shared" si="26"/>
        <v>0</v>
      </c>
      <c r="T130" s="1099" t="s">
        <v>886</v>
      </c>
      <c r="U130" s="1100" t="s">
        <v>892</v>
      </c>
      <c r="V130" s="1099">
        <v>414</v>
      </c>
      <c r="W130" s="1099">
        <v>14081</v>
      </c>
      <c r="Z130" s="1311">
        <f t="shared" si="14"/>
        <v>0</v>
      </c>
      <c r="AA130" s="1374">
        <f t="shared" si="16"/>
        <v>0</v>
      </c>
      <c r="AB130" s="1374">
        <f t="shared" si="15"/>
        <v>0</v>
      </c>
    </row>
    <row r="131" spans="1:28" ht="93">
      <c r="A131" s="1388" t="s">
        <v>743</v>
      </c>
      <c r="B131" s="1127" t="s">
        <v>847</v>
      </c>
      <c r="C131" s="871">
        <f t="shared" si="23"/>
        <v>627</v>
      </c>
      <c r="D131" s="1249">
        <v>0</v>
      </c>
      <c r="E131" s="1255">
        <v>627</v>
      </c>
      <c r="F131" s="1395">
        <f t="shared" si="24"/>
        <v>627</v>
      </c>
      <c r="G131" s="1397">
        <v>0</v>
      </c>
      <c r="H131" s="970">
        <f t="shared" si="27"/>
        <v>627</v>
      </c>
      <c r="I131" s="1395">
        <f t="shared" si="25"/>
        <v>0</v>
      </c>
      <c r="J131" s="1396">
        <v>0</v>
      </c>
      <c r="K131" s="1396">
        <v>0</v>
      </c>
      <c r="L131" s="876">
        <f t="shared" si="22"/>
        <v>0</v>
      </c>
      <c r="M131" s="877">
        <f t="shared" si="22"/>
        <v>0</v>
      </c>
      <c r="N131" s="877">
        <f t="shared" si="22"/>
        <v>0</v>
      </c>
      <c r="O131" s="1214" t="s">
        <v>1192</v>
      </c>
      <c r="P131" s="1214" t="s">
        <v>1213</v>
      </c>
      <c r="Q131" s="1065">
        <f t="shared" si="26"/>
        <v>0</v>
      </c>
      <c r="R131" s="1065">
        <f t="shared" si="26"/>
        <v>0</v>
      </c>
      <c r="S131" s="1065">
        <f t="shared" si="26"/>
        <v>0</v>
      </c>
      <c r="T131" s="1099" t="s">
        <v>886</v>
      </c>
      <c r="U131" s="1100" t="s">
        <v>892</v>
      </c>
      <c r="V131" s="1099">
        <v>414</v>
      </c>
      <c r="W131" s="1099">
        <v>14082</v>
      </c>
      <c r="Z131" s="1311">
        <f t="shared" si="14"/>
        <v>0</v>
      </c>
      <c r="AA131" s="1374">
        <f t="shared" si="16"/>
        <v>0</v>
      </c>
      <c r="AB131" s="1374">
        <f t="shared" si="15"/>
        <v>0</v>
      </c>
    </row>
    <row r="132" spans="1:28" ht="89.25" customHeight="1">
      <c r="A132" s="1388" t="s">
        <v>744</v>
      </c>
      <c r="B132" s="1127" t="s">
        <v>848</v>
      </c>
      <c r="C132" s="871">
        <f t="shared" si="23"/>
        <v>669</v>
      </c>
      <c r="D132" s="1249">
        <v>0</v>
      </c>
      <c r="E132" s="1255">
        <v>669</v>
      </c>
      <c r="F132" s="1395">
        <f t="shared" si="24"/>
        <v>669</v>
      </c>
      <c r="G132" s="1397">
        <v>0</v>
      </c>
      <c r="H132" s="970">
        <f t="shared" si="27"/>
        <v>669</v>
      </c>
      <c r="I132" s="1395">
        <f t="shared" si="25"/>
        <v>0</v>
      </c>
      <c r="J132" s="1396">
        <v>0</v>
      </c>
      <c r="K132" s="1396">
        <v>0</v>
      </c>
      <c r="L132" s="876">
        <f t="shared" si="22"/>
        <v>0</v>
      </c>
      <c r="M132" s="877">
        <f t="shared" si="22"/>
        <v>0</v>
      </c>
      <c r="N132" s="877">
        <f t="shared" si="22"/>
        <v>0</v>
      </c>
      <c r="O132" s="1214" t="s">
        <v>1192</v>
      </c>
      <c r="P132" s="1214" t="s">
        <v>1214</v>
      </c>
      <c r="Q132" s="1065">
        <f t="shared" si="26"/>
        <v>0</v>
      </c>
      <c r="R132" s="1065">
        <f t="shared" si="26"/>
        <v>0</v>
      </c>
      <c r="S132" s="1065">
        <f t="shared" si="26"/>
        <v>0</v>
      </c>
      <c r="T132" s="1099" t="s">
        <v>886</v>
      </c>
      <c r="U132" s="1100" t="s">
        <v>892</v>
      </c>
      <c r="V132" s="1099">
        <v>414</v>
      </c>
      <c r="W132" s="1099">
        <v>14083</v>
      </c>
      <c r="Z132" s="1311">
        <f t="shared" si="14"/>
        <v>0</v>
      </c>
      <c r="AA132" s="1374">
        <f t="shared" si="16"/>
        <v>0</v>
      </c>
      <c r="AB132" s="1374">
        <f t="shared" si="15"/>
        <v>0</v>
      </c>
    </row>
    <row r="133" spans="1:28" ht="54" customHeight="1">
      <c r="A133" s="1388" t="s">
        <v>745</v>
      </c>
      <c r="B133" s="1127" t="s">
        <v>849</v>
      </c>
      <c r="C133" s="871">
        <f t="shared" si="23"/>
        <v>495</v>
      </c>
      <c r="D133" s="1249">
        <v>0</v>
      </c>
      <c r="E133" s="1255">
        <v>495</v>
      </c>
      <c r="F133" s="1395">
        <f t="shared" si="24"/>
        <v>495</v>
      </c>
      <c r="G133" s="1397">
        <v>0</v>
      </c>
      <c r="H133" s="970">
        <f t="shared" si="27"/>
        <v>495</v>
      </c>
      <c r="I133" s="1395">
        <f t="shared" si="25"/>
        <v>0</v>
      </c>
      <c r="J133" s="1396">
        <v>0</v>
      </c>
      <c r="K133" s="1396">
        <v>0</v>
      </c>
      <c r="L133" s="876">
        <f t="shared" si="22"/>
        <v>0</v>
      </c>
      <c r="M133" s="877">
        <f t="shared" si="22"/>
        <v>0</v>
      </c>
      <c r="N133" s="877">
        <f t="shared" si="22"/>
        <v>0</v>
      </c>
      <c r="O133" s="1214" t="s">
        <v>1192</v>
      </c>
      <c r="P133" s="1214" t="s">
        <v>1215</v>
      </c>
      <c r="Q133" s="1065">
        <f t="shared" si="26"/>
        <v>0</v>
      </c>
      <c r="R133" s="1065">
        <f t="shared" si="26"/>
        <v>0</v>
      </c>
      <c r="S133" s="1065">
        <f t="shared" si="26"/>
        <v>0</v>
      </c>
      <c r="T133" s="1099" t="s">
        <v>886</v>
      </c>
      <c r="U133" s="1100" t="s">
        <v>892</v>
      </c>
      <c r="V133" s="1099">
        <v>414</v>
      </c>
      <c r="W133" s="1099">
        <v>14084</v>
      </c>
      <c r="Z133" s="1311">
        <f t="shared" si="14"/>
        <v>0</v>
      </c>
      <c r="AA133" s="1374">
        <f t="shared" si="16"/>
        <v>0</v>
      </c>
      <c r="AB133" s="1374">
        <f t="shared" si="15"/>
        <v>0</v>
      </c>
    </row>
    <row r="134" spans="1:28" ht="54" customHeight="1">
      <c r="A134" s="1388" t="s">
        <v>746</v>
      </c>
      <c r="B134" s="1127" t="s">
        <v>850</v>
      </c>
      <c r="C134" s="871">
        <f t="shared" si="23"/>
        <v>792</v>
      </c>
      <c r="D134" s="1249">
        <v>0</v>
      </c>
      <c r="E134" s="1255">
        <v>792</v>
      </c>
      <c r="F134" s="1395">
        <f t="shared" si="24"/>
        <v>792</v>
      </c>
      <c r="G134" s="1397">
        <v>0</v>
      </c>
      <c r="H134" s="970">
        <f t="shared" si="27"/>
        <v>792</v>
      </c>
      <c r="I134" s="1395">
        <f t="shared" si="25"/>
        <v>0</v>
      </c>
      <c r="J134" s="1396">
        <v>0</v>
      </c>
      <c r="K134" s="1396">
        <v>0</v>
      </c>
      <c r="L134" s="876">
        <f t="shared" si="22"/>
        <v>0</v>
      </c>
      <c r="M134" s="877">
        <f t="shared" si="22"/>
        <v>0</v>
      </c>
      <c r="N134" s="877">
        <f t="shared" si="22"/>
        <v>0</v>
      </c>
      <c r="O134" s="1214" t="s">
        <v>1192</v>
      </c>
      <c r="P134" s="1214" t="s">
        <v>1216</v>
      </c>
      <c r="Q134" s="1065">
        <f t="shared" si="26"/>
        <v>0</v>
      </c>
      <c r="R134" s="1065">
        <f t="shared" si="26"/>
        <v>0</v>
      </c>
      <c r="S134" s="1065">
        <f t="shared" si="26"/>
        <v>0</v>
      </c>
      <c r="T134" s="1099" t="s">
        <v>886</v>
      </c>
      <c r="U134" s="1100" t="s">
        <v>892</v>
      </c>
      <c r="V134" s="1099">
        <v>414</v>
      </c>
      <c r="W134" s="1099">
        <v>14085</v>
      </c>
      <c r="Z134" s="1311">
        <f t="shared" si="14"/>
        <v>0</v>
      </c>
      <c r="AA134" s="1374">
        <f t="shared" si="16"/>
        <v>0</v>
      </c>
      <c r="AB134" s="1374">
        <f t="shared" si="15"/>
        <v>0</v>
      </c>
    </row>
    <row r="135" spans="1:28" ht="54" customHeight="1">
      <c r="A135" s="1388" t="s">
        <v>747</v>
      </c>
      <c r="B135" s="1127" t="s">
        <v>851</v>
      </c>
      <c r="C135" s="871">
        <f t="shared" si="23"/>
        <v>1026</v>
      </c>
      <c r="D135" s="1249">
        <v>0</v>
      </c>
      <c r="E135" s="1255">
        <v>1026</v>
      </c>
      <c r="F135" s="1395">
        <f t="shared" si="24"/>
        <v>1026</v>
      </c>
      <c r="G135" s="1397">
        <v>0</v>
      </c>
      <c r="H135" s="970">
        <f t="shared" si="27"/>
        <v>1026</v>
      </c>
      <c r="I135" s="1395">
        <f t="shared" si="25"/>
        <v>0</v>
      </c>
      <c r="J135" s="1396">
        <v>0</v>
      </c>
      <c r="K135" s="1396">
        <v>0</v>
      </c>
      <c r="L135" s="876">
        <f t="shared" si="22"/>
        <v>0</v>
      </c>
      <c r="M135" s="877">
        <f t="shared" si="22"/>
        <v>0</v>
      </c>
      <c r="N135" s="877">
        <f t="shared" si="22"/>
        <v>0</v>
      </c>
      <c r="O135" s="1214" t="s">
        <v>1192</v>
      </c>
      <c r="P135" s="1214" t="s">
        <v>1217</v>
      </c>
      <c r="Q135" s="1065">
        <f t="shared" si="26"/>
        <v>0</v>
      </c>
      <c r="R135" s="1065">
        <f t="shared" si="26"/>
        <v>0</v>
      </c>
      <c r="S135" s="1065">
        <f t="shared" si="26"/>
        <v>0</v>
      </c>
      <c r="T135" s="1099" t="s">
        <v>886</v>
      </c>
      <c r="U135" s="1100" t="s">
        <v>892</v>
      </c>
      <c r="V135" s="1099">
        <v>414</v>
      </c>
      <c r="W135" s="1099">
        <v>14086</v>
      </c>
      <c r="Z135" s="1311">
        <f t="shared" si="14"/>
        <v>0</v>
      </c>
      <c r="AA135" s="1374">
        <f t="shared" si="16"/>
        <v>0</v>
      </c>
      <c r="AB135" s="1374">
        <f t="shared" si="15"/>
        <v>0</v>
      </c>
    </row>
    <row r="136" spans="1:28" ht="54" customHeight="1">
      <c r="A136" s="1388" t="s">
        <v>748</v>
      </c>
      <c r="B136" s="1127" t="s">
        <v>852</v>
      </c>
      <c r="C136" s="871">
        <f t="shared" si="23"/>
        <v>669</v>
      </c>
      <c r="D136" s="1249">
        <v>0</v>
      </c>
      <c r="E136" s="1255">
        <v>669</v>
      </c>
      <c r="F136" s="1395">
        <f t="shared" si="24"/>
        <v>669</v>
      </c>
      <c r="G136" s="1397">
        <v>0</v>
      </c>
      <c r="H136" s="970">
        <f t="shared" si="27"/>
        <v>669</v>
      </c>
      <c r="I136" s="1395">
        <f t="shared" si="25"/>
        <v>0</v>
      </c>
      <c r="J136" s="1396">
        <v>0</v>
      </c>
      <c r="K136" s="1396">
        <v>0</v>
      </c>
      <c r="L136" s="876">
        <f t="shared" si="22"/>
        <v>0</v>
      </c>
      <c r="M136" s="877">
        <f t="shared" si="22"/>
        <v>0</v>
      </c>
      <c r="N136" s="877">
        <f t="shared" si="22"/>
        <v>0</v>
      </c>
      <c r="O136" s="1214" t="s">
        <v>1192</v>
      </c>
      <c r="P136" s="1214" t="s">
        <v>1218</v>
      </c>
      <c r="Q136" s="1065">
        <f t="shared" si="26"/>
        <v>0</v>
      </c>
      <c r="R136" s="1065">
        <f t="shared" si="26"/>
        <v>0</v>
      </c>
      <c r="S136" s="1065">
        <f t="shared" si="26"/>
        <v>0</v>
      </c>
      <c r="T136" s="1099" t="s">
        <v>886</v>
      </c>
      <c r="U136" s="1100" t="s">
        <v>892</v>
      </c>
      <c r="V136" s="1099">
        <v>414</v>
      </c>
      <c r="W136" s="1099">
        <v>14087</v>
      </c>
      <c r="Z136" s="1311">
        <f t="shared" si="14"/>
        <v>0</v>
      </c>
      <c r="AA136" s="1374">
        <f t="shared" si="16"/>
        <v>0</v>
      </c>
      <c r="AB136" s="1374">
        <f t="shared" si="15"/>
        <v>0</v>
      </c>
    </row>
    <row r="137" spans="1:28" ht="54" customHeight="1">
      <c r="A137" s="1388" t="s">
        <v>749</v>
      </c>
      <c r="B137" s="1127" t="s">
        <v>853</v>
      </c>
      <c r="C137" s="871">
        <f t="shared" si="23"/>
        <v>879</v>
      </c>
      <c r="D137" s="972">
        <v>0</v>
      </c>
      <c r="E137" s="1255">
        <v>879</v>
      </c>
      <c r="F137" s="1395">
        <f t="shared" si="24"/>
        <v>879</v>
      </c>
      <c r="G137" s="1397">
        <v>0</v>
      </c>
      <c r="H137" s="970">
        <f t="shared" si="27"/>
        <v>879</v>
      </c>
      <c r="I137" s="1395">
        <f t="shared" si="25"/>
        <v>0</v>
      </c>
      <c r="J137" s="1396">
        <v>0</v>
      </c>
      <c r="K137" s="1396">
        <v>0</v>
      </c>
      <c r="L137" s="876">
        <f t="shared" si="22"/>
        <v>0</v>
      </c>
      <c r="M137" s="877">
        <f t="shared" si="22"/>
        <v>0</v>
      </c>
      <c r="N137" s="877">
        <f t="shared" si="22"/>
        <v>0</v>
      </c>
      <c r="O137" s="1214" t="s">
        <v>1192</v>
      </c>
      <c r="P137" s="1214" t="s">
        <v>1212</v>
      </c>
      <c r="Q137" s="1065">
        <f t="shared" si="26"/>
        <v>0</v>
      </c>
      <c r="R137" s="1065">
        <f t="shared" si="26"/>
        <v>0</v>
      </c>
      <c r="S137" s="1065">
        <f t="shared" si="26"/>
        <v>0</v>
      </c>
      <c r="T137" s="1099" t="s">
        <v>886</v>
      </c>
      <c r="U137" s="1100" t="s">
        <v>892</v>
      </c>
      <c r="V137" s="1099">
        <v>414</v>
      </c>
      <c r="W137" s="1099">
        <v>14088</v>
      </c>
      <c r="Z137" s="1311">
        <f t="shared" si="14"/>
        <v>0</v>
      </c>
      <c r="AA137" s="1374">
        <f t="shared" si="16"/>
        <v>0</v>
      </c>
      <c r="AB137" s="1374">
        <f t="shared" si="15"/>
        <v>0</v>
      </c>
    </row>
    <row r="138" spans="1:28" s="515" customFormat="1" ht="115.5" customHeight="1">
      <c r="A138" s="1384" t="s">
        <v>750</v>
      </c>
      <c r="B138" s="987" t="s">
        <v>864</v>
      </c>
      <c r="C138" s="871">
        <f t="shared" si="23"/>
        <v>27147</v>
      </c>
      <c r="D138" s="1249">
        <v>0</v>
      </c>
      <c r="E138" s="1249">
        <v>27147</v>
      </c>
      <c r="F138" s="1395">
        <f>SUM(G138:H138)</f>
        <v>27147</v>
      </c>
      <c r="G138" s="1397">
        <v>0</v>
      </c>
      <c r="H138" s="970">
        <f t="shared" si="27"/>
        <v>27147</v>
      </c>
      <c r="I138" s="1395">
        <f t="shared" si="25"/>
        <v>0</v>
      </c>
      <c r="J138" s="1397">
        <v>0</v>
      </c>
      <c r="K138" s="1397">
        <v>0</v>
      </c>
      <c r="L138" s="876">
        <f t="shared" si="22"/>
        <v>0</v>
      </c>
      <c r="M138" s="877">
        <f t="shared" si="22"/>
        <v>0</v>
      </c>
      <c r="N138" s="877">
        <f t="shared" si="22"/>
        <v>0</v>
      </c>
      <c r="O138" s="1214" t="s">
        <v>1192</v>
      </c>
      <c r="P138" s="1214" t="s">
        <v>1219</v>
      </c>
      <c r="Q138" s="1065">
        <f t="shared" si="26"/>
        <v>0</v>
      </c>
      <c r="R138" s="1065">
        <f t="shared" si="26"/>
        <v>0</v>
      </c>
      <c r="S138" s="1065">
        <f t="shared" si="26"/>
        <v>0</v>
      </c>
      <c r="T138" s="1099" t="s">
        <v>872</v>
      </c>
      <c r="U138" s="1100">
        <v>1130390400</v>
      </c>
      <c r="V138" s="1099">
        <v>414</v>
      </c>
      <c r="W138" s="1099">
        <v>10122</v>
      </c>
      <c r="X138" s="1220"/>
      <c r="Z138" s="1311">
        <f t="shared" si="14"/>
        <v>0</v>
      </c>
      <c r="AA138" s="1374">
        <f t="shared" si="16"/>
        <v>0</v>
      </c>
      <c r="AB138" s="1374">
        <f t="shared" si="15"/>
        <v>0</v>
      </c>
    </row>
    <row r="139" spans="1:28" s="515" customFormat="1" ht="54" customHeight="1">
      <c r="A139" s="1384" t="s">
        <v>751</v>
      </c>
      <c r="B139" s="1278" t="s">
        <v>1317</v>
      </c>
      <c r="C139" s="871">
        <f>SUM(D139:E139)</f>
        <v>4800</v>
      </c>
      <c r="D139" s="1249">
        <v>0</v>
      </c>
      <c r="E139" s="1249">
        <v>4800</v>
      </c>
      <c r="F139" s="1395">
        <f>SUM(G139:H139)</f>
        <v>4800</v>
      </c>
      <c r="G139" s="1397">
        <v>0</v>
      </c>
      <c r="H139" s="970">
        <f t="shared" si="27"/>
        <v>4800</v>
      </c>
      <c r="I139" s="1395">
        <f>SUM(J139:K139)</f>
        <v>0</v>
      </c>
      <c r="J139" s="1397">
        <v>0</v>
      </c>
      <c r="K139" s="1397">
        <v>0</v>
      </c>
      <c r="L139" s="876">
        <f>IF(I139=0,0,I139/F139*100)</f>
        <v>0</v>
      </c>
      <c r="M139" s="877">
        <f>IF(J139=0,0,J139/G139*100)</f>
        <v>0</v>
      </c>
      <c r="N139" s="877">
        <f>IF(K139=0,0,K139/H139*100)</f>
        <v>0</v>
      </c>
      <c r="O139" s="1214"/>
      <c r="P139" s="1214"/>
      <c r="Q139" s="1065"/>
      <c r="R139" s="1065"/>
      <c r="S139" s="1065"/>
      <c r="T139" s="1099"/>
      <c r="U139" s="1100"/>
      <c r="V139" s="1099"/>
      <c r="W139" s="1099"/>
      <c r="X139" s="1220"/>
      <c r="Z139" s="1311">
        <f t="shared" si="14"/>
        <v>0</v>
      </c>
      <c r="AA139" s="1374">
        <f t="shared" si="16"/>
        <v>0</v>
      </c>
      <c r="AB139" s="1374">
        <f t="shared" si="15"/>
        <v>0</v>
      </c>
    </row>
    <row r="140" spans="1:28" ht="58.5" customHeight="1">
      <c r="A140" s="1388" t="s">
        <v>854</v>
      </c>
      <c r="B140" s="1127" t="s">
        <v>522</v>
      </c>
      <c r="C140" s="871">
        <f t="shared" si="23"/>
        <v>54207.7</v>
      </c>
      <c r="D140" s="972">
        <v>0</v>
      </c>
      <c r="E140" s="894">
        <v>54207.7</v>
      </c>
      <c r="F140" s="1395">
        <f t="shared" si="24"/>
        <v>54207.7</v>
      </c>
      <c r="G140" s="1396">
        <v>0</v>
      </c>
      <c r="H140" s="1396">
        <f t="shared" si="27"/>
        <v>54207.7</v>
      </c>
      <c r="I140" s="1395">
        <f t="shared" si="25"/>
        <v>10950</v>
      </c>
      <c r="J140" s="1396">
        <v>0</v>
      </c>
      <c r="K140" s="1396">
        <v>10950</v>
      </c>
      <c r="L140" s="876">
        <f t="shared" si="22"/>
        <v>20.2</v>
      </c>
      <c r="M140" s="877">
        <f t="shared" si="22"/>
        <v>0</v>
      </c>
      <c r="N140" s="877">
        <f t="shared" si="22"/>
        <v>20.2</v>
      </c>
      <c r="O140" s="1214" t="s">
        <v>1238</v>
      </c>
      <c r="P140" s="1214" t="s">
        <v>1220</v>
      </c>
      <c r="Q140" s="1065">
        <f t="shared" si="26"/>
        <v>0</v>
      </c>
      <c r="R140" s="1065">
        <f t="shared" si="26"/>
        <v>0</v>
      </c>
      <c r="S140" s="1065">
        <f t="shared" si="26"/>
        <v>0</v>
      </c>
      <c r="T140" s="1099" t="s">
        <v>886</v>
      </c>
      <c r="U140" s="1100">
        <v>1900290400</v>
      </c>
      <c r="V140" s="1099">
        <v>414</v>
      </c>
      <c r="W140" s="1099">
        <v>10123</v>
      </c>
      <c r="Z140" s="1311">
        <f t="shared" ref="Z140:Z206" si="28">C140-F140</f>
        <v>0</v>
      </c>
      <c r="AA140" s="1374">
        <f t="shared" si="16"/>
        <v>0</v>
      </c>
      <c r="AB140" s="1374">
        <f>E140-H140</f>
        <v>0</v>
      </c>
    </row>
    <row r="141" spans="1:28" ht="69" customHeight="1">
      <c r="A141" s="1388" t="s">
        <v>820</v>
      </c>
      <c r="B141" s="1127" t="s">
        <v>919</v>
      </c>
      <c r="C141" s="871">
        <f t="shared" si="23"/>
        <v>37461.300000000003</v>
      </c>
      <c r="D141" s="972">
        <v>0</v>
      </c>
      <c r="E141" s="894">
        <v>37461.300000000003</v>
      </c>
      <c r="F141" s="1395">
        <f t="shared" si="24"/>
        <v>37461.300000000003</v>
      </c>
      <c r="G141" s="1396">
        <v>0</v>
      </c>
      <c r="H141" s="1396">
        <f t="shared" si="27"/>
        <v>37461.300000000003</v>
      </c>
      <c r="I141" s="1395">
        <f t="shared" si="25"/>
        <v>0</v>
      </c>
      <c r="J141" s="1396">
        <v>0</v>
      </c>
      <c r="K141" s="1396">
        <v>0</v>
      </c>
      <c r="L141" s="876">
        <f t="shared" si="22"/>
        <v>0</v>
      </c>
      <c r="M141" s="877">
        <f t="shared" si="22"/>
        <v>0</v>
      </c>
      <c r="N141" s="877">
        <f t="shared" si="22"/>
        <v>0</v>
      </c>
      <c r="O141" s="1214" t="s">
        <v>1239</v>
      </c>
      <c r="P141" s="1214" t="s">
        <v>1221</v>
      </c>
      <c r="Q141" s="1065">
        <f t="shared" si="26"/>
        <v>0</v>
      </c>
      <c r="R141" s="1065">
        <f t="shared" si="26"/>
        <v>0</v>
      </c>
      <c r="S141" s="1065">
        <f t="shared" si="26"/>
        <v>0</v>
      </c>
      <c r="T141" s="1099" t="s">
        <v>886</v>
      </c>
      <c r="U141" s="1100">
        <v>1900290400</v>
      </c>
      <c r="V141" s="1099">
        <v>414</v>
      </c>
      <c r="W141" s="1099">
        <v>10124</v>
      </c>
      <c r="Z141" s="1311">
        <f t="shared" si="28"/>
        <v>0</v>
      </c>
      <c r="AA141" s="1374">
        <f t="shared" ref="AA141:AA204" si="29">C141-F141</f>
        <v>0</v>
      </c>
      <c r="AB141" s="1374">
        <f>E141-H141</f>
        <v>0</v>
      </c>
    </row>
    <row r="142" spans="1:28" ht="56.25" customHeight="1">
      <c r="A142" s="1388" t="s">
        <v>834</v>
      </c>
      <c r="B142" s="1127" t="s">
        <v>1318</v>
      </c>
      <c r="C142" s="871">
        <f t="shared" si="23"/>
        <v>3403.5</v>
      </c>
      <c r="D142" s="972">
        <v>0</v>
      </c>
      <c r="E142" s="894">
        <v>3403.5</v>
      </c>
      <c r="F142" s="1395">
        <f t="shared" si="24"/>
        <v>3403.5</v>
      </c>
      <c r="G142" s="1396"/>
      <c r="H142" s="1396">
        <f>E142</f>
        <v>3403.5</v>
      </c>
      <c r="I142" s="1395">
        <f t="shared" si="25"/>
        <v>0</v>
      </c>
      <c r="J142" s="1396"/>
      <c r="K142" s="1396"/>
      <c r="L142" s="876">
        <f>IF(I142=0,0,I142/F142*100)</f>
        <v>0</v>
      </c>
      <c r="M142" s="877">
        <f>IF(J142=0,0,J142/G142*100)</f>
        <v>0</v>
      </c>
      <c r="N142" s="877">
        <f>IF(K142=0,0,K142/H142*100)</f>
        <v>0</v>
      </c>
      <c r="O142" s="1214"/>
      <c r="P142" s="1214"/>
      <c r="Q142" s="1065"/>
      <c r="R142" s="1065"/>
      <c r="S142" s="1065"/>
      <c r="Z142" s="1311">
        <f t="shared" si="28"/>
        <v>0</v>
      </c>
      <c r="AA142" s="1374">
        <f t="shared" si="29"/>
        <v>0</v>
      </c>
      <c r="AB142" s="1374">
        <f>E142-H142</f>
        <v>0</v>
      </c>
    </row>
    <row r="143" spans="1:28" ht="83.25" customHeight="1">
      <c r="A143" s="1388" t="s">
        <v>835</v>
      </c>
      <c r="B143" s="1127" t="s">
        <v>1331</v>
      </c>
      <c r="C143" s="1252">
        <f t="shared" si="23"/>
        <v>7459.35</v>
      </c>
      <c r="D143" s="972"/>
      <c r="E143" s="1255">
        <v>7459.35</v>
      </c>
      <c r="F143" s="881">
        <f t="shared" si="24"/>
        <v>7459.35</v>
      </c>
      <c r="G143" s="1396"/>
      <c r="H143" s="970">
        <f>E143</f>
        <v>7459.35</v>
      </c>
      <c r="I143" s="1395">
        <f>SUM(J143:K143)</f>
        <v>0</v>
      </c>
      <c r="J143" s="1396"/>
      <c r="K143" s="1396"/>
      <c r="L143" s="876">
        <f>IF(I143=0,0,I143/F143*100)</f>
        <v>0</v>
      </c>
      <c r="M143" s="877"/>
      <c r="N143" s="877"/>
      <c r="O143" s="1214"/>
      <c r="P143" s="1214"/>
      <c r="Q143" s="1065"/>
      <c r="R143" s="1065"/>
      <c r="S143" s="1065"/>
      <c r="Z143" s="1311"/>
      <c r="AA143" s="1374">
        <f t="shared" si="29"/>
        <v>0</v>
      </c>
      <c r="AB143" s="1374">
        <f>E143-H143</f>
        <v>0</v>
      </c>
    </row>
    <row r="144" spans="1:28" s="914" customFormat="1" ht="72.75" customHeight="1">
      <c r="A144" s="1051"/>
      <c r="B144" s="1261" t="s">
        <v>444</v>
      </c>
      <c r="C144" s="1051">
        <f>SUM(D144:E144)</f>
        <v>2364953.5</v>
      </c>
      <c r="D144" s="1051">
        <f>SUM(D145:D203)</f>
        <v>2117595.2000000002</v>
      </c>
      <c r="E144" s="1051">
        <f>SUM(E145:E203)</f>
        <v>247358.3</v>
      </c>
      <c r="F144" s="1051">
        <f>SUM(G144:H144)</f>
        <v>2364953.5</v>
      </c>
      <c r="G144" s="1051">
        <f>SUM(G145:G203)</f>
        <v>2117595.2000000002</v>
      </c>
      <c r="H144" s="1051">
        <f>SUM(H145:H203)</f>
        <v>247358.3</v>
      </c>
      <c r="I144" s="1051">
        <f>SUM(J144:K144)</f>
        <v>393379.9</v>
      </c>
      <c r="J144" s="1051">
        <f>SUM(J145:J203)</f>
        <v>334708.40000000002</v>
      </c>
      <c r="K144" s="1051">
        <f>SUM(K145:K203)</f>
        <v>58671.5</v>
      </c>
      <c r="L144" s="1053">
        <f t="shared" si="22"/>
        <v>16.600000000000001</v>
      </c>
      <c r="M144" s="1053">
        <f t="shared" si="22"/>
        <v>15.8</v>
      </c>
      <c r="N144" s="1053">
        <f t="shared" si="22"/>
        <v>23.7</v>
      </c>
      <c r="O144" s="1214"/>
      <c r="P144" s="1214"/>
      <c r="Q144" s="1065">
        <f t="shared" si="26"/>
        <v>0</v>
      </c>
      <c r="R144" s="1065">
        <f t="shared" si="26"/>
        <v>0</v>
      </c>
      <c r="S144" s="1065">
        <f t="shared" si="26"/>
        <v>0</v>
      </c>
      <c r="T144" s="1114"/>
      <c r="U144" s="1100"/>
      <c r="V144" s="1099"/>
      <c r="W144" s="1099"/>
      <c r="X144" s="1216"/>
      <c r="Z144" s="1311">
        <f t="shared" si="28"/>
        <v>0</v>
      </c>
      <c r="AA144" s="1374">
        <f t="shared" si="29"/>
        <v>0</v>
      </c>
      <c r="AB144" s="1374">
        <f>E144-H144</f>
        <v>0</v>
      </c>
    </row>
    <row r="145" spans="1:28" ht="120" customHeight="1">
      <c r="A145" s="1384" t="s">
        <v>826</v>
      </c>
      <c r="B145" s="955" t="s">
        <v>648</v>
      </c>
      <c r="C145" s="871">
        <f t="shared" si="23"/>
        <v>800</v>
      </c>
      <c r="D145" s="1249">
        <v>0</v>
      </c>
      <c r="E145" s="1249">
        <v>800</v>
      </c>
      <c r="F145" s="1395">
        <f t="shared" si="24"/>
        <v>800</v>
      </c>
      <c r="G145" s="1397">
        <f>D145</f>
        <v>0</v>
      </c>
      <c r="H145" s="1397">
        <f>E145</f>
        <v>800</v>
      </c>
      <c r="I145" s="1395">
        <f t="shared" si="25"/>
        <v>800</v>
      </c>
      <c r="J145" s="1397">
        <v>0</v>
      </c>
      <c r="K145" s="1397">
        <v>800</v>
      </c>
      <c r="L145" s="876">
        <f t="shared" si="22"/>
        <v>100</v>
      </c>
      <c r="M145" s="877">
        <f t="shared" si="22"/>
        <v>0</v>
      </c>
      <c r="N145" s="877">
        <f t="shared" si="22"/>
        <v>100</v>
      </c>
      <c r="O145" s="1214" t="s">
        <v>1290</v>
      </c>
      <c r="P145" s="1214" t="s">
        <v>1240</v>
      </c>
      <c r="Q145" s="1065">
        <f t="shared" si="26"/>
        <v>0</v>
      </c>
      <c r="R145" s="1065">
        <f t="shared" si="26"/>
        <v>0</v>
      </c>
      <c r="S145" s="1065">
        <f t="shared" si="26"/>
        <v>0</v>
      </c>
      <c r="T145" s="1099" t="s">
        <v>886</v>
      </c>
      <c r="U145" s="1100">
        <v>1820190400</v>
      </c>
      <c r="V145" s="1099">
        <v>414</v>
      </c>
      <c r="W145" s="1099">
        <v>14054</v>
      </c>
      <c r="Z145" s="1311">
        <f t="shared" si="28"/>
        <v>0</v>
      </c>
      <c r="AA145" s="1374">
        <f t="shared" si="29"/>
        <v>0</v>
      </c>
      <c r="AB145" s="1374">
        <f t="shared" ref="AB145:AB208" si="30">E145-H145</f>
        <v>0</v>
      </c>
    </row>
    <row r="146" spans="1:28" s="736" customFormat="1" ht="122.25" customHeight="1">
      <c r="A146" s="1384" t="s">
        <v>827</v>
      </c>
      <c r="B146" s="956" t="s">
        <v>649</v>
      </c>
      <c r="C146" s="871">
        <f t="shared" si="23"/>
        <v>100</v>
      </c>
      <c r="D146" s="1249">
        <v>0</v>
      </c>
      <c r="E146" s="1249">
        <v>100</v>
      </c>
      <c r="F146" s="1395">
        <f t="shared" si="24"/>
        <v>100</v>
      </c>
      <c r="G146" s="1397">
        <f t="shared" ref="G146:H203" si="31">D146</f>
        <v>0</v>
      </c>
      <c r="H146" s="1397">
        <f t="shared" si="31"/>
        <v>100</v>
      </c>
      <c r="I146" s="1395">
        <f t="shared" si="25"/>
        <v>0</v>
      </c>
      <c r="J146" s="1397">
        <v>0</v>
      </c>
      <c r="K146" s="1397">
        <v>0</v>
      </c>
      <c r="L146" s="876">
        <f t="shared" si="22"/>
        <v>0</v>
      </c>
      <c r="M146" s="877">
        <f t="shared" si="22"/>
        <v>0</v>
      </c>
      <c r="N146" s="877">
        <f t="shared" si="22"/>
        <v>0</v>
      </c>
      <c r="O146" s="1214" t="s">
        <v>1291</v>
      </c>
      <c r="P146" s="1214" t="s">
        <v>1241</v>
      </c>
      <c r="Q146" s="1065">
        <f t="shared" si="26"/>
        <v>0</v>
      </c>
      <c r="R146" s="1065">
        <f t="shared" si="26"/>
        <v>0</v>
      </c>
      <c r="S146" s="1065">
        <f t="shared" si="26"/>
        <v>0</v>
      </c>
      <c r="T146" s="1099" t="s">
        <v>886</v>
      </c>
      <c r="U146" s="1100">
        <v>1820190400</v>
      </c>
      <c r="V146" s="1099">
        <v>414</v>
      </c>
      <c r="W146" s="1099">
        <v>14056</v>
      </c>
      <c r="X146" s="1216"/>
      <c r="Z146" s="1311">
        <f t="shared" si="28"/>
        <v>0</v>
      </c>
      <c r="AA146" s="1374">
        <f t="shared" si="29"/>
        <v>0</v>
      </c>
      <c r="AB146" s="1374">
        <f t="shared" si="30"/>
        <v>0</v>
      </c>
    </row>
    <row r="147" spans="1:28" s="736" customFormat="1" ht="112.5" customHeight="1">
      <c r="A147" s="1384" t="s">
        <v>752</v>
      </c>
      <c r="B147" s="956" t="s">
        <v>650</v>
      </c>
      <c r="C147" s="871">
        <f t="shared" si="23"/>
        <v>1500</v>
      </c>
      <c r="D147" s="1249">
        <v>0</v>
      </c>
      <c r="E147" s="1249">
        <v>1500</v>
      </c>
      <c r="F147" s="1395">
        <f t="shared" si="24"/>
        <v>1500</v>
      </c>
      <c r="G147" s="1397">
        <f t="shared" si="31"/>
        <v>0</v>
      </c>
      <c r="H147" s="1397">
        <f t="shared" si="31"/>
        <v>1500</v>
      </c>
      <c r="I147" s="1395">
        <f t="shared" si="25"/>
        <v>0</v>
      </c>
      <c r="J147" s="1397">
        <v>0</v>
      </c>
      <c r="K147" s="1397">
        <v>0</v>
      </c>
      <c r="L147" s="876">
        <f t="shared" si="22"/>
        <v>0</v>
      </c>
      <c r="M147" s="877">
        <f t="shared" si="22"/>
        <v>0</v>
      </c>
      <c r="N147" s="877">
        <f t="shared" si="22"/>
        <v>0</v>
      </c>
      <c r="O147" s="1214" t="s">
        <v>1292</v>
      </c>
      <c r="P147" s="1214" t="s">
        <v>1242</v>
      </c>
      <c r="Q147" s="1065">
        <f t="shared" si="26"/>
        <v>0</v>
      </c>
      <c r="R147" s="1065">
        <f t="shared" si="26"/>
        <v>0</v>
      </c>
      <c r="S147" s="1065">
        <f t="shared" si="26"/>
        <v>0</v>
      </c>
      <c r="T147" s="1099" t="s">
        <v>886</v>
      </c>
      <c r="U147" s="1100">
        <v>1820190400</v>
      </c>
      <c r="V147" s="1099">
        <v>414</v>
      </c>
      <c r="W147" s="1099">
        <v>14055</v>
      </c>
      <c r="X147" s="1216"/>
      <c r="Z147" s="1311">
        <f t="shared" si="28"/>
        <v>0</v>
      </c>
      <c r="AA147" s="1374">
        <f t="shared" si="29"/>
        <v>0</v>
      </c>
      <c r="AB147" s="1374">
        <f t="shared" si="30"/>
        <v>0</v>
      </c>
    </row>
    <row r="148" spans="1:28" s="736" customFormat="1" ht="129.75" customHeight="1">
      <c r="A148" s="1388" t="s">
        <v>753</v>
      </c>
      <c r="B148" s="956" t="s">
        <v>651</v>
      </c>
      <c r="C148" s="871">
        <f t="shared" si="23"/>
        <v>100</v>
      </c>
      <c r="D148" s="1249">
        <v>0</v>
      </c>
      <c r="E148" s="1249">
        <v>100</v>
      </c>
      <c r="F148" s="1395">
        <f t="shared" si="24"/>
        <v>100</v>
      </c>
      <c r="G148" s="1397">
        <f t="shared" si="31"/>
        <v>0</v>
      </c>
      <c r="H148" s="1397">
        <f t="shared" si="31"/>
        <v>100</v>
      </c>
      <c r="I148" s="1395">
        <f t="shared" si="25"/>
        <v>100</v>
      </c>
      <c r="J148" s="1397">
        <v>0</v>
      </c>
      <c r="K148" s="1397">
        <v>100</v>
      </c>
      <c r="L148" s="876">
        <f t="shared" si="22"/>
        <v>100</v>
      </c>
      <c r="M148" s="877">
        <f t="shared" si="22"/>
        <v>0</v>
      </c>
      <c r="N148" s="877">
        <f t="shared" si="22"/>
        <v>100</v>
      </c>
      <c r="O148" s="1214" t="s">
        <v>1293</v>
      </c>
      <c r="P148" s="1214" t="s">
        <v>1101</v>
      </c>
      <c r="Q148" s="1065">
        <f t="shared" si="26"/>
        <v>0</v>
      </c>
      <c r="R148" s="1065">
        <f t="shared" si="26"/>
        <v>0</v>
      </c>
      <c r="S148" s="1065">
        <f t="shared" si="26"/>
        <v>0</v>
      </c>
      <c r="T148" s="1099" t="s">
        <v>886</v>
      </c>
      <c r="U148" s="1100">
        <v>1820190400</v>
      </c>
      <c r="V148" s="1099">
        <v>414</v>
      </c>
      <c r="W148" s="1099">
        <v>14021</v>
      </c>
      <c r="X148" s="1216"/>
      <c r="Z148" s="1311">
        <f t="shared" si="28"/>
        <v>0</v>
      </c>
      <c r="AA148" s="1374">
        <f t="shared" si="29"/>
        <v>0</v>
      </c>
      <c r="AB148" s="1374">
        <f t="shared" si="30"/>
        <v>0</v>
      </c>
    </row>
    <row r="149" spans="1:28" s="736" customFormat="1" ht="92.25" customHeight="1">
      <c r="A149" s="1388" t="s">
        <v>754</v>
      </c>
      <c r="B149" s="956" t="s">
        <v>830</v>
      </c>
      <c r="C149" s="871">
        <f t="shared" si="23"/>
        <v>2800</v>
      </c>
      <c r="D149" s="1249">
        <v>0</v>
      </c>
      <c r="E149" s="1249">
        <f>100+2700</f>
        <v>2800</v>
      </c>
      <c r="F149" s="1395">
        <f t="shared" si="24"/>
        <v>2800</v>
      </c>
      <c r="G149" s="1397">
        <f t="shared" si="31"/>
        <v>0</v>
      </c>
      <c r="H149" s="1397">
        <f t="shared" si="31"/>
        <v>2800</v>
      </c>
      <c r="I149" s="1395">
        <f t="shared" si="25"/>
        <v>0</v>
      </c>
      <c r="J149" s="1397">
        <v>0</v>
      </c>
      <c r="K149" s="1397">
        <v>0</v>
      </c>
      <c r="L149" s="876">
        <f t="shared" si="22"/>
        <v>0</v>
      </c>
      <c r="M149" s="877">
        <f t="shared" si="22"/>
        <v>0</v>
      </c>
      <c r="N149" s="877">
        <f t="shared" si="22"/>
        <v>0</v>
      </c>
      <c r="O149" s="1214" t="s">
        <v>1192</v>
      </c>
      <c r="P149" s="1214" t="s">
        <v>1243</v>
      </c>
      <c r="Q149" s="1065">
        <f t="shared" si="26"/>
        <v>0</v>
      </c>
      <c r="R149" s="1065">
        <f t="shared" si="26"/>
        <v>0</v>
      </c>
      <c r="S149" s="1065">
        <f t="shared" si="26"/>
        <v>0</v>
      </c>
      <c r="T149" s="1099" t="s">
        <v>886</v>
      </c>
      <c r="U149" s="1100">
        <v>1820190400</v>
      </c>
      <c r="V149" s="1099">
        <v>414</v>
      </c>
      <c r="W149" s="1099">
        <v>14046</v>
      </c>
      <c r="X149" s="1216"/>
      <c r="Z149" s="1311">
        <f t="shared" si="28"/>
        <v>0</v>
      </c>
      <c r="AA149" s="1374">
        <f t="shared" si="29"/>
        <v>0</v>
      </c>
      <c r="AB149" s="1374">
        <f t="shared" si="30"/>
        <v>0</v>
      </c>
    </row>
    <row r="150" spans="1:28" s="736" customFormat="1" ht="84.75" customHeight="1">
      <c r="A150" s="1388" t="s">
        <v>755</v>
      </c>
      <c r="B150" s="956" t="s">
        <v>831</v>
      </c>
      <c r="C150" s="871">
        <f t="shared" si="23"/>
        <v>3100</v>
      </c>
      <c r="D150" s="1249">
        <v>0</v>
      </c>
      <c r="E150" s="1249">
        <f>100+3000</f>
        <v>3100</v>
      </c>
      <c r="F150" s="1395">
        <f t="shared" si="24"/>
        <v>3100</v>
      </c>
      <c r="G150" s="1397">
        <f t="shared" si="31"/>
        <v>0</v>
      </c>
      <c r="H150" s="1397">
        <f t="shared" si="31"/>
        <v>3100</v>
      </c>
      <c r="I150" s="1395">
        <f t="shared" si="25"/>
        <v>0</v>
      </c>
      <c r="J150" s="1397">
        <v>0</v>
      </c>
      <c r="K150" s="1397">
        <v>0</v>
      </c>
      <c r="L150" s="876">
        <f t="shared" si="22"/>
        <v>0</v>
      </c>
      <c r="M150" s="877">
        <f t="shared" si="22"/>
        <v>0</v>
      </c>
      <c r="N150" s="877">
        <f t="shared" si="22"/>
        <v>0</v>
      </c>
      <c r="O150" s="1214" t="s">
        <v>1294</v>
      </c>
      <c r="P150" s="1214" t="s">
        <v>1244</v>
      </c>
      <c r="Q150" s="1065">
        <f t="shared" si="26"/>
        <v>0</v>
      </c>
      <c r="R150" s="1065">
        <f t="shared" si="26"/>
        <v>0</v>
      </c>
      <c r="S150" s="1065">
        <f t="shared" si="26"/>
        <v>0</v>
      </c>
      <c r="T150" s="1099" t="s">
        <v>886</v>
      </c>
      <c r="U150" s="1100">
        <v>1820190400</v>
      </c>
      <c r="V150" s="1099">
        <v>414</v>
      </c>
      <c r="W150" s="1099">
        <v>14048</v>
      </c>
      <c r="X150" s="1216"/>
      <c r="Z150" s="1311">
        <f t="shared" si="28"/>
        <v>0</v>
      </c>
      <c r="AA150" s="1374">
        <f t="shared" si="29"/>
        <v>0</v>
      </c>
      <c r="AB150" s="1374">
        <f t="shared" si="30"/>
        <v>0</v>
      </c>
    </row>
    <row r="151" spans="1:28" s="736" customFormat="1" ht="84.75" customHeight="1">
      <c r="A151" s="1388" t="s">
        <v>756</v>
      </c>
      <c r="B151" s="956" t="s">
        <v>833</v>
      </c>
      <c r="C151" s="871">
        <f t="shared" si="23"/>
        <v>2200</v>
      </c>
      <c r="D151" s="1249">
        <v>0</v>
      </c>
      <c r="E151" s="1249">
        <v>2200</v>
      </c>
      <c r="F151" s="1395">
        <f t="shared" si="24"/>
        <v>2200</v>
      </c>
      <c r="G151" s="1397">
        <f t="shared" si="31"/>
        <v>0</v>
      </c>
      <c r="H151" s="1397">
        <f t="shared" si="31"/>
        <v>2200</v>
      </c>
      <c r="I151" s="1395">
        <f t="shared" si="25"/>
        <v>0</v>
      </c>
      <c r="J151" s="1397">
        <v>0</v>
      </c>
      <c r="K151" s="1397">
        <v>0</v>
      </c>
      <c r="L151" s="876">
        <f t="shared" si="22"/>
        <v>0</v>
      </c>
      <c r="M151" s="877">
        <f t="shared" si="22"/>
        <v>0</v>
      </c>
      <c r="N151" s="877">
        <f t="shared" si="22"/>
        <v>0</v>
      </c>
      <c r="O151" s="1214" t="s">
        <v>1295</v>
      </c>
      <c r="P151" s="1214" t="s">
        <v>1245</v>
      </c>
      <c r="Q151" s="1065">
        <f t="shared" si="26"/>
        <v>0</v>
      </c>
      <c r="R151" s="1065">
        <f t="shared" si="26"/>
        <v>0</v>
      </c>
      <c r="S151" s="1065">
        <f t="shared" si="26"/>
        <v>0</v>
      </c>
      <c r="T151" s="1099" t="s">
        <v>886</v>
      </c>
      <c r="U151" s="1100">
        <v>1820190400</v>
      </c>
      <c r="V151" s="1099">
        <v>414</v>
      </c>
      <c r="W151" s="1099">
        <v>14047</v>
      </c>
      <c r="X151" s="1216"/>
      <c r="Z151" s="1311">
        <f t="shared" si="28"/>
        <v>0</v>
      </c>
      <c r="AA151" s="1374">
        <f t="shared" si="29"/>
        <v>0</v>
      </c>
      <c r="AB151" s="1374">
        <f t="shared" si="30"/>
        <v>0</v>
      </c>
    </row>
    <row r="152" spans="1:28" s="736" customFormat="1" ht="78.75">
      <c r="A152" s="1388" t="s">
        <v>913</v>
      </c>
      <c r="B152" s="955" t="s">
        <v>705</v>
      </c>
      <c r="C152" s="871">
        <f t="shared" si="23"/>
        <v>53585.7</v>
      </c>
      <c r="D152" s="1249">
        <v>50369.9</v>
      </c>
      <c r="E152" s="1249">
        <v>3215.8</v>
      </c>
      <c r="F152" s="1395">
        <f t="shared" si="24"/>
        <v>53585.7</v>
      </c>
      <c r="G152" s="1397">
        <f t="shared" si="31"/>
        <v>50369.9</v>
      </c>
      <c r="H152" s="1397">
        <f t="shared" si="31"/>
        <v>3215.8</v>
      </c>
      <c r="I152" s="1395">
        <f t="shared" si="25"/>
        <v>0</v>
      </c>
      <c r="J152" s="2466">
        <v>0</v>
      </c>
      <c r="K152" s="2466">
        <v>0</v>
      </c>
      <c r="L152" s="2469">
        <f>IF(I152=0,0,I152/F152:F158*100)</f>
        <v>0</v>
      </c>
      <c r="M152" s="2470">
        <f>IF(J152=0,0,J152/G152:G158*100)</f>
        <v>0</v>
      </c>
      <c r="N152" s="2470">
        <f>IF(K152=0,0,K152/H152:H158*100)</f>
        <v>0</v>
      </c>
      <c r="O152" s="1214" t="s">
        <v>1192</v>
      </c>
      <c r="P152" s="1214" t="s">
        <v>1219</v>
      </c>
      <c r="Q152" s="1065">
        <f t="shared" si="26"/>
        <v>0</v>
      </c>
      <c r="R152" s="1065">
        <f t="shared" si="26"/>
        <v>0</v>
      </c>
      <c r="S152" s="1065">
        <f t="shared" si="26"/>
        <v>0</v>
      </c>
      <c r="T152" s="2456" t="s">
        <v>886</v>
      </c>
      <c r="U152" s="2456" t="s">
        <v>912</v>
      </c>
      <c r="V152" s="2456">
        <v>414</v>
      </c>
      <c r="W152" s="2456" t="s">
        <v>890</v>
      </c>
      <c r="X152" s="2468"/>
      <c r="Z152" s="1311">
        <f t="shared" si="28"/>
        <v>0</v>
      </c>
      <c r="AA152" s="1374">
        <f t="shared" si="29"/>
        <v>0</v>
      </c>
      <c r="AB152" s="1374">
        <f t="shared" si="30"/>
        <v>0</v>
      </c>
    </row>
    <row r="153" spans="1:28" s="736" customFormat="1" ht="93">
      <c r="A153" s="1388" t="s">
        <v>914</v>
      </c>
      <c r="B153" s="956" t="s">
        <v>704</v>
      </c>
      <c r="C153" s="871">
        <f t="shared" si="23"/>
        <v>28400</v>
      </c>
      <c r="D153" s="1249">
        <v>26696</v>
      </c>
      <c r="E153" s="1249">
        <v>1704</v>
      </c>
      <c r="F153" s="1395">
        <f t="shared" si="24"/>
        <v>28400</v>
      </c>
      <c r="G153" s="1397">
        <f t="shared" si="31"/>
        <v>26696</v>
      </c>
      <c r="H153" s="1397">
        <f t="shared" si="31"/>
        <v>1704</v>
      </c>
      <c r="I153" s="1395">
        <f t="shared" si="25"/>
        <v>0</v>
      </c>
      <c r="J153" s="2466"/>
      <c r="K153" s="2466"/>
      <c r="L153" s="2469"/>
      <c r="M153" s="2470"/>
      <c r="N153" s="2470"/>
      <c r="O153" s="1214" t="s">
        <v>1192</v>
      </c>
      <c r="P153" s="1214" t="s">
        <v>1246</v>
      </c>
      <c r="Q153" s="1065">
        <f t="shared" si="26"/>
        <v>0</v>
      </c>
      <c r="R153" s="1065">
        <f t="shared" si="26"/>
        <v>0</v>
      </c>
      <c r="S153" s="1065">
        <f t="shared" si="26"/>
        <v>0</v>
      </c>
      <c r="T153" s="2456"/>
      <c r="U153" s="2456"/>
      <c r="V153" s="2456"/>
      <c r="W153" s="2456"/>
      <c r="X153" s="2468"/>
      <c r="Z153" s="1311">
        <f t="shared" si="28"/>
        <v>0</v>
      </c>
      <c r="AA153" s="1374">
        <f t="shared" si="29"/>
        <v>0</v>
      </c>
      <c r="AB153" s="1374">
        <f t="shared" si="30"/>
        <v>0</v>
      </c>
    </row>
    <row r="154" spans="1:28" s="736" customFormat="1" ht="83.25" customHeight="1">
      <c r="A154" s="1388" t="s">
        <v>934</v>
      </c>
      <c r="B154" s="956" t="s">
        <v>703</v>
      </c>
      <c r="C154" s="871">
        <f t="shared" si="23"/>
        <v>54300</v>
      </c>
      <c r="D154" s="1249">
        <v>51042</v>
      </c>
      <c r="E154" s="1249">
        <v>3258</v>
      </c>
      <c r="F154" s="1395">
        <f t="shared" si="24"/>
        <v>54300</v>
      </c>
      <c r="G154" s="1397">
        <f t="shared" si="31"/>
        <v>51042</v>
      </c>
      <c r="H154" s="1397">
        <f t="shared" si="31"/>
        <v>3258</v>
      </c>
      <c r="I154" s="1395">
        <f t="shared" si="25"/>
        <v>0</v>
      </c>
      <c r="J154" s="2466"/>
      <c r="K154" s="2466"/>
      <c r="L154" s="2469"/>
      <c r="M154" s="2470"/>
      <c r="N154" s="2470"/>
      <c r="O154" s="1214" t="s">
        <v>1192</v>
      </c>
      <c r="P154" s="1214" t="s">
        <v>1247</v>
      </c>
      <c r="Q154" s="1065">
        <f t="shared" si="26"/>
        <v>0</v>
      </c>
      <c r="R154" s="1065">
        <f t="shared" si="26"/>
        <v>0</v>
      </c>
      <c r="S154" s="1065">
        <f t="shared" si="26"/>
        <v>0</v>
      </c>
      <c r="T154" s="2456"/>
      <c r="U154" s="2456"/>
      <c r="V154" s="2456"/>
      <c r="W154" s="2456"/>
      <c r="X154" s="2468"/>
      <c r="Z154" s="1311">
        <f t="shared" si="28"/>
        <v>0</v>
      </c>
      <c r="AA154" s="1374">
        <f t="shared" si="29"/>
        <v>0</v>
      </c>
      <c r="AB154" s="1374">
        <f t="shared" si="30"/>
        <v>0</v>
      </c>
    </row>
    <row r="155" spans="1:28" s="736" customFormat="1" ht="86.25" customHeight="1">
      <c r="A155" s="1388" t="s">
        <v>1024</v>
      </c>
      <c r="B155" s="956" t="s">
        <v>702</v>
      </c>
      <c r="C155" s="871">
        <f t="shared" si="23"/>
        <v>56697.8</v>
      </c>
      <c r="D155" s="1249">
        <v>53295.9</v>
      </c>
      <c r="E155" s="1249">
        <v>3401.9</v>
      </c>
      <c r="F155" s="1395">
        <f t="shared" si="24"/>
        <v>56697.8</v>
      </c>
      <c r="G155" s="1397">
        <f t="shared" si="31"/>
        <v>53295.9</v>
      </c>
      <c r="H155" s="1397">
        <f t="shared" si="31"/>
        <v>3401.9</v>
      </c>
      <c r="I155" s="1395">
        <f t="shared" si="25"/>
        <v>0</v>
      </c>
      <c r="J155" s="2466"/>
      <c r="K155" s="2466"/>
      <c r="L155" s="2469"/>
      <c r="M155" s="2470"/>
      <c r="N155" s="2470"/>
      <c r="O155" s="1214" t="s">
        <v>1192</v>
      </c>
      <c r="P155" s="1214" t="s">
        <v>1219</v>
      </c>
      <c r="Q155" s="1065">
        <f t="shared" si="26"/>
        <v>0</v>
      </c>
      <c r="R155" s="1065">
        <f t="shared" si="26"/>
        <v>0</v>
      </c>
      <c r="S155" s="1065">
        <f t="shared" si="26"/>
        <v>0</v>
      </c>
      <c r="T155" s="2456"/>
      <c r="U155" s="2456"/>
      <c r="V155" s="2456"/>
      <c r="W155" s="2456"/>
      <c r="X155" s="2468"/>
      <c r="Z155" s="1311">
        <f t="shared" si="28"/>
        <v>0</v>
      </c>
      <c r="AA155" s="1374">
        <f t="shared" si="29"/>
        <v>0</v>
      </c>
      <c r="AB155" s="1374">
        <f t="shared" si="30"/>
        <v>0</v>
      </c>
    </row>
    <row r="156" spans="1:28" s="736" customFormat="1" ht="58.5" customHeight="1">
      <c r="A156" s="1388" t="s">
        <v>1025</v>
      </c>
      <c r="B156" s="956" t="s">
        <v>832</v>
      </c>
      <c r="C156" s="871">
        <f t="shared" si="23"/>
        <v>8000</v>
      </c>
      <c r="D156" s="1249">
        <v>7520</v>
      </c>
      <c r="E156" s="1249">
        <v>480</v>
      </c>
      <c r="F156" s="1395">
        <f t="shared" si="24"/>
        <v>8000</v>
      </c>
      <c r="G156" s="1397">
        <f t="shared" si="31"/>
        <v>7520</v>
      </c>
      <c r="H156" s="1397">
        <f t="shared" si="31"/>
        <v>480</v>
      </c>
      <c r="I156" s="1395">
        <f t="shared" si="25"/>
        <v>0</v>
      </c>
      <c r="J156" s="2466"/>
      <c r="K156" s="2466"/>
      <c r="L156" s="2469"/>
      <c r="M156" s="2470"/>
      <c r="N156" s="2470"/>
      <c r="O156" s="1214" t="s">
        <v>1192</v>
      </c>
      <c r="P156" s="1214" t="s">
        <v>1219</v>
      </c>
      <c r="Q156" s="1065">
        <f t="shared" si="26"/>
        <v>0</v>
      </c>
      <c r="R156" s="1065">
        <f t="shared" si="26"/>
        <v>0</v>
      </c>
      <c r="S156" s="1065">
        <f t="shared" si="26"/>
        <v>0</v>
      </c>
      <c r="T156" s="2456"/>
      <c r="U156" s="2456"/>
      <c r="V156" s="2456"/>
      <c r="W156" s="2456"/>
      <c r="X156" s="2468"/>
      <c r="Z156" s="1311">
        <f t="shared" si="28"/>
        <v>0</v>
      </c>
      <c r="AA156" s="1374">
        <f t="shared" si="29"/>
        <v>0</v>
      </c>
      <c r="AB156" s="1374">
        <f t="shared" si="30"/>
        <v>0</v>
      </c>
    </row>
    <row r="157" spans="1:28" s="736" customFormat="1" ht="60" customHeight="1">
      <c r="A157" s="1388" t="s">
        <v>1319</v>
      </c>
      <c r="B157" s="956" t="s">
        <v>775</v>
      </c>
      <c r="C157" s="871">
        <f t="shared" si="23"/>
        <v>20200</v>
      </c>
      <c r="D157" s="1249">
        <v>18988</v>
      </c>
      <c r="E157" s="1249">
        <v>1212</v>
      </c>
      <c r="F157" s="1395">
        <f t="shared" si="24"/>
        <v>20200</v>
      </c>
      <c r="G157" s="1397">
        <f t="shared" si="31"/>
        <v>18988</v>
      </c>
      <c r="H157" s="1397">
        <f t="shared" si="31"/>
        <v>1212</v>
      </c>
      <c r="I157" s="1395">
        <f t="shared" si="25"/>
        <v>0</v>
      </c>
      <c r="J157" s="2466"/>
      <c r="K157" s="2466"/>
      <c r="L157" s="2469"/>
      <c r="M157" s="2470"/>
      <c r="N157" s="2470"/>
      <c r="O157" s="1214" t="s">
        <v>1192</v>
      </c>
      <c r="P157" s="1214" t="s">
        <v>1219</v>
      </c>
      <c r="Q157" s="1065">
        <f t="shared" si="26"/>
        <v>0</v>
      </c>
      <c r="R157" s="1065">
        <f t="shared" si="26"/>
        <v>0</v>
      </c>
      <c r="S157" s="1065">
        <f t="shared" si="26"/>
        <v>0</v>
      </c>
      <c r="T157" s="2456"/>
      <c r="U157" s="2456"/>
      <c r="V157" s="2456"/>
      <c r="W157" s="2456"/>
      <c r="X157" s="2468"/>
      <c r="Z157" s="1311">
        <f t="shared" si="28"/>
        <v>0</v>
      </c>
      <c r="AA157" s="1374">
        <f t="shared" si="29"/>
        <v>0</v>
      </c>
      <c r="AB157" s="1374">
        <f t="shared" si="30"/>
        <v>0</v>
      </c>
    </row>
    <row r="158" spans="1:28" s="736" customFormat="1" ht="60" customHeight="1">
      <c r="A158" s="1388" t="s">
        <v>1325</v>
      </c>
      <c r="B158" s="956" t="s">
        <v>774</v>
      </c>
      <c r="C158" s="871">
        <f t="shared" si="23"/>
        <v>20500</v>
      </c>
      <c r="D158" s="1249">
        <v>19270</v>
      </c>
      <c r="E158" s="1249">
        <v>1230</v>
      </c>
      <c r="F158" s="1395">
        <f t="shared" si="24"/>
        <v>20500</v>
      </c>
      <c r="G158" s="1397">
        <f t="shared" si="31"/>
        <v>19270</v>
      </c>
      <c r="H158" s="1397">
        <f t="shared" si="31"/>
        <v>1230</v>
      </c>
      <c r="I158" s="1395">
        <f t="shared" si="25"/>
        <v>0</v>
      </c>
      <c r="J158" s="2466"/>
      <c r="K158" s="2466"/>
      <c r="L158" s="2469"/>
      <c r="M158" s="2470"/>
      <c r="N158" s="2470"/>
      <c r="O158" s="1214" t="s">
        <v>1192</v>
      </c>
      <c r="P158" s="1214" t="s">
        <v>1219</v>
      </c>
      <c r="Q158" s="1065">
        <f t="shared" si="26"/>
        <v>0</v>
      </c>
      <c r="R158" s="1065">
        <f t="shared" si="26"/>
        <v>0</v>
      </c>
      <c r="S158" s="1065">
        <f t="shared" si="26"/>
        <v>0</v>
      </c>
      <c r="T158" s="2456"/>
      <c r="U158" s="2456"/>
      <c r="V158" s="2456"/>
      <c r="W158" s="2456"/>
      <c r="X158" s="2468"/>
      <c r="Z158" s="1311">
        <f t="shared" si="28"/>
        <v>0</v>
      </c>
      <c r="AA158" s="1374">
        <f t="shared" si="29"/>
        <v>0</v>
      </c>
      <c r="AB158" s="1374">
        <f t="shared" si="30"/>
        <v>0</v>
      </c>
    </row>
    <row r="159" spans="1:28" ht="105.75" customHeight="1">
      <c r="A159" s="1388" t="s">
        <v>757</v>
      </c>
      <c r="B159" s="955" t="s">
        <v>588</v>
      </c>
      <c r="C159" s="871">
        <f>SUM(D159:E159)</f>
        <v>100</v>
      </c>
      <c r="D159" s="1249">
        <v>0</v>
      </c>
      <c r="E159" s="1249">
        <v>100</v>
      </c>
      <c r="F159" s="1395">
        <f>SUM(G159:H159)</f>
        <v>100</v>
      </c>
      <c r="G159" s="1397">
        <f t="shared" si="31"/>
        <v>0</v>
      </c>
      <c r="H159" s="1397">
        <f t="shared" si="31"/>
        <v>100</v>
      </c>
      <c r="I159" s="1395">
        <f>SUM(J159:K159)</f>
        <v>29.5</v>
      </c>
      <c r="J159" s="1397">
        <v>0</v>
      </c>
      <c r="K159" s="1397">
        <v>29.5</v>
      </c>
      <c r="L159" s="876">
        <f t="shared" ref="L159:N174" si="32">IF(I159=0,0,I159/F159*100)</f>
        <v>29.5</v>
      </c>
      <c r="M159" s="877">
        <f t="shared" si="32"/>
        <v>0</v>
      </c>
      <c r="N159" s="877">
        <f t="shared" si="32"/>
        <v>29.5</v>
      </c>
      <c r="O159" s="1214" t="s">
        <v>1192</v>
      </c>
      <c r="P159" s="1214" t="s">
        <v>1251</v>
      </c>
      <c r="Q159" s="1065">
        <f t="shared" si="26"/>
        <v>0</v>
      </c>
      <c r="R159" s="1065">
        <f t="shared" si="26"/>
        <v>0</v>
      </c>
      <c r="S159" s="1065">
        <f t="shared" si="26"/>
        <v>0</v>
      </c>
      <c r="T159" s="1099" t="s">
        <v>886</v>
      </c>
      <c r="U159" s="1100" t="s">
        <v>903</v>
      </c>
      <c r="V159" s="1099">
        <v>414</v>
      </c>
      <c r="W159" s="1099" t="s">
        <v>890</v>
      </c>
      <c r="Z159" s="1311">
        <f t="shared" si="28"/>
        <v>0</v>
      </c>
      <c r="AA159" s="1374">
        <f t="shared" si="29"/>
        <v>0</v>
      </c>
      <c r="AB159" s="1374">
        <f t="shared" si="30"/>
        <v>0</v>
      </c>
    </row>
    <row r="160" spans="1:28" ht="105.75" customHeight="1">
      <c r="A160" s="895">
        <v>103</v>
      </c>
      <c r="B160" s="955" t="s">
        <v>589</v>
      </c>
      <c r="C160" s="871">
        <f>SUM(D160:E160)</f>
        <v>100</v>
      </c>
      <c r="D160" s="1249">
        <v>0</v>
      </c>
      <c r="E160" s="1249">
        <v>100</v>
      </c>
      <c r="F160" s="1395">
        <f>SUM(G160:H160)</f>
        <v>100</v>
      </c>
      <c r="G160" s="1397">
        <f t="shared" si="31"/>
        <v>0</v>
      </c>
      <c r="H160" s="1397">
        <f t="shared" si="31"/>
        <v>100</v>
      </c>
      <c r="I160" s="1395">
        <f>SUM(J160:K160)</f>
        <v>29.7</v>
      </c>
      <c r="J160" s="1397">
        <v>0</v>
      </c>
      <c r="K160" s="1397">
        <v>29.7</v>
      </c>
      <c r="L160" s="876">
        <f t="shared" si="32"/>
        <v>29.7</v>
      </c>
      <c r="M160" s="877">
        <f t="shared" si="32"/>
        <v>0</v>
      </c>
      <c r="N160" s="877">
        <f t="shared" si="32"/>
        <v>29.7</v>
      </c>
      <c r="O160" s="1214" t="s">
        <v>1285</v>
      </c>
      <c r="P160" s="1214" t="s">
        <v>1252</v>
      </c>
      <c r="Q160" s="1065">
        <f t="shared" si="26"/>
        <v>0</v>
      </c>
      <c r="R160" s="1065">
        <f t="shared" si="26"/>
        <v>0</v>
      </c>
      <c r="S160" s="1065">
        <f t="shared" si="26"/>
        <v>0</v>
      </c>
      <c r="T160" s="1099" t="s">
        <v>886</v>
      </c>
      <c r="U160" s="1100" t="s">
        <v>904</v>
      </c>
      <c r="V160" s="1099">
        <v>414</v>
      </c>
      <c r="W160" s="1099" t="s">
        <v>890</v>
      </c>
      <c r="Z160" s="1311">
        <f t="shared" si="28"/>
        <v>0</v>
      </c>
      <c r="AA160" s="1374">
        <f t="shared" si="29"/>
        <v>0</v>
      </c>
      <c r="AB160" s="1374">
        <f t="shared" si="30"/>
        <v>0</v>
      </c>
    </row>
    <row r="161" spans="1:28" ht="105.75" customHeight="1">
      <c r="A161" s="895">
        <v>104</v>
      </c>
      <c r="B161" s="955" t="s">
        <v>591</v>
      </c>
      <c r="C161" s="871">
        <f>SUM(D161:E161)</f>
        <v>100</v>
      </c>
      <c r="D161" s="1249">
        <v>0</v>
      </c>
      <c r="E161" s="1249">
        <v>100</v>
      </c>
      <c r="F161" s="1395">
        <f>SUM(G161:H161)</f>
        <v>100</v>
      </c>
      <c r="G161" s="1397">
        <f t="shared" si="31"/>
        <v>0</v>
      </c>
      <c r="H161" s="1397">
        <f t="shared" si="31"/>
        <v>100</v>
      </c>
      <c r="I161" s="1395">
        <f>SUM(J161:K161)</f>
        <v>29.6</v>
      </c>
      <c r="J161" s="1397">
        <v>0</v>
      </c>
      <c r="K161" s="1397">
        <v>29.6</v>
      </c>
      <c r="L161" s="876">
        <f t="shared" si="32"/>
        <v>29.6</v>
      </c>
      <c r="M161" s="877">
        <f t="shared" si="32"/>
        <v>0</v>
      </c>
      <c r="N161" s="877">
        <f t="shared" si="32"/>
        <v>29.6</v>
      </c>
      <c r="O161" s="1214" t="s">
        <v>1192</v>
      </c>
      <c r="P161" s="1214" t="s">
        <v>1254</v>
      </c>
      <c r="Q161" s="1065">
        <f t="shared" si="26"/>
        <v>0</v>
      </c>
      <c r="R161" s="1065">
        <f t="shared" si="26"/>
        <v>0</v>
      </c>
      <c r="S161" s="1065">
        <f t="shared" si="26"/>
        <v>0</v>
      </c>
      <c r="T161" s="1099" t="s">
        <v>886</v>
      </c>
      <c r="U161" s="1100" t="s">
        <v>906</v>
      </c>
      <c r="V161" s="1099">
        <v>414</v>
      </c>
      <c r="W161" s="1099" t="s">
        <v>890</v>
      </c>
      <c r="Z161" s="1311">
        <f t="shared" si="28"/>
        <v>0</v>
      </c>
      <c r="AA161" s="1374">
        <f t="shared" si="29"/>
        <v>0</v>
      </c>
      <c r="AB161" s="1374">
        <f t="shared" si="30"/>
        <v>0</v>
      </c>
    </row>
    <row r="162" spans="1:28" s="736" customFormat="1" ht="96.75" customHeight="1">
      <c r="A162" s="1388" t="s">
        <v>760</v>
      </c>
      <c r="B162" s="901" t="s">
        <v>465</v>
      </c>
      <c r="C162" s="871">
        <f t="shared" si="23"/>
        <v>18259.5</v>
      </c>
      <c r="D162" s="1249">
        <f>7398.4+9765.43</f>
        <v>17163.8</v>
      </c>
      <c r="E162" s="1249">
        <f>472.3+623.38</f>
        <v>1095.7</v>
      </c>
      <c r="F162" s="1395">
        <f t="shared" si="24"/>
        <v>18259.5</v>
      </c>
      <c r="G162" s="1397">
        <f t="shared" si="31"/>
        <v>17163.8</v>
      </c>
      <c r="H162" s="1397">
        <f t="shared" si="31"/>
        <v>1095.7</v>
      </c>
      <c r="I162" s="1395">
        <f t="shared" si="25"/>
        <v>0</v>
      </c>
      <c r="J162" s="1397">
        <v>0</v>
      </c>
      <c r="K162" s="1397">
        <v>0</v>
      </c>
      <c r="L162" s="876">
        <f t="shared" si="32"/>
        <v>0</v>
      </c>
      <c r="M162" s="877">
        <f t="shared" si="32"/>
        <v>0</v>
      </c>
      <c r="N162" s="877">
        <f t="shared" si="32"/>
        <v>0</v>
      </c>
      <c r="O162" s="1214" t="s">
        <v>1282</v>
      </c>
      <c r="P162" s="1214" t="s">
        <v>1248</v>
      </c>
      <c r="Q162" s="1065">
        <f t="shared" si="26"/>
        <v>0</v>
      </c>
      <c r="R162" s="1065">
        <f t="shared" si="26"/>
        <v>0</v>
      </c>
      <c r="S162" s="1065">
        <f t="shared" si="26"/>
        <v>0</v>
      </c>
      <c r="T162" s="1099" t="s">
        <v>886</v>
      </c>
      <c r="U162" s="1100" t="s">
        <v>901</v>
      </c>
      <c r="V162" s="1099">
        <v>414</v>
      </c>
      <c r="W162" s="1099" t="s">
        <v>890</v>
      </c>
      <c r="X162" s="1216"/>
      <c r="Z162" s="1311">
        <f t="shared" si="28"/>
        <v>0</v>
      </c>
      <c r="AA162" s="1374">
        <f t="shared" si="29"/>
        <v>0</v>
      </c>
      <c r="AB162" s="1374">
        <f t="shared" si="30"/>
        <v>0</v>
      </c>
    </row>
    <row r="163" spans="1:28" s="736" customFormat="1" ht="90.75" customHeight="1">
      <c r="A163" s="1388" t="s">
        <v>761</v>
      </c>
      <c r="B163" s="1084" t="s">
        <v>537</v>
      </c>
      <c r="C163" s="871">
        <f t="shared" si="23"/>
        <v>10370</v>
      </c>
      <c r="D163" s="1249">
        <f>8589.3+1158.4</f>
        <v>9747.7000000000007</v>
      </c>
      <c r="E163" s="1249">
        <f>548.3+73.95</f>
        <v>622.29999999999995</v>
      </c>
      <c r="F163" s="1395">
        <f t="shared" si="24"/>
        <v>10370</v>
      </c>
      <c r="G163" s="1397">
        <f t="shared" si="31"/>
        <v>9747.7000000000007</v>
      </c>
      <c r="H163" s="1397">
        <f t="shared" si="31"/>
        <v>622.29999999999995</v>
      </c>
      <c r="I163" s="871">
        <f t="shared" si="25"/>
        <v>6005.2</v>
      </c>
      <c r="J163" s="1249">
        <v>5644.9</v>
      </c>
      <c r="K163" s="1249">
        <v>360.3</v>
      </c>
      <c r="L163" s="876">
        <f t="shared" si="32"/>
        <v>57.9</v>
      </c>
      <c r="M163" s="877">
        <f t="shared" si="32"/>
        <v>57.9</v>
      </c>
      <c r="N163" s="877">
        <f t="shared" si="32"/>
        <v>57.9</v>
      </c>
      <c r="O163" s="1214" t="s">
        <v>1283</v>
      </c>
      <c r="P163" s="1214" t="s">
        <v>1249</v>
      </c>
      <c r="Q163" s="1065">
        <f t="shared" si="26"/>
        <v>0</v>
      </c>
      <c r="R163" s="1065">
        <f t="shared" si="26"/>
        <v>0</v>
      </c>
      <c r="S163" s="1065">
        <f t="shared" si="26"/>
        <v>0</v>
      </c>
      <c r="T163" s="1099" t="s">
        <v>886</v>
      </c>
      <c r="U163" s="1100" t="s">
        <v>907</v>
      </c>
      <c r="V163" s="1099">
        <v>414</v>
      </c>
      <c r="W163" s="1099" t="s">
        <v>890</v>
      </c>
      <c r="X163" s="1216"/>
      <c r="Z163" s="1311">
        <f t="shared" si="28"/>
        <v>0</v>
      </c>
      <c r="AA163" s="1374">
        <f t="shared" si="29"/>
        <v>0</v>
      </c>
      <c r="AB163" s="1374">
        <f t="shared" si="30"/>
        <v>0</v>
      </c>
    </row>
    <row r="164" spans="1:28" s="736" customFormat="1" ht="93">
      <c r="A164" s="1388" t="s">
        <v>764</v>
      </c>
      <c r="B164" s="1084" t="s">
        <v>587</v>
      </c>
      <c r="C164" s="871">
        <f t="shared" si="23"/>
        <v>16203.1</v>
      </c>
      <c r="D164" s="1249">
        <f>12178.9+3052</f>
        <v>15230.9</v>
      </c>
      <c r="E164" s="1249">
        <f>777.4+194.83</f>
        <v>972.2</v>
      </c>
      <c r="F164" s="1395">
        <f t="shared" si="24"/>
        <v>16203.1</v>
      </c>
      <c r="G164" s="1397">
        <f t="shared" si="31"/>
        <v>15230.9</v>
      </c>
      <c r="H164" s="1397">
        <f t="shared" si="31"/>
        <v>972.2</v>
      </c>
      <c r="I164" s="1395">
        <f t="shared" si="25"/>
        <v>4229.3</v>
      </c>
      <c r="J164" s="1397">
        <v>3975.5</v>
      </c>
      <c r="K164" s="1397">
        <v>253.8</v>
      </c>
      <c r="L164" s="876">
        <f t="shared" si="32"/>
        <v>26.1</v>
      </c>
      <c r="M164" s="877">
        <f t="shared" si="32"/>
        <v>26.1</v>
      </c>
      <c r="N164" s="877">
        <f t="shared" si="32"/>
        <v>26.1</v>
      </c>
      <c r="O164" s="1214" t="s">
        <v>1284</v>
      </c>
      <c r="P164" s="1214" t="s">
        <v>1250</v>
      </c>
      <c r="Q164" s="1065">
        <f t="shared" ref="Q164:S179" si="33">C164-F164</f>
        <v>0</v>
      </c>
      <c r="R164" s="1065">
        <f t="shared" si="33"/>
        <v>0</v>
      </c>
      <c r="S164" s="1065">
        <f t="shared" si="33"/>
        <v>0</v>
      </c>
      <c r="T164" s="1099" t="s">
        <v>886</v>
      </c>
      <c r="U164" s="1100" t="s">
        <v>900</v>
      </c>
      <c r="V164" s="1099">
        <v>414</v>
      </c>
      <c r="W164" s="1099" t="s">
        <v>890</v>
      </c>
      <c r="X164" s="1216"/>
      <c r="Z164" s="1311">
        <f t="shared" si="28"/>
        <v>0</v>
      </c>
      <c r="AA164" s="1374">
        <f t="shared" si="29"/>
        <v>0</v>
      </c>
      <c r="AB164" s="1374">
        <f t="shared" si="30"/>
        <v>0</v>
      </c>
    </row>
    <row r="165" spans="1:28" ht="136.5" customHeight="1">
      <c r="A165" s="1388" t="s">
        <v>1326</v>
      </c>
      <c r="B165" s="955" t="s">
        <v>588</v>
      </c>
      <c r="C165" s="871">
        <f t="shared" si="23"/>
        <v>22869.1</v>
      </c>
      <c r="D165" s="1249">
        <f>18886.8+2610.06</f>
        <v>21496.9</v>
      </c>
      <c r="E165" s="1249">
        <f>1205.6+166.61</f>
        <v>1372.2</v>
      </c>
      <c r="F165" s="1395">
        <f t="shared" si="24"/>
        <v>22869.1</v>
      </c>
      <c r="G165" s="1397">
        <f t="shared" si="31"/>
        <v>21496.9</v>
      </c>
      <c r="H165" s="1397">
        <f t="shared" si="31"/>
        <v>1372.2</v>
      </c>
      <c r="I165" s="1395">
        <f t="shared" si="25"/>
        <v>0</v>
      </c>
      <c r="J165" s="1397">
        <v>0</v>
      </c>
      <c r="K165" s="1397">
        <v>0</v>
      </c>
      <c r="L165" s="876">
        <f t="shared" si="32"/>
        <v>0</v>
      </c>
      <c r="M165" s="877">
        <f t="shared" si="32"/>
        <v>0</v>
      </c>
      <c r="N165" s="877">
        <f t="shared" si="32"/>
        <v>0</v>
      </c>
      <c r="O165" s="1214" t="s">
        <v>1192</v>
      </c>
      <c r="P165" s="1214" t="s">
        <v>1251</v>
      </c>
      <c r="Q165" s="1065">
        <f t="shared" si="33"/>
        <v>0</v>
      </c>
      <c r="R165" s="1065">
        <f t="shared" si="33"/>
        <v>0</v>
      </c>
      <c r="S165" s="1065">
        <f t="shared" si="33"/>
        <v>0</v>
      </c>
      <c r="T165" s="1099" t="s">
        <v>886</v>
      </c>
      <c r="U165" s="1100" t="s">
        <v>903</v>
      </c>
      <c r="V165" s="1099">
        <v>414</v>
      </c>
      <c r="W165" s="1099" t="s">
        <v>890</v>
      </c>
      <c r="Z165" s="1311">
        <f t="shared" si="28"/>
        <v>0</v>
      </c>
      <c r="AA165" s="1374">
        <f t="shared" si="29"/>
        <v>0</v>
      </c>
      <c r="AB165" s="1374">
        <f t="shared" si="30"/>
        <v>0</v>
      </c>
    </row>
    <row r="166" spans="1:28" ht="105" customHeight="1">
      <c r="A166" s="895" t="s">
        <v>1327</v>
      </c>
      <c r="B166" s="955" t="s">
        <v>589</v>
      </c>
      <c r="C166" s="871">
        <f t="shared" si="23"/>
        <v>10547.8</v>
      </c>
      <c r="D166" s="1249">
        <f>8642.5+1272.44</f>
        <v>9914.9</v>
      </c>
      <c r="E166" s="1249">
        <f>551.7+81.23</f>
        <v>632.9</v>
      </c>
      <c r="F166" s="1395">
        <f t="shared" si="24"/>
        <v>10547.8</v>
      </c>
      <c r="G166" s="1397">
        <f t="shared" si="31"/>
        <v>9914.9</v>
      </c>
      <c r="H166" s="1397">
        <f t="shared" si="31"/>
        <v>632.9</v>
      </c>
      <c r="I166" s="1395">
        <f t="shared" si="25"/>
        <v>0</v>
      </c>
      <c r="J166" s="1397">
        <v>0</v>
      </c>
      <c r="K166" s="1397">
        <v>0</v>
      </c>
      <c r="L166" s="876">
        <f t="shared" si="32"/>
        <v>0</v>
      </c>
      <c r="M166" s="877">
        <f t="shared" si="32"/>
        <v>0</v>
      </c>
      <c r="N166" s="877">
        <f t="shared" si="32"/>
        <v>0</v>
      </c>
      <c r="O166" s="1214" t="s">
        <v>1285</v>
      </c>
      <c r="P166" s="1214" t="s">
        <v>1252</v>
      </c>
      <c r="Q166" s="1065">
        <f t="shared" si="33"/>
        <v>0</v>
      </c>
      <c r="R166" s="1065">
        <f t="shared" si="33"/>
        <v>0</v>
      </c>
      <c r="S166" s="1065">
        <f t="shared" si="33"/>
        <v>0</v>
      </c>
      <c r="T166" s="1099" t="s">
        <v>886</v>
      </c>
      <c r="U166" s="1100" t="s">
        <v>904</v>
      </c>
      <c r="V166" s="1099">
        <v>414</v>
      </c>
      <c r="W166" s="1099" t="s">
        <v>890</v>
      </c>
      <c r="Z166" s="1311">
        <f t="shared" si="28"/>
        <v>0</v>
      </c>
      <c r="AA166" s="1374">
        <f t="shared" si="29"/>
        <v>0</v>
      </c>
      <c r="AB166" s="1374">
        <f t="shared" si="30"/>
        <v>0</v>
      </c>
    </row>
    <row r="167" spans="1:28" ht="88.5" customHeight="1">
      <c r="A167" s="895">
        <v>108</v>
      </c>
      <c r="B167" s="955" t="s">
        <v>616</v>
      </c>
      <c r="C167" s="871">
        <f t="shared" si="23"/>
        <v>64593.7</v>
      </c>
      <c r="D167" s="1249">
        <f>17561.3+43156.37</f>
        <v>60717.7</v>
      </c>
      <c r="E167" s="1249">
        <f>1121.1+2754.89</f>
        <v>3876</v>
      </c>
      <c r="F167" s="1395">
        <f t="shared" si="24"/>
        <v>64593.7</v>
      </c>
      <c r="G167" s="1397">
        <f t="shared" si="31"/>
        <v>60717.7</v>
      </c>
      <c r="H167" s="1397">
        <f t="shared" si="31"/>
        <v>3876</v>
      </c>
      <c r="I167" s="1395">
        <f t="shared" si="25"/>
        <v>0</v>
      </c>
      <c r="J167" s="1397">
        <v>0</v>
      </c>
      <c r="K167" s="1397">
        <v>0</v>
      </c>
      <c r="L167" s="876">
        <f t="shared" si="32"/>
        <v>0</v>
      </c>
      <c r="M167" s="877">
        <f t="shared" si="32"/>
        <v>0</v>
      </c>
      <c r="N167" s="877">
        <f t="shared" si="32"/>
        <v>0</v>
      </c>
      <c r="O167" s="1214" t="s">
        <v>1192</v>
      </c>
      <c r="P167" s="1214" t="s">
        <v>1253</v>
      </c>
      <c r="Q167" s="1065">
        <f t="shared" si="33"/>
        <v>0</v>
      </c>
      <c r="R167" s="1065">
        <f t="shared" si="33"/>
        <v>0</v>
      </c>
      <c r="S167" s="1065">
        <f t="shared" si="33"/>
        <v>0</v>
      </c>
      <c r="T167" s="1099" t="s">
        <v>886</v>
      </c>
      <c r="U167" s="1100" t="s">
        <v>905</v>
      </c>
      <c r="V167" s="1099">
        <v>414</v>
      </c>
      <c r="W167" s="1099" t="s">
        <v>890</v>
      </c>
      <c r="Z167" s="1311">
        <f t="shared" si="28"/>
        <v>0</v>
      </c>
      <c r="AA167" s="1374">
        <f t="shared" si="29"/>
        <v>0</v>
      </c>
      <c r="AB167" s="1374">
        <f t="shared" si="30"/>
        <v>0</v>
      </c>
    </row>
    <row r="168" spans="1:28" ht="118.5" customHeight="1">
      <c r="A168" s="895" t="s">
        <v>1332</v>
      </c>
      <c r="B168" s="955" t="s">
        <v>591</v>
      </c>
      <c r="C168" s="871">
        <f t="shared" si="23"/>
        <v>36681.5</v>
      </c>
      <c r="D168" s="1249">
        <f>32344.5+2136.03</f>
        <v>34480.5</v>
      </c>
      <c r="E168" s="1249">
        <f>2064.6+136.35</f>
        <v>2201</v>
      </c>
      <c r="F168" s="1395">
        <f t="shared" si="24"/>
        <v>36681.5</v>
      </c>
      <c r="G168" s="1397">
        <f t="shared" si="31"/>
        <v>34480.5</v>
      </c>
      <c r="H168" s="1397">
        <f t="shared" si="31"/>
        <v>2201</v>
      </c>
      <c r="I168" s="1395">
        <f t="shared" si="25"/>
        <v>0</v>
      </c>
      <c r="J168" s="1397">
        <v>0</v>
      </c>
      <c r="K168" s="1397">
        <v>0</v>
      </c>
      <c r="L168" s="876">
        <f t="shared" si="32"/>
        <v>0</v>
      </c>
      <c r="M168" s="877">
        <f t="shared" si="32"/>
        <v>0</v>
      </c>
      <c r="N168" s="877">
        <f t="shared" si="32"/>
        <v>0</v>
      </c>
      <c r="O168" s="1214" t="s">
        <v>1192</v>
      </c>
      <c r="P168" s="1214" t="s">
        <v>1254</v>
      </c>
      <c r="Q168" s="1065">
        <f t="shared" si="33"/>
        <v>0</v>
      </c>
      <c r="R168" s="1065">
        <f t="shared" si="33"/>
        <v>0</v>
      </c>
      <c r="S168" s="1065">
        <f t="shared" si="33"/>
        <v>0</v>
      </c>
      <c r="T168" s="1099" t="s">
        <v>886</v>
      </c>
      <c r="U168" s="1100" t="s">
        <v>906</v>
      </c>
      <c r="V168" s="1099">
        <v>414</v>
      </c>
      <c r="W168" s="1099" t="s">
        <v>890</v>
      </c>
      <c r="Z168" s="1311">
        <f t="shared" si="28"/>
        <v>0</v>
      </c>
      <c r="AA168" s="1374">
        <f t="shared" si="29"/>
        <v>0</v>
      </c>
      <c r="AB168" s="1374">
        <f t="shared" si="30"/>
        <v>0</v>
      </c>
    </row>
    <row r="169" spans="1:28" ht="93">
      <c r="A169" s="895">
        <v>109</v>
      </c>
      <c r="B169" s="1084" t="s">
        <v>575</v>
      </c>
      <c r="C169" s="871">
        <f t="shared" si="23"/>
        <v>5568.4</v>
      </c>
      <c r="D169" s="1249">
        <f>2306.5+2927.68</f>
        <v>5234.2</v>
      </c>
      <c r="E169" s="1249">
        <f>147.3+186.89</f>
        <v>334.2</v>
      </c>
      <c r="F169" s="1395">
        <f t="shared" si="24"/>
        <v>5568.4</v>
      </c>
      <c r="G169" s="1397">
        <f t="shared" si="31"/>
        <v>5234.2</v>
      </c>
      <c r="H169" s="1397">
        <f t="shared" si="31"/>
        <v>334.2</v>
      </c>
      <c r="I169" s="1395">
        <f t="shared" si="25"/>
        <v>0</v>
      </c>
      <c r="J169" s="1397">
        <v>0</v>
      </c>
      <c r="K169" s="1397">
        <v>0</v>
      </c>
      <c r="L169" s="876">
        <f t="shared" si="32"/>
        <v>0</v>
      </c>
      <c r="M169" s="877">
        <f t="shared" si="32"/>
        <v>0</v>
      </c>
      <c r="N169" s="877">
        <f t="shared" si="32"/>
        <v>0</v>
      </c>
      <c r="O169" s="1214" t="s">
        <v>1192</v>
      </c>
      <c r="P169" s="1214" t="s">
        <v>1102</v>
      </c>
      <c r="Q169" s="1065">
        <f t="shared" si="33"/>
        <v>0</v>
      </c>
      <c r="R169" s="1065">
        <f t="shared" si="33"/>
        <v>0</v>
      </c>
      <c r="S169" s="1065">
        <f t="shared" si="33"/>
        <v>0</v>
      </c>
      <c r="T169" s="1099" t="s">
        <v>886</v>
      </c>
      <c r="U169" s="1100" t="s">
        <v>902</v>
      </c>
      <c r="V169" s="1099">
        <v>414</v>
      </c>
      <c r="W169" s="1099" t="s">
        <v>890</v>
      </c>
      <c r="Z169" s="1311">
        <f t="shared" si="28"/>
        <v>0</v>
      </c>
      <c r="AA169" s="1374">
        <f t="shared" si="29"/>
        <v>0</v>
      </c>
      <c r="AB169" s="1374">
        <f t="shared" si="30"/>
        <v>0</v>
      </c>
    </row>
    <row r="170" spans="1:28" ht="99" customHeight="1">
      <c r="A170" s="1388" t="s">
        <v>829</v>
      </c>
      <c r="B170" s="1084" t="s">
        <v>660</v>
      </c>
      <c r="C170" s="871">
        <f t="shared" si="23"/>
        <v>14883.1</v>
      </c>
      <c r="D170" s="1249">
        <f>6906.5+7083.4</f>
        <v>13989.9</v>
      </c>
      <c r="E170" s="1249">
        <f>441.1+452.1</f>
        <v>893.2</v>
      </c>
      <c r="F170" s="1395">
        <f t="shared" si="24"/>
        <v>14883.1</v>
      </c>
      <c r="G170" s="1397">
        <f t="shared" si="31"/>
        <v>13989.9</v>
      </c>
      <c r="H170" s="1397">
        <f t="shared" si="31"/>
        <v>893.2</v>
      </c>
      <c r="I170" s="1395">
        <f t="shared" si="25"/>
        <v>5677.5</v>
      </c>
      <c r="J170" s="1397">
        <f>5121.824+215.006</f>
        <v>5336.8</v>
      </c>
      <c r="K170" s="1397">
        <f>326.952+13.724</f>
        <v>340.7</v>
      </c>
      <c r="L170" s="876">
        <f t="shared" si="32"/>
        <v>38.1</v>
      </c>
      <c r="M170" s="877">
        <f t="shared" si="32"/>
        <v>38.1</v>
      </c>
      <c r="N170" s="877">
        <f t="shared" si="32"/>
        <v>38.1</v>
      </c>
      <c r="O170" s="1214" t="s">
        <v>1286</v>
      </c>
      <c r="P170" s="1214" t="s">
        <v>1255</v>
      </c>
      <c r="Q170" s="1065">
        <f t="shared" si="33"/>
        <v>0</v>
      </c>
      <c r="R170" s="1065">
        <f t="shared" si="33"/>
        <v>0</v>
      </c>
      <c r="S170" s="1065">
        <f t="shared" si="33"/>
        <v>0</v>
      </c>
      <c r="T170" s="1099" t="s">
        <v>886</v>
      </c>
      <c r="U170" s="1100" t="s">
        <v>908</v>
      </c>
      <c r="V170" s="1099">
        <v>414</v>
      </c>
      <c r="W170" s="1099" t="s">
        <v>890</v>
      </c>
      <c r="Z170" s="1311">
        <f t="shared" si="28"/>
        <v>0</v>
      </c>
      <c r="AA170" s="1374">
        <f t="shared" si="29"/>
        <v>0</v>
      </c>
      <c r="AB170" s="1374">
        <f t="shared" si="30"/>
        <v>0</v>
      </c>
    </row>
    <row r="171" spans="1:28" ht="63" customHeight="1">
      <c r="A171" s="1388" t="s">
        <v>821</v>
      </c>
      <c r="B171" s="1084" t="s">
        <v>659</v>
      </c>
      <c r="C171" s="871">
        <f t="shared" si="23"/>
        <v>5350.6</v>
      </c>
      <c r="D171" s="1249">
        <f>4104.3+925.11</f>
        <v>5029.3999999999996</v>
      </c>
      <c r="E171" s="1249">
        <f>262.1+59.05</f>
        <v>321.2</v>
      </c>
      <c r="F171" s="1395">
        <f t="shared" si="24"/>
        <v>5350.6</v>
      </c>
      <c r="G171" s="1397">
        <f t="shared" si="31"/>
        <v>5029.3999999999996</v>
      </c>
      <c r="H171" s="1397">
        <f t="shared" si="31"/>
        <v>321.2</v>
      </c>
      <c r="I171" s="1395">
        <f t="shared" si="25"/>
        <v>0</v>
      </c>
      <c r="J171" s="1397">
        <v>0</v>
      </c>
      <c r="K171" s="1397">
        <v>0</v>
      </c>
      <c r="L171" s="876">
        <f t="shared" si="32"/>
        <v>0</v>
      </c>
      <c r="M171" s="877">
        <f t="shared" si="32"/>
        <v>0</v>
      </c>
      <c r="N171" s="877">
        <f t="shared" si="32"/>
        <v>0</v>
      </c>
      <c r="O171" s="1214" t="s">
        <v>1287</v>
      </c>
      <c r="P171" s="1214" t="s">
        <v>1256</v>
      </c>
      <c r="Q171" s="1065">
        <f t="shared" si="33"/>
        <v>0</v>
      </c>
      <c r="R171" s="1065">
        <f t="shared" si="33"/>
        <v>0</v>
      </c>
      <c r="S171" s="1065">
        <f t="shared" si="33"/>
        <v>0</v>
      </c>
      <c r="T171" s="1099" t="s">
        <v>886</v>
      </c>
      <c r="U171" s="1100" t="s">
        <v>909</v>
      </c>
      <c r="V171" s="1099">
        <v>414</v>
      </c>
      <c r="W171" s="1099" t="s">
        <v>910</v>
      </c>
      <c r="Z171" s="1311">
        <f t="shared" si="28"/>
        <v>0</v>
      </c>
      <c r="AA171" s="1374">
        <f t="shared" si="29"/>
        <v>0</v>
      </c>
      <c r="AB171" s="1374">
        <f t="shared" si="30"/>
        <v>0</v>
      </c>
    </row>
    <row r="172" spans="1:28" ht="86.25" customHeight="1">
      <c r="A172" s="1388" t="s">
        <v>822</v>
      </c>
      <c r="B172" s="1391" t="s">
        <v>459</v>
      </c>
      <c r="C172" s="871">
        <f t="shared" si="23"/>
        <v>3006.6</v>
      </c>
      <c r="D172" s="972">
        <f>2610.1+215.98</f>
        <v>2826.1</v>
      </c>
      <c r="E172" s="972">
        <f>166.7+13.79</f>
        <v>180.5</v>
      </c>
      <c r="F172" s="1395">
        <f t="shared" si="24"/>
        <v>3006.6</v>
      </c>
      <c r="G172" s="1397">
        <f t="shared" si="31"/>
        <v>2826.1</v>
      </c>
      <c r="H172" s="1397">
        <f t="shared" si="31"/>
        <v>180.5</v>
      </c>
      <c r="I172" s="1395">
        <f t="shared" si="25"/>
        <v>0</v>
      </c>
      <c r="J172" s="1396">
        <v>0</v>
      </c>
      <c r="K172" s="1396">
        <v>0</v>
      </c>
      <c r="L172" s="876">
        <f t="shared" si="32"/>
        <v>0</v>
      </c>
      <c r="M172" s="877">
        <f t="shared" si="32"/>
        <v>0</v>
      </c>
      <c r="N172" s="877">
        <f t="shared" si="32"/>
        <v>0</v>
      </c>
      <c r="O172" s="1214" t="s">
        <v>1288</v>
      </c>
      <c r="P172" s="1214" t="s">
        <v>1257</v>
      </c>
      <c r="Q172" s="1065">
        <f t="shared" si="33"/>
        <v>0</v>
      </c>
      <c r="R172" s="1065">
        <f t="shared" si="33"/>
        <v>0</v>
      </c>
      <c r="S172" s="1065">
        <f t="shared" si="33"/>
        <v>0</v>
      </c>
      <c r="T172" s="1099" t="s">
        <v>886</v>
      </c>
      <c r="U172" s="1100" t="s">
        <v>889</v>
      </c>
      <c r="V172" s="1099">
        <v>414</v>
      </c>
      <c r="W172" s="1099" t="s">
        <v>890</v>
      </c>
      <c r="Z172" s="1311">
        <f t="shared" si="28"/>
        <v>0</v>
      </c>
      <c r="AA172" s="1374">
        <f t="shared" si="29"/>
        <v>0</v>
      </c>
      <c r="AB172" s="1374">
        <f t="shared" si="30"/>
        <v>0</v>
      </c>
    </row>
    <row r="173" spans="1:28" s="515" customFormat="1" ht="72.75" customHeight="1">
      <c r="A173" s="1388" t="s">
        <v>915</v>
      </c>
      <c r="B173" s="1075" t="s">
        <v>568</v>
      </c>
      <c r="C173" s="871">
        <f t="shared" si="23"/>
        <v>4391.5</v>
      </c>
      <c r="D173" s="972">
        <f>3674.8+453.18</f>
        <v>4128</v>
      </c>
      <c r="E173" s="972">
        <f>234.6+28.93</f>
        <v>263.5</v>
      </c>
      <c r="F173" s="1395">
        <f t="shared" si="24"/>
        <v>4391.5</v>
      </c>
      <c r="G173" s="1397">
        <f t="shared" si="31"/>
        <v>4128</v>
      </c>
      <c r="H173" s="1397">
        <f t="shared" si="31"/>
        <v>263.5</v>
      </c>
      <c r="I173" s="1395">
        <f t="shared" si="25"/>
        <v>356.7</v>
      </c>
      <c r="J173" s="1396">
        <v>335.3</v>
      </c>
      <c r="K173" s="1396">
        <v>21.4</v>
      </c>
      <c r="L173" s="876">
        <f t="shared" si="32"/>
        <v>8.1</v>
      </c>
      <c r="M173" s="877">
        <f t="shared" si="32"/>
        <v>8.1</v>
      </c>
      <c r="N173" s="877">
        <f t="shared" si="32"/>
        <v>8.1</v>
      </c>
      <c r="O173" s="1214" t="s">
        <v>1289</v>
      </c>
      <c r="P173" s="1214" t="s">
        <v>1258</v>
      </c>
      <c r="Q173" s="1065">
        <f t="shared" si="33"/>
        <v>0</v>
      </c>
      <c r="R173" s="1065">
        <f t="shared" si="33"/>
        <v>0</v>
      </c>
      <c r="S173" s="1065">
        <f t="shared" si="33"/>
        <v>0</v>
      </c>
      <c r="T173" s="1099" t="s">
        <v>886</v>
      </c>
      <c r="U173" s="1100" t="s">
        <v>891</v>
      </c>
      <c r="V173" s="1099">
        <v>414</v>
      </c>
      <c r="W173" s="1099" t="s">
        <v>890</v>
      </c>
      <c r="X173" s="1220"/>
      <c r="Z173" s="1311">
        <f t="shared" si="28"/>
        <v>0</v>
      </c>
      <c r="AA173" s="1374">
        <f t="shared" si="29"/>
        <v>0</v>
      </c>
      <c r="AB173" s="1374">
        <f t="shared" si="30"/>
        <v>0</v>
      </c>
    </row>
    <row r="174" spans="1:28" s="515" customFormat="1" ht="81.75" customHeight="1">
      <c r="A174" s="1388" t="s">
        <v>915</v>
      </c>
      <c r="B174" s="900" t="s">
        <v>693</v>
      </c>
      <c r="C174" s="871">
        <f t="shared" si="23"/>
        <v>23921.1</v>
      </c>
      <c r="D174" s="972">
        <f>18560.9+3924.8</f>
        <v>22485.7</v>
      </c>
      <c r="E174" s="972">
        <f>1184.8+250.55</f>
        <v>1435.4</v>
      </c>
      <c r="F174" s="1395">
        <f t="shared" si="24"/>
        <v>23921.1</v>
      </c>
      <c r="G174" s="1397">
        <f t="shared" si="31"/>
        <v>22485.7</v>
      </c>
      <c r="H174" s="1397">
        <f t="shared" si="31"/>
        <v>1435.4</v>
      </c>
      <c r="I174" s="1395">
        <f t="shared" si="25"/>
        <v>0</v>
      </c>
      <c r="J174" s="1396">
        <v>0</v>
      </c>
      <c r="K174" s="1396">
        <v>0</v>
      </c>
      <c r="L174" s="876">
        <f t="shared" si="32"/>
        <v>0</v>
      </c>
      <c r="M174" s="877">
        <f t="shared" si="32"/>
        <v>0</v>
      </c>
      <c r="N174" s="877">
        <f t="shared" si="32"/>
        <v>0</v>
      </c>
      <c r="O174" s="1214" t="s">
        <v>1192</v>
      </c>
      <c r="P174" s="1214" t="s">
        <v>1251</v>
      </c>
      <c r="Q174" s="1065">
        <f t="shared" si="33"/>
        <v>0</v>
      </c>
      <c r="R174" s="1065">
        <f t="shared" si="33"/>
        <v>0</v>
      </c>
      <c r="S174" s="1065">
        <f t="shared" si="33"/>
        <v>0</v>
      </c>
      <c r="T174" s="1099" t="s">
        <v>866</v>
      </c>
      <c r="U174" s="1100" t="s">
        <v>884</v>
      </c>
      <c r="V174" s="1099">
        <v>414</v>
      </c>
      <c r="W174" s="1099" t="s">
        <v>885</v>
      </c>
      <c r="X174" s="1220"/>
      <c r="Z174" s="1311">
        <f t="shared" si="28"/>
        <v>0</v>
      </c>
      <c r="AA174" s="1374">
        <f t="shared" si="29"/>
        <v>0</v>
      </c>
      <c r="AB174" s="1374">
        <f t="shared" si="30"/>
        <v>0</v>
      </c>
    </row>
    <row r="175" spans="1:28" s="515" customFormat="1" ht="63" customHeight="1">
      <c r="A175" s="1388" t="s">
        <v>916</v>
      </c>
      <c r="B175" s="987" t="s">
        <v>794</v>
      </c>
      <c r="C175" s="871">
        <f t="shared" si="23"/>
        <v>264888.5</v>
      </c>
      <c r="D175" s="972">
        <f>160380+75158.5+12733.8</f>
        <v>248272.3</v>
      </c>
      <c r="E175" s="1256">
        <f>4958.64+10800+857.6</f>
        <v>16616.2</v>
      </c>
      <c r="F175" s="1395">
        <f t="shared" si="24"/>
        <v>264888.5</v>
      </c>
      <c r="G175" s="1397">
        <f t="shared" si="31"/>
        <v>248272.3</v>
      </c>
      <c r="H175" s="1397">
        <f t="shared" si="31"/>
        <v>16616.2</v>
      </c>
      <c r="I175" s="1395">
        <f t="shared" si="25"/>
        <v>42294.2</v>
      </c>
      <c r="J175" s="1396">
        <v>39625.800000000003</v>
      </c>
      <c r="K175" s="1396">
        <v>2668.4</v>
      </c>
      <c r="L175" s="876">
        <f t="shared" ref="L175:N180" si="34">IF(I175=0,0,I175/F175*100)</f>
        <v>16</v>
      </c>
      <c r="M175" s="877">
        <f t="shared" si="34"/>
        <v>16</v>
      </c>
      <c r="N175" s="877">
        <f t="shared" si="34"/>
        <v>16.100000000000001</v>
      </c>
      <c r="O175" s="1214" t="s">
        <v>1296</v>
      </c>
      <c r="P175" s="1214" t="s">
        <v>1259</v>
      </c>
      <c r="Q175" s="1065">
        <f t="shared" si="33"/>
        <v>0</v>
      </c>
      <c r="R175" s="1065">
        <f t="shared" si="33"/>
        <v>0</v>
      </c>
      <c r="S175" s="1065">
        <f t="shared" si="33"/>
        <v>0</v>
      </c>
      <c r="T175" s="1099" t="s">
        <v>866</v>
      </c>
      <c r="U175" s="1100" t="s">
        <v>896</v>
      </c>
      <c r="V175" s="1099">
        <v>414</v>
      </c>
      <c r="W175" s="1099" t="s">
        <v>897</v>
      </c>
      <c r="X175" s="1220"/>
      <c r="Z175" s="1311">
        <f t="shared" si="28"/>
        <v>0</v>
      </c>
      <c r="AA175" s="1374">
        <f t="shared" si="29"/>
        <v>0</v>
      </c>
      <c r="AB175" s="1374">
        <f t="shared" si="30"/>
        <v>0</v>
      </c>
    </row>
    <row r="176" spans="1:28" ht="63" customHeight="1">
      <c r="A176" s="2404" t="s">
        <v>1322</v>
      </c>
      <c r="B176" s="1084" t="s">
        <v>644</v>
      </c>
      <c r="C176" s="871">
        <f t="shared" si="23"/>
        <v>16856</v>
      </c>
      <c r="D176" s="1249">
        <v>0</v>
      </c>
      <c r="E176" s="1249">
        <v>16856</v>
      </c>
      <c r="F176" s="1395">
        <f t="shared" si="24"/>
        <v>16856</v>
      </c>
      <c r="G176" s="1397">
        <f t="shared" si="31"/>
        <v>0</v>
      </c>
      <c r="H176" s="1397">
        <f t="shared" si="31"/>
        <v>16856</v>
      </c>
      <c r="I176" s="1395">
        <f t="shared" si="25"/>
        <v>15355.9</v>
      </c>
      <c r="J176" s="1397">
        <v>0</v>
      </c>
      <c r="K176" s="1397">
        <v>15355.9</v>
      </c>
      <c r="L176" s="876">
        <f t="shared" si="34"/>
        <v>91.1</v>
      </c>
      <c r="M176" s="877">
        <f t="shared" si="34"/>
        <v>0</v>
      </c>
      <c r="N176" s="877">
        <f t="shared" si="34"/>
        <v>91.1</v>
      </c>
      <c r="O176" s="1214" t="s">
        <v>1297</v>
      </c>
      <c r="P176" s="1214" t="s">
        <v>1260</v>
      </c>
      <c r="Q176" s="1065">
        <f t="shared" si="33"/>
        <v>0</v>
      </c>
      <c r="R176" s="1065">
        <f t="shared" si="33"/>
        <v>0</v>
      </c>
      <c r="S176" s="1065">
        <f t="shared" si="33"/>
        <v>0</v>
      </c>
      <c r="T176" s="1099" t="s">
        <v>872</v>
      </c>
      <c r="U176" s="1100">
        <v>1130390420</v>
      </c>
      <c r="V176" s="1099">
        <v>414</v>
      </c>
      <c r="W176" s="1099">
        <v>14019</v>
      </c>
      <c r="Z176" s="1311">
        <f t="shared" si="28"/>
        <v>0</v>
      </c>
      <c r="AA176" s="1374">
        <f t="shared" si="29"/>
        <v>0</v>
      </c>
      <c r="AB176" s="1374">
        <f t="shared" si="30"/>
        <v>0</v>
      </c>
    </row>
    <row r="177" spans="1:28" ht="63" customHeight="1">
      <c r="A177" s="2405"/>
      <c r="B177" s="1084" t="s">
        <v>478</v>
      </c>
      <c r="C177" s="871">
        <f t="shared" si="23"/>
        <v>444195.7</v>
      </c>
      <c r="D177" s="1249">
        <f>412659.9+4883.9</f>
        <v>417543.8</v>
      </c>
      <c r="E177" s="1257">
        <f>26340.1+311.8</f>
        <v>26651.9</v>
      </c>
      <c r="F177" s="1395">
        <f t="shared" si="24"/>
        <v>444195.7</v>
      </c>
      <c r="G177" s="1397">
        <f t="shared" si="31"/>
        <v>417543.8</v>
      </c>
      <c r="H177" s="1068">
        <f t="shared" si="31"/>
        <v>26651.9</v>
      </c>
      <c r="I177" s="1395">
        <f t="shared" si="25"/>
        <v>259355.4</v>
      </c>
      <c r="J177" s="1397">
        <v>243794</v>
      </c>
      <c r="K177" s="1397">
        <v>15561.4</v>
      </c>
      <c r="L177" s="876">
        <f t="shared" si="34"/>
        <v>58.4</v>
      </c>
      <c r="M177" s="877">
        <f t="shared" si="34"/>
        <v>58.4</v>
      </c>
      <c r="N177" s="877">
        <f t="shared" si="34"/>
        <v>58.4</v>
      </c>
      <c r="O177" s="1214" t="s">
        <v>1298</v>
      </c>
      <c r="P177" s="1214" t="s">
        <v>1261</v>
      </c>
      <c r="Q177" s="1065">
        <f t="shared" si="33"/>
        <v>0</v>
      </c>
      <c r="R177" s="1065">
        <f t="shared" si="33"/>
        <v>0</v>
      </c>
      <c r="S177" s="1065">
        <f t="shared" si="33"/>
        <v>0</v>
      </c>
      <c r="T177" s="1099" t="s">
        <v>886</v>
      </c>
      <c r="U177" s="1100" t="s">
        <v>898</v>
      </c>
      <c r="V177" s="1099">
        <v>414</v>
      </c>
      <c r="W177" s="1099" t="s">
        <v>899</v>
      </c>
      <c r="Z177" s="1311">
        <f t="shared" si="28"/>
        <v>0</v>
      </c>
      <c r="AA177" s="1374">
        <f t="shared" si="29"/>
        <v>0</v>
      </c>
      <c r="AB177" s="1374">
        <f t="shared" si="30"/>
        <v>0</v>
      </c>
    </row>
    <row r="178" spans="1:28" s="515" customFormat="1" ht="74.25" customHeight="1">
      <c r="A178" s="1388" t="s">
        <v>860</v>
      </c>
      <c r="B178" s="900" t="s">
        <v>499</v>
      </c>
      <c r="C178" s="871">
        <f t="shared" si="23"/>
        <v>9981.4</v>
      </c>
      <c r="D178" s="972">
        <f>8500+859.8</f>
        <v>9359.7999999999993</v>
      </c>
      <c r="E178" s="972">
        <f>564.5+57.1</f>
        <v>621.6</v>
      </c>
      <c r="F178" s="1395">
        <f t="shared" si="24"/>
        <v>9981.4</v>
      </c>
      <c r="G178" s="1397">
        <f t="shared" si="31"/>
        <v>9359.7999999999993</v>
      </c>
      <c r="H178" s="1397">
        <f t="shared" si="31"/>
        <v>621.6</v>
      </c>
      <c r="I178" s="1395">
        <f t="shared" si="25"/>
        <v>2477.8000000000002</v>
      </c>
      <c r="J178" s="1396">
        <v>2323.5</v>
      </c>
      <c r="K178" s="1396">
        <v>154.30000000000001</v>
      </c>
      <c r="L178" s="876">
        <f t="shared" si="34"/>
        <v>24.8</v>
      </c>
      <c r="M178" s="877">
        <f t="shared" si="34"/>
        <v>24.8</v>
      </c>
      <c r="N178" s="877">
        <f t="shared" si="34"/>
        <v>24.8</v>
      </c>
      <c r="O178" s="1214" t="s">
        <v>1299</v>
      </c>
      <c r="P178" s="1214" t="s">
        <v>1262</v>
      </c>
      <c r="Q178" s="1065">
        <f t="shared" si="33"/>
        <v>0</v>
      </c>
      <c r="R178" s="1065">
        <f t="shared" si="33"/>
        <v>0</v>
      </c>
      <c r="S178" s="1065">
        <f t="shared" si="33"/>
        <v>0</v>
      </c>
      <c r="T178" s="1099" t="s">
        <v>871</v>
      </c>
      <c r="U178" s="1100" t="s">
        <v>870</v>
      </c>
      <c r="V178" s="1099">
        <v>414</v>
      </c>
      <c r="W178" s="1099" t="s">
        <v>873</v>
      </c>
      <c r="X178" s="1220"/>
      <c r="Z178" s="1311">
        <f t="shared" si="28"/>
        <v>0</v>
      </c>
      <c r="AA178" s="1374">
        <f t="shared" si="29"/>
        <v>0</v>
      </c>
      <c r="AB178" s="1374">
        <f t="shared" si="30"/>
        <v>0</v>
      </c>
    </row>
    <row r="179" spans="1:28" ht="54.75" customHeight="1">
      <c r="A179" s="1384" t="s">
        <v>1026</v>
      </c>
      <c r="B179" s="900" t="s">
        <v>768</v>
      </c>
      <c r="C179" s="871">
        <f t="shared" si="23"/>
        <v>8900</v>
      </c>
      <c r="D179" s="972">
        <v>0</v>
      </c>
      <c r="E179" s="972">
        <v>8900</v>
      </c>
      <c r="F179" s="1395">
        <f t="shared" si="24"/>
        <v>8900</v>
      </c>
      <c r="G179" s="1397">
        <f t="shared" si="31"/>
        <v>0</v>
      </c>
      <c r="H179" s="1397">
        <f t="shared" si="31"/>
        <v>8900</v>
      </c>
      <c r="I179" s="1395">
        <f t="shared" si="25"/>
        <v>0</v>
      </c>
      <c r="J179" s="1396">
        <v>0</v>
      </c>
      <c r="K179" s="1396">
        <v>0</v>
      </c>
      <c r="L179" s="876">
        <f t="shared" si="34"/>
        <v>0</v>
      </c>
      <c r="M179" s="877">
        <f t="shared" si="34"/>
        <v>0</v>
      </c>
      <c r="N179" s="877">
        <f t="shared" si="34"/>
        <v>0</v>
      </c>
      <c r="O179" s="1214" t="s">
        <v>1300</v>
      </c>
      <c r="P179" s="1214" t="s">
        <v>1263</v>
      </c>
      <c r="Q179" s="1065">
        <f>C179-F179</f>
        <v>0</v>
      </c>
      <c r="R179" s="1065">
        <f t="shared" si="33"/>
        <v>0</v>
      </c>
      <c r="S179" s="1065">
        <f t="shared" si="33"/>
        <v>0</v>
      </c>
      <c r="T179" s="1099" t="s">
        <v>872</v>
      </c>
      <c r="U179" s="1100">
        <v>1130390420</v>
      </c>
      <c r="V179" s="1099">
        <v>414</v>
      </c>
      <c r="W179" s="1099">
        <v>14009</v>
      </c>
      <c r="Z179" s="1311">
        <f t="shared" si="28"/>
        <v>0</v>
      </c>
      <c r="AA179" s="1374">
        <f t="shared" si="29"/>
        <v>0</v>
      </c>
      <c r="AB179" s="1374">
        <f t="shared" si="30"/>
        <v>0</v>
      </c>
    </row>
    <row r="180" spans="1:28" ht="74.25" customHeight="1">
      <c r="A180" s="1388" t="s">
        <v>1320</v>
      </c>
      <c r="B180" s="900" t="s">
        <v>769</v>
      </c>
      <c r="C180" s="871">
        <f t="shared" si="23"/>
        <v>21489</v>
      </c>
      <c r="D180" s="972">
        <v>0</v>
      </c>
      <c r="E180" s="972">
        <v>21489</v>
      </c>
      <c r="F180" s="1395">
        <f t="shared" si="24"/>
        <v>21489</v>
      </c>
      <c r="G180" s="1397">
        <f t="shared" si="31"/>
        <v>0</v>
      </c>
      <c r="H180" s="1397">
        <f t="shared" si="31"/>
        <v>21489</v>
      </c>
      <c r="I180" s="1395">
        <f t="shared" si="25"/>
        <v>6446.7</v>
      </c>
      <c r="J180" s="1396">
        <v>0</v>
      </c>
      <c r="K180" s="1396">
        <v>6446.7</v>
      </c>
      <c r="L180" s="876">
        <f t="shared" si="34"/>
        <v>30</v>
      </c>
      <c r="M180" s="877">
        <f t="shared" si="34"/>
        <v>0</v>
      </c>
      <c r="N180" s="877">
        <f t="shared" si="34"/>
        <v>30</v>
      </c>
      <c r="O180" s="1214" t="s">
        <v>1301</v>
      </c>
      <c r="P180" s="1214" t="s">
        <v>1264</v>
      </c>
      <c r="Q180" s="1065">
        <f>C180-F180</f>
        <v>0</v>
      </c>
      <c r="R180" s="1065">
        <f t="shared" ref="Q180:S197" si="35">D180-G180</f>
        <v>0</v>
      </c>
      <c r="S180" s="1065">
        <f t="shared" si="35"/>
        <v>0</v>
      </c>
      <c r="T180" s="1099" t="s">
        <v>872</v>
      </c>
      <c r="U180" s="1100">
        <v>1130390420</v>
      </c>
      <c r="V180" s="1099">
        <v>414</v>
      </c>
      <c r="W180" s="1099">
        <v>14053</v>
      </c>
      <c r="Z180" s="1311">
        <f t="shared" si="28"/>
        <v>0</v>
      </c>
      <c r="AA180" s="1374">
        <f t="shared" si="29"/>
        <v>0</v>
      </c>
      <c r="AB180" s="1374">
        <f t="shared" si="30"/>
        <v>0</v>
      </c>
    </row>
    <row r="181" spans="1:28" s="736" customFormat="1" ht="27.75">
      <c r="A181" s="1388" t="s">
        <v>1027</v>
      </c>
      <c r="B181" s="900" t="s">
        <v>692</v>
      </c>
      <c r="C181" s="871">
        <f>SUM(D181:E181)</f>
        <v>22300</v>
      </c>
      <c r="D181" s="972">
        <f>22300*0.9396914446</f>
        <v>20955.099999999999</v>
      </c>
      <c r="E181" s="972">
        <f>22300*(1-0.9396914446)</f>
        <v>1344.9</v>
      </c>
      <c r="F181" s="1395">
        <f>SUM(G181:H181)</f>
        <v>22300</v>
      </c>
      <c r="G181" s="1397">
        <f t="shared" si="31"/>
        <v>20955.099999999999</v>
      </c>
      <c r="H181" s="1397">
        <f t="shared" si="31"/>
        <v>1344.9</v>
      </c>
      <c r="I181" s="2463">
        <f>SUM(J181:K181)</f>
        <v>0</v>
      </c>
      <c r="J181" s="2464">
        <v>0</v>
      </c>
      <c r="K181" s="2464">
        <v>0</v>
      </c>
      <c r="L181" s="2467">
        <f>IF(I181=0,0,I181/F181:F182*100)</f>
        <v>0</v>
      </c>
      <c r="M181" s="2462">
        <f>IF(J181=0,0,J181/G181:G182*100)</f>
        <v>0</v>
      </c>
      <c r="N181" s="2462">
        <f>IF(K181=0,0,K181/H181:H182*100)</f>
        <v>0</v>
      </c>
      <c r="O181" s="2460" t="s">
        <v>1192</v>
      </c>
      <c r="P181" s="2460" t="s">
        <v>1265</v>
      </c>
      <c r="Q181" s="1065">
        <f>C181-F181</f>
        <v>0</v>
      </c>
      <c r="R181" s="1065">
        <f t="shared" si="35"/>
        <v>0</v>
      </c>
      <c r="S181" s="1065">
        <f t="shared" si="35"/>
        <v>0</v>
      </c>
      <c r="T181" s="2409" t="s">
        <v>874</v>
      </c>
      <c r="U181" s="2445" t="s">
        <v>875</v>
      </c>
      <c r="V181" s="2409">
        <v>414</v>
      </c>
      <c r="W181" s="2409" t="s">
        <v>876</v>
      </c>
      <c r="X181" s="2468"/>
      <c r="Z181" s="1311">
        <f t="shared" si="28"/>
        <v>0</v>
      </c>
      <c r="AA181" s="1374">
        <f t="shared" si="29"/>
        <v>0</v>
      </c>
      <c r="AB181" s="1374">
        <f t="shared" si="30"/>
        <v>0</v>
      </c>
    </row>
    <row r="182" spans="1:28" s="736" customFormat="1" ht="27.75">
      <c r="A182" s="1388" t="s">
        <v>1321</v>
      </c>
      <c r="B182" s="900" t="s">
        <v>691</v>
      </c>
      <c r="C182" s="871">
        <f t="shared" si="23"/>
        <v>49000</v>
      </c>
      <c r="D182" s="972">
        <f>49000*0.9396914446</f>
        <v>46044.9</v>
      </c>
      <c r="E182" s="972">
        <f>49000*(1-0.9396914446)</f>
        <v>2955.1</v>
      </c>
      <c r="F182" s="1395">
        <f t="shared" si="24"/>
        <v>49000</v>
      </c>
      <c r="G182" s="1397">
        <f t="shared" si="31"/>
        <v>46044.9</v>
      </c>
      <c r="H182" s="1397">
        <f t="shared" si="31"/>
        <v>2955.1</v>
      </c>
      <c r="I182" s="2463"/>
      <c r="J182" s="2464"/>
      <c r="K182" s="2464"/>
      <c r="L182" s="2467"/>
      <c r="M182" s="2462"/>
      <c r="N182" s="2462"/>
      <c r="O182" s="2461"/>
      <c r="P182" s="2461"/>
      <c r="Q182" s="1065">
        <f t="shared" si="35"/>
        <v>0</v>
      </c>
      <c r="R182" s="1065">
        <f t="shared" si="35"/>
        <v>0</v>
      </c>
      <c r="S182" s="1065">
        <f t="shared" si="35"/>
        <v>0</v>
      </c>
      <c r="T182" s="2409"/>
      <c r="U182" s="2445"/>
      <c r="V182" s="2409"/>
      <c r="W182" s="2409"/>
      <c r="X182" s="2468"/>
      <c r="Z182" s="1311">
        <f t="shared" si="28"/>
        <v>0</v>
      </c>
      <c r="AA182" s="1374">
        <f t="shared" si="29"/>
        <v>0</v>
      </c>
      <c r="AB182" s="1374">
        <f t="shared" si="30"/>
        <v>0</v>
      </c>
    </row>
    <row r="183" spans="1:28" s="736" customFormat="1" ht="70.5" customHeight="1">
      <c r="A183" s="1388" t="s">
        <v>1312</v>
      </c>
      <c r="B183" s="955" t="s">
        <v>767</v>
      </c>
      <c r="C183" s="871">
        <f t="shared" si="23"/>
        <v>5777.1</v>
      </c>
      <c r="D183" s="1249">
        <v>0</v>
      </c>
      <c r="E183" s="1249">
        <v>5777.1</v>
      </c>
      <c r="F183" s="1395">
        <f t="shared" si="24"/>
        <v>5777.1</v>
      </c>
      <c r="G183" s="1397">
        <f t="shared" si="31"/>
        <v>0</v>
      </c>
      <c r="H183" s="1397">
        <f t="shared" si="31"/>
        <v>5777.1</v>
      </c>
      <c r="I183" s="1395">
        <f t="shared" si="25"/>
        <v>0</v>
      </c>
      <c r="J183" s="1397">
        <v>0</v>
      </c>
      <c r="K183" s="1397">
        <v>0</v>
      </c>
      <c r="L183" s="876">
        <f>IF(I183=0,0,I183/F183*100)</f>
        <v>0</v>
      </c>
      <c r="M183" s="877">
        <f>IF(J183=0,0,J183/G183*100)</f>
        <v>0</v>
      </c>
      <c r="N183" s="877">
        <f>IF(K183=0,0,K183/H183*100)</f>
        <v>0</v>
      </c>
      <c r="O183" s="1214" t="s">
        <v>1302</v>
      </c>
      <c r="P183" s="1214" t="s">
        <v>1266</v>
      </c>
      <c r="Q183" s="1065">
        <f>C183-F183</f>
        <v>0</v>
      </c>
      <c r="R183" s="1065">
        <f t="shared" si="35"/>
        <v>0</v>
      </c>
      <c r="S183" s="1065">
        <f t="shared" si="35"/>
        <v>0</v>
      </c>
      <c r="T183" s="1099" t="s">
        <v>872</v>
      </c>
      <c r="U183" s="1100">
        <v>1130490420</v>
      </c>
      <c r="V183" s="1099">
        <v>414</v>
      </c>
      <c r="W183" s="1099">
        <v>14007</v>
      </c>
      <c r="X183" s="1216"/>
      <c r="Z183" s="1311">
        <f t="shared" si="28"/>
        <v>0</v>
      </c>
      <c r="AA183" s="1374">
        <f t="shared" si="29"/>
        <v>0</v>
      </c>
      <c r="AB183" s="1374">
        <f t="shared" si="30"/>
        <v>0</v>
      </c>
    </row>
    <row r="184" spans="1:28" s="736" customFormat="1" ht="37.5" customHeight="1">
      <c r="A184" s="1388" t="s">
        <v>1333</v>
      </c>
      <c r="B184" s="955" t="s">
        <v>763</v>
      </c>
      <c r="C184" s="871">
        <f t="shared" si="23"/>
        <v>32800</v>
      </c>
      <c r="D184" s="1249">
        <v>30832</v>
      </c>
      <c r="E184" s="1249">
        <v>1968</v>
      </c>
      <c r="F184" s="1395">
        <f t="shared" si="24"/>
        <v>32800</v>
      </c>
      <c r="G184" s="1397">
        <f t="shared" si="31"/>
        <v>30832</v>
      </c>
      <c r="H184" s="1397">
        <f t="shared" si="31"/>
        <v>1968</v>
      </c>
      <c r="I184" s="2463">
        <f>SUM(J184:K186)</f>
        <v>0</v>
      </c>
      <c r="J184" s="2466">
        <v>0</v>
      </c>
      <c r="K184" s="2466">
        <v>0</v>
      </c>
      <c r="L184" s="2467">
        <f>IF(I184=0,0,I184/F184:F186*100)</f>
        <v>0</v>
      </c>
      <c r="M184" s="2462">
        <f>IF(J184=0,0,J184/G184:G186*100)</f>
        <v>0</v>
      </c>
      <c r="N184" s="2462">
        <f>IF(K184=0,0,K184/H184:H186*100)</f>
        <v>0</v>
      </c>
      <c r="O184" s="1214" t="s">
        <v>1267</v>
      </c>
      <c r="P184" s="1214" t="s">
        <v>1219</v>
      </c>
      <c r="Q184" s="1065">
        <f t="shared" si="35"/>
        <v>0</v>
      </c>
      <c r="R184" s="1065">
        <f t="shared" si="35"/>
        <v>0</v>
      </c>
      <c r="S184" s="1065">
        <f t="shared" si="35"/>
        <v>0</v>
      </c>
      <c r="T184" s="2409" t="s">
        <v>872</v>
      </c>
      <c r="U184" s="2445" t="s">
        <v>878</v>
      </c>
      <c r="V184" s="2409">
        <v>414</v>
      </c>
      <c r="W184" s="2409" t="s">
        <v>879</v>
      </c>
      <c r="X184" s="2465"/>
      <c r="Z184" s="1311">
        <f t="shared" si="28"/>
        <v>0</v>
      </c>
      <c r="AA184" s="1374">
        <f t="shared" si="29"/>
        <v>0</v>
      </c>
      <c r="AB184" s="1374">
        <f t="shared" si="30"/>
        <v>0</v>
      </c>
    </row>
    <row r="185" spans="1:28" s="736" customFormat="1" ht="37.5" customHeight="1">
      <c r="A185" s="895">
        <v>120</v>
      </c>
      <c r="B185" s="955" t="s">
        <v>765</v>
      </c>
      <c r="C185" s="871">
        <f t="shared" si="23"/>
        <v>1200</v>
      </c>
      <c r="D185" s="1249">
        <v>1128</v>
      </c>
      <c r="E185" s="1249">
        <v>72</v>
      </c>
      <c r="F185" s="1395">
        <f t="shared" si="24"/>
        <v>1200</v>
      </c>
      <c r="G185" s="1397">
        <f t="shared" si="31"/>
        <v>1128</v>
      </c>
      <c r="H185" s="1397">
        <f t="shared" si="31"/>
        <v>72</v>
      </c>
      <c r="I185" s="2463"/>
      <c r="J185" s="2466"/>
      <c r="K185" s="2466"/>
      <c r="L185" s="2467"/>
      <c r="M185" s="2462"/>
      <c r="N185" s="2462"/>
      <c r="O185" s="1214" t="s">
        <v>1192</v>
      </c>
      <c r="P185" s="1214" t="s">
        <v>1219</v>
      </c>
      <c r="Q185" s="1065">
        <f t="shared" si="35"/>
        <v>0</v>
      </c>
      <c r="R185" s="1065">
        <f t="shared" si="35"/>
        <v>0</v>
      </c>
      <c r="S185" s="1065">
        <f t="shared" si="35"/>
        <v>0</v>
      </c>
      <c r="T185" s="2409"/>
      <c r="U185" s="2445"/>
      <c r="V185" s="2409"/>
      <c r="W185" s="2409"/>
      <c r="X185" s="2465"/>
      <c r="Z185" s="1311">
        <f t="shared" si="28"/>
        <v>0</v>
      </c>
      <c r="AA185" s="1374">
        <f t="shared" si="29"/>
        <v>0</v>
      </c>
      <c r="AB185" s="1374">
        <f t="shared" si="30"/>
        <v>0</v>
      </c>
    </row>
    <row r="186" spans="1:28" s="736" customFormat="1" ht="37.5" customHeight="1">
      <c r="A186" s="895">
        <v>121</v>
      </c>
      <c r="B186" s="955" t="s">
        <v>766</v>
      </c>
      <c r="C186" s="871">
        <f t="shared" si="23"/>
        <v>1500</v>
      </c>
      <c r="D186" s="1249">
        <v>1410</v>
      </c>
      <c r="E186" s="1249">
        <v>90</v>
      </c>
      <c r="F186" s="1395">
        <f t="shared" si="24"/>
        <v>1500</v>
      </c>
      <c r="G186" s="1397">
        <f t="shared" si="31"/>
        <v>1410</v>
      </c>
      <c r="H186" s="1397">
        <f t="shared" si="31"/>
        <v>90</v>
      </c>
      <c r="I186" s="2463"/>
      <c r="J186" s="2466"/>
      <c r="K186" s="2466"/>
      <c r="L186" s="2467"/>
      <c r="M186" s="2462"/>
      <c r="N186" s="2462"/>
      <c r="O186" s="1214" t="s">
        <v>1267</v>
      </c>
      <c r="P186" s="1214" t="s">
        <v>1219</v>
      </c>
      <c r="Q186" s="1065">
        <f t="shared" si="35"/>
        <v>0</v>
      </c>
      <c r="R186" s="1065">
        <f t="shared" si="35"/>
        <v>0</v>
      </c>
      <c r="S186" s="1065">
        <f t="shared" si="35"/>
        <v>0</v>
      </c>
      <c r="T186" s="2409"/>
      <c r="U186" s="2445"/>
      <c r="V186" s="2409"/>
      <c r="W186" s="2409"/>
      <c r="X186" s="2465"/>
      <c r="Z186" s="1311">
        <f t="shared" si="28"/>
        <v>0</v>
      </c>
      <c r="AA186" s="1374">
        <f t="shared" si="29"/>
        <v>0</v>
      </c>
      <c r="AB186" s="1374">
        <f t="shared" si="30"/>
        <v>0</v>
      </c>
    </row>
    <row r="187" spans="1:28" s="736" customFormat="1" ht="54.75" customHeight="1">
      <c r="A187" s="1388" t="s">
        <v>1323</v>
      </c>
      <c r="B187" s="900" t="s">
        <v>463</v>
      </c>
      <c r="C187" s="871">
        <f t="shared" si="23"/>
        <v>19846.5</v>
      </c>
      <c r="D187" s="972">
        <f>18651.8+3.79</f>
        <v>18655.599999999999</v>
      </c>
      <c r="E187" s="972">
        <f>1190.7+0.2</f>
        <v>1190.9000000000001</v>
      </c>
      <c r="F187" s="1395">
        <f t="shared" si="24"/>
        <v>19846.5</v>
      </c>
      <c r="G187" s="1397">
        <f t="shared" si="31"/>
        <v>18655.599999999999</v>
      </c>
      <c r="H187" s="1397">
        <f t="shared" si="31"/>
        <v>1190.9000000000001</v>
      </c>
      <c r="I187" s="1395">
        <f t="shared" ref="I187:I224" si="36">SUM(J187:K187)</f>
        <v>30</v>
      </c>
      <c r="J187" s="1396">
        <v>28.2</v>
      </c>
      <c r="K187" s="1396">
        <v>1.8</v>
      </c>
      <c r="L187" s="876">
        <f t="shared" ref="L187:N230" si="37">IF(I187=0,0,I187/F187*100)</f>
        <v>0.2</v>
      </c>
      <c r="M187" s="877">
        <f t="shared" si="37"/>
        <v>0.2</v>
      </c>
      <c r="N187" s="877">
        <f t="shared" si="37"/>
        <v>0.2</v>
      </c>
      <c r="O187" s="1214" t="s">
        <v>1303</v>
      </c>
      <c r="P187" s="1214" t="s">
        <v>1268</v>
      </c>
      <c r="Q187" s="1065">
        <f t="shared" si="35"/>
        <v>0</v>
      </c>
      <c r="R187" s="1065">
        <f t="shared" si="35"/>
        <v>0</v>
      </c>
      <c r="S187" s="1065">
        <f t="shared" si="35"/>
        <v>0</v>
      </c>
      <c r="T187" s="1099" t="s">
        <v>923</v>
      </c>
      <c r="U187" s="1100" t="s">
        <v>924</v>
      </c>
      <c r="V187" s="1099">
        <v>414</v>
      </c>
      <c r="W187" s="1099" t="s">
        <v>922</v>
      </c>
      <c r="X187" s="1216"/>
      <c r="Z187" s="1311">
        <f t="shared" si="28"/>
        <v>0</v>
      </c>
      <c r="AA187" s="1374">
        <f t="shared" si="29"/>
        <v>0</v>
      </c>
      <c r="AB187" s="1374">
        <f t="shared" si="30"/>
        <v>0</v>
      </c>
    </row>
    <row r="188" spans="1:28" s="736" customFormat="1" ht="60" customHeight="1">
      <c r="A188" s="1388" t="s">
        <v>856</v>
      </c>
      <c r="B188" s="900" t="s">
        <v>592</v>
      </c>
      <c r="C188" s="871">
        <f t="shared" si="23"/>
        <v>28317.1</v>
      </c>
      <c r="D188" s="972">
        <f>11848.8+14769.21</f>
        <v>26618</v>
      </c>
      <c r="E188" s="972">
        <f>756.4+942.7</f>
        <v>1699.1</v>
      </c>
      <c r="F188" s="1395">
        <f t="shared" si="24"/>
        <v>28317.1</v>
      </c>
      <c r="G188" s="1397">
        <f t="shared" si="31"/>
        <v>26618</v>
      </c>
      <c r="H188" s="1397">
        <f t="shared" si="31"/>
        <v>1699.1</v>
      </c>
      <c r="I188" s="1395">
        <f t="shared" si="36"/>
        <v>0</v>
      </c>
      <c r="J188" s="1396">
        <v>0</v>
      </c>
      <c r="K188" s="1396">
        <v>0</v>
      </c>
      <c r="L188" s="876">
        <f t="shared" si="37"/>
        <v>0</v>
      </c>
      <c r="M188" s="877">
        <f t="shared" si="37"/>
        <v>0</v>
      </c>
      <c r="N188" s="877">
        <f t="shared" si="37"/>
        <v>0</v>
      </c>
      <c r="O188" s="1214" t="s">
        <v>1192</v>
      </c>
      <c r="P188" s="1214" t="s">
        <v>1253</v>
      </c>
      <c r="Q188" s="1065">
        <f t="shared" si="35"/>
        <v>0</v>
      </c>
      <c r="R188" s="1065">
        <f t="shared" si="35"/>
        <v>0</v>
      </c>
      <c r="S188" s="1065">
        <f t="shared" si="35"/>
        <v>0</v>
      </c>
      <c r="T188" s="1099" t="s">
        <v>923</v>
      </c>
      <c r="U188" s="1100" t="s">
        <v>925</v>
      </c>
      <c r="V188" s="1099">
        <v>414</v>
      </c>
      <c r="W188" s="1099" t="s">
        <v>922</v>
      </c>
      <c r="X188" s="1216"/>
      <c r="Z188" s="1311">
        <f t="shared" si="28"/>
        <v>0</v>
      </c>
      <c r="AA188" s="1374">
        <f t="shared" si="29"/>
        <v>0</v>
      </c>
      <c r="AB188" s="1374">
        <f t="shared" si="30"/>
        <v>0</v>
      </c>
    </row>
    <row r="189" spans="1:28" s="736" customFormat="1" ht="69.75">
      <c r="A189" s="2404" t="s">
        <v>857</v>
      </c>
      <c r="B189" s="900" t="s">
        <v>776</v>
      </c>
      <c r="C189" s="871">
        <f>SUM(D189:E189)</f>
        <v>28483.9</v>
      </c>
      <c r="D189" s="972">
        <f>27685.1-D190</f>
        <v>26774.6</v>
      </c>
      <c r="E189" s="972">
        <f>1767.2-E190</f>
        <v>1709.3</v>
      </c>
      <c r="F189" s="1395">
        <f t="shared" si="24"/>
        <v>28483.9</v>
      </c>
      <c r="G189" s="972">
        <f>D189</f>
        <v>26774.6</v>
      </c>
      <c r="H189" s="972">
        <f>E189</f>
        <v>1709.3</v>
      </c>
      <c r="I189" s="1395">
        <f t="shared" si="36"/>
        <v>0</v>
      </c>
      <c r="J189" s="1396">
        <v>0</v>
      </c>
      <c r="K189" s="1396">
        <v>0</v>
      </c>
      <c r="L189" s="876">
        <f t="shared" si="37"/>
        <v>0</v>
      </c>
      <c r="M189" s="877">
        <f t="shared" si="37"/>
        <v>0</v>
      </c>
      <c r="N189" s="877">
        <f t="shared" si="37"/>
        <v>0</v>
      </c>
      <c r="O189" s="1214" t="s">
        <v>1192</v>
      </c>
      <c r="P189" s="1214" t="s">
        <v>1269</v>
      </c>
      <c r="Q189" s="1065">
        <f t="shared" si="35"/>
        <v>0</v>
      </c>
      <c r="R189" s="1065">
        <f t="shared" si="35"/>
        <v>0</v>
      </c>
      <c r="S189" s="1065">
        <f t="shared" si="35"/>
        <v>0</v>
      </c>
      <c r="T189" s="1099" t="s">
        <v>920</v>
      </c>
      <c r="U189" s="1100" t="s">
        <v>921</v>
      </c>
      <c r="V189" s="1099">
        <v>414</v>
      </c>
      <c r="W189" s="1099" t="s">
        <v>922</v>
      </c>
      <c r="X189" s="1216"/>
      <c r="Z189" s="1311">
        <f t="shared" si="28"/>
        <v>0</v>
      </c>
      <c r="AA189" s="1374">
        <f t="shared" si="29"/>
        <v>0</v>
      </c>
      <c r="AB189" s="1374">
        <f t="shared" si="30"/>
        <v>0</v>
      </c>
    </row>
    <row r="190" spans="1:28" s="736" customFormat="1" ht="33.75" customHeight="1">
      <c r="A190" s="2405"/>
      <c r="B190" s="900" t="s">
        <v>1335</v>
      </c>
      <c r="C190" s="1395">
        <f>SUM(D190:E190)</f>
        <v>968.4</v>
      </c>
      <c r="D190" s="1397">
        <v>910.5</v>
      </c>
      <c r="E190" s="1397">
        <v>57.9</v>
      </c>
      <c r="F190" s="1395">
        <f>SUM(G190:H190)</f>
        <v>968.4</v>
      </c>
      <c r="G190" s="879">
        <f>D190</f>
        <v>910.5</v>
      </c>
      <c r="H190" s="879">
        <f>E190</f>
        <v>57.9</v>
      </c>
      <c r="I190" s="1395">
        <f>SUM(J190:K190)</f>
        <v>0</v>
      </c>
      <c r="J190" s="1397">
        <v>0</v>
      </c>
      <c r="K190" s="1397">
        <v>0</v>
      </c>
      <c r="L190" s="876">
        <f>IF(I190=0,0,I190/F190*100)</f>
        <v>0</v>
      </c>
      <c r="M190" s="877">
        <f>IF(J190=0,0,J190/G190*100)</f>
        <v>0</v>
      </c>
      <c r="N190" s="877">
        <f>IF(K190=0,0,K190/H190*100)</f>
        <v>0</v>
      </c>
      <c r="O190" s="1214" t="s">
        <v>1272</v>
      </c>
      <c r="P190" s="1214" t="s">
        <v>1273</v>
      </c>
      <c r="Q190" s="1065">
        <f>C190-F190</f>
        <v>0</v>
      </c>
      <c r="R190" s="1065">
        <f>D190-G190</f>
        <v>0</v>
      </c>
      <c r="S190" s="1065">
        <f>E190-H190</f>
        <v>0</v>
      </c>
      <c r="T190" s="1099" t="s">
        <v>928</v>
      </c>
      <c r="U190" s="1100" t="s">
        <v>929</v>
      </c>
      <c r="V190" s="1099">
        <v>414</v>
      </c>
      <c r="W190" s="1099">
        <v>14036</v>
      </c>
      <c r="X190" s="1216"/>
      <c r="Z190" s="1311">
        <f>C190-F190</f>
        <v>0</v>
      </c>
      <c r="AA190" s="1374">
        <f t="shared" si="29"/>
        <v>0</v>
      </c>
      <c r="AB190" s="1374">
        <f t="shared" si="30"/>
        <v>0</v>
      </c>
    </row>
    <row r="191" spans="1:28" s="736" customFormat="1" ht="78.75">
      <c r="A191" s="2442" t="s">
        <v>858</v>
      </c>
      <c r="B191" s="901" t="s">
        <v>638</v>
      </c>
      <c r="C191" s="871">
        <f t="shared" si="23"/>
        <v>15520</v>
      </c>
      <c r="D191" s="972">
        <v>0</v>
      </c>
      <c r="E191" s="972">
        <v>15520</v>
      </c>
      <c r="F191" s="1395">
        <f t="shared" si="24"/>
        <v>15520</v>
      </c>
      <c r="G191" s="1397">
        <f t="shared" si="31"/>
        <v>0</v>
      </c>
      <c r="H191" s="1397">
        <f t="shared" si="31"/>
        <v>15520</v>
      </c>
      <c r="I191" s="1395">
        <f t="shared" si="36"/>
        <v>4656</v>
      </c>
      <c r="J191" s="1396">
        <v>0</v>
      </c>
      <c r="K191" s="1396">
        <v>4656</v>
      </c>
      <c r="L191" s="876">
        <f t="shared" si="37"/>
        <v>30</v>
      </c>
      <c r="M191" s="877">
        <f t="shared" si="37"/>
        <v>0</v>
      </c>
      <c r="N191" s="877">
        <f t="shared" si="37"/>
        <v>30</v>
      </c>
      <c r="O191" s="1214" t="s">
        <v>1304</v>
      </c>
      <c r="P191" s="1214" t="s">
        <v>1270</v>
      </c>
      <c r="Q191" s="1065">
        <f t="shared" si="35"/>
        <v>0</v>
      </c>
      <c r="R191" s="1065">
        <f t="shared" si="35"/>
        <v>0</v>
      </c>
      <c r="S191" s="1065">
        <f t="shared" si="35"/>
        <v>0</v>
      </c>
      <c r="T191" s="1099" t="s">
        <v>928</v>
      </c>
      <c r="U191" s="1100" t="s">
        <v>929</v>
      </c>
      <c r="V191" s="1099">
        <v>414</v>
      </c>
      <c r="W191" s="1099">
        <v>14003</v>
      </c>
      <c r="X191" s="1216"/>
      <c r="Z191" s="1311">
        <f t="shared" si="28"/>
        <v>0</v>
      </c>
      <c r="AA191" s="1374">
        <f t="shared" si="29"/>
        <v>0</v>
      </c>
      <c r="AB191" s="1374">
        <f t="shared" si="30"/>
        <v>0</v>
      </c>
    </row>
    <row r="192" spans="1:28" s="736" customFormat="1" ht="67.5" customHeight="1">
      <c r="A192" s="2442"/>
      <c r="B192" s="990" t="s">
        <v>694</v>
      </c>
      <c r="C192" s="871">
        <f t="shared" si="23"/>
        <v>251200</v>
      </c>
      <c r="D192" s="972">
        <v>236128</v>
      </c>
      <c r="E192" s="972">
        <v>15072</v>
      </c>
      <c r="F192" s="1395">
        <f t="shared" si="24"/>
        <v>251200</v>
      </c>
      <c r="G192" s="1397">
        <f t="shared" si="31"/>
        <v>236128</v>
      </c>
      <c r="H192" s="1397">
        <f t="shared" si="31"/>
        <v>15072</v>
      </c>
      <c r="I192" s="1395">
        <f t="shared" si="36"/>
        <v>0</v>
      </c>
      <c r="J192" s="1396">
        <v>0</v>
      </c>
      <c r="K192" s="1396">
        <v>0</v>
      </c>
      <c r="L192" s="876">
        <f t="shared" si="37"/>
        <v>0</v>
      </c>
      <c r="M192" s="877">
        <f t="shared" si="37"/>
        <v>0</v>
      </c>
      <c r="N192" s="877">
        <f t="shared" si="37"/>
        <v>0</v>
      </c>
      <c r="O192" s="1214" t="s">
        <v>1192</v>
      </c>
      <c r="P192" s="1214" t="s">
        <v>1271</v>
      </c>
      <c r="Q192" s="1065">
        <f t="shared" si="35"/>
        <v>0</v>
      </c>
      <c r="R192" s="1065">
        <f t="shared" si="35"/>
        <v>0</v>
      </c>
      <c r="S192" s="1065">
        <f t="shared" si="35"/>
        <v>0</v>
      </c>
      <c r="T192" s="1099" t="s">
        <v>928</v>
      </c>
      <c r="U192" s="1100" t="s">
        <v>931</v>
      </c>
      <c r="V192" s="1099">
        <v>414</v>
      </c>
      <c r="W192" s="1099" t="s">
        <v>930</v>
      </c>
      <c r="X192" s="1216"/>
      <c r="Z192" s="1311">
        <f t="shared" si="28"/>
        <v>0</v>
      </c>
      <c r="AA192" s="1374">
        <f t="shared" si="29"/>
        <v>0</v>
      </c>
      <c r="AB192" s="1374">
        <f t="shared" si="30"/>
        <v>0</v>
      </c>
    </row>
    <row r="193" spans="1:30" s="736" customFormat="1" ht="87.75" customHeight="1">
      <c r="A193" s="2404" t="s">
        <v>859</v>
      </c>
      <c r="B193" s="900" t="s">
        <v>646</v>
      </c>
      <c r="C193" s="871">
        <f t="shared" si="23"/>
        <v>7500</v>
      </c>
      <c r="D193" s="1249">
        <v>0</v>
      </c>
      <c r="E193" s="1249">
        <v>7500</v>
      </c>
      <c r="F193" s="1395">
        <f t="shared" si="24"/>
        <v>7500</v>
      </c>
      <c r="G193" s="1397">
        <f t="shared" si="31"/>
        <v>0</v>
      </c>
      <c r="H193" s="1397">
        <f t="shared" si="31"/>
        <v>7500</v>
      </c>
      <c r="I193" s="1395">
        <f t="shared" si="36"/>
        <v>7450</v>
      </c>
      <c r="J193" s="1397">
        <v>0</v>
      </c>
      <c r="K193" s="1397">
        <v>7450</v>
      </c>
      <c r="L193" s="876">
        <f t="shared" si="37"/>
        <v>99.3</v>
      </c>
      <c r="M193" s="877">
        <f t="shared" si="37"/>
        <v>0</v>
      </c>
      <c r="N193" s="877">
        <f t="shared" si="37"/>
        <v>99.3</v>
      </c>
      <c r="O193" s="1214" t="s">
        <v>1272</v>
      </c>
      <c r="P193" s="1214" t="s">
        <v>1273</v>
      </c>
      <c r="Q193" s="1065">
        <f t="shared" si="35"/>
        <v>0</v>
      </c>
      <c r="R193" s="1065">
        <f t="shared" si="35"/>
        <v>0</v>
      </c>
      <c r="S193" s="1065">
        <f t="shared" si="35"/>
        <v>0</v>
      </c>
      <c r="T193" s="1099" t="s">
        <v>928</v>
      </c>
      <c r="U193" s="1100" t="s">
        <v>929</v>
      </c>
      <c r="V193" s="1099">
        <v>414</v>
      </c>
      <c r="W193" s="1099">
        <v>14036</v>
      </c>
      <c r="X193" s="1216"/>
      <c r="Z193" s="1311">
        <f t="shared" si="28"/>
        <v>0</v>
      </c>
      <c r="AA193" s="1374">
        <f t="shared" si="29"/>
        <v>0</v>
      </c>
      <c r="AB193" s="1374">
        <f t="shared" si="30"/>
        <v>0</v>
      </c>
    </row>
    <row r="194" spans="1:30" s="736" customFormat="1" ht="61.5" customHeight="1">
      <c r="A194" s="2483"/>
      <c r="B194" s="990" t="s">
        <v>695</v>
      </c>
      <c r="C194" s="871">
        <f t="shared" si="23"/>
        <v>134909.6</v>
      </c>
      <c r="D194" s="972">
        <f>133919.9-D195</f>
        <v>126813.7</v>
      </c>
      <c r="E194" s="972">
        <f>8548.1-E195</f>
        <v>8095.9</v>
      </c>
      <c r="F194" s="1395">
        <f t="shared" si="24"/>
        <v>134909.6</v>
      </c>
      <c r="G194" s="1397">
        <f>D194</f>
        <v>126813.7</v>
      </c>
      <c r="H194" s="1397">
        <f>E194</f>
        <v>8095.9</v>
      </c>
      <c r="I194" s="1395">
        <f t="shared" si="36"/>
        <v>0</v>
      </c>
      <c r="J194" s="1396">
        <v>0</v>
      </c>
      <c r="K194" s="1396">
        <v>0</v>
      </c>
      <c r="L194" s="876">
        <f t="shared" si="37"/>
        <v>0</v>
      </c>
      <c r="M194" s="877">
        <f t="shared" si="37"/>
        <v>0</v>
      </c>
      <c r="N194" s="877">
        <f t="shared" si="37"/>
        <v>0</v>
      </c>
      <c r="O194" s="1214" t="s">
        <v>1192</v>
      </c>
      <c r="P194" s="1214" t="s">
        <v>1274</v>
      </c>
      <c r="Q194" s="1065">
        <f t="shared" si="35"/>
        <v>0</v>
      </c>
      <c r="R194" s="1065">
        <f t="shared" si="35"/>
        <v>0</v>
      </c>
      <c r="S194" s="1065">
        <f t="shared" si="35"/>
        <v>0</v>
      </c>
      <c r="T194" s="1099" t="s">
        <v>928</v>
      </c>
      <c r="U194" s="1100" t="s">
        <v>1030</v>
      </c>
      <c r="V194" s="1099">
        <v>414</v>
      </c>
      <c r="W194" s="1099" t="s">
        <v>930</v>
      </c>
      <c r="X194" s="1216"/>
      <c r="Z194" s="1311">
        <f t="shared" si="28"/>
        <v>0</v>
      </c>
      <c r="AA194" s="1374">
        <f t="shared" si="29"/>
        <v>0</v>
      </c>
      <c r="AB194" s="1374">
        <f t="shared" si="30"/>
        <v>0</v>
      </c>
    </row>
    <row r="195" spans="1:30" s="736" customFormat="1" ht="33.75" customHeight="1">
      <c r="A195" s="2483"/>
      <c r="B195" s="900" t="s">
        <v>1335</v>
      </c>
      <c r="C195" s="871">
        <f t="shared" si="23"/>
        <v>7558.4</v>
      </c>
      <c r="D195" s="1397">
        <v>7106.2</v>
      </c>
      <c r="E195" s="1397">
        <v>452.2</v>
      </c>
      <c r="F195" s="1395">
        <f t="shared" si="24"/>
        <v>7558.4</v>
      </c>
      <c r="G195" s="1397">
        <f>D195</f>
        <v>7106.2</v>
      </c>
      <c r="H195" s="1397">
        <f>E195</f>
        <v>452.2</v>
      </c>
      <c r="I195" s="1395">
        <f t="shared" si="36"/>
        <v>0</v>
      </c>
      <c r="J195" s="1397"/>
      <c r="K195" s="1397"/>
      <c r="L195" s="876">
        <f t="shared" si="37"/>
        <v>0</v>
      </c>
      <c r="M195" s="877">
        <f t="shared" si="37"/>
        <v>0</v>
      </c>
      <c r="N195" s="877">
        <f t="shared" si="37"/>
        <v>0</v>
      </c>
      <c r="O195" s="1214" t="s">
        <v>1272</v>
      </c>
      <c r="P195" s="1214" t="s">
        <v>1273</v>
      </c>
      <c r="Q195" s="1065">
        <f>C195-F195</f>
        <v>0</v>
      </c>
      <c r="R195" s="1065">
        <f>D195-G195</f>
        <v>0</v>
      </c>
      <c r="S195" s="1065">
        <f>E195-H195</f>
        <v>0</v>
      </c>
      <c r="T195" s="1099" t="s">
        <v>928</v>
      </c>
      <c r="U195" s="1100" t="s">
        <v>929</v>
      </c>
      <c r="V195" s="1099">
        <v>414</v>
      </c>
      <c r="W195" s="1099">
        <v>14036</v>
      </c>
      <c r="X195" s="1216"/>
      <c r="Z195" s="1311">
        <f>C195-F195</f>
        <v>0</v>
      </c>
      <c r="AA195" s="1374">
        <f t="shared" si="29"/>
        <v>0</v>
      </c>
      <c r="AB195" s="1374">
        <f t="shared" si="30"/>
        <v>0</v>
      </c>
    </row>
    <row r="196" spans="1:30" s="736" customFormat="1" ht="78.75">
      <c r="A196" s="2483" t="s">
        <v>917</v>
      </c>
      <c r="B196" s="990" t="s">
        <v>1336</v>
      </c>
      <c r="C196" s="871">
        <f>SUM(D196:E196)</f>
        <v>6308.4</v>
      </c>
      <c r="D196" s="1397"/>
      <c r="E196" s="1397">
        <v>6308.4</v>
      </c>
      <c r="F196" s="1395">
        <f>SUM(G196:H196)</f>
        <v>6308.4</v>
      </c>
      <c r="G196" s="1397"/>
      <c r="H196" s="1397">
        <v>6308.4</v>
      </c>
      <c r="I196" s="1395">
        <f t="shared" si="36"/>
        <v>2253</v>
      </c>
      <c r="J196" s="1397"/>
      <c r="K196" s="1397">
        <v>2253</v>
      </c>
      <c r="L196" s="876">
        <f t="shared" si="37"/>
        <v>35.700000000000003</v>
      </c>
      <c r="M196" s="877">
        <f t="shared" si="37"/>
        <v>0</v>
      </c>
      <c r="N196" s="877">
        <f t="shared" si="37"/>
        <v>35.700000000000003</v>
      </c>
      <c r="O196" s="1214"/>
      <c r="P196" s="1214"/>
      <c r="Q196" s="1065"/>
      <c r="R196" s="1065"/>
      <c r="S196" s="1065"/>
      <c r="T196" s="1099"/>
      <c r="U196" s="1100"/>
      <c r="V196" s="1099"/>
      <c r="W196" s="1099"/>
      <c r="X196" s="1216"/>
      <c r="Z196" s="1311"/>
      <c r="AA196" s="1374">
        <f t="shared" si="29"/>
        <v>0</v>
      </c>
      <c r="AB196" s="1374">
        <f t="shared" si="30"/>
        <v>0</v>
      </c>
    </row>
    <row r="197" spans="1:30" s="736" customFormat="1" ht="64.5" customHeight="1">
      <c r="A197" s="2405"/>
      <c r="B197" s="990" t="s">
        <v>698</v>
      </c>
      <c r="C197" s="871">
        <f t="shared" ref="C197:C223" si="38">SUM(D197:E197)</f>
        <v>96270.7</v>
      </c>
      <c r="D197" s="972">
        <v>90460.9</v>
      </c>
      <c r="E197" s="972">
        <v>5809.8</v>
      </c>
      <c r="F197" s="1395">
        <f t="shared" ref="F197:F224" si="39">SUM(G197:H197)</f>
        <v>96270.7</v>
      </c>
      <c r="G197" s="1397">
        <f>D197</f>
        <v>90460.9</v>
      </c>
      <c r="H197" s="1397">
        <f t="shared" si="31"/>
        <v>5809.8</v>
      </c>
      <c r="I197" s="1395">
        <f t="shared" si="36"/>
        <v>0</v>
      </c>
      <c r="J197" s="1396">
        <v>0</v>
      </c>
      <c r="K197" s="1396">
        <v>0</v>
      </c>
      <c r="L197" s="876">
        <f t="shared" si="37"/>
        <v>0</v>
      </c>
      <c r="M197" s="877">
        <f t="shared" si="37"/>
        <v>0</v>
      </c>
      <c r="N197" s="877">
        <f t="shared" si="37"/>
        <v>0</v>
      </c>
      <c r="O197" s="1214" t="s">
        <v>1192</v>
      </c>
      <c r="P197" s="1214" t="s">
        <v>1276</v>
      </c>
      <c r="Q197" s="1065">
        <f t="shared" si="35"/>
        <v>0</v>
      </c>
      <c r="R197" s="1065">
        <f t="shared" si="35"/>
        <v>0</v>
      </c>
      <c r="S197" s="1065">
        <f t="shared" si="35"/>
        <v>0</v>
      </c>
      <c r="T197" s="1130" t="s">
        <v>936</v>
      </c>
      <c r="U197" s="1100" t="s">
        <v>940</v>
      </c>
      <c r="V197" s="1099">
        <v>414</v>
      </c>
      <c r="W197" s="1099" t="s">
        <v>939</v>
      </c>
      <c r="X197" s="1216"/>
      <c r="Z197" s="1311">
        <f t="shared" si="28"/>
        <v>0</v>
      </c>
      <c r="AA197" s="1374">
        <f t="shared" si="29"/>
        <v>0</v>
      </c>
      <c r="AB197" s="1374">
        <f t="shared" si="30"/>
        <v>0</v>
      </c>
    </row>
    <row r="198" spans="1:30" s="736" customFormat="1" ht="105" customHeight="1">
      <c r="A198" s="1388" t="s">
        <v>918</v>
      </c>
      <c r="B198" s="990" t="s">
        <v>697</v>
      </c>
      <c r="C198" s="871">
        <f t="shared" si="38"/>
        <v>150000</v>
      </c>
      <c r="D198" s="972">
        <v>140955</v>
      </c>
      <c r="E198" s="972">
        <v>9045</v>
      </c>
      <c r="F198" s="1395">
        <f t="shared" si="39"/>
        <v>150000</v>
      </c>
      <c r="G198" s="1397">
        <f t="shared" si="31"/>
        <v>140955</v>
      </c>
      <c r="H198" s="1397">
        <f t="shared" si="31"/>
        <v>9045</v>
      </c>
      <c r="I198" s="1395">
        <f t="shared" si="36"/>
        <v>33387.5</v>
      </c>
      <c r="J198" s="1396">
        <v>31373.8</v>
      </c>
      <c r="K198" s="1396">
        <v>2013.7</v>
      </c>
      <c r="L198" s="876">
        <f t="shared" si="37"/>
        <v>22.3</v>
      </c>
      <c r="M198" s="877">
        <f t="shared" si="37"/>
        <v>22.3</v>
      </c>
      <c r="N198" s="877">
        <f t="shared" si="37"/>
        <v>22.3</v>
      </c>
      <c r="O198" s="1214" t="s">
        <v>1306</v>
      </c>
      <c r="P198" s="1214" t="s">
        <v>1277</v>
      </c>
      <c r="Q198" s="1065">
        <f t="shared" ref="Q198:S206" si="40">C198-F198</f>
        <v>0</v>
      </c>
      <c r="R198" s="1065">
        <f t="shared" si="40"/>
        <v>0</v>
      </c>
      <c r="S198" s="1065">
        <f t="shared" si="40"/>
        <v>0</v>
      </c>
      <c r="T198" s="1130" t="s">
        <v>936</v>
      </c>
      <c r="U198" s="1100" t="s">
        <v>941</v>
      </c>
      <c r="V198" s="1099">
        <v>414</v>
      </c>
      <c r="W198" s="1099" t="s">
        <v>939</v>
      </c>
      <c r="X198" s="1216"/>
      <c r="Z198" s="1311">
        <f t="shared" si="28"/>
        <v>0</v>
      </c>
      <c r="AA198" s="1374">
        <f t="shared" si="29"/>
        <v>0</v>
      </c>
      <c r="AB198" s="1374">
        <f t="shared" si="30"/>
        <v>0</v>
      </c>
    </row>
    <row r="199" spans="1:30" ht="131.25" customHeight="1">
      <c r="A199" s="1388" t="s">
        <v>1028</v>
      </c>
      <c r="B199" s="990" t="s">
        <v>942</v>
      </c>
      <c r="C199" s="871">
        <f t="shared" si="38"/>
        <v>34500</v>
      </c>
      <c r="D199" s="972">
        <v>32419.7</v>
      </c>
      <c r="E199" s="972">
        <v>2080.3000000000002</v>
      </c>
      <c r="F199" s="1395">
        <f t="shared" si="39"/>
        <v>34500</v>
      </c>
      <c r="G199" s="1397">
        <f t="shared" si="31"/>
        <v>32419.7</v>
      </c>
      <c r="H199" s="1397">
        <f t="shared" si="31"/>
        <v>2080.3000000000002</v>
      </c>
      <c r="I199" s="1395">
        <f t="shared" si="36"/>
        <v>0</v>
      </c>
      <c r="J199" s="1396">
        <v>0</v>
      </c>
      <c r="K199" s="1396">
        <v>0</v>
      </c>
      <c r="L199" s="876">
        <f t="shared" si="37"/>
        <v>0</v>
      </c>
      <c r="M199" s="877">
        <f t="shared" si="37"/>
        <v>0</v>
      </c>
      <c r="N199" s="877">
        <f t="shared" si="37"/>
        <v>0</v>
      </c>
      <c r="O199" s="1214" t="s">
        <v>1192</v>
      </c>
      <c r="P199" s="1214" t="s">
        <v>1278</v>
      </c>
      <c r="Q199" s="1065">
        <f t="shared" si="40"/>
        <v>0</v>
      </c>
      <c r="R199" s="1065">
        <f t="shared" si="40"/>
        <v>0</v>
      </c>
      <c r="S199" s="1065">
        <f t="shared" si="40"/>
        <v>0</v>
      </c>
      <c r="T199" s="1099" t="s">
        <v>936</v>
      </c>
      <c r="U199" s="1100" t="s">
        <v>943</v>
      </c>
      <c r="V199" s="1099">
        <v>414</v>
      </c>
      <c r="W199" s="1099" t="s">
        <v>939</v>
      </c>
      <c r="Z199" s="1311">
        <f t="shared" si="28"/>
        <v>0</v>
      </c>
      <c r="AA199" s="1374">
        <f t="shared" si="29"/>
        <v>0</v>
      </c>
      <c r="AB199" s="1374">
        <f t="shared" si="30"/>
        <v>0</v>
      </c>
    </row>
    <row r="200" spans="1:30" ht="90.75" customHeight="1">
      <c r="A200" s="1388" t="s">
        <v>1029</v>
      </c>
      <c r="B200" s="901" t="s">
        <v>462</v>
      </c>
      <c r="C200" s="871">
        <f t="shared" si="38"/>
        <v>16153.6</v>
      </c>
      <c r="D200" s="972">
        <f>13560+1620.2</f>
        <v>15180.2</v>
      </c>
      <c r="E200" s="972">
        <f>869.4+104</f>
        <v>973.4</v>
      </c>
      <c r="F200" s="1395">
        <f t="shared" si="39"/>
        <v>16153.6</v>
      </c>
      <c r="G200" s="1397">
        <f t="shared" si="31"/>
        <v>15180.2</v>
      </c>
      <c r="H200" s="1397">
        <f t="shared" si="31"/>
        <v>973.4</v>
      </c>
      <c r="I200" s="1395">
        <f t="shared" si="36"/>
        <v>1014.3</v>
      </c>
      <c r="J200" s="1396">
        <v>953.1</v>
      </c>
      <c r="K200" s="1396">
        <v>61.2</v>
      </c>
      <c r="L200" s="876">
        <f t="shared" si="37"/>
        <v>6.3</v>
      </c>
      <c r="M200" s="877">
        <f t="shared" si="37"/>
        <v>6.3</v>
      </c>
      <c r="N200" s="877">
        <f t="shared" si="37"/>
        <v>6.3</v>
      </c>
      <c r="O200" s="1214" t="s">
        <v>1192</v>
      </c>
      <c r="P200" s="1214" t="s">
        <v>1279</v>
      </c>
      <c r="Q200" s="1065">
        <f t="shared" si="40"/>
        <v>0</v>
      </c>
      <c r="R200" s="1065">
        <f t="shared" si="40"/>
        <v>0</v>
      </c>
      <c r="S200" s="1065">
        <f t="shared" si="40"/>
        <v>0</v>
      </c>
      <c r="T200" s="1099" t="s">
        <v>936</v>
      </c>
      <c r="U200" s="1100" t="s">
        <v>938</v>
      </c>
      <c r="V200" s="1099">
        <v>414</v>
      </c>
      <c r="W200" s="1099" t="s">
        <v>939</v>
      </c>
      <c r="Z200" s="1311">
        <f t="shared" si="28"/>
        <v>0</v>
      </c>
      <c r="AA200" s="1374">
        <f t="shared" si="29"/>
        <v>0</v>
      </c>
      <c r="AB200" s="1374">
        <f t="shared" si="30"/>
        <v>0</v>
      </c>
    </row>
    <row r="201" spans="1:30" s="515" customFormat="1" ht="60.75" customHeight="1">
      <c r="A201" s="2442" t="s">
        <v>1324</v>
      </c>
      <c r="B201" s="900" t="s">
        <v>700</v>
      </c>
      <c r="C201" s="871">
        <f t="shared" si="38"/>
        <v>18000</v>
      </c>
      <c r="D201" s="972">
        <v>0</v>
      </c>
      <c r="E201" s="972">
        <v>18000</v>
      </c>
      <c r="F201" s="1395">
        <f t="shared" si="39"/>
        <v>18000</v>
      </c>
      <c r="G201" s="1397">
        <f t="shared" si="31"/>
        <v>0</v>
      </c>
      <c r="H201" s="1397">
        <f t="shared" si="31"/>
        <v>18000</v>
      </c>
      <c r="I201" s="1395">
        <f t="shared" si="36"/>
        <v>0</v>
      </c>
      <c r="J201" s="1396">
        <v>0</v>
      </c>
      <c r="K201" s="1396">
        <v>0</v>
      </c>
      <c r="L201" s="876">
        <f t="shared" si="37"/>
        <v>0</v>
      </c>
      <c r="M201" s="877">
        <f t="shared" si="37"/>
        <v>0</v>
      </c>
      <c r="N201" s="877">
        <f t="shared" si="37"/>
        <v>0</v>
      </c>
      <c r="O201" s="1214" t="s">
        <v>1307</v>
      </c>
      <c r="P201" s="1214" t="s">
        <v>1280</v>
      </c>
      <c r="Q201" s="1065">
        <f t="shared" si="40"/>
        <v>0</v>
      </c>
      <c r="R201" s="1065">
        <f t="shared" si="40"/>
        <v>0</v>
      </c>
      <c r="S201" s="1065">
        <f t="shared" si="40"/>
        <v>0</v>
      </c>
      <c r="T201" s="1099" t="s">
        <v>949</v>
      </c>
      <c r="U201" s="1100" t="s">
        <v>950</v>
      </c>
      <c r="V201" s="1099">
        <v>414</v>
      </c>
      <c r="W201" s="1099">
        <v>14052</v>
      </c>
      <c r="X201" s="1220"/>
      <c r="Z201" s="1311">
        <f t="shared" si="28"/>
        <v>0</v>
      </c>
      <c r="AA201" s="1374">
        <f t="shared" si="29"/>
        <v>0</v>
      </c>
      <c r="AB201" s="1374">
        <f t="shared" si="30"/>
        <v>0</v>
      </c>
    </row>
    <row r="202" spans="1:30" s="515" customFormat="1" ht="52.5">
      <c r="A202" s="2442"/>
      <c r="B202" s="900" t="s">
        <v>699</v>
      </c>
      <c r="C202" s="871">
        <f t="shared" si="38"/>
        <v>151300</v>
      </c>
      <c r="D202" s="972">
        <v>142200</v>
      </c>
      <c r="E202" s="972">
        <v>9100</v>
      </c>
      <c r="F202" s="1395">
        <f t="shared" si="39"/>
        <v>151300</v>
      </c>
      <c r="G202" s="1397">
        <f t="shared" si="31"/>
        <v>142200</v>
      </c>
      <c r="H202" s="1397">
        <f t="shared" si="31"/>
        <v>9100</v>
      </c>
      <c r="I202" s="1395">
        <f t="shared" si="36"/>
        <v>0</v>
      </c>
      <c r="J202" s="1396">
        <v>0</v>
      </c>
      <c r="K202" s="1396">
        <v>0</v>
      </c>
      <c r="L202" s="876">
        <f t="shared" si="37"/>
        <v>0</v>
      </c>
      <c r="M202" s="877">
        <f t="shared" si="37"/>
        <v>0</v>
      </c>
      <c r="N202" s="877">
        <f t="shared" si="37"/>
        <v>0</v>
      </c>
      <c r="O202" s="1214" t="s">
        <v>1192</v>
      </c>
      <c r="P202" s="1214" t="s">
        <v>1219</v>
      </c>
      <c r="Q202" s="1065">
        <f t="shared" si="40"/>
        <v>0</v>
      </c>
      <c r="R202" s="1065">
        <f t="shared" si="40"/>
        <v>0</v>
      </c>
      <c r="S202" s="1065">
        <f t="shared" si="40"/>
        <v>0</v>
      </c>
      <c r="T202" s="1099" t="s">
        <v>949</v>
      </c>
      <c r="U202" s="1100" t="s">
        <v>952</v>
      </c>
      <c r="V202" s="1099">
        <v>414</v>
      </c>
      <c r="W202" s="1099" t="s">
        <v>953</v>
      </c>
      <c r="X202" s="1220"/>
      <c r="Z202" s="1311">
        <f t="shared" si="28"/>
        <v>0</v>
      </c>
      <c r="AA202" s="1374">
        <f t="shared" si="29"/>
        <v>0</v>
      </c>
      <c r="AB202" s="1374">
        <f t="shared" si="30"/>
        <v>0</v>
      </c>
    </row>
    <row r="203" spans="1:30" ht="67.5" customHeight="1">
      <c r="A203" s="1388" t="s">
        <v>1334</v>
      </c>
      <c r="B203" s="900" t="s">
        <v>461</v>
      </c>
      <c r="C203" s="871">
        <f t="shared" si="38"/>
        <v>29999.7</v>
      </c>
      <c r="D203" s="972">
        <f>25201.1+2998.27</f>
        <v>28199.4</v>
      </c>
      <c r="E203" s="972">
        <f>1608.9+191.41</f>
        <v>1800.3</v>
      </c>
      <c r="F203" s="1395">
        <f t="shared" si="39"/>
        <v>29999.7</v>
      </c>
      <c r="G203" s="1397">
        <f t="shared" si="31"/>
        <v>28199.4</v>
      </c>
      <c r="H203" s="1397">
        <f t="shared" si="31"/>
        <v>1800.3</v>
      </c>
      <c r="I203" s="1395">
        <f t="shared" si="36"/>
        <v>1401.6</v>
      </c>
      <c r="J203" s="1396">
        <v>1317.5</v>
      </c>
      <c r="K203" s="1396">
        <v>84.1</v>
      </c>
      <c r="L203" s="876">
        <f t="shared" si="37"/>
        <v>4.7</v>
      </c>
      <c r="M203" s="877">
        <f t="shared" si="37"/>
        <v>4.7</v>
      </c>
      <c r="N203" s="877">
        <f t="shared" si="37"/>
        <v>4.7</v>
      </c>
      <c r="O203" s="1213" t="s">
        <v>1192</v>
      </c>
      <c r="P203" s="1214" t="s">
        <v>1281</v>
      </c>
      <c r="Q203" s="1065">
        <f t="shared" si="40"/>
        <v>0</v>
      </c>
      <c r="R203" s="1065">
        <f t="shared" si="40"/>
        <v>0</v>
      </c>
      <c r="S203" s="1065">
        <f t="shared" si="40"/>
        <v>0</v>
      </c>
      <c r="T203" s="1099" t="s">
        <v>954</v>
      </c>
      <c r="U203" s="1100" t="s">
        <v>957</v>
      </c>
      <c r="V203" s="1099">
        <v>414</v>
      </c>
      <c r="W203" s="1099" t="s">
        <v>958</v>
      </c>
      <c r="Z203" s="1311">
        <f t="shared" si="28"/>
        <v>0</v>
      </c>
      <c r="AA203" s="1374">
        <f t="shared" si="29"/>
        <v>0</v>
      </c>
      <c r="AB203" s="1374">
        <f t="shared" si="30"/>
        <v>0</v>
      </c>
    </row>
    <row r="204" spans="1:30" s="914" customFormat="1" ht="69.75" customHeight="1">
      <c r="A204" s="2401" t="s">
        <v>456</v>
      </c>
      <c r="B204" s="2401"/>
      <c r="C204" s="917">
        <f t="shared" si="38"/>
        <v>1798416.4</v>
      </c>
      <c r="D204" s="917">
        <f>SUM(D205,D224)</f>
        <v>1509500</v>
      </c>
      <c r="E204" s="917">
        <f>SUM(E205,E224)</f>
        <v>288916.40000000002</v>
      </c>
      <c r="F204" s="917">
        <f t="shared" si="39"/>
        <v>1796524.1</v>
      </c>
      <c r="G204" s="917">
        <f>SUM(G205,G224)</f>
        <v>1507801.2</v>
      </c>
      <c r="H204" s="917">
        <f>SUM(H205,H224)</f>
        <v>288722.90000000002</v>
      </c>
      <c r="I204" s="917">
        <f t="shared" si="36"/>
        <v>507056</v>
      </c>
      <c r="J204" s="917">
        <f>SUM(J205,J224)</f>
        <v>452906.5</v>
      </c>
      <c r="K204" s="917">
        <f>SUM(K205,K224)</f>
        <v>54149.5</v>
      </c>
      <c r="L204" s="918">
        <f t="shared" si="37"/>
        <v>28.2</v>
      </c>
      <c r="M204" s="920">
        <f t="shared" si="37"/>
        <v>30</v>
      </c>
      <c r="N204" s="920">
        <f t="shared" si="37"/>
        <v>18.8</v>
      </c>
      <c r="O204" s="1282"/>
      <c r="P204" s="1281" t="s">
        <v>1103</v>
      </c>
      <c r="Q204" s="1065">
        <f t="shared" si="40"/>
        <v>1892.3</v>
      </c>
      <c r="R204" s="1065">
        <f>D204-G204</f>
        <v>1698.8</v>
      </c>
      <c r="S204" s="1065">
        <f>E204-H204</f>
        <v>193.5</v>
      </c>
      <c r="T204" s="1099"/>
      <c r="U204" s="1100"/>
      <c r="V204" s="1099"/>
      <c r="W204" s="1099"/>
      <c r="X204" s="1216"/>
      <c r="Z204" s="1311">
        <f t="shared" si="28"/>
        <v>1892.3</v>
      </c>
      <c r="AA204" s="1374">
        <f t="shared" si="29"/>
        <v>1892.3</v>
      </c>
      <c r="AB204" s="1374">
        <f t="shared" si="30"/>
        <v>193.5</v>
      </c>
      <c r="AC204" s="1378">
        <v>504989.3</v>
      </c>
      <c r="AD204" s="1378">
        <f>I204-AC204</f>
        <v>2066.6999999999998</v>
      </c>
    </row>
    <row r="205" spans="1:30" s="914" customFormat="1" ht="120.75" customHeight="1">
      <c r="A205" s="1280" t="s">
        <v>6</v>
      </c>
      <c r="B205" s="925" t="s">
        <v>439</v>
      </c>
      <c r="C205" s="926">
        <f t="shared" si="38"/>
        <v>115750</v>
      </c>
      <c r="D205" s="926">
        <f>SUM(D206,D218,D220,D222)</f>
        <v>0</v>
      </c>
      <c r="E205" s="926">
        <f>SUM(E206,E218,E220,E222)</f>
        <v>115750</v>
      </c>
      <c r="F205" s="926">
        <f>SUM(G205:H205)</f>
        <v>115750</v>
      </c>
      <c r="G205" s="926">
        <f>SUM(G206,G218,G220,G222)</f>
        <v>0</v>
      </c>
      <c r="H205" s="926">
        <f>SUM(H206,H218,H220,H222)</f>
        <v>115750</v>
      </c>
      <c r="I205" s="926">
        <f t="shared" si="36"/>
        <v>0</v>
      </c>
      <c r="J205" s="926">
        <f>SUM(J206,J218,J220,J222)</f>
        <v>0</v>
      </c>
      <c r="K205" s="926">
        <f>SUM(K206,K218,K220,K222)</f>
        <v>0</v>
      </c>
      <c r="L205" s="927">
        <f t="shared" si="37"/>
        <v>0</v>
      </c>
      <c r="M205" s="928">
        <f t="shared" si="37"/>
        <v>0</v>
      </c>
      <c r="N205" s="928">
        <f t="shared" si="37"/>
        <v>0</v>
      </c>
      <c r="O205" s="1282"/>
      <c r="P205" s="1281" t="s">
        <v>1104</v>
      </c>
      <c r="Q205" s="1065">
        <f t="shared" si="40"/>
        <v>0</v>
      </c>
      <c r="R205" s="1065">
        <f>D205-G205</f>
        <v>0</v>
      </c>
      <c r="S205" s="1065">
        <f>E205-H205</f>
        <v>0</v>
      </c>
      <c r="T205" s="1099"/>
      <c r="U205" s="1100"/>
      <c r="V205" s="1099"/>
      <c r="W205" s="1099"/>
      <c r="X205" s="1216"/>
      <c r="Z205" s="1311">
        <f t="shared" si="28"/>
        <v>0</v>
      </c>
      <c r="AA205" s="1374">
        <f t="shared" ref="AA205:AA257" si="41">C205-F205</f>
        <v>0</v>
      </c>
      <c r="AB205" s="1374">
        <f t="shared" si="30"/>
        <v>0</v>
      </c>
    </row>
    <row r="206" spans="1:30">
      <c r="A206" s="1388"/>
      <c r="B206" s="898" t="s">
        <v>283</v>
      </c>
      <c r="C206" s="1395">
        <f t="shared" si="38"/>
        <v>110906</v>
      </c>
      <c r="D206" s="875">
        <f>SUM(D207:D217)</f>
        <v>0</v>
      </c>
      <c r="E206" s="875">
        <f>SUM(E207:E217)</f>
        <v>110906</v>
      </c>
      <c r="F206" s="1395">
        <f>SUM(G206:H206)</f>
        <v>110906</v>
      </c>
      <c r="G206" s="875">
        <f>SUM(G207:G217)</f>
        <v>0</v>
      </c>
      <c r="H206" s="875">
        <f>SUM(H207:H217)</f>
        <v>110906</v>
      </c>
      <c r="I206" s="1395">
        <f t="shared" si="36"/>
        <v>0</v>
      </c>
      <c r="J206" s="875">
        <f>SUM(J207:J217)</f>
        <v>0</v>
      </c>
      <c r="K206" s="875">
        <f>SUM(K207:K217)</f>
        <v>0</v>
      </c>
      <c r="L206" s="876">
        <f t="shared" si="37"/>
        <v>0</v>
      </c>
      <c r="M206" s="877">
        <f t="shared" si="37"/>
        <v>0</v>
      </c>
      <c r="N206" s="877">
        <f t="shared" si="37"/>
        <v>0</v>
      </c>
      <c r="O206" s="1282"/>
      <c r="P206" s="1281" t="s">
        <v>1100</v>
      </c>
      <c r="Q206" s="1065">
        <f t="shared" si="40"/>
        <v>0</v>
      </c>
      <c r="R206" s="1065">
        <f t="shared" si="40"/>
        <v>0</v>
      </c>
      <c r="S206" s="1065">
        <f t="shared" si="40"/>
        <v>0</v>
      </c>
      <c r="Z206" s="1311">
        <f t="shared" si="28"/>
        <v>0</v>
      </c>
      <c r="AA206" s="1374">
        <f t="shared" si="41"/>
        <v>0</v>
      </c>
      <c r="AB206" s="1374">
        <f t="shared" si="30"/>
        <v>0</v>
      </c>
    </row>
    <row r="207" spans="1:30" ht="73.5" customHeight="1">
      <c r="A207" s="1388" t="s">
        <v>538</v>
      </c>
      <c r="B207" s="1390" t="s">
        <v>1080</v>
      </c>
      <c r="C207" s="1395">
        <f t="shared" si="38"/>
        <v>19450</v>
      </c>
      <c r="D207" s="1397">
        <v>0</v>
      </c>
      <c r="E207" s="1397">
        <v>19450</v>
      </c>
      <c r="F207" s="1395">
        <f t="shared" si="39"/>
        <v>19450</v>
      </c>
      <c r="G207" s="1397">
        <v>0</v>
      </c>
      <c r="H207" s="1397">
        <v>19450</v>
      </c>
      <c r="I207" s="1395">
        <f t="shared" si="36"/>
        <v>0</v>
      </c>
      <c r="J207" s="1396">
        <v>0</v>
      </c>
      <c r="K207" s="1396">
        <v>0</v>
      </c>
      <c r="L207" s="876">
        <f t="shared" si="37"/>
        <v>0</v>
      </c>
      <c r="M207" s="877">
        <f t="shared" si="37"/>
        <v>0</v>
      </c>
      <c r="N207" s="877">
        <f t="shared" si="37"/>
        <v>0</v>
      </c>
      <c r="O207" s="1282"/>
      <c r="P207" s="1281" t="s">
        <v>1105</v>
      </c>
      <c r="Q207" s="1065"/>
      <c r="R207" s="1065"/>
      <c r="S207" s="1065"/>
      <c r="T207" s="1099" t="s">
        <v>999</v>
      </c>
      <c r="U207" s="1100">
        <v>1110243180</v>
      </c>
      <c r="V207" s="1099">
        <v>522</v>
      </c>
      <c r="W207" s="1099" t="s">
        <v>1019</v>
      </c>
      <c r="Z207" s="1311">
        <f t="shared" ref="Z207:Z256" si="42">C207-F207</f>
        <v>0</v>
      </c>
      <c r="AA207" s="1374">
        <f t="shared" si="41"/>
        <v>0</v>
      </c>
      <c r="AB207" s="1374">
        <f t="shared" si="30"/>
        <v>0</v>
      </c>
    </row>
    <row r="208" spans="1:30" ht="78.75">
      <c r="A208" s="1388" t="s">
        <v>539</v>
      </c>
      <c r="B208" s="1390" t="s">
        <v>1081</v>
      </c>
      <c r="C208" s="1395">
        <f t="shared" si="38"/>
        <v>3235</v>
      </c>
      <c r="D208" s="1397">
        <v>0</v>
      </c>
      <c r="E208" s="1397">
        <v>3235</v>
      </c>
      <c r="F208" s="1395">
        <f t="shared" si="39"/>
        <v>3235</v>
      </c>
      <c r="G208" s="1397">
        <v>0</v>
      </c>
      <c r="H208" s="1397">
        <v>3235</v>
      </c>
      <c r="I208" s="1395">
        <f t="shared" si="36"/>
        <v>0</v>
      </c>
      <c r="J208" s="1396">
        <v>0</v>
      </c>
      <c r="K208" s="1396">
        <v>0</v>
      </c>
      <c r="L208" s="876">
        <f t="shared" si="37"/>
        <v>0</v>
      </c>
      <c r="M208" s="877">
        <f t="shared" si="37"/>
        <v>0</v>
      </c>
      <c r="N208" s="877">
        <f t="shared" si="37"/>
        <v>0</v>
      </c>
      <c r="O208" s="1282"/>
      <c r="Q208" s="1065"/>
      <c r="R208" s="1065"/>
      <c r="S208" s="1065"/>
      <c r="T208" s="1099" t="s">
        <v>999</v>
      </c>
      <c r="U208" s="1100">
        <v>1110243180</v>
      </c>
      <c r="V208" s="1099">
        <v>522</v>
      </c>
      <c r="W208" s="1099" t="s">
        <v>1019</v>
      </c>
      <c r="Z208" s="1311">
        <f t="shared" si="42"/>
        <v>0</v>
      </c>
      <c r="AA208" s="1374">
        <f t="shared" si="41"/>
        <v>0</v>
      </c>
      <c r="AB208" s="1374">
        <f t="shared" si="30"/>
        <v>0</v>
      </c>
    </row>
    <row r="209" spans="1:28" ht="61.5" customHeight="1">
      <c r="A209" s="1388" t="s">
        <v>19</v>
      </c>
      <c r="B209" s="1390" t="s">
        <v>1082</v>
      </c>
      <c r="C209" s="1395">
        <f t="shared" si="38"/>
        <v>4116</v>
      </c>
      <c r="D209" s="1397">
        <v>0</v>
      </c>
      <c r="E209" s="1397">
        <v>4116</v>
      </c>
      <c r="F209" s="1395">
        <f t="shared" si="39"/>
        <v>4116</v>
      </c>
      <c r="G209" s="1397">
        <v>0</v>
      </c>
      <c r="H209" s="1397">
        <v>4116</v>
      </c>
      <c r="I209" s="1395">
        <f t="shared" si="36"/>
        <v>0</v>
      </c>
      <c r="J209" s="1396">
        <v>0</v>
      </c>
      <c r="K209" s="1396">
        <v>0</v>
      </c>
      <c r="L209" s="876">
        <f t="shared" si="37"/>
        <v>0</v>
      </c>
      <c r="M209" s="877">
        <f t="shared" si="37"/>
        <v>0</v>
      </c>
      <c r="N209" s="877">
        <f t="shared" si="37"/>
        <v>0</v>
      </c>
      <c r="O209" s="1282"/>
      <c r="Q209" s="1065"/>
      <c r="R209" s="1065"/>
      <c r="S209" s="1065"/>
      <c r="T209" s="1099" t="s">
        <v>999</v>
      </c>
      <c r="U209" s="1100">
        <v>1110243180</v>
      </c>
      <c r="V209" s="1099">
        <v>522</v>
      </c>
      <c r="W209" s="1099" t="s">
        <v>1019</v>
      </c>
      <c r="Z209" s="1311">
        <f t="shared" si="42"/>
        <v>0</v>
      </c>
      <c r="AA209" s="1374">
        <f t="shared" si="41"/>
        <v>0</v>
      </c>
      <c r="AB209" s="1374">
        <f t="shared" ref="AB209:AB242" si="43">E209-H209</f>
        <v>0</v>
      </c>
    </row>
    <row r="210" spans="1:28" ht="87.75" customHeight="1">
      <c r="A210" s="1388" t="s">
        <v>20</v>
      </c>
      <c r="B210" s="1390" t="s">
        <v>1083</v>
      </c>
      <c r="C210" s="1395">
        <f t="shared" si="38"/>
        <v>10687</v>
      </c>
      <c r="D210" s="1397">
        <v>0</v>
      </c>
      <c r="E210" s="1397">
        <v>10687</v>
      </c>
      <c r="F210" s="1395">
        <f t="shared" si="39"/>
        <v>10687</v>
      </c>
      <c r="G210" s="1397">
        <v>0</v>
      </c>
      <c r="H210" s="1397">
        <v>10687</v>
      </c>
      <c r="I210" s="1395">
        <f t="shared" si="36"/>
        <v>0</v>
      </c>
      <c r="J210" s="1396">
        <v>0</v>
      </c>
      <c r="K210" s="1396">
        <v>0</v>
      </c>
      <c r="L210" s="876">
        <f t="shared" si="37"/>
        <v>0</v>
      </c>
      <c r="M210" s="877">
        <f t="shared" si="37"/>
        <v>0</v>
      </c>
      <c r="N210" s="877">
        <f t="shared" si="37"/>
        <v>0</v>
      </c>
      <c r="O210" s="1282"/>
      <c r="Q210" s="1065"/>
      <c r="R210" s="1065"/>
      <c r="S210" s="1065"/>
      <c r="T210" s="1099" t="s">
        <v>999</v>
      </c>
      <c r="U210" s="1100">
        <v>1110243180</v>
      </c>
      <c r="V210" s="1099">
        <v>522</v>
      </c>
      <c r="W210" s="1099" t="s">
        <v>1019</v>
      </c>
      <c r="Z210" s="1311">
        <f t="shared" si="42"/>
        <v>0</v>
      </c>
      <c r="AA210" s="1374">
        <f t="shared" si="41"/>
        <v>0</v>
      </c>
      <c r="AB210" s="1374">
        <f t="shared" si="43"/>
        <v>0</v>
      </c>
    </row>
    <row r="211" spans="1:28" ht="95.25" customHeight="1">
      <c r="A211" s="1388" t="s">
        <v>467</v>
      </c>
      <c r="B211" s="1390" t="s">
        <v>1084</v>
      </c>
      <c r="C211" s="1395">
        <f t="shared" si="38"/>
        <v>3822</v>
      </c>
      <c r="D211" s="1397">
        <v>0</v>
      </c>
      <c r="E211" s="1397">
        <v>3822</v>
      </c>
      <c r="F211" s="1395">
        <f t="shared" si="39"/>
        <v>3822</v>
      </c>
      <c r="G211" s="1397">
        <v>0</v>
      </c>
      <c r="H211" s="1397">
        <v>3822</v>
      </c>
      <c r="I211" s="1395">
        <f t="shared" si="36"/>
        <v>0</v>
      </c>
      <c r="J211" s="1396">
        <v>0</v>
      </c>
      <c r="K211" s="1396">
        <v>0</v>
      </c>
      <c r="L211" s="876">
        <f t="shared" si="37"/>
        <v>0</v>
      </c>
      <c r="M211" s="877">
        <f t="shared" si="37"/>
        <v>0</v>
      </c>
      <c r="N211" s="877">
        <f t="shared" si="37"/>
        <v>0</v>
      </c>
      <c r="O211" s="1282"/>
      <c r="Q211" s="1065"/>
      <c r="R211" s="1065"/>
      <c r="S211" s="1065"/>
      <c r="T211" s="1099" t="s">
        <v>999</v>
      </c>
      <c r="U211" s="1100">
        <v>1110243180</v>
      </c>
      <c r="V211" s="1099">
        <v>522</v>
      </c>
      <c r="W211" s="1099" t="s">
        <v>1019</v>
      </c>
      <c r="Z211" s="1311">
        <f t="shared" si="42"/>
        <v>0</v>
      </c>
      <c r="AA211" s="1374">
        <f t="shared" si="41"/>
        <v>0</v>
      </c>
      <c r="AB211" s="1374">
        <f t="shared" si="43"/>
        <v>0</v>
      </c>
    </row>
    <row r="212" spans="1:28" ht="78.75">
      <c r="A212" s="1388" t="s">
        <v>468</v>
      </c>
      <c r="B212" s="1390" t="s">
        <v>1085</v>
      </c>
      <c r="C212" s="1395">
        <f t="shared" si="38"/>
        <v>1176</v>
      </c>
      <c r="D212" s="1397">
        <v>0</v>
      </c>
      <c r="E212" s="1397">
        <v>1176</v>
      </c>
      <c r="F212" s="1395">
        <f t="shared" si="39"/>
        <v>1176</v>
      </c>
      <c r="G212" s="1397">
        <v>0</v>
      </c>
      <c r="H212" s="1397">
        <v>1176</v>
      </c>
      <c r="I212" s="1395">
        <f t="shared" si="36"/>
        <v>0</v>
      </c>
      <c r="J212" s="1396">
        <v>0</v>
      </c>
      <c r="K212" s="1396">
        <v>0</v>
      </c>
      <c r="L212" s="876">
        <f t="shared" si="37"/>
        <v>0</v>
      </c>
      <c r="M212" s="877">
        <f t="shared" si="37"/>
        <v>0</v>
      </c>
      <c r="N212" s="877">
        <f t="shared" si="37"/>
        <v>0</v>
      </c>
      <c r="O212" s="1282"/>
      <c r="Q212" s="1065"/>
      <c r="R212" s="1065"/>
      <c r="S212" s="1065"/>
      <c r="T212" s="1099" t="s">
        <v>999</v>
      </c>
      <c r="U212" s="1100">
        <v>1110243180</v>
      </c>
      <c r="V212" s="1099">
        <v>522</v>
      </c>
      <c r="W212" s="1099" t="s">
        <v>1019</v>
      </c>
      <c r="Z212" s="1311">
        <f t="shared" si="42"/>
        <v>0</v>
      </c>
      <c r="AA212" s="1374">
        <f t="shared" si="41"/>
        <v>0</v>
      </c>
      <c r="AB212" s="1374">
        <f t="shared" si="43"/>
        <v>0</v>
      </c>
    </row>
    <row r="213" spans="1:28" ht="89.25" customHeight="1">
      <c r="A213" s="1388" t="s">
        <v>685</v>
      </c>
      <c r="B213" s="1390" t="s">
        <v>1086</v>
      </c>
      <c r="C213" s="1395">
        <f t="shared" si="38"/>
        <v>17670</v>
      </c>
      <c r="D213" s="1397">
        <v>0</v>
      </c>
      <c r="E213" s="1397">
        <v>17670</v>
      </c>
      <c r="F213" s="1395">
        <f t="shared" si="39"/>
        <v>17670</v>
      </c>
      <c r="G213" s="1397">
        <v>0</v>
      </c>
      <c r="H213" s="1397">
        <v>17670</v>
      </c>
      <c r="I213" s="1395">
        <f t="shared" si="36"/>
        <v>0</v>
      </c>
      <c r="J213" s="1396">
        <v>0</v>
      </c>
      <c r="K213" s="1396">
        <v>0</v>
      </c>
      <c r="L213" s="876">
        <f t="shared" si="37"/>
        <v>0</v>
      </c>
      <c r="M213" s="877">
        <f t="shared" si="37"/>
        <v>0</v>
      </c>
      <c r="N213" s="877">
        <f t="shared" si="37"/>
        <v>0</v>
      </c>
      <c r="O213" s="1282"/>
      <c r="Q213" s="1065"/>
      <c r="R213" s="1065"/>
      <c r="S213" s="1065"/>
      <c r="T213" s="1099" t="s">
        <v>999</v>
      </c>
      <c r="U213" s="1100">
        <v>1110243180</v>
      </c>
      <c r="V213" s="1099">
        <v>522</v>
      </c>
      <c r="W213" s="1099" t="s">
        <v>1019</v>
      </c>
      <c r="Z213" s="1311">
        <f t="shared" si="42"/>
        <v>0</v>
      </c>
      <c r="AA213" s="1374">
        <f t="shared" si="41"/>
        <v>0</v>
      </c>
      <c r="AB213" s="1374">
        <f t="shared" si="43"/>
        <v>0</v>
      </c>
    </row>
    <row r="214" spans="1:28" ht="115.5" customHeight="1">
      <c r="A214" s="1388" t="s">
        <v>687</v>
      </c>
      <c r="B214" s="1390" t="s">
        <v>1087</v>
      </c>
      <c r="C214" s="1395">
        <f t="shared" si="38"/>
        <v>19800</v>
      </c>
      <c r="D214" s="1397">
        <v>0</v>
      </c>
      <c r="E214" s="1397">
        <v>19800</v>
      </c>
      <c r="F214" s="1395">
        <f t="shared" si="39"/>
        <v>19800</v>
      </c>
      <c r="G214" s="1397">
        <v>0</v>
      </c>
      <c r="H214" s="1397">
        <v>19800</v>
      </c>
      <c r="I214" s="1395">
        <f t="shared" si="36"/>
        <v>0</v>
      </c>
      <c r="J214" s="1396">
        <v>0</v>
      </c>
      <c r="K214" s="1396">
        <v>0</v>
      </c>
      <c r="L214" s="876">
        <f t="shared" si="37"/>
        <v>0</v>
      </c>
      <c r="M214" s="877">
        <f t="shared" si="37"/>
        <v>0</v>
      </c>
      <c r="N214" s="877">
        <f t="shared" si="37"/>
        <v>0</v>
      </c>
      <c r="O214" s="1282"/>
      <c r="Q214" s="1065"/>
      <c r="R214" s="1065"/>
      <c r="S214" s="1065"/>
      <c r="T214" s="1099" t="s">
        <v>999</v>
      </c>
      <c r="U214" s="1100">
        <v>1110243180</v>
      </c>
      <c r="V214" s="1099">
        <v>522</v>
      </c>
      <c r="W214" s="1099" t="s">
        <v>1019</v>
      </c>
      <c r="Z214" s="1311">
        <f t="shared" si="42"/>
        <v>0</v>
      </c>
      <c r="AA214" s="1374">
        <f t="shared" si="41"/>
        <v>0</v>
      </c>
      <c r="AB214" s="1374">
        <f t="shared" si="43"/>
        <v>0</v>
      </c>
    </row>
    <row r="215" spans="1:28" ht="89.25" customHeight="1">
      <c r="A215" s="1388" t="s">
        <v>686</v>
      </c>
      <c r="B215" s="1390" t="s">
        <v>1089</v>
      </c>
      <c r="C215" s="1395">
        <f t="shared" si="38"/>
        <v>7650</v>
      </c>
      <c r="D215" s="1397">
        <v>0</v>
      </c>
      <c r="E215" s="1397">
        <v>7650</v>
      </c>
      <c r="F215" s="1395">
        <f t="shared" si="39"/>
        <v>7650</v>
      </c>
      <c r="G215" s="1397">
        <v>0</v>
      </c>
      <c r="H215" s="1397">
        <v>7650</v>
      </c>
      <c r="I215" s="1395">
        <f t="shared" si="36"/>
        <v>0</v>
      </c>
      <c r="J215" s="1396">
        <v>0</v>
      </c>
      <c r="K215" s="1396">
        <v>0</v>
      </c>
      <c r="L215" s="876">
        <f t="shared" si="37"/>
        <v>0</v>
      </c>
      <c r="M215" s="877">
        <f t="shared" si="37"/>
        <v>0</v>
      </c>
      <c r="N215" s="877">
        <f t="shared" si="37"/>
        <v>0</v>
      </c>
      <c r="O215" s="1282"/>
      <c r="Q215" s="1065"/>
      <c r="R215" s="1065"/>
      <c r="S215" s="1065"/>
      <c r="T215" s="1099" t="s">
        <v>999</v>
      </c>
      <c r="U215" s="1100">
        <v>1110243180</v>
      </c>
      <c r="V215" s="1099">
        <v>522</v>
      </c>
      <c r="W215" s="1099" t="s">
        <v>1019</v>
      </c>
      <c r="Z215" s="1311">
        <f t="shared" si="42"/>
        <v>0</v>
      </c>
      <c r="AA215" s="1374">
        <f t="shared" si="41"/>
        <v>0</v>
      </c>
      <c r="AB215" s="1374">
        <f t="shared" si="43"/>
        <v>0</v>
      </c>
    </row>
    <row r="216" spans="1:28" ht="87.75" customHeight="1">
      <c r="A216" s="1388" t="s">
        <v>688</v>
      </c>
      <c r="B216" s="1390" t="s">
        <v>1090</v>
      </c>
      <c r="C216" s="1395">
        <f t="shared" si="38"/>
        <v>3500</v>
      </c>
      <c r="D216" s="1397">
        <v>0</v>
      </c>
      <c r="E216" s="1397">
        <v>3500</v>
      </c>
      <c r="F216" s="1395">
        <f t="shared" si="39"/>
        <v>3500</v>
      </c>
      <c r="G216" s="1397">
        <v>0</v>
      </c>
      <c r="H216" s="1397">
        <v>3500</v>
      </c>
      <c r="I216" s="1395">
        <f t="shared" si="36"/>
        <v>0</v>
      </c>
      <c r="J216" s="1396">
        <v>0</v>
      </c>
      <c r="K216" s="1396">
        <v>0</v>
      </c>
      <c r="L216" s="876">
        <f t="shared" si="37"/>
        <v>0</v>
      </c>
      <c r="M216" s="877">
        <f t="shared" si="37"/>
        <v>0</v>
      </c>
      <c r="N216" s="877">
        <f t="shared" si="37"/>
        <v>0</v>
      </c>
      <c r="O216" s="1282"/>
      <c r="Q216" s="1065"/>
      <c r="R216" s="1065"/>
      <c r="S216" s="1065"/>
      <c r="T216" s="1099" t="s">
        <v>999</v>
      </c>
      <c r="U216" s="1100">
        <v>1110243180</v>
      </c>
      <c r="V216" s="1099">
        <v>522</v>
      </c>
      <c r="W216" s="1099" t="s">
        <v>1019</v>
      </c>
      <c r="Z216" s="1311">
        <f t="shared" si="42"/>
        <v>0</v>
      </c>
      <c r="AA216" s="1374">
        <f t="shared" si="41"/>
        <v>0</v>
      </c>
      <c r="AB216" s="1374">
        <f t="shared" si="43"/>
        <v>0</v>
      </c>
    </row>
    <row r="217" spans="1:28" ht="81.75" customHeight="1">
      <c r="A217" s="1388" t="s">
        <v>98</v>
      </c>
      <c r="B217" s="1390" t="s">
        <v>1090</v>
      </c>
      <c r="C217" s="1395">
        <f t="shared" si="38"/>
        <v>19800</v>
      </c>
      <c r="D217" s="1397">
        <v>0</v>
      </c>
      <c r="E217" s="1397">
        <v>19800</v>
      </c>
      <c r="F217" s="1395">
        <f t="shared" si="39"/>
        <v>19800</v>
      </c>
      <c r="G217" s="1397">
        <v>0</v>
      </c>
      <c r="H217" s="1397">
        <v>19800</v>
      </c>
      <c r="I217" s="1395">
        <f t="shared" si="36"/>
        <v>0</v>
      </c>
      <c r="J217" s="1396">
        <v>0</v>
      </c>
      <c r="K217" s="1396">
        <v>0</v>
      </c>
      <c r="L217" s="876">
        <f t="shared" si="37"/>
        <v>0</v>
      </c>
      <c r="M217" s="877">
        <f t="shared" si="37"/>
        <v>0</v>
      </c>
      <c r="N217" s="877">
        <f t="shared" si="37"/>
        <v>0</v>
      </c>
      <c r="O217" s="1282"/>
      <c r="Q217" s="1065"/>
      <c r="R217" s="1065"/>
      <c r="S217" s="1065"/>
      <c r="T217" s="1099" t="s">
        <v>999</v>
      </c>
      <c r="U217" s="1100">
        <v>1110243180</v>
      </c>
      <c r="V217" s="1099">
        <v>522</v>
      </c>
      <c r="W217" s="1099" t="s">
        <v>1019</v>
      </c>
      <c r="Z217" s="1311">
        <f t="shared" si="42"/>
        <v>0</v>
      </c>
      <c r="AA217" s="1374">
        <f t="shared" si="41"/>
        <v>0</v>
      </c>
      <c r="AB217" s="1374">
        <f t="shared" si="43"/>
        <v>0</v>
      </c>
    </row>
    <row r="218" spans="1:28">
      <c r="A218" s="1388"/>
      <c r="B218" s="898" t="s">
        <v>457</v>
      </c>
      <c r="C218" s="1395">
        <f t="shared" si="38"/>
        <v>1325</v>
      </c>
      <c r="D218" s="875">
        <f>SUM(D219)</f>
        <v>0</v>
      </c>
      <c r="E218" s="875">
        <f>SUM(E219)</f>
        <v>1325</v>
      </c>
      <c r="F218" s="1395">
        <f t="shared" si="39"/>
        <v>1325</v>
      </c>
      <c r="G218" s="875">
        <f>SUM(G219)</f>
        <v>0</v>
      </c>
      <c r="H218" s="875">
        <f>SUM(H219)</f>
        <v>1325</v>
      </c>
      <c r="I218" s="1395">
        <f t="shared" si="36"/>
        <v>0</v>
      </c>
      <c r="J218" s="875">
        <f>SUM(J219)</f>
        <v>0</v>
      </c>
      <c r="K218" s="875">
        <f>SUM(K219)</f>
        <v>0</v>
      </c>
      <c r="L218" s="1398">
        <f t="shared" si="37"/>
        <v>0</v>
      </c>
      <c r="M218" s="875">
        <f t="shared" si="37"/>
        <v>0</v>
      </c>
      <c r="N218" s="875">
        <f t="shared" si="37"/>
        <v>0</v>
      </c>
      <c r="O218" s="1282"/>
      <c r="Q218" s="1065">
        <f t="shared" ref="Q218:S222" si="44">C218-F218</f>
        <v>0</v>
      </c>
      <c r="R218" s="1065">
        <f t="shared" si="44"/>
        <v>0</v>
      </c>
      <c r="S218" s="1065">
        <f t="shared" si="44"/>
        <v>0</v>
      </c>
      <c r="Z218" s="1311">
        <f t="shared" si="42"/>
        <v>0</v>
      </c>
      <c r="AA218" s="1374">
        <f t="shared" si="41"/>
        <v>0</v>
      </c>
      <c r="AB218" s="1374">
        <f t="shared" si="43"/>
        <v>0</v>
      </c>
    </row>
    <row r="219" spans="1:28" ht="108" customHeight="1">
      <c r="A219" s="1388" t="s">
        <v>99</v>
      </c>
      <c r="B219" s="1390" t="s">
        <v>1093</v>
      </c>
      <c r="C219" s="1395">
        <f t="shared" si="38"/>
        <v>1325</v>
      </c>
      <c r="D219" s="879">
        <v>0</v>
      </c>
      <c r="E219" s="879">
        <v>1325</v>
      </c>
      <c r="F219" s="1395">
        <f t="shared" si="39"/>
        <v>1325</v>
      </c>
      <c r="G219" s="879">
        <v>0</v>
      </c>
      <c r="H219" s="879">
        <v>1325</v>
      </c>
      <c r="I219" s="1395">
        <f t="shared" si="36"/>
        <v>0</v>
      </c>
      <c r="J219" s="1396">
        <v>0</v>
      </c>
      <c r="K219" s="1396">
        <v>0</v>
      </c>
      <c r="L219" s="876">
        <f t="shared" si="37"/>
        <v>0</v>
      </c>
      <c r="M219" s="877">
        <f t="shared" si="37"/>
        <v>0</v>
      </c>
      <c r="N219" s="877">
        <f t="shared" si="37"/>
        <v>0</v>
      </c>
      <c r="O219" s="1282"/>
      <c r="Q219" s="1065">
        <f t="shared" si="44"/>
        <v>0</v>
      </c>
      <c r="R219" s="1065">
        <f t="shared" si="44"/>
        <v>0</v>
      </c>
      <c r="S219" s="1065">
        <f t="shared" si="44"/>
        <v>0</v>
      </c>
      <c r="T219" s="1099" t="s">
        <v>999</v>
      </c>
      <c r="U219" s="1100">
        <v>1110243180</v>
      </c>
      <c r="V219" s="1099">
        <v>522</v>
      </c>
      <c r="W219" s="1099" t="s">
        <v>1019</v>
      </c>
      <c r="Z219" s="1311">
        <f t="shared" si="42"/>
        <v>0</v>
      </c>
      <c r="AA219" s="1374">
        <f t="shared" si="41"/>
        <v>0</v>
      </c>
      <c r="AB219" s="1374">
        <f t="shared" si="43"/>
        <v>0</v>
      </c>
    </row>
    <row r="220" spans="1:28">
      <c r="A220" s="991"/>
      <c r="B220" s="898" t="s">
        <v>68</v>
      </c>
      <c r="C220" s="1395">
        <f t="shared" si="38"/>
        <v>671</v>
      </c>
      <c r="D220" s="875">
        <f>SUM(D221)</f>
        <v>0</v>
      </c>
      <c r="E220" s="875">
        <f>SUM(E221)</f>
        <v>671</v>
      </c>
      <c r="F220" s="1395">
        <f t="shared" si="39"/>
        <v>671</v>
      </c>
      <c r="G220" s="875">
        <f>SUM(G221)</f>
        <v>0</v>
      </c>
      <c r="H220" s="875">
        <f>SUM(H221)</f>
        <v>671</v>
      </c>
      <c r="I220" s="1395">
        <f t="shared" si="36"/>
        <v>0</v>
      </c>
      <c r="J220" s="875">
        <f>SUM(J221)</f>
        <v>0</v>
      </c>
      <c r="K220" s="875">
        <f>SUM(K221)</f>
        <v>0</v>
      </c>
      <c r="L220" s="876">
        <f t="shared" si="37"/>
        <v>0</v>
      </c>
      <c r="M220" s="877">
        <f t="shared" si="37"/>
        <v>0</v>
      </c>
      <c r="N220" s="877">
        <f t="shared" si="37"/>
        <v>0</v>
      </c>
      <c r="O220" s="1282"/>
      <c r="Q220" s="1065">
        <f t="shared" si="44"/>
        <v>0</v>
      </c>
      <c r="R220" s="1065">
        <f t="shared" si="44"/>
        <v>0</v>
      </c>
      <c r="S220" s="1065">
        <f t="shared" si="44"/>
        <v>0</v>
      </c>
      <c r="Z220" s="1311">
        <f t="shared" si="42"/>
        <v>0</v>
      </c>
      <c r="AA220" s="1374">
        <f t="shared" si="41"/>
        <v>0</v>
      </c>
      <c r="AB220" s="1374">
        <f t="shared" si="43"/>
        <v>0</v>
      </c>
    </row>
    <row r="221" spans="1:28" ht="147" customHeight="1">
      <c r="A221" s="1388" t="s">
        <v>100</v>
      </c>
      <c r="B221" s="1390" t="s">
        <v>1091</v>
      </c>
      <c r="C221" s="1395">
        <f t="shared" si="38"/>
        <v>671</v>
      </c>
      <c r="D221" s="1397">
        <v>0</v>
      </c>
      <c r="E221" s="1397">
        <v>671</v>
      </c>
      <c r="F221" s="1395">
        <f t="shared" si="39"/>
        <v>671</v>
      </c>
      <c r="G221" s="1397">
        <v>0</v>
      </c>
      <c r="H221" s="1397">
        <v>671</v>
      </c>
      <c r="I221" s="1395">
        <f t="shared" si="36"/>
        <v>0</v>
      </c>
      <c r="J221" s="1396">
        <v>0</v>
      </c>
      <c r="K221" s="1396">
        <v>0</v>
      </c>
      <c r="L221" s="876">
        <f t="shared" si="37"/>
        <v>0</v>
      </c>
      <c r="M221" s="877">
        <f t="shared" si="37"/>
        <v>0</v>
      </c>
      <c r="N221" s="877">
        <f t="shared" si="37"/>
        <v>0</v>
      </c>
      <c r="O221" s="1282"/>
      <c r="Q221" s="1065">
        <f t="shared" si="44"/>
        <v>0</v>
      </c>
      <c r="R221" s="1065">
        <f t="shared" si="44"/>
        <v>0</v>
      </c>
      <c r="S221" s="1065">
        <f t="shared" si="44"/>
        <v>0</v>
      </c>
      <c r="T221" s="1099" t="s">
        <v>999</v>
      </c>
      <c r="U221" s="1100">
        <v>1110243180</v>
      </c>
      <c r="V221" s="1099">
        <v>522</v>
      </c>
      <c r="W221" s="1099" t="s">
        <v>1019</v>
      </c>
      <c r="Z221" s="1311">
        <f t="shared" si="42"/>
        <v>0</v>
      </c>
      <c r="AA221" s="1374">
        <f t="shared" si="41"/>
        <v>0</v>
      </c>
      <c r="AB221" s="1374">
        <f t="shared" si="43"/>
        <v>0</v>
      </c>
    </row>
    <row r="222" spans="1:28" ht="39" customHeight="1">
      <c r="A222" s="1388"/>
      <c r="B222" s="898" t="s">
        <v>431</v>
      </c>
      <c r="C222" s="1395">
        <f t="shared" si="38"/>
        <v>2848</v>
      </c>
      <c r="D222" s="875">
        <f>SUM(D223)</f>
        <v>0</v>
      </c>
      <c r="E222" s="875">
        <f>SUM(E223)</f>
        <v>2848</v>
      </c>
      <c r="F222" s="1395">
        <f t="shared" si="39"/>
        <v>2848</v>
      </c>
      <c r="G222" s="875">
        <f>SUM(G223)</f>
        <v>0</v>
      </c>
      <c r="H222" s="875">
        <f>SUM(H223)</f>
        <v>2848</v>
      </c>
      <c r="I222" s="1395">
        <f t="shared" si="36"/>
        <v>0</v>
      </c>
      <c r="J222" s="875">
        <f>SUM(J223)</f>
        <v>0</v>
      </c>
      <c r="K222" s="875">
        <f>SUM(K223)</f>
        <v>0</v>
      </c>
      <c r="L222" s="876">
        <f t="shared" si="37"/>
        <v>0</v>
      </c>
      <c r="M222" s="877">
        <f t="shared" si="37"/>
        <v>0</v>
      </c>
      <c r="N222" s="877">
        <f t="shared" si="37"/>
        <v>0</v>
      </c>
      <c r="O222" s="1282"/>
      <c r="Q222" s="1065">
        <f t="shared" si="44"/>
        <v>0</v>
      </c>
      <c r="R222" s="1065">
        <f t="shared" si="44"/>
        <v>0</v>
      </c>
      <c r="S222" s="1065">
        <f t="shared" si="44"/>
        <v>0</v>
      </c>
      <c r="Z222" s="1311">
        <f t="shared" si="42"/>
        <v>0</v>
      </c>
      <c r="AA222" s="1374">
        <f t="shared" si="41"/>
        <v>0</v>
      </c>
      <c r="AB222" s="1374">
        <f t="shared" si="43"/>
        <v>0</v>
      </c>
    </row>
    <row r="223" spans="1:28" ht="130.5" customHeight="1">
      <c r="A223" s="1388" t="s">
        <v>101</v>
      </c>
      <c r="B223" s="1390" t="s">
        <v>1092</v>
      </c>
      <c r="C223" s="1395">
        <f t="shared" si="38"/>
        <v>2848</v>
      </c>
      <c r="D223" s="1397">
        <v>0</v>
      </c>
      <c r="E223" s="1397">
        <v>2848</v>
      </c>
      <c r="F223" s="1395">
        <f t="shared" si="39"/>
        <v>2848</v>
      </c>
      <c r="G223" s="1397">
        <v>0</v>
      </c>
      <c r="H223" s="1397">
        <f>E223</f>
        <v>2848</v>
      </c>
      <c r="I223" s="1395">
        <f t="shared" si="36"/>
        <v>0</v>
      </c>
      <c r="J223" s="1396">
        <v>0</v>
      </c>
      <c r="K223" s="1396">
        <v>0</v>
      </c>
      <c r="L223" s="876">
        <f t="shared" si="37"/>
        <v>0</v>
      </c>
      <c r="M223" s="877">
        <f t="shared" si="37"/>
        <v>0</v>
      </c>
      <c r="N223" s="877">
        <f t="shared" si="37"/>
        <v>0</v>
      </c>
      <c r="O223" s="1282"/>
      <c r="Q223" s="1065"/>
      <c r="R223" s="1065"/>
      <c r="S223" s="1065"/>
      <c r="T223" s="1099" t="s">
        <v>999</v>
      </c>
      <c r="U223" s="1100">
        <v>1110243180</v>
      </c>
      <c r="V223" s="1099">
        <v>522</v>
      </c>
      <c r="W223" s="1099" t="s">
        <v>1019</v>
      </c>
      <c r="Z223" s="1311">
        <f t="shared" si="42"/>
        <v>0</v>
      </c>
      <c r="AA223" s="1374">
        <f t="shared" si="41"/>
        <v>0</v>
      </c>
      <c r="AB223" s="1374">
        <f t="shared" si="43"/>
        <v>0</v>
      </c>
    </row>
    <row r="224" spans="1:28" s="914" customFormat="1" ht="87.75" customHeight="1">
      <c r="A224" s="1304" t="s">
        <v>2</v>
      </c>
      <c r="B224" s="925" t="s">
        <v>222</v>
      </c>
      <c r="C224" s="926">
        <f>SUM(D224:E224)</f>
        <v>1682666.4</v>
      </c>
      <c r="D224" s="926">
        <f>SUM(D225,D244)</f>
        <v>1509500</v>
      </c>
      <c r="E224" s="926">
        <f>SUM(E225,E244)</f>
        <v>173166.4</v>
      </c>
      <c r="F224" s="926">
        <f t="shared" si="39"/>
        <v>1680774.1</v>
      </c>
      <c r="G224" s="926">
        <f>SUM(G225,G244)</f>
        <v>1507801.2</v>
      </c>
      <c r="H224" s="926">
        <f>SUM(H225,H244)</f>
        <v>172972.9</v>
      </c>
      <c r="I224" s="926">
        <f t="shared" si="36"/>
        <v>507056</v>
      </c>
      <c r="J224" s="926">
        <f>SUM(J225,J244)</f>
        <v>452906.5</v>
      </c>
      <c r="K224" s="926">
        <f>SUM(K225,K244)</f>
        <v>54149.5</v>
      </c>
      <c r="L224" s="927">
        <f t="shared" si="37"/>
        <v>30.2</v>
      </c>
      <c r="M224" s="928">
        <f t="shared" si="37"/>
        <v>30</v>
      </c>
      <c r="N224" s="928">
        <f t="shared" si="37"/>
        <v>31.3</v>
      </c>
      <c r="O224" s="1282"/>
      <c r="P224" s="1208"/>
      <c r="Q224" s="1065">
        <f t="shared" ref="Q224:S257" si="45">C224-F224</f>
        <v>1892.3</v>
      </c>
      <c r="R224" s="1065">
        <f t="shared" si="45"/>
        <v>1698.8</v>
      </c>
      <c r="S224" s="1065">
        <f t="shared" si="45"/>
        <v>193.5</v>
      </c>
      <c r="T224" s="1099"/>
      <c r="U224" s="1100"/>
      <c r="V224" s="1099"/>
      <c r="W224" s="1099"/>
      <c r="X224" s="1216"/>
      <c r="Z224" s="1311">
        <f t="shared" si="42"/>
        <v>1892.3</v>
      </c>
      <c r="AA224" s="1374">
        <f t="shared" si="41"/>
        <v>1892.3</v>
      </c>
      <c r="AB224" s="1374">
        <f t="shared" si="43"/>
        <v>193.5</v>
      </c>
    </row>
    <row r="225" spans="1:28" s="914" customFormat="1" ht="62.25" customHeight="1">
      <c r="A225" s="1305" t="s">
        <v>246</v>
      </c>
      <c r="B225" s="932" t="s">
        <v>41</v>
      </c>
      <c r="C225" s="933">
        <f>D225+E225</f>
        <v>1567706.4</v>
      </c>
      <c r="D225" s="933">
        <f>D226+D229+D242</f>
        <v>1509500</v>
      </c>
      <c r="E225" s="933">
        <f>E226+E229+E242</f>
        <v>58206.400000000001</v>
      </c>
      <c r="F225" s="933">
        <f>G225+H225</f>
        <v>1565814.1</v>
      </c>
      <c r="G225" s="933">
        <f>G226+G229+G242</f>
        <v>1507801.2</v>
      </c>
      <c r="H225" s="933">
        <f>H226+H229+H242</f>
        <v>58012.9</v>
      </c>
      <c r="I225" s="933">
        <f>J225+K225</f>
        <v>481828.4</v>
      </c>
      <c r="J225" s="933">
        <f>J226+J229+J242</f>
        <v>452906.5</v>
      </c>
      <c r="K225" s="933">
        <f>K226+K229+K242</f>
        <v>28921.9</v>
      </c>
      <c r="L225" s="935">
        <f t="shared" si="37"/>
        <v>30.8</v>
      </c>
      <c r="M225" s="936">
        <f t="shared" si="37"/>
        <v>30</v>
      </c>
      <c r="N225" s="936">
        <f t="shared" si="37"/>
        <v>49.9</v>
      </c>
      <c r="O225" s="1282"/>
      <c r="P225" s="1208"/>
      <c r="Q225" s="1065">
        <f t="shared" si="45"/>
        <v>1892.3</v>
      </c>
      <c r="R225" s="1065">
        <f t="shared" si="45"/>
        <v>1698.8</v>
      </c>
      <c r="S225" s="1065">
        <f t="shared" si="45"/>
        <v>193.5</v>
      </c>
      <c r="T225" s="1099"/>
      <c r="U225" s="1100"/>
      <c r="V225" s="1099"/>
      <c r="W225" s="1099"/>
      <c r="X225" s="1216"/>
      <c r="Z225" s="1311">
        <f t="shared" si="42"/>
        <v>1892.3</v>
      </c>
      <c r="AA225" s="1374">
        <f t="shared" si="41"/>
        <v>1892.3</v>
      </c>
      <c r="AB225" s="1374">
        <f t="shared" si="43"/>
        <v>193.5</v>
      </c>
    </row>
    <row r="226" spans="1:28" s="914" customFormat="1" ht="69.75" customHeight="1">
      <c r="A226" s="1360" t="s">
        <v>247</v>
      </c>
      <c r="B226" s="1361" t="s">
        <v>1337</v>
      </c>
      <c r="C226" s="1018">
        <f>SUM(D226:E226)</f>
        <v>600000</v>
      </c>
      <c r="D226" s="1362">
        <f>SUM(D227:D228)</f>
        <v>600000</v>
      </c>
      <c r="E226" s="1362">
        <f>SUM(E227:E228)</f>
        <v>0</v>
      </c>
      <c r="F226" s="1018">
        <f>G226+H226</f>
        <v>600000</v>
      </c>
      <c r="G226" s="1362">
        <f>SUM(G227:G228)</f>
        <v>600000</v>
      </c>
      <c r="H226" s="1362">
        <f>SUM(H227:H228)</f>
        <v>0</v>
      </c>
      <c r="I226" s="1018">
        <f>SUM(J226:K226)</f>
        <v>0</v>
      </c>
      <c r="J226" s="1362">
        <f>SUM(J227:J228)</f>
        <v>0</v>
      </c>
      <c r="K226" s="1362">
        <f>SUM(K227:K228)</f>
        <v>0</v>
      </c>
      <c r="L226" s="1363">
        <f t="shared" si="37"/>
        <v>0</v>
      </c>
      <c r="M226" s="1363">
        <f t="shared" si="37"/>
        <v>0</v>
      </c>
      <c r="N226" s="1363">
        <f t="shared" si="37"/>
        <v>0</v>
      </c>
      <c r="O226" s="1282"/>
      <c r="P226" s="1208"/>
      <c r="Q226" s="1065"/>
      <c r="R226" s="1065"/>
      <c r="S226" s="1065"/>
      <c r="T226" s="1099"/>
      <c r="U226" s="1100"/>
      <c r="V226" s="1099"/>
      <c r="W226" s="1099"/>
      <c r="X226" s="1216"/>
      <c r="Z226" s="1311"/>
      <c r="AA226" s="1374">
        <f t="shared" si="41"/>
        <v>0</v>
      </c>
      <c r="AB226" s="1374">
        <f t="shared" si="43"/>
        <v>0</v>
      </c>
    </row>
    <row r="227" spans="1:28" s="914" customFormat="1" ht="63.75" customHeight="1">
      <c r="A227" s="944" t="s">
        <v>1338</v>
      </c>
      <c r="B227" s="1238" t="s">
        <v>1169</v>
      </c>
      <c r="C227" s="871">
        <f>SUM(D227:E227)</f>
        <v>300000</v>
      </c>
      <c r="D227" s="884">
        <v>300000</v>
      </c>
      <c r="E227" s="887">
        <v>0</v>
      </c>
      <c r="F227" s="1395">
        <f t="shared" ref="F227:H228" si="46">C227</f>
        <v>300000</v>
      </c>
      <c r="G227" s="1396">
        <f t="shared" si="46"/>
        <v>300000</v>
      </c>
      <c r="H227" s="1396">
        <f t="shared" si="46"/>
        <v>0</v>
      </c>
      <c r="I227" s="1395">
        <f>SUM(J227:K227)</f>
        <v>0</v>
      </c>
      <c r="J227" s="884">
        <v>0</v>
      </c>
      <c r="K227" s="887">
        <v>0</v>
      </c>
      <c r="L227" s="876">
        <f t="shared" si="37"/>
        <v>0</v>
      </c>
      <c r="M227" s="877">
        <f t="shared" si="37"/>
        <v>0</v>
      </c>
      <c r="N227" s="877">
        <f t="shared" si="37"/>
        <v>0</v>
      </c>
      <c r="O227" s="1282"/>
      <c r="P227" s="1208"/>
      <c r="Q227" s="1065"/>
      <c r="R227" s="1065"/>
      <c r="S227" s="1065"/>
      <c r="T227" s="1099"/>
      <c r="U227" s="1100"/>
      <c r="V227" s="1099"/>
      <c r="W227" s="1099"/>
      <c r="X227" s="1216"/>
      <c r="Z227" s="1311"/>
      <c r="AA227" s="1374">
        <f t="shared" si="41"/>
        <v>0</v>
      </c>
      <c r="AB227" s="1374">
        <f t="shared" si="43"/>
        <v>0</v>
      </c>
    </row>
    <row r="228" spans="1:28" s="914" customFormat="1">
      <c r="A228" s="944" t="s">
        <v>1339</v>
      </c>
      <c r="B228" s="1391" t="s">
        <v>1340</v>
      </c>
      <c r="C228" s="871">
        <f>SUM(D228:E228)</f>
        <v>300000</v>
      </c>
      <c r="D228" s="884">
        <v>300000</v>
      </c>
      <c r="E228" s="887">
        <v>0</v>
      </c>
      <c r="F228" s="1395">
        <f t="shared" si="46"/>
        <v>300000</v>
      </c>
      <c r="G228" s="1396">
        <f t="shared" si="46"/>
        <v>300000</v>
      </c>
      <c r="H228" s="1396">
        <f t="shared" si="46"/>
        <v>0</v>
      </c>
      <c r="I228" s="1395">
        <f>SUM(J228:K228)</f>
        <v>0</v>
      </c>
      <c r="J228" s="884">
        <v>0</v>
      </c>
      <c r="K228" s="887">
        <v>0</v>
      </c>
      <c r="L228" s="876">
        <f t="shared" si="37"/>
        <v>0</v>
      </c>
      <c r="M228" s="877">
        <f t="shared" si="37"/>
        <v>0</v>
      </c>
      <c r="N228" s="877">
        <f t="shared" si="37"/>
        <v>0</v>
      </c>
      <c r="O228" s="1282"/>
      <c r="P228" s="1208"/>
      <c r="Q228" s="1065"/>
      <c r="R228" s="1065"/>
      <c r="S228" s="1065"/>
      <c r="T228" s="1099"/>
      <c r="U228" s="1100"/>
      <c r="V228" s="1099"/>
      <c r="W228" s="1099"/>
      <c r="X228" s="1216"/>
      <c r="Z228" s="1311"/>
      <c r="AA228" s="1374">
        <f t="shared" si="41"/>
        <v>0</v>
      </c>
      <c r="AB228" s="1374">
        <f t="shared" si="43"/>
        <v>0</v>
      </c>
    </row>
    <row r="229" spans="1:28" s="959" customFormat="1" ht="63.75" customHeight="1">
      <c r="A229" s="1189" t="s">
        <v>248</v>
      </c>
      <c r="B229" s="1054" t="s">
        <v>446</v>
      </c>
      <c r="C229" s="1055">
        <f>SUM(D229:E229)</f>
        <v>907600</v>
      </c>
      <c r="D229" s="1056">
        <f>SUM(D230:D241)</f>
        <v>853000</v>
      </c>
      <c r="E229" s="1056">
        <f>SUM(E230:E241)</f>
        <v>54600</v>
      </c>
      <c r="F229" s="1055">
        <f>SUM(G229:H229)</f>
        <v>905707.7</v>
      </c>
      <c r="G229" s="1056">
        <f>SUM(G230:G241)</f>
        <v>851301.2</v>
      </c>
      <c r="H229" s="1056">
        <f>SUM(H230:H241)</f>
        <v>54406.5</v>
      </c>
      <c r="I229" s="1055">
        <f>SUM(J229:K229)</f>
        <v>432666.4</v>
      </c>
      <c r="J229" s="1056">
        <f>SUM(J230:J241)</f>
        <v>406694.2</v>
      </c>
      <c r="K229" s="1056">
        <f>SUM(K230:K241)</f>
        <v>25972.2</v>
      </c>
      <c r="L229" s="1053">
        <f t="shared" si="37"/>
        <v>47.8</v>
      </c>
      <c r="M229" s="1053">
        <f t="shared" si="37"/>
        <v>47.8</v>
      </c>
      <c r="N229" s="1053">
        <f t="shared" si="37"/>
        <v>47.7</v>
      </c>
      <c r="O229" s="1282"/>
      <c r="P229" s="1208"/>
      <c r="Q229" s="1065">
        <f t="shared" si="45"/>
        <v>1892.3</v>
      </c>
      <c r="R229" s="1065">
        <f t="shared" si="45"/>
        <v>1698.8</v>
      </c>
      <c r="S229" s="1065">
        <f t="shared" si="45"/>
        <v>193.5</v>
      </c>
      <c r="T229" s="1099"/>
      <c r="U229" s="1100"/>
      <c r="V229" s="1099"/>
      <c r="W229" s="1099"/>
      <c r="X229" s="1218"/>
      <c r="Z229" s="1311">
        <f t="shared" si="42"/>
        <v>1892.3</v>
      </c>
      <c r="AA229" s="1374">
        <f t="shared" si="41"/>
        <v>1892.3</v>
      </c>
      <c r="AB229" s="1374">
        <f t="shared" si="43"/>
        <v>193.5</v>
      </c>
    </row>
    <row r="230" spans="1:28" s="959" customFormat="1" ht="39" customHeight="1">
      <c r="A230" s="895"/>
      <c r="B230" s="937" t="s">
        <v>1000</v>
      </c>
      <c r="C230" s="871">
        <f>SUM(D230:E230)</f>
        <v>1892.3</v>
      </c>
      <c r="D230" s="884">
        <v>1698.8</v>
      </c>
      <c r="E230" s="887">
        <v>193.5</v>
      </c>
      <c r="F230" s="1395">
        <f>G230+H230</f>
        <v>0</v>
      </c>
      <c r="G230" s="887">
        <v>0</v>
      </c>
      <c r="H230" s="887">
        <v>0</v>
      </c>
      <c r="I230" s="1395">
        <f t="shared" ref="I230:I248" si="47">SUM(J230:K230)</f>
        <v>0</v>
      </c>
      <c r="J230" s="884">
        <v>0</v>
      </c>
      <c r="K230" s="887">
        <v>0</v>
      </c>
      <c r="L230" s="876">
        <f t="shared" si="37"/>
        <v>0</v>
      </c>
      <c r="M230" s="877">
        <f t="shared" si="37"/>
        <v>0</v>
      </c>
      <c r="N230" s="877">
        <f t="shared" si="37"/>
        <v>0</v>
      </c>
      <c r="O230" s="1282"/>
      <c r="P230" s="1208"/>
      <c r="Q230" s="1065"/>
      <c r="R230" s="1065"/>
      <c r="S230" s="1065"/>
      <c r="T230" s="1099" t="s">
        <v>999</v>
      </c>
      <c r="U230" s="1100" t="s">
        <v>1001</v>
      </c>
      <c r="V230" s="1099">
        <v>414</v>
      </c>
      <c r="W230" s="1099"/>
      <c r="X230" s="1218"/>
      <c r="Z230" s="1311">
        <f t="shared" si="42"/>
        <v>1892.3</v>
      </c>
      <c r="AA230" s="1374">
        <f t="shared" si="41"/>
        <v>1892.3</v>
      </c>
      <c r="AB230" s="1374">
        <f t="shared" si="43"/>
        <v>193.5</v>
      </c>
    </row>
    <row r="231" spans="1:28" ht="61.5" customHeight="1">
      <c r="A231" s="895">
        <v>1</v>
      </c>
      <c r="B231" s="937" t="s">
        <v>668</v>
      </c>
      <c r="C231" s="871">
        <f t="shared" ref="C231:C248" si="48">SUM(D231:E231)</f>
        <v>452152</v>
      </c>
      <c r="D231" s="884">
        <v>425019.2</v>
      </c>
      <c r="E231" s="887">
        <v>27132.799999999999</v>
      </c>
      <c r="F231" s="1395">
        <f>G231+H231</f>
        <v>452152</v>
      </c>
      <c r="G231" s="887">
        <f>D231</f>
        <v>425019.2</v>
      </c>
      <c r="H231" s="887">
        <f>E231</f>
        <v>27132.799999999999</v>
      </c>
      <c r="I231" s="1395">
        <f t="shared" si="47"/>
        <v>310959.8</v>
      </c>
      <c r="J231" s="884">
        <v>292299.7</v>
      </c>
      <c r="K231" s="887">
        <v>18660.099999999999</v>
      </c>
      <c r="L231" s="876">
        <f t="shared" ref="L231:N248" si="49">IF(I231=0,0,I231/F231*100)</f>
        <v>68.8</v>
      </c>
      <c r="M231" s="877">
        <f t="shared" si="49"/>
        <v>68.8</v>
      </c>
      <c r="N231" s="877">
        <f t="shared" si="49"/>
        <v>68.8</v>
      </c>
      <c r="O231" s="1282"/>
      <c r="Q231" s="1065">
        <f t="shared" si="45"/>
        <v>0</v>
      </c>
      <c r="R231" s="1065">
        <f t="shared" si="45"/>
        <v>0</v>
      </c>
      <c r="S231" s="1065">
        <f t="shared" si="45"/>
        <v>0</v>
      </c>
      <c r="T231" s="1099" t="s">
        <v>999</v>
      </c>
      <c r="U231" s="1100" t="s">
        <v>1005</v>
      </c>
      <c r="V231" s="1099">
        <v>414</v>
      </c>
      <c r="W231" s="1099" t="s">
        <v>1006</v>
      </c>
      <c r="Z231" s="1311">
        <f t="shared" si="42"/>
        <v>0</v>
      </c>
      <c r="AA231" s="1374">
        <f t="shared" si="41"/>
        <v>0</v>
      </c>
      <c r="AB231" s="1374">
        <f t="shared" si="43"/>
        <v>0</v>
      </c>
    </row>
    <row r="232" spans="1:28" ht="75" customHeight="1">
      <c r="A232" s="895">
        <v>2</v>
      </c>
      <c r="B232" s="1391" t="s">
        <v>470</v>
      </c>
      <c r="C232" s="871">
        <f t="shared" si="48"/>
        <v>50107.7</v>
      </c>
      <c r="D232" s="887">
        <v>47101.2</v>
      </c>
      <c r="E232" s="887">
        <v>3006.5</v>
      </c>
      <c r="F232" s="871">
        <f t="shared" ref="F232:F248" si="50">SUM(G232:H232)</f>
        <v>50107.7</v>
      </c>
      <c r="G232" s="887">
        <f t="shared" ref="G232:H241" si="51">D232</f>
        <v>47101.2</v>
      </c>
      <c r="H232" s="887">
        <f t="shared" si="51"/>
        <v>3006.5</v>
      </c>
      <c r="I232" s="871">
        <f t="shared" si="47"/>
        <v>36081.199999999997</v>
      </c>
      <c r="J232" s="887">
        <v>33916.300000000003</v>
      </c>
      <c r="K232" s="887">
        <v>2164.9</v>
      </c>
      <c r="L232" s="872">
        <f t="shared" si="49"/>
        <v>72</v>
      </c>
      <c r="M232" s="873">
        <f t="shared" si="49"/>
        <v>72</v>
      </c>
      <c r="N232" s="873">
        <f t="shared" si="49"/>
        <v>72</v>
      </c>
      <c r="O232" s="1282"/>
      <c r="Q232" s="1065">
        <f t="shared" si="45"/>
        <v>0</v>
      </c>
      <c r="R232" s="1065">
        <f t="shared" si="45"/>
        <v>0</v>
      </c>
      <c r="S232" s="1065">
        <f t="shared" si="45"/>
        <v>0</v>
      </c>
      <c r="T232" s="1099" t="s">
        <v>999</v>
      </c>
      <c r="U232" s="1100" t="s">
        <v>1010</v>
      </c>
      <c r="V232" s="1099">
        <v>414</v>
      </c>
      <c r="W232" s="1099" t="s">
        <v>1011</v>
      </c>
      <c r="Z232" s="1311">
        <f t="shared" si="42"/>
        <v>0</v>
      </c>
      <c r="AA232" s="1374">
        <f t="shared" si="41"/>
        <v>0</v>
      </c>
      <c r="AB232" s="1374">
        <f t="shared" si="43"/>
        <v>0</v>
      </c>
    </row>
    <row r="233" spans="1:28" ht="90" customHeight="1">
      <c r="A233" s="895">
        <v>3</v>
      </c>
      <c r="B233" s="1391" t="s">
        <v>622</v>
      </c>
      <c r="C233" s="871">
        <f>SUM(D233:E233)</f>
        <v>64810.2</v>
      </c>
      <c r="D233" s="887">
        <v>60910.9</v>
      </c>
      <c r="E233" s="887">
        <v>3899.3</v>
      </c>
      <c r="F233" s="871">
        <f t="shared" si="50"/>
        <v>64810.2</v>
      </c>
      <c r="G233" s="887">
        <f t="shared" si="51"/>
        <v>60910.9</v>
      </c>
      <c r="H233" s="887">
        <f t="shared" si="51"/>
        <v>3899.3</v>
      </c>
      <c r="I233" s="871">
        <f t="shared" si="47"/>
        <v>17826.7</v>
      </c>
      <c r="J233" s="887">
        <v>16755.099999999999</v>
      </c>
      <c r="K233" s="887">
        <v>1071.5999999999999</v>
      </c>
      <c r="L233" s="872">
        <f t="shared" si="49"/>
        <v>27.5</v>
      </c>
      <c r="M233" s="873">
        <f t="shared" si="49"/>
        <v>27.5</v>
      </c>
      <c r="N233" s="873">
        <f t="shared" si="49"/>
        <v>27.5</v>
      </c>
      <c r="O233" s="1282"/>
      <c r="Q233" s="1065">
        <f t="shared" si="45"/>
        <v>0</v>
      </c>
      <c r="R233" s="1065">
        <f t="shared" si="45"/>
        <v>0</v>
      </c>
      <c r="S233" s="1065">
        <f t="shared" si="45"/>
        <v>0</v>
      </c>
      <c r="T233" s="1099" t="s">
        <v>999</v>
      </c>
      <c r="U233" s="1100" t="s">
        <v>1016</v>
      </c>
      <c r="V233" s="1099">
        <v>414</v>
      </c>
      <c r="W233" s="1099" t="s">
        <v>1004</v>
      </c>
      <c r="Z233" s="1311">
        <f t="shared" si="42"/>
        <v>0</v>
      </c>
      <c r="AA233" s="1374">
        <f t="shared" si="41"/>
        <v>0</v>
      </c>
      <c r="AB233" s="1374">
        <f t="shared" si="43"/>
        <v>0</v>
      </c>
    </row>
    <row r="234" spans="1:28" ht="90" customHeight="1">
      <c r="A234" s="895">
        <v>4</v>
      </c>
      <c r="B234" s="1391" t="s">
        <v>837</v>
      </c>
      <c r="C234" s="871">
        <f t="shared" si="48"/>
        <v>38427.4</v>
      </c>
      <c r="D234" s="887">
        <v>36115.4</v>
      </c>
      <c r="E234" s="887">
        <v>2312</v>
      </c>
      <c r="F234" s="871">
        <f t="shared" si="50"/>
        <v>38427.4</v>
      </c>
      <c r="G234" s="887">
        <f t="shared" si="51"/>
        <v>36115.4</v>
      </c>
      <c r="H234" s="887">
        <f t="shared" si="51"/>
        <v>2312</v>
      </c>
      <c r="I234" s="871">
        <f t="shared" si="47"/>
        <v>9344</v>
      </c>
      <c r="J234" s="887">
        <v>8782.2999999999993</v>
      </c>
      <c r="K234" s="887">
        <v>561.70000000000005</v>
      </c>
      <c r="L234" s="872">
        <f t="shared" si="49"/>
        <v>24.3</v>
      </c>
      <c r="M234" s="873">
        <f t="shared" si="49"/>
        <v>24.3</v>
      </c>
      <c r="N234" s="873">
        <f t="shared" si="49"/>
        <v>24.3</v>
      </c>
      <c r="O234" s="1282"/>
      <c r="Q234" s="1065">
        <f t="shared" si="45"/>
        <v>0</v>
      </c>
      <c r="R234" s="1065">
        <f t="shared" si="45"/>
        <v>0</v>
      </c>
      <c r="S234" s="1065">
        <f t="shared" si="45"/>
        <v>0</v>
      </c>
      <c r="T234" s="1099" t="s">
        <v>999</v>
      </c>
      <c r="U234" s="1100" t="s">
        <v>1015</v>
      </c>
      <c r="V234" s="1099">
        <v>414</v>
      </c>
      <c r="W234" s="1099" t="s">
        <v>1004</v>
      </c>
      <c r="Z234" s="1311">
        <f t="shared" si="42"/>
        <v>0</v>
      </c>
      <c r="AA234" s="1374">
        <f t="shared" si="41"/>
        <v>0</v>
      </c>
      <c r="AB234" s="1374">
        <f t="shared" si="43"/>
        <v>0</v>
      </c>
    </row>
    <row r="235" spans="1:28" ht="90" customHeight="1">
      <c r="A235" s="895">
        <v>5</v>
      </c>
      <c r="B235" s="1391" t="s">
        <v>620</v>
      </c>
      <c r="C235" s="871">
        <f>SUM(D235:E235)</f>
        <v>115978.8</v>
      </c>
      <c r="D235" s="887">
        <v>109001</v>
      </c>
      <c r="E235" s="887">
        <v>6977.8</v>
      </c>
      <c r="F235" s="871">
        <f t="shared" si="50"/>
        <v>115978.8</v>
      </c>
      <c r="G235" s="887">
        <f t="shared" si="51"/>
        <v>109001</v>
      </c>
      <c r="H235" s="887">
        <f t="shared" si="51"/>
        <v>6977.8</v>
      </c>
      <c r="I235" s="871">
        <f t="shared" si="47"/>
        <v>23306.2</v>
      </c>
      <c r="J235" s="887">
        <v>21905.200000000001</v>
      </c>
      <c r="K235" s="887">
        <v>1401</v>
      </c>
      <c r="L235" s="872">
        <f t="shared" si="49"/>
        <v>20.100000000000001</v>
      </c>
      <c r="M235" s="873">
        <f t="shared" si="49"/>
        <v>20.100000000000001</v>
      </c>
      <c r="N235" s="873">
        <f t="shared" si="49"/>
        <v>20.100000000000001</v>
      </c>
      <c r="O235" s="1282"/>
      <c r="Q235" s="1065">
        <f t="shared" si="45"/>
        <v>0</v>
      </c>
      <c r="R235" s="1065">
        <f t="shared" si="45"/>
        <v>0</v>
      </c>
      <c r="S235" s="1065">
        <f t="shared" si="45"/>
        <v>0</v>
      </c>
      <c r="T235" s="1099" t="s">
        <v>999</v>
      </c>
      <c r="U235" s="1100" t="s">
        <v>1014</v>
      </c>
      <c r="V235" s="1099">
        <v>414</v>
      </c>
      <c r="W235" s="1099" t="s">
        <v>1004</v>
      </c>
      <c r="Z235" s="1311">
        <f t="shared" si="42"/>
        <v>0</v>
      </c>
      <c r="AA235" s="1374">
        <f t="shared" si="41"/>
        <v>0</v>
      </c>
      <c r="AB235" s="1374">
        <f t="shared" si="43"/>
        <v>0</v>
      </c>
    </row>
    <row r="236" spans="1:28" ht="75" customHeight="1">
      <c r="A236" s="895">
        <v>6</v>
      </c>
      <c r="B236" s="1391" t="s">
        <v>471</v>
      </c>
      <c r="C236" s="871">
        <f t="shared" si="48"/>
        <v>9500</v>
      </c>
      <c r="D236" s="887">
        <v>8928.4</v>
      </c>
      <c r="E236" s="887">
        <v>571.6</v>
      </c>
      <c r="F236" s="871">
        <f t="shared" si="50"/>
        <v>9500</v>
      </c>
      <c r="G236" s="887">
        <f t="shared" si="51"/>
        <v>8928.4</v>
      </c>
      <c r="H236" s="887">
        <f t="shared" si="51"/>
        <v>571.6</v>
      </c>
      <c r="I236" s="871">
        <f t="shared" si="47"/>
        <v>614.6</v>
      </c>
      <c r="J236" s="887">
        <v>577.6</v>
      </c>
      <c r="K236" s="887">
        <v>37</v>
      </c>
      <c r="L236" s="872">
        <f t="shared" si="49"/>
        <v>6.5</v>
      </c>
      <c r="M236" s="873">
        <f t="shared" si="49"/>
        <v>6.5</v>
      </c>
      <c r="N236" s="873">
        <f t="shared" si="49"/>
        <v>6.5</v>
      </c>
      <c r="O236" s="1282"/>
      <c r="Q236" s="1065">
        <f t="shared" si="45"/>
        <v>0</v>
      </c>
      <c r="R236" s="1065">
        <f t="shared" si="45"/>
        <v>0</v>
      </c>
      <c r="S236" s="1065">
        <f t="shared" si="45"/>
        <v>0</v>
      </c>
      <c r="T236" s="1099" t="s">
        <v>999</v>
      </c>
      <c r="U236" s="1100" t="s">
        <v>1012</v>
      </c>
      <c r="V236" s="1099">
        <v>414</v>
      </c>
      <c r="W236" s="1099" t="s">
        <v>1004</v>
      </c>
      <c r="Z236" s="1311">
        <f t="shared" si="42"/>
        <v>0</v>
      </c>
      <c r="AA236" s="1374">
        <f t="shared" si="41"/>
        <v>0</v>
      </c>
      <c r="AB236" s="1374">
        <f t="shared" si="43"/>
        <v>0</v>
      </c>
    </row>
    <row r="237" spans="1:28" ht="75" customHeight="1">
      <c r="A237" s="895">
        <v>7</v>
      </c>
      <c r="B237" s="1391" t="s">
        <v>472</v>
      </c>
      <c r="C237" s="871">
        <f t="shared" si="48"/>
        <v>16500</v>
      </c>
      <c r="D237" s="887">
        <v>15507.2</v>
      </c>
      <c r="E237" s="887">
        <v>992.8</v>
      </c>
      <c r="F237" s="871">
        <f t="shared" si="50"/>
        <v>16500</v>
      </c>
      <c r="G237" s="887">
        <f t="shared" si="51"/>
        <v>15507.2</v>
      </c>
      <c r="H237" s="887">
        <f t="shared" si="51"/>
        <v>992.8</v>
      </c>
      <c r="I237" s="871">
        <f t="shared" si="47"/>
        <v>650.1</v>
      </c>
      <c r="J237" s="887">
        <v>611</v>
      </c>
      <c r="K237" s="887">
        <v>39.1</v>
      </c>
      <c r="L237" s="872">
        <f t="shared" si="49"/>
        <v>3.9</v>
      </c>
      <c r="M237" s="873">
        <f t="shared" si="49"/>
        <v>3.9</v>
      </c>
      <c r="N237" s="873">
        <f t="shared" si="49"/>
        <v>3.9</v>
      </c>
      <c r="O237" s="1282"/>
      <c r="Q237" s="1065">
        <f t="shared" si="45"/>
        <v>0</v>
      </c>
      <c r="R237" s="1065">
        <f t="shared" si="45"/>
        <v>0</v>
      </c>
      <c r="S237" s="1065">
        <f t="shared" si="45"/>
        <v>0</v>
      </c>
      <c r="T237" s="1099" t="s">
        <v>999</v>
      </c>
      <c r="U237" s="1100" t="s">
        <v>1007</v>
      </c>
      <c r="V237" s="1099">
        <v>414</v>
      </c>
      <c r="W237" s="1099" t="s">
        <v>1004</v>
      </c>
      <c r="Z237" s="1311">
        <f t="shared" si="42"/>
        <v>0</v>
      </c>
      <c r="AA237" s="1374">
        <f t="shared" si="41"/>
        <v>0</v>
      </c>
      <c r="AB237" s="1374">
        <f t="shared" si="43"/>
        <v>0</v>
      </c>
    </row>
    <row r="238" spans="1:28" ht="75" customHeight="1">
      <c r="A238" s="895">
        <v>8</v>
      </c>
      <c r="B238" s="1391" t="s">
        <v>473</v>
      </c>
      <c r="C238" s="871">
        <f t="shared" si="48"/>
        <v>10549.1</v>
      </c>
      <c r="D238" s="887">
        <v>9914.4</v>
      </c>
      <c r="E238" s="887">
        <v>634.70000000000005</v>
      </c>
      <c r="F238" s="871">
        <f t="shared" si="50"/>
        <v>10549.1</v>
      </c>
      <c r="G238" s="887">
        <f t="shared" si="51"/>
        <v>9914.4</v>
      </c>
      <c r="H238" s="887">
        <f t="shared" si="51"/>
        <v>634.70000000000005</v>
      </c>
      <c r="I238" s="871">
        <f t="shared" si="47"/>
        <v>10125.9</v>
      </c>
      <c r="J238" s="887">
        <v>9517.2000000000007</v>
      </c>
      <c r="K238" s="887">
        <v>608.70000000000005</v>
      </c>
      <c r="L238" s="872">
        <f t="shared" si="49"/>
        <v>96</v>
      </c>
      <c r="M238" s="873">
        <f t="shared" si="49"/>
        <v>96</v>
      </c>
      <c r="N238" s="873">
        <f t="shared" si="49"/>
        <v>95.9</v>
      </c>
      <c r="O238" s="1282"/>
      <c r="Q238" s="1065">
        <f t="shared" si="45"/>
        <v>0</v>
      </c>
      <c r="R238" s="1065">
        <f t="shared" si="45"/>
        <v>0</v>
      </c>
      <c r="S238" s="1065">
        <f t="shared" si="45"/>
        <v>0</v>
      </c>
      <c r="T238" s="1099" t="s">
        <v>999</v>
      </c>
      <c r="U238" s="1100" t="s">
        <v>1003</v>
      </c>
      <c r="V238" s="1099">
        <v>414</v>
      </c>
      <c r="W238" s="1099" t="s">
        <v>1004</v>
      </c>
      <c r="Z238" s="1311">
        <f t="shared" si="42"/>
        <v>0</v>
      </c>
      <c r="AA238" s="1374">
        <f t="shared" si="41"/>
        <v>0</v>
      </c>
      <c r="AB238" s="1374">
        <f t="shared" si="43"/>
        <v>0</v>
      </c>
    </row>
    <row r="239" spans="1:28" ht="75" customHeight="1">
      <c r="A239" s="895">
        <v>9</v>
      </c>
      <c r="B239" s="1391" t="s">
        <v>474</v>
      </c>
      <c r="C239" s="871">
        <f>SUM(D239:E239)</f>
        <v>26243.8</v>
      </c>
      <c r="D239" s="887">
        <v>24664.799999999999</v>
      </c>
      <c r="E239" s="887">
        <v>1579</v>
      </c>
      <c r="F239" s="871">
        <f t="shared" si="50"/>
        <v>26243.8</v>
      </c>
      <c r="G239" s="887">
        <f t="shared" si="51"/>
        <v>24664.799999999999</v>
      </c>
      <c r="H239" s="887">
        <f t="shared" si="51"/>
        <v>1579</v>
      </c>
      <c r="I239" s="871">
        <f t="shared" si="47"/>
        <v>23757.9</v>
      </c>
      <c r="J239" s="887">
        <v>22329.8</v>
      </c>
      <c r="K239" s="887">
        <v>1428.1</v>
      </c>
      <c r="L239" s="872">
        <f t="shared" si="49"/>
        <v>90.5</v>
      </c>
      <c r="M239" s="873">
        <f t="shared" si="49"/>
        <v>90.5</v>
      </c>
      <c r="N239" s="873">
        <f t="shared" si="49"/>
        <v>90.4</v>
      </c>
      <c r="O239" s="1282"/>
      <c r="Q239" s="1065">
        <f t="shared" si="45"/>
        <v>0</v>
      </c>
      <c r="R239" s="1065">
        <f t="shared" si="45"/>
        <v>0</v>
      </c>
      <c r="S239" s="1065">
        <f t="shared" si="45"/>
        <v>0</v>
      </c>
      <c r="T239" s="1099" t="s">
        <v>999</v>
      </c>
      <c r="U239" s="1100" t="s">
        <v>1013</v>
      </c>
      <c r="V239" s="1099">
        <v>414</v>
      </c>
      <c r="W239" s="1099" t="s">
        <v>1004</v>
      </c>
      <c r="Z239" s="1311">
        <f t="shared" si="42"/>
        <v>0</v>
      </c>
      <c r="AA239" s="1374">
        <f t="shared" si="41"/>
        <v>0</v>
      </c>
      <c r="AB239" s="1374">
        <f t="shared" si="43"/>
        <v>0</v>
      </c>
    </row>
    <row r="240" spans="1:28" ht="75" customHeight="1">
      <c r="A240" s="895">
        <v>10</v>
      </c>
      <c r="B240" s="1391" t="s">
        <v>617</v>
      </c>
      <c r="C240" s="871">
        <f t="shared" si="48"/>
        <v>81990.7</v>
      </c>
      <c r="D240" s="887">
        <v>77057.899999999994</v>
      </c>
      <c r="E240" s="887">
        <v>4932.8</v>
      </c>
      <c r="F240" s="871">
        <f t="shared" si="50"/>
        <v>81990.7</v>
      </c>
      <c r="G240" s="887">
        <f t="shared" si="51"/>
        <v>77057.899999999994</v>
      </c>
      <c r="H240" s="887">
        <f t="shared" si="51"/>
        <v>4932.8</v>
      </c>
      <c r="I240" s="871">
        <f t="shared" si="47"/>
        <v>0</v>
      </c>
      <c r="J240" s="887">
        <v>0</v>
      </c>
      <c r="K240" s="887">
        <v>0</v>
      </c>
      <c r="L240" s="872">
        <f t="shared" si="49"/>
        <v>0</v>
      </c>
      <c r="M240" s="873">
        <f t="shared" si="49"/>
        <v>0</v>
      </c>
      <c r="N240" s="873">
        <f t="shared" si="49"/>
        <v>0</v>
      </c>
      <c r="O240" s="1282"/>
      <c r="Q240" s="1065">
        <f t="shared" si="45"/>
        <v>0</v>
      </c>
      <c r="R240" s="1065">
        <f t="shared" si="45"/>
        <v>0</v>
      </c>
      <c r="S240" s="1065">
        <f t="shared" si="45"/>
        <v>0</v>
      </c>
      <c r="T240" s="1099" t="s">
        <v>999</v>
      </c>
      <c r="U240" s="1100" t="s">
        <v>1002</v>
      </c>
      <c r="V240" s="1099">
        <v>414</v>
      </c>
      <c r="W240" s="1099" t="s">
        <v>1004</v>
      </c>
      <c r="Z240" s="1311">
        <f t="shared" si="42"/>
        <v>0</v>
      </c>
      <c r="AA240" s="1374">
        <f t="shared" si="41"/>
        <v>0</v>
      </c>
      <c r="AB240" s="1374">
        <f t="shared" si="43"/>
        <v>0</v>
      </c>
    </row>
    <row r="241" spans="1:28" ht="75" customHeight="1">
      <c r="A241" s="895">
        <v>12</v>
      </c>
      <c r="B241" s="1391" t="s">
        <v>619</v>
      </c>
      <c r="C241" s="871">
        <f>SUM(D241:E241)</f>
        <v>39448</v>
      </c>
      <c r="D241" s="887">
        <v>37080.800000000003</v>
      </c>
      <c r="E241" s="887">
        <v>2367.1999999999998</v>
      </c>
      <c r="F241" s="871">
        <f t="shared" si="50"/>
        <v>39448</v>
      </c>
      <c r="G241" s="887">
        <f t="shared" si="51"/>
        <v>37080.800000000003</v>
      </c>
      <c r="H241" s="887">
        <f t="shared" si="51"/>
        <v>2367.1999999999998</v>
      </c>
      <c r="I241" s="871">
        <f t="shared" si="47"/>
        <v>0</v>
      </c>
      <c r="J241" s="887">
        <v>0</v>
      </c>
      <c r="K241" s="887">
        <v>0</v>
      </c>
      <c r="L241" s="872">
        <f t="shared" si="49"/>
        <v>0</v>
      </c>
      <c r="M241" s="873">
        <f t="shared" si="49"/>
        <v>0</v>
      </c>
      <c r="N241" s="873">
        <f t="shared" si="49"/>
        <v>0</v>
      </c>
      <c r="O241" s="1282"/>
      <c r="Q241" s="1065">
        <f t="shared" si="45"/>
        <v>0</v>
      </c>
      <c r="R241" s="1065">
        <f t="shared" si="45"/>
        <v>0</v>
      </c>
      <c r="S241" s="1065">
        <f t="shared" si="45"/>
        <v>0</v>
      </c>
      <c r="T241" s="1099" t="s">
        <v>999</v>
      </c>
      <c r="U241" s="1100" t="s">
        <v>1008</v>
      </c>
      <c r="V241" s="1099">
        <v>414</v>
      </c>
      <c r="W241" s="1099" t="s">
        <v>1006</v>
      </c>
      <c r="Z241" s="1311">
        <f t="shared" si="42"/>
        <v>0</v>
      </c>
      <c r="AA241" s="1374">
        <f t="shared" si="41"/>
        <v>0</v>
      </c>
      <c r="AB241" s="1374">
        <f t="shared" si="43"/>
        <v>0</v>
      </c>
    </row>
    <row r="242" spans="1:28" s="914" customFormat="1" ht="110.25" customHeight="1">
      <c r="A242" s="1314" t="s">
        <v>1341</v>
      </c>
      <c r="B242" s="947" t="s">
        <v>656</v>
      </c>
      <c r="C242" s="948">
        <f>SUM(D242:E242)</f>
        <v>60106.400000000001</v>
      </c>
      <c r="D242" s="949">
        <f>D243</f>
        <v>56500</v>
      </c>
      <c r="E242" s="949">
        <f>E243</f>
        <v>3606.4</v>
      </c>
      <c r="F242" s="950">
        <f t="shared" si="50"/>
        <v>60106.400000000001</v>
      </c>
      <c r="G242" s="949">
        <f>G243</f>
        <v>56500</v>
      </c>
      <c r="H242" s="949">
        <f>H243</f>
        <v>3606.4</v>
      </c>
      <c r="I242" s="950">
        <f t="shared" si="47"/>
        <v>49162</v>
      </c>
      <c r="J242" s="949">
        <f>J243</f>
        <v>46212.3</v>
      </c>
      <c r="K242" s="949">
        <f>K243</f>
        <v>2949.7</v>
      </c>
      <c r="L242" s="951">
        <f t="shared" si="49"/>
        <v>81.8</v>
      </c>
      <c r="M242" s="952">
        <f t="shared" si="49"/>
        <v>81.8</v>
      </c>
      <c r="N242" s="952">
        <f t="shared" si="49"/>
        <v>81.8</v>
      </c>
      <c r="O242" s="1282"/>
      <c r="P242" s="1208"/>
      <c r="Q242" s="1065">
        <f t="shared" si="45"/>
        <v>0</v>
      </c>
      <c r="R242" s="1065">
        <f t="shared" si="45"/>
        <v>0</v>
      </c>
      <c r="S242" s="1065">
        <f t="shared" si="45"/>
        <v>0</v>
      </c>
      <c r="T242" s="1099"/>
      <c r="U242" s="1100"/>
      <c r="V242" s="1099"/>
      <c r="W242" s="1099"/>
      <c r="X242" s="1216"/>
      <c r="Z242" s="1311">
        <f t="shared" si="42"/>
        <v>0</v>
      </c>
      <c r="AA242" s="1374">
        <f t="shared" si="41"/>
        <v>0</v>
      </c>
      <c r="AB242" s="1374">
        <f t="shared" si="43"/>
        <v>0</v>
      </c>
    </row>
    <row r="243" spans="1:28" ht="58.5" customHeight="1">
      <c r="A243" s="895">
        <v>13</v>
      </c>
      <c r="B243" s="937" t="s">
        <v>623</v>
      </c>
      <c r="C243" s="871">
        <f>SUM(D243:E243)</f>
        <v>60106.400000000001</v>
      </c>
      <c r="D243" s="884">
        <v>56500</v>
      </c>
      <c r="E243" s="887">
        <v>3606.4</v>
      </c>
      <c r="F243" s="871">
        <f t="shared" si="50"/>
        <v>60106.400000000001</v>
      </c>
      <c r="G243" s="884">
        <f>D243</f>
        <v>56500</v>
      </c>
      <c r="H243" s="884">
        <f>E243</f>
        <v>3606.4</v>
      </c>
      <c r="I243" s="1395">
        <f t="shared" si="47"/>
        <v>49162</v>
      </c>
      <c r="J243" s="884">
        <v>46212.3</v>
      </c>
      <c r="K243" s="887">
        <v>2949.7</v>
      </c>
      <c r="L243" s="876">
        <f t="shared" si="49"/>
        <v>81.8</v>
      </c>
      <c r="M243" s="877">
        <f t="shared" si="49"/>
        <v>81.8</v>
      </c>
      <c r="N243" s="877">
        <f t="shared" si="49"/>
        <v>81.8</v>
      </c>
      <c r="O243" s="1282"/>
      <c r="Q243" s="1065">
        <f t="shared" si="45"/>
        <v>0</v>
      </c>
      <c r="R243" s="1065">
        <f t="shared" si="45"/>
        <v>0</v>
      </c>
      <c r="S243" s="1065">
        <f t="shared" si="45"/>
        <v>0</v>
      </c>
      <c r="T243" s="1099" t="s">
        <v>999</v>
      </c>
      <c r="U243" s="1100" t="s">
        <v>1017</v>
      </c>
      <c r="V243" s="1099">
        <v>414</v>
      </c>
      <c r="W243" s="1099" t="s">
        <v>1018</v>
      </c>
      <c r="Z243" s="1311">
        <f t="shared" si="42"/>
        <v>0</v>
      </c>
      <c r="AA243" s="1374">
        <f t="shared" si="41"/>
        <v>0</v>
      </c>
    </row>
    <row r="244" spans="1:28" s="914" customFormat="1" ht="56.25" customHeight="1">
      <c r="A244" s="1305" t="s">
        <v>249</v>
      </c>
      <c r="B244" s="932" t="s">
        <v>39</v>
      </c>
      <c r="C244" s="933">
        <f t="shared" si="48"/>
        <v>114960</v>
      </c>
      <c r="D244" s="933">
        <f>SUM(D245:D248)</f>
        <v>0</v>
      </c>
      <c r="E244" s="933">
        <f>SUM(E245:E248)</f>
        <v>114960</v>
      </c>
      <c r="F244" s="933">
        <f t="shared" si="50"/>
        <v>114960</v>
      </c>
      <c r="G244" s="933">
        <f>SUM(G245:G248)</f>
        <v>0</v>
      </c>
      <c r="H244" s="933">
        <f>SUM(H245:H248)</f>
        <v>114960</v>
      </c>
      <c r="I244" s="933">
        <f t="shared" si="47"/>
        <v>25227.599999999999</v>
      </c>
      <c r="J244" s="933">
        <f>SUM(J245:J248)</f>
        <v>0</v>
      </c>
      <c r="K244" s="933">
        <f>SUM(K245:K248)</f>
        <v>25227.599999999999</v>
      </c>
      <c r="L244" s="935">
        <f t="shared" si="49"/>
        <v>21.9</v>
      </c>
      <c r="M244" s="936">
        <f t="shared" si="49"/>
        <v>0</v>
      </c>
      <c r="N244" s="936">
        <f t="shared" si="49"/>
        <v>21.9</v>
      </c>
      <c r="O244" s="1282"/>
      <c r="P244" s="1208"/>
      <c r="Q244" s="1065">
        <f t="shared" si="45"/>
        <v>0</v>
      </c>
      <c r="R244" s="1065">
        <f t="shared" si="45"/>
        <v>0</v>
      </c>
      <c r="S244" s="1065">
        <f t="shared" si="45"/>
        <v>0</v>
      </c>
      <c r="T244" s="1099"/>
      <c r="U244" s="1100"/>
      <c r="V244" s="1099"/>
      <c r="W244" s="1099"/>
      <c r="X244" s="1216"/>
      <c r="Z244" s="1311">
        <f t="shared" si="42"/>
        <v>0</v>
      </c>
      <c r="AA244" s="1374">
        <f t="shared" si="41"/>
        <v>0</v>
      </c>
    </row>
    <row r="245" spans="1:28" s="736" customFormat="1" ht="58.5" customHeight="1">
      <c r="A245" s="895">
        <v>14</v>
      </c>
      <c r="B245" s="1238" t="s">
        <v>706</v>
      </c>
      <c r="C245" s="871">
        <f>SUM(D245:E245)</f>
        <v>2760</v>
      </c>
      <c r="D245" s="887">
        <v>0</v>
      </c>
      <c r="E245" s="887">
        <v>2760</v>
      </c>
      <c r="F245" s="871">
        <f t="shared" si="50"/>
        <v>2760</v>
      </c>
      <c r="G245" s="887">
        <f t="shared" ref="G245:H248" si="52">D245</f>
        <v>0</v>
      </c>
      <c r="H245" s="887">
        <f t="shared" si="52"/>
        <v>2760</v>
      </c>
      <c r="I245" s="871">
        <f t="shared" si="47"/>
        <v>0</v>
      </c>
      <c r="J245" s="887">
        <v>0</v>
      </c>
      <c r="K245" s="887">
        <v>0</v>
      </c>
      <c r="L245" s="872">
        <f t="shared" si="49"/>
        <v>0</v>
      </c>
      <c r="M245" s="873">
        <f t="shared" si="49"/>
        <v>0</v>
      </c>
      <c r="N245" s="873">
        <f t="shared" si="49"/>
        <v>0</v>
      </c>
      <c r="O245" s="1282"/>
      <c r="P245" s="1208"/>
      <c r="Q245" s="1065">
        <f t="shared" si="45"/>
        <v>0</v>
      </c>
      <c r="R245" s="1065">
        <f t="shared" si="45"/>
        <v>0</v>
      </c>
      <c r="S245" s="1065">
        <f t="shared" si="45"/>
        <v>0</v>
      </c>
      <c r="T245" s="1099" t="s">
        <v>999</v>
      </c>
      <c r="U245" s="1100">
        <v>1110290400</v>
      </c>
      <c r="V245" s="1099">
        <v>414</v>
      </c>
      <c r="W245" s="1099">
        <v>10119</v>
      </c>
      <c r="X245" s="1216"/>
      <c r="Z245" s="1311">
        <f t="shared" si="42"/>
        <v>0</v>
      </c>
      <c r="AA245" s="1374">
        <f t="shared" si="41"/>
        <v>0</v>
      </c>
    </row>
    <row r="246" spans="1:28" s="736" customFormat="1" ht="59.25" customHeight="1">
      <c r="A246" s="895"/>
      <c r="B246" s="1238" t="s">
        <v>1169</v>
      </c>
      <c r="C246" s="871">
        <f>SUM(D246:E246)</f>
        <v>12000</v>
      </c>
      <c r="D246" s="887">
        <v>0</v>
      </c>
      <c r="E246" s="887">
        <v>12000</v>
      </c>
      <c r="F246" s="871">
        <f t="shared" si="50"/>
        <v>12000</v>
      </c>
      <c r="G246" s="887">
        <f t="shared" si="52"/>
        <v>0</v>
      </c>
      <c r="H246" s="887">
        <f t="shared" si="52"/>
        <v>12000</v>
      </c>
      <c r="I246" s="871">
        <f t="shared" si="47"/>
        <v>0</v>
      </c>
      <c r="J246" s="887">
        <v>0</v>
      </c>
      <c r="K246" s="887">
        <v>0</v>
      </c>
      <c r="L246" s="872"/>
      <c r="M246" s="873"/>
      <c r="N246" s="873"/>
      <c r="O246" s="1282"/>
      <c r="P246" s="1208"/>
      <c r="Q246" s="1065"/>
      <c r="R246" s="1065"/>
      <c r="S246" s="1065"/>
      <c r="T246" s="1099"/>
      <c r="U246" s="1100"/>
      <c r="V246" s="1099"/>
      <c r="W246" s="1099"/>
      <c r="X246" s="1216"/>
      <c r="Z246" s="1311">
        <f t="shared" si="42"/>
        <v>0</v>
      </c>
      <c r="AA246" s="1374">
        <f t="shared" si="41"/>
        <v>0</v>
      </c>
    </row>
    <row r="247" spans="1:28" s="736" customFormat="1" ht="58.5" customHeight="1">
      <c r="A247" s="895"/>
      <c r="B247" s="1238" t="s">
        <v>268</v>
      </c>
      <c r="C247" s="871">
        <f>SUM(D247:E247)</f>
        <v>700</v>
      </c>
      <c r="D247" s="887">
        <v>0</v>
      </c>
      <c r="E247" s="887">
        <v>700</v>
      </c>
      <c r="F247" s="871">
        <f t="shared" si="50"/>
        <v>700</v>
      </c>
      <c r="G247" s="887">
        <f t="shared" si="52"/>
        <v>0</v>
      </c>
      <c r="H247" s="887">
        <f t="shared" si="52"/>
        <v>700</v>
      </c>
      <c r="I247" s="871">
        <f t="shared" si="47"/>
        <v>360.1</v>
      </c>
      <c r="J247" s="887">
        <v>0</v>
      </c>
      <c r="K247" s="887">
        <v>360.1</v>
      </c>
      <c r="L247" s="872">
        <f t="shared" si="49"/>
        <v>51.4</v>
      </c>
      <c r="M247" s="873">
        <f t="shared" si="49"/>
        <v>0</v>
      </c>
      <c r="N247" s="873">
        <f t="shared" si="49"/>
        <v>51.4</v>
      </c>
      <c r="O247" s="1282"/>
      <c r="P247" s="1208"/>
      <c r="Q247" s="1065">
        <f>C247-F247</f>
        <v>0</v>
      </c>
      <c r="R247" s="1065">
        <f t="shared" si="45"/>
        <v>0</v>
      </c>
      <c r="S247" s="1065">
        <f t="shared" si="45"/>
        <v>0</v>
      </c>
      <c r="T247" s="1099" t="s">
        <v>999</v>
      </c>
      <c r="U247" s="1100">
        <v>1110290400</v>
      </c>
      <c r="V247" s="1099">
        <v>414</v>
      </c>
      <c r="W247" s="1099">
        <v>10044</v>
      </c>
      <c r="X247" s="1216"/>
      <c r="Z247" s="1311">
        <f t="shared" si="42"/>
        <v>0</v>
      </c>
      <c r="AA247" s="1374">
        <f t="shared" si="41"/>
        <v>0</v>
      </c>
    </row>
    <row r="248" spans="1:28" s="736" customFormat="1" ht="29.25" customHeight="1">
      <c r="A248" s="895"/>
      <c r="B248" s="1238" t="s">
        <v>263</v>
      </c>
      <c r="C248" s="871">
        <f t="shared" si="48"/>
        <v>99500</v>
      </c>
      <c r="D248" s="887">
        <v>0</v>
      </c>
      <c r="E248" s="887">
        <v>99500</v>
      </c>
      <c r="F248" s="871">
        <f t="shared" si="50"/>
        <v>99500</v>
      </c>
      <c r="G248" s="887">
        <f t="shared" si="52"/>
        <v>0</v>
      </c>
      <c r="H248" s="887">
        <f t="shared" si="52"/>
        <v>99500</v>
      </c>
      <c r="I248" s="871">
        <f t="shared" si="47"/>
        <v>24867.5</v>
      </c>
      <c r="J248" s="887">
        <v>0</v>
      </c>
      <c r="K248" s="887">
        <v>24867.5</v>
      </c>
      <c r="L248" s="872">
        <f t="shared" si="49"/>
        <v>25</v>
      </c>
      <c r="M248" s="873">
        <f t="shared" si="49"/>
        <v>0</v>
      </c>
      <c r="N248" s="873">
        <f t="shared" si="49"/>
        <v>25</v>
      </c>
      <c r="O248" s="1282"/>
      <c r="P248" s="1208"/>
      <c r="Q248" s="1065">
        <f t="shared" si="45"/>
        <v>0</v>
      </c>
      <c r="R248" s="1065">
        <f t="shared" si="45"/>
        <v>0</v>
      </c>
      <c r="S248" s="1065">
        <f t="shared" si="45"/>
        <v>0</v>
      </c>
      <c r="T248" s="1099" t="s">
        <v>999</v>
      </c>
      <c r="U248" s="1100">
        <v>1110290400</v>
      </c>
      <c r="V248" s="1099">
        <v>414</v>
      </c>
      <c r="W248" s="1099">
        <v>10001</v>
      </c>
      <c r="X248" s="1216"/>
      <c r="Z248" s="1311">
        <f t="shared" si="42"/>
        <v>0</v>
      </c>
      <c r="AA248" s="1374">
        <f t="shared" si="41"/>
        <v>0</v>
      </c>
    </row>
    <row r="249" spans="1:28" ht="35.25" customHeight="1">
      <c r="A249" s="1102"/>
      <c r="B249" s="1079" t="s">
        <v>432</v>
      </c>
      <c r="C249" s="1080"/>
      <c r="D249" s="1079"/>
      <c r="E249" s="1079"/>
      <c r="F249" s="1080"/>
      <c r="G249" s="1079"/>
      <c r="H249" s="1079"/>
      <c r="I249" s="1203"/>
      <c r="J249" s="1210"/>
      <c r="K249" s="1210"/>
      <c r="L249" s="1081"/>
      <c r="M249" s="1082"/>
      <c r="N249" s="1082"/>
      <c r="O249" s="1282"/>
      <c r="Q249" s="1065">
        <f t="shared" si="45"/>
        <v>0</v>
      </c>
      <c r="R249" s="1065">
        <f t="shared" si="45"/>
        <v>0</v>
      </c>
      <c r="S249" s="1065">
        <f t="shared" si="45"/>
        <v>0</v>
      </c>
      <c r="Z249" s="1311">
        <f t="shared" si="42"/>
        <v>0</v>
      </c>
      <c r="AA249" s="1374">
        <f t="shared" si="41"/>
        <v>0</v>
      </c>
    </row>
    <row r="250" spans="1:28" ht="174" customHeight="1">
      <c r="A250" s="2402" t="s">
        <v>1346</v>
      </c>
      <c r="B250" s="2406"/>
      <c r="C250" s="893">
        <f t="shared" ref="C250:C256" si="53">SUM(D250:E250)</f>
        <v>865629.1</v>
      </c>
      <c r="D250" s="894">
        <f>SUM(D89,D19:D20)</f>
        <v>853456.8</v>
      </c>
      <c r="E250" s="894">
        <f>SUM(E89,E19:E20)</f>
        <v>12172.3</v>
      </c>
      <c r="F250" s="893">
        <f t="shared" ref="F250:F256" si="54">SUM(G250:H250)</f>
        <v>865629</v>
      </c>
      <c r="G250" s="894">
        <f>SUM(G89,G19:G20)</f>
        <v>853456.8</v>
      </c>
      <c r="H250" s="894">
        <f>SUM(H89,H19:H20)</f>
        <v>12172.2</v>
      </c>
      <c r="I250" s="893">
        <f t="shared" ref="I250:I256" si="55">SUM(J250:K250)</f>
        <v>94500.3</v>
      </c>
      <c r="J250" s="894">
        <f>SUM(J89,J19:J20)</f>
        <v>88997.3</v>
      </c>
      <c r="K250" s="894">
        <f>SUM(K89,K19:K20)</f>
        <v>5503</v>
      </c>
      <c r="L250" s="893">
        <f t="shared" ref="L250:L257" si="56">SUM(M250:N250)</f>
        <v>79.900000000000006</v>
      </c>
      <c r="M250" s="894">
        <f>SUM(M225,M122,M68)</f>
        <v>30</v>
      </c>
      <c r="N250" s="894">
        <f>SUM(N225,N122,N68)</f>
        <v>49.9</v>
      </c>
      <c r="O250" s="1282"/>
      <c r="Q250" s="1065">
        <f t="shared" si="45"/>
        <v>0.1</v>
      </c>
      <c r="R250" s="1065">
        <f t="shared" si="45"/>
        <v>0</v>
      </c>
      <c r="S250" s="1065">
        <f t="shared" si="45"/>
        <v>0.1</v>
      </c>
      <c r="Z250" s="1311">
        <f t="shared" si="42"/>
        <v>0.1</v>
      </c>
      <c r="AA250" s="1374">
        <f t="shared" si="41"/>
        <v>0.1</v>
      </c>
    </row>
    <row r="251" spans="1:28" ht="30" customHeight="1">
      <c r="A251" s="1385"/>
      <c r="B251" s="1385" t="s">
        <v>1347</v>
      </c>
      <c r="C251" s="871">
        <f>C20</f>
        <v>741029.8</v>
      </c>
      <c r="D251" s="894">
        <f>D20</f>
        <v>733604.7</v>
      </c>
      <c r="E251" s="894">
        <f t="shared" ref="E251:K251" si="57">E20</f>
        <v>7425.1</v>
      </c>
      <c r="F251" s="871">
        <f t="shared" si="57"/>
        <v>741029.7</v>
      </c>
      <c r="G251" s="894">
        <f t="shared" si="57"/>
        <v>733604.7</v>
      </c>
      <c r="H251" s="894">
        <f t="shared" si="57"/>
        <v>7425</v>
      </c>
      <c r="I251" s="871">
        <f t="shared" si="57"/>
        <v>78426.8</v>
      </c>
      <c r="J251" s="894">
        <f t="shared" si="57"/>
        <v>77670.899999999994</v>
      </c>
      <c r="K251" s="894">
        <f t="shared" si="57"/>
        <v>755.9</v>
      </c>
      <c r="L251" s="893">
        <f>SUM(M251:N251)</f>
        <v>30.4</v>
      </c>
      <c r="M251" s="894">
        <f>SUM(M226,M123,M69)</f>
        <v>15.2</v>
      </c>
      <c r="N251" s="894">
        <f>SUM(N226,N123,N69)</f>
        <v>15.2</v>
      </c>
      <c r="O251" s="1282"/>
      <c r="Q251" s="1065"/>
      <c r="R251" s="1065"/>
      <c r="S251" s="1065"/>
      <c r="Z251" s="1311"/>
      <c r="AA251" s="1374"/>
    </row>
    <row r="252" spans="1:28" ht="63.75" customHeight="1">
      <c r="A252" s="2402" t="s">
        <v>1098</v>
      </c>
      <c r="B252" s="2406"/>
      <c r="C252" s="893">
        <f t="shared" si="53"/>
        <v>817372.5</v>
      </c>
      <c r="D252" s="1400">
        <f>SUM(D18,D101,D99,D100,D23,D124,D33)-12300.3</f>
        <v>696497.1</v>
      </c>
      <c r="E252" s="1396">
        <f>SUM(E18,E101,E99,E100,E23,E124,E33)</f>
        <v>120875.4</v>
      </c>
      <c r="F252" s="893">
        <f>SUM(G252:H252)</f>
        <v>773904.1</v>
      </c>
      <c r="G252" s="894">
        <f>SUM(G18,G101,G99,G100,G23,G124,G33)</f>
        <v>653463.4</v>
      </c>
      <c r="H252" s="1396">
        <f>SUM(H18,H101,H99,H100,H23,H124,H33)</f>
        <v>120440.7</v>
      </c>
      <c r="I252" s="893">
        <f>SUM(J252:K252)</f>
        <v>39799.800000000003</v>
      </c>
      <c r="J252" s="894">
        <f>SUM(J18,J101,J99,J100,J23,J124,J33)</f>
        <v>24321.5</v>
      </c>
      <c r="K252" s="1396">
        <f>SUM(K18,K101,K99,K100,K23,K124,K33)</f>
        <v>15478.3</v>
      </c>
      <c r="L252" s="893">
        <f t="shared" si="56"/>
        <v>125.9</v>
      </c>
      <c r="M252" s="894">
        <f>SUM(M229,M123,M69)</f>
        <v>63</v>
      </c>
      <c r="N252" s="894">
        <f>SUM(N229,N123,N69)</f>
        <v>62.9</v>
      </c>
      <c r="O252" s="1282"/>
      <c r="Q252" s="1065"/>
      <c r="R252" s="1065"/>
      <c r="S252" s="1065"/>
      <c r="Z252" s="1311">
        <f t="shared" si="42"/>
        <v>43468.4</v>
      </c>
      <c r="AA252" s="1374">
        <f t="shared" si="41"/>
        <v>43468.4</v>
      </c>
    </row>
    <row r="253" spans="1:28" ht="65.25" customHeight="1">
      <c r="A253" s="2402" t="s">
        <v>780</v>
      </c>
      <c r="B253" s="2406"/>
      <c r="C253" s="1398">
        <f t="shared" si="53"/>
        <v>3487177.2</v>
      </c>
      <c r="D253" s="1396">
        <f>D144+D69+D229-D255</f>
        <v>3276914.7</v>
      </c>
      <c r="E253" s="1396">
        <f>E144+E69+E229-E255</f>
        <v>210262.5</v>
      </c>
      <c r="F253" s="1398">
        <f>SUM(G253:H253)</f>
        <v>3485284.9</v>
      </c>
      <c r="G253" s="1396">
        <f>G144+G69+G229-G255</f>
        <v>3275215.9</v>
      </c>
      <c r="H253" s="1396">
        <f>H144+H69+H229-H255</f>
        <v>210069</v>
      </c>
      <c r="I253" s="1398">
        <f t="shared" si="55"/>
        <v>838298.2</v>
      </c>
      <c r="J253" s="1396">
        <f>J144+J69+J229-J255</f>
        <v>787840.6</v>
      </c>
      <c r="K253" s="1396">
        <f>K144+K69+K229-K255</f>
        <v>50457.599999999999</v>
      </c>
      <c r="L253" s="1398">
        <f t="shared" si="56"/>
        <v>165.4</v>
      </c>
      <c r="M253" s="1396">
        <f>SUM(M229,M144,M69)</f>
        <v>78.8</v>
      </c>
      <c r="N253" s="1396">
        <f>SUM(N229,N144,N69)</f>
        <v>86.6</v>
      </c>
      <c r="O253" s="1282"/>
      <c r="Q253" s="1065">
        <f t="shared" si="45"/>
        <v>1892.3</v>
      </c>
      <c r="R253" s="1065">
        <f t="shared" si="45"/>
        <v>1698.8</v>
      </c>
      <c r="S253" s="1065">
        <f t="shared" si="45"/>
        <v>193.5</v>
      </c>
      <c r="Z253" s="1311">
        <f t="shared" si="42"/>
        <v>1892.3</v>
      </c>
      <c r="AA253" s="1374">
        <f t="shared" si="41"/>
        <v>1892.3</v>
      </c>
    </row>
    <row r="254" spans="1:28" ht="62.25" customHeight="1">
      <c r="A254" s="2402" t="s">
        <v>1031</v>
      </c>
      <c r="B254" s="2406"/>
      <c r="C254" s="1398">
        <f t="shared" si="53"/>
        <v>291224.90000000002</v>
      </c>
      <c r="D254" s="1396">
        <f>SUM(D255:D256)</f>
        <v>0</v>
      </c>
      <c r="E254" s="1396">
        <f>SUM(E255:E256)</f>
        <v>291224.90000000002</v>
      </c>
      <c r="F254" s="1398">
        <f t="shared" si="54"/>
        <v>291224.90000000002</v>
      </c>
      <c r="G254" s="1396">
        <f>SUM(G255:G256)</f>
        <v>0</v>
      </c>
      <c r="H254" s="1396">
        <f>SUM(H255:H256)</f>
        <v>291224.90000000002</v>
      </c>
      <c r="I254" s="1398">
        <f t="shared" si="55"/>
        <v>63333.2</v>
      </c>
      <c r="J254" s="1396">
        <f>SUM(J255:J256)</f>
        <v>0</v>
      </c>
      <c r="K254" s="1396">
        <f>SUM(K255:K256)</f>
        <v>63333.2</v>
      </c>
      <c r="L254" s="1398">
        <f t="shared" si="56"/>
        <v>207</v>
      </c>
      <c r="M254" s="1396">
        <f t="shared" ref="M254:N257" si="58">SUM(M231,M152,M70)</f>
        <v>103.5</v>
      </c>
      <c r="N254" s="1396">
        <f t="shared" si="58"/>
        <v>103.5</v>
      </c>
      <c r="O254" s="1282"/>
      <c r="Q254" s="1065">
        <f t="shared" si="45"/>
        <v>0</v>
      </c>
      <c r="R254" s="1065">
        <f t="shared" si="45"/>
        <v>0</v>
      </c>
      <c r="S254" s="1065">
        <f t="shared" si="45"/>
        <v>0</v>
      </c>
      <c r="Z254" s="1311">
        <f t="shared" si="42"/>
        <v>0</v>
      </c>
      <c r="AA254" s="1374">
        <f t="shared" si="41"/>
        <v>0</v>
      </c>
    </row>
    <row r="255" spans="1:28" ht="36" customHeight="1">
      <c r="A255" s="895"/>
      <c r="B255" s="1391" t="s">
        <v>778</v>
      </c>
      <c r="C255" s="876">
        <f t="shared" ref="C255:J255" si="59">SUM(C145,C146,C147,C148,C149,C151,C150,C176,C180,C183,C191,C193,C201,C179,C159:C161,C196)</f>
        <v>111250.5</v>
      </c>
      <c r="D255" s="877">
        <f t="shared" si="59"/>
        <v>0</v>
      </c>
      <c r="E255" s="877">
        <f>SUM(E145,E146,E147,E148,E149,E151,E150,E176,E180,E183,E191,E193,E201,E179,E159:E161,E196)</f>
        <v>111250.5</v>
      </c>
      <c r="F255" s="876">
        <f t="shared" si="59"/>
        <v>111250.5</v>
      </c>
      <c r="G255" s="877">
        <f t="shared" si="59"/>
        <v>0</v>
      </c>
      <c r="H255" s="877">
        <f>SUM(H145,H146,H147,H148,H149,H151,H150,H176,H180,H183,H191,H193,H201,H179,H159:H161,H196)</f>
        <v>111250.5</v>
      </c>
      <c r="I255" s="876">
        <f t="shared" si="59"/>
        <v>37150.400000000001</v>
      </c>
      <c r="J255" s="877">
        <f t="shared" si="59"/>
        <v>0</v>
      </c>
      <c r="K255" s="877">
        <f>SUM(K145,K146,K147,K148,K149,K151,K150,K176,K180,K183,K191,K193,K201,K179,K159:K161,K196)</f>
        <v>37150.400000000001</v>
      </c>
      <c r="L255" s="1398">
        <f t="shared" si="56"/>
        <v>271.60000000000002</v>
      </c>
      <c r="M255" s="1396">
        <f t="shared" si="58"/>
        <v>135.80000000000001</v>
      </c>
      <c r="N255" s="1396">
        <f t="shared" si="58"/>
        <v>135.80000000000001</v>
      </c>
      <c r="O255" s="1282"/>
      <c r="Q255" s="1065">
        <f t="shared" si="45"/>
        <v>0</v>
      </c>
      <c r="R255" s="1065">
        <f t="shared" si="45"/>
        <v>0</v>
      </c>
      <c r="S255" s="1065">
        <f t="shared" si="45"/>
        <v>0</v>
      </c>
      <c r="T255" s="1114"/>
      <c r="Z255" s="1311">
        <f t="shared" si="42"/>
        <v>0</v>
      </c>
      <c r="AA255" s="1374">
        <f t="shared" si="41"/>
        <v>0</v>
      </c>
    </row>
    <row r="256" spans="1:28" ht="36" customHeight="1">
      <c r="A256" s="895"/>
      <c r="B256" s="1391" t="s">
        <v>779</v>
      </c>
      <c r="C256" s="1398">
        <f t="shared" si="53"/>
        <v>179974.39999999999</v>
      </c>
      <c r="D256" s="877">
        <f>SUM(D104:D114,D91:D98,D115:D119,D120:D123,D102,D125:D137)</f>
        <v>0</v>
      </c>
      <c r="E256" s="877">
        <f>SUM(E104:E114,E91:E98,E115:E119,E120:E123,E102,E125:E137,E139,E142)</f>
        <v>179974.39999999999</v>
      </c>
      <c r="F256" s="1398">
        <f t="shared" si="54"/>
        <v>179974.39999999999</v>
      </c>
      <c r="G256" s="877">
        <f>SUM(G104:G114,G91:G98,G115:G119,G120:G123,G102,G125:G137)</f>
        <v>0</v>
      </c>
      <c r="H256" s="877">
        <f>SUM(H104:H114,H91:H98,H115:H119,H120:H123,H102,H125:H137,H139,H142)</f>
        <v>179974.39999999999</v>
      </c>
      <c r="I256" s="1398">
        <f t="shared" si="55"/>
        <v>26182.799999999999</v>
      </c>
      <c r="J256" s="877">
        <f>SUM(J104:J114,J91:J98,J115:J119,J120:J123,J102,J125:J137)</f>
        <v>0</v>
      </c>
      <c r="K256" s="877">
        <f>SUM(K104:K114,K91:K98,K115:K119,K120:K123,K102,K125:K137,K139,K142)</f>
        <v>26182.799999999999</v>
      </c>
      <c r="L256" s="1398">
        <f t="shared" si="56"/>
        <v>109</v>
      </c>
      <c r="M256" s="1396">
        <f t="shared" si="58"/>
        <v>54.5</v>
      </c>
      <c r="N256" s="1396">
        <f t="shared" si="58"/>
        <v>54.5</v>
      </c>
      <c r="O256" s="1282"/>
      <c r="Q256" s="1065">
        <f t="shared" si="45"/>
        <v>0</v>
      </c>
      <c r="R256" s="1065">
        <f t="shared" si="45"/>
        <v>0</v>
      </c>
      <c r="S256" s="1065">
        <f t="shared" si="45"/>
        <v>0</v>
      </c>
      <c r="Z256" s="1311">
        <f t="shared" si="42"/>
        <v>0</v>
      </c>
      <c r="AA256" s="1374">
        <f t="shared" si="41"/>
        <v>0</v>
      </c>
    </row>
    <row r="257" spans="1:27" ht="70.5" customHeight="1">
      <c r="A257" s="2397" t="s">
        <v>1316</v>
      </c>
      <c r="B257" s="2398"/>
      <c r="C257" s="876">
        <f>D257+E257</f>
        <v>1280408</v>
      </c>
      <c r="D257" s="879">
        <f>D12-D250-D252-D253-D254</f>
        <v>668800.30000000005</v>
      </c>
      <c r="E257" s="879">
        <f>E12-E250-E252-E253-E254</f>
        <v>611607.69999999995</v>
      </c>
      <c r="F257" s="876">
        <f>G257+H257</f>
        <v>1263900.7</v>
      </c>
      <c r="G257" s="879">
        <f>G12-G250-G252-G253-G254</f>
        <v>656500</v>
      </c>
      <c r="H257" s="879">
        <f>H12-H250-H252-H253-H254</f>
        <v>607400.69999999995</v>
      </c>
      <c r="I257" s="876">
        <f>J257+K257</f>
        <v>102625.9</v>
      </c>
      <c r="J257" s="879">
        <f>J12-J250-J252-J253-J254</f>
        <v>46212.3</v>
      </c>
      <c r="K257" s="879">
        <f>K12-K250-K252-K253-K254</f>
        <v>56413.599999999999</v>
      </c>
      <c r="L257" s="893">
        <f t="shared" si="56"/>
        <v>110.2</v>
      </c>
      <c r="M257" s="894">
        <f t="shared" si="58"/>
        <v>55.1</v>
      </c>
      <c r="N257" s="894">
        <f t="shared" si="58"/>
        <v>55.1</v>
      </c>
      <c r="O257" s="1282"/>
      <c r="Q257" s="1065">
        <f t="shared" si="45"/>
        <v>16507.3</v>
      </c>
      <c r="R257" s="1065">
        <f t="shared" si="45"/>
        <v>12300.3</v>
      </c>
      <c r="S257" s="1065">
        <f t="shared" si="45"/>
        <v>4207</v>
      </c>
      <c r="Z257" s="1311">
        <f>C257-F257</f>
        <v>16507.3</v>
      </c>
      <c r="AA257" s="1374">
        <f t="shared" si="41"/>
        <v>16507.3</v>
      </c>
    </row>
    <row r="258" spans="1:27" ht="51.75" customHeight="1">
      <c r="A258" s="1103"/>
      <c r="B258" s="797"/>
      <c r="C258" s="1403"/>
      <c r="D258" s="799"/>
      <c r="E258" s="799"/>
      <c r="F258" s="1403"/>
      <c r="G258" s="799"/>
      <c r="H258" s="799"/>
      <c r="I258" s="1408"/>
      <c r="J258" s="799"/>
      <c r="K258" s="799"/>
      <c r="L258" s="1403"/>
      <c r="M258" s="799"/>
      <c r="N258" s="799"/>
      <c r="Q258" s="807" t="s">
        <v>813</v>
      </c>
      <c r="R258" s="1070" t="s">
        <v>814</v>
      </c>
      <c r="S258" s="1070" t="s">
        <v>815</v>
      </c>
    </row>
    <row r="259" spans="1:27" s="939" customFormat="1" ht="35.25" customHeight="1">
      <c r="A259" s="1104"/>
      <c r="B259" s="939" t="s">
        <v>310</v>
      </c>
      <c r="C259" s="940"/>
      <c r="D259" s="941"/>
      <c r="E259" s="1288"/>
      <c r="F259" s="1405"/>
      <c r="G259" s="942"/>
      <c r="H259" s="942"/>
      <c r="I259" s="1205"/>
      <c r="J259" s="942"/>
      <c r="K259" s="2399" t="s">
        <v>613</v>
      </c>
      <c r="L259" s="2399"/>
      <c r="M259" s="943"/>
      <c r="N259" s="943"/>
      <c r="O259" s="1208"/>
      <c r="P259" s="1208"/>
      <c r="Q259" s="807"/>
      <c r="R259" s="778"/>
      <c r="S259" s="778">
        <f>S139+S140</f>
        <v>0</v>
      </c>
      <c r="T259" s="1138" t="s">
        <v>1034</v>
      </c>
      <c r="U259" s="1100"/>
      <c r="V259" s="1099"/>
      <c r="W259" s="1099"/>
      <c r="X259" s="1216"/>
      <c r="Z259" s="1312"/>
    </row>
    <row r="260" spans="1:27" s="939" customFormat="1" ht="39.75" customHeight="1">
      <c r="A260" s="1104"/>
      <c r="B260" s="712" t="s">
        <v>1342</v>
      </c>
      <c r="C260" s="1366"/>
      <c r="D260" s="1367"/>
      <c r="E260" s="943"/>
      <c r="F260" s="1406"/>
      <c r="G260" s="1368"/>
      <c r="H260" s="1368"/>
      <c r="I260" s="1369"/>
      <c r="J260" s="1368"/>
      <c r="K260" s="2399"/>
      <c r="L260" s="2399"/>
      <c r="M260" s="943"/>
      <c r="N260" s="943"/>
      <c r="O260" s="1208"/>
      <c r="P260" s="1208"/>
      <c r="Q260" s="807"/>
      <c r="R260" s="778"/>
      <c r="S260" s="778">
        <f>S140+S141</f>
        <v>0</v>
      </c>
      <c r="T260" s="1138" t="s">
        <v>1034</v>
      </c>
      <c r="U260" s="1100"/>
      <c r="V260" s="1099"/>
      <c r="W260" s="1099"/>
      <c r="X260" s="1216"/>
      <c r="Z260" s="1312"/>
    </row>
    <row r="261" spans="1:27" s="939" customFormat="1" ht="78.75" customHeight="1">
      <c r="A261" s="1104"/>
      <c r="C261" s="1366"/>
      <c r="D261" s="1367"/>
      <c r="E261" s="943"/>
      <c r="F261" s="1406"/>
      <c r="G261" s="1368"/>
      <c r="H261" s="1368"/>
      <c r="I261" s="1369"/>
      <c r="J261" s="1368"/>
      <c r="K261" s="1386"/>
      <c r="L261" s="1410"/>
      <c r="M261" s="943"/>
      <c r="N261" s="943"/>
      <c r="O261" s="1208"/>
      <c r="P261" s="1208"/>
      <c r="Q261" s="807"/>
      <c r="R261" s="778"/>
      <c r="S261" s="778"/>
      <c r="T261" s="1138"/>
      <c r="U261" s="1100"/>
      <c r="V261" s="1099"/>
      <c r="W261" s="1099"/>
      <c r="X261" s="1216"/>
      <c r="Z261" s="1312"/>
    </row>
    <row r="262" spans="1:27" ht="88.5" customHeight="1">
      <c r="A262" s="1105"/>
      <c r="B262" s="791"/>
      <c r="C262" s="1370"/>
      <c r="D262" s="1371"/>
      <c r="E262" s="2372"/>
      <c r="F262" s="2372"/>
      <c r="G262" s="1372"/>
      <c r="H262" s="1371"/>
      <c r="I262" s="1373"/>
      <c r="J262" s="1371"/>
      <c r="K262" s="1371"/>
      <c r="Q262" s="807"/>
      <c r="R262" s="778">
        <f>R224</f>
        <v>1698.8</v>
      </c>
      <c r="S262" s="778">
        <f>S224</f>
        <v>193.5</v>
      </c>
      <c r="T262" s="1138" t="s">
        <v>1033</v>
      </c>
    </row>
    <row r="263" spans="1:27" ht="45" customHeight="1">
      <c r="A263" s="1105"/>
      <c r="B263" s="791"/>
      <c r="C263" s="793"/>
      <c r="E263" s="1382"/>
      <c r="F263" s="1407"/>
      <c r="G263" s="756"/>
      <c r="Q263" s="807"/>
      <c r="R263" s="1071"/>
      <c r="S263" s="1071"/>
      <c r="T263" s="1138"/>
    </row>
    <row r="264" spans="1:27" ht="58.5" customHeight="1">
      <c r="E264" s="742"/>
      <c r="Q264" s="1071"/>
      <c r="R264" s="778">
        <f>R18</f>
        <v>43033.7</v>
      </c>
      <c r="S264" s="778">
        <f>S18</f>
        <v>434.7</v>
      </c>
      <c r="T264" s="1138" t="s">
        <v>816</v>
      </c>
    </row>
    <row r="265" spans="1:27" s="1100" customFormat="1" ht="46.5" customHeight="1">
      <c r="A265" s="1101"/>
      <c r="B265" s="497"/>
      <c r="C265" s="700"/>
      <c r="D265" s="497"/>
      <c r="E265" s="742"/>
      <c r="F265" s="700"/>
      <c r="G265" s="497"/>
      <c r="H265" s="497"/>
      <c r="I265" s="714"/>
      <c r="J265" s="497"/>
      <c r="K265" s="497"/>
      <c r="L265" s="700"/>
      <c r="M265" s="497"/>
      <c r="N265" s="497"/>
      <c r="O265" s="1208"/>
      <c r="P265" s="1208"/>
      <c r="Q265" s="778"/>
      <c r="R265" s="778"/>
      <c r="S265" s="778"/>
      <c r="T265" s="1138"/>
      <c r="V265" s="1099"/>
      <c r="W265" s="1099"/>
      <c r="X265" s="1216"/>
      <c r="Y265" s="497"/>
      <c r="Z265" s="1035"/>
    </row>
    <row r="266" spans="1:27" s="1100" customFormat="1" ht="47.25" customHeight="1">
      <c r="A266" s="1101"/>
      <c r="B266" s="497"/>
      <c r="C266" s="700"/>
      <c r="D266" s="497"/>
      <c r="E266" s="497"/>
      <c r="F266" s="700"/>
      <c r="G266" s="497"/>
      <c r="H266" s="497"/>
      <c r="I266" s="714"/>
      <c r="J266" s="497"/>
      <c r="K266" s="497"/>
      <c r="L266" s="700"/>
      <c r="M266" s="497"/>
      <c r="N266" s="497"/>
      <c r="O266" s="1208"/>
      <c r="P266" s="1208"/>
      <c r="Q266" s="1071"/>
      <c r="R266" s="1071"/>
      <c r="S266" s="778"/>
      <c r="T266" s="1138"/>
      <c r="V266" s="1099"/>
      <c r="W266" s="1099"/>
      <c r="X266" s="1216"/>
      <c r="Y266" s="497"/>
      <c r="Z266" s="1035"/>
    </row>
    <row r="267" spans="1:27" s="1100" customFormat="1" ht="45" customHeight="1">
      <c r="A267" s="1101"/>
      <c r="B267" s="497"/>
      <c r="C267" s="700"/>
      <c r="D267" s="497"/>
      <c r="E267" s="497"/>
      <c r="F267" s="700"/>
      <c r="G267" s="497"/>
      <c r="H267" s="497"/>
      <c r="I267" s="714"/>
      <c r="J267" s="497"/>
      <c r="K267" s="497"/>
      <c r="L267" s="700"/>
      <c r="M267" s="497"/>
      <c r="N267" s="497"/>
      <c r="O267" s="1208"/>
      <c r="P267" s="1208"/>
      <c r="Q267" s="497"/>
      <c r="R267" s="756">
        <f>R12-R260-R262-R263-R264-R265-R266</f>
        <v>12300.3</v>
      </c>
      <c r="S267" s="756">
        <f>S12-S260-S262-S263-S264-S265-S266</f>
        <v>4207.1000000000004</v>
      </c>
      <c r="T267" s="1099"/>
      <c r="V267" s="1099"/>
      <c r="W267" s="1099"/>
      <c r="X267" s="1216"/>
      <c r="Y267" s="497"/>
      <c r="Z267" s="1035"/>
    </row>
    <row r="268" spans="1:27" s="1100" customFormat="1" ht="56.25" customHeight="1">
      <c r="A268" s="1101"/>
      <c r="B268" s="497"/>
      <c r="C268" s="700"/>
      <c r="D268" s="497"/>
      <c r="E268" s="497"/>
      <c r="F268" s="700"/>
      <c r="G268" s="497"/>
      <c r="H268" s="497"/>
      <c r="I268" s="714"/>
      <c r="J268" s="497"/>
      <c r="K268" s="497"/>
      <c r="L268" s="700"/>
      <c r="M268" s="497"/>
      <c r="N268" s="497"/>
      <c r="O268" s="1208"/>
      <c r="P268" s="1208"/>
      <c r="Q268" s="497"/>
      <c r="R268" s="1067"/>
      <c r="S268" s="1067"/>
      <c r="T268" s="1099"/>
      <c r="V268" s="1099"/>
      <c r="W268" s="1099"/>
      <c r="X268" s="1216"/>
      <c r="Y268" s="497"/>
      <c r="Z268" s="1035"/>
    </row>
  </sheetData>
  <mergeCells count="105">
    <mergeCell ref="A1:B1"/>
    <mergeCell ref="K1:N1"/>
    <mergeCell ref="I3:L3"/>
    <mergeCell ref="A5:W5"/>
    <mergeCell ref="A6:W6"/>
    <mergeCell ref="A7:W7"/>
    <mergeCell ref="P8:Q8"/>
    <mergeCell ref="A9:A10"/>
    <mergeCell ref="B9:B10"/>
    <mergeCell ref="C9:C10"/>
    <mergeCell ref="D9:E9"/>
    <mergeCell ref="F9:F10"/>
    <mergeCell ref="G9:H9"/>
    <mergeCell ref="I9:I10"/>
    <mergeCell ref="J9:K9"/>
    <mergeCell ref="L9:L10"/>
    <mergeCell ref="M9:N9"/>
    <mergeCell ref="O9:O10"/>
    <mergeCell ref="P9:P10"/>
    <mergeCell ref="A13:B13"/>
    <mergeCell ref="X18:X20"/>
    <mergeCell ref="I37:I38"/>
    <mergeCell ref="J37:J38"/>
    <mergeCell ref="K37:K38"/>
    <mergeCell ref="L37:L38"/>
    <mergeCell ref="M37:M38"/>
    <mergeCell ref="N37:N38"/>
    <mergeCell ref="T37:T38"/>
    <mergeCell ref="U37:U38"/>
    <mergeCell ref="V37:V38"/>
    <mergeCell ref="W37:W38"/>
    <mergeCell ref="X37:X38"/>
    <mergeCell ref="X64:X68"/>
    <mergeCell ref="P65:P66"/>
    <mergeCell ref="I64:I68"/>
    <mergeCell ref="J64:J68"/>
    <mergeCell ref="K64:K68"/>
    <mergeCell ref="L64:L68"/>
    <mergeCell ref="M64:M68"/>
    <mergeCell ref="N64:N68"/>
    <mergeCell ref="T64:T68"/>
    <mergeCell ref="U64:U68"/>
    <mergeCell ref="V64:V68"/>
    <mergeCell ref="W64:W68"/>
    <mergeCell ref="T99:T100"/>
    <mergeCell ref="U99:U100"/>
    <mergeCell ref="V99:V100"/>
    <mergeCell ref="W99:W100"/>
    <mergeCell ref="X99:X100"/>
    <mergeCell ref="A102:A103"/>
    <mergeCell ref="I99:I100"/>
    <mergeCell ref="J99:J100"/>
    <mergeCell ref="K99:K100"/>
    <mergeCell ref="L99:L100"/>
    <mergeCell ref="M99:M100"/>
    <mergeCell ref="N99:N100"/>
    <mergeCell ref="X152:X158"/>
    <mergeCell ref="A176:A177"/>
    <mergeCell ref="I181:I182"/>
    <mergeCell ref="J181:J182"/>
    <mergeCell ref="K181:K182"/>
    <mergeCell ref="L181:L182"/>
    <mergeCell ref="M181:M182"/>
    <mergeCell ref="N181:N182"/>
    <mergeCell ref="O181:O182"/>
    <mergeCell ref="P181:P182"/>
    <mergeCell ref="T181:T182"/>
    <mergeCell ref="U181:U182"/>
    <mergeCell ref="V181:V182"/>
    <mergeCell ref="W181:W182"/>
    <mergeCell ref="X181:X182"/>
    <mergeCell ref="J152:J158"/>
    <mergeCell ref="K152:K158"/>
    <mergeCell ref="L152:L158"/>
    <mergeCell ref="M152:M158"/>
    <mergeCell ref="N152:N158"/>
    <mergeCell ref="T152:T158"/>
    <mergeCell ref="U152:U158"/>
    <mergeCell ref="V152:V158"/>
    <mergeCell ref="W152:W158"/>
    <mergeCell ref="V184:V186"/>
    <mergeCell ref="W184:W186"/>
    <mergeCell ref="K260:L260"/>
    <mergeCell ref="X184:X186"/>
    <mergeCell ref="A189:A190"/>
    <mergeCell ref="M184:M186"/>
    <mergeCell ref="N184:N186"/>
    <mergeCell ref="T184:T186"/>
    <mergeCell ref="U184:U186"/>
    <mergeCell ref="A193:A195"/>
    <mergeCell ref="A254:B254"/>
    <mergeCell ref="A257:B257"/>
    <mergeCell ref="E262:F262"/>
    <mergeCell ref="A196:A197"/>
    <mergeCell ref="A201:A202"/>
    <mergeCell ref="A204:B204"/>
    <mergeCell ref="A250:B250"/>
    <mergeCell ref="A252:B252"/>
    <mergeCell ref="A191:A192"/>
    <mergeCell ref="K259:L259"/>
    <mergeCell ref="I184:I186"/>
    <mergeCell ref="J184:J186"/>
    <mergeCell ref="K184:K186"/>
    <mergeCell ref="L184:L186"/>
    <mergeCell ref="A253:B253"/>
  </mergeCells>
  <pageMargins left="0.22" right="0.19685039370078741" top="0.23622047244094491" bottom="0.51181102362204722" header="0.15748031496062992" footer="0.47244094488188981"/>
  <pageSetup paperSize="9" scale="35" fitToHeight="15" orientation="landscape" r:id="rId1"/>
  <customProperties>
    <customPr name="krista_fm_consts" r:id="rId2"/>
  </customProperties>
</worksheet>
</file>

<file path=xl/worksheets/sheet26.xml><?xml version="1.0" encoding="utf-8"?>
<worksheet xmlns="http://schemas.openxmlformats.org/spreadsheetml/2006/main" xmlns:r="http://schemas.openxmlformats.org/officeDocument/2006/relationships">
  <sheetPr>
    <pageSetUpPr fitToPage="1"/>
  </sheetPr>
  <dimension ref="A1:AE267"/>
  <sheetViews>
    <sheetView topLeftCell="A11" zoomScale="60" zoomScaleNormal="60" zoomScaleSheetLayoutView="40" workbookViewId="0">
      <selection activeCell="A20" sqref="A20"/>
    </sheetView>
  </sheetViews>
  <sheetFormatPr defaultColWidth="9.140625" defaultRowHeight="30"/>
  <cols>
    <col min="1" max="1" width="14.14062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4.140625" style="714" customWidth="1"/>
    <col min="10" max="10" width="22.5703125" style="497" customWidth="1"/>
    <col min="11" max="11" width="22" style="497" customWidth="1"/>
    <col min="12" max="12" width="23.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26" width="22" style="1035" hidden="1" customWidth="1"/>
    <col min="27" max="27" width="38.85546875" style="497" hidden="1" customWidth="1"/>
    <col min="28" max="28" width="38.85546875" style="497" customWidth="1"/>
    <col min="29" max="29" width="37.7109375" style="756" customWidth="1"/>
    <col min="30" max="30" width="20.85546875" style="497" bestFit="1" customWidth="1"/>
    <col min="31" max="31" width="25.5703125" style="497" customWidth="1"/>
    <col min="32" max="16384" width="9.140625" style="497"/>
  </cols>
  <sheetData>
    <row r="1" spans="1:29">
      <c r="A1" s="2359"/>
      <c r="B1" s="2359"/>
      <c r="C1" s="817"/>
      <c r="D1" s="817"/>
      <c r="E1" s="817"/>
      <c r="F1" s="817"/>
      <c r="G1" s="817"/>
      <c r="H1" s="817"/>
      <c r="I1" s="817"/>
      <c r="K1" s="2384" t="s">
        <v>513</v>
      </c>
      <c r="L1" s="2384"/>
      <c r="M1" s="2384"/>
      <c r="N1" s="2384"/>
    </row>
    <row r="2" spans="1:29" hidden="1">
      <c r="B2" s="1426"/>
      <c r="C2" s="714"/>
      <c r="D2" s="1426"/>
      <c r="E2" s="1426"/>
      <c r="L2" s="714"/>
    </row>
    <row r="3" spans="1:29" s="467" customFormat="1" hidden="1">
      <c r="A3" s="860"/>
      <c r="B3" s="859"/>
      <c r="C3" s="715"/>
      <c r="D3" s="716"/>
      <c r="E3" s="716"/>
      <c r="F3" s="715"/>
      <c r="G3" s="716"/>
      <c r="H3" s="716"/>
      <c r="I3" s="2312"/>
      <c r="J3" s="2312"/>
      <c r="K3" s="2312"/>
      <c r="L3" s="2312"/>
      <c r="N3" s="717"/>
      <c r="O3" s="1221"/>
      <c r="P3" s="1221"/>
      <c r="T3" s="1107"/>
      <c r="U3" s="1108"/>
      <c r="V3" s="1107"/>
      <c r="W3" s="1107"/>
      <c r="X3" s="1217"/>
      <c r="Z3" s="1032"/>
      <c r="AC3" s="1421"/>
    </row>
    <row r="4" spans="1:29"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c r="Z4" s="1032"/>
      <c r="AC4" s="1421"/>
    </row>
    <row r="5" spans="1:29" s="467" customFormat="1" ht="28.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c r="AC5" s="1421"/>
    </row>
    <row r="6" spans="1:29"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c r="AC6" s="1421"/>
    </row>
    <row r="7" spans="1:29" s="467" customFormat="1" ht="38.25" customHeight="1">
      <c r="A7" s="2473" t="s">
        <v>1349</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c r="AC7" s="1421"/>
    </row>
    <row r="8" spans="1:29" s="1063" customFormat="1" ht="25.5" customHeight="1">
      <c r="A8" s="1073"/>
      <c r="B8" s="1073"/>
      <c r="C8" s="1061"/>
      <c r="D8" s="1351"/>
      <c r="E8" s="1058"/>
      <c r="F8" s="1061"/>
      <c r="G8" s="1058"/>
      <c r="H8" s="1060"/>
      <c r="I8" s="1201"/>
      <c r="J8" s="1062"/>
      <c r="K8" s="1364"/>
      <c r="L8" s="1409"/>
      <c r="N8" s="1062"/>
      <c r="O8" s="1221"/>
      <c r="P8" s="2423"/>
      <c r="Q8" s="2423"/>
      <c r="T8" s="1107"/>
      <c r="U8" s="1108"/>
      <c r="V8" s="1107"/>
      <c r="W8" s="1107"/>
      <c r="X8" s="1212"/>
      <c r="Z8" s="1309"/>
      <c r="AC8" s="1422"/>
    </row>
    <row r="9" spans="1:29" s="791" customFormat="1" ht="70.5" customHeight="1">
      <c r="A9" s="2394" t="s">
        <v>18</v>
      </c>
      <c r="B9" s="2395" t="s">
        <v>0</v>
      </c>
      <c r="C9" s="2396" t="s">
        <v>614</v>
      </c>
      <c r="D9" s="2424" t="s">
        <v>257</v>
      </c>
      <c r="E9" s="2424"/>
      <c r="F9" s="2396" t="s">
        <v>442</v>
      </c>
      <c r="G9" s="2424" t="s">
        <v>257</v>
      </c>
      <c r="H9" s="2424"/>
      <c r="I9" s="2407" t="s">
        <v>237</v>
      </c>
      <c r="J9" s="2424" t="s">
        <v>257</v>
      </c>
      <c r="K9" s="2424"/>
      <c r="L9" s="2396" t="s">
        <v>1313</v>
      </c>
      <c r="M9" s="2424" t="s">
        <v>448</v>
      </c>
      <c r="N9" s="2424"/>
      <c r="O9" s="2460" t="s">
        <v>1110</v>
      </c>
      <c r="P9" s="2460" t="s">
        <v>1106</v>
      </c>
      <c r="T9" s="1099"/>
      <c r="U9" s="1100"/>
      <c r="V9" s="1099"/>
      <c r="W9" s="1099"/>
      <c r="X9" s="1216"/>
      <c r="Z9" s="1310"/>
      <c r="AC9" s="1423"/>
    </row>
    <row r="10" spans="1:29" s="791" customFormat="1" ht="150" customHeight="1">
      <c r="A10" s="2394"/>
      <c r="B10" s="2395"/>
      <c r="C10" s="2396"/>
      <c r="D10" s="905" t="s">
        <v>1074</v>
      </c>
      <c r="E10" s="905" t="s">
        <v>258</v>
      </c>
      <c r="F10" s="2396"/>
      <c r="G10" s="905" t="s">
        <v>1074</v>
      </c>
      <c r="H10" s="905" t="s">
        <v>258</v>
      </c>
      <c r="I10" s="2408"/>
      <c r="J10" s="905" t="s">
        <v>1074</v>
      </c>
      <c r="K10" s="905" t="s">
        <v>258</v>
      </c>
      <c r="L10" s="2396"/>
      <c r="M10" s="905" t="s">
        <v>1074</v>
      </c>
      <c r="N10" s="905" t="s">
        <v>258</v>
      </c>
      <c r="O10" s="2461"/>
      <c r="P10" s="2461"/>
      <c r="T10" s="1099"/>
      <c r="U10" s="1100"/>
      <c r="V10" s="1099"/>
      <c r="W10" s="1099"/>
      <c r="X10" s="1216"/>
      <c r="Z10" s="1310"/>
      <c r="AC10" s="1423"/>
    </row>
    <row r="11" spans="1:29" ht="26.25">
      <c r="A11" s="263">
        <v>1</v>
      </c>
      <c r="B11" s="263">
        <v>2</v>
      </c>
      <c r="C11" s="1401">
        <v>3</v>
      </c>
      <c r="D11" s="263">
        <v>4</v>
      </c>
      <c r="E11" s="263">
        <v>5</v>
      </c>
      <c r="F11" s="1404">
        <v>7</v>
      </c>
      <c r="G11" s="721">
        <v>8</v>
      </c>
      <c r="H11" s="721">
        <v>9</v>
      </c>
      <c r="I11" s="1404">
        <v>10</v>
      </c>
      <c r="J11" s="721">
        <v>11</v>
      </c>
      <c r="K11" s="721">
        <v>12</v>
      </c>
      <c r="L11" s="1404">
        <v>13</v>
      </c>
      <c r="M11" s="721">
        <v>14</v>
      </c>
      <c r="N11" s="721">
        <v>15</v>
      </c>
      <c r="O11" s="30">
        <v>10</v>
      </c>
      <c r="P11" s="30">
        <v>11</v>
      </c>
      <c r="Q11" s="497" t="s">
        <v>791</v>
      </c>
      <c r="T11" s="1206"/>
      <c r="U11" s="1207"/>
      <c r="V11" s="1206"/>
      <c r="W11" s="1206"/>
    </row>
    <row r="12" spans="1:29" s="914" customFormat="1" ht="43.5" customHeight="1">
      <c r="A12" s="1313"/>
      <c r="B12" s="916" t="s">
        <v>10</v>
      </c>
      <c r="C12" s="917">
        <f>SUM(D12:E12)</f>
        <v>6648811.5</v>
      </c>
      <c r="D12" s="917">
        <f>SUM(D13,D203)</f>
        <v>5580910.9000000004</v>
      </c>
      <c r="E12" s="917">
        <f>SUM(E13,E203)</f>
        <v>1067900.6000000001</v>
      </c>
      <c r="F12" s="917">
        <f>SUM(G12:H12)</f>
        <v>6499481.4000000004</v>
      </c>
      <c r="G12" s="917">
        <f>SUM(G13,G203)</f>
        <v>5438636.0999999996</v>
      </c>
      <c r="H12" s="917">
        <f>SUM(H13,H203)</f>
        <v>1060845.3</v>
      </c>
      <c r="I12" s="917">
        <f>SUM(J12:K12)</f>
        <v>1171875.7</v>
      </c>
      <c r="J12" s="917">
        <f>SUM(J13,J203)</f>
        <v>978635.2</v>
      </c>
      <c r="K12" s="917">
        <f>SUM(K13,K203)</f>
        <v>193240.5</v>
      </c>
      <c r="L12" s="918">
        <f t="shared" ref="L12:N13" si="0">IF(I12=0,0,I12/F12*100)</f>
        <v>18</v>
      </c>
      <c r="M12" s="918">
        <f t="shared" si="0"/>
        <v>18</v>
      </c>
      <c r="N12" s="918">
        <f t="shared" si="0"/>
        <v>18.2</v>
      </c>
      <c r="O12" s="1232" t="s">
        <v>353</v>
      </c>
      <c r="P12" s="1232"/>
      <c r="Q12" s="1229">
        <f t="shared" ref="Q12:S75" si="1">C12-F12</f>
        <v>149330.1</v>
      </c>
      <c r="R12" s="1229">
        <f t="shared" si="1"/>
        <v>142274.79999999999</v>
      </c>
      <c r="S12" s="1229">
        <f t="shared" si="1"/>
        <v>7055.3</v>
      </c>
      <c r="T12" s="1230"/>
      <c r="U12" s="1231"/>
      <c r="V12" s="1230"/>
      <c r="W12" s="1230"/>
      <c r="X12" s="1216"/>
      <c r="Z12" s="1311">
        <f t="shared" ref="Z12:Z73" si="2">C12-F12</f>
        <v>149330.1</v>
      </c>
      <c r="AA12" s="1374">
        <f>C12-F12</f>
        <v>149330.1</v>
      </c>
      <c r="AB12" s="912">
        <f>D12-G12</f>
        <v>142274.79999999999</v>
      </c>
      <c r="AC12" s="912">
        <f>E12-H12</f>
        <v>7055.3</v>
      </c>
    </row>
    <row r="13" spans="1:29" s="914" customFormat="1" ht="69.75" customHeight="1">
      <c r="A13" s="2401" t="s">
        <v>453</v>
      </c>
      <c r="B13" s="2401"/>
      <c r="C13" s="917">
        <f>D13+E13</f>
        <v>4857191.0999999996</v>
      </c>
      <c r="D13" s="917">
        <f>SUM(D14,D85)</f>
        <v>4071410.9</v>
      </c>
      <c r="E13" s="917">
        <f>SUM(E14,E85)</f>
        <v>785780.2</v>
      </c>
      <c r="F13" s="917">
        <f>G13+H13</f>
        <v>4709753.3</v>
      </c>
      <c r="G13" s="917">
        <f>SUM(G14,G85)</f>
        <v>3930834.9</v>
      </c>
      <c r="H13" s="917">
        <f>SUM(H14,H85)</f>
        <v>778918.40000000002</v>
      </c>
      <c r="I13" s="917">
        <f>J13+K13</f>
        <v>664519.69999999995</v>
      </c>
      <c r="J13" s="917">
        <f>SUM(J14,J85)</f>
        <v>525446.69999999995</v>
      </c>
      <c r="K13" s="917">
        <f>SUM(K14,K85)</f>
        <v>139073</v>
      </c>
      <c r="L13" s="918">
        <f t="shared" si="0"/>
        <v>14.1</v>
      </c>
      <c r="M13" s="920">
        <f t="shared" si="0"/>
        <v>13.4</v>
      </c>
      <c r="N13" s="920">
        <f t="shared" si="0"/>
        <v>17.899999999999999</v>
      </c>
      <c r="O13" s="1232" t="s">
        <v>353</v>
      </c>
      <c r="P13" s="1232" t="s">
        <v>353</v>
      </c>
      <c r="Q13" s="1229">
        <f t="shared" si="1"/>
        <v>147437.79999999999</v>
      </c>
      <c r="R13" s="1229">
        <f t="shared" si="1"/>
        <v>140576</v>
      </c>
      <c r="S13" s="1229">
        <f t="shared" si="1"/>
        <v>6861.8</v>
      </c>
      <c r="T13" s="1230"/>
      <c r="U13" s="1231"/>
      <c r="V13" s="1230"/>
      <c r="W13" s="1230"/>
      <c r="X13" s="1216"/>
      <c r="Z13" s="1311">
        <f t="shared" si="2"/>
        <v>147437.79999999999</v>
      </c>
      <c r="AA13" s="1374">
        <f t="shared" ref="AA13:AA74" si="3">C13-F13</f>
        <v>147437.79999999999</v>
      </c>
      <c r="AB13" s="912">
        <f t="shared" ref="AB13:AB74" si="4">D13-G13</f>
        <v>140576</v>
      </c>
      <c r="AC13" s="912">
        <f t="shared" ref="AC13:AC74" si="5">E13-H13</f>
        <v>6861.8</v>
      </c>
    </row>
    <row r="14" spans="1:29" s="914" customFormat="1" ht="117" customHeight="1">
      <c r="A14" s="1447" t="s">
        <v>6</v>
      </c>
      <c r="B14" s="1259" t="s">
        <v>439</v>
      </c>
      <c r="C14" s="926">
        <f>SUM(D14:E14)</f>
        <v>1291432.8999999999</v>
      </c>
      <c r="D14" s="926">
        <f>SUM(D15)</f>
        <v>1097694.6000000001</v>
      </c>
      <c r="E14" s="926">
        <f>SUM(E15)</f>
        <v>193738.3</v>
      </c>
      <c r="F14" s="926">
        <f>SUM(G14:H14)</f>
        <v>1247964.3999999999</v>
      </c>
      <c r="G14" s="926">
        <f>SUM(G15)</f>
        <v>1054660.8999999999</v>
      </c>
      <c r="H14" s="926">
        <f>SUM(H15)</f>
        <v>193303.5</v>
      </c>
      <c r="I14" s="926">
        <f>SUM(J14:K14)</f>
        <v>171768</v>
      </c>
      <c r="J14" s="926">
        <f>SUM(J15)</f>
        <v>145935.5</v>
      </c>
      <c r="K14" s="926">
        <f>SUM(K15)</f>
        <v>25832.5</v>
      </c>
      <c r="L14" s="927">
        <f t="shared" ref="L14:N34" si="6">IF(I14=0,0,I14/F14*100)</f>
        <v>13.8</v>
      </c>
      <c r="M14" s="928">
        <f t="shared" si="6"/>
        <v>13.8</v>
      </c>
      <c r="N14" s="928">
        <f t="shared" si="6"/>
        <v>13.4</v>
      </c>
      <c r="O14" s="1233" t="s">
        <v>353</v>
      </c>
      <c r="P14" s="1233" t="s">
        <v>353</v>
      </c>
      <c r="Q14" s="1065">
        <f t="shared" si="1"/>
        <v>43468.5</v>
      </c>
      <c r="R14" s="1065">
        <f t="shared" si="1"/>
        <v>43033.7</v>
      </c>
      <c r="S14" s="1065">
        <f t="shared" si="1"/>
        <v>434.8</v>
      </c>
      <c r="T14" s="1114"/>
      <c r="U14" s="1100"/>
      <c r="V14" s="1099"/>
      <c r="W14" s="1099"/>
      <c r="X14" s="1216"/>
      <c r="Z14" s="1311">
        <f t="shared" si="2"/>
        <v>43468.5</v>
      </c>
      <c r="AA14" s="1374">
        <f t="shared" si="3"/>
        <v>43468.5</v>
      </c>
      <c r="AB14" s="912">
        <f t="shared" si="4"/>
        <v>43033.7</v>
      </c>
      <c r="AC14" s="912">
        <f t="shared" si="5"/>
        <v>434.8</v>
      </c>
    </row>
    <row r="15" spans="1:29" s="914" customFormat="1" ht="63.75" customHeight="1">
      <c r="A15" s="1448" t="s">
        <v>253</v>
      </c>
      <c r="B15" s="1260" t="s">
        <v>41</v>
      </c>
      <c r="C15" s="929">
        <f>SUM(D15:E15)</f>
        <v>1291432.8999999999</v>
      </c>
      <c r="D15" s="929">
        <f>SUM(D16:D16,D17,D19,D22,D24,D27,D30,D32,D37,D41,D44,D46,D50,D55,D57,D59,D67,D61,D18,D53)</f>
        <v>1097694.6000000001</v>
      </c>
      <c r="E15" s="929">
        <f>SUM(E16:E16,E17,E19,E22,E24,E27,E30,E32,E37,E41,E44,E46,E50,E55,E57,E59,E67,E61,E18,E53)</f>
        <v>193738.3</v>
      </c>
      <c r="F15" s="929">
        <f>SUM(G15:H15)</f>
        <v>1247964.3999999999</v>
      </c>
      <c r="G15" s="929">
        <f>SUM(G16:G16,G17,G19,G22,G24,G27,G30,G32,G37,G41,G44,G46,G50,G55,G57,G59,G67,G61,G18,G53)</f>
        <v>1054660.8999999999</v>
      </c>
      <c r="H15" s="929">
        <f>SUM(H16:H16,H17,H19,H22,H24,H27,H30,H32,H37,H41,H44,H46,H50,H55,H57,H59,H67,H61,H18,H53)</f>
        <v>193303.5</v>
      </c>
      <c r="I15" s="929">
        <f>SUM(J15:K15)</f>
        <v>171768</v>
      </c>
      <c r="J15" s="929">
        <f>SUM(J16:J16,J17,J19,J22,J24,J27,J30,J32,J37,J41,J44,J46,J50,J55,J57,J59,J67,J61,J18,J53)</f>
        <v>145935.5</v>
      </c>
      <c r="K15" s="929">
        <f>SUM(K16:K16,K17,K19,K22,K24,K27,K30,K32,K37,K41,K44,K46,K50,K55,K57,K59,K67,K61,K18,K53)</f>
        <v>25832.5</v>
      </c>
      <c r="L15" s="930">
        <f t="shared" si="6"/>
        <v>13.8</v>
      </c>
      <c r="M15" s="931">
        <f t="shared" si="6"/>
        <v>13.8</v>
      </c>
      <c r="N15" s="931">
        <f t="shared" si="6"/>
        <v>13.4</v>
      </c>
      <c r="O15" s="1228" t="s">
        <v>353</v>
      </c>
      <c r="P15" s="1228" t="s">
        <v>353</v>
      </c>
      <c r="Q15" s="1065">
        <f t="shared" si="1"/>
        <v>43468.5</v>
      </c>
      <c r="R15" s="1065">
        <f t="shared" si="1"/>
        <v>43033.7</v>
      </c>
      <c r="S15" s="1065">
        <f t="shared" si="1"/>
        <v>434.8</v>
      </c>
      <c r="T15" s="1099"/>
      <c r="U15" s="1100"/>
      <c r="V15" s="1099"/>
      <c r="W15" s="1099"/>
      <c r="X15" s="1216"/>
      <c r="Z15" s="1311">
        <f t="shared" si="2"/>
        <v>43468.5</v>
      </c>
      <c r="AA15" s="1374">
        <f t="shared" si="3"/>
        <v>43468.5</v>
      </c>
      <c r="AB15" s="912">
        <f t="shared" si="4"/>
        <v>43033.7</v>
      </c>
      <c r="AC15" s="912">
        <f t="shared" si="5"/>
        <v>434.8</v>
      </c>
    </row>
    <row r="16" spans="1:29" s="736" customFormat="1" ht="80.25" customHeight="1">
      <c r="A16" s="1437" t="s">
        <v>538</v>
      </c>
      <c r="B16" s="1066" t="s">
        <v>1076</v>
      </c>
      <c r="C16" s="871">
        <f t="shared" ref="C16:C66" si="7">SUM(D16:E16)</f>
        <v>43468.4</v>
      </c>
      <c r="D16" s="972">
        <v>43033.7</v>
      </c>
      <c r="E16" s="972">
        <v>434.7</v>
      </c>
      <c r="F16" s="871">
        <f t="shared" ref="F16:F66" si="8">SUM(G16:H16)</f>
        <v>0</v>
      </c>
      <c r="G16" s="972">
        <v>0</v>
      </c>
      <c r="H16" s="972">
        <v>0</v>
      </c>
      <c r="I16" s="871">
        <f t="shared" ref="I16:I58" si="9">SUM(J16:K16)</f>
        <v>0</v>
      </c>
      <c r="J16" s="894">
        <v>0</v>
      </c>
      <c r="K16" s="894">
        <v>0</v>
      </c>
      <c r="L16" s="872">
        <f t="shared" si="6"/>
        <v>0</v>
      </c>
      <c r="M16" s="873">
        <f t="shared" si="6"/>
        <v>0</v>
      </c>
      <c r="N16" s="873">
        <f t="shared" si="6"/>
        <v>0</v>
      </c>
      <c r="O16" s="1214" t="s">
        <v>1171</v>
      </c>
      <c r="P16" s="1214" t="s">
        <v>1107</v>
      </c>
      <c r="Q16" s="1065">
        <f t="shared" si="1"/>
        <v>43468.4</v>
      </c>
      <c r="R16" s="1065">
        <f t="shared" si="1"/>
        <v>43033.7</v>
      </c>
      <c r="S16" s="1065">
        <f t="shared" si="1"/>
        <v>434.7</v>
      </c>
      <c r="T16" s="1099" t="s">
        <v>866</v>
      </c>
      <c r="U16" s="1100" t="s">
        <v>865</v>
      </c>
      <c r="V16" s="1099">
        <v>522</v>
      </c>
      <c r="W16" s="1099"/>
      <c r="X16" s="2480"/>
      <c r="Z16" s="1311">
        <f t="shared" si="2"/>
        <v>43468.4</v>
      </c>
      <c r="AA16" s="1374">
        <f t="shared" si="3"/>
        <v>43468.4</v>
      </c>
      <c r="AB16" s="912">
        <f t="shared" si="4"/>
        <v>43033.7</v>
      </c>
      <c r="AC16" s="912">
        <f t="shared" si="5"/>
        <v>434.7</v>
      </c>
    </row>
    <row r="17" spans="1:29" s="892" customFormat="1" ht="117" customHeight="1">
      <c r="A17" s="1437" t="s">
        <v>539</v>
      </c>
      <c r="B17" s="1066" t="s">
        <v>434</v>
      </c>
      <c r="C17" s="1442">
        <f>SUM(D17:E17)</f>
        <v>14736.7</v>
      </c>
      <c r="D17" s="877">
        <v>14736.7</v>
      </c>
      <c r="E17" s="877">
        <v>0</v>
      </c>
      <c r="F17" s="1440">
        <f>SUM(G17:H17)</f>
        <v>14736.7</v>
      </c>
      <c r="G17" s="877">
        <v>14736.7</v>
      </c>
      <c r="H17" s="877">
        <v>0</v>
      </c>
      <c r="I17" s="1440">
        <f t="shared" si="9"/>
        <v>11326.4</v>
      </c>
      <c r="J17" s="1441">
        <v>11326.4</v>
      </c>
      <c r="K17" s="1441">
        <v>0</v>
      </c>
      <c r="L17" s="876">
        <f t="shared" si="6"/>
        <v>76.900000000000006</v>
      </c>
      <c r="M17" s="877">
        <f t="shared" si="6"/>
        <v>76.900000000000006</v>
      </c>
      <c r="N17" s="877">
        <f t="shared" si="6"/>
        <v>0</v>
      </c>
      <c r="O17" s="1430" t="s">
        <v>1172</v>
      </c>
      <c r="P17" s="1214" t="s">
        <v>1108</v>
      </c>
      <c r="Q17" s="1065">
        <f t="shared" si="1"/>
        <v>0</v>
      </c>
      <c r="R17" s="1065">
        <f t="shared" si="1"/>
        <v>0</v>
      </c>
      <c r="S17" s="1065">
        <f t="shared" si="1"/>
        <v>0</v>
      </c>
      <c r="T17" s="1099" t="s">
        <v>961</v>
      </c>
      <c r="U17" s="1100" t="s">
        <v>962</v>
      </c>
      <c r="V17" s="1099">
        <v>522</v>
      </c>
      <c r="W17" s="1099"/>
      <c r="X17" s="2481"/>
      <c r="Z17" s="1311">
        <f t="shared" si="2"/>
        <v>0</v>
      </c>
      <c r="AA17" s="1374">
        <f t="shared" si="3"/>
        <v>0</v>
      </c>
      <c r="AB17" s="912">
        <f t="shared" si="4"/>
        <v>0</v>
      </c>
      <c r="AC17" s="912">
        <f t="shared" si="5"/>
        <v>0</v>
      </c>
    </row>
    <row r="18" spans="1:29" s="892" customFormat="1" ht="118.5" customHeight="1">
      <c r="A18" s="1437" t="s">
        <v>19</v>
      </c>
      <c r="B18" s="1066" t="s">
        <v>792</v>
      </c>
      <c r="C18" s="1442">
        <f t="shared" si="7"/>
        <v>741029.8</v>
      </c>
      <c r="D18" s="877">
        <v>733604.7</v>
      </c>
      <c r="E18" s="877">
        <v>7425.1</v>
      </c>
      <c r="F18" s="1440">
        <f t="shared" si="8"/>
        <v>741029.7</v>
      </c>
      <c r="G18" s="877">
        <v>733604.7</v>
      </c>
      <c r="H18" s="877">
        <v>7425</v>
      </c>
      <c r="I18" s="1440">
        <f t="shared" si="9"/>
        <v>86351.1</v>
      </c>
      <c r="J18" s="1441">
        <v>85483.9</v>
      </c>
      <c r="K18" s="1441">
        <v>867.2</v>
      </c>
      <c r="L18" s="876">
        <f t="shared" si="6"/>
        <v>11.7</v>
      </c>
      <c r="M18" s="877">
        <f t="shared" si="6"/>
        <v>11.7</v>
      </c>
      <c r="N18" s="877">
        <f t="shared" si="6"/>
        <v>11.7</v>
      </c>
      <c r="O18" s="1214" t="s">
        <v>1171</v>
      </c>
      <c r="P18" s="1214" t="s">
        <v>1109</v>
      </c>
      <c r="Q18" s="1065">
        <f t="shared" si="1"/>
        <v>0.1</v>
      </c>
      <c r="R18" s="1065">
        <f t="shared" si="1"/>
        <v>0</v>
      </c>
      <c r="S18" s="1065">
        <f t="shared" si="1"/>
        <v>0.1</v>
      </c>
      <c r="T18" s="1099" t="s">
        <v>963</v>
      </c>
      <c r="U18" s="1100" t="s">
        <v>964</v>
      </c>
      <c r="V18" s="1099">
        <v>522</v>
      </c>
      <c r="W18" s="1099"/>
      <c r="X18" s="2482"/>
      <c r="Z18" s="1311">
        <f t="shared" si="2"/>
        <v>0.1</v>
      </c>
      <c r="AA18" s="1374">
        <f t="shared" si="3"/>
        <v>0.1</v>
      </c>
      <c r="AB18" s="912">
        <f t="shared" si="4"/>
        <v>0</v>
      </c>
      <c r="AC18" s="912">
        <f t="shared" si="5"/>
        <v>0.1</v>
      </c>
    </row>
    <row r="19" spans="1:29">
      <c r="A19" s="1437"/>
      <c r="B19" s="898" t="s">
        <v>283</v>
      </c>
      <c r="C19" s="1442">
        <f t="shared" si="7"/>
        <v>7093</v>
      </c>
      <c r="D19" s="875">
        <f>SUM(D21:D21)</f>
        <v>0</v>
      </c>
      <c r="E19" s="875">
        <f>SUM(E20:E21)</f>
        <v>7093</v>
      </c>
      <c r="F19" s="1442">
        <f t="shared" si="8"/>
        <v>7093</v>
      </c>
      <c r="G19" s="875">
        <f>SUM(G21:G21)</f>
        <v>0</v>
      </c>
      <c r="H19" s="875">
        <f>SUM(H20:H21)</f>
        <v>7093</v>
      </c>
      <c r="I19" s="1442">
        <f t="shared" si="9"/>
        <v>4543</v>
      </c>
      <c r="J19" s="875">
        <f>SUM(J21:J21)</f>
        <v>0</v>
      </c>
      <c r="K19" s="875">
        <f>SUM(K21:K21)</f>
        <v>4543</v>
      </c>
      <c r="L19" s="876">
        <f t="shared" si="6"/>
        <v>64</v>
      </c>
      <c r="M19" s="877">
        <f t="shared" si="6"/>
        <v>0</v>
      </c>
      <c r="N19" s="877">
        <f t="shared" si="6"/>
        <v>64</v>
      </c>
      <c r="O19" s="1214" t="s">
        <v>353</v>
      </c>
      <c r="P19" s="1214" t="s">
        <v>353</v>
      </c>
      <c r="Q19" s="1065">
        <f t="shared" si="1"/>
        <v>0</v>
      </c>
      <c r="R19" s="1065">
        <f t="shared" si="1"/>
        <v>0</v>
      </c>
      <c r="S19" s="1065">
        <f t="shared" si="1"/>
        <v>0</v>
      </c>
      <c r="Z19" s="1311">
        <f t="shared" si="2"/>
        <v>0</v>
      </c>
      <c r="AA19" s="1374">
        <f t="shared" si="3"/>
        <v>0</v>
      </c>
      <c r="AB19" s="912">
        <f t="shared" si="4"/>
        <v>0</v>
      </c>
      <c r="AC19" s="912">
        <f t="shared" si="5"/>
        <v>0</v>
      </c>
    </row>
    <row r="20" spans="1:29" ht="115.5" customHeight="1">
      <c r="A20" s="1437" t="s">
        <v>20</v>
      </c>
      <c r="B20" s="1434" t="s">
        <v>1119</v>
      </c>
      <c r="C20" s="871">
        <f>SUM(D20:E20)</f>
        <v>2550</v>
      </c>
      <c r="D20" s="1249">
        <v>0</v>
      </c>
      <c r="E20" s="1249">
        <v>2550</v>
      </c>
      <c r="F20" s="1442">
        <f>SUM(G20:H20)</f>
        <v>2550</v>
      </c>
      <c r="G20" s="1439">
        <v>0</v>
      </c>
      <c r="H20" s="1439">
        <v>2550</v>
      </c>
      <c r="I20" s="1442">
        <f>SUM(J20:K20)</f>
        <v>0</v>
      </c>
      <c r="J20" s="1443">
        <v>0</v>
      </c>
      <c r="K20" s="1443">
        <v>0</v>
      </c>
      <c r="L20" s="876">
        <f t="shared" si="6"/>
        <v>0</v>
      </c>
      <c r="M20" s="877">
        <f t="shared" si="6"/>
        <v>0</v>
      </c>
      <c r="N20" s="877">
        <f t="shared" si="6"/>
        <v>0</v>
      </c>
      <c r="O20" s="1214" t="s">
        <v>1171</v>
      </c>
      <c r="P20" s="1214" t="s">
        <v>1120</v>
      </c>
      <c r="Q20" s="1065"/>
      <c r="R20" s="1065"/>
      <c r="S20" s="1065"/>
      <c r="T20" s="1099" t="s">
        <v>954</v>
      </c>
      <c r="U20" s="1100" t="s">
        <v>976</v>
      </c>
      <c r="V20" s="1099">
        <v>522</v>
      </c>
      <c r="W20" s="1099">
        <v>24356</v>
      </c>
      <c r="Z20" s="1311">
        <f t="shared" si="2"/>
        <v>0</v>
      </c>
      <c r="AA20" s="1374">
        <f t="shared" si="3"/>
        <v>0</v>
      </c>
      <c r="AB20" s="912">
        <f t="shared" si="4"/>
        <v>0</v>
      </c>
      <c r="AC20" s="912">
        <f t="shared" si="5"/>
        <v>0</v>
      </c>
    </row>
    <row r="21" spans="1:29" ht="95.25" customHeight="1">
      <c r="A21" s="1437" t="s">
        <v>467</v>
      </c>
      <c r="B21" s="1084" t="s">
        <v>770</v>
      </c>
      <c r="C21" s="871">
        <f>SUM(D21:E21)</f>
        <v>4543</v>
      </c>
      <c r="D21" s="1249">
        <v>0</v>
      </c>
      <c r="E21" s="1249">
        <v>4543</v>
      </c>
      <c r="F21" s="1442">
        <f>SUM(G21:H21)</f>
        <v>4543</v>
      </c>
      <c r="G21" s="1439">
        <v>0</v>
      </c>
      <c r="H21" s="1439">
        <f>E21</f>
        <v>4543</v>
      </c>
      <c r="I21" s="1442">
        <f t="shared" si="9"/>
        <v>4543</v>
      </c>
      <c r="J21" s="1443">
        <v>0</v>
      </c>
      <c r="K21" s="1443">
        <v>4543</v>
      </c>
      <c r="L21" s="876">
        <f t="shared" si="6"/>
        <v>100</v>
      </c>
      <c r="M21" s="877">
        <f t="shared" si="6"/>
        <v>0</v>
      </c>
      <c r="N21" s="877">
        <f t="shared" si="6"/>
        <v>100</v>
      </c>
      <c r="O21" s="1214" t="s">
        <v>1124</v>
      </c>
      <c r="P21" s="1214" t="s">
        <v>1121</v>
      </c>
      <c r="Q21" s="1065">
        <f t="shared" si="1"/>
        <v>0</v>
      </c>
      <c r="R21" s="1065">
        <f t="shared" si="1"/>
        <v>0</v>
      </c>
      <c r="S21" s="1065">
        <f t="shared" si="1"/>
        <v>0</v>
      </c>
      <c r="T21" s="1099" t="s">
        <v>926</v>
      </c>
      <c r="U21" s="1100" t="s">
        <v>965</v>
      </c>
      <c r="V21" s="1099">
        <v>522</v>
      </c>
      <c r="W21" s="1099" t="s">
        <v>975</v>
      </c>
      <c r="Z21" s="1311">
        <f t="shared" si="2"/>
        <v>0</v>
      </c>
      <c r="AA21" s="1374">
        <f t="shared" si="3"/>
        <v>0</v>
      </c>
      <c r="AB21" s="912">
        <f t="shared" si="4"/>
        <v>0</v>
      </c>
      <c r="AC21" s="912">
        <f t="shared" si="5"/>
        <v>0</v>
      </c>
    </row>
    <row r="22" spans="1:29">
      <c r="A22" s="1437"/>
      <c r="B22" s="898" t="s">
        <v>724</v>
      </c>
      <c r="C22" s="871">
        <f t="shared" si="7"/>
        <v>8700</v>
      </c>
      <c r="D22" s="1250">
        <f>D23</f>
        <v>0</v>
      </c>
      <c r="E22" s="1250">
        <f>E23</f>
        <v>8700</v>
      </c>
      <c r="F22" s="1442">
        <f t="shared" si="8"/>
        <v>8700</v>
      </c>
      <c r="G22" s="875">
        <f>G23</f>
        <v>0</v>
      </c>
      <c r="H22" s="875">
        <f>H23</f>
        <v>8700</v>
      </c>
      <c r="I22" s="1442">
        <f t="shared" si="9"/>
        <v>0</v>
      </c>
      <c r="J22" s="875">
        <f>J23</f>
        <v>0</v>
      </c>
      <c r="K22" s="875">
        <f>K23</f>
        <v>0</v>
      </c>
      <c r="L22" s="876">
        <f t="shared" si="6"/>
        <v>0</v>
      </c>
      <c r="M22" s="877">
        <f t="shared" si="6"/>
        <v>0</v>
      </c>
      <c r="N22" s="877">
        <f t="shared" si="6"/>
        <v>0</v>
      </c>
      <c r="O22" s="1214" t="s">
        <v>353</v>
      </c>
      <c r="P22" s="1214" t="s">
        <v>353</v>
      </c>
      <c r="Q22" s="1065">
        <f t="shared" si="1"/>
        <v>0</v>
      </c>
      <c r="R22" s="1065">
        <f t="shared" si="1"/>
        <v>0</v>
      </c>
      <c r="S22" s="1065">
        <f t="shared" si="1"/>
        <v>0</v>
      </c>
      <c r="Z22" s="1311">
        <f t="shared" si="2"/>
        <v>0</v>
      </c>
      <c r="AA22" s="1374">
        <f t="shared" si="3"/>
        <v>0</v>
      </c>
      <c r="AB22" s="912">
        <f t="shared" si="4"/>
        <v>0</v>
      </c>
      <c r="AC22" s="912">
        <f t="shared" si="5"/>
        <v>0</v>
      </c>
    </row>
    <row r="23" spans="1:29" ht="165.75" customHeight="1">
      <c r="A23" s="1437" t="s">
        <v>468</v>
      </c>
      <c r="B23" s="1084" t="s">
        <v>861</v>
      </c>
      <c r="C23" s="871">
        <f t="shared" si="7"/>
        <v>8700</v>
      </c>
      <c r="D23" s="1249">
        <v>0</v>
      </c>
      <c r="E23" s="1249">
        <v>8700</v>
      </c>
      <c r="F23" s="1442">
        <f t="shared" si="8"/>
        <v>8700</v>
      </c>
      <c r="G23" s="1439">
        <v>0</v>
      </c>
      <c r="H23" s="1439">
        <v>8700</v>
      </c>
      <c r="I23" s="1442">
        <f t="shared" si="9"/>
        <v>0</v>
      </c>
      <c r="J23" s="1443">
        <v>0</v>
      </c>
      <c r="K23" s="1443">
        <v>0</v>
      </c>
      <c r="L23" s="876">
        <f t="shared" si="6"/>
        <v>0</v>
      </c>
      <c r="M23" s="877">
        <f t="shared" si="6"/>
        <v>0</v>
      </c>
      <c r="N23" s="877">
        <f t="shared" si="6"/>
        <v>0</v>
      </c>
      <c r="O23" s="1214" t="s">
        <v>1173</v>
      </c>
      <c r="P23" s="1430" t="s">
        <v>1122</v>
      </c>
      <c r="Q23" s="1065">
        <f t="shared" si="1"/>
        <v>0</v>
      </c>
      <c r="R23" s="1065">
        <f t="shared" si="1"/>
        <v>0</v>
      </c>
      <c r="S23" s="1065">
        <f t="shared" si="1"/>
        <v>0</v>
      </c>
      <c r="T23" s="1099" t="s">
        <v>886</v>
      </c>
      <c r="U23" s="1100" t="s">
        <v>966</v>
      </c>
      <c r="V23" s="1099">
        <v>522</v>
      </c>
      <c r="W23" s="1099" t="s">
        <v>977</v>
      </c>
      <c r="Z23" s="1311">
        <f t="shared" si="2"/>
        <v>0</v>
      </c>
      <c r="AA23" s="1374">
        <f t="shared" si="3"/>
        <v>0</v>
      </c>
      <c r="AB23" s="912">
        <f t="shared" si="4"/>
        <v>0</v>
      </c>
      <c r="AC23" s="912">
        <f t="shared" si="5"/>
        <v>0</v>
      </c>
    </row>
    <row r="24" spans="1:29" s="700" customFormat="1">
      <c r="A24" s="1437"/>
      <c r="B24" s="1074" t="s">
        <v>12</v>
      </c>
      <c r="C24" s="871">
        <f t="shared" si="7"/>
        <v>4725.8999999999996</v>
      </c>
      <c r="D24" s="1251">
        <f>SUM(D25:D26)</f>
        <v>0</v>
      </c>
      <c r="E24" s="1251">
        <f>SUM(E25:E26)</f>
        <v>4725.8999999999996</v>
      </c>
      <c r="F24" s="1442">
        <f t="shared" si="8"/>
        <v>4725.8999999999996</v>
      </c>
      <c r="G24" s="880">
        <f>SUM(G25:G26)</f>
        <v>0</v>
      </c>
      <c r="H24" s="880">
        <f>SUM(H25:H26)</f>
        <v>4725.8999999999996</v>
      </c>
      <c r="I24" s="1442">
        <f t="shared" si="9"/>
        <v>0</v>
      </c>
      <c r="J24" s="1442">
        <f>SUM(J25:J26)</f>
        <v>0</v>
      </c>
      <c r="K24" s="1442">
        <f>SUM(K25:K26)</f>
        <v>0</v>
      </c>
      <c r="L24" s="876">
        <f t="shared" si="6"/>
        <v>0</v>
      </c>
      <c r="M24" s="876">
        <f t="shared" si="6"/>
        <v>0</v>
      </c>
      <c r="N24" s="876">
        <f t="shared" si="6"/>
        <v>0</v>
      </c>
      <c r="O24" s="1214" t="s">
        <v>353</v>
      </c>
      <c r="P24" s="1215" t="s">
        <v>353</v>
      </c>
      <c r="Q24" s="1065">
        <f t="shared" si="1"/>
        <v>0</v>
      </c>
      <c r="R24" s="1065">
        <f t="shared" si="1"/>
        <v>0</v>
      </c>
      <c r="S24" s="1065">
        <f t="shared" si="1"/>
        <v>0</v>
      </c>
      <c r="T24" s="1099"/>
      <c r="U24" s="1100"/>
      <c r="V24" s="1099"/>
      <c r="W24" s="1099"/>
      <c r="X24" s="1218"/>
      <c r="Z24" s="1311">
        <f t="shared" si="2"/>
        <v>0</v>
      </c>
      <c r="AA24" s="1374">
        <f t="shared" si="3"/>
        <v>0</v>
      </c>
      <c r="AB24" s="912">
        <f t="shared" si="4"/>
        <v>0</v>
      </c>
      <c r="AC24" s="912">
        <f t="shared" si="5"/>
        <v>0</v>
      </c>
    </row>
    <row r="25" spans="1:29" ht="84" customHeight="1">
      <c r="A25" s="1437" t="s">
        <v>685</v>
      </c>
      <c r="B25" s="1075" t="s">
        <v>1037</v>
      </c>
      <c r="C25" s="871">
        <f t="shared" si="7"/>
        <v>4725.8999999999996</v>
      </c>
      <c r="D25" s="972">
        <v>0</v>
      </c>
      <c r="E25" s="972">
        <v>4725.8999999999996</v>
      </c>
      <c r="F25" s="1442">
        <f t="shared" si="8"/>
        <v>4725.8999999999996</v>
      </c>
      <c r="G25" s="879">
        <v>0</v>
      </c>
      <c r="H25" s="879">
        <f>E25</f>
        <v>4725.8999999999996</v>
      </c>
      <c r="I25" s="1442">
        <f t="shared" si="9"/>
        <v>0</v>
      </c>
      <c r="J25" s="1443">
        <v>0</v>
      </c>
      <c r="K25" s="1443">
        <v>0</v>
      </c>
      <c r="L25" s="876">
        <f t="shared" si="6"/>
        <v>0</v>
      </c>
      <c r="M25" s="877">
        <f t="shared" si="6"/>
        <v>0</v>
      </c>
      <c r="N25" s="877">
        <f t="shared" si="6"/>
        <v>0</v>
      </c>
      <c r="O25" s="1214" t="s">
        <v>1171</v>
      </c>
      <c r="P25" s="1214" t="s">
        <v>1111</v>
      </c>
      <c r="Q25" s="1065">
        <f t="shared" si="1"/>
        <v>0</v>
      </c>
      <c r="R25" s="1065">
        <f t="shared" si="1"/>
        <v>0</v>
      </c>
      <c r="S25" s="1065">
        <f t="shared" si="1"/>
        <v>0</v>
      </c>
      <c r="T25" s="1099" t="s">
        <v>886</v>
      </c>
      <c r="U25" s="1100" t="s">
        <v>970</v>
      </c>
      <c r="V25" s="1099">
        <v>522</v>
      </c>
      <c r="W25" s="1099">
        <v>24351</v>
      </c>
      <c r="Z25" s="1311">
        <f t="shared" si="2"/>
        <v>0</v>
      </c>
      <c r="AA25" s="1374">
        <f t="shared" si="3"/>
        <v>0</v>
      </c>
      <c r="AB25" s="912">
        <f t="shared" si="4"/>
        <v>0</v>
      </c>
      <c r="AC25" s="912">
        <f t="shared" si="5"/>
        <v>0</v>
      </c>
    </row>
    <row r="26" spans="1:29" ht="57.75" customHeight="1">
      <c r="A26" s="1437" t="s">
        <v>687</v>
      </c>
      <c r="B26" s="1075" t="s">
        <v>1038</v>
      </c>
      <c r="C26" s="871">
        <f>SUM(D26:E26)</f>
        <v>0</v>
      </c>
      <c r="D26" s="972">
        <v>0</v>
      </c>
      <c r="E26" s="972">
        <v>0</v>
      </c>
      <c r="F26" s="1442">
        <f>SUM(G26:H26)</f>
        <v>0</v>
      </c>
      <c r="G26" s="879">
        <v>0</v>
      </c>
      <c r="H26" s="879">
        <v>0</v>
      </c>
      <c r="I26" s="1442">
        <f t="shared" si="9"/>
        <v>0</v>
      </c>
      <c r="J26" s="1443">
        <v>0</v>
      </c>
      <c r="K26" s="1443">
        <v>0</v>
      </c>
      <c r="L26" s="876">
        <f t="shared" si="6"/>
        <v>0</v>
      </c>
      <c r="M26" s="877">
        <f t="shared" si="6"/>
        <v>0</v>
      </c>
      <c r="N26" s="877">
        <f t="shared" si="6"/>
        <v>0</v>
      </c>
      <c r="O26" s="1214" t="s">
        <v>1171</v>
      </c>
      <c r="P26" s="1214" t="s">
        <v>1123</v>
      </c>
      <c r="Q26" s="1065">
        <f t="shared" si="1"/>
        <v>0</v>
      </c>
      <c r="R26" s="1065">
        <f t="shared" si="1"/>
        <v>0</v>
      </c>
      <c r="S26" s="1065">
        <f t="shared" si="1"/>
        <v>0</v>
      </c>
      <c r="T26" s="1099" t="s">
        <v>886</v>
      </c>
      <c r="U26" s="1100" t="s">
        <v>968</v>
      </c>
      <c r="V26" s="1099">
        <v>522</v>
      </c>
      <c r="W26" s="1099" t="s">
        <v>969</v>
      </c>
      <c r="Z26" s="1311">
        <f t="shared" si="2"/>
        <v>0</v>
      </c>
      <c r="AA26" s="1374">
        <f t="shared" si="3"/>
        <v>0</v>
      </c>
      <c r="AB26" s="912">
        <f t="shared" si="4"/>
        <v>0</v>
      </c>
      <c r="AC26" s="912">
        <f t="shared" si="5"/>
        <v>0</v>
      </c>
    </row>
    <row r="27" spans="1:29" s="700" customFormat="1">
      <c r="A27" s="991"/>
      <c r="B27" s="1074" t="s">
        <v>729</v>
      </c>
      <c r="C27" s="871">
        <f t="shared" si="7"/>
        <v>5130</v>
      </c>
      <c r="D27" s="1251">
        <f>SUM(D28:D29)</f>
        <v>0</v>
      </c>
      <c r="E27" s="1251">
        <f>SUM(E28:E29)</f>
        <v>5130</v>
      </c>
      <c r="F27" s="1442">
        <f t="shared" si="8"/>
        <v>5130</v>
      </c>
      <c r="G27" s="880">
        <f>SUM(G28:G29)</f>
        <v>0</v>
      </c>
      <c r="H27" s="880">
        <f>SUM(H28:H29)</f>
        <v>5130</v>
      </c>
      <c r="I27" s="1442">
        <f t="shared" si="9"/>
        <v>0</v>
      </c>
      <c r="J27" s="1442">
        <f>SUM(J28:J29)</f>
        <v>0</v>
      </c>
      <c r="K27" s="1442">
        <f>SUM(K28:K29)</f>
        <v>0</v>
      </c>
      <c r="L27" s="876">
        <f t="shared" si="6"/>
        <v>0</v>
      </c>
      <c r="M27" s="876">
        <f t="shared" si="6"/>
        <v>0</v>
      </c>
      <c r="N27" s="876">
        <f t="shared" si="6"/>
        <v>0</v>
      </c>
      <c r="O27" s="1214" t="s">
        <v>353</v>
      </c>
      <c r="P27" s="1215" t="s">
        <v>353</v>
      </c>
      <c r="Q27" s="1065">
        <f t="shared" si="1"/>
        <v>0</v>
      </c>
      <c r="R27" s="1065">
        <f t="shared" si="1"/>
        <v>0</v>
      </c>
      <c r="S27" s="1065">
        <f t="shared" si="1"/>
        <v>0</v>
      </c>
      <c r="T27" s="1099"/>
      <c r="U27" s="1100"/>
      <c r="V27" s="1099"/>
      <c r="W27" s="1099"/>
      <c r="X27" s="1218"/>
      <c r="Z27" s="1311">
        <f t="shared" si="2"/>
        <v>0</v>
      </c>
      <c r="AA27" s="1374">
        <f t="shared" si="3"/>
        <v>0</v>
      </c>
      <c r="AB27" s="912">
        <f t="shared" si="4"/>
        <v>0</v>
      </c>
      <c r="AC27" s="912">
        <f t="shared" si="5"/>
        <v>0</v>
      </c>
    </row>
    <row r="28" spans="1:29" ht="90" customHeight="1">
      <c r="A28" s="1437" t="s">
        <v>687</v>
      </c>
      <c r="B28" s="1075" t="s">
        <v>1039</v>
      </c>
      <c r="C28" s="871">
        <f t="shared" si="7"/>
        <v>3780</v>
      </c>
      <c r="D28" s="972">
        <v>0</v>
      </c>
      <c r="E28" s="972">
        <v>3780</v>
      </c>
      <c r="F28" s="1442">
        <f t="shared" si="8"/>
        <v>3780</v>
      </c>
      <c r="G28" s="879">
        <v>0</v>
      </c>
      <c r="H28" s="879">
        <f>E28</f>
        <v>3780</v>
      </c>
      <c r="I28" s="1442">
        <f t="shared" si="9"/>
        <v>0</v>
      </c>
      <c r="J28" s="1443">
        <v>0</v>
      </c>
      <c r="K28" s="1443">
        <v>0</v>
      </c>
      <c r="L28" s="876">
        <f t="shared" si="6"/>
        <v>0</v>
      </c>
      <c r="M28" s="877">
        <f t="shared" si="6"/>
        <v>0</v>
      </c>
      <c r="N28" s="877">
        <f t="shared" si="6"/>
        <v>0</v>
      </c>
      <c r="O28" s="1214" t="s">
        <v>1174</v>
      </c>
      <c r="P28" s="1214" t="s">
        <v>1112</v>
      </c>
      <c r="Q28" s="1065">
        <f t="shared" si="1"/>
        <v>0</v>
      </c>
      <c r="R28" s="1065">
        <f t="shared" si="1"/>
        <v>0</v>
      </c>
      <c r="S28" s="1065">
        <f t="shared" si="1"/>
        <v>0</v>
      </c>
      <c r="T28" s="1099" t="s">
        <v>926</v>
      </c>
      <c r="U28" s="1100" t="s">
        <v>970</v>
      </c>
      <c r="V28" s="1099">
        <v>522</v>
      </c>
      <c r="W28" s="1099" t="s">
        <v>993</v>
      </c>
      <c r="Z28" s="1311">
        <f t="shared" si="2"/>
        <v>0</v>
      </c>
      <c r="AA28" s="1374">
        <f t="shared" si="3"/>
        <v>0</v>
      </c>
      <c r="AB28" s="912">
        <f t="shared" si="4"/>
        <v>0</v>
      </c>
      <c r="AC28" s="912">
        <f t="shared" si="5"/>
        <v>0</v>
      </c>
    </row>
    <row r="29" spans="1:29" ht="46.5">
      <c r="A29" s="1437" t="s">
        <v>686</v>
      </c>
      <c r="B29" s="1075" t="s">
        <v>1351</v>
      </c>
      <c r="C29" s="871">
        <f t="shared" si="7"/>
        <v>1350</v>
      </c>
      <c r="D29" s="972">
        <v>0</v>
      </c>
      <c r="E29" s="972">
        <v>1350</v>
      </c>
      <c r="F29" s="1442">
        <f t="shared" si="8"/>
        <v>1350</v>
      </c>
      <c r="G29" s="879">
        <v>0</v>
      </c>
      <c r="H29" s="879">
        <v>1350</v>
      </c>
      <c r="I29" s="1442">
        <f t="shared" si="9"/>
        <v>0</v>
      </c>
      <c r="J29" s="1443">
        <v>0</v>
      </c>
      <c r="K29" s="1443">
        <v>0</v>
      </c>
      <c r="L29" s="876">
        <f t="shared" si="6"/>
        <v>0</v>
      </c>
      <c r="M29" s="877">
        <f t="shared" si="6"/>
        <v>0</v>
      </c>
      <c r="N29" s="877">
        <f t="shared" si="6"/>
        <v>0</v>
      </c>
      <c r="O29" s="1214" t="s">
        <v>1171</v>
      </c>
      <c r="P29" s="1214"/>
      <c r="Q29" s="1065">
        <f t="shared" si="1"/>
        <v>0</v>
      </c>
      <c r="R29" s="1065">
        <f t="shared" si="1"/>
        <v>0</v>
      </c>
      <c r="S29" s="1065">
        <f t="shared" si="1"/>
        <v>0</v>
      </c>
      <c r="T29" s="1099" t="s">
        <v>923</v>
      </c>
      <c r="U29" s="1100" t="s">
        <v>970</v>
      </c>
      <c r="V29" s="1099">
        <v>522</v>
      </c>
      <c r="W29" s="1099" t="s">
        <v>992</v>
      </c>
      <c r="Z29" s="1311">
        <f t="shared" si="2"/>
        <v>0</v>
      </c>
      <c r="AA29" s="1374">
        <f t="shared" si="3"/>
        <v>0</v>
      </c>
      <c r="AB29" s="912">
        <f t="shared" si="4"/>
        <v>0</v>
      </c>
      <c r="AC29" s="912">
        <f t="shared" si="5"/>
        <v>0</v>
      </c>
    </row>
    <row r="30" spans="1:29" s="700" customFormat="1">
      <c r="A30" s="1437"/>
      <c r="B30" s="1074" t="s">
        <v>615</v>
      </c>
      <c r="C30" s="871">
        <f t="shared" si="7"/>
        <v>7200</v>
      </c>
      <c r="D30" s="1251">
        <f>D31</f>
        <v>0</v>
      </c>
      <c r="E30" s="1251">
        <f>E31</f>
        <v>7200</v>
      </c>
      <c r="F30" s="1442">
        <f t="shared" si="8"/>
        <v>7200</v>
      </c>
      <c r="G30" s="880">
        <f>G31</f>
        <v>0</v>
      </c>
      <c r="H30" s="880">
        <f>H31</f>
        <v>7200</v>
      </c>
      <c r="I30" s="1442">
        <f t="shared" si="9"/>
        <v>0</v>
      </c>
      <c r="J30" s="1442">
        <f>J31</f>
        <v>0</v>
      </c>
      <c r="K30" s="1442">
        <f>K31</f>
        <v>0</v>
      </c>
      <c r="L30" s="876">
        <f t="shared" si="6"/>
        <v>0</v>
      </c>
      <c r="M30" s="876">
        <f t="shared" si="6"/>
        <v>0</v>
      </c>
      <c r="N30" s="876">
        <f t="shared" si="6"/>
        <v>0</v>
      </c>
      <c r="O30" s="1214" t="s">
        <v>353</v>
      </c>
      <c r="P30" s="1215" t="s">
        <v>353</v>
      </c>
      <c r="Q30" s="1065">
        <f t="shared" si="1"/>
        <v>0</v>
      </c>
      <c r="R30" s="1065">
        <f t="shared" si="1"/>
        <v>0</v>
      </c>
      <c r="S30" s="1065">
        <f t="shared" si="1"/>
        <v>0</v>
      </c>
      <c r="T30" s="1099"/>
      <c r="U30" s="1100"/>
      <c r="V30" s="1099"/>
      <c r="W30" s="1099"/>
      <c r="X30" s="1218"/>
      <c r="Z30" s="1311">
        <f t="shared" si="2"/>
        <v>0</v>
      </c>
      <c r="AA30" s="1374">
        <f t="shared" si="3"/>
        <v>0</v>
      </c>
      <c r="AB30" s="912">
        <f t="shared" si="4"/>
        <v>0</v>
      </c>
      <c r="AC30" s="912">
        <f t="shared" si="5"/>
        <v>0</v>
      </c>
    </row>
    <row r="31" spans="1:29" ht="55.5" customHeight="1">
      <c r="A31" s="1437" t="s">
        <v>688</v>
      </c>
      <c r="B31" s="1075" t="s">
        <v>673</v>
      </c>
      <c r="C31" s="871">
        <f t="shared" si="7"/>
        <v>7200</v>
      </c>
      <c r="D31" s="972">
        <v>0</v>
      </c>
      <c r="E31" s="972">
        <v>7200</v>
      </c>
      <c r="F31" s="1442">
        <f t="shared" si="8"/>
        <v>7200</v>
      </c>
      <c r="G31" s="879">
        <v>0</v>
      </c>
      <c r="H31" s="879">
        <v>7200</v>
      </c>
      <c r="I31" s="1442">
        <f t="shared" si="9"/>
        <v>0</v>
      </c>
      <c r="J31" s="1443">
        <v>0</v>
      </c>
      <c r="K31" s="1443">
        <v>0</v>
      </c>
      <c r="L31" s="876">
        <f t="shared" si="6"/>
        <v>0</v>
      </c>
      <c r="M31" s="877">
        <f t="shared" si="6"/>
        <v>0</v>
      </c>
      <c r="N31" s="877">
        <f t="shared" si="6"/>
        <v>0</v>
      </c>
      <c r="O31" s="1214" t="s">
        <v>1175</v>
      </c>
      <c r="P31" s="1214" t="s">
        <v>1113</v>
      </c>
      <c r="Q31" s="1065">
        <f t="shared" si="1"/>
        <v>0</v>
      </c>
      <c r="R31" s="1065">
        <f t="shared" si="1"/>
        <v>0</v>
      </c>
      <c r="S31" s="1065">
        <f t="shared" si="1"/>
        <v>0</v>
      </c>
      <c r="T31" s="1099" t="s">
        <v>926</v>
      </c>
      <c r="U31" s="1100" t="s">
        <v>965</v>
      </c>
      <c r="V31" s="1099">
        <v>522</v>
      </c>
      <c r="W31" s="1099">
        <v>24345</v>
      </c>
      <c r="Z31" s="1311">
        <f t="shared" si="2"/>
        <v>0</v>
      </c>
      <c r="AA31" s="1374">
        <f t="shared" si="3"/>
        <v>0</v>
      </c>
      <c r="AB31" s="912">
        <f t="shared" si="4"/>
        <v>0</v>
      </c>
      <c r="AC31" s="912">
        <f t="shared" si="5"/>
        <v>0</v>
      </c>
    </row>
    <row r="32" spans="1:29">
      <c r="A32" s="991"/>
      <c r="B32" s="898" t="s">
        <v>68</v>
      </c>
      <c r="C32" s="871">
        <f t="shared" si="7"/>
        <v>20495.7</v>
      </c>
      <c r="D32" s="1250">
        <f>SUM(D33:D36)</f>
        <v>0</v>
      </c>
      <c r="E32" s="1250">
        <f>SUM(E33:E36)</f>
        <v>20495.7</v>
      </c>
      <c r="F32" s="1442">
        <f t="shared" si="8"/>
        <v>20495.7</v>
      </c>
      <c r="G32" s="875">
        <f>SUM(G33:G36)</f>
        <v>0</v>
      </c>
      <c r="H32" s="875">
        <f>SUM(H33:H36)</f>
        <v>20495.7</v>
      </c>
      <c r="I32" s="1442">
        <f t="shared" si="9"/>
        <v>9912.5</v>
      </c>
      <c r="J32" s="875">
        <f>SUM(J33:J36)</f>
        <v>0</v>
      </c>
      <c r="K32" s="875">
        <f>SUM(K33:K36)</f>
        <v>9912.5</v>
      </c>
      <c r="L32" s="876">
        <f t="shared" si="6"/>
        <v>48.4</v>
      </c>
      <c r="M32" s="877">
        <f t="shared" si="6"/>
        <v>0</v>
      </c>
      <c r="N32" s="877">
        <f t="shared" si="6"/>
        <v>48.4</v>
      </c>
      <c r="O32" s="1214" t="s">
        <v>353</v>
      </c>
      <c r="P32" s="1214" t="s">
        <v>353</v>
      </c>
      <c r="Q32" s="1065">
        <f t="shared" si="1"/>
        <v>0</v>
      </c>
      <c r="R32" s="1065">
        <f t="shared" si="1"/>
        <v>0</v>
      </c>
      <c r="S32" s="1065">
        <f t="shared" si="1"/>
        <v>0</v>
      </c>
      <c r="Z32" s="1311">
        <f t="shared" si="2"/>
        <v>0</v>
      </c>
      <c r="AA32" s="1374">
        <f t="shared" si="3"/>
        <v>0</v>
      </c>
      <c r="AB32" s="912">
        <f t="shared" si="4"/>
        <v>0</v>
      </c>
      <c r="AC32" s="912">
        <f t="shared" si="5"/>
        <v>0</v>
      </c>
    </row>
    <row r="33" spans="1:29" ht="105" customHeight="1">
      <c r="A33" s="1437" t="s">
        <v>98</v>
      </c>
      <c r="B33" s="1084" t="s">
        <v>1041</v>
      </c>
      <c r="C33" s="871">
        <f t="shared" si="7"/>
        <v>1041.5999999999999</v>
      </c>
      <c r="D33" s="1249">
        <v>0</v>
      </c>
      <c r="E33" s="1249">
        <v>1041.5999999999999</v>
      </c>
      <c r="F33" s="1442">
        <f t="shared" si="8"/>
        <v>1041.5999999999999</v>
      </c>
      <c r="G33" s="1439">
        <v>0</v>
      </c>
      <c r="H33" s="1439">
        <v>1041.5999999999999</v>
      </c>
      <c r="I33" s="1442">
        <f t="shared" si="9"/>
        <v>312.5</v>
      </c>
      <c r="J33" s="1443">
        <v>0</v>
      </c>
      <c r="K33" s="1443">
        <v>312.5</v>
      </c>
      <c r="L33" s="876">
        <f t="shared" si="6"/>
        <v>30</v>
      </c>
      <c r="M33" s="877">
        <f t="shared" si="6"/>
        <v>0</v>
      </c>
      <c r="N33" s="877">
        <f t="shared" si="6"/>
        <v>30</v>
      </c>
      <c r="O33" s="1214" t="s">
        <v>1176</v>
      </c>
      <c r="P33" s="1214" t="s">
        <v>1125</v>
      </c>
      <c r="Q33" s="1065">
        <f t="shared" si="1"/>
        <v>0</v>
      </c>
      <c r="R33" s="1065">
        <f t="shared" si="1"/>
        <v>0</v>
      </c>
      <c r="S33" s="1065">
        <f t="shared" si="1"/>
        <v>0</v>
      </c>
      <c r="T33" s="1099" t="s">
        <v>886</v>
      </c>
      <c r="U33" s="1100" t="s">
        <v>967</v>
      </c>
      <c r="V33" s="1099">
        <v>522</v>
      </c>
      <c r="W33" s="1099" t="s">
        <v>969</v>
      </c>
      <c r="Z33" s="1311">
        <f t="shared" si="2"/>
        <v>0</v>
      </c>
      <c r="AA33" s="1374">
        <f t="shared" si="3"/>
        <v>0</v>
      </c>
      <c r="AB33" s="912">
        <f t="shared" si="4"/>
        <v>0</v>
      </c>
      <c r="AC33" s="912">
        <f t="shared" si="5"/>
        <v>0</v>
      </c>
    </row>
    <row r="34" spans="1:29" ht="104.25" customHeight="1">
      <c r="A34" s="1437" t="s">
        <v>99</v>
      </c>
      <c r="B34" s="1084" t="s">
        <v>1095</v>
      </c>
      <c r="C34" s="871">
        <f>SUM(D34:E34)</f>
        <v>3454.1</v>
      </c>
      <c r="D34" s="1249">
        <v>0</v>
      </c>
      <c r="E34" s="1249">
        <v>3454.1</v>
      </c>
      <c r="F34" s="1442">
        <f>SUM(G34:H34)</f>
        <v>3454.1</v>
      </c>
      <c r="G34" s="1439">
        <v>0</v>
      </c>
      <c r="H34" s="1439">
        <v>3454.1</v>
      </c>
      <c r="I34" s="1442">
        <f>SUM(J34:K34)</f>
        <v>0</v>
      </c>
      <c r="J34" s="1443">
        <v>0</v>
      </c>
      <c r="K34" s="1443">
        <v>0</v>
      </c>
      <c r="L34" s="876">
        <f t="shared" si="6"/>
        <v>0</v>
      </c>
      <c r="M34" s="877">
        <f t="shared" si="6"/>
        <v>0</v>
      </c>
      <c r="N34" s="877">
        <f t="shared" si="6"/>
        <v>0</v>
      </c>
      <c r="O34" s="1214" t="s">
        <v>1171</v>
      </c>
      <c r="P34" s="1214" t="s">
        <v>1128</v>
      </c>
      <c r="Q34" s="1065"/>
      <c r="R34" s="1065"/>
      <c r="S34" s="1065"/>
      <c r="T34" s="1099" t="s">
        <v>961</v>
      </c>
      <c r="U34" s="1100">
        <v>1240343280</v>
      </c>
      <c r="V34" s="1099">
        <v>522</v>
      </c>
      <c r="W34" s="1099" t="s">
        <v>971</v>
      </c>
      <c r="Z34" s="1311">
        <f t="shared" si="2"/>
        <v>0</v>
      </c>
      <c r="AA34" s="1374">
        <f t="shared" si="3"/>
        <v>0</v>
      </c>
      <c r="AB34" s="912">
        <f t="shared" si="4"/>
        <v>0</v>
      </c>
      <c r="AC34" s="912">
        <f t="shared" si="5"/>
        <v>0</v>
      </c>
    </row>
    <row r="35" spans="1:29" ht="166.5" customHeight="1">
      <c r="A35" s="1437" t="s">
        <v>100</v>
      </c>
      <c r="B35" s="1084" t="s">
        <v>1043</v>
      </c>
      <c r="C35" s="871">
        <f t="shared" si="7"/>
        <v>6000</v>
      </c>
      <c r="D35" s="1249">
        <v>0</v>
      </c>
      <c r="E35" s="1249">
        <v>6000</v>
      </c>
      <c r="F35" s="1442">
        <f t="shared" si="8"/>
        <v>6000</v>
      </c>
      <c r="G35" s="1439">
        <v>0</v>
      </c>
      <c r="H35" s="1439">
        <v>6000</v>
      </c>
      <c r="I35" s="2450">
        <f t="shared" si="9"/>
        <v>9600</v>
      </c>
      <c r="J35" s="2440">
        <v>0</v>
      </c>
      <c r="K35" s="2440">
        <v>9600</v>
      </c>
      <c r="L35" s="2425">
        <f>IF(I35=0,0,I35/SUM(F35:F36)*100)</f>
        <v>60</v>
      </c>
      <c r="M35" s="2418">
        <f>IF(J35=0,0,J35/SUM(G35:G36)*100)</f>
        <v>0</v>
      </c>
      <c r="N35" s="2418">
        <f>IF(K35=0,0,K35/SUM(H35:H36)*100)</f>
        <v>60</v>
      </c>
      <c r="O35" s="1213" t="s">
        <v>1177</v>
      </c>
      <c r="P35" s="1213" t="s">
        <v>1126</v>
      </c>
      <c r="Q35" s="1065">
        <f t="shared" si="1"/>
        <v>0</v>
      </c>
      <c r="R35" s="1065">
        <f t="shared" si="1"/>
        <v>0</v>
      </c>
      <c r="S35" s="1065">
        <f t="shared" si="1"/>
        <v>0</v>
      </c>
      <c r="T35" s="2409" t="s">
        <v>886</v>
      </c>
      <c r="U35" s="2409" t="s">
        <v>966</v>
      </c>
      <c r="V35" s="2409">
        <v>522</v>
      </c>
      <c r="W35" s="2409" t="s">
        <v>977</v>
      </c>
      <c r="X35" s="2471"/>
      <c r="Z35" s="1311">
        <f t="shared" si="2"/>
        <v>0</v>
      </c>
      <c r="AA35" s="1374">
        <f t="shared" si="3"/>
        <v>0</v>
      </c>
      <c r="AB35" s="912">
        <f t="shared" si="4"/>
        <v>0</v>
      </c>
      <c r="AC35" s="912">
        <f t="shared" si="5"/>
        <v>0</v>
      </c>
    </row>
    <row r="36" spans="1:29" ht="198.75" customHeight="1">
      <c r="A36" s="1437" t="s">
        <v>101</v>
      </c>
      <c r="B36" s="1084" t="s">
        <v>1044</v>
      </c>
      <c r="C36" s="871">
        <f t="shared" si="7"/>
        <v>10000</v>
      </c>
      <c r="D36" s="1249">
        <v>0</v>
      </c>
      <c r="E36" s="1249">
        <v>10000</v>
      </c>
      <c r="F36" s="1442">
        <f t="shared" si="8"/>
        <v>10000</v>
      </c>
      <c r="G36" s="1439">
        <v>0</v>
      </c>
      <c r="H36" s="1439">
        <v>10000</v>
      </c>
      <c r="I36" s="2451"/>
      <c r="J36" s="2441"/>
      <c r="K36" s="2441"/>
      <c r="L36" s="2427"/>
      <c r="M36" s="2419"/>
      <c r="N36" s="2419"/>
      <c r="O36" s="1213" t="s">
        <v>1178</v>
      </c>
      <c r="P36" s="1213" t="s">
        <v>1127</v>
      </c>
      <c r="Q36" s="1065">
        <f t="shared" si="1"/>
        <v>0</v>
      </c>
      <c r="R36" s="1065">
        <f t="shared" si="1"/>
        <v>0</v>
      </c>
      <c r="S36" s="1065">
        <f t="shared" si="1"/>
        <v>0</v>
      </c>
      <c r="T36" s="2409"/>
      <c r="U36" s="2409"/>
      <c r="V36" s="2409"/>
      <c r="W36" s="2409"/>
      <c r="X36" s="2471"/>
      <c r="Z36" s="1311">
        <f t="shared" si="2"/>
        <v>0</v>
      </c>
      <c r="AA36" s="1374">
        <f t="shared" si="3"/>
        <v>0</v>
      </c>
      <c r="AB36" s="912">
        <f t="shared" si="4"/>
        <v>0</v>
      </c>
      <c r="AC36" s="912">
        <f t="shared" si="5"/>
        <v>0</v>
      </c>
    </row>
    <row r="37" spans="1:29">
      <c r="A37" s="1437"/>
      <c r="B37" s="898" t="s">
        <v>281</v>
      </c>
      <c r="C37" s="871">
        <f t="shared" si="7"/>
        <v>7150.8</v>
      </c>
      <c r="D37" s="1250">
        <f>SUM(D39:D40)</f>
        <v>0</v>
      </c>
      <c r="E37" s="1250">
        <f>SUM(E38:E40)</f>
        <v>7150.8</v>
      </c>
      <c r="F37" s="1442">
        <f t="shared" si="8"/>
        <v>7150.8</v>
      </c>
      <c r="G37" s="875">
        <f>SUM(G39:G40)</f>
        <v>0</v>
      </c>
      <c r="H37" s="875">
        <f>SUM(H38:H40)</f>
        <v>7150.8</v>
      </c>
      <c r="I37" s="1442">
        <f t="shared" si="9"/>
        <v>0</v>
      </c>
      <c r="J37" s="875">
        <f>SUM(J39:J40)</f>
        <v>0</v>
      </c>
      <c r="K37" s="875">
        <f>SUM(K39:K40)</f>
        <v>0</v>
      </c>
      <c r="L37" s="876">
        <f t="shared" ref="L37:N61" si="10">IF(I37=0,0,I37/F37*100)</f>
        <v>0</v>
      </c>
      <c r="M37" s="877">
        <f t="shared" si="10"/>
        <v>0</v>
      </c>
      <c r="N37" s="877">
        <f t="shared" si="10"/>
        <v>0</v>
      </c>
      <c r="O37" s="1214" t="s">
        <v>353</v>
      </c>
      <c r="P37" s="1214" t="s">
        <v>353</v>
      </c>
      <c r="Q37" s="1065">
        <f t="shared" si="1"/>
        <v>0</v>
      </c>
      <c r="R37" s="1065">
        <f t="shared" si="1"/>
        <v>0</v>
      </c>
      <c r="S37" s="1065">
        <f t="shared" si="1"/>
        <v>0</v>
      </c>
      <c r="Z37" s="1311">
        <f t="shared" si="2"/>
        <v>0</v>
      </c>
      <c r="AA37" s="1374">
        <f t="shared" si="3"/>
        <v>0</v>
      </c>
      <c r="AB37" s="912">
        <f t="shared" si="4"/>
        <v>0</v>
      </c>
      <c r="AC37" s="912">
        <f t="shared" si="5"/>
        <v>0</v>
      </c>
    </row>
    <row r="38" spans="1:29" ht="69.75">
      <c r="A38" s="1425"/>
      <c r="B38" s="1434"/>
      <c r="C38" s="871">
        <f>SUM(D38:E38)</f>
        <v>0</v>
      </c>
      <c r="D38" s="1249">
        <v>0</v>
      </c>
      <c r="E38" s="1249">
        <v>0</v>
      </c>
      <c r="F38" s="1442">
        <f>SUM(G38:H38)</f>
        <v>0</v>
      </c>
      <c r="G38" s="1439">
        <v>0</v>
      </c>
      <c r="H38" s="1439">
        <v>0</v>
      </c>
      <c r="I38" s="1442">
        <f>SUM(J38:K38)</f>
        <v>0</v>
      </c>
      <c r="J38" s="1443">
        <v>0</v>
      </c>
      <c r="K38" s="1443">
        <v>0</v>
      </c>
      <c r="L38" s="876">
        <f t="shared" si="10"/>
        <v>0</v>
      </c>
      <c r="M38" s="877">
        <f t="shared" si="10"/>
        <v>0</v>
      </c>
      <c r="N38" s="877">
        <f t="shared" si="10"/>
        <v>0</v>
      </c>
      <c r="O38" s="1214" t="s">
        <v>353</v>
      </c>
      <c r="P38" s="1214" t="s">
        <v>1114</v>
      </c>
      <c r="Q38" s="1065"/>
      <c r="R38" s="1065"/>
      <c r="S38" s="1065"/>
      <c r="T38" s="1099" t="s">
        <v>928</v>
      </c>
      <c r="U38" s="1100" t="s">
        <v>988</v>
      </c>
      <c r="V38" s="1099">
        <v>522</v>
      </c>
      <c r="W38" s="1099" t="s">
        <v>989</v>
      </c>
      <c r="Z38" s="1311">
        <f t="shared" si="2"/>
        <v>0</v>
      </c>
      <c r="AA38" s="1374">
        <f t="shared" si="3"/>
        <v>0</v>
      </c>
      <c r="AB38" s="912">
        <f t="shared" si="4"/>
        <v>0</v>
      </c>
      <c r="AC38" s="912">
        <f t="shared" si="5"/>
        <v>0</v>
      </c>
    </row>
    <row r="39" spans="1:29" ht="101.25" customHeight="1">
      <c r="A39" s="1437" t="s">
        <v>102</v>
      </c>
      <c r="B39" s="1084" t="s">
        <v>675</v>
      </c>
      <c r="C39" s="871">
        <f t="shared" si="7"/>
        <v>3150.8</v>
      </c>
      <c r="D39" s="1249">
        <v>0</v>
      </c>
      <c r="E39" s="1249">
        <v>3150.8</v>
      </c>
      <c r="F39" s="1442">
        <f t="shared" si="8"/>
        <v>3150.8</v>
      </c>
      <c r="G39" s="1439">
        <v>0</v>
      </c>
      <c r="H39" s="1439">
        <f>E39</f>
        <v>3150.8</v>
      </c>
      <c r="I39" s="1442">
        <f t="shared" si="9"/>
        <v>0</v>
      </c>
      <c r="J39" s="1443">
        <v>0</v>
      </c>
      <c r="K39" s="1443">
        <v>0</v>
      </c>
      <c r="L39" s="876">
        <f t="shared" si="10"/>
        <v>0</v>
      </c>
      <c r="M39" s="877">
        <f t="shared" si="10"/>
        <v>0</v>
      </c>
      <c r="N39" s="877">
        <f t="shared" si="10"/>
        <v>0</v>
      </c>
      <c r="O39" s="1430" t="s">
        <v>1179</v>
      </c>
      <c r="P39" s="1430" t="s">
        <v>1130</v>
      </c>
      <c r="Q39" s="1067">
        <f t="shared" si="1"/>
        <v>0</v>
      </c>
      <c r="R39" s="1067">
        <f t="shared" si="1"/>
        <v>0</v>
      </c>
      <c r="S39" s="1067">
        <f t="shared" si="1"/>
        <v>0</v>
      </c>
      <c r="T39" s="1222" t="s">
        <v>886</v>
      </c>
      <c r="U39" s="1223" t="s">
        <v>967</v>
      </c>
      <c r="V39" s="1222">
        <v>522</v>
      </c>
      <c r="W39" s="1222" t="s">
        <v>983</v>
      </c>
      <c r="Z39" s="1311">
        <f t="shared" si="2"/>
        <v>0</v>
      </c>
      <c r="AA39" s="1374">
        <f t="shared" si="3"/>
        <v>0</v>
      </c>
      <c r="AB39" s="912">
        <f t="shared" si="4"/>
        <v>0</v>
      </c>
      <c r="AC39" s="912">
        <f t="shared" si="5"/>
        <v>0</v>
      </c>
    </row>
    <row r="40" spans="1:29" ht="131.25">
      <c r="A40" s="1437" t="s">
        <v>103</v>
      </c>
      <c r="B40" s="1084" t="s">
        <v>1045</v>
      </c>
      <c r="C40" s="871">
        <f t="shared" si="7"/>
        <v>4000</v>
      </c>
      <c r="D40" s="1249">
        <v>0</v>
      </c>
      <c r="E40" s="1249">
        <v>4000</v>
      </c>
      <c r="F40" s="1442">
        <f t="shared" si="8"/>
        <v>4000</v>
      </c>
      <c r="G40" s="1439">
        <v>0</v>
      </c>
      <c r="H40" s="1439">
        <v>4000</v>
      </c>
      <c r="I40" s="1442">
        <f t="shared" si="9"/>
        <v>0</v>
      </c>
      <c r="J40" s="1443">
        <v>0</v>
      </c>
      <c r="K40" s="1443">
        <v>0</v>
      </c>
      <c r="L40" s="876">
        <f t="shared" si="10"/>
        <v>0</v>
      </c>
      <c r="M40" s="877">
        <f t="shared" si="10"/>
        <v>0</v>
      </c>
      <c r="N40" s="877">
        <f t="shared" si="10"/>
        <v>0</v>
      </c>
      <c r="O40" s="1214" t="s">
        <v>1115</v>
      </c>
      <c r="P40" s="1214" t="s">
        <v>1129</v>
      </c>
      <c r="Q40" s="1065">
        <f t="shared" si="1"/>
        <v>0</v>
      </c>
      <c r="R40" s="1065">
        <f t="shared" si="1"/>
        <v>0</v>
      </c>
      <c r="S40" s="1065">
        <f t="shared" si="1"/>
        <v>0</v>
      </c>
      <c r="T40" s="1099" t="s">
        <v>886</v>
      </c>
      <c r="U40" s="1100">
        <v>510243220</v>
      </c>
      <c r="V40" s="1099">
        <v>522</v>
      </c>
      <c r="W40" s="1099" t="s">
        <v>979</v>
      </c>
      <c r="Z40" s="1311">
        <f t="shared" si="2"/>
        <v>0</v>
      </c>
      <c r="AA40" s="1374">
        <f t="shared" si="3"/>
        <v>0</v>
      </c>
      <c r="AB40" s="912">
        <f t="shared" si="4"/>
        <v>0</v>
      </c>
      <c r="AC40" s="912">
        <f t="shared" si="5"/>
        <v>0</v>
      </c>
    </row>
    <row r="41" spans="1:29">
      <c r="A41" s="1437"/>
      <c r="B41" s="898" t="s">
        <v>431</v>
      </c>
      <c r="C41" s="871">
        <f t="shared" si="7"/>
        <v>10867.5</v>
      </c>
      <c r="D41" s="1250">
        <f>D43</f>
        <v>0</v>
      </c>
      <c r="E41" s="1250">
        <f>SUM(E42:E43)</f>
        <v>10867.5</v>
      </c>
      <c r="F41" s="1442">
        <f t="shared" si="8"/>
        <v>10867.5</v>
      </c>
      <c r="G41" s="875">
        <f>G43</f>
        <v>0</v>
      </c>
      <c r="H41" s="875">
        <f>SUM(H42:H43)</f>
        <v>10867.5</v>
      </c>
      <c r="I41" s="1442">
        <f t="shared" si="9"/>
        <v>4324.1000000000004</v>
      </c>
      <c r="J41" s="875">
        <f>J43</f>
        <v>0</v>
      </c>
      <c r="K41" s="875">
        <f>K43</f>
        <v>4324.1000000000004</v>
      </c>
      <c r="L41" s="876">
        <f t="shared" si="10"/>
        <v>39.799999999999997</v>
      </c>
      <c r="M41" s="877">
        <f t="shared" si="10"/>
        <v>0</v>
      </c>
      <c r="N41" s="877">
        <f t="shared" si="10"/>
        <v>39.799999999999997</v>
      </c>
      <c r="O41" s="1214" t="s">
        <v>353</v>
      </c>
      <c r="P41" s="1214" t="s">
        <v>353</v>
      </c>
      <c r="Q41" s="1065">
        <f t="shared" si="1"/>
        <v>0</v>
      </c>
      <c r="R41" s="1065">
        <f t="shared" si="1"/>
        <v>0</v>
      </c>
      <c r="S41" s="1065">
        <f t="shared" si="1"/>
        <v>0</v>
      </c>
      <c r="Z41" s="1311">
        <f t="shared" si="2"/>
        <v>0</v>
      </c>
      <c r="AA41" s="1374">
        <f t="shared" si="3"/>
        <v>0</v>
      </c>
      <c r="AB41" s="912">
        <f t="shared" si="4"/>
        <v>0</v>
      </c>
      <c r="AC41" s="912">
        <f t="shared" si="5"/>
        <v>0</v>
      </c>
    </row>
    <row r="42" spans="1:29" ht="86.25" customHeight="1">
      <c r="A42" s="1437" t="s">
        <v>107</v>
      </c>
      <c r="B42" s="1434" t="s">
        <v>1096</v>
      </c>
      <c r="C42" s="871">
        <f t="shared" si="7"/>
        <v>6467.5</v>
      </c>
      <c r="D42" s="1249">
        <v>0</v>
      </c>
      <c r="E42" s="1249">
        <v>6467.5</v>
      </c>
      <c r="F42" s="1442">
        <f>SUM(G42:H42)</f>
        <v>6467.5</v>
      </c>
      <c r="G42" s="1439">
        <v>0</v>
      </c>
      <c r="H42" s="1439">
        <f>E42</f>
        <v>6467.5</v>
      </c>
      <c r="I42" s="1442">
        <f>SUM(J42:K42)</f>
        <v>0</v>
      </c>
      <c r="J42" s="1443">
        <v>0</v>
      </c>
      <c r="K42" s="1443">
        <v>0</v>
      </c>
      <c r="L42" s="876">
        <f t="shared" si="10"/>
        <v>0</v>
      </c>
      <c r="M42" s="877">
        <f t="shared" si="10"/>
        <v>0</v>
      </c>
      <c r="N42" s="877">
        <f t="shared" si="10"/>
        <v>0</v>
      </c>
      <c r="O42" s="1214" t="s">
        <v>1171</v>
      </c>
      <c r="P42" s="1214" t="s">
        <v>1128</v>
      </c>
      <c r="Q42" s="1065"/>
      <c r="R42" s="1065"/>
      <c r="S42" s="1065"/>
      <c r="T42" s="1099" t="s">
        <v>961</v>
      </c>
      <c r="U42" s="1100">
        <v>1240343280</v>
      </c>
      <c r="V42" s="1099">
        <v>522</v>
      </c>
      <c r="W42" s="1099" t="s">
        <v>971</v>
      </c>
      <c r="Z42" s="1311">
        <f t="shared" si="2"/>
        <v>0</v>
      </c>
      <c r="AA42" s="1374">
        <f t="shared" si="3"/>
        <v>0</v>
      </c>
      <c r="AB42" s="912">
        <f t="shared" si="4"/>
        <v>0</v>
      </c>
      <c r="AC42" s="912">
        <f t="shared" si="5"/>
        <v>0</v>
      </c>
    </row>
    <row r="43" spans="1:29" ht="111" customHeight="1">
      <c r="A43" s="1437" t="s">
        <v>108</v>
      </c>
      <c r="B43" s="1084" t="s">
        <v>1350</v>
      </c>
      <c r="C43" s="871">
        <f t="shared" si="7"/>
        <v>4400</v>
      </c>
      <c r="D43" s="1249">
        <v>0</v>
      </c>
      <c r="E43" s="1249">
        <v>4400</v>
      </c>
      <c r="F43" s="1442">
        <f t="shared" si="8"/>
        <v>4400</v>
      </c>
      <c r="G43" s="1439">
        <v>0</v>
      </c>
      <c r="H43" s="1439">
        <v>4400</v>
      </c>
      <c r="I43" s="1442">
        <f t="shared" si="9"/>
        <v>4324.1000000000004</v>
      </c>
      <c r="J43" s="1443">
        <v>0</v>
      </c>
      <c r="K43" s="1443">
        <v>4324.1000000000004</v>
      </c>
      <c r="L43" s="876">
        <f t="shared" si="10"/>
        <v>98.3</v>
      </c>
      <c r="M43" s="877">
        <f t="shared" si="10"/>
        <v>0</v>
      </c>
      <c r="N43" s="877">
        <f t="shared" si="10"/>
        <v>98.3</v>
      </c>
      <c r="O43" s="1214" t="s">
        <v>1180</v>
      </c>
      <c r="P43" s="1214" t="s">
        <v>1131</v>
      </c>
      <c r="Q43" s="1065">
        <f t="shared" si="1"/>
        <v>0</v>
      </c>
      <c r="R43" s="1065">
        <f t="shared" si="1"/>
        <v>0</v>
      </c>
      <c r="S43" s="1065">
        <f t="shared" si="1"/>
        <v>0</v>
      </c>
      <c r="T43" s="1099" t="s">
        <v>886</v>
      </c>
      <c r="U43" s="1100" t="s">
        <v>972</v>
      </c>
      <c r="V43" s="1099">
        <v>522</v>
      </c>
      <c r="W43" s="1099" t="s">
        <v>978</v>
      </c>
      <c r="Z43" s="1311">
        <f t="shared" si="2"/>
        <v>0</v>
      </c>
      <c r="AA43" s="1374">
        <f t="shared" si="3"/>
        <v>0</v>
      </c>
      <c r="AB43" s="912">
        <f t="shared" si="4"/>
        <v>0</v>
      </c>
      <c r="AC43" s="912">
        <f t="shared" si="5"/>
        <v>0</v>
      </c>
    </row>
    <row r="44" spans="1:29">
      <c r="A44" s="1437"/>
      <c r="B44" s="898" t="s">
        <v>583</v>
      </c>
      <c r="C44" s="871">
        <f t="shared" si="7"/>
        <v>0</v>
      </c>
      <c r="D44" s="1250">
        <f>D45</f>
        <v>0</v>
      </c>
      <c r="E44" s="1250">
        <f>E45</f>
        <v>0</v>
      </c>
      <c r="F44" s="1442">
        <f t="shared" si="8"/>
        <v>0</v>
      </c>
      <c r="G44" s="875">
        <f>G45</f>
        <v>0</v>
      </c>
      <c r="H44" s="875">
        <f>H45</f>
        <v>0</v>
      </c>
      <c r="I44" s="1442">
        <f t="shared" si="9"/>
        <v>0</v>
      </c>
      <c r="J44" s="875">
        <f>J45</f>
        <v>0</v>
      </c>
      <c r="K44" s="875">
        <f>K45</f>
        <v>0</v>
      </c>
      <c r="L44" s="876">
        <f t="shared" si="10"/>
        <v>0</v>
      </c>
      <c r="M44" s="877">
        <f t="shared" si="10"/>
        <v>0</v>
      </c>
      <c r="N44" s="877">
        <f t="shared" si="10"/>
        <v>0</v>
      </c>
      <c r="O44" s="1214" t="s">
        <v>353</v>
      </c>
      <c r="P44" s="1214" t="s">
        <v>353</v>
      </c>
      <c r="Q44" s="1065">
        <f t="shared" si="1"/>
        <v>0</v>
      </c>
      <c r="R44" s="1065">
        <f t="shared" si="1"/>
        <v>0</v>
      </c>
      <c r="S44" s="1065">
        <f t="shared" si="1"/>
        <v>0</v>
      </c>
      <c r="Z44" s="1311">
        <f t="shared" si="2"/>
        <v>0</v>
      </c>
      <c r="AA44" s="1374">
        <f t="shared" si="3"/>
        <v>0</v>
      </c>
      <c r="AB44" s="912">
        <f t="shared" si="4"/>
        <v>0</v>
      </c>
      <c r="AC44" s="912">
        <f t="shared" si="5"/>
        <v>0</v>
      </c>
    </row>
    <row r="45" spans="1:29" s="1216" customFormat="1" ht="69.75">
      <c r="A45" s="1425" t="s">
        <v>117</v>
      </c>
      <c r="B45" s="1084"/>
      <c r="C45" s="871">
        <f t="shared" si="7"/>
        <v>0</v>
      </c>
      <c r="D45" s="1249">
        <v>0</v>
      </c>
      <c r="E45" s="1249">
        <v>0</v>
      </c>
      <c r="F45" s="1442">
        <f t="shared" si="8"/>
        <v>0</v>
      </c>
      <c r="G45" s="1439">
        <v>0</v>
      </c>
      <c r="H45" s="1439">
        <v>0</v>
      </c>
      <c r="I45" s="1442">
        <f t="shared" si="9"/>
        <v>0</v>
      </c>
      <c r="J45" s="1443">
        <v>0</v>
      </c>
      <c r="K45" s="1443">
        <v>0</v>
      </c>
      <c r="L45" s="876">
        <f t="shared" si="10"/>
        <v>0</v>
      </c>
      <c r="M45" s="877">
        <f t="shared" si="10"/>
        <v>0</v>
      </c>
      <c r="N45" s="877">
        <f t="shared" si="10"/>
        <v>0</v>
      </c>
      <c r="O45" s="1214" t="s">
        <v>1181</v>
      </c>
      <c r="P45" s="1214" t="s">
        <v>1132</v>
      </c>
      <c r="Q45" s="1065">
        <f t="shared" si="1"/>
        <v>0</v>
      </c>
      <c r="R45" s="1065">
        <f t="shared" si="1"/>
        <v>0</v>
      </c>
      <c r="S45" s="1065">
        <f t="shared" si="1"/>
        <v>0</v>
      </c>
      <c r="T45" s="1099" t="s">
        <v>886</v>
      </c>
      <c r="U45" s="1100" t="s">
        <v>967</v>
      </c>
      <c r="V45" s="1099">
        <v>522</v>
      </c>
      <c r="W45" s="1099" t="s">
        <v>969</v>
      </c>
      <c r="Z45" s="1311">
        <f t="shared" si="2"/>
        <v>0</v>
      </c>
      <c r="AA45" s="1374">
        <f t="shared" si="3"/>
        <v>0</v>
      </c>
      <c r="AB45" s="912">
        <f t="shared" si="4"/>
        <v>0</v>
      </c>
      <c r="AC45" s="912">
        <f t="shared" si="5"/>
        <v>0</v>
      </c>
    </row>
    <row r="46" spans="1:29" s="1216" customFormat="1">
      <c r="A46" s="1437"/>
      <c r="B46" s="898" t="s">
        <v>709</v>
      </c>
      <c r="C46" s="871">
        <f>SUM(D46:E46)</f>
        <v>58050</v>
      </c>
      <c r="D46" s="1250">
        <f>SUM(D47:D49)</f>
        <v>0</v>
      </c>
      <c r="E46" s="1250">
        <f>SUM(E47:E49)</f>
        <v>58050</v>
      </c>
      <c r="F46" s="871">
        <f>SUM(G46:H46)</f>
        <v>58050</v>
      </c>
      <c r="G46" s="1250">
        <f>SUM(G47:G49)</f>
        <v>0</v>
      </c>
      <c r="H46" s="1250">
        <f>SUM(H47:H49)</f>
        <v>58050</v>
      </c>
      <c r="I46" s="871">
        <f>SUM(J46:K46)</f>
        <v>3049.7</v>
      </c>
      <c r="J46" s="1250">
        <f>SUM(J47:J49)</f>
        <v>0</v>
      </c>
      <c r="K46" s="1250">
        <f>SUM(K47:K49)</f>
        <v>3049.7</v>
      </c>
      <c r="L46" s="876">
        <f t="shared" si="10"/>
        <v>5.3</v>
      </c>
      <c r="M46" s="877">
        <f t="shared" si="10"/>
        <v>0</v>
      </c>
      <c r="N46" s="877">
        <f t="shared" si="10"/>
        <v>5.3</v>
      </c>
      <c r="O46" s="1214" t="s">
        <v>353</v>
      </c>
      <c r="P46" s="1214" t="s">
        <v>353</v>
      </c>
      <c r="Q46" s="1065">
        <f t="shared" si="1"/>
        <v>0</v>
      </c>
      <c r="R46" s="1065">
        <f t="shared" si="1"/>
        <v>0</v>
      </c>
      <c r="S46" s="1065">
        <f t="shared" si="1"/>
        <v>0</v>
      </c>
      <c r="T46" s="1099"/>
      <c r="U46" s="1100"/>
      <c r="V46" s="1099"/>
      <c r="W46" s="1099"/>
      <c r="Z46" s="1311">
        <f t="shared" si="2"/>
        <v>0</v>
      </c>
      <c r="AA46" s="1374">
        <f t="shared" si="3"/>
        <v>0</v>
      </c>
      <c r="AB46" s="912">
        <f t="shared" si="4"/>
        <v>0</v>
      </c>
      <c r="AC46" s="912">
        <f t="shared" si="5"/>
        <v>0</v>
      </c>
    </row>
    <row r="47" spans="1:29" s="1216" customFormat="1" ht="78.75">
      <c r="A47" s="1437" t="s">
        <v>109</v>
      </c>
      <c r="B47" s="1434" t="s">
        <v>1047</v>
      </c>
      <c r="C47" s="871">
        <f>SUM(D47:E47)</f>
        <v>35700</v>
      </c>
      <c r="D47" s="1249">
        <v>0</v>
      </c>
      <c r="E47" s="1249">
        <f>35000+700</f>
        <v>35700</v>
      </c>
      <c r="F47" s="1442">
        <f>SUM(G47:H47)</f>
        <v>35700</v>
      </c>
      <c r="G47" s="1439">
        <v>0</v>
      </c>
      <c r="H47" s="1439">
        <f>35000+700</f>
        <v>35700</v>
      </c>
      <c r="I47" s="1442">
        <f t="shared" si="9"/>
        <v>3049.7</v>
      </c>
      <c r="J47" s="1443">
        <v>0</v>
      </c>
      <c r="K47" s="1443">
        <v>3049.7</v>
      </c>
      <c r="L47" s="876">
        <f t="shared" si="10"/>
        <v>8.5</v>
      </c>
      <c r="M47" s="877">
        <f t="shared" si="10"/>
        <v>0</v>
      </c>
      <c r="N47" s="877">
        <f t="shared" si="10"/>
        <v>8.5</v>
      </c>
      <c r="O47" s="1214" t="s">
        <v>1171</v>
      </c>
      <c r="P47" s="1214" t="s">
        <v>1133</v>
      </c>
      <c r="Q47" s="1065"/>
      <c r="R47" s="1065"/>
      <c r="S47" s="1065"/>
      <c r="T47" s="1099" t="s">
        <v>961</v>
      </c>
      <c r="U47" s="1100" t="s">
        <v>990</v>
      </c>
      <c r="V47" s="1099">
        <v>522</v>
      </c>
      <c r="W47" s="1099">
        <v>24357</v>
      </c>
      <c r="Z47" s="1311">
        <f t="shared" si="2"/>
        <v>0</v>
      </c>
      <c r="AA47" s="1374">
        <f t="shared" si="3"/>
        <v>0</v>
      </c>
      <c r="AB47" s="912">
        <f t="shared" si="4"/>
        <v>0</v>
      </c>
      <c r="AC47" s="912">
        <f t="shared" si="5"/>
        <v>0</v>
      </c>
    </row>
    <row r="48" spans="1:29" s="1216" customFormat="1" ht="78.75">
      <c r="A48" s="1437" t="s">
        <v>117</v>
      </c>
      <c r="B48" s="1084" t="s">
        <v>1048</v>
      </c>
      <c r="C48" s="871">
        <f>SUM(D48:E48)</f>
        <v>4500</v>
      </c>
      <c r="D48" s="1249">
        <v>0</v>
      </c>
      <c r="E48" s="1249">
        <v>4500</v>
      </c>
      <c r="F48" s="1442">
        <f>SUM(G48:H48)</f>
        <v>4500</v>
      </c>
      <c r="G48" s="1439">
        <v>0</v>
      </c>
      <c r="H48" s="1439">
        <v>4500</v>
      </c>
      <c r="I48" s="1442">
        <f t="shared" si="9"/>
        <v>0</v>
      </c>
      <c r="J48" s="1443">
        <v>0</v>
      </c>
      <c r="K48" s="1443">
        <v>0</v>
      </c>
      <c r="L48" s="876">
        <f t="shared" si="10"/>
        <v>0</v>
      </c>
      <c r="M48" s="877">
        <f t="shared" si="10"/>
        <v>0</v>
      </c>
      <c r="N48" s="877">
        <f t="shared" si="10"/>
        <v>0</v>
      </c>
      <c r="O48" s="1214" t="s">
        <v>1171</v>
      </c>
      <c r="P48" s="1214" t="s">
        <v>1116</v>
      </c>
      <c r="Q48" s="1065">
        <f t="shared" si="1"/>
        <v>0</v>
      </c>
      <c r="R48" s="1065">
        <f t="shared" si="1"/>
        <v>0</v>
      </c>
      <c r="S48" s="1065">
        <f t="shared" si="1"/>
        <v>0</v>
      </c>
      <c r="T48" s="1099" t="s">
        <v>886</v>
      </c>
      <c r="U48" s="1100" t="s">
        <v>967</v>
      </c>
      <c r="V48" s="1099">
        <v>522</v>
      </c>
      <c r="W48" s="1099" t="s">
        <v>991</v>
      </c>
      <c r="Z48" s="1311">
        <f t="shared" si="2"/>
        <v>0</v>
      </c>
      <c r="AA48" s="1374">
        <f t="shared" si="3"/>
        <v>0</v>
      </c>
      <c r="AB48" s="912">
        <f t="shared" si="4"/>
        <v>0</v>
      </c>
      <c r="AC48" s="912">
        <f t="shared" si="5"/>
        <v>0</v>
      </c>
    </row>
    <row r="49" spans="1:29" s="1216" customFormat="1" ht="78.75">
      <c r="A49" s="1437" t="s">
        <v>118</v>
      </c>
      <c r="B49" s="1084" t="s">
        <v>1049</v>
      </c>
      <c r="C49" s="871">
        <f t="shared" si="7"/>
        <v>17850</v>
      </c>
      <c r="D49" s="1249">
        <v>0</v>
      </c>
      <c r="E49" s="1249">
        <v>17850</v>
      </c>
      <c r="F49" s="1442">
        <f t="shared" si="8"/>
        <v>17850</v>
      </c>
      <c r="G49" s="1439">
        <v>0</v>
      </c>
      <c r="H49" s="1439">
        <v>17850</v>
      </c>
      <c r="I49" s="1442">
        <f t="shared" si="9"/>
        <v>0</v>
      </c>
      <c r="J49" s="1443">
        <v>0</v>
      </c>
      <c r="K49" s="1443">
        <v>0</v>
      </c>
      <c r="L49" s="876">
        <f t="shared" si="10"/>
        <v>0</v>
      </c>
      <c r="M49" s="877">
        <f t="shared" si="10"/>
        <v>0</v>
      </c>
      <c r="N49" s="877">
        <f t="shared" si="10"/>
        <v>0</v>
      </c>
      <c r="O49" s="1214" t="s">
        <v>1171</v>
      </c>
      <c r="P49" s="1214" t="s">
        <v>1116</v>
      </c>
      <c r="Q49" s="1065">
        <f t="shared" si="1"/>
        <v>0</v>
      </c>
      <c r="R49" s="1065">
        <f t="shared" si="1"/>
        <v>0</v>
      </c>
      <c r="S49" s="1065">
        <f t="shared" si="1"/>
        <v>0</v>
      </c>
      <c r="T49" s="1099" t="s">
        <v>886</v>
      </c>
      <c r="U49" s="1100" t="s">
        <v>967</v>
      </c>
      <c r="V49" s="1099">
        <v>522</v>
      </c>
      <c r="W49" s="1099" t="s">
        <v>969</v>
      </c>
      <c r="Z49" s="1311">
        <f t="shared" si="2"/>
        <v>0</v>
      </c>
      <c r="AA49" s="1374">
        <f t="shared" si="3"/>
        <v>0</v>
      </c>
      <c r="AB49" s="912">
        <f t="shared" si="4"/>
        <v>0</v>
      </c>
      <c r="AC49" s="912">
        <f t="shared" si="5"/>
        <v>0</v>
      </c>
    </row>
    <row r="50" spans="1:29" s="1216" customFormat="1">
      <c r="A50" s="1437"/>
      <c r="B50" s="898" t="s">
        <v>333</v>
      </c>
      <c r="C50" s="871">
        <f t="shared" si="7"/>
        <v>9843</v>
      </c>
      <c r="D50" s="1250">
        <f>SUM(D51:D52)</f>
        <v>0</v>
      </c>
      <c r="E50" s="1250">
        <f>SUM(E51:E52)</f>
        <v>9843</v>
      </c>
      <c r="F50" s="1442">
        <f t="shared" si="8"/>
        <v>9843</v>
      </c>
      <c r="G50" s="875">
        <f>SUM(G51:G52)</f>
        <v>0</v>
      </c>
      <c r="H50" s="875">
        <f>SUM(H51:H52)</f>
        <v>9843</v>
      </c>
      <c r="I50" s="1442">
        <f>SUM(J50:K50)</f>
        <v>0</v>
      </c>
      <c r="J50" s="875">
        <f>SUM(J51:J52)</f>
        <v>0</v>
      </c>
      <c r="K50" s="875">
        <f>SUM(K51:K52)</f>
        <v>0</v>
      </c>
      <c r="L50" s="876">
        <f t="shared" si="10"/>
        <v>0</v>
      </c>
      <c r="M50" s="877">
        <f t="shared" si="10"/>
        <v>0</v>
      </c>
      <c r="N50" s="877">
        <f t="shared" si="10"/>
        <v>0</v>
      </c>
      <c r="O50" s="1214" t="s">
        <v>353</v>
      </c>
      <c r="P50" s="1214" t="s">
        <v>353</v>
      </c>
      <c r="Q50" s="1065">
        <f t="shared" si="1"/>
        <v>0</v>
      </c>
      <c r="R50" s="1065">
        <f t="shared" si="1"/>
        <v>0</v>
      </c>
      <c r="S50" s="1065">
        <f t="shared" si="1"/>
        <v>0</v>
      </c>
      <c r="T50" s="1099"/>
      <c r="U50" s="1100"/>
      <c r="V50" s="1099"/>
      <c r="W50" s="1099"/>
      <c r="Z50" s="1311">
        <f t="shared" si="2"/>
        <v>0</v>
      </c>
      <c r="AA50" s="1374">
        <f t="shared" si="3"/>
        <v>0</v>
      </c>
      <c r="AB50" s="912">
        <f t="shared" si="4"/>
        <v>0</v>
      </c>
      <c r="AC50" s="912">
        <f t="shared" si="5"/>
        <v>0</v>
      </c>
    </row>
    <row r="51" spans="1:29" s="1216" customFormat="1" ht="52.5">
      <c r="A51" s="1437" t="s">
        <v>154</v>
      </c>
      <c r="B51" s="1084" t="s">
        <v>1051</v>
      </c>
      <c r="C51" s="871">
        <f>SUM(D51:E51)</f>
        <v>3000</v>
      </c>
      <c r="D51" s="1249">
        <v>0</v>
      </c>
      <c r="E51" s="1249">
        <v>3000</v>
      </c>
      <c r="F51" s="1442">
        <f>SUM(G51:H51)</f>
        <v>3000</v>
      </c>
      <c r="G51" s="1439">
        <v>0</v>
      </c>
      <c r="H51" s="1439">
        <v>3000</v>
      </c>
      <c r="I51" s="1442">
        <f t="shared" si="9"/>
        <v>0</v>
      </c>
      <c r="J51" s="1443">
        <v>0</v>
      </c>
      <c r="K51" s="1443">
        <v>0</v>
      </c>
      <c r="L51" s="876">
        <f t="shared" si="10"/>
        <v>0</v>
      </c>
      <c r="M51" s="877">
        <f t="shared" si="10"/>
        <v>0</v>
      </c>
      <c r="N51" s="877">
        <f t="shared" si="10"/>
        <v>0</v>
      </c>
      <c r="O51" s="1214" t="s">
        <v>1171</v>
      </c>
      <c r="P51" s="1214" t="s">
        <v>1116</v>
      </c>
      <c r="Q51" s="1065">
        <f t="shared" si="1"/>
        <v>0</v>
      </c>
      <c r="R51" s="1065">
        <f t="shared" si="1"/>
        <v>0</v>
      </c>
      <c r="S51" s="1065">
        <f t="shared" si="1"/>
        <v>0</v>
      </c>
      <c r="T51" s="1099" t="s">
        <v>886</v>
      </c>
      <c r="U51" s="1100" t="s">
        <v>967</v>
      </c>
      <c r="V51" s="1099">
        <v>522</v>
      </c>
      <c r="W51" s="1099" t="s">
        <v>994</v>
      </c>
      <c r="Z51" s="1311">
        <f t="shared" si="2"/>
        <v>0</v>
      </c>
      <c r="AA51" s="1374">
        <f t="shared" si="3"/>
        <v>0</v>
      </c>
      <c r="AB51" s="912">
        <f t="shared" si="4"/>
        <v>0</v>
      </c>
      <c r="AC51" s="912">
        <f t="shared" si="5"/>
        <v>0</v>
      </c>
    </row>
    <row r="52" spans="1:29" s="1216" customFormat="1" ht="52.5">
      <c r="A52" s="1437" t="s">
        <v>155</v>
      </c>
      <c r="B52" s="1084" t="s">
        <v>1050</v>
      </c>
      <c r="C52" s="871">
        <f t="shared" si="7"/>
        <v>6843</v>
      </c>
      <c r="D52" s="1249">
        <v>0</v>
      </c>
      <c r="E52" s="1249">
        <v>6843</v>
      </c>
      <c r="F52" s="1442">
        <f t="shared" si="8"/>
        <v>6843</v>
      </c>
      <c r="G52" s="1439">
        <v>0</v>
      </c>
      <c r="H52" s="1439">
        <v>6843</v>
      </c>
      <c r="I52" s="1442">
        <f t="shared" si="9"/>
        <v>0</v>
      </c>
      <c r="J52" s="1443">
        <v>0</v>
      </c>
      <c r="K52" s="1443">
        <v>0</v>
      </c>
      <c r="L52" s="876">
        <f t="shared" si="10"/>
        <v>0</v>
      </c>
      <c r="M52" s="877">
        <f t="shared" si="10"/>
        <v>0</v>
      </c>
      <c r="N52" s="877">
        <f t="shared" si="10"/>
        <v>0</v>
      </c>
      <c r="O52" s="1214" t="s">
        <v>1171</v>
      </c>
      <c r="P52" s="1214" t="s">
        <v>1116</v>
      </c>
      <c r="Q52" s="1065">
        <f t="shared" si="1"/>
        <v>0</v>
      </c>
      <c r="R52" s="1065">
        <f t="shared" si="1"/>
        <v>0</v>
      </c>
      <c r="S52" s="1065">
        <f t="shared" si="1"/>
        <v>0</v>
      </c>
      <c r="T52" s="1099" t="s">
        <v>886</v>
      </c>
      <c r="U52" s="1100" t="s">
        <v>967</v>
      </c>
      <c r="V52" s="1099">
        <v>522</v>
      </c>
      <c r="W52" s="1099" t="s">
        <v>995</v>
      </c>
      <c r="Z52" s="1311">
        <f t="shared" si="2"/>
        <v>0</v>
      </c>
      <c r="AA52" s="1374">
        <f t="shared" si="3"/>
        <v>0</v>
      </c>
      <c r="AB52" s="912">
        <f t="shared" si="4"/>
        <v>0</v>
      </c>
      <c r="AC52" s="912">
        <f t="shared" si="5"/>
        <v>0</v>
      </c>
    </row>
    <row r="53" spans="1:29" s="1216" customFormat="1">
      <c r="A53" s="1437"/>
      <c r="B53" s="898" t="s">
        <v>443</v>
      </c>
      <c r="C53" s="871">
        <f>SUM(D53:E53)</f>
        <v>4368</v>
      </c>
      <c r="D53" s="1250">
        <f>D54</f>
        <v>0</v>
      </c>
      <c r="E53" s="1250">
        <f>E54</f>
        <v>4368</v>
      </c>
      <c r="F53" s="1442">
        <f>SUM(G53:H53)</f>
        <v>4368</v>
      </c>
      <c r="G53" s="875">
        <f>G54</f>
        <v>0</v>
      </c>
      <c r="H53" s="875">
        <f>H54</f>
        <v>4368</v>
      </c>
      <c r="I53" s="1442">
        <f>SUM(J53:K53)</f>
        <v>0</v>
      </c>
      <c r="J53" s="875">
        <f>J54</f>
        <v>0</v>
      </c>
      <c r="K53" s="875">
        <f>K54</f>
        <v>0</v>
      </c>
      <c r="L53" s="876">
        <f t="shared" si="10"/>
        <v>0</v>
      </c>
      <c r="M53" s="877">
        <f t="shared" si="10"/>
        <v>0</v>
      </c>
      <c r="N53" s="877">
        <f t="shared" si="10"/>
        <v>0</v>
      </c>
      <c r="O53" s="1214" t="s">
        <v>353</v>
      </c>
      <c r="P53" s="1214" t="s">
        <v>353</v>
      </c>
      <c r="Q53" s="1065">
        <f t="shared" si="1"/>
        <v>0</v>
      </c>
      <c r="R53" s="1065">
        <f t="shared" si="1"/>
        <v>0</v>
      </c>
      <c r="S53" s="1065">
        <f t="shared" si="1"/>
        <v>0</v>
      </c>
      <c r="T53" s="1099"/>
      <c r="U53" s="1100"/>
      <c r="V53" s="1099"/>
      <c r="W53" s="1099"/>
      <c r="Z53" s="1311">
        <f t="shared" si="2"/>
        <v>0</v>
      </c>
      <c r="AA53" s="1374">
        <f t="shared" si="3"/>
        <v>0</v>
      </c>
      <c r="AB53" s="912">
        <f t="shared" si="4"/>
        <v>0</v>
      </c>
      <c r="AC53" s="912">
        <f t="shared" si="5"/>
        <v>0</v>
      </c>
    </row>
    <row r="54" spans="1:29" s="1216" customFormat="1" ht="52.5">
      <c r="A54" s="1437" t="s">
        <v>156</v>
      </c>
      <c r="B54" s="1084" t="s">
        <v>1052</v>
      </c>
      <c r="C54" s="871">
        <f>SUM(D54:E54)</f>
        <v>4368</v>
      </c>
      <c r="D54" s="1249">
        <v>0</v>
      </c>
      <c r="E54" s="1249">
        <v>4368</v>
      </c>
      <c r="F54" s="1442">
        <f>SUM(G54:H54)</f>
        <v>4368</v>
      </c>
      <c r="G54" s="1439">
        <v>0</v>
      </c>
      <c r="H54" s="1439">
        <v>4368</v>
      </c>
      <c r="I54" s="1442">
        <f t="shared" si="9"/>
        <v>0</v>
      </c>
      <c r="J54" s="1443">
        <v>0</v>
      </c>
      <c r="K54" s="1443">
        <v>0</v>
      </c>
      <c r="L54" s="876">
        <f t="shared" si="10"/>
        <v>0</v>
      </c>
      <c r="M54" s="877">
        <f t="shared" si="10"/>
        <v>0</v>
      </c>
      <c r="N54" s="877">
        <f t="shared" si="10"/>
        <v>0</v>
      </c>
      <c r="O54" s="1214" t="s">
        <v>1171</v>
      </c>
      <c r="P54" s="1214" t="s">
        <v>1116</v>
      </c>
      <c r="Q54" s="1065">
        <f t="shared" si="1"/>
        <v>0</v>
      </c>
      <c r="R54" s="1065">
        <f t="shared" si="1"/>
        <v>0</v>
      </c>
      <c r="S54" s="1065">
        <f t="shared" si="1"/>
        <v>0</v>
      </c>
      <c r="T54" s="1099" t="s">
        <v>886</v>
      </c>
      <c r="U54" s="1100" t="s">
        <v>967</v>
      </c>
      <c r="V54" s="1099">
        <v>522</v>
      </c>
      <c r="W54" s="1099" t="s">
        <v>986</v>
      </c>
      <c r="Z54" s="1311">
        <f t="shared" si="2"/>
        <v>0</v>
      </c>
      <c r="AA54" s="1374">
        <f t="shared" si="3"/>
        <v>0</v>
      </c>
      <c r="AB54" s="912">
        <f t="shared" si="4"/>
        <v>0</v>
      </c>
      <c r="AC54" s="912">
        <f t="shared" si="5"/>
        <v>0</v>
      </c>
    </row>
    <row r="55" spans="1:29" s="1216" customFormat="1">
      <c r="A55" s="1437"/>
      <c r="B55" s="898" t="s">
        <v>90</v>
      </c>
      <c r="C55" s="871">
        <f t="shared" si="7"/>
        <v>0</v>
      </c>
      <c r="D55" s="1250">
        <f>D56</f>
        <v>0</v>
      </c>
      <c r="E55" s="1250">
        <f>E56</f>
        <v>0</v>
      </c>
      <c r="F55" s="1442">
        <f t="shared" si="8"/>
        <v>0</v>
      </c>
      <c r="G55" s="875">
        <f>G56</f>
        <v>0</v>
      </c>
      <c r="H55" s="875">
        <f>H56</f>
        <v>0</v>
      </c>
      <c r="I55" s="1442">
        <f>SUM(J55:K55)</f>
        <v>0</v>
      </c>
      <c r="J55" s="875">
        <f>J56</f>
        <v>0</v>
      </c>
      <c r="K55" s="875">
        <f>K56</f>
        <v>0</v>
      </c>
      <c r="L55" s="876">
        <f t="shared" si="10"/>
        <v>0</v>
      </c>
      <c r="M55" s="877">
        <f t="shared" si="10"/>
        <v>0</v>
      </c>
      <c r="N55" s="877">
        <f t="shared" si="10"/>
        <v>0</v>
      </c>
      <c r="O55" s="1214" t="s">
        <v>353</v>
      </c>
      <c r="P55" s="1214" t="s">
        <v>353</v>
      </c>
      <c r="Q55" s="1065">
        <f t="shared" si="1"/>
        <v>0</v>
      </c>
      <c r="R55" s="1065">
        <f t="shared" si="1"/>
        <v>0</v>
      </c>
      <c r="S55" s="1065">
        <f t="shared" si="1"/>
        <v>0</v>
      </c>
      <c r="T55" s="1099"/>
      <c r="U55" s="1100"/>
      <c r="V55" s="1099"/>
      <c r="W55" s="1099"/>
      <c r="Z55" s="1311">
        <f t="shared" si="2"/>
        <v>0</v>
      </c>
      <c r="AA55" s="1374">
        <f t="shared" si="3"/>
        <v>0</v>
      </c>
      <c r="AB55" s="912">
        <f t="shared" si="4"/>
        <v>0</v>
      </c>
      <c r="AC55" s="912">
        <f t="shared" si="5"/>
        <v>0</v>
      </c>
    </row>
    <row r="56" spans="1:29" s="1216" customFormat="1" ht="60" customHeight="1">
      <c r="A56" s="1425" t="s">
        <v>124</v>
      </c>
      <c r="B56" s="1084"/>
      <c r="C56" s="871">
        <f t="shared" si="7"/>
        <v>0</v>
      </c>
      <c r="D56" s="1249">
        <v>0</v>
      </c>
      <c r="E56" s="1249">
        <v>0</v>
      </c>
      <c r="F56" s="1442">
        <f t="shared" si="8"/>
        <v>0</v>
      </c>
      <c r="G56" s="1439">
        <v>0</v>
      </c>
      <c r="H56" s="1439">
        <v>0</v>
      </c>
      <c r="I56" s="1442">
        <f t="shared" si="9"/>
        <v>0</v>
      </c>
      <c r="J56" s="1443">
        <v>0</v>
      </c>
      <c r="K56" s="1443">
        <v>0</v>
      </c>
      <c r="L56" s="876">
        <f t="shared" si="10"/>
        <v>0</v>
      </c>
      <c r="M56" s="877">
        <f t="shared" si="10"/>
        <v>0</v>
      </c>
      <c r="N56" s="877">
        <f t="shared" si="10"/>
        <v>0</v>
      </c>
      <c r="O56" s="1214" t="s">
        <v>1182</v>
      </c>
      <c r="P56" s="1214" t="s">
        <v>1134</v>
      </c>
      <c r="Q56" s="1065">
        <f t="shared" si="1"/>
        <v>0</v>
      </c>
      <c r="R56" s="1065">
        <f t="shared" si="1"/>
        <v>0</v>
      </c>
      <c r="S56" s="1065">
        <f t="shared" si="1"/>
        <v>0</v>
      </c>
      <c r="T56" s="1099" t="s">
        <v>886</v>
      </c>
      <c r="U56" s="1100">
        <v>520343220</v>
      </c>
      <c r="V56" s="1099">
        <v>522</v>
      </c>
      <c r="W56" s="1099" t="s">
        <v>994</v>
      </c>
      <c r="Z56" s="1311">
        <f t="shared" si="2"/>
        <v>0</v>
      </c>
      <c r="AA56" s="1374">
        <f t="shared" si="3"/>
        <v>0</v>
      </c>
      <c r="AB56" s="912">
        <f t="shared" si="4"/>
        <v>0</v>
      </c>
      <c r="AC56" s="912">
        <f t="shared" si="5"/>
        <v>0</v>
      </c>
    </row>
    <row r="57" spans="1:29" s="1216" customFormat="1">
      <c r="A57" s="1437"/>
      <c r="B57" s="898" t="s">
        <v>712</v>
      </c>
      <c r="C57" s="871">
        <f t="shared" si="7"/>
        <v>0</v>
      </c>
      <c r="D57" s="1250">
        <f>D58</f>
        <v>0</v>
      </c>
      <c r="E57" s="1250">
        <f>E58</f>
        <v>0</v>
      </c>
      <c r="F57" s="1442">
        <f t="shared" si="8"/>
        <v>0</v>
      </c>
      <c r="G57" s="875">
        <f>G58</f>
        <v>0</v>
      </c>
      <c r="H57" s="875">
        <f>H58</f>
        <v>0</v>
      </c>
      <c r="I57" s="1442">
        <f>SUM(J57:K57)</f>
        <v>0</v>
      </c>
      <c r="J57" s="875">
        <f>J58</f>
        <v>0</v>
      </c>
      <c r="K57" s="875">
        <f>K58</f>
        <v>0</v>
      </c>
      <c r="L57" s="876">
        <f t="shared" si="10"/>
        <v>0</v>
      </c>
      <c r="M57" s="877">
        <f t="shared" si="10"/>
        <v>0</v>
      </c>
      <c r="N57" s="877">
        <f t="shared" si="10"/>
        <v>0</v>
      </c>
      <c r="O57" s="1214" t="s">
        <v>353</v>
      </c>
      <c r="P57" s="1214" t="s">
        <v>353</v>
      </c>
      <c r="Q57" s="1065">
        <f t="shared" si="1"/>
        <v>0</v>
      </c>
      <c r="R57" s="1065">
        <f t="shared" si="1"/>
        <v>0</v>
      </c>
      <c r="S57" s="1065">
        <f t="shared" si="1"/>
        <v>0</v>
      </c>
      <c r="T57" s="1099"/>
      <c r="U57" s="1100"/>
      <c r="V57" s="1099"/>
      <c r="W57" s="1099"/>
      <c r="Z57" s="1311">
        <f t="shared" si="2"/>
        <v>0</v>
      </c>
      <c r="AA57" s="1374">
        <f t="shared" si="3"/>
        <v>0</v>
      </c>
      <c r="AB57" s="912">
        <f t="shared" si="4"/>
        <v>0</v>
      </c>
      <c r="AC57" s="912">
        <f t="shared" si="5"/>
        <v>0</v>
      </c>
    </row>
    <row r="58" spans="1:29" s="1216" customFormat="1" ht="55.5" customHeight="1">
      <c r="A58" s="1425" t="s">
        <v>125</v>
      </c>
      <c r="B58" s="1084"/>
      <c r="C58" s="871">
        <f t="shared" si="7"/>
        <v>0</v>
      </c>
      <c r="D58" s="1249">
        <v>0</v>
      </c>
      <c r="E58" s="1249">
        <v>0</v>
      </c>
      <c r="F58" s="1442">
        <f t="shared" si="8"/>
        <v>0</v>
      </c>
      <c r="G58" s="1439">
        <v>0</v>
      </c>
      <c r="H58" s="1439">
        <v>0</v>
      </c>
      <c r="I58" s="1442">
        <f t="shared" si="9"/>
        <v>0</v>
      </c>
      <c r="J58" s="1443">
        <v>0</v>
      </c>
      <c r="K58" s="1443">
        <v>0</v>
      </c>
      <c r="L58" s="876">
        <f t="shared" si="10"/>
        <v>0</v>
      </c>
      <c r="M58" s="877">
        <f t="shared" si="10"/>
        <v>0</v>
      </c>
      <c r="N58" s="877">
        <f t="shared" si="10"/>
        <v>0</v>
      </c>
      <c r="O58" s="1214" t="s">
        <v>1183</v>
      </c>
      <c r="P58" s="1214" t="s">
        <v>1135</v>
      </c>
      <c r="Q58" s="1065">
        <f t="shared" si="1"/>
        <v>0</v>
      </c>
      <c r="R58" s="1065">
        <f t="shared" si="1"/>
        <v>0</v>
      </c>
      <c r="S58" s="1065">
        <f t="shared" si="1"/>
        <v>0</v>
      </c>
      <c r="T58" s="1099" t="s">
        <v>886</v>
      </c>
      <c r="U58" s="1100" t="s">
        <v>967</v>
      </c>
      <c r="V58" s="1099">
        <v>522</v>
      </c>
      <c r="W58" s="1099" t="s">
        <v>983</v>
      </c>
      <c r="Z58" s="1311">
        <f t="shared" si="2"/>
        <v>0</v>
      </c>
      <c r="AA58" s="1374">
        <f t="shared" si="3"/>
        <v>0</v>
      </c>
      <c r="AB58" s="912">
        <f t="shared" si="4"/>
        <v>0</v>
      </c>
      <c r="AC58" s="912">
        <f t="shared" si="5"/>
        <v>0</v>
      </c>
    </row>
    <row r="59" spans="1:29" s="1216" customFormat="1">
      <c r="A59" s="1437"/>
      <c r="B59" s="898" t="s">
        <v>46</v>
      </c>
      <c r="C59" s="871">
        <f t="shared" si="7"/>
        <v>12500</v>
      </c>
      <c r="D59" s="1250">
        <f>D60</f>
        <v>0</v>
      </c>
      <c r="E59" s="1250">
        <f>E60</f>
        <v>12500</v>
      </c>
      <c r="F59" s="1442">
        <f t="shared" si="8"/>
        <v>12500</v>
      </c>
      <c r="G59" s="875">
        <f>G60</f>
        <v>0</v>
      </c>
      <c r="H59" s="875">
        <f>H60</f>
        <v>12500</v>
      </c>
      <c r="I59" s="1442">
        <f>SUM(J59:K59)</f>
        <v>0</v>
      </c>
      <c r="J59" s="875">
        <f>J60</f>
        <v>0</v>
      </c>
      <c r="K59" s="875">
        <f>K60</f>
        <v>0</v>
      </c>
      <c r="L59" s="876">
        <f t="shared" si="10"/>
        <v>0</v>
      </c>
      <c r="M59" s="877">
        <f t="shared" si="10"/>
        <v>0</v>
      </c>
      <c r="N59" s="877">
        <f t="shared" si="10"/>
        <v>0</v>
      </c>
      <c r="O59" s="1214" t="s">
        <v>353</v>
      </c>
      <c r="P59" s="1214" t="s">
        <v>353</v>
      </c>
      <c r="Q59" s="1065">
        <f t="shared" si="1"/>
        <v>0</v>
      </c>
      <c r="R59" s="1065">
        <f t="shared" si="1"/>
        <v>0</v>
      </c>
      <c r="S59" s="1065">
        <f t="shared" si="1"/>
        <v>0</v>
      </c>
      <c r="T59" s="1099"/>
      <c r="U59" s="1100"/>
      <c r="V59" s="1099"/>
      <c r="W59" s="1099"/>
      <c r="Z59" s="1311">
        <f t="shared" si="2"/>
        <v>0</v>
      </c>
      <c r="AA59" s="1374">
        <f t="shared" si="3"/>
        <v>0</v>
      </c>
      <c r="AB59" s="912">
        <f t="shared" si="4"/>
        <v>0</v>
      </c>
      <c r="AC59" s="912">
        <f t="shared" si="5"/>
        <v>0</v>
      </c>
    </row>
    <row r="60" spans="1:29" s="1216" customFormat="1" ht="120" customHeight="1">
      <c r="A60" s="1437" t="s">
        <v>122</v>
      </c>
      <c r="B60" s="1084" t="s">
        <v>1055</v>
      </c>
      <c r="C60" s="871">
        <f t="shared" si="7"/>
        <v>12500</v>
      </c>
      <c r="D60" s="1249">
        <v>0</v>
      </c>
      <c r="E60" s="1249">
        <v>12500</v>
      </c>
      <c r="F60" s="1442">
        <f t="shared" si="8"/>
        <v>12500</v>
      </c>
      <c r="G60" s="1439">
        <v>0</v>
      </c>
      <c r="H60" s="1439">
        <v>12500</v>
      </c>
      <c r="I60" s="1442"/>
      <c r="J60" s="1443">
        <v>0</v>
      </c>
      <c r="K60" s="1443">
        <v>0</v>
      </c>
      <c r="L60" s="876">
        <f t="shared" si="10"/>
        <v>0</v>
      </c>
      <c r="M60" s="877">
        <f t="shared" si="10"/>
        <v>0</v>
      </c>
      <c r="N60" s="877">
        <f t="shared" si="10"/>
        <v>0</v>
      </c>
      <c r="O60" s="1214" t="s">
        <v>1184</v>
      </c>
      <c r="P60" s="1214" t="s">
        <v>1136</v>
      </c>
      <c r="Q60" s="1065">
        <f t="shared" si="1"/>
        <v>0</v>
      </c>
      <c r="R60" s="1065">
        <f t="shared" si="1"/>
        <v>0</v>
      </c>
      <c r="S60" s="1065">
        <f t="shared" si="1"/>
        <v>0</v>
      </c>
      <c r="T60" s="1099" t="s">
        <v>886</v>
      </c>
      <c r="U60" s="1100" t="s">
        <v>966</v>
      </c>
      <c r="V60" s="1099">
        <v>522</v>
      </c>
      <c r="W60" s="1099" t="s">
        <v>977</v>
      </c>
      <c r="Z60" s="1311">
        <f t="shared" si="2"/>
        <v>0</v>
      </c>
      <c r="AA60" s="1374">
        <f t="shared" si="3"/>
        <v>0</v>
      </c>
      <c r="AB60" s="912">
        <f t="shared" si="4"/>
        <v>0</v>
      </c>
      <c r="AC60" s="912">
        <f t="shared" si="5"/>
        <v>0</v>
      </c>
    </row>
    <row r="61" spans="1:29">
      <c r="A61" s="1437"/>
      <c r="B61" s="898" t="s">
        <v>457</v>
      </c>
      <c r="C61" s="871">
        <f t="shared" si="7"/>
        <v>10200</v>
      </c>
      <c r="D61" s="1250">
        <f>SUM(D62:D66)</f>
        <v>0</v>
      </c>
      <c r="E61" s="1250">
        <f>SUM(E62:E66)</f>
        <v>10200</v>
      </c>
      <c r="F61" s="1442">
        <f t="shared" si="8"/>
        <v>10200</v>
      </c>
      <c r="G61" s="875">
        <f>SUM(G62:G66)</f>
        <v>0</v>
      </c>
      <c r="H61" s="875">
        <f>SUM(H62:H66)</f>
        <v>10200</v>
      </c>
      <c r="I61" s="1442">
        <f>SUM(J61:K61)</f>
        <v>0</v>
      </c>
      <c r="J61" s="875">
        <f>SUM(J62:J66)</f>
        <v>0</v>
      </c>
      <c r="K61" s="875">
        <f>SUM(K62:K66)</f>
        <v>0</v>
      </c>
      <c r="L61" s="876">
        <f t="shared" si="10"/>
        <v>0</v>
      </c>
      <c r="M61" s="877">
        <f t="shared" si="10"/>
        <v>0</v>
      </c>
      <c r="N61" s="877">
        <f t="shared" si="10"/>
        <v>0</v>
      </c>
      <c r="O61" s="1214" t="s">
        <v>353</v>
      </c>
      <c r="P61" s="1214" t="s">
        <v>353</v>
      </c>
      <c r="Q61" s="1065">
        <f t="shared" si="1"/>
        <v>0</v>
      </c>
      <c r="R61" s="1065">
        <f t="shared" si="1"/>
        <v>0</v>
      </c>
      <c r="S61" s="1065">
        <f t="shared" si="1"/>
        <v>0</v>
      </c>
      <c r="Z61" s="1311">
        <f t="shared" si="2"/>
        <v>0</v>
      </c>
      <c r="AA61" s="1374">
        <f t="shared" si="3"/>
        <v>0</v>
      </c>
      <c r="AB61" s="912">
        <f t="shared" si="4"/>
        <v>0</v>
      </c>
      <c r="AC61" s="912">
        <f t="shared" si="5"/>
        <v>0</v>
      </c>
    </row>
    <row r="62" spans="1:29" ht="105">
      <c r="A62" s="1437" t="s">
        <v>123</v>
      </c>
      <c r="B62" s="1084" t="s">
        <v>1056</v>
      </c>
      <c r="C62" s="871">
        <f t="shared" si="7"/>
        <v>3000</v>
      </c>
      <c r="D62" s="1249">
        <v>0</v>
      </c>
      <c r="E62" s="1249">
        <v>3000</v>
      </c>
      <c r="F62" s="1442">
        <f t="shared" si="8"/>
        <v>3000</v>
      </c>
      <c r="G62" s="1439">
        <v>0</v>
      </c>
      <c r="H62" s="1439">
        <f>E62</f>
        <v>3000</v>
      </c>
      <c r="I62" s="2485">
        <f>SUM(J62:K66)</f>
        <v>0</v>
      </c>
      <c r="J62" s="2484">
        <v>0</v>
      </c>
      <c r="K62" s="2484">
        <v>0</v>
      </c>
      <c r="L62" s="2469">
        <f>IF(I62=0,0,I62/F62:F66*100)</f>
        <v>0</v>
      </c>
      <c r="M62" s="2470">
        <f>IF(J62=0,0,J62/G62:G66*100)</f>
        <v>0</v>
      </c>
      <c r="N62" s="2470">
        <f>IF(K62=0,0,K62/H62:H66*100)</f>
        <v>0</v>
      </c>
      <c r="O62" s="1214" t="s">
        <v>1171</v>
      </c>
      <c r="P62" s="1213" t="s">
        <v>1137</v>
      </c>
      <c r="Q62" s="1065">
        <f t="shared" si="1"/>
        <v>0</v>
      </c>
      <c r="R62" s="1065">
        <f t="shared" si="1"/>
        <v>0</v>
      </c>
      <c r="S62" s="1065">
        <f t="shared" si="1"/>
        <v>0</v>
      </c>
      <c r="T62" s="2410" t="s">
        <v>886</v>
      </c>
      <c r="U62" s="2410" t="s">
        <v>966</v>
      </c>
      <c r="V62" s="2410">
        <v>522</v>
      </c>
      <c r="W62" s="2410" t="s">
        <v>979</v>
      </c>
      <c r="X62" s="2465"/>
      <c r="Z62" s="1311">
        <f t="shared" si="2"/>
        <v>0</v>
      </c>
      <c r="AA62" s="1374">
        <f t="shared" si="3"/>
        <v>0</v>
      </c>
      <c r="AB62" s="912">
        <f t="shared" si="4"/>
        <v>0</v>
      </c>
      <c r="AC62" s="912">
        <f t="shared" si="5"/>
        <v>0</v>
      </c>
    </row>
    <row r="63" spans="1:29" ht="141" customHeight="1">
      <c r="A63" s="1437" t="s">
        <v>124</v>
      </c>
      <c r="B63" s="1084" t="s">
        <v>1059</v>
      </c>
      <c r="C63" s="871">
        <f>SUM(D63:E63)</f>
        <v>3000</v>
      </c>
      <c r="D63" s="1249">
        <v>0</v>
      </c>
      <c r="E63" s="1249">
        <v>3000</v>
      </c>
      <c r="F63" s="1442">
        <f>SUM(G63:H63)</f>
        <v>3000</v>
      </c>
      <c r="G63" s="1439">
        <v>0</v>
      </c>
      <c r="H63" s="1439">
        <f>E63</f>
        <v>3000</v>
      </c>
      <c r="I63" s="2485"/>
      <c r="J63" s="2484"/>
      <c r="K63" s="2484"/>
      <c r="L63" s="2469"/>
      <c r="M63" s="2470"/>
      <c r="N63" s="2470"/>
      <c r="O63" s="1214" t="s">
        <v>1171</v>
      </c>
      <c r="P63" s="1213" t="s">
        <v>1137</v>
      </c>
      <c r="Q63" s="1065">
        <f t="shared" ref="Q63:S64" si="11">C63-F63</f>
        <v>0</v>
      </c>
      <c r="R63" s="1065">
        <f t="shared" si="11"/>
        <v>0</v>
      </c>
      <c r="S63" s="1065">
        <f t="shared" si="11"/>
        <v>0</v>
      </c>
      <c r="T63" s="2410"/>
      <c r="U63" s="2410"/>
      <c r="V63" s="2410"/>
      <c r="W63" s="2410"/>
      <c r="X63" s="2465"/>
      <c r="Z63" s="1311">
        <f>C63-F63</f>
        <v>0</v>
      </c>
      <c r="AA63" s="1374">
        <f>C63-F63</f>
        <v>0</v>
      </c>
      <c r="AB63" s="912">
        <f t="shared" si="4"/>
        <v>0</v>
      </c>
      <c r="AC63" s="912">
        <f t="shared" si="5"/>
        <v>0</v>
      </c>
    </row>
    <row r="64" spans="1:29" ht="150" customHeight="1">
      <c r="A64" s="1437" t="s">
        <v>125</v>
      </c>
      <c r="B64" s="1084" t="s">
        <v>1060</v>
      </c>
      <c r="C64" s="871">
        <f>SUM(D64:E64)</f>
        <v>900</v>
      </c>
      <c r="D64" s="1249">
        <v>0</v>
      </c>
      <c r="E64" s="1249">
        <v>900</v>
      </c>
      <c r="F64" s="1442">
        <f>SUM(G64:H64)</f>
        <v>900</v>
      </c>
      <c r="G64" s="1439">
        <v>0</v>
      </c>
      <c r="H64" s="1439">
        <f>E64</f>
        <v>900</v>
      </c>
      <c r="I64" s="2485"/>
      <c r="J64" s="2484"/>
      <c r="K64" s="2484"/>
      <c r="L64" s="2469"/>
      <c r="M64" s="2470"/>
      <c r="N64" s="2470"/>
      <c r="O64" s="1214" t="s">
        <v>1171</v>
      </c>
      <c r="P64" s="1213" t="s">
        <v>1137</v>
      </c>
      <c r="Q64" s="1065">
        <f t="shared" si="11"/>
        <v>0</v>
      </c>
      <c r="R64" s="1065">
        <f t="shared" si="11"/>
        <v>0</v>
      </c>
      <c r="S64" s="1065">
        <f t="shared" si="11"/>
        <v>0</v>
      </c>
      <c r="T64" s="2410"/>
      <c r="U64" s="2410"/>
      <c r="V64" s="2410"/>
      <c r="W64" s="2410"/>
      <c r="X64" s="2465"/>
      <c r="Z64" s="1311">
        <f>C64-F64</f>
        <v>0</v>
      </c>
      <c r="AA64" s="1374">
        <f>C64-F64</f>
        <v>0</v>
      </c>
      <c r="AB64" s="912">
        <f t="shared" si="4"/>
        <v>0</v>
      </c>
      <c r="AC64" s="912">
        <f t="shared" si="5"/>
        <v>0</v>
      </c>
    </row>
    <row r="65" spans="1:29" ht="164.25" customHeight="1">
      <c r="A65" s="1437" t="s">
        <v>126</v>
      </c>
      <c r="B65" s="1084" t="s">
        <v>1057</v>
      </c>
      <c r="C65" s="871">
        <f t="shared" si="7"/>
        <v>1920</v>
      </c>
      <c r="D65" s="1249">
        <v>0</v>
      </c>
      <c r="E65" s="1249">
        <v>1920</v>
      </c>
      <c r="F65" s="1442">
        <f t="shared" si="8"/>
        <v>1920</v>
      </c>
      <c r="G65" s="1439">
        <v>0</v>
      </c>
      <c r="H65" s="1439">
        <f>E65</f>
        <v>1920</v>
      </c>
      <c r="I65" s="2453">
        <f>J65+K65</f>
        <v>0</v>
      </c>
      <c r="J65" s="2412">
        <v>0</v>
      </c>
      <c r="K65" s="2412">
        <v>0</v>
      </c>
      <c r="L65" s="2425">
        <f t="shared" ref="L65:N66" si="12">IF(I65=0,0,I65/F65*100)</f>
        <v>0</v>
      </c>
      <c r="M65" s="2418">
        <f t="shared" si="12"/>
        <v>0</v>
      </c>
      <c r="N65" s="2418">
        <f t="shared" si="12"/>
        <v>0</v>
      </c>
      <c r="O65" s="1214" t="s">
        <v>1171</v>
      </c>
      <c r="P65" s="2472" t="s">
        <v>1138</v>
      </c>
      <c r="Q65" s="1065">
        <f t="shared" si="1"/>
        <v>0</v>
      </c>
      <c r="R65" s="1065">
        <f t="shared" si="1"/>
        <v>0</v>
      </c>
      <c r="S65" s="1065">
        <f t="shared" si="1"/>
        <v>0</v>
      </c>
      <c r="T65" s="2410"/>
      <c r="U65" s="2410"/>
      <c r="V65" s="2410"/>
      <c r="W65" s="2410"/>
      <c r="X65" s="2465"/>
      <c r="Z65" s="1311">
        <f t="shared" si="2"/>
        <v>0</v>
      </c>
      <c r="AA65" s="1374">
        <f t="shared" si="3"/>
        <v>0</v>
      </c>
      <c r="AB65" s="912">
        <f t="shared" si="4"/>
        <v>0</v>
      </c>
      <c r="AC65" s="912">
        <f t="shared" si="5"/>
        <v>0</v>
      </c>
    </row>
    <row r="66" spans="1:29" ht="157.5">
      <c r="A66" s="1437" t="s">
        <v>127</v>
      </c>
      <c r="B66" s="1084" t="s">
        <v>1058</v>
      </c>
      <c r="C66" s="871">
        <f t="shared" si="7"/>
        <v>1380</v>
      </c>
      <c r="D66" s="1249">
        <v>0</v>
      </c>
      <c r="E66" s="1249">
        <v>1380</v>
      </c>
      <c r="F66" s="1442">
        <f t="shared" si="8"/>
        <v>1380</v>
      </c>
      <c r="G66" s="1439">
        <v>0</v>
      </c>
      <c r="H66" s="1439">
        <f>E66</f>
        <v>1380</v>
      </c>
      <c r="I66" s="2455"/>
      <c r="J66" s="2414"/>
      <c r="K66" s="2414"/>
      <c r="L66" s="2427">
        <f t="shared" si="12"/>
        <v>0</v>
      </c>
      <c r="M66" s="2419">
        <f t="shared" si="12"/>
        <v>0</v>
      </c>
      <c r="N66" s="2419">
        <f t="shared" si="12"/>
        <v>0</v>
      </c>
      <c r="O66" s="1214" t="s">
        <v>1171</v>
      </c>
      <c r="P66" s="2472"/>
      <c r="Q66" s="1065">
        <f t="shared" si="1"/>
        <v>0</v>
      </c>
      <c r="R66" s="1065">
        <f t="shared" si="1"/>
        <v>0</v>
      </c>
      <c r="S66" s="1065">
        <f t="shared" si="1"/>
        <v>0</v>
      </c>
      <c r="T66" s="2410"/>
      <c r="U66" s="2410"/>
      <c r="V66" s="2410"/>
      <c r="W66" s="2410"/>
      <c r="X66" s="2465"/>
      <c r="Z66" s="1311">
        <f t="shared" si="2"/>
        <v>0</v>
      </c>
      <c r="AA66" s="1374">
        <f t="shared" si="3"/>
        <v>0</v>
      </c>
      <c r="AB66" s="912">
        <f t="shared" si="4"/>
        <v>0</v>
      </c>
      <c r="AC66" s="912">
        <f t="shared" si="5"/>
        <v>0</v>
      </c>
    </row>
    <row r="67" spans="1:29" s="914" customFormat="1" ht="92.25" customHeight="1">
      <c r="A67" s="1449"/>
      <c r="B67" s="1277" t="s">
        <v>444</v>
      </c>
      <c r="C67" s="1090">
        <f>D67+E67</f>
        <v>325874.09999999998</v>
      </c>
      <c r="D67" s="1090">
        <f>SUM(D68,D71,D74,D76,D78,D80,D83)</f>
        <v>306319.5</v>
      </c>
      <c r="E67" s="1090">
        <f>SUM(E68,E71,E74,E76,E78,E80,E83)</f>
        <v>19554.599999999999</v>
      </c>
      <c r="F67" s="1090">
        <f>G67+H67</f>
        <v>325874.09999999998</v>
      </c>
      <c r="G67" s="1091">
        <f>SUM(G68,G71,G74,G76,G78,G80,G83)</f>
        <v>306319.5</v>
      </c>
      <c r="H67" s="1091">
        <f>SUM(H68,H71,H74,H78,H76,H80,H83)</f>
        <v>19554.599999999999</v>
      </c>
      <c r="I67" s="1090">
        <f>J67+K67</f>
        <v>52261.2</v>
      </c>
      <c r="J67" s="1090">
        <f>SUM(J68,J71,J74,J76,J78,J80,J83)</f>
        <v>49125.2</v>
      </c>
      <c r="K67" s="1090">
        <f>SUM(K68,K71,K74,K78,K76,K80,K83)</f>
        <v>3136</v>
      </c>
      <c r="L67" s="1092">
        <f t="shared" ref="L67:N88" si="13">IF(I67=0,0,I67/F67*100)</f>
        <v>16</v>
      </c>
      <c r="M67" s="1093">
        <f t="shared" si="13"/>
        <v>16</v>
      </c>
      <c r="N67" s="1093">
        <f t="shared" si="13"/>
        <v>16</v>
      </c>
      <c r="O67" s="1224" t="s">
        <v>1117</v>
      </c>
      <c r="P67" s="1224" t="s">
        <v>1117</v>
      </c>
      <c r="Q67" s="1065">
        <f t="shared" si="1"/>
        <v>0</v>
      </c>
      <c r="R67" s="1065">
        <f t="shared" si="1"/>
        <v>0</v>
      </c>
      <c r="S67" s="1065">
        <f t="shared" si="1"/>
        <v>0</v>
      </c>
      <c r="T67" s="1099"/>
      <c r="U67" s="1100"/>
      <c r="V67" s="1099"/>
      <c r="W67" s="1099"/>
      <c r="X67" s="1216"/>
      <c r="Z67" s="1311">
        <f t="shared" si="2"/>
        <v>0</v>
      </c>
      <c r="AA67" s="1374">
        <f t="shared" si="3"/>
        <v>0</v>
      </c>
      <c r="AB67" s="912">
        <f t="shared" si="4"/>
        <v>0</v>
      </c>
      <c r="AC67" s="912">
        <f t="shared" si="5"/>
        <v>0</v>
      </c>
    </row>
    <row r="68" spans="1:29">
      <c r="A68" s="1437"/>
      <c r="B68" s="1236" t="s">
        <v>431</v>
      </c>
      <c r="C68" s="871">
        <f t="shared" ref="C68:C118" si="14">SUM(D68:E68)</f>
        <v>53340.1</v>
      </c>
      <c r="D68" s="1251">
        <f>D69+D70</f>
        <v>50139.4</v>
      </c>
      <c r="E68" s="1251">
        <f>E69+E70</f>
        <v>3200.7</v>
      </c>
      <c r="F68" s="1442">
        <f t="shared" ref="F68:F118" si="15">SUM(G68:H68)</f>
        <v>53340.1</v>
      </c>
      <c r="G68" s="880">
        <f>G69+G70</f>
        <v>50139.4</v>
      </c>
      <c r="H68" s="880">
        <f>H69+H70</f>
        <v>3200.7</v>
      </c>
      <c r="I68" s="1442">
        <f t="shared" ref="I68:I118" si="16">SUM(J68:K68)</f>
        <v>18493.099999999999</v>
      </c>
      <c r="J68" s="1442">
        <f>J69+J70</f>
        <v>17383.3</v>
      </c>
      <c r="K68" s="1442">
        <f>K69+K70</f>
        <v>1109.8</v>
      </c>
      <c r="L68" s="876">
        <f t="shared" si="13"/>
        <v>34.700000000000003</v>
      </c>
      <c r="M68" s="877">
        <f t="shared" si="13"/>
        <v>34.700000000000003</v>
      </c>
      <c r="N68" s="877">
        <f t="shared" si="13"/>
        <v>34.700000000000003</v>
      </c>
      <c r="O68" s="1214" t="s">
        <v>1117</v>
      </c>
      <c r="P68" s="1214" t="s">
        <v>1117</v>
      </c>
      <c r="Q68" s="1065">
        <f t="shared" si="1"/>
        <v>0</v>
      </c>
      <c r="R68" s="1065">
        <f t="shared" si="1"/>
        <v>0</v>
      </c>
      <c r="S68" s="1065">
        <f t="shared" si="1"/>
        <v>0</v>
      </c>
      <c r="Z68" s="1311">
        <f t="shared" si="2"/>
        <v>0</v>
      </c>
      <c r="AA68" s="1374">
        <f t="shared" si="3"/>
        <v>0</v>
      </c>
      <c r="AB68" s="912">
        <f t="shared" si="4"/>
        <v>0</v>
      </c>
      <c r="AC68" s="912">
        <f t="shared" si="5"/>
        <v>0</v>
      </c>
    </row>
    <row r="69" spans="1:29" ht="36.75" customHeight="1">
      <c r="A69" s="895">
        <v>31</v>
      </c>
      <c r="B69" s="1075" t="s">
        <v>690</v>
      </c>
      <c r="C69" s="871">
        <f t="shared" si="14"/>
        <v>11063.3</v>
      </c>
      <c r="D69" s="972">
        <f>10318.8+80.6</f>
        <v>10399.4</v>
      </c>
      <c r="E69" s="972">
        <v>663.9</v>
      </c>
      <c r="F69" s="1442">
        <f t="shared" si="15"/>
        <v>11063.3</v>
      </c>
      <c r="G69" s="879">
        <f>D69</f>
        <v>10399.4</v>
      </c>
      <c r="H69" s="879">
        <f>E69</f>
        <v>663.9</v>
      </c>
      <c r="I69" s="1442">
        <f t="shared" si="16"/>
        <v>7060.4</v>
      </c>
      <c r="J69" s="1443">
        <v>6636.7</v>
      </c>
      <c r="K69" s="1443">
        <v>423.7</v>
      </c>
      <c r="L69" s="876">
        <f t="shared" si="13"/>
        <v>63.8</v>
      </c>
      <c r="M69" s="877">
        <f t="shared" si="13"/>
        <v>63.8</v>
      </c>
      <c r="N69" s="877">
        <f t="shared" si="13"/>
        <v>63.8</v>
      </c>
      <c r="O69" s="1214" t="s">
        <v>1185</v>
      </c>
      <c r="P69" s="1214" t="s">
        <v>1143</v>
      </c>
      <c r="Q69" s="1065">
        <f t="shared" si="1"/>
        <v>0</v>
      </c>
      <c r="R69" s="1065">
        <f t="shared" si="1"/>
        <v>0</v>
      </c>
      <c r="S69" s="1065">
        <f t="shared" si="1"/>
        <v>0</v>
      </c>
      <c r="T69" s="1099" t="s">
        <v>954</v>
      </c>
      <c r="U69" s="1100" t="s">
        <v>974</v>
      </c>
      <c r="V69" s="1099">
        <v>522</v>
      </c>
      <c r="W69" s="1099" t="s">
        <v>958</v>
      </c>
      <c r="Z69" s="1311">
        <f t="shared" si="2"/>
        <v>0</v>
      </c>
      <c r="AA69" s="1374">
        <f t="shared" si="3"/>
        <v>0</v>
      </c>
      <c r="AB69" s="912">
        <f t="shared" si="4"/>
        <v>0</v>
      </c>
      <c r="AC69" s="912">
        <f t="shared" si="5"/>
        <v>0</v>
      </c>
    </row>
    <row r="70" spans="1:29" ht="36.75" customHeight="1">
      <c r="A70" s="1437" t="s">
        <v>158</v>
      </c>
      <c r="B70" s="1075" t="s">
        <v>689</v>
      </c>
      <c r="C70" s="871">
        <f t="shared" si="14"/>
        <v>42276.800000000003</v>
      </c>
      <c r="D70" s="972">
        <f>7948+31792</f>
        <v>39740</v>
      </c>
      <c r="E70" s="972">
        <f>507.4+2029.44</f>
        <v>2536.8000000000002</v>
      </c>
      <c r="F70" s="1442">
        <f t="shared" si="15"/>
        <v>42276.800000000003</v>
      </c>
      <c r="G70" s="879">
        <f>D70</f>
        <v>39740</v>
      </c>
      <c r="H70" s="879">
        <f>E70</f>
        <v>2536.8000000000002</v>
      </c>
      <c r="I70" s="1442">
        <f t="shared" si="16"/>
        <v>11432.7</v>
      </c>
      <c r="J70" s="1443">
        <f>7948.036+2798.60235</f>
        <v>10746.6</v>
      </c>
      <c r="K70" s="1443">
        <f>507.4+178.7</f>
        <v>686.1</v>
      </c>
      <c r="L70" s="876">
        <f>I70/C70*100</f>
        <v>27</v>
      </c>
      <c r="M70" s="877">
        <f>J70/D70*100</f>
        <v>27</v>
      </c>
      <c r="N70" s="877">
        <f>K70/E70*100</f>
        <v>27</v>
      </c>
      <c r="O70" s="1214" t="s">
        <v>1186</v>
      </c>
      <c r="P70" s="1214" t="s">
        <v>1144</v>
      </c>
      <c r="Q70" s="1065">
        <f t="shared" si="1"/>
        <v>0</v>
      </c>
      <c r="R70" s="1065">
        <f t="shared" si="1"/>
        <v>0</v>
      </c>
      <c r="S70" s="1065">
        <f t="shared" si="1"/>
        <v>0</v>
      </c>
      <c r="T70" s="1099" t="s">
        <v>886</v>
      </c>
      <c r="U70" s="1100" t="s">
        <v>973</v>
      </c>
      <c r="V70" s="1099">
        <v>522</v>
      </c>
      <c r="W70" s="1099" t="s">
        <v>890</v>
      </c>
      <c r="X70" s="1225"/>
      <c r="Z70" s="1311">
        <f t="shared" si="2"/>
        <v>0</v>
      </c>
      <c r="AA70" s="1374">
        <f t="shared" si="3"/>
        <v>0</v>
      </c>
      <c r="AB70" s="912">
        <f t="shared" si="4"/>
        <v>0</v>
      </c>
      <c r="AC70" s="912">
        <f t="shared" si="5"/>
        <v>0</v>
      </c>
    </row>
    <row r="71" spans="1:29">
      <c r="A71" s="1437"/>
      <c r="B71" s="898" t="s">
        <v>457</v>
      </c>
      <c r="C71" s="871">
        <f t="shared" si="14"/>
        <v>39454.5</v>
      </c>
      <c r="D71" s="1252">
        <f>SUM(D72:D73)</f>
        <v>37086.9</v>
      </c>
      <c r="E71" s="1252">
        <f>SUM(E72:E73)</f>
        <v>2367.6</v>
      </c>
      <c r="F71" s="1442">
        <f t="shared" si="15"/>
        <v>39454.5</v>
      </c>
      <c r="G71" s="881">
        <f>SUM(G72:G73)</f>
        <v>37086.9</v>
      </c>
      <c r="H71" s="881">
        <f>SUM(H72:H73)</f>
        <v>2367.6</v>
      </c>
      <c r="I71" s="1442">
        <f t="shared" si="16"/>
        <v>15378.1</v>
      </c>
      <c r="J71" s="881">
        <f>SUM(J72:J73)</f>
        <v>14455.3</v>
      </c>
      <c r="K71" s="881">
        <f>SUM(K72:K73)</f>
        <v>922.8</v>
      </c>
      <c r="L71" s="1440">
        <f t="shared" si="13"/>
        <v>39</v>
      </c>
      <c r="M71" s="875">
        <f t="shared" si="13"/>
        <v>39</v>
      </c>
      <c r="N71" s="875">
        <f t="shared" si="13"/>
        <v>39</v>
      </c>
      <c r="O71" s="1214" t="s">
        <v>1117</v>
      </c>
      <c r="P71" s="1214" t="s">
        <v>1117</v>
      </c>
      <c r="Q71" s="1065">
        <f t="shared" si="1"/>
        <v>0</v>
      </c>
      <c r="R71" s="1065">
        <f t="shared" si="1"/>
        <v>0</v>
      </c>
      <c r="S71" s="1065">
        <f t="shared" si="1"/>
        <v>0</v>
      </c>
      <c r="Z71" s="1311">
        <f t="shared" si="2"/>
        <v>0</v>
      </c>
      <c r="AA71" s="1374">
        <f t="shared" si="3"/>
        <v>0</v>
      </c>
      <c r="AB71" s="912">
        <f t="shared" si="4"/>
        <v>0</v>
      </c>
      <c r="AC71" s="912">
        <f t="shared" si="5"/>
        <v>0</v>
      </c>
    </row>
    <row r="72" spans="1:29" ht="116.25">
      <c r="A72" s="1437" t="s">
        <v>129</v>
      </c>
      <c r="B72" s="1436" t="s">
        <v>838</v>
      </c>
      <c r="C72" s="871">
        <f t="shared" si="14"/>
        <v>8075.8</v>
      </c>
      <c r="D72" s="972">
        <f>7572.8+18.33</f>
        <v>7591.1</v>
      </c>
      <c r="E72" s="972">
        <f>483.5+1.17</f>
        <v>484.7</v>
      </c>
      <c r="F72" s="1442">
        <f t="shared" si="15"/>
        <v>8075.8</v>
      </c>
      <c r="G72" s="879">
        <f>D72</f>
        <v>7591.1</v>
      </c>
      <c r="H72" s="879">
        <f>E72</f>
        <v>484.7</v>
      </c>
      <c r="I72" s="1442">
        <f t="shared" si="16"/>
        <v>8036.6</v>
      </c>
      <c r="J72" s="1443">
        <v>7554.3</v>
      </c>
      <c r="K72" s="1443">
        <v>482.3</v>
      </c>
      <c r="L72" s="876">
        <f t="shared" si="13"/>
        <v>99.5</v>
      </c>
      <c r="M72" s="877">
        <f t="shared" si="13"/>
        <v>99.5</v>
      </c>
      <c r="N72" s="877">
        <f t="shared" si="13"/>
        <v>99.5</v>
      </c>
      <c r="O72" s="1430" t="s">
        <v>1187</v>
      </c>
      <c r="P72" s="1430" t="s">
        <v>1145</v>
      </c>
      <c r="Q72" s="1065">
        <f t="shared" si="1"/>
        <v>0</v>
      </c>
      <c r="R72" s="1065">
        <f t="shared" si="1"/>
        <v>0</v>
      </c>
      <c r="S72" s="1065">
        <f t="shared" si="1"/>
        <v>0</v>
      </c>
      <c r="T72" s="1099">
        <v>1102</v>
      </c>
      <c r="U72" s="1100" t="s">
        <v>981</v>
      </c>
      <c r="V72" s="1099">
        <v>522</v>
      </c>
      <c r="W72" s="1099" t="s">
        <v>958</v>
      </c>
      <c r="Z72" s="1311">
        <f t="shared" si="2"/>
        <v>0</v>
      </c>
      <c r="AA72" s="1374">
        <f t="shared" si="3"/>
        <v>0</v>
      </c>
      <c r="AB72" s="912">
        <f t="shared" si="4"/>
        <v>0</v>
      </c>
      <c r="AC72" s="912">
        <f t="shared" si="5"/>
        <v>0</v>
      </c>
    </row>
    <row r="73" spans="1:29" ht="47.25" customHeight="1">
      <c r="A73" s="895">
        <v>34</v>
      </c>
      <c r="B73" s="1075" t="s">
        <v>678</v>
      </c>
      <c r="C73" s="871">
        <f t="shared" si="14"/>
        <v>31378.7</v>
      </c>
      <c r="D73" s="972">
        <f>5899.2+23596.6</f>
        <v>29495.8</v>
      </c>
      <c r="E73" s="972">
        <f>376.6+1506.29</f>
        <v>1882.9</v>
      </c>
      <c r="F73" s="1442">
        <f t="shared" si="15"/>
        <v>31378.7</v>
      </c>
      <c r="G73" s="879">
        <f>D73</f>
        <v>29495.8</v>
      </c>
      <c r="H73" s="879">
        <f>E73</f>
        <v>1882.9</v>
      </c>
      <c r="I73" s="1442">
        <f t="shared" si="16"/>
        <v>7341.5</v>
      </c>
      <c r="J73" s="1443">
        <v>6901</v>
      </c>
      <c r="K73" s="1443">
        <v>440.5</v>
      </c>
      <c r="L73" s="876">
        <f t="shared" si="13"/>
        <v>23.4</v>
      </c>
      <c r="M73" s="877">
        <f t="shared" si="13"/>
        <v>23.4</v>
      </c>
      <c r="N73" s="877">
        <f t="shared" si="13"/>
        <v>23.4</v>
      </c>
      <c r="O73" s="1214" t="s">
        <v>1188</v>
      </c>
      <c r="P73" s="1214" t="s">
        <v>1139</v>
      </c>
      <c r="Q73" s="1065">
        <f t="shared" si="1"/>
        <v>0</v>
      </c>
      <c r="R73" s="1065">
        <f t="shared" si="1"/>
        <v>0</v>
      </c>
      <c r="S73" s="1065">
        <f t="shared" si="1"/>
        <v>0</v>
      </c>
      <c r="T73" s="1099" t="s">
        <v>886</v>
      </c>
      <c r="U73" s="1100" t="s">
        <v>980</v>
      </c>
      <c r="V73" s="1099">
        <v>522</v>
      </c>
      <c r="W73" s="1099" t="s">
        <v>890</v>
      </c>
      <c r="Z73" s="1311">
        <f t="shared" si="2"/>
        <v>0</v>
      </c>
      <c r="AA73" s="1374">
        <f t="shared" si="3"/>
        <v>0</v>
      </c>
      <c r="AB73" s="912">
        <f t="shared" si="4"/>
        <v>0</v>
      </c>
      <c r="AC73" s="912">
        <f t="shared" si="5"/>
        <v>0</v>
      </c>
    </row>
    <row r="74" spans="1:29">
      <c r="A74" s="1437"/>
      <c r="B74" s="898" t="s">
        <v>433</v>
      </c>
      <c r="C74" s="871">
        <f t="shared" si="14"/>
        <v>14049.3</v>
      </c>
      <c r="D74" s="1250">
        <f>D75</f>
        <v>13206.2</v>
      </c>
      <c r="E74" s="1250">
        <f>E75</f>
        <v>843.1</v>
      </c>
      <c r="F74" s="1442">
        <f t="shared" si="15"/>
        <v>14049.3</v>
      </c>
      <c r="G74" s="875">
        <f>G75</f>
        <v>13206.2</v>
      </c>
      <c r="H74" s="875">
        <f>H75</f>
        <v>843.1</v>
      </c>
      <c r="I74" s="1442">
        <f t="shared" si="16"/>
        <v>3862.8</v>
      </c>
      <c r="J74" s="875">
        <f>J75</f>
        <v>3631</v>
      </c>
      <c r="K74" s="875">
        <f>K75</f>
        <v>231.8</v>
      </c>
      <c r="L74" s="1440">
        <f t="shared" si="13"/>
        <v>27.5</v>
      </c>
      <c r="M74" s="1441">
        <f t="shared" si="13"/>
        <v>27.5</v>
      </c>
      <c r="N74" s="1441">
        <f t="shared" si="13"/>
        <v>27.5</v>
      </c>
      <c r="O74" s="1214" t="s">
        <v>353</v>
      </c>
      <c r="P74" s="1214" t="s">
        <v>353</v>
      </c>
      <c r="Q74" s="1065">
        <f t="shared" si="1"/>
        <v>0</v>
      </c>
      <c r="R74" s="1065">
        <f t="shared" si="1"/>
        <v>0</v>
      </c>
      <c r="S74" s="1065">
        <f t="shared" si="1"/>
        <v>0</v>
      </c>
      <c r="Z74" s="1311">
        <f t="shared" ref="Z74:Z138" si="17">C74-F74</f>
        <v>0</v>
      </c>
      <c r="AA74" s="1374">
        <f t="shared" si="3"/>
        <v>0</v>
      </c>
      <c r="AB74" s="912">
        <f t="shared" si="4"/>
        <v>0</v>
      </c>
      <c r="AC74" s="912">
        <f t="shared" si="5"/>
        <v>0</v>
      </c>
    </row>
    <row r="75" spans="1:29" ht="40.5" customHeight="1">
      <c r="A75" s="1437" t="s">
        <v>130</v>
      </c>
      <c r="B75" s="1084" t="s">
        <v>679</v>
      </c>
      <c r="C75" s="871">
        <f t="shared" si="14"/>
        <v>14049.3</v>
      </c>
      <c r="D75" s="1249">
        <v>13206.2</v>
      </c>
      <c r="E75" s="1249">
        <v>843.1</v>
      </c>
      <c r="F75" s="1442">
        <f t="shared" si="15"/>
        <v>14049.3</v>
      </c>
      <c r="G75" s="879">
        <f>D75</f>
        <v>13206.2</v>
      </c>
      <c r="H75" s="879">
        <f>E75</f>
        <v>843.1</v>
      </c>
      <c r="I75" s="1442">
        <f t="shared" si="16"/>
        <v>3862.8</v>
      </c>
      <c r="J75" s="1439">
        <v>3631</v>
      </c>
      <c r="K75" s="1439">
        <v>231.8</v>
      </c>
      <c r="L75" s="876">
        <f t="shared" si="13"/>
        <v>27.5</v>
      </c>
      <c r="M75" s="877">
        <f t="shared" si="13"/>
        <v>27.5</v>
      </c>
      <c r="N75" s="877">
        <f t="shared" si="13"/>
        <v>27.5</v>
      </c>
      <c r="O75" s="1430" t="s">
        <v>1140</v>
      </c>
      <c r="P75" s="1430" t="s">
        <v>1141</v>
      </c>
      <c r="Q75" s="1065">
        <f t="shared" si="1"/>
        <v>0</v>
      </c>
      <c r="R75" s="1065">
        <f t="shared" si="1"/>
        <v>0</v>
      </c>
      <c r="S75" s="1065">
        <f t="shared" si="1"/>
        <v>0</v>
      </c>
      <c r="T75" s="1099" t="s">
        <v>954</v>
      </c>
      <c r="U75" s="1100" t="s">
        <v>982</v>
      </c>
      <c r="V75" s="1099">
        <v>522</v>
      </c>
      <c r="W75" s="1099" t="s">
        <v>958</v>
      </c>
      <c r="Z75" s="1311">
        <f t="shared" si="17"/>
        <v>0</v>
      </c>
      <c r="AA75" s="1374">
        <f t="shared" ref="AA75:AA139" si="18">C75-F75</f>
        <v>0</v>
      </c>
      <c r="AB75" s="912">
        <f t="shared" ref="AB75:AB138" si="19">D75-G75</f>
        <v>0</v>
      </c>
      <c r="AC75" s="912">
        <f t="shared" ref="AC75:AC138" si="20">E75-H75</f>
        <v>0</v>
      </c>
    </row>
    <row r="76" spans="1:29">
      <c r="A76" s="895"/>
      <c r="B76" s="898" t="s">
        <v>458</v>
      </c>
      <c r="C76" s="871">
        <f t="shared" si="14"/>
        <v>11408.6</v>
      </c>
      <c r="D76" s="1250">
        <f>D77</f>
        <v>10724</v>
      </c>
      <c r="E76" s="1250">
        <f>E77</f>
        <v>684.6</v>
      </c>
      <c r="F76" s="1442">
        <f t="shared" si="15"/>
        <v>11408.6</v>
      </c>
      <c r="G76" s="875">
        <f>G77</f>
        <v>10724</v>
      </c>
      <c r="H76" s="875">
        <f>H77</f>
        <v>684.6</v>
      </c>
      <c r="I76" s="1442">
        <f t="shared" si="16"/>
        <v>1408.3</v>
      </c>
      <c r="J76" s="875">
        <f>J77</f>
        <v>1323.8</v>
      </c>
      <c r="K76" s="875">
        <f>K77</f>
        <v>84.5</v>
      </c>
      <c r="L76" s="1440">
        <f t="shared" si="13"/>
        <v>12.3</v>
      </c>
      <c r="M76" s="1441">
        <f t="shared" si="13"/>
        <v>12.3</v>
      </c>
      <c r="N76" s="1441">
        <f t="shared" si="13"/>
        <v>12.3</v>
      </c>
      <c r="O76" s="1214" t="s">
        <v>353</v>
      </c>
      <c r="P76" s="1214" t="s">
        <v>353</v>
      </c>
      <c r="Q76" s="1065">
        <f t="shared" ref="Q76:S92" si="21">C76-F76</f>
        <v>0</v>
      </c>
      <c r="R76" s="1065">
        <f t="shared" si="21"/>
        <v>0</v>
      </c>
      <c r="S76" s="1065">
        <f t="shared" si="21"/>
        <v>0</v>
      </c>
      <c r="Z76" s="1311">
        <f t="shared" si="17"/>
        <v>0</v>
      </c>
      <c r="AA76" s="1374">
        <f t="shared" si="18"/>
        <v>0</v>
      </c>
      <c r="AB76" s="912">
        <f t="shared" si="19"/>
        <v>0</v>
      </c>
      <c r="AC76" s="912">
        <f t="shared" si="20"/>
        <v>0</v>
      </c>
    </row>
    <row r="77" spans="1:29" ht="50.25" customHeight="1">
      <c r="A77" s="1437" t="s">
        <v>160</v>
      </c>
      <c r="B77" s="1084" t="s">
        <v>680</v>
      </c>
      <c r="C77" s="871">
        <f t="shared" si="14"/>
        <v>11408.6</v>
      </c>
      <c r="D77" s="1249">
        <v>10724</v>
      </c>
      <c r="E77" s="1249">
        <v>684.6</v>
      </c>
      <c r="F77" s="1442">
        <f t="shared" si="15"/>
        <v>11408.6</v>
      </c>
      <c r="G77" s="879">
        <f>D77</f>
        <v>10724</v>
      </c>
      <c r="H77" s="879">
        <f>E77</f>
        <v>684.6</v>
      </c>
      <c r="I77" s="1442">
        <f t="shared" si="16"/>
        <v>1408.3</v>
      </c>
      <c r="J77" s="1443">
        <v>1323.8</v>
      </c>
      <c r="K77" s="1443">
        <v>84.5</v>
      </c>
      <c r="L77" s="876">
        <f t="shared" si="13"/>
        <v>12.3</v>
      </c>
      <c r="M77" s="877">
        <f t="shared" si="13"/>
        <v>12.3</v>
      </c>
      <c r="N77" s="877">
        <f t="shared" si="13"/>
        <v>12.3</v>
      </c>
      <c r="O77" s="1214" t="s">
        <v>1189</v>
      </c>
      <c r="P77" s="1430" t="s">
        <v>1142</v>
      </c>
      <c r="Q77" s="1065">
        <f t="shared" si="21"/>
        <v>0</v>
      </c>
      <c r="R77" s="1065">
        <f t="shared" si="21"/>
        <v>0</v>
      </c>
      <c r="S77" s="1065">
        <f t="shared" si="21"/>
        <v>0</v>
      </c>
      <c r="T77" s="1099" t="s">
        <v>954</v>
      </c>
      <c r="U77" s="1100" t="s">
        <v>997</v>
      </c>
      <c r="V77" s="1099">
        <v>522</v>
      </c>
      <c r="W77" s="1099" t="s">
        <v>958</v>
      </c>
      <c r="Z77" s="1311">
        <f t="shared" si="17"/>
        <v>0</v>
      </c>
      <c r="AA77" s="1374">
        <f t="shared" si="18"/>
        <v>0</v>
      </c>
      <c r="AB77" s="912">
        <f t="shared" si="19"/>
        <v>0</v>
      </c>
      <c r="AC77" s="912">
        <f t="shared" si="20"/>
        <v>0</v>
      </c>
    </row>
    <row r="78" spans="1:29">
      <c r="A78" s="895"/>
      <c r="B78" s="898" t="s">
        <v>443</v>
      </c>
      <c r="C78" s="871">
        <f t="shared" si="14"/>
        <v>55847.5</v>
      </c>
      <c r="D78" s="1250">
        <f>D79</f>
        <v>52496.6</v>
      </c>
      <c r="E78" s="1250">
        <f>E79</f>
        <v>3350.9</v>
      </c>
      <c r="F78" s="1442">
        <f t="shared" si="15"/>
        <v>55847.5</v>
      </c>
      <c r="G78" s="875">
        <f>G79</f>
        <v>52496.6</v>
      </c>
      <c r="H78" s="875">
        <f>H79</f>
        <v>3350.9</v>
      </c>
      <c r="I78" s="1442">
        <f t="shared" si="16"/>
        <v>0</v>
      </c>
      <c r="J78" s="875">
        <f>J79</f>
        <v>0</v>
      </c>
      <c r="K78" s="875">
        <f>K79</f>
        <v>0</v>
      </c>
      <c r="L78" s="876">
        <f t="shared" si="13"/>
        <v>0</v>
      </c>
      <c r="M78" s="877">
        <f t="shared" si="13"/>
        <v>0</v>
      </c>
      <c r="N78" s="877">
        <f t="shared" si="13"/>
        <v>0</v>
      </c>
      <c r="O78" s="1214" t="s">
        <v>353</v>
      </c>
      <c r="P78" s="1214" t="s">
        <v>353</v>
      </c>
      <c r="Q78" s="1065">
        <f t="shared" si="21"/>
        <v>0</v>
      </c>
      <c r="R78" s="1065">
        <f t="shared" si="21"/>
        <v>0</v>
      </c>
      <c r="S78" s="1065">
        <f t="shared" si="21"/>
        <v>0</v>
      </c>
      <c r="Z78" s="1311">
        <f t="shared" si="17"/>
        <v>0</v>
      </c>
      <c r="AA78" s="1374">
        <f t="shared" si="18"/>
        <v>0</v>
      </c>
      <c r="AB78" s="912">
        <f t="shared" si="19"/>
        <v>0</v>
      </c>
      <c r="AC78" s="912">
        <f t="shared" si="20"/>
        <v>0</v>
      </c>
    </row>
    <row r="79" spans="1:29" ht="50.25" customHeight="1">
      <c r="A79" s="1437" t="s">
        <v>532</v>
      </c>
      <c r="B79" s="1084" t="s">
        <v>681</v>
      </c>
      <c r="C79" s="871">
        <f t="shared" si="14"/>
        <v>55847.5</v>
      </c>
      <c r="D79" s="1249">
        <f>52494.2+2.4</f>
        <v>52496.6</v>
      </c>
      <c r="E79" s="1249">
        <f>3350.7+0.16</f>
        <v>3350.9</v>
      </c>
      <c r="F79" s="1442">
        <f t="shared" si="15"/>
        <v>55847.5</v>
      </c>
      <c r="G79" s="879">
        <f>D79</f>
        <v>52496.6</v>
      </c>
      <c r="H79" s="879">
        <f>E79</f>
        <v>3350.9</v>
      </c>
      <c r="I79" s="1442">
        <f t="shared" si="16"/>
        <v>0</v>
      </c>
      <c r="J79" s="1443">
        <v>0</v>
      </c>
      <c r="K79" s="1443">
        <v>0</v>
      </c>
      <c r="L79" s="876">
        <f t="shared" si="13"/>
        <v>0</v>
      </c>
      <c r="M79" s="877">
        <f t="shared" si="13"/>
        <v>0</v>
      </c>
      <c r="N79" s="877">
        <f t="shared" si="13"/>
        <v>0</v>
      </c>
      <c r="O79" s="1430" t="s">
        <v>1190</v>
      </c>
      <c r="P79" s="1214" t="s">
        <v>1146</v>
      </c>
      <c r="Q79" s="1065">
        <f t="shared" si="21"/>
        <v>0</v>
      </c>
      <c r="R79" s="1065">
        <f t="shared" si="21"/>
        <v>0</v>
      </c>
      <c r="S79" s="1065">
        <f t="shared" si="21"/>
        <v>0</v>
      </c>
      <c r="T79" s="1099" t="s">
        <v>874</v>
      </c>
      <c r="U79" s="1100" t="s">
        <v>984</v>
      </c>
      <c r="V79" s="1099">
        <v>522</v>
      </c>
      <c r="W79" s="1099" t="s">
        <v>985</v>
      </c>
      <c r="Z79" s="1311">
        <f t="shared" si="17"/>
        <v>0</v>
      </c>
      <c r="AA79" s="1374">
        <f t="shared" si="18"/>
        <v>0</v>
      </c>
      <c r="AB79" s="912">
        <f t="shared" si="19"/>
        <v>0</v>
      </c>
      <c r="AC79" s="912">
        <f t="shared" si="20"/>
        <v>0</v>
      </c>
    </row>
    <row r="80" spans="1:29">
      <c r="A80" s="895"/>
      <c r="B80" s="898" t="s">
        <v>281</v>
      </c>
      <c r="C80" s="871">
        <f t="shared" si="14"/>
        <v>115657.60000000001</v>
      </c>
      <c r="D80" s="1250">
        <f>SUM(D81:D82)</f>
        <v>108717.1</v>
      </c>
      <c r="E80" s="1250">
        <f>SUM(E81:E82)</f>
        <v>6940.5</v>
      </c>
      <c r="F80" s="1442">
        <f t="shared" si="15"/>
        <v>115657.60000000001</v>
      </c>
      <c r="G80" s="875">
        <f>SUM(G81:G82)</f>
        <v>108717.1</v>
      </c>
      <c r="H80" s="875">
        <f>SUM(H81:H82)</f>
        <v>6940.5</v>
      </c>
      <c r="I80" s="1442">
        <f t="shared" si="16"/>
        <v>12341.9</v>
      </c>
      <c r="J80" s="875">
        <f>SUM(J81:J82)</f>
        <v>11601.4</v>
      </c>
      <c r="K80" s="875">
        <f>SUM(K81:K82)</f>
        <v>740.5</v>
      </c>
      <c r="L80" s="876">
        <f t="shared" si="13"/>
        <v>10.7</v>
      </c>
      <c r="M80" s="877">
        <f t="shared" si="13"/>
        <v>10.7</v>
      </c>
      <c r="N80" s="877">
        <f t="shared" si="13"/>
        <v>10.7</v>
      </c>
      <c r="O80" s="1214" t="s">
        <v>353</v>
      </c>
      <c r="P80" s="1214" t="s">
        <v>353</v>
      </c>
      <c r="Q80" s="1065">
        <f t="shared" si="21"/>
        <v>0</v>
      </c>
      <c r="R80" s="1065">
        <f t="shared" si="21"/>
        <v>0</v>
      </c>
      <c r="S80" s="1065">
        <f t="shared" si="21"/>
        <v>0</v>
      </c>
      <c r="Z80" s="1311">
        <f t="shared" si="17"/>
        <v>0</v>
      </c>
      <c r="AA80" s="1374">
        <f t="shared" si="18"/>
        <v>0</v>
      </c>
      <c r="AB80" s="912">
        <f t="shared" si="19"/>
        <v>0</v>
      </c>
      <c r="AC80" s="912">
        <f t="shared" si="20"/>
        <v>0</v>
      </c>
    </row>
    <row r="81" spans="1:29" ht="66" customHeight="1">
      <c r="A81" s="1431" t="s">
        <v>161</v>
      </c>
      <c r="B81" s="1086" t="s">
        <v>682</v>
      </c>
      <c r="C81" s="1402">
        <f t="shared" si="14"/>
        <v>84139</v>
      </c>
      <c r="D81" s="1254">
        <f>75135.3+3954.5</f>
        <v>79089.8</v>
      </c>
      <c r="E81" s="1249">
        <f>4796.7+252.5</f>
        <v>5049.2</v>
      </c>
      <c r="F81" s="1435">
        <f t="shared" si="15"/>
        <v>84139</v>
      </c>
      <c r="G81" s="879">
        <f>D81</f>
        <v>79089.8</v>
      </c>
      <c r="H81" s="879">
        <f>E81</f>
        <v>5049.2</v>
      </c>
      <c r="I81" s="1435">
        <f t="shared" si="16"/>
        <v>12341.9</v>
      </c>
      <c r="J81" s="1438">
        <v>11601.4</v>
      </c>
      <c r="K81" s="1443">
        <v>740.5</v>
      </c>
      <c r="L81" s="1432">
        <f t="shared" si="13"/>
        <v>14.7</v>
      </c>
      <c r="M81" s="1433">
        <f t="shared" si="13"/>
        <v>14.7</v>
      </c>
      <c r="N81" s="1441">
        <f t="shared" si="13"/>
        <v>14.7</v>
      </c>
      <c r="O81" s="1214" t="s">
        <v>1147</v>
      </c>
      <c r="P81" s="1214" t="s">
        <v>1148</v>
      </c>
      <c r="Q81" s="1065">
        <f t="shared" si="21"/>
        <v>0</v>
      </c>
      <c r="R81" s="1065">
        <f t="shared" si="21"/>
        <v>0</v>
      </c>
      <c r="S81" s="1065">
        <f t="shared" si="21"/>
        <v>0</v>
      </c>
      <c r="T81" s="1099" t="s">
        <v>928</v>
      </c>
      <c r="U81" s="1100" t="s">
        <v>987</v>
      </c>
      <c r="V81" s="1099">
        <v>522</v>
      </c>
      <c r="W81" s="1099" t="s">
        <v>930</v>
      </c>
      <c r="Z81" s="1311">
        <f t="shared" si="17"/>
        <v>0</v>
      </c>
      <c r="AA81" s="1374">
        <f t="shared" si="18"/>
        <v>0</v>
      </c>
      <c r="AB81" s="912">
        <f t="shared" si="19"/>
        <v>0</v>
      </c>
      <c r="AC81" s="912">
        <f t="shared" si="20"/>
        <v>0</v>
      </c>
    </row>
    <row r="82" spans="1:29" ht="72" customHeight="1">
      <c r="A82" s="1437" t="s">
        <v>536</v>
      </c>
      <c r="B82" s="1084" t="s">
        <v>1345</v>
      </c>
      <c r="C82" s="871">
        <f t="shared" si="14"/>
        <v>31518.6</v>
      </c>
      <c r="D82" s="1249">
        <f>29034.8+592.5</f>
        <v>29627.3</v>
      </c>
      <c r="E82" s="1249">
        <f>1853.5+37.83</f>
        <v>1891.3</v>
      </c>
      <c r="F82" s="1442">
        <f t="shared" si="15"/>
        <v>31518.6</v>
      </c>
      <c r="G82" s="879">
        <f>D82</f>
        <v>29627.3</v>
      </c>
      <c r="H82" s="879">
        <f>E82</f>
        <v>1891.3</v>
      </c>
      <c r="I82" s="1442">
        <f t="shared" si="16"/>
        <v>0</v>
      </c>
      <c r="J82" s="1443">
        <v>0</v>
      </c>
      <c r="K82" s="1443">
        <v>0</v>
      </c>
      <c r="L82" s="876">
        <f t="shared" si="13"/>
        <v>0</v>
      </c>
      <c r="M82" s="877">
        <f t="shared" si="13"/>
        <v>0</v>
      </c>
      <c r="N82" s="877">
        <f t="shared" si="13"/>
        <v>0</v>
      </c>
      <c r="O82" s="1214" t="s">
        <v>1191</v>
      </c>
      <c r="P82" s="1214" t="s">
        <v>1118</v>
      </c>
      <c r="Q82" s="1065">
        <f t="shared" si="21"/>
        <v>0</v>
      </c>
      <c r="R82" s="1065">
        <f t="shared" si="21"/>
        <v>0</v>
      </c>
      <c r="S82" s="1065">
        <f t="shared" si="21"/>
        <v>0</v>
      </c>
      <c r="T82" s="1099" t="s">
        <v>954</v>
      </c>
      <c r="U82" s="1100" t="s">
        <v>998</v>
      </c>
      <c r="V82" s="1099">
        <v>522</v>
      </c>
      <c r="W82" s="1099" t="s">
        <v>958</v>
      </c>
      <c r="Z82" s="1311">
        <f t="shared" si="17"/>
        <v>0</v>
      </c>
      <c r="AA82" s="1374">
        <f t="shared" si="18"/>
        <v>0</v>
      </c>
      <c r="AB82" s="912">
        <f t="shared" si="19"/>
        <v>0</v>
      </c>
      <c r="AC82" s="912">
        <f t="shared" si="20"/>
        <v>0</v>
      </c>
    </row>
    <row r="83" spans="1:29">
      <c r="A83" s="1437"/>
      <c r="B83" s="898" t="s">
        <v>583</v>
      </c>
      <c r="C83" s="871">
        <f t="shared" si="14"/>
        <v>36116.5</v>
      </c>
      <c r="D83" s="1250">
        <f>SUM(D84:D84)</f>
        <v>33949.300000000003</v>
      </c>
      <c r="E83" s="1250">
        <f>SUM(E84:E84)</f>
        <v>2167.1999999999998</v>
      </c>
      <c r="F83" s="1442">
        <f t="shared" si="15"/>
        <v>36116.5</v>
      </c>
      <c r="G83" s="875">
        <f>SUM(G84:G84)</f>
        <v>33949.300000000003</v>
      </c>
      <c r="H83" s="875">
        <f>SUM(H84:H84)</f>
        <v>2167.1999999999998</v>
      </c>
      <c r="I83" s="1442">
        <f t="shared" si="16"/>
        <v>777</v>
      </c>
      <c r="J83" s="875">
        <f>SUM(J84:J84)</f>
        <v>730.4</v>
      </c>
      <c r="K83" s="875">
        <f>SUM(K84:K84)</f>
        <v>46.6</v>
      </c>
      <c r="L83" s="876">
        <f t="shared" si="13"/>
        <v>2.2000000000000002</v>
      </c>
      <c r="M83" s="877">
        <f t="shared" si="13"/>
        <v>2.2000000000000002</v>
      </c>
      <c r="N83" s="877">
        <f t="shared" si="13"/>
        <v>2.2000000000000002</v>
      </c>
      <c r="O83" s="1214" t="s">
        <v>353</v>
      </c>
      <c r="P83" s="1214" t="s">
        <v>353</v>
      </c>
      <c r="Q83" s="1065">
        <f t="shared" si="21"/>
        <v>0</v>
      </c>
      <c r="R83" s="1065">
        <f t="shared" si="21"/>
        <v>0</v>
      </c>
      <c r="S83" s="1065">
        <f t="shared" si="21"/>
        <v>0</v>
      </c>
      <c r="Z83" s="1311">
        <f t="shared" si="17"/>
        <v>0</v>
      </c>
      <c r="AA83" s="1374">
        <f t="shared" si="18"/>
        <v>0</v>
      </c>
      <c r="AB83" s="912">
        <f t="shared" si="19"/>
        <v>0</v>
      </c>
      <c r="AC83" s="912">
        <f t="shared" si="20"/>
        <v>0</v>
      </c>
    </row>
    <row r="84" spans="1:29" ht="39" customHeight="1">
      <c r="A84" s="1437" t="s">
        <v>131</v>
      </c>
      <c r="B84" s="1075" t="s">
        <v>684</v>
      </c>
      <c r="C84" s="871">
        <f t="shared" si="14"/>
        <v>36116.5</v>
      </c>
      <c r="D84" s="1249">
        <f>8487.1+25462.18</f>
        <v>33949.300000000003</v>
      </c>
      <c r="E84" s="1249">
        <f>541.8+1625.38</f>
        <v>2167.1999999999998</v>
      </c>
      <c r="F84" s="1442">
        <f t="shared" si="15"/>
        <v>36116.5</v>
      </c>
      <c r="G84" s="879">
        <f>D84</f>
        <v>33949.300000000003</v>
      </c>
      <c r="H84" s="879">
        <f>E84</f>
        <v>2167.1999999999998</v>
      </c>
      <c r="I84" s="1442">
        <f t="shared" si="16"/>
        <v>777</v>
      </c>
      <c r="J84" s="1443">
        <v>730.4</v>
      </c>
      <c r="K84" s="1443">
        <v>46.6</v>
      </c>
      <c r="L84" s="876">
        <f t="shared" si="13"/>
        <v>2.2000000000000002</v>
      </c>
      <c r="M84" s="877">
        <f t="shared" si="13"/>
        <v>2.2000000000000002</v>
      </c>
      <c r="N84" s="877">
        <f t="shared" si="13"/>
        <v>2.2000000000000002</v>
      </c>
      <c r="O84" s="1214" t="s">
        <v>1149</v>
      </c>
      <c r="P84" s="1214" t="s">
        <v>1150</v>
      </c>
      <c r="Q84" s="1065">
        <f t="shared" si="21"/>
        <v>0</v>
      </c>
      <c r="R84" s="1065">
        <f t="shared" si="21"/>
        <v>0</v>
      </c>
      <c r="S84" s="1065">
        <f t="shared" si="21"/>
        <v>0</v>
      </c>
      <c r="T84" s="1099" t="s">
        <v>886</v>
      </c>
      <c r="U84" s="1100" t="s">
        <v>996</v>
      </c>
      <c r="V84" s="1099">
        <v>522</v>
      </c>
      <c r="W84" s="1099" t="s">
        <v>890</v>
      </c>
      <c r="Z84" s="1311">
        <f t="shared" si="17"/>
        <v>0</v>
      </c>
      <c r="AA84" s="1374">
        <f t="shared" si="18"/>
        <v>0</v>
      </c>
      <c r="AB84" s="912">
        <f t="shared" si="19"/>
        <v>0</v>
      </c>
      <c r="AC84" s="912">
        <f t="shared" si="20"/>
        <v>0</v>
      </c>
    </row>
    <row r="85" spans="1:29" s="914" customFormat="1" ht="135" customHeight="1">
      <c r="A85" s="1450" t="s">
        <v>2</v>
      </c>
      <c r="B85" s="1275" t="s">
        <v>313</v>
      </c>
      <c r="C85" s="1047">
        <f t="shared" si="14"/>
        <v>3565758.2</v>
      </c>
      <c r="D85" s="1047">
        <f>D87</f>
        <v>2973716.3</v>
      </c>
      <c r="E85" s="1047">
        <f>E87</f>
        <v>592041.9</v>
      </c>
      <c r="F85" s="1047">
        <f t="shared" si="15"/>
        <v>3461788.9</v>
      </c>
      <c r="G85" s="1047">
        <f>G87</f>
        <v>2876174</v>
      </c>
      <c r="H85" s="1047">
        <f>H87</f>
        <v>585614.9</v>
      </c>
      <c r="I85" s="1047">
        <f t="shared" si="16"/>
        <v>492751.7</v>
      </c>
      <c r="J85" s="1047">
        <f>J87</f>
        <v>379511.2</v>
      </c>
      <c r="K85" s="1047">
        <f>K87</f>
        <v>113240.5</v>
      </c>
      <c r="L85" s="1048">
        <f t="shared" si="13"/>
        <v>14.2</v>
      </c>
      <c r="M85" s="1049">
        <f t="shared" si="13"/>
        <v>13.2</v>
      </c>
      <c r="N85" s="1049">
        <f t="shared" si="13"/>
        <v>19.3</v>
      </c>
      <c r="O85" s="1227" t="s">
        <v>353</v>
      </c>
      <c r="P85" s="1227" t="s">
        <v>353</v>
      </c>
      <c r="Q85" s="1065">
        <f t="shared" si="21"/>
        <v>103969.3</v>
      </c>
      <c r="R85" s="1065">
        <f t="shared" si="21"/>
        <v>97542.3</v>
      </c>
      <c r="S85" s="1065">
        <f t="shared" si="21"/>
        <v>6427</v>
      </c>
      <c r="T85" s="1099"/>
      <c r="U85" s="1100"/>
      <c r="V85" s="1099"/>
      <c r="W85" s="1099"/>
      <c r="X85" s="1216"/>
      <c r="Z85" s="1311">
        <f t="shared" si="17"/>
        <v>103969.3</v>
      </c>
      <c r="AA85" s="1374">
        <f t="shared" si="18"/>
        <v>103969.3</v>
      </c>
      <c r="AB85" s="912">
        <f t="shared" si="19"/>
        <v>97542.3</v>
      </c>
      <c r="AC85" s="912">
        <f t="shared" si="20"/>
        <v>6427</v>
      </c>
    </row>
    <row r="86" spans="1:29" s="914" customFormat="1" ht="135" customHeight="1">
      <c r="A86" s="1450"/>
      <c r="B86" s="1275"/>
      <c r="C86" s="1047">
        <f>C85-C143</f>
        <v>1200804.7</v>
      </c>
      <c r="D86" s="1047">
        <f t="shared" ref="D86:AA86" si="22">D85-D143</f>
        <v>856121.1</v>
      </c>
      <c r="E86" s="1047">
        <f t="shared" si="22"/>
        <v>344683.6</v>
      </c>
      <c r="F86" s="1047">
        <f t="shared" si="22"/>
        <v>1096835.3999999999</v>
      </c>
      <c r="G86" s="1047">
        <f t="shared" si="22"/>
        <v>758578.8</v>
      </c>
      <c r="H86" s="1047">
        <f t="shared" si="22"/>
        <v>338256.6</v>
      </c>
      <c r="I86" s="1047">
        <f t="shared" si="22"/>
        <v>77946.3</v>
      </c>
      <c r="J86" s="1047">
        <f t="shared" si="22"/>
        <v>24862.6</v>
      </c>
      <c r="K86" s="1047">
        <f t="shared" si="22"/>
        <v>53083.7</v>
      </c>
      <c r="L86" s="1047">
        <f t="shared" si="22"/>
        <v>-3.3</v>
      </c>
      <c r="M86" s="1047">
        <f t="shared" si="22"/>
        <v>-3.5</v>
      </c>
      <c r="N86" s="1047">
        <f t="shared" si="22"/>
        <v>-5</v>
      </c>
      <c r="O86" s="1047" t="e">
        <f t="shared" si="22"/>
        <v>#VALUE!</v>
      </c>
      <c r="P86" s="1047" t="e">
        <f t="shared" si="22"/>
        <v>#VALUE!</v>
      </c>
      <c r="Q86" s="1047">
        <f t="shared" si="22"/>
        <v>103969.3</v>
      </c>
      <c r="R86" s="1047">
        <f t="shared" si="22"/>
        <v>97542.3</v>
      </c>
      <c r="S86" s="1047">
        <f t="shared" si="22"/>
        <v>6427</v>
      </c>
      <c r="T86" s="1047">
        <f t="shared" si="22"/>
        <v>0</v>
      </c>
      <c r="U86" s="1047">
        <f t="shared" si="22"/>
        <v>0</v>
      </c>
      <c r="V86" s="1047">
        <f t="shared" si="22"/>
        <v>0</v>
      </c>
      <c r="W86" s="1047">
        <f t="shared" si="22"/>
        <v>0</v>
      </c>
      <c r="X86" s="1047">
        <f t="shared" si="22"/>
        <v>0</v>
      </c>
      <c r="Y86" s="1047">
        <f t="shared" si="22"/>
        <v>0</v>
      </c>
      <c r="Z86" s="1047">
        <f t="shared" si="22"/>
        <v>103969.3</v>
      </c>
      <c r="AA86" s="1047">
        <f t="shared" si="22"/>
        <v>103969.3</v>
      </c>
      <c r="AB86" s="912">
        <f t="shared" si="19"/>
        <v>97542.3</v>
      </c>
      <c r="AC86" s="912">
        <f t="shared" si="20"/>
        <v>6427</v>
      </c>
    </row>
    <row r="87" spans="1:29" s="914" customFormat="1" ht="63.75" customHeight="1">
      <c r="A87" s="1451" t="s">
        <v>246</v>
      </c>
      <c r="B87" s="1276" t="s">
        <v>41</v>
      </c>
      <c r="C87" s="933">
        <f t="shared" si="14"/>
        <v>3565758.2</v>
      </c>
      <c r="D87" s="933">
        <f>SUM(D88:D143)</f>
        <v>2973716.3</v>
      </c>
      <c r="E87" s="933">
        <f>SUM(E88:E143)</f>
        <v>592041.9</v>
      </c>
      <c r="F87" s="933">
        <f>SUM(G87:H87)</f>
        <v>3461788.9</v>
      </c>
      <c r="G87" s="934">
        <f>SUM(G88:G143)</f>
        <v>2876174</v>
      </c>
      <c r="H87" s="934">
        <f>SUM(H88:H143)</f>
        <v>585614.9</v>
      </c>
      <c r="I87" s="933">
        <f t="shared" si="16"/>
        <v>492751.7</v>
      </c>
      <c r="J87" s="933">
        <f>SUM(J88:J143)</f>
        <v>379511.2</v>
      </c>
      <c r="K87" s="933">
        <f>SUM(K88:K143)</f>
        <v>113240.5</v>
      </c>
      <c r="L87" s="935">
        <f t="shared" si="13"/>
        <v>14.2</v>
      </c>
      <c r="M87" s="936">
        <f t="shared" si="13"/>
        <v>13.2</v>
      </c>
      <c r="N87" s="936">
        <f t="shared" si="13"/>
        <v>19.3</v>
      </c>
      <c r="O87" s="1226" t="s">
        <v>353</v>
      </c>
      <c r="P87" s="1226" t="s">
        <v>353</v>
      </c>
      <c r="Q87" s="1065">
        <f t="shared" si="21"/>
        <v>103969.3</v>
      </c>
      <c r="R87" s="1065">
        <f t="shared" si="21"/>
        <v>97542.3</v>
      </c>
      <c r="S87" s="1065">
        <f t="shared" si="21"/>
        <v>6427</v>
      </c>
      <c r="T87" s="1099"/>
      <c r="U87" s="1100"/>
      <c r="V87" s="1099"/>
      <c r="W87" s="1099"/>
      <c r="X87" s="1216"/>
      <c r="Z87" s="1311">
        <f t="shared" si="17"/>
        <v>103969.3</v>
      </c>
      <c r="AA87" s="1374">
        <f t="shared" si="18"/>
        <v>103969.3</v>
      </c>
      <c r="AB87" s="912">
        <f t="shared" si="19"/>
        <v>97542.3</v>
      </c>
      <c r="AC87" s="912">
        <f t="shared" si="20"/>
        <v>6427</v>
      </c>
    </row>
    <row r="88" spans="1:29" s="892" customFormat="1" ht="111" customHeight="1">
      <c r="A88" s="1444" t="s">
        <v>824</v>
      </c>
      <c r="B88" s="1066" t="s">
        <v>434</v>
      </c>
      <c r="C88" s="871">
        <f>SUM(D88:E88)</f>
        <v>109862.6</v>
      </c>
      <c r="D88" s="873">
        <v>105115.4</v>
      </c>
      <c r="E88" s="873">
        <v>4747.2</v>
      </c>
      <c r="F88" s="1440">
        <f t="shared" si="15"/>
        <v>109862.6</v>
      </c>
      <c r="G88" s="877">
        <f>105115.4</f>
        <v>105115.4</v>
      </c>
      <c r="H88" s="877">
        <v>4747.2</v>
      </c>
      <c r="I88" s="1440">
        <f t="shared" si="16"/>
        <v>4747.1000000000004</v>
      </c>
      <c r="J88" s="1441">
        <v>0</v>
      </c>
      <c r="K88" s="1441">
        <v>4747.1000000000004</v>
      </c>
      <c r="L88" s="876">
        <f t="shared" si="13"/>
        <v>4.3</v>
      </c>
      <c r="M88" s="877">
        <f t="shared" si="13"/>
        <v>0</v>
      </c>
      <c r="N88" s="877">
        <f t="shared" si="13"/>
        <v>100</v>
      </c>
      <c r="O88" s="1214" t="s">
        <v>353</v>
      </c>
      <c r="P88" s="1214" t="s">
        <v>1099</v>
      </c>
      <c r="Q88" s="1065">
        <f t="shared" si="21"/>
        <v>0</v>
      </c>
      <c r="R88" s="1065">
        <f t="shared" si="21"/>
        <v>0</v>
      </c>
      <c r="S88" s="1065">
        <f t="shared" si="21"/>
        <v>0</v>
      </c>
      <c r="T88" s="1099" t="s">
        <v>880</v>
      </c>
      <c r="U88" s="1100" t="s">
        <v>881</v>
      </c>
      <c r="V88" s="1099" t="s">
        <v>882</v>
      </c>
      <c r="W88" s="1099"/>
      <c r="X88" s="1216"/>
      <c r="Z88" s="1311">
        <f t="shared" si="17"/>
        <v>0</v>
      </c>
      <c r="AA88" s="1374">
        <f t="shared" si="18"/>
        <v>0</v>
      </c>
      <c r="AB88" s="912">
        <f t="shared" si="19"/>
        <v>0</v>
      </c>
      <c r="AC88" s="912">
        <f t="shared" si="20"/>
        <v>0</v>
      </c>
    </row>
    <row r="89" spans="1:29" ht="104.25" customHeight="1">
      <c r="A89" s="1437" t="s">
        <v>555</v>
      </c>
      <c r="B89" s="973" t="s">
        <v>793</v>
      </c>
      <c r="C89" s="871">
        <f t="shared" si="14"/>
        <v>3402.9</v>
      </c>
      <c r="D89" s="972">
        <v>0</v>
      </c>
      <c r="E89" s="972">
        <v>3402.9</v>
      </c>
      <c r="F89" s="1442">
        <f>SUM(G89:H89)</f>
        <v>3402.9</v>
      </c>
      <c r="G89" s="879">
        <v>0</v>
      </c>
      <c r="H89" s="879">
        <v>3402.9</v>
      </c>
      <c r="I89" s="1442">
        <f t="shared" si="16"/>
        <v>0</v>
      </c>
      <c r="J89" s="1443">
        <v>0</v>
      </c>
      <c r="K89" s="1443">
        <v>0</v>
      </c>
      <c r="L89" s="876">
        <v>0</v>
      </c>
      <c r="M89" s="877">
        <f t="shared" ref="M89:N97" si="23">IF(J89=0,0,J89/G89*100)</f>
        <v>0</v>
      </c>
      <c r="N89" s="877">
        <f t="shared" si="23"/>
        <v>0</v>
      </c>
      <c r="O89" s="1214" t="s">
        <v>1192</v>
      </c>
      <c r="P89" s="1214" t="s">
        <v>1151</v>
      </c>
      <c r="Q89" s="1065">
        <f t="shared" si="21"/>
        <v>0</v>
      </c>
      <c r="R89" s="1065">
        <f t="shared" si="21"/>
        <v>0</v>
      </c>
      <c r="S89" s="1065">
        <f t="shared" si="21"/>
        <v>0</v>
      </c>
      <c r="T89" s="1099" t="s">
        <v>886</v>
      </c>
      <c r="U89" s="1100" t="s">
        <v>895</v>
      </c>
      <c r="V89" s="1099">
        <v>414</v>
      </c>
      <c r="W89" s="1099">
        <v>30131</v>
      </c>
      <c r="Z89" s="1311">
        <f t="shared" si="17"/>
        <v>0</v>
      </c>
      <c r="AA89" s="1374">
        <f t="shared" si="18"/>
        <v>0</v>
      </c>
      <c r="AB89" s="912">
        <f t="shared" si="19"/>
        <v>0</v>
      </c>
      <c r="AC89" s="912">
        <f t="shared" si="20"/>
        <v>0</v>
      </c>
    </row>
    <row r="90" spans="1:29" ht="65.25" customHeight="1">
      <c r="A90" s="1437" t="s">
        <v>556</v>
      </c>
      <c r="B90" s="973" t="s">
        <v>661</v>
      </c>
      <c r="C90" s="871">
        <f t="shared" si="14"/>
        <v>10224.4</v>
      </c>
      <c r="D90" s="972">
        <v>0</v>
      </c>
      <c r="E90" s="972">
        <v>10224.4</v>
      </c>
      <c r="F90" s="1442">
        <f t="shared" si="15"/>
        <v>10224.4</v>
      </c>
      <c r="G90" s="879">
        <v>0</v>
      </c>
      <c r="H90" s="879">
        <v>10224.4</v>
      </c>
      <c r="I90" s="1442">
        <f t="shared" si="16"/>
        <v>0</v>
      </c>
      <c r="J90" s="1443">
        <v>0</v>
      </c>
      <c r="K90" s="1443">
        <v>0</v>
      </c>
      <c r="L90" s="876">
        <v>0</v>
      </c>
      <c r="M90" s="877">
        <f t="shared" si="23"/>
        <v>0</v>
      </c>
      <c r="N90" s="877">
        <f t="shared" si="23"/>
        <v>0</v>
      </c>
      <c r="O90" s="1214" t="s">
        <v>1222</v>
      </c>
      <c r="P90" s="1214" t="s">
        <v>1152</v>
      </c>
      <c r="Q90" s="1065">
        <f t="shared" si="21"/>
        <v>0</v>
      </c>
      <c r="R90" s="1065">
        <f t="shared" si="21"/>
        <v>0</v>
      </c>
      <c r="S90" s="1065">
        <f t="shared" si="21"/>
        <v>0</v>
      </c>
      <c r="T90" s="1099" t="s">
        <v>886</v>
      </c>
      <c r="U90" s="1100" t="s">
        <v>887</v>
      </c>
      <c r="V90" s="1099">
        <v>414</v>
      </c>
      <c r="W90" s="1099">
        <v>14037</v>
      </c>
      <c r="Z90" s="1311">
        <f t="shared" si="17"/>
        <v>0</v>
      </c>
      <c r="AA90" s="1374">
        <f t="shared" si="18"/>
        <v>0</v>
      </c>
      <c r="AB90" s="912">
        <f t="shared" si="19"/>
        <v>0</v>
      </c>
      <c r="AC90" s="912">
        <f t="shared" si="20"/>
        <v>0</v>
      </c>
    </row>
    <row r="91" spans="1:29" ht="65.25" customHeight="1">
      <c r="A91" s="1437" t="s">
        <v>162</v>
      </c>
      <c r="B91" s="973" t="s">
        <v>662</v>
      </c>
      <c r="C91" s="871">
        <f t="shared" si="14"/>
        <v>2373</v>
      </c>
      <c r="D91" s="972">
        <v>0</v>
      </c>
      <c r="E91" s="972">
        <v>2373</v>
      </c>
      <c r="F91" s="1442">
        <f t="shared" si="15"/>
        <v>2373</v>
      </c>
      <c r="G91" s="879">
        <v>0</v>
      </c>
      <c r="H91" s="879">
        <v>2373</v>
      </c>
      <c r="I91" s="1442">
        <f t="shared" si="16"/>
        <v>0</v>
      </c>
      <c r="J91" s="1443">
        <v>0</v>
      </c>
      <c r="K91" s="1443">
        <v>0</v>
      </c>
      <c r="L91" s="876">
        <v>0</v>
      </c>
      <c r="M91" s="877">
        <f t="shared" si="23"/>
        <v>0</v>
      </c>
      <c r="N91" s="877">
        <f t="shared" si="23"/>
        <v>0</v>
      </c>
      <c r="O91" s="1214" t="s">
        <v>1224</v>
      </c>
      <c r="P91" s="1214" t="s">
        <v>1154</v>
      </c>
      <c r="Q91" s="1065">
        <f t="shared" si="21"/>
        <v>0</v>
      </c>
      <c r="R91" s="1065">
        <f t="shared" si="21"/>
        <v>0</v>
      </c>
      <c r="S91" s="1065">
        <f t="shared" si="21"/>
        <v>0</v>
      </c>
      <c r="T91" s="1099" t="s">
        <v>886</v>
      </c>
      <c r="U91" s="1100" t="s">
        <v>888</v>
      </c>
      <c r="V91" s="1099">
        <v>141</v>
      </c>
      <c r="W91" s="1099">
        <v>14038</v>
      </c>
      <c r="Z91" s="1311">
        <f t="shared" si="17"/>
        <v>0</v>
      </c>
      <c r="AA91" s="1374">
        <f t="shared" si="18"/>
        <v>0</v>
      </c>
      <c r="AB91" s="912">
        <f t="shared" si="19"/>
        <v>0</v>
      </c>
      <c r="AC91" s="912">
        <f t="shared" si="20"/>
        <v>0</v>
      </c>
    </row>
    <row r="92" spans="1:29" ht="103.5" customHeight="1">
      <c r="A92" s="1437" t="s">
        <v>545</v>
      </c>
      <c r="B92" s="973" t="s">
        <v>663</v>
      </c>
      <c r="C92" s="871">
        <f t="shared" si="14"/>
        <v>4074.6</v>
      </c>
      <c r="D92" s="972">
        <v>0</v>
      </c>
      <c r="E92" s="972">
        <v>4074.6</v>
      </c>
      <c r="F92" s="1442">
        <f t="shared" si="15"/>
        <v>4074.6</v>
      </c>
      <c r="G92" s="879">
        <v>0</v>
      </c>
      <c r="H92" s="879">
        <f>E92</f>
        <v>4074.6</v>
      </c>
      <c r="I92" s="1442">
        <f t="shared" si="16"/>
        <v>0</v>
      </c>
      <c r="J92" s="1443">
        <v>0</v>
      </c>
      <c r="K92" s="1443">
        <v>0</v>
      </c>
      <c r="L92" s="876">
        <v>0</v>
      </c>
      <c r="M92" s="877">
        <f t="shared" si="23"/>
        <v>0</v>
      </c>
      <c r="N92" s="877">
        <f t="shared" si="23"/>
        <v>0</v>
      </c>
      <c r="O92" s="1214" t="s">
        <v>1223</v>
      </c>
      <c r="P92" s="1214" t="s">
        <v>1153</v>
      </c>
      <c r="Q92" s="1065">
        <f t="shared" si="21"/>
        <v>0</v>
      </c>
      <c r="R92" s="1065">
        <f t="shared" si="21"/>
        <v>0</v>
      </c>
      <c r="S92" s="1065">
        <f t="shared" si="21"/>
        <v>0</v>
      </c>
      <c r="T92" s="1099" t="s">
        <v>886</v>
      </c>
      <c r="U92" s="1100" t="s">
        <v>888</v>
      </c>
      <c r="V92" s="1099">
        <v>414</v>
      </c>
      <c r="W92" s="1099">
        <v>14039</v>
      </c>
      <c r="Z92" s="1311">
        <f t="shared" si="17"/>
        <v>0</v>
      </c>
      <c r="AA92" s="1374">
        <f t="shared" si="18"/>
        <v>0</v>
      </c>
      <c r="AB92" s="912">
        <f t="shared" si="19"/>
        <v>0</v>
      </c>
      <c r="AC92" s="912">
        <f t="shared" si="20"/>
        <v>0</v>
      </c>
    </row>
    <row r="93" spans="1:29" ht="180" customHeight="1">
      <c r="A93" s="1437" t="s">
        <v>557</v>
      </c>
      <c r="B93" s="973" t="s">
        <v>805</v>
      </c>
      <c r="C93" s="871">
        <f t="shared" si="14"/>
        <v>3000</v>
      </c>
      <c r="D93" s="972">
        <v>0</v>
      </c>
      <c r="E93" s="972">
        <v>3000</v>
      </c>
      <c r="F93" s="1442">
        <f>SUM(G93:H93)</f>
        <v>3000</v>
      </c>
      <c r="G93" s="879">
        <v>0</v>
      </c>
      <c r="H93" s="879">
        <v>3000</v>
      </c>
      <c r="I93" s="1442">
        <f t="shared" si="16"/>
        <v>0</v>
      </c>
      <c r="J93" s="1443">
        <v>0</v>
      </c>
      <c r="K93" s="1443">
        <v>0</v>
      </c>
      <c r="L93" s="876">
        <v>0</v>
      </c>
      <c r="M93" s="877">
        <f t="shared" si="23"/>
        <v>0</v>
      </c>
      <c r="N93" s="877">
        <f t="shared" si="23"/>
        <v>0</v>
      </c>
      <c r="O93" s="1214" t="s">
        <v>1192</v>
      </c>
      <c r="P93" s="1214" t="s">
        <v>1155</v>
      </c>
      <c r="Q93" s="1065">
        <f t="shared" ref="Q93:S108" si="24">C93-F93</f>
        <v>0</v>
      </c>
      <c r="R93" s="1065">
        <f t="shared" si="24"/>
        <v>0</v>
      </c>
      <c r="S93" s="1065">
        <f t="shared" si="24"/>
        <v>0</v>
      </c>
      <c r="T93" s="1099" t="s">
        <v>866</v>
      </c>
      <c r="U93" s="1100" t="s">
        <v>883</v>
      </c>
      <c r="V93" s="1099">
        <v>414</v>
      </c>
      <c r="W93" s="1099">
        <v>14051</v>
      </c>
      <c r="Z93" s="1311">
        <f t="shared" si="17"/>
        <v>0</v>
      </c>
      <c r="AA93" s="1374">
        <f t="shared" si="18"/>
        <v>0</v>
      </c>
      <c r="AB93" s="912">
        <f t="shared" si="19"/>
        <v>0</v>
      </c>
      <c r="AC93" s="912">
        <f t="shared" si="20"/>
        <v>0</v>
      </c>
    </row>
    <row r="94" spans="1:29" ht="116.25">
      <c r="A94" s="1437" t="s">
        <v>558</v>
      </c>
      <c r="B94" s="973" t="s">
        <v>664</v>
      </c>
      <c r="C94" s="871">
        <f t="shared" si="14"/>
        <v>1519</v>
      </c>
      <c r="D94" s="972">
        <v>0</v>
      </c>
      <c r="E94" s="972">
        <v>1519</v>
      </c>
      <c r="F94" s="1442">
        <f t="shared" si="15"/>
        <v>1519</v>
      </c>
      <c r="G94" s="879">
        <v>0</v>
      </c>
      <c r="H94" s="879">
        <v>1519</v>
      </c>
      <c r="I94" s="1442">
        <f t="shared" si="16"/>
        <v>0</v>
      </c>
      <c r="J94" s="1443">
        <v>0</v>
      </c>
      <c r="K94" s="1443">
        <v>0</v>
      </c>
      <c r="L94" s="876">
        <v>0</v>
      </c>
      <c r="M94" s="877">
        <f t="shared" si="23"/>
        <v>0</v>
      </c>
      <c r="N94" s="877">
        <f t="shared" si="23"/>
        <v>0</v>
      </c>
      <c r="O94" s="1214" t="s">
        <v>1225</v>
      </c>
      <c r="P94" s="1214" t="s">
        <v>1156</v>
      </c>
      <c r="Q94" s="1065">
        <f t="shared" si="24"/>
        <v>0</v>
      </c>
      <c r="R94" s="1065">
        <f t="shared" si="24"/>
        <v>0</v>
      </c>
      <c r="S94" s="1065">
        <f t="shared" si="24"/>
        <v>0</v>
      </c>
      <c r="T94" s="1099" t="s">
        <v>886</v>
      </c>
      <c r="U94" s="1100" t="s">
        <v>892</v>
      </c>
      <c r="V94" s="1099">
        <v>414</v>
      </c>
      <c r="W94" s="1099">
        <v>14041</v>
      </c>
      <c r="Z94" s="1311">
        <f t="shared" si="17"/>
        <v>0</v>
      </c>
      <c r="AA94" s="1374">
        <f t="shared" si="18"/>
        <v>0</v>
      </c>
      <c r="AB94" s="912">
        <f t="shared" si="19"/>
        <v>0</v>
      </c>
      <c r="AC94" s="912">
        <f t="shared" si="20"/>
        <v>0</v>
      </c>
    </row>
    <row r="95" spans="1:29" ht="116.25">
      <c r="A95" s="1437" t="s">
        <v>559</v>
      </c>
      <c r="B95" s="973" t="s">
        <v>665</v>
      </c>
      <c r="C95" s="871">
        <f t="shared" si="14"/>
        <v>1519</v>
      </c>
      <c r="D95" s="972">
        <v>0</v>
      </c>
      <c r="E95" s="972">
        <v>1519</v>
      </c>
      <c r="F95" s="1442">
        <f t="shared" si="15"/>
        <v>1519</v>
      </c>
      <c r="G95" s="879">
        <v>0</v>
      </c>
      <c r="H95" s="879">
        <v>1519</v>
      </c>
      <c r="I95" s="1442">
        <f t="shared" si="16"/>
        <v>0</v>
      </c>
      <c r="J95" s="1443">
        <v>0</v>
      </c>
      <c r="K95" s="1443">
        <v>0</v>
      </c>
      <c r="L95" s="876">
        <v>0</v>
      </c>
      <c r="M95" s="877">
        <f t="shared" si="23"/>
        <v>0</v>
      </c>
      <c r="N95" s="877">
        <f t="shared" si="23"/>
        <v>0</v>
      </c>
      <c r="O95" s="1214" t="s">
        <v>1226</v>
      </c>
      <c r="P95" s="1214" t="s">
        <v>1156</v>
      </c>
      <c r="Q95" s="1065">
        <f t="shared" si="24"/>
        <v>0</v>
      </c>
      <c r="R95" s="1065">
        <f t="shared" si="24"/>
        <v>0</v>
      </c>
      <c r="S95" s="1065">
        <f t="shared" si="24"/>
        <v>0</v>
      </c>
      <c r="T95" s="1099" t="s">
        <v>886</v>
      </c>
      <c r="U95" s="1100" t="s">
        <v>892</v>
      </c>
      <c r="V95" s="1099">
        <v>414</v>
      </c>
      <c r="W95" s="1099">
        <v>14042</v>
      </c>
      <c r="Z95" s="1311">
        <f t="shared" si="17"/>
        <v>0</v>
      </c>
      <c r="AA95" s="1374">
        <f t="shared" si="18"/>
        <v>0</v>
      </c>
      <c r="AB95" s="912">
        <f t="shared" si="19"/>
        <v>0</v>
      </c>
      <c r="AC95" s="912">
        <f t="shared" si="20"/>
        <v>0</v>
      </c>
    </row>
    <row r="96" spans="1:29" ht="116.25">
      <c r="A96" s="1437" t="s">
        <v>560</v>
      </c>
      <c r="B96" s="973" t="s">
        <v>666</v>
      </c>
      <c r="C96" s="871">
        <f t="shared" si="14"/>
        <v>1400</v>
      </c>
      <c r="D96" s="972">
        <v>0</v>
      </c>
      <c r="E96" s="972">
        <v>1400</v>
      </c>
      <c r="F96" s="1442">
        <f t="shared" si="15"/>
        <v>1400</v>
      </c>
      <c r="G96" s="879">
        <v>0</v>
      </c>
      <c r="H96" s="879">
        <v>1400</v>
      </c>
      <c r="I96" s="1442">
        <f t="shared" si="16"/>
        <v>0</v>
      </c>
      <c r="J96" s="1443">
        <v>0</v>
      </c>
      <c r="K96" s="1443">
        <v>0</v>
      </c>
      <c r="L96" s="876">
        <v>0</v>
      </c>
      <c r="M96" s="877">
        <f t="shared" si="23"/>
        <v>0</v>
      </c>
      <c r="N96" s="877">
        <f t="shared" si="23"/>
        <v>0</v>
      </c>
      <c r="O96" s="1214" t="s">
        <v>1227</v>
      </c>
      <c r="P96" s="1214" t="s">
        <v>1157</v>
      </c>
      <c r="Q96" s="1065">
        <f t="shared" si="24"/>
        <v>0</v>
      </c>
      <c r="R96" s="1065">
        <f t="shared" si="24"/>
        <v>0</v>
      </c>
      <c r="S96" s="1065">
        <f t="shared" si="24"/>
        <v>0</v>
      </c>
      <c r="T96" s="1099" t="s">
        <v>886</v>
      </c>
      <c r="U96" s="1100" t="s">
        <v>892</v>
      </c>
      <c r="V96" s="1099">
        <v>414</v>
      </c>
      <c r="W96" s="1099">
        <v>14043</v>
      </c>
      <c r="Z96" s="1311">
        <f t="shared" si="17"/>
        <v>0</v>
      </c>
      <c r="AA96" s="1374">
        <f t="shared" si="18"/>
        <v>0</v>
      </c>
      <c r="AB96" s="912">
        <f t="shared" si="19"/>
        <v>0</v>
      </c>
      <c r="AC96" s="912">
        <f t="shared" si="20"/>
        <v>0</v>
      </c>
    </row>
    <row r="97" spans="1:29" ht="90.75" customHeight="1">
      <c r="A97" s="1437" t="s">
        <v>561</v>
      </c>
      <c r="B97" s="973" t="s">
        <v>1170</v>
      </c>
      <c r="C97" s="871">
        <f t="shared" si="14"/>
        <v>8293.2999999999993</v>
      </c>
      <c r="D97" s="972">
        <v>0</v>
      </c>
      <c r="E97" s="972">
        <v>8293.2999999999993</v>
      </c>
      <c r="F97" s="1442">
        <f t="shared" si="15"/>
        <v>8293.2999999999993</v>
      </c>
      <c r="G97" s="879">
        <v>0</v>
      </c>
      <c r="H97" s="879">
        <f>E97</f>
        <v>8293.2999999999993</v>
      </c>
      <c r="I97" s="1442">
        <f t="shared" si="16"/>
        <v>0</v>
      </c>
      <c r="J97" s="1443">
        <v>0</v>
      </c>
      <c r="K97" s="1443">
        <v>0</v>
      </c>
      <c r="L97" s="876">
        <v>0</v>
      </c>
      <c r="M97" s="877">
        <f t="shared" si="23"/>
        <v>0</v>
      </c>
      <c r="N97" s="877">
        <f t="shared" si="23"/>
        <v>0</v>
      </c>
      <c r="O97" s="1214" t="s">
        <v>1192</v>
      </c>
      <c r="P97" s="1214" t="s">
        <v>1158</v>
      </c>
      <c r="Q97" s="1065">
        <f t="shared" si="24"/>
        <v>0</v>
      </c>
      <c r="R97" s="1065">
        <f t="shared" si="24"/>
        <v>0</v>
      </c>
      <c r="S97" s="1065">
        <f t="shared" si="24"/>
        <v>0</v>
      </c>
      <c r="T97" s="1099" t="s">
        <v>886</v>
      </c>
      <c r="U97" s="1100" t="s">
        <v>893</v>
      </c>
      <c r="V97" s="1099">
        <v>414</v>
      </c>
      <c r="W97" s="1099">
        <v>14044</v>
      </c>
      <c r="Z97" s="1311">
        <f t="shared" si="17"/>
        <v>0</v>
      </c>
      <c r="AA97" s="1374">
        <f t="shared" si="18"/>
        <v>0</v>
      </c>
      <c r="AB97" s="912">
        <f t="shared" si="19"/>
        <v>0</v>
      </c>
      <c r="AC97" s="912">
        <f t="shared" si="20"/>
        <v>0</v>
      </c>
    </row>
    <row r="98" spans="1:29" ht="63" customHeight="1">
      <c r="A98" s="1437" t="s">
        <v>1352</v>
      </c>
      <c r="B98" s="1075" t="s">
        <v>771</v>
      </c>
      <c r="C98" s="871">
        <f t="shared" si="14"/>
        <v>319980.59999999998</v>
      </c>
      <c r="D98" s="972">
        <f>319980.6*0.90202494621</f>
        <v>288630.5</v>
      </c>
      <c r="E98" s="972">
        <f>319980.6*(1-0.90202494621)</f>
        <v>31350.1</v>
      </c>
      <c r="F98" s="1442">
        <f t="shared" si="15"/>
        <v>319980.59999999998</v>
      </c>
      <c r="G98" s="879">
        <f>319980.6*0.90202494621</f>
        <v>288630.5</v>
      </c>
      <c r="H98" s="879">
        <f>319980.6*(1-0.90202494621)</f>
        <v>31350.1</v>
      </c>
      <c r="I98" s="2450">
        <f t="shared" si="16"/>
        <v>0</v>
      </c>
      <c r="J98" s="2440">
        <v>0</v>
      </c>
      <c r="K98" s="2440">
        <v>0</v>
      </c>
      <c r="L98" s="2433">
        <f>IF(I98=0,0,I98/F98:F99*_G101100)</f>
        <v>0</v>
      </c>
      <c r="M98" s="2429">
        <f>IF(J98=0,0,J98/G98:G99*100)</f>
        <v>0</v>
      </c>
      <c r="N98" s="2429">
        <f>IF(K98=0,0,K98/H98:H99*100)</f>
        <v>0</v>
      </c>
      <c r="O98" s="1214" t="s">
        <v>1192</v>
      </c>
      <c r="P98" s="1213" t="s">
        <v>1159</v>
      </c>
      <c r="Q98" s="1065">
        <f t="shared" si="24"/>
        <v>0</v>
      </c>
      <c r="R98" s="1065">
        <f t="shared" si="24"/>
        <v>0</v>
      </c>
      <c r="S98" s="1065">
        <f t="shared" si="24"/>
        <v>0</v>
      </c>
      <c r="T98" s="2409" t="s">
        <v>926</v>
      </c>
      <c r="U98" s="2445" t="s">
        <v>927</v>
      </c>
      <c r="V98" s="2409">
        <v>414</v>
      </c>
      <c r="W98" s="2409"/>
      <c r="X98" s="2471"/>
      <c r="Z98" s="1311">
        <f t="shared" si="17"/>
        <v>0</v>
      </c>
      <c r="AA98" s="1374">
        <f t="shared" si="18"/>
        <v>0</v>
      </c>
      <c r="AB98" s="912">
        <f t="shared" si="19"/>
        <v>0</v>
      </c>
      <c r="AC98" s="912">
        <f t="shared" si="20"/>
        <v>0</v>
      </c>
    </row>
    <row r="99" spans="1:29" ht="121.5" customHeight="1">
      <c r="A99" s="1437" t="s">
        <v>1023</v>
      </c>
      <c r="B99" s="1075" t="s">
        <v>772</v>
      </c>
      <c r="C99" s="871">
        <f t="shared" si="14"/>
        <v>359978.2</v>
      </c>
      <c r="D99" s="972">
        <f>359978.2*0.90202494621</f>
        <v>324709.3</v>
      </c>
      <c r="E99" s="972">
        <f>359978.2*(1-0.90202494621)</f>
        <v>35268.9</v>
      </c>
      <c r="F99" s="1442">
        <f t="shared" si="15"/>
        <v>359978.2</v>
      </c>
      <c r="G99" s="879">
        <f>359978.2*0.90202494621</f>
        <v>324709.3</v>
      </c>
      <c r="H99" s="879">
        <f>359978.2*(1-0.90202494621)</f>
        <v>35268.9</v>
      </c>
      <c r="I99" s="2451"/>
      <c r="J99" s="2441"/>
      <c r="K99" s="2441"/>
      <c r="L99" s="2434"/>
      <c r="M99" s="2430"/>
      <c r="N99" s="2430"/>
      <c r="O99" s="1214" t="s">
        <v>1192</v>
      </c>
      <c r="P99" s="1213" t="s">
        <v>1160</v>
      </c>
      <c r="Q99" s="1065">
        <f t="shared" si="24"/>
        <v>0</v>
      </c>
      <c r="R99" s="1065">
        <f t="shared" si="24"/>
        <v>0</v>
      </c>
      <c r="S99" s="1065">
        <f t="shared" si="24"/>
        <v>0</v>
      </c>
      <c r="T99" s="2409"/>
      <c r="U99" s="2445"/>
      <c r="V99" s="2409"/>
      <c r="W99" s="2409"/>
      <c r="X99" s="2471"/>
      <c r="Z99" s="1311">
        <f t="shared" si="17"/>
        <v>0</v>
      </c>
      <c r="AA99" s="1374">
        <f t="shared" si="18"/>
        <v>0</v>
      </c>
      <c r="AB99" s="912">
        <f t="shared" si="19"/>
        <v>0</v>
      </c>
      <c r="AC99" s="912">
        <f t="shared" si="20"/>
        <v>0</v>
      </c>
    </row>
    <row r="100" spans="1:29" ht="66.75" customHeight="1">
      <c r="A100" s="1437" t="s">
        <v>563</v>
      </c>
      <c r="B100" s="1436" t="s">
        <v>460</v>
      </c>
      <c r="C100" s="871">
        <f t="shared" si="14"/>
        <v>65926.600000000006</v>
      </c>
      <c r="D100" s="972">
        <f>20123.6+12300.3</f>
        <v>32423.9</v>
      </c>
      <c r="E100" s="972">
        <f>21202.4+12300.3</f>
        <v>33502.699999999997</v>
      </c>
      <c r="F100" s="1442">
        <f t="shared" si="15"/>
        <v>53626.3</v>
      </c>
      <c r="G100" s="879">
        <f>32423.9-12300.3</f>
        <v>20123.599999999999</v>
      </c>
      <c r="H100" s="879">
        <f>E100</f>
        <v>33502.699999999997</v>
      </c>
      <c r="I100" s="1442">
        <f t="shared" si="16"/>
        <v>16006.9</v>
      </c>
      <c r="J100" s="1443">
        <v>6006.7</v>
      </c>
      <c r="K100" s="1443">
        <v>10000.200000000001</v>
      </c>
      <c r="L100" s="876">
        <f t="shared" ref="L100:N115" si="25">IF(I100=0,0,I100/F100*100)</f>
        <v>29.8</v>
      </c>
      <c r="M100" s="877">
        <f t="shared" si="25"/>
        <v>29.8</v>
      </c>
      <c r="N100" s="877">
        <f t="shared" si="25"/>
        <v>29.8</v>
      </c>
      <c r="O100" s="1214" t="s">
        <v>1228</v>
      </c>
      <c r="P100" s="1214" t="s">
        <v>1161</v>
      </c>
      <c r="Q100" s="1065">
        <f t="shared" si="24"/>
        <v>12300.3</v>
      </c>
      <c r="R100" s="1065">
        <f t="shared" si="24"/>
        <v>12300.3</v>
      </c>
      <c r="S100" s="1065">
        <f t="shared" si="24"/>
        <v>0</v>
      </c>
      <c r="T100" s="1099" t="s">
        <v>954</v>
      </c>
      <c r="V100" s="1099" t="s">
        <v>959</v>
      </c>
      <c r="W100" s="1099" t="s">
        <v>960</v>
      </c>
      <c r="Z100" s="1311">
        <f t="shared" si="17"/>
        <v>12300.3</v>
      </c>
      <c r="AA100" s="1374">
        <f t="shared" si="18"/>
        <v>12300.3</v>
      </c>
      <c r="AB100" s="912">
        <f t="shared" si="19"/>
        <v>12300.3</v>
      </c>
      <c r="AC100" s="912">
        <f t="shared" si="20"/>
        <v>0</v>
      </c>
    </row>
    <row r="101" spans="1:29" ht="80.25" customHeight="1">
      <c r="A101" s="2404" t="s">
        <v>573</v>
      </c>
      <c r="B101" s="975" t="s">
        <v>645</v>
      </c>
      <c r="C101" s="871">
        <f t="shared" si="14"/>
        <v>1929.7</v>
      </c>
      <c r="D101" s="1249">
        <v>0</v>
      </c>
      <c r="E101" s="1249">
        <v>1929.7</v>
      </c>
      <c r="F101" s="1442">
        <f t="shared" si="15"/>
        <v>1929.7</v>
      </c>
      <c r="G101" s="1439">
        <v>0</v>
      </c>
      <c r="H101" s="1439">
        <v>1929.7</v>
      </c>
      <c r="I101" s="1442">
        <f t="shared" si="16"/>
        <v>1929.7</v>
      </c>
      <c r="J101" s="1439">
        <v>0</v>
      </c>
      <c r="K101" s="1439">
        <v>1929.7</v>
      </c>
      <c r="L101" s="876">
        <f t="shared" si="25"/>
        <v>100</v>
      </c>
      <c r="M101" s="877">
        <f t="shared" si="25"/>
        <v>0</v>
      </c>
      <c r="N101" s="877">
        <f t="shared" si="25"/>
        <v>100</v>
      </c>
      <c r="O101" s="1214" t="s">
        <v>1229</v>
      </c>
      <c r="P101" s="1214" t="s">
        <v>1162</v>
      </c>
      <c r="Q101" s="1065">
        <f t="shared" si="24"/>
        <v>0</v>
      </c>
      <c r="R101" s="1065">
        <f t="shared" si="24"/>
        <v>0</v>
      </c>
      <c r="S101" s="1065">
        <f t="shared" si="24"/>
        <v>0</v>
      </c>
      <c r="T101" s="1099" t="s">
        <v>867</v>
      </c>
      <c r="U101" s="1100">
        <v>1550190400</v>
      </c>
      <c r="V101" s="1099">
        <v>414</v>
      </c>
      <c r="W101" s="1099">
        <v>14024</v>
      </c>
      <c r="Z101" s="1311">
        <f t="shared" si="17"/>
        <v>0</v>
      </c>
      <c r="AA101" s="1374">
        <f t="shared" si="18"/>
        <v>0</v>
      </c>
      <c r="AB101" s="912">
        <f t="shared" si="19"/>
        <v>0</v>
      </c>
      <c r="AC101" s="912">
        <f t="shared" si="20"/>
        <v>0</v>
      </c>
    </row>
    <row r="102" spans="1:29" ht="78.75">
      <c r="A102" s="2405"/>
      <c r="B102" s="975" t="s">
        <v>707</v>
      </c>
      <c r="C102" s="871">
        <f t="shared" si="14"/>
        <v>30000</v>
      </c>
      <c r="D102" s="1249">
        <v>0</v>
      </c>
      <c r="E102" s="1249">
        <v>30000</v>
      </c>
      <c r="F102" s="1442">
        <f t="shared" si="15"/>
        <v>30000</v>
      </c>
      <c r="G102" s="1439">
        <v>0</v>
      </c>
      <c r="H102" s="1439">
        <v>30000</v>
      </c>
      <c r="I102" s="1442">
        <f t="shared" si="16"/>
        <v>0</v>
      </c>
      <c r="J102" s="1439">
        <v>0</v>
      </c>
      <c r="K102" s="1439">
        <v>0</v>
      </c>
      <c r="L102" s="876">
        <f t="shared" si="25"/>
        <v>0</v>
      </c>
      <c r="M102" s="877">
        <f t="shared" si="25"/>
        <v>0</v>
      </c>
      <c r="N102" s="877">
        <f t="shared" si="25"/>
        <v>0</v>
      </c>
      <c r="O102" s="1214" t="s">
        <v>1192</v>
      </c>
      <c r="P102" s="1214" t="s">
        <v>1163</v>
      </c>
      <c r="Q102" s="1065">
        <f t="shared" si="24"/>
        <v>0</v>
      </c>
      <c r="R102" s="1065">
        <f t="shared" si="24"/>
        <v>0</v>
      </c>
      <c r="S102" s="1065">
        <f t="shared" si="24"/>
        <v>0</v>
      </c>
      <c r="T102" s="1099" t="s">
        <v>868</v>
      </c>
      <c r="U102" s="1100">
        <v>1550190400</v>
      </c>
      <c r="V102" s="1099">
        <v>414</v>
      </c>
      <c r="W102" s="1099">
        <v>10120</v>
      </c>
      <c r="Z102" s="1311">
        <f t="shared" si="17"/>
        <v>0</v>
      </c>
      <c r="AA102" s="1374">
        <f t="shared" si="18"/>
        <v>0</v>
      </c>
      <c r="AB102" s="912">
        <f t="shared" si="19"/>
        <v>0</v>
      </c>
      <c r="AC102" s="912">
        <f t="shared" si="20"/>
        <v>0</v>
      </c>
    </row>
    <row r="103" spans="1:29" s="838" customFormat="1" ht="107.25" customHeight="1">
      <c r="A103" s="1437" t="s">
        <v>624</v>
      </c>
      <c r="B103" s="976" t="s">
        <v>839</v>
      </c>
      <c r="C103" s="871">
        <f t="shared" si="14"/>
        <v>2714.8</v>
      </c>
      <c r="D103" s="972">
        <v>0</v>
      </c>
      <c r="E103" s="972">
        <v>2714.8</v>
      </c>
      <c r="F103" s="1442">
        <f t="shared" si="15"/>
        <v>2714.8</v>
      </c>
      <c r="G103" s="879">
        <v>0</v>
      </c>
      <c r="H103" s="879">
        <v>2714.8</v>
      </c>
      <c r="I103" s="1442">
        <f t="shared" si="16"/>
        <v>0</v>
      </c>
      <c r="J103" s="1443">
        <v>0</v>
      </c>
      <c r="K103" s="970">
        <v>0</v>
      </c>
      <c r="L103" s="876">
        <f t="shared" si="25"/>
        <v>0</v>
      </c>
      <c r="M103" s="877">
        <f t="shared" si="25"/>
        <v>0</v>
      </c>
      <c r="N103" s="877">
        <f t="shared" si="25"/>
        <v>0</v>
      </c>
      <c r="O103" s="1214" t="s">
        <v>1230</v>
      </c>
      <c r="P103" s="1214" t="s">
        <v>1164</v>
      </c>
      <c r="Q103" s="1065">
        <f t="shared" si="24"/>
        <v>0</v>
      </c>
      <c r="R103" s="1065">
        <f t="shared" si="24"/>
        <v>0</v>
      </c>
      <c r="S103" s="1065">
        <f t="shared" si="24"/>
        <v>0</v>
      </c>
      <c r="T103" s="1121" t="s">
        <v>886</v>
      </c>
      <c r="U103" s="1122" t="s">
        <v>894</v>
      </c>
      <c r="V103" s="1121">
        <v>414</v>
      </c>
      <c r="W103" s="1121">
        <v>14031</v>
      </c>
      <c r="X103" s="1219"/>
      <c r="Z103" s="1311">
        <f t="shared" si="17"/>
        <v>0</v>
      </c>
      <c r="AA103" s="1374">
        <f t="shared" si="18"/>
        <v>0</v>
      </c>
      <c r="AB103" s="912">
        <f t="shared" si="19"/>
        <v>0</v>
      </c>
      <c r="AC103" s="912">
        <f t="shared" si="20"/>
        <v>0</v>
      </c>
    </row>
    <row r="104" spans="1:29" ht="75" customHeight="1">
      <c r="A104" s="1437" t="s">
        <v>625</v>
      </c>
      <c r="B104" s="976" t="s">
        <v>1344</v>
      </c>
      <c r="C104" s="871">
        <f t="shared" si="14"/>
        <v>2100</v>
      </c>
      <c r="D104" s="972">
        <v>0</v>
      </c>
      <c r="E104" s="972">
        <v>2100</v>
      </c>
      <c r="F104" s="1442">
        <f t="shared" si="15"/>
        <v>2100</v>
      </c>
      <c r="G104" s="879">
        <v>0</v>
      </c>
      <c r="H104" s="879">
        <v>2100</v>
      </c>
      <c r="I104" s="1442">
        <f t="shared" si="16"/>
        <v>0</v>
      </c>
      <c r="J104" s="1443">
        <v>0</v>
      </c>
      <c r="K104" s="970">
        <v>0</v>
      </c>
      <c r="L104" s="876">
        <f t="shared" si="25"/>
        <v>0</v>
      </c>
      <c r="M104" s="877">
        <f t="shared" si="25"/>
        <v>0</v>
      </c>
      <c r="N104" s="877">
        <f t="shared" si="25"/>
        <v>0</v>
      </c>
      <c r="O104" s="1214" t="s">
        <v>1231</v>
      </c>
      <c r="P104" s="1214" t="s">
        <v>1165</v>
      </c>
      <c r="Q104" s="1065">
        <f t="shared" si="24"/>
        <v>0</v>
      </c>
      <c r="R104" s="1065">
        <f t="shared" si="24"/>
        <v>0</v>
      </c>
      <c r="S104" s="1065">
        <f t="shared" si="24"/>
        <v>0</v>
      </c>
      <c r="T104" s="1099" t="s">
        <v>886</v>
      </c>
      <c r="U104" s="1100">
        <v>1900290400</v>
      </c>
      <c r="V104" s="1099">
        <v>414</v>
      </c>
      <c r="W104" s="1099">
        <v>14020</v>
      </c>
      <c r="Z104" s="1311">
        <f t="shared" si="17"/>
        <v>0</v>
      </c>
      <c r="AA104" s="1374">
        <f t="shared" si="18"/>
        <v>0</v>
      </c>
      <c r="AB104" s="912">
        <f t="shared" si="19"/>
        <v>0</v>
      </c>
      <c r="AC104" s="912">
        <f t="shared" si="20"/>
        <v>0</v>
      </c>
    </row>
    <row r="105" spans="1:29" ht="66.75" customHeight="1">
      <c r="A105" s="1437" t="s">
        <v>626</v>
      </c>
      <c r="B105" s="900" t="s">
        <v>641</v>
      </c>
      <c r="C105" s="871">
        <f t="shared" si="14"/>
        <v>8850</v>
      </c>
      <c r="D105" s="972">
        <v>0</v>
      </c>
      <c r="E105" s="972">
        <v>8850</v>
      </c>
      <c r="F105" s="1442">
        <f t="shared" si="15"/>
        <v>8850</v>
      </c>
      <c r="G105" s="879">
        <v>0</v>
      </c>
      <c r="H105" s="879">
        <v>8850</v>
      </c>
      <c r="I105" s="1442">
        <f t="shared" si="16"/>
        <v>0</v>
      </c>
      <c r="J105" s="1443">
        <v>0</v>
      </c>
      <c r="K105" s="1443">
        <v>0</v>
      </c>
      <c r="L105" s="876">
        <f t="shared" si="25"/>
        <v>0</v>
      </c>
      <c r="M105" s="877">
        <f t="shared" si="25"/>
        <v>0</v>
      </c>
      <c r="N105" s="877">
        <f t="shared" si="25"/>
        <v>0</v>
      </c>
      <c r="O105" s="1430" t="s">
        <v>1232</v>
      </c>
      <c r="P105" s="1430" t="s">
        <v>1166</v>
      </c>
      <c r="Q105" s="1065">
        <f t="shared" si="24"/>
        <v>0</v>
      </c>
      <c r="R105" s="1065">
        <f t="shared" si="24"/>
        <v>0</v>
      </c>
      <c r="S105" s="1065">
        <f t="shared" si="24"/>
        <v>0</v>
      </c>
      <c r="T105" s="1099" t="s">
        <v>947</v>
      </c>
      <c r="U105" s="1100" t="s">
        <v>948</v>
      </c>
      <c r="V105" s="1099">
        <v>414</v>
      </c>
      <c r="W105" s="1099">
        <v>14016</v>
      </c>
      <c r="Z105" s="1311">
        <f t="shared" si="17"/>
        <v>0</v>
      </c>
      <c r="AA105" s="1374">
        <f t="shared" si="18"/>
        <v>0</v>
      </c>
      <c r="AB105" s="912">
        <f t="shared" si="19"/>
        <v>0</v>
      </c>
      <c r="AC105" s="912">
        <f t="shared" si="20"/>
        <v>0</v>
      </c>
    </row>
    <row r="106" spans="1:29" ht="79.5" customHeight="1">
      <c r="A106" s="1437" t="s">
        <v>627</v>
      </c>
      <c r="B106" s="976" t="s">
        <v>647</v>
      </c>
      <c r="C106" s="871">
        <f t="shared" si="14"/>
        <v>39000</v>
      </c>
      <c r="D106" s="972">
        <v>0</v>
      </c>
      <c r="E106" s="972">
        <v>39000</v>
      </c>
      <c r="F106" s="1442">
        <f t="shared" si="15"/>
        <v>39000</v>
      </c>
      <c r="G106" s="879">
        <v>0</v>
      </c>
      <c r="H106" s="879">
        <v>39000</v>
      </c>
      <c r="I106" s="1442">
        <f t="shared" si="16"/>
        <v>21450</v>
      </c>
      <c r="J106" s="1443">
        <v>0</v>
      </c>
      <c r="K106" s="970">
        <v>21450</v>
      </c>
      <c r="L106" s="876">
        <f t="shared" si="25"/>
        <v>55</v>
      </c>
      <c r="M106" s="877">
        <f t="shared" si="25"/>
        <v>0</v>
      </c>
      <c r="N106" s="877">
        <f t="shared" si="25"/>
        <v>55</v>
      </c>
      <c r="O106" s="1214" t="s">
        <v>1233</v>
      </c>
      <c r="P106" s="1214" t="s">
        <v>1167</v>
      </c>
      <c r="Q106" s="1065">
        <f t="shared" si="24"/>
        <v>0</v>
      </c>
      <c r="R106" s="1065">
        <f t="shared" si="24"/>
        <v>0</v>
      </c>
      <c r="S106" s="1065">
        <f t="shared" si="24"/>
        <v>0</v>
      </c>
      <c r="T106" s="1099" t="s">
        <v>936</v>
      </c>
      <c r="U106" s="1100" t="s">
        <v>944</v>
      </c>
      <c r="V106" s="1099">
        <v>414</v>
      </c>
      <c r="W106" s="1099">
        <v>14050</v>
      </c>
      <c r="Z106" s="1311">
        <f t="shared" si="17"/>
        <v>0</v>
      </c>
      <c r="AA106" s="1374">
        <f t="shared" si="18"/>
        <v>0</v>
      </c>
      <c r="AB106" s="912">
        <f t="shared" si="19"/>
        <v>0</v>
      </c>
      <c r="AC106" s="912">
        <f t="shared" si="20"/>
        <v>0</v>
      </c>
    </row>
    <row r="107" spans="1:29">
      <c r="A107" s="1425"/>
      <c r="B107" s="976"/>
      <c r="C107" s="871"/>
      <c r="D107" s="972"/>
      <c r="E107" s="972"/>
      <c r="F107" s="1442"/>
      <c r="G107" s="879"/>
      <c r="H107" s="879"/>
      <c r="I107" s="1442"/>
      <c r="J107" s="1443"/>
      <c r="K107" s="970"/>
      <c r="L107" s="876"/>
      <c r="M107" s="877"/>
      <c r="N107" s="877"/>
      <c r="O107" s="1214"/>
      <c r="P107" s="1214"/>
      <c r="Q107" s="1065"/>
      <c r="R107" s="1065"/>
      <c r="S107" s="1065"/>
      <c r="Z107" s="1311"/>
      <c r="AA107" s="1374"/>
      <c r="AB107" s="912">
        <f t="shared" si="19"/>
        <v>0</v>
      </c>
      <c r="AC107" s="912">
        <f t="shared" si="20"/>
        <v>0</v>
      </c>
    </row>
    <row r="108" spans="1:29" ht="93">
      <c r="A108" s="1437" t="s">
        <v>628</v>
      </c>
      <c r="B108" s="900" t="s">
        <v>637</v>
      </c>
      <c r="C108" s="871">
        <f t="shared" si="14"/>
        <v>4496.8</v>
      </c>
      <c r="D108" s="972">
        <v>0</v>
      </c>
      <c r="E108" s="972">
        <v>4496.8</v>
      </c>
      <c r="F108" s="1442">
        <f t="shared" si="15"/>
        <v>4496.8</v>
      </c>
      <c r="G108" s="879">
        <v>0</v>
      </c>
      <c r="H108" s="879">
        <v>4496.8</v>
      </c>
      <c r="I108" s="1442">
        <f t="shared" si="16"/>
        <v>0</v>
      </c>
      <c r="J108" s="1443">
        <v>0</v>
      </c>
      <c r="K108" s="1443">
        <v>0</v>
      </c>
      <c r="L108" s="876">
        <f t="shared" si="25"/>
        <v>0</v>
      </c>
      <c r="M108" s="877">
        <f t="shared" si="25"/>
        <v>0</v>
      </c>
      <c r="N108" s="877">
        <f t="shared" si="25"/>
        <v>0</v>
      </c>
      <c r="O108" s="1214" t="s">
        <v>1234</v>
      </c>
      <c r="P108" s="1214" t="s">
        <v>1194</v>
      </c>
      <c r="Q108" s="1065">
        <f t="shared" si="24"/>
        <v>0</v>
      </c>
      <c r="R108" s="1065">
        <f t="shared" si="24"/>
        <v>0</v>
      </c>
      <c r="S108" s="1065">
        <f t="shared" si="24"/>
        <v>0</v>
      </c>
      <c r="T108" s="1099" t="s">
        <v>949</v>
      </c>
      <c r="U108" s="1100" t="s">
        <v>951</v>
      </c>
      <c r="V108" s="1099">
        <v>414</v>
      </c>
      <c r="W108" s="1099">
        <v>14057</v>
      </c>
      <c r="Z108" s="1311">
        <f t="shared" si="17"/>
        <v>0</v>
      </c>
      <c r="AA108" s="1374">
        <f t="shared" si="18"/>
        <v>0</v>
      </c>
      <c r="AB108" s="912">
        <f t="shared" si="19"/>
        <v>0</v>
      </c>
      <c r="AC108" s="912">
        <f t="shared" si="20"/>
        <v>0</v>
      </c>
    </row>
    <row r="109" spans="1:29" ht="63" customHeight="1">
      <c r="A109" s="1437" t="s">
        <v>629</v>
      </c>
      <c r="B109" s="901" t="s">
        <v>639</v>
      </c>
      <c r="C109" s="871">
        <f t="shared" si="14"/>
        <v>1946</v>
      </c>
      <c r="D109" s="972">
        <v>0</v>
      </c>
      <c r="E109" s="972">
        <v>1946</v>
      </c>
      <c r="F109" s="1442">
        <f t="shared" si="15"/>
        <v>1946</v>
      </c>
      <c r="G109" s="879">
        <v>0</v>
      </c>
      <c r="H109" s="879">
        <v>1946</v>
      </c>
      <c r="I109" s="1442">
        <f t="shared" si="16"/>
        <v>695</v>
      </c>
      <c r="J109" s="1443">
        <v>0</v>
      </c>
      <c r="K109" s="1443">
        <v>695</v>
      </c>
      <c r="L109" s="876">
        <f t="shared" si="25"/>
        <v>35.700000000000003</v>
      </c>
      <c r="M109" s="877">
        <f t="shared" si="25"/>
        <v>0</v>
      </c>
      <c r="N109" s="877">
        <f t="shared" si="25"/>
        <v>35.700000000000003</v>
      </c>
      <c r="O109" s="1214" t="s">
        <v>1235</v>
      </c>
      <c r="P109" s="1214" t="s">
        <v>1195</v>
      </c>
      <c r="Q109" s="1065">
        <f t="shared" ref="Q109:S122" si="26">C109-F109</f>
        <v>0</v>
      </c>
      <c r="R109" s="1065">
        <f t="shared" si="26"/>
        <v>0</v>
      </c>
      <c r="S109" s="1065">
        <f t="shared" si="26"/>
        <v>0</v>
      </c>
      <c r="T109" s="1099" t="s">
        <v>954</v>
      </c>
      <c r="U109" s="1100" t="s">
        <v>956</v>
      </c>
      <c r="V109" s="1099">
        <v>414</v>
      </c>
      <c r="W109" s="1099">
        <v>14015</v>
      </c>
      <c r="Z109" s="1311">
        <f t="shared" si="17"/>
        <v>0</v>
      </c>
      <c r="AA109" s="1374">
        <f t="shared" si="18"/>
        <v>0</v>
      </c>
      <c r="AB109" s="912">
        <f t="shared" si="19"/>
        <v>0</v>
      </c>
      <c r="AC109" s="912">
        <f t="shared" si="20"/>
        <v>0</v>
      </c>
    </row>
    <row r="110" spans="1:29" s="1216" customFormat="1" ht="63" customHeight="1">
      <c r="A110" s="1437" t="s">
        <v>630</v>
      </c>
      <c r="B110" s="900" t="s">
        <v>643</v>
      </c>
      <c r="C110" s="871">
        <f t="shared" si="14"/>
        <v>2752.8</v>
      </c>
      <c r="D110" s="972">
        <v>0</v>
      </c>
      <c r="E110" s="972">
        <v>2752.8</v>
      </c>
      <c r="F110" s="1442">
        <f t="shared" si="15"/>
        <v>2752.8</v>
      </c>
      <c r="G110" s="879">
        <v>0</v>
      </c>
      <c r="H110" s="879">
        <v>2752.8</v>
      </c>
      <c r="I110" s="1442">
        <f t="shared" si="16"/>
        <v>983.1</v>
      </c>
      <c r="J110" s="1443">
        <v>0</v>
      </c>
      <c r="K110" s="1443">
        <v>983.1</v>
      </c>
      <c r="L110" s="876">
        <f t="shared" si="25"/>
        <v>35.700000000000003</v>
      </c>
      <c r="M110" s="877">
        <f t="shared" si="25"/>
        <v>0</v>
      </c>
      <c r="N110" s="877">
        <f t="shared" si="25"/>
        <v>35.700000000000003</v>
      </c>
      <c r="O110" s="1214" t="s">
        <v>1236</v>
      </c>
      <c r="P110" s="1214" t="s">
        <v>1196</v>
      </c>
      <c r="Q110" s="1065">
        <f t="shared" si="26"/>
        <v>0</v>
      </c>
      <c r="R110" s="1065">
        <f t="shared" si="26"/>
        <v>0</v>
      </c>
      <c r="S110" s="1065">
        <f t="shared" si="26"/>
        <v>0</v>
      </c>
      <c r="T110" s="1099" t="s">
        <v>954</v>
      </c>
      <c r="U110" s="1100" t="s">
        <v>956</v>
      </c>
      <c r="V110" s="1099">
        <v>141</v>
      </c>
      <c r="W110" s="1099">
        <v>14018</v>
      </c>
      <c r="Z110" s="1311">
        <f t="shared" si="17"/>
        <v>0</v>
      </c>
      <c r="AA110" s="1374">
        <f t="shared" si="18"/>
        <v>0</v>
      </c>
      <c r="AB110" s="912">
        <f t="shared" si="19"/>
        <v>0</v>
      </c>
      <c r="AC110" s="912">
        <f t="shared" si="20"/>
        <v>0</v>
      </c>
    </row>
    <row r="111" spans="1:29" s="1216" customFormat="1" ht="69.75" customHeight="1">
      <c r="A111" s="1437" t="s">
        <v>732</v>
      </c>
      <c r="B111" s="900" t="s">
        <v>801</v>
      </c>
      <c r="C111" s="871">
        <f t="shared" si="14"/>
        <v>10292.6</v>
      </c>
      <c r="D111" s="972">
        <v>0</v>
      </c>
      <c r="E111" s="972">
        <v>10292.6</v>
      </c>
      <c r="F111" s="1442">
        <f t="shared" si="15"/>
        <v>10292.6</v>
      </c>
      <c r="G111" s="879">
        <v>0</v>
      </c>
      <c r="H111" s="879">
        <v>10292.6</v>
      </c>
      <c r="I111" s="1442">
        <f t="shared" si="16"/>
        <v>0</v>
      </c>
      <c r="J111" s="1443">
        <v>0</v>
      </c>
      <c r="K111" s="1443">
        <v>0</v>
      </c>
      <c r="L111" s="876">
        <f t="shared" si="25"/>
        <v>0</v>
      </c>
      <c r="M111" s="877">
        <f t="shared" si="25"/>
        <v>0</v>
      </c>
      <c r="N111" s="877">
        <f t="shared" si="25"/>
        <v>0</v>
      </c>
      <c r="O111" s="1214" t="s">
        <v>1192</v>
      </c>
      <c r="P111" s="1214" t="s">
        <v>1197</v>
      </c>
      <c r="Q111" s="1065">
        <f t="shared" si="26"/>
        <v>0</v>
      </c>
      <c r="R111" s="1065">
        <f t="shared" si="26"/>
        <v>0</v>
      </c>
      <c r="S111" s="1065">
        <f t="shared" si="26"/>
        <v>0</v>
      </c>
      <c r="T111" s="1099" t="s">
        <v>954</v>
      </c>
      <c r="U111" s="1100" t="s">
        <v>955</v>
      </c>
      <c r="V111" s="1099">
        <v>414</v>
      </c>
      <c r="W111" s="1099">
        <v>14004</v>
      </c>
      <c r="Z111" s="1311">
        <f t="shared" si="17"/>
        <v>0</v>
      </c>
      <c r="AA111" s="1374">
        <f t="shared" si="18"/>
        <v>0</v>
      </c>
      <c r="AB111" s="912">
        <f t="shared" si="19"/>
        <v>0</v>
      </c>
      <c r="AC111" s="912">
        <f t="shared" si="20"/>
        <v>0</v>
      </c>
    </row>
    <row r="112" spans="1:29" s="1216" customFormat="1">
      <c r="A112" s="1425"/>
      <c r="B112" s="900"/>
      <c r="C112" s="871"/>
      <c r="D112" s="972"/>
      <c r="E112" s="972"/>
      <c r="F112" s="1442"/>
      <c r="G112" s="879"/>
      <c r="H112" s="879"/>
      <c r="I112" s="1442"/>
      <c r="J112" s="1443"/>
      <c r="K112" s="1443"/>
      <c r="L112" s="876"/>
      <c r="M112" s="877"/>
      <c r="N112" s="877"/>
      <c r="O112" s="1214"/>
      <c r="P112" s="1214"/>
      <c r="Q112" s="1065"/>
      <c r="R112" s="1065"/>
      <c r="S112" s="1065"/>
      <c r="T112" s="1099"/>
      <c r="U112" s="1100"/>
      <c r="V112" s="1099"/>
      <c r="W112" s="1099"/>
      <c r="Z112" s="1311"/>
      <c r="AA112" s="1374"/>
      <c r="AB112" s="912">
        <f t="shared" si="19"/>
        <v>0</v>
      </c>
      <c r="AC112" s="912">
        <f t="shared" si="20"/>
        <v>0</v>
      </c>
    </row>
    <row r="113" spans="1:29" s="1216" customFormat="1" ht="52.5">
      <c r="A113" s="1437" t="s">
        <v>733</v>
      </c>
      <c r="B113" s="900" t="s">
        <v>812</v>
      </c>
      <c r="C113" s="871">
        <f t="shared" si="14"/>
        <v>1350</v>
      </c>
      <c r="D113" s="972">
        <v>0</v>
      </c>
      <c r="E113" s="972">
        <v>1350</v>
      </c>
      <c r="F113" s="1442">
        <f t="shared" si="15"/>
        <v>1350</v>
      </c>
      <c r="G113" s="879">
        <v>0</v>
      </c>
      <c r="H113" s="879">
        <v>1350</v>
      </c>
      <c r="I113" s="1442">
        <f t="shared" si="16"/>
        <v>1125</v>
      </c>
      <c r="J113" s="1443">
        <v>0</v>
      </c>
      <c r="K113" s="1443">
        <v>1125</v>
      </c>
      <c r="L113" s="876">
        <f t="shared" si="25"/>
        <v>83.3</v>
      </c>
      <c r="M113" s="877">
        <f t="shared" si="25"/>
        <v>0</v>
      </c>
      <c r="N113" s="877">
        <f t="shared" si="25"/>
        <v>83.3</v>
      </c>
      <c r="O113" s="1214" t="s">
        <v>1192</v>
      </c>
      <c r="P113" s="1214" t="s">
        <v>1199</v>
      </c>
      <c r="Q113" s="1065">
        <f t="shared" si="26"/>
        <v>0</v>
      </c>
      <c r="R113" s="1065">
        <f t="shared" si="26"/>
        <v>0</v>
      </c>
      <c r="S113" s="1065">
        <f t="shared" si="26"/>
        <v>0</v>
      </c>
      <c r="T113" s="1099" t="s">
        <v>954</v>
      </c>
      <c r="U113" s="1100" t="s">
        <v>956</v>
      </c>
      <c r="V113" s="1099">
        <v>414</v>
      </c>
      <c r="W113" s="1099">
        <v>14074</v>
      </c>
      <c r="Z113" s="1311">
        <f t="shared" si="17"/>
        <v>0</v>
      </c>
      <c r="AA113" s="1374">
        <f t="shared" si="18"/>
        <v>0</v>
      </c>
      <c r="AB113" s="912">
        <f t="shared" si="19"/>
        <v>0</v>
      </c>
      <c r="AC113" s="912">
        <f t="shared" si="20"/>
        <v>0</v>
      </c>
    </row>
    <row r="114" spans="1:29" s="1216" customFormat="1" ht="90.75" customHeight="1">
      <c r="A114" s="1437" t="s">
        <v>781</v>
      </c>
      <c r="B114" s="1125" t="s">
        <v>795</v>
      </c>
      <c r="C114" s="871">
        <f t="shared" si="14"/>
        <v>1230</v>
      </c>
      <c r="D114" s="1249">
        <v>0</v>
      </c>
      <c r="E114" s="1249">
        <v>1230</v>
      </c>
      <c r="F114" s="1442">
        <f t="shared" si="15"/>
        <v>1230</v>
      </c>
      <c r="G114" s="1439">
        <v>0</v>
      </c>
      <c r="H114" s="1439">
        <v>1230</v>
      </c>
      <c r="I114" s="1442">
        <f t="shared" si="16"/>
        <v>0</v>
      </c>
      <c r="J114" s="1439">
        <v>0</v>
      </c>
      <c r="K114" s="1439">
        <v>0</v>
      </c>
      <c r="L114" s="876">
        <f t="shared" si="25"/>
        <v>0</v>
      </c>
      <c r="M114" s="877">
        <f t="shared" si="25"/>
        <v>0</v>
      </c>
      <c r="N114" s="877">
        <f t="shared" si="25"/>
        <v>0</v>
      </c>
      <c r="O114" s="1214" t="s">
        <v>1192</v>
      </c>
      <c r="P114" s="1214" t="s">
        <v>1198</v>
      </c>
      <c r="Q114" s="1065">
        <f t="shared" si="26"/>
        <v>0</v>
      </c>
      <c r="R114" s="1065">
        <f t="shared" si="26"/>
        <v>0</v>
      </c>
      <c r="S114" s="1065">
        <f t="shared" si="26"/>
        <v>0</v>
      </c>
      <c r="T114" s="1099" t="s">
        <v>886</v>
      </c>
      <c r="U114" s="1100">
        <v>1820190400</v>
      </c>
      <c r="V114" s="1099">
        <v>414</v>
      </c>
      <c r="W114" s="1099">
        <v>14062</v>
      </c>
      <c r="Z114" s="1311">
        <f t="shared" si="17"/>
        <v>0</v>
      </c>
      <c r="AA114" s="1374">
        <f t="shared" si="18"/>
        <v>0</v>
      </c>
      <c r="AB114" s="912">
        <f t="shared" si="19"/>
        <v>0</v>
      </c>
      <c r="AC114" s="912">
        <f t="shared" si="20"/>
        <v>0</v>
      </c>
    </row>
    <row r="115" spans="1:29" s="1216" customFormat="1" ht="86.25" customHeight="1">
      <c r="A115" s="1437" t="s">
        <v>631</v>
      </c>
      <c r="B115" s="937" t="s">
        <v>796</v>
      </c>
      <c r="C115" s="871">
        <f t="shared" si="14"/>
        <v>1020</v>
      </c>
      <c r="D115" s="1249">
        <v>0</v>
      </c>
      <c r="E115" s="1249">
        <v>1020</v>
      </c>
      <c r="F115" s="1442">
        <f t="shared" si="15"/>
        <v>1020</v>
      </c>
      <c r="G115" s="1439">
        <v>0</v>
      </c>
      <c r="H115" s="1439">
        <v>1020</v>
      </c>
      <c r="I115" s="1442">
        <f t="shared" si="16"/>
        <v>0</v>
      </c>
      <c r="J115" s="1439">
        <v>0</v>
      </c>
      <c r="K115" s="1439">
        <v>0</v>
      </c>
      <c r="L115" s="876">
        <f t="shared" si="25"/>
        <v>0</v>
      </c>
      <c r="M115" s="877">
        <f t="shared" si="25"/>
        <v>0</v>
      </c>
      <c r="N115" s="877">
        <f t="shared" si="25"/>
        <v>0</v>
      </c>
      <c r="O115" s="1214" t="s">
        <v>1192</v>
      </c>
      <c r="P115" s="1214" t="s">
        <v>1198</v>
      </c>
      <c r="Q115" s="1065">
        <f t="shared" si="26"/>
        <v>0</v>
      </c>
      <c r="R115" s="1065">
        <f t="shared" si="26"/>
        <v>0</v>
      </c>
      <c r="S115" s="1065">
        <f t="shared" si="26"/>
        <v>0</v>
      </c>
      <c r="T115" s="1099" t="s">
        <v>886</v>
      </c>
      <c r="U115" s="1100">
        <v>1820190400</v>
      </c>
      <c r="V115" s="1099">
        <v>414</v>
      </c>
      <c r="W115" s="1099">
        <v>14063</v>
      </c>
      <c r="Z115" s="1311">
        <f t="shared" si="17"/>
        <v>0</v>
      </c>
      <c r="AA115" s="1374">
        <f t="shared" si="18"/>
        <v>0</v>
      </c>
      <c r="AB115" s="912">
        <f t="shared" si="19"/>
        <v>0</v>
      </c>
      <c r="AC115" s="912">
        <f t="shared" si="20"/>
        <v>0</v>
      </c>
    </row>
    <row r="116" spans="1:29" s="1216" customFormat="1" ht="93">
      <c r="A116" s="1437" t="s">
        <v>632</v>
      </c>
      <c r="B116" s="1126" t="s">
        <v>806</v>
      </c>
      <c r="C116" s="871">
        <f t="shared" si="14"/>
        <v>2100</v>
      </c>
      <c r="D116" s="1249">
        <v>0</v>
      </c>
      <c r="E116" s="1249">
        <v>2100</v>
      </c>
      <c r="F116" s="1442">
        <f t="shared" si="15"/>
        <v>2100</v>
      </c>
      <c r="G116" s="1439">
        <v>0</v>
      </c>
      <c r="H116" s="1439">
        <v>2100</v>
      </c>
      <c r="I116" s="1442">
        <f t="shared" si="16"/>
        <v>0</v>
      </c>
      <c r="J116" s="1439">
        <v>0</v>
      </c>
      <c r="K116" s="1439">
        <v>0</v>
      </c>
      <c r="L116" s="876">
        <f t="shared" ref="L116:N150" si="27">IF(I116=0,0,I116/F116*100)</f>
        <v>0</v>
      </c>
      <c r="M116" s="877">
        <f t="shared" si="27"/>
        <v>0</v>
      </c>
      <c r="N116" s="877">
        <f t="shared" si="27"/>
        <v>0</v>
      </c>
      <c r="O116" s="1214" t="s">
        <v>1192</v>
      </c>
      <c r="P116" s="1214" t="s">
        <v>1200</v>
      </c>
      <c r="Q116" s="1065">
        <f t="shared" si="26"/>
        <v>0</v>
      </c>
      <c r="R116" s="1065">
        <f t="shared" si="26"/>
        <v>0</v>
      </c>
      <c r="S116" s="1065">
        <f t="shared" si="26"/>
        <v>0</v>
      </c>
      <c r="T116" s="1099" t="s">
        <v>886</v>
      </c>
      <c r="U116" s="1100">
        <v>1820190400</v>
      </c>
      <c r="V116" s="1099">
        <v>414</v>
      </c>
      <c r="W116" s="1099">
        <v>14064</v>
      </c>
      <c r="Z116" s="1311">
        <f t="shared" si="17"/>
        <v>0</v>
      </c>
      <c r="AA116" s="1374">
        <f t="shared" si="18"/>
        <v>0</v>
      </c>
      <c r="AB116" s="912">
        <f t="shared" si="19"/>
        <v>0</v>
      </c>
      <c r="AC116" s="912">
        <f t="shared" si="20"/>
        <v>0</v>
      </c>
    </row>
    <row r="117" spans="1:29" s="1216" customFormat="1" ht="93">
      <c r="A117" s="1437" t="s">
        <v>633</v>
      </c>
      <c r="B117" s="1125" t="s">
        <v>807</v>
      </c>
      <c r="C117" s="871">
        <f t="shared" si="14"/>
        <v>2340</v>
      </c>
      <c r="D117" s="1249">
        <v>0</v>
      </c>
      <c r="E117" s="1249">
        <v>2340</v>
      </c>
      <c r="F117" s="1442">
        <f t="shared" si="15"/>
        <v>2340</v>
      </c>
      <c r="G117" s="1439">
        <v>0</v>
      </c>
      <c r="H117" s="1439">
        <v>2340</v>
      </c>
      <c r="I117" s="1442">
        <f t="shared" si="16"/>
        <v>0</v>
      </c>
      <c r="J117" s="1439">
        <v>0</v>
      </c>
      <c r="K117" s="1439">
        <v>0</v>
      </c>
      <c r="L117" s="876">
        <f t="shared" si="27"/>
        <v>0</v>
      </c>
      <c r="M117" s="877">
        <f t="shared" si="27"/>
        <v>0</v>
      </c>
      <c r="N117" s="877">
        <f t="shared" si="27"/>
        <v>0</v>
      </c>
      <c r="O117" s="1214" t="s">
        <v>1192</v>
      </c>
      <c r="P117" s="1214" t="s">
        <v>1201</v>
      </c>
      <c r="Q117" s="1065">
        <f t="shared" si="26"/>
        <v>0</v>
      </c>
      <c r="R117" s="1065">
        <f t="shared" si="26"/>
        <v>0</v>
      </c>
      <c r="S117" s="1065">
        <f t="shared" si="26"/>
        <v>0</v>
      </c>
      <c r="T117" s="1099" t="s">
        <v>886</v>
      </c>
      <c r="U117" s="1100">
        <v>1820190400</v>
      </c>
      <c r="V117" s="1099">
        <v>414</v>
      </c>
      <c r="W117" s="1099">
        <v>14065</v>
      </c>
      <c r="Z117" s="1311">
        <f t="shared" si="17"/>
        <v>0</v>
      </c>
      <c r="AA117" s="1374">
        <f t="shared" si="18"/>
        <v>0</v>
      </c>
      <c r="AB117" s="912">
        <f t="shared" si="19"/>
        <v>0</v>
      </c>
      <c r="AC117" s="912">
        <f t="shared" si="20"/>
        <v>0</v>
      </c>
    </row>
    <row r="118" spans="1:29" s="1216" customFormat="1" ht="111" customHeight="1">
      <c r="A118" s="1437" t="s">
        <v>634</v>
      </c>
      <c r="B118" s="1125" t="s">
        <v>808</v>
      </c>
      <c r="C118" s="871">
        <f t="shared" si="14"/>
        <v>2000</v>
      </c>
      <c r="D118" s="1249">
        <v>0</v>
      </c>
      <c r="E118" s="1249">
        <v>2000</v>
      </c>
      <c r="F118" s="1442">
        <f t="shared" si="15"/>
        <v>2000</v>
      </c>
      <c r="G118" s="1439">
        <v>0</v>
      </c>
      <c r="H118" s="1439">
        <v>2000</v>
      </c>
      <c r="I118" s="1442">
        <f t="shared" si="16"/>
        <v>0</v>
      </c>
      <c r="J118" s="1439">
        <v>0</v>
      </c>
      <c r="K118" s="1439">
        <v>0</v>
      </c>
      <c r="L118" s="876">
        <f t="shared" si="27"/>
        <v>0</v>
      </c>
      <c r="M118" s="877">
        <f t="shared" si="27"/>
        <v>0</v>
      </c>
      <c r="N118" s="877">
        <f t="shared" si="27"/>
        <v>0</v>
      </c>
      <c r="O118" s="1214" t="s">
        <v>1192</v>
      </c>
      <c r="P118" s="1214" t="s">
        <v>1202</v>
      </c>
      <c r="Q118" s="1065">
        <f t="shared" si="26"/>
        <v>0</v>
      </c>
      <c r="R118" s="1065">
        <f t="shared" si="26"/>
        <v>0</v>
      </c>
      <c r="S118" s="1065">
        <f t="shared" si="26"/>
        <v>0</v>
      </c>
      <c r="T118" s="1099" t="s">
        <v>886</v>
      </c>
      <c r="U118" s="1100">
        <v>1820190400</v>
      </c>
      <c r="V118" s="1099">
        <v>414</v>
      </c>
      <c r="W118" s="1099">
        <v>14066</v>
      </c>
      <c r="Z118" s="1311">
        <f t="shared" si="17"/>
        <v>0</v>
      </c>
      <c r="AA118" s="1374">
        <f t="shared" si="18"/>
        <v>0</v>
      </c>
      <c r="AB118" s="912">
        <f t="shared" si="19"/>
        <v>0</v>
      </c>
      <c r="AC118" s="912">
        <f t="shared" si="20"/>
        <v>0</v>
      </c>
    </row>
    <row r="119" spans="1:29" s="1216" customFormat="1" ht="117" customHeight="1">
      <c r="A119" s="1437" t="s">
        <v>635</v>
      </c>
      <c r="B119" s="900" t="s">
        <v>809</v>
      </c>
      <c r="C119" s="871">
        <f>SUM(D119:E119)</f>
        <v>6000</v>
      </c>
      <c r="D119" s="1249">
        <v>0</v>
      </c>
      <c r="E119" s="1249">
        <v>6000</v>
      </c>
      <c r="F119" s="1442">
        <f>SUM(G119:H119)</f>
        <v>6000</v>
      </c>
      <c r="G119" s="1439">
        <v>0</v>
      </c>
      <c r="H119" s="1439">
        <v>6000</v>
      </c>
      <c r="I119" s="1442">
        <f>SUM(J119:K119)</f>
        <v>0</v>
      </c>
      <c r="J119" s="1439">
        <v>0</v>
      </c>
      <c r="K119" s="1439">
        <v>0</v>
      </c>
      <c r="L119" s="876">
        <f t="shared" si="27"/>
        <v>0</v>
      </c>
      <c r="M119" s="877">
        <f t="shared" si="27"/>
        <v>0</v>
      </c>
      <c r="N119" s="877">
        <f t="shared" si="27"/>
        <v>0</v>
      </c>
      <c r="O119" s="1214" t="s">
        <v>1192</v>
      </c>
      <c r="P119" s="1214" t="s">
        <v>1203</v>
      </c>
      <c r="Q119" s="1065">
        <f t="shared" si="26"/>
        <v>0</v>
      </c>
      <c r="R119" s="1065">
        <f t="shared" si="26"/>
        <v>0</v>
      </c>
      <c r="S119" s="1065">
        <f t="shared" si="26"/>
        <v>0</v>
      </c>
      <c r="T119" s="1099" t="s">
        <v>928</v>
      </c>
      <c r="U119" s="1100" t="s">
        <v>929</v>
      </c>
      <c r="V119" s="1099">
        <v>414</v>
      </c>
      <c r="W119" s="1099">
        <v>14072</v>
      </c>
      <c r="Z119" s="1311">
        <f t="shared" si="17"/>
        <v>0</v>
      </c>
      <c r="AA119" s="1374">
        <f t="shared" si="18"/>
        <v>0</v>
      </c>
      <c r="AB119" s="912">
        <f t="shared" si="19"/>
        <v>0</v>
      </c>
      <c r="AC119" s="912">
        <f t="shared" si="20"/>
        <v>0</v>
      </c>
    </row>
    <row r="120" spans="1:29" s="1216" customFormat="1" ht="105">
      <c r="A120" s="1437" t="s">
        <v>734</v>
      </c>
      <c r="B120" s="900" t="s">
        <v>810</v>
      </c>
      <c r="C120" s="871">
        <f>SUM(D120:E120)</f>
        <v>6000</v>
      </c>
      <c r="D120" s="1249">
        <v>0</v>
      </c>
      <c r="E120" s="1249">
        <v>6000</v>
      </c>
      <c r="F120" s="1442">
        <f>SUM(G120:H120)</f>
        <v>6000</v>
      </c>
      <c r="G120" s="1439">
        <v>0</v>
      </c>
      <c r="H120" s="1439">
        <v>6000</v>
      </c>
      <c r="I120" s="1442">
        <f>SUM(J120:K120)</f>
        <v>0</v>
      </c>
      <c r="J120" s="1439">
        <v>0</v>
      </c>
      <c r="K120" s="1439">
        <v>0</v>
      </c>
      <c r="L120" s="876">
        <f t="shared" si="27"/>
        <v>0</v>
      </c>
      <c r="M120" s="877">
        <f t="shared" si="27"/>
        <v>0</v>
      </c>
      <c r="N120" s="877">
        <f t="shared" si="27"/>
        <v>0</v>
      </c>
      <c r="O120" s="1214" t="s">
        <v>1192</v>
      </c>
      <c r="P120" s="1214" t="s">
        <v>1203</v>
      </c>
      <c r="Q120" s="1065">
        <f t="shared" si="26"/>
        <v>0</v>
      </c>
      <c r="R120" s="1065">
        <f t="shared" si="26"/>
        <v>0</v>
      </c>
      <c r="S120" s="1065">
        <f t="shared" si="26"/>
        <v>0</v>
      </c>
      <c r="T120" s="1099" t="s">
        <v>936</v>
      </c>
      <c r="U120" s="1100" t="s">
        <v>937</v>
      </c>
      <c r="V120" s="1099">
        <v>414</v>
      </c>
      <c r="W120" s="1099">
        <v>14058</v>
      </c>
      <c r="Z120" s="1311">
        <f t="shared" si="17"/>
        <v>0</v>
      </c>
      <c r="AA120" s="1374">
        <f t="shared" si="18"/>
        <v>0</v>
      </c>
      <c r="AB120" s="912">
        <f t="shared" si="19"/>
        <v>0</v>
      </c>
      <c r="AC120" s="912">
        <f t="shared" si="20"/>
        <v>0</v>
      </c>
    </row>
    <row r="121" spans="1:29" s="1216" customFormat="1" ht="139.5">
      <c r="A121" s="1437" t="s">
        <v>735</v>
      </c>
      <c r="B121" s="990" t="s">
        <v>811</v>
      </c>
      <c r="C121" s="871">
        <f>SUM(D121:E121)</f>
        <v>16500</v>
      </c>
      <c r="D121" s="1249">
        <v>0</v>
      </c>
      <c r="E121" s="1249">
        <v>16500</v>
      </c>
      <c r="F121" s="1442">
        <f>SUM(G121:H121)</f>
        <v>16500</v>
      </c>
      <c r="G121" s="1439">
        <v>0</v>
      </c>
      <c r="H121" s="1439">
        <v>16500</v>
      </c>
      <c r="I121" s="1442">
        <f>SUM(J121:K121)</f>
        <v>0</v>
      </c>
      <c r="J121" s="1439">
        <v>0</v>
      </c>
      <c r="K121" s="1439">
        <v>0</v>
      </c>
      <c r="L121" s="876">
        <f t="shared" si="27"/>
        <v>0</v>
      </c>
      <c r="M121" s="877">
        <f t="shared" si="27"/>
        <v>0</v>
      </c>
      <c r="N121" s="877">
        <f t="shared" si="27"/>
        <v>0</v>
      </c>
      <c r="O121" s="1214" t="s">
        <v>1192</v>
      </c>
      <c r="P121" s="1214" t="s">
        <v>1204</v>
      </c>
      <c r="Q121" s="1065">
        <f t="shared" si="26"/>
        <v>0</v>
      </c>
      <c r="R121" s="1065">
        <f t="shared" si="26"/>
        <v>0</v>
      </c>
      <c r="S121" s="1065">
        <f t="shared" si="26"/>
        <v>0</v>
      </c>
      <c r="T121" s="1099" t="s">
        <v>936</v>
      </c>
      <c r="U121" s="1100" t="s">
        <v>937</v>
      </c>
      <c r="V121" s="1099">
        <v>414</v>
      </c>
      <c r="W121" s="1099">
        <v>14059</v>
      </c>
      <c r="Z121" s="1311">
        <f t="shared" si="17"/>
        <v>0</v>
      </c>
      <c r="AA121" s="1374">
        <f t="shared" si="18"/>
        <v>0</v>
      </c>
      <c r="AB121" s="912">
        <f t="shared" si="19"/>
        <v>0</v>
      </c>
      <c r="AC121" s="912">
        <f t="shared" si="20"/>
        <v>0</v>
      </c>
    </row>
    <row r="122" spans="1:29" s="1216" customFormat="1" ht="108" customHeight="1">
      <c r="A122" s="1437" t="s">
        <v>636</v>
      </c>
      <c r="B122" s="900" t="s">
        <v>640</v>
      </c>
      <c r="C122" s="1442">
        <f>SUM(D122:E122)</f>
        <v>1400</v>
      </c>
      <c r="D122" s="879">
        <v>0</v>
      </c>
      <c r="E122" s="879">
        <v>1400</v>
      </c>
      <c r="F122" s="1442">
        <f>SUM(G122:H122)</f>
        <v>1400</v>
      </c>
      <c r="G122" s="879">
        <v>0</v>
      </c>
      <c r="H122" s="879">
        <v>1400</v>
      </c>
      <c r="I122" s="1442">
        <f>SUM(J122:K122)</f>
        <v>0</v>
      </c>
      <c r="J122" s="1443">
        <v>0</v>
      </c>
      <c r="K122" s="1443">
        <v>0</v>
      </c>
      <c r="L122" s="876">
        <f t="shared" si="27"/>
        <v>0</v>
      </c>
      <c r="M122" s="877">
        <f t="shared" si="27"/>
        <v>0</v>
      </c>
      <c r="N122" s="877">
        <f t="shared" si="27"/>
        <v>0</v>
      </c>
      <c r="O122" s="1214" t="s">
        <v>1237</v>
      </c>
      <c r="P122" s="1214" t="s">
        <v>1205</v>
      </c>
      <c r="Q122" s="1065">
        <f t="shared" si="26"/>
        <v>0</v>
      </c>
      <c r="R122" s="1065">
        <f t="shared" si="26"/>
        <v>0</v>
      </c>
      <c r="S122" s="1065">
        <f t="shared" si="26"/>
        <v>0</v>
      </c>
      <c r="T122" s="1099" t="s">
        <v>869</v>
      </c>
      <c r="U122" s="1100">
        <v>1410190420</v>
      </c>
      <c r="V122" s="1099">
        <v>414</v>
      </c>
      <c r="W122" s="1099">
        <v>14022</v>
      </c>
      <c r="Z122" s="1311">
        <f t="shared" si="17"/>
        <v>0</v>
      </c>
      <c r="AA122" s="1374">
        <f t="shared" si="18"/>
        <v>0</v>
      </c>
      <c r="AB122" s="912">
        <f t="shared" si="19"/>
        <v>0</v>
      </c>
      <c r="AC122" s="912">
        <f t="shared" si="20"/>
        <v>0</v>
      </c>
    </row>
    <row r="123" spans="1:29" s="1216" customFormat="1" ht="93.75" customHeight="1">
      <c r="A123" s="1437" t="s">
        <v>736</v>
      </c>
      <c r="B123" s="1106" t="s">
        <v>863</v>
      </c>
      <c r="C123" s="871">
        <f>SUM(D123:E123)</f>
        <v>21276.6</v>
      </c>
      <c r="D123" s="972">
        <v>20000</v>
      </c>
      <c r="E123" s="972">
        <v>1276.5999999999999</v>
      </c>
      <c r="F123" s="1442">
        <f>SUM(G123:H123)</f>
        <v>21276.6</v>
      </c>
      <c r="G123" s="879">
        <v>20000</v>
      </c>
      <c r="H123" s="879">
        <v>1276.5999999999999</v>
      </c>
      <c r="I123" s="1442">
        <f>SUM(J123:K123)</f>
        <v>20059.5</v>
      </c>
      <c r="J123" s="1443">
        <v>18855.900000000001</v>
      </c>
      <c r="K123" s="1443">
        <v>1203.5999999999999</v>
      </c>
      <c r="L123" s="876">
        <f t="shared" si="27"/>
        <v>94.3</v>
      </c>
      <c r="M123" s="877">
        <f t="shared" si="27"/>
        <v>94.3</v>
      </c>
      <c r="N123" s="877">
        <f t="shared" si="27"/>
        <v>94.3</v>
      </c>
      <c r="O123" s="1214" t="s">
        <v>1192</v>
      </c>
      <c r="P123" s="1214" t="s">
        <v>1206</v>
      </c>
      <c r="Q123" s="1065"/>
      <c r="R123" s="1065"/>
      <c r="S123" s="1065"/>
      <c r="T123" s="1099" t="s">
        <v>928</v>
      </c>
      <c r="U123" s="1100" t="s">
        <v>932</v>
      </c>
      <c r="V123" s="1099">
        <v>414</v>
      </c>
      <c r="W123" s="1099" t="s">
        <v>933</v>
      </c>
      <c r="Z123" s="1311">
        <f t="shared" si="17"/>
        <v>0</v>
      </c>
      <c r="AA123" s="1374">
        <f t="shared" si="18"/>
        <v>0</v>
      </c>
      <c r="AB123" s="912">
        <f t="shared" si="19"/>
        <v>0</v>
      </c>
      <c r="AC123" s="912">
        <f t="shared" si="20"/>
        <v>0</v>
      </c>
    </row>
    <row r="124" spans="1:29" s="1216" customFormat="1" ht="57.75" customHeight="1">
      <c r="A124" s="1437" t="s">
        <v>737</v>
      </c>
      <c r="B124" s="1127" t="s">
        <v>841</v>
      </c>
      <c r="C124" s="871">
        <f t="shared" ref="C124:C194" si="28">SUM(D124:E124)</f>
        <v>1026</v>
      </c>
      <c r="D124" s="972">
        <v>0</v>
      </c>
      <c r="E124" s="1255">
        <v>1026</v>
      </c>
      <c r="F124" s="1442">
        <f t="shared" ref="F124:F194" si="29">SUM(G124:H124)</f>
        <v>1026</v>
      </c>
      <c r="G124" s="1439">
        <v>0</v>
      </c>
      <c r="H124" s="970">
        <f>E124</f>
        <v>1026</v>
      </c>
      <c r="I124" s="1442">
        <f t="shared" ref="I124:I182" si="30">SUM(J124:K124)</f>
        <v>0</v>
      </c>
      <c r="J124" s="1443">
        <v>0</v>
      </c>
      <c r="K124" s="1443">
        <v>0</v>
      </c>
      <c r="L124" s="876">
        <f t="shared" si="27"/>
        <v>0</v>
      </c>
      <c r="M124" s="877">
        <f t="shared" si="27"/>
        <v>0</v>
      </c>
      <c r="N124" s="877">
        <f t="shared" si="27"/>
        <v>0</v>
      </c>
      <c r="O124" s="1214" t="s">
        <v>1192</v>
      </c>
      <c r="P124" s="1214" t="s">
        <v>1207</v>
      </c>
      <c r="Q124" s="1065">
        <f t="shared" ref="Q124:S162" si="31">C124-F124</f>
        <v>0</v>
      </c>
      <c r="R124" s="1065">
        <f t="shared" si="31"/>
        <v>0</v>
      </c>
      <c r="S124" s="1065">
        <f t="shared" si="31"/>
        <v>0</v>
      </c>
      <c r="T124" s="1099" t="s">
        <v>886</v>
      </c>
      <c r="U124" s="1100" t="s">
        <v>892</v>
      </c>
      <c r="V124" s="1099">
        <v>414</v>
      </c>
      <c r="W124" s="1099">
        <v>14076</v>
      </c>
      <c r="Z124" s="1311">
        <f t="shared" si="17"/>
        <v>0</v>
      </c>
      <c r="AA124" s="1374">
        <f t="shared" si="18"/>
        <v>0</v>
      </c>
      <c r="AB124" s="912">
        <f t="shared" si="19"/>
        <v>0</v>
      </c>
      <c r="AC124" s="912">
        <f t="shared" si="20"/>
        <v>0</v>
      </c>
    </row>
    <row r="125" spans="1:29" s="1216" customFormat="1" ht="67.5" customHeight="1">
      <c r="A125" s="1437" t="s">
        <v>738</v>
      </c>
      <c r="B125" s="1127" t="s">
        <v>842</v>
      </c>
      <c r="C125" s="871">
        <f t="shared" si="28"/>
        <v>813</v>
      </c>
      <c r="D125" s="972">
        <v>0</v>
      </c>
      <c r="E125" s="1255">
        <v>813</v>
      </c>
      <c r="F125" s="1442">
        <f t="shared" si="29"/>
        <v>813</v>
      </c>
      <c r="G125" s="1439">
        <v>0</v>
      </c>
      <c r="H125" s="970">
        <f t="shared" ref="H125:H138" si="32">E125</f>
        <v>813</v>
      </c>
      <c r="I125" s="1442">
        <f t="shared" si="30"/>
        <v>0</v>
      </c>
      <c r="J125" s="1443">
        <v>0</v>
      </c>
      <c r="K125" s="1443">
        <v>0</v>
      </c>
      <c r="L125" s="876">
        <f t="shared" si="27"/>
        <v>0</v>
      </c>
      <c r="M125" s="877">
        <f t="shared" si="27"/>
        <v>0</v>
      </c>
      <c r="N125" s="877">
        <f t="shared" si="27"/>
        <v>0</v>
      </c>
      <c r="O125" s="1214" t="s">
        <v>1192</v>
      </c>
      <c r="P125" s="1214" t="s">
        <v>1208</v>
      </c>
      <c r="Q125" s="1065">
        <f t="shared" si="31"/>
        <v>0</v>
      </c>
      <c r="R125" s="1065">
        <f t="shared" si="31"/>
        <v>0</v>
      </c>
      <c r="S125" s="1065">
        <f t="shared" si="31"/>
        <v>0</v>
      </c>
      <c r="T125" s="1099" t="s">
        <v>886</v>
      </c>
      <c r="U125" s="1100" t="s">
        <v>892</v>
      </c>
      <c r="V125" s="1099">
        <v>414</v>
      </c>
      <c r="W125" s="1099">
        <v>14077</v>
      </c>
      <c r="Z125" s="1311">
        <f t="shared" si="17"/>
        <v>0</v>
      </c>
      <c r="AA125" s="1374">
        <f t="shared" si="18"/>
        <v>0</v>
      </c>
      <c r="AB125" s="912">
        <f t="shared" si="19"/>
        <v>0</v>
      </c>
      <c r="AC125" s="912">
        <f t="shared" si="20"/>
        <v>0</v>
      </c>
    </row>
    <row r="126" spans="1:29" ht="90.75" customHeight="1">
      <c r="A126" s="1437" t="s">
        <v>739</v>
      </c>
      <c r="B126" s="1127" t="s">
        <v>843</v>
      </c>
      <c r="C126" s="871">
        <f t="shared" si="28"/>
        <v>792</v>
      </c>
      <c r="D126" s="972">
        <v>0</v>
      </c>
      <c r="E126" s="1255">
        <v>792</v>
      </c>
      <c r="F126" s="1442">
        <f t="shared" si="29"/>
        <v>792</v>
      </c>
      <c r="G126" s="1439">
        <v>0</v>
      </c>
      <c r="H126" s="970">
        <f t="shared" si="32"/>
        <v>792</v>
      </c>
      <c r="I126" s="1442">
        <f t="shared" si="30"/>
        <v>0</v>
      </c>
      <c r="J126" s="1443">
        <v>0</v>
      </c>
      <c r="K126" s="1443">
        <v>0</v>
      </c>
      <c r="L126" s="876">
        <f t="shared" si="27"/>
        <v>0</v>
      </c>
      <c r="M126" s="877">
        <f t="shared" si="27"/>
        <v>0</v>
      </c>
      <c r="N126" s="877">
        <f t="shared" si="27"/>
        <v>0</v>
      </c>
      <c r="O126" s="1214" t="s">
        <v>1192</v>
      </c>
      <c r="P126" s="1214" t="s">
        <v>1209</v>
      </c>
      <c r="Q126" s="1065">
        <f t="shared" si="31"/>
        <v>0</v>
      </c>
      <c r="R126" s="1065">
        <f t="shared" si="31"/>
        <v>0</v>
      </c>
      <c r="S126" s="1065">
        <f t="shared" si="31"/>
        <v>0</v>
      </c>
      <c r="T126" s="1099" t="s">
        <v>886</v>
      </c>
      <c r="U126" s="1100" t="s">
        <v>892</v>
      </c>
      <c r="V126" s="1099">
        <v>414</v>
      </c>
      <c r="W126" s="1099">
        <v>14078</v>
      </c>
      <c r="Z126" s="1311">
        <f t="shared" si="17"/>
        <v>0</v>
      </c>
      <c r="AA126" s="1374">
        <f t="shared" si="18"/>
        <v>0</v>
      </c>
      <c r="AB126" s="912">
        <f t="shared" si="19"/>
        <v>0</v>
      </c>
      <c r="AC126" s="912">
        <f t="shared" si="20"/>
        <v>0</v>
      </c>
    </row>
    <row r="127" spans="1:29" ht="93">
      <c r="A127" s="1437" t="s">
        <v>740</v>
      </c>
      <c r="B127" s="1127" t="s">
        <v>844</v>
      </c>
      <c r="C127" s="871">
        <f t="shared" si="28"/>
        <v>879</v>
      </c>
      <c r="D127" s="972">
        <v>0</v>
      </c>
      <c r="E127" s="1255">
        <v>879</v>
      </c>
      <c r="F127" s="1442">
        <f t="shared" si="29"/>
        <v>879</v>
      </c>
      <c r="G127" s="1439">
        <v>0</v>
      </c>
      <c r="H127" s="970">
        <f t="shared" si="32"/>
        <v>879</v>
      </c>
      <c r="I127" s="1442">
        <f t="shared" si="30"/>
        <v>0</v>
      </c>
      <c r="J127" s="1443">
        <v>0</v>
      </c>
      <c r="K127" s="1443">
        <v>0</v>
      </c>
      <c r="L127" s="876">
        <f t="shared" si="27"/>
        <v>0</v>
      </c>
      <c r="M127" s="877">
        <f t="shared" si="27"/>
        <v>0</v>
      </c>
      <c r="N127" s="877">
        <f t="shared" si="27"/>
        <v>0</v>
      </c>
      <c r="O127" s="1214" t="s">
        <v>1192</v>
      </c>
      <c r="P127" s="1214" t="s">
        <v>1210</v>
      </c>
      <c r="Q127" s="1065">
        <f t="shared" si="31"/>
        <v>0</v>
      </c>
      <c r="R127" s="1065">
        <f t="shared" si="31"/>
        <v>0</v>
      </c>
      <c r="S127" s="1065">
        <f t="shared" si="31"/>
        <v>0</v>
      </c>
      <c r="T127" s="1099" t="s">
        <v>886</v>
      </c>
      <c r="U127" s="1100" t="s">
        <v>892</v>
      </c>
      <c r="V127" s="1099">
        <v>414</v>
      </c>
      <c r="W127" s="1099">
        <v>14079</v>
      </c>
      <c r="Z127" s="1311">
        <f t="shared" si="17"/>
        <v>0</v>
      </c>
      <c r="AA127" s="1374">
        <f t="shared" si="18"/>
        <v>0</v>
      </c>
      <c r="AB127" s="912">
        <f t="shared" si="19"/>
        <v>0</v>
      </c>
      <c r="AC127" s="912">
        <f t="shared" si="20"/>
        <v>0</v>
      </c>
    </row>
    <row r="128" spans="1:29" ht="93">
      <c r="A128" s="1437" t="s">
        <v>741</v>
      </c>
      <c r="B128" s="1127" t="s">
        <v>845</v>
      </c>
      <c r="C128" s="871">
        <f t="shared" si="28"/>
        <v>1554</v>
      </c>
      <c r="D128" s="1249">
        <v>0</v>
      </c>
      <c r="E128" s="1255">
        <v>1554</v>
      </c>
      <c r="F128" s="1442">
        <f t="shared" si="29"/>
        <v>1554</v>
      </c>
      <c r="G128" s="1439">
        <v>0</v>
      </c>
      <c r="H128" s="970">
        <f t="shared" si="32"/>
        <v>1554</v>
      </c>
      <c r="I128" s="1442">
        <f t="shared" si="30"/>
        <v>0</v>
      </c>
      <c r="J128" s="1443">
        <v>0</v>
      </c>
      <c r="K128" s="1443">
        <v>0</v>
      </c>
      <c r="L128" s="876">
        <f t="shared" si="27"/>
        <v>0</v>
      </c>
      <c r="M128" s="877">
        <f t="shared" si="27"/>
        <v>0</v>
      </c>
      <c r="N128" s="877">
        <f t="shared" si="27"/>
        <v>0</v>
      </c>
      <c r="O128" s="1214" t="s">
        <v>1192</v>
      </c>
      <c r="P128" s="1214" t="s">
        <v>1211</v>
      </c>
      <c r="Q128" s="1065">
        <f t="shared" si="31"/>
        <v>0</v>
      </c>
      <c r="R128" s="1065">
        <f t="shared" si="31"/>
        <v>0</v>
      </c>
      <c r="S128" s="1065">
        <f t="shared" si="31"/>
        <v>0</v>
      </c>
      <c r="T128" s="1099" t="s">
        <v>886</v>
      </c>
      <c r="U128" s="1100" t="s">
        <v>892</v>
      </c>
      <c r="V128" s="1099">
        <v>414</v>
      </c>
      <c r="W128" s="1099">
        <v>14080</v>
      </c>
      <c r="Z128" s="1311">
        <f t="shared" si="17"/>
        <v>0</v>
      </c>
      <c r="AA128" s="1374">
        <f t="shared" si="18"/>
        <v>0</v>
      </c>
      <c r="AB128" s="912">
        <f t="shared" si="19"/>
        <v>0</v>
      </c>
      <c r="AC128" s="912">
        <f t="shared" si="20"/>
        <v>0</v>
      </c>
    </row>
    <row r="129" spans="1:29" ht="57.75" customHeight="1">
      <c r="A129" s="1437" t="s">
        <v>742</v>
      </c>
      <c r="B129" s="1127" t="s">
        <v>846</v>
      </c>
      <c r="C129" s="871">
        <f t="shared" si="28"/>
        <v>879</v>
      </c>
      <c r="D129" s="1249">
        <v>0</v>
      </c>
      <c r="E129" s="1255">
        <v>879</v>
      </c>
      <c r="F129" s="1442">
        <f t="shared" si="29"/>
        <v>879</v>
      </c>
      <c r="G129" s="1439">
        <v>0</v>
      </c>
      <c r="H129" s="970">
        <f t="shared" si="32"/>
        <v>879</v>
      </c>
      <c r="I129" s="1442">
        <f t="shared" si="30"/>
        <v>0</v>
      </c>
      <c r="J129" s="1443">
        <v>0</v>
      </c>
      <c r="K129" s="1443">
        <v>0</v>
      </c>
      <c r="L129" s="876">
        <f t="shared" si="27"/>
        <v>0</v>
      </c>
      <c r="M129" s="877">
        <f t="shared" si="27"/>
        <v>0</v>
      </c>
      <c r="N129" s="877">
        <f t="shared" si="27"/>
        <v>0</v>
      </c>
      <c r="O129" s="1214" t="s">
        <v>1192</v>
      </c>
      <c r="P129" s="1214" t="s">
        <v>1212</v>
      </c>
      <c r="Q129" s="1065">
        <f t="shared" si="31"/>
        <v>0</v>
      </c>
      <c r="R129" s="1065">
        <f t="shared" si="31"/>
        <v>0</v>
      </c>
      <c r="S129" s="1065">
        <f t="shared" si="31"/>
        <v>0</v>
      </c>
      <c r="T129" s="1099" t="s">
        <v>886</v>
      </c>
      <c r="U129" s="1100" t="s">
        <v>892</v>
      </c>
      <c r="V129" s="1099">
        <v>414</v>
      </c>
      <c r="W129" s="1099">
        <v>14081</v>
      </c>
      <c r="Z129" s="1311">
        <f t="shared" si="17"/>
        <v>0</v>
      </c>
      <c r="AA129" s="1374">
        <f t="shared" si="18"/>
        <v>0</v>
      </c>
      <c r="AB129" s="912">
        <f t="shared" si="19"/>
        <v>0</v>
      </c>
      <c r="AC129" s="912">
        <f t="shared" si="20"/>
        <v>0</v>
      </c>
    </row>
    <row r="130" spans="1:29" ht="93">
      <c r="A130" s="1437" t="s">
        <v>782</v>
      </c>
      <c r="B130" s="1127" t="s">
        <v>847</v>
      </c>
      <c r="C130" s="871">
        <f t="shared" si="28"/>
        <v>627</v>
      </c>
      <c r="D130" s="1249">
        <v>0</v>
      </c>
      <c r="E130" s="1255">
        <v>627</v>
      </c>
      <c r="F130" s="1442">
        <f t="shared" si="29"/>
        <v>627</v>
      </c>
      <c r="G130" s="1439">
        <v>0</v>
      </c>
      <c r="H130" s="970">
        <f t="shared" si="32"/>
        <v>627</v>
      </c>
      <c r="I130" s="1442">
        <f t="shared" si="30"/>
        <v>0</v>
      </c>
      <c r="J130" s="1443">
        <v>0</v>
      </c>
      <c r="K130" s="1443">
        <v>0</v>
      </c>
      <c r="L130" s="876">
        <f t="shared" si="27"/>
        <v>0</v>
      </c>
      <c r="M130" s="877">
        <f t="shared" si="27"/>
        <v>0</v>
      </c>
      <c r="N130" s="877">
        <f t="shared" si="27"/>
        <v>0</v>
      </c>
      <c r="O130" s="1214" t="s">
        <v>1192</v>
      </c>
      <c r="P130" s="1214" t="s">
        <v>1213</v>
      </c>
      <c r="Q130" s="1065">
        <f t="shared" si="31"/>
        <v>0</v>
      </c>
      <c r="R130" s="1065">
        <f t="shared" si="31"/>
        <v>0</v>
      </c>
      <c r="S130" s="1065">
        <f t="shared" si="31"/>
        <v>0</v>
      </c>
      <c r="T130" s="1099" t="s">
        <v>886</v>
      </c>
      <c r="U130" s="1100" t="s">
        <v>892</v>
      </c>
      <c r="V130" s="1099">
        <v>414</v>
      </c>
      <c r="W130" s="1099">
        <v>14082</v>
      </c>
      <c r="Z130" s="1311">
        <f t="shared" si="17"/>
        <v>0</v>
      </c>
      <c r="AA130" s="1374">
        <f t="shared" si="18"/>
        <v>0</v>
      </c>
      <c r="AB130" s="912">
        <f t="shared" si="19"/>
        <v>0</v>
      </c>
      <c r="AC130" s="912">
        <f t="shared" si="20"/>
        <v>0</v>
      </c>
    </row>
    <row r="131" spans="1:29" ht="89.25" customHeight="1">
      <c r="A131" s="1437" t="s">
        <v>817</v>
      </c>
      <c r="B131" s="1127" t="s">
        <v>848</v>
      </c>
      <c r="C131" s="871">
        <f t="shared" si="28"/>
        <v>669</v>
      </c>
      <c r="D131" s="1249">
        <v>0</v>
      </c>
      <c r="E131" s="1255">
        <v>669</v>
      </c>
      <c r="F131" s="1442">
        <f t="shared" si="29"/>
        <v>669</v>
      </c>
      <c r="G131" s="1439">
        <v>0</v>
      </c>
      <c r="H131" s="970">
        <f t="shared" si="32"/>
        <v>669</v>
      </c>
      <c r="I131" s="1442">
        <f t="shared" si="30"/>
        <v>0</v>
      </c>
      <c r="J131" s="1443">
        <v>0</v>
      </c>
      <c r="K131" s="1443">
        <v>0</v>
      </c>
      <c r="L131" s="876">
        <f t="shared" si="27"/>
        <v>0</v>
      </c>
      <c r="M131" s="877">
        <f t="shared" si="27"/>
        <v>0</v>
      </c>
      <c r="N131" s="877">
        <f t="shared" si="27"/>
        <v>0</v>
      </c>
      <c r="O131" s="1214" t="s">
        <v>1192</v>
      </c>
      <c r="P131" s="1214" t="s">
        <v>1214</v>
      </c>
      <c r="Q131" s="1065">
        <f t="shared" si="31"/>
        <v>0</v>
      </c>
      <c r="R131" s="1065">
        <f t="shared" si="31"/>
        <v>0</v>
      </c>
      <c r="S131" s="1065">
        <f t="shared" si="31"/>
        <v>0</v>
      </c>
      <c r="T131" s="1099" t="s">
        <v>886</v>
      </c>
      <c r="U131" s="1100" t="s">
        <v>892</v>
      </c>
      <c r="V131" s="1099">
        <v>414</v>
      </c>
      <c r="W131" s="1099">
        <v>14083</v>
      </c>
      <c r="Z131" s="1311">
        <f t="shared" si="17"/>
        <v>0</v>
      </c>
      <c r="AA131" s="1374">
        <f t="shared" si="18"/>
        <v>0</v>
      </c>
      <c r="AB131" s="912">
        <f t="shared" si="19"/>
        <v>0</v>
      </c>
      <c r="AC131" s="912">
        <f t="shared" si="20"/>
        <v>0</v>
      </c>
    </row>
    <row r="132" spans="1:29" ht="54" customHeight="1">
      <c r="A132" s="1437" t="s">
        <v>818</v>
      </c>
      <c r="B132" s="1127" t="s">
        <v>849</v>
      </c>
      <c r="C132" s="871">
        <f t="shared" si="28"/>
        <v>495</v>
      </c>
      <c r="D132" s="1249">
        <v>0</v>
      </c>
      <c r="E132" s="1255">
        <v>495</v>
      </c>
      <c r="F132" s="1442">
        <f t="shared" si="29"/>
        <v>495</v>
      </c>
      <c r="G132" s="1439">
        <v>0</v>
      </c>
      <c r="H132" s="970">
        <f t="shared" si="32"/>
        <v>495</v>
      </c>
      <c r="I132" s="1442">
        <f t="shared" si="30"/>
        <v>0</v>
      </c>
      <c r="J132" s="1443">
        <v>0</v>
      </c>
      <c r="K132" s="1443">
        <v>0</v>
      </c>
      <c r="L132" s="876">
        <f t="shared" si="27"/>
        <v>0</v>
      </c>
      <c r="M132" s="877">
        <f t="shared" si="27"/>
        <v>0</v>
      </c>
      <c r="N132" s="877">
        <f t="shared" si="27"/>
        <v>0</v>
      </c>
      <c r="O132" s="1214" t="s">
        <v>1192</v>
      </c>
      <c r="P132" s="1214" t="s">
        <v>1215</v>
      </c>
      <c r="Q132" s="1065">
        <f t="shared" si="31"/>
        <v>0</v>
      </c>
      <c r="R132" s="1065">
        <f t="shared" si="31"/>
        <v>0</v>
      </c>
      <c r="S132" s="1065">
        <f t="shared" si="31"/>
        <v>0</v>
      </c>
      <c r="T132" s="1099" t="s">
        <v>886</v>
      </c>
      <c r="U132" s="1100" t="s">
        <v>892</v>
      </c>
      <c r="V132" s="1099">
        <v>414</v>
      </c>
      <c r="W132" s="1099">
        <v>14084</v>
      </c>
      <c r="Z132" s="1311">
        <f t="shared" si="17"/>
        <v>0</v>
      </c>
      <c r="AA132" s="1374">
        <f t="shared" si="18"/>
        <v>0</v>
      </c>
      <c r="AB132" s="912">
        <f t="shared" si="19"/>
        <v>0</v>
      </c>
      <c r="AC132" s="912">
        <f t="shared" si="20"/>
        <v>0</v>
      </c>
    </row>
    <row r="133" spans="1:29" ht="54" customHeight="1">
      <c r="A133" s="1437" t="s">
        <v>819</v>
      </c>
      <c r="B133" s="1127" t="s">
        <v>850</v>
      </c>
      <c r="C133" s="871">
        <f t="shared" si="28"/>
        <v>792</v>
      </c>
      <c r="D133" s="1249">
        <v>0</v>
      </c>
      <c r="E133" s="1255">
        <v>792</v>
      </c>
      <c r="F133" s="1442">
        <f t="shared" si="29"/>
        <v>792</v>
      </c>
      <c r="G133" s="1439">
        <v>0</v>
      </c>
      <c r="H133" s="970">
        <f t="shared" si="32"/>
        <v>792</v>
      </c>
      <c r="I133" s="1442">
        <f t="shared" si="30"/>
        <v>0</v>
      </c>
      <c r="J133" s="1443">
        <v>0</v>
      </c>
      <c r="K133" s="1443">
        <v>0</v>
      </c>
      <c r="L133" s="876">
        <f t="shared" si="27"/>
        <v>0</v>
      </c>
      <c r="M133" s="877">
        <f t="shared" si="27"/>
        <v>0</v>
      </c>
      <c r="N133" s="877">
        <f t="shared" si="27"/>
        <v>0</v>
      </c>
      <c r="O133" s="1214" t="s">
        <v>1192</v>
      </c>
      <c r="P133" s="1214" t="s">
        <v>1216</v>
      </c>
      <c r="Q133" s="1065">
        <f t="shared" si="31"/>
        <v>0</v>
      </c>
      <c r="R133" s="1065">
        <f t="shared" si="31"/>
        <v>0</v>
      </c>
      <c r="S133" s="1065">
        <f t="shared" si="31"/>
        <v>0</v>
      </c>
      <c r="T133" s="1099" t="s">
        <v>886</v>
      </c>
      <c r="U133" s="1100" t="s">
        <v>892</v>
      </c>
      <c r="V133" s="1099">
        <v>414</v>
      </c>
      <c r="W133" s="1099">
        <v>14085</v>
      </c>
      <c r="Z133" s="1311">
        <f t="shared" si="17"/>
        <v>0</v>
      </c>
      <c r="AA133" s="1374">
        <f t="shared" si="18"/>
        <v>0</v>
      </c>
      <c r="AB133" s="912">
        <f t="shared" si="19"/>
        <v>0</v>
      </c>
      <c r="AC133" s="912">
        <f t="shared" si="20"/>
        <v>0</v>
      </c>
    </row>
    <row r="134" spans="1:29" ht="54" customHeight="1">
      <c r="A134" s="1437" t="s">
        <v>762</v>
      </c>
      <c r="B134" s="1127" t="s">
        <v>851</v>
      </c>
      <c r="C134" s="871">
        <f t="shared" si="28"/>
        <v>1026</v>
      </c>
      <c r="D134" s="1249">
        <v>0</v>
      </c>
      <c r="E134" s="1255">
        <v>1026</v>
      </c>
      <c r="F134" s="1442">
        <f t="shared" si="29"/>
        <v>1026</v>
      </c>
      <c r="G134" s="1439">
        <v>0</v>
      </c>
      <c r="H134" s="970">
        <f t="shared" si="32"/>
        <v>1026</v>
      </c>
      <c r="I134" s="1442">
        <f t="shared" si="30"/>
        <v>0</v>
      </c>
      <c r="J134" s="1443">
        <v>0</v>
      </c>
      <c r="K134" s="1443">
        <v>0</v>
      </c>
      <c r="L134" s="876">
        <f t="shared" si="27"/>
        <v>0</v>
      </c>
      <c r="M134" s="877">
        <f t="shared" si="27"/>
        <v>0</v>
      </c>
      <c r="N134" s="877">
        <f t="shared" si="27"/>
        <v>0</v>
      </c>
      <c r="O134" s="1214" t="s">
        <v>1192</v>
      </c>
      <c r="P134" s="1214" t="s">
        <v>1217</v>
      </c>
      <c r="Q134" s="1065">
        <f t="shared" si="31"/>
        <v>0</v>
      </c>
      <c r="R134" s="1065">
        <f t="shared" si="31"/>
        <v>0</v>
      </c>
      <c r="S134" s="1065">
        <f t="shared" si="31"/>
        <v>0</v>
      </c>
      <c r="T134" s="1099" t="s">
        <v>886</v>
      </c>
      <c r="U134" s="1100" t="s">
        <v>892</v>
      </c>
      <c r="V134" s="1099">
        <v>414</v>
      </c>
      <c r="W134" s="1099">
        <v>14086</v>
      </c>
      <c r="Z134" s="1311">
        <f t="shared" si="17"/>
        <v>0</v>
      </c>
      <c r="AA134" s="1374">
        <f t="shared" si="18"/>
        <v>0</v>
      </c>
      <c r="AB134" s="912">
        <f t="shared" si="19"/>
        <v>0</v>
      </c>
      <c r="AC134" s="912">
        <f t="shared" si="20"/>
        <v>0</v>
      </c>
    </row>
    <row r="135" spans="1:29" ht="54" customHeight="1">
      <c r="A135" s="1437" t="s">
        <v>743</v>
      </c>
      <c r="B135" s="1127" t="s">
        <v>852</v>
      </c>
      <c r="C135" s="871">
        <f t="shared" si="28"/>
        <v>669</v>
      </c>
      <c r="D135" s="1249">
        <v>0</v>
      </c>
      <c r="E135" s="1255">
        <v>669</v>
      </c>
      <c r="F135" s="1442">
        <f t="shared" si="29"/>
        <v>669</v>
      </c>
      <c r="G135" s="1439">
        <v>0</v>
      </c>
      <c r="H135" s="970">
        <f t="shared" si="32"/>
        <v>669</v>
      </c>
      <c r="I135" s="1442">
        <f t="shared" si="30"/>
        <v>0</v>
      </c>
      <c r="J135" s="1443">
        <v>0</v>
      </c>
      <c r="K135" s="1443">
        <v>0</v>
      </c>
      <c r="L135" s="876">
        <f t="shared" si="27"/>
        <v>0</v>
      </c>
      <c r="M135" s="877">
        <f t="shared" si="27"/>
        <v>0</v>
      </c>
      <c r="N135" s="877">
        <f t="shared" si="27"/>
        <v>0</v>
      </c>
      <c r="O135" s="1214" t="s">
        <v>1192</v>
      </c>
      <c r="P135" s="1214" t="s">
        <v>1218</v>
      </c>
      <c r="Q135" s="1065">
        <f t="shared" si="31"/>
        <v>0</v>
      </c>
      <c r="R135" s="1065">
        <f t="shared" si="31"/>
        <v>0</v>
      </c>
      <c r="S135" s="1065">
        <f t="shared" si="31"/>
        <v>0</v>
      </c>
      <c r="T135" s="1099" t="s">
        <v>886</v>
      </c>
      <c r="U135" s="1100" t="s">
        <v>892</v>
      </c>
      <c r="V135" s="1099">
        <v>414</v>
      </c>
      <c r="W135" s="1099">
        <v>14087</v>
      </c>
      <c r="Z135" s="1311">
        <f t="shared" si="17"/>
        <v>0</v>
      </c>
      <c r="AA135" s="1374">
        <f t="shared" si="18"/>
        <v>0</v>
      </c>
      <c r="AB135" s="912">
        <f t="shared" si="19"/>
        <v>0</v>
      </c>
      <c r="AC135" s="912">
        <f t="shared" si="20"/>
        <v>0</v>
      </c>
    </row>
    <row r="136" spans="1:29" ht="54" customHeight="1">
      <c r="A136" s="1437" t="s">
        <v>744</v>
      </c>
      <c r="B136" s="1127" t="s">
        <v>853</v>
      </c>
      <c r="C136" s="871">
        <f t="shared" si="28"/>
        <v>879</v>
      </c>
      <c r="D136" s="972">
        <v>0</v>
      </c>
      <c r="E136" s="1255">
        <v>879</v>
      </c>
      <c r="F136" s="1442">
        <f t="shared" si="29"/>
        <v>879</v>
      </c>
      <c r="G136" s="1439">
        <v>0</v>
      </c>
      <c r="H136" s="970">
        <f t="shared" si="32"/>
        <v>879</v>
      </c>
      <c r="I136" s="1442">
        <f t="shared" si="30"/>
        <v>0</v>
      </c>
      <c r="J136" s="1443">
        <v>0</v>
      </c>
      <c r="K136" s="1443">
        <v>0</v>
      </c>
      <c r="L136" s="876">
        <f t="shared" si="27"/>
        <v>0</v>
      </c>
      <c r="M136" s="877">
        <f t="shared" si="27"/>
        <v>0</v>
      </c>
      <c r="N136" s="877">
        <f t="shared" si="27"/>
        <v>0</v>
      </c>
      <c r="O136" s="1214" t="s">
        <v>1192</v>
      </c>
      <c r="P136" s="1214" t="s">
        <v>1212</v>
      </c>
      <c r="Q136" s="1065">
        <f t="shared" si="31"/>
        <v>0</v>
      </c>
      <c r="R136" s="1065">
        <f t="shared" si="31"/>
        <v>0</v>
      </c>
      <c r="S136" s="1065">
        <f t="shared" si="31"/>
        <v>0</v>
      </c>
      <c r="T136" s="1099" t="s">
        <v>886</v>
      </c>
      <c r="U136" s="1100" t="s">
        <v>892</v>
      </c>
      <c r="V136" s="1099">
        <v>414</v>
      </c>
      <c r="W136" s="1099">
        <v>14088</v>
      </c>
      <c r="Z136" s="1311">
        <f t="shared" si="17"/>
        <v>0</v>
      </c>
      <c r="AA136" s="1374">
        <f t="shared" si="18"/>
        <v>0</v>
      </c>
      <c r="AB136" s="912">
        <f t="shared" si="19"/>
        <v>0</v>
      </c>
      <c r="AC136" s="912">
        <f t="shared" si="20"/>
        <v>0</v>
      </c>
    </row>
    <row r="137" spans="1:29" s="515" customFormat="1" ht="115.5" customHeight="1">
      <c r="A137" s="1431" t="s">
        <v>745</v>
      </c>
      <c r="B137" s="987" t="s">
        <v>864</v>
      </c>
      <c r="C137" s="871">
        <f t="shared" si="28"/>
        <v>13573.4</v>
      </c>
      <c r="D137" s="1249">
        <v>0</v>
      </c>
      <c r="E137" s="1249">
        <v>13573.4</v>
      </c>
      <c r="F137" s="1442">
        <f>SUM(G137:H137)</f>
        <v>13573.4</v>
      </c>
      <c r="G137" s="1439">
        <v>0</v>
      </c>
      <c r="H137" s="970">
        <f t="shared" si="32"/>
        <v>13573.4</v>
      </c>
      <c r="I137" s="1442">
        <f t="shared" si="30"/>
        <v>0</v>
      </c>
      <c r="J137" s="1439">
        <v>0</v>
      </c>
      <c r="K137" s="1439">
        <v>0</v>
      </c>
      <c r="L137" s="876">
        <f t="shared" si="27"/>
        <v>0</v>
      </c>
      <c r="M137" s="877">
        <f t="shared" si="27"/>
        <v>0</v>
      </c>
      <c r="N137" s="877">
        <f t="shared" si="27"/>
        <v>0</v>
      </c>
      <c r="O137" s="1214" t="s">
        <v>1192</v>
      </c>
      <c r="P137" s="1214" t="s">
        <v>1219</v>
      </c>
      <c r="Q137" s="1065">
        <f t="shared" si="31"/>
        <v>0</v>
      </c>
      <c r="R137" s="1065">
        <f t="shared" si="31"/>
        <v>0</v>
      </c>
      <c r="S137" s="1065">
        <f t="shared" si="31"/>
        <v>0</v>
      </c>
      <c r="T137" s="1099" t="s">
        <v>872</v>
      </c>
      <c r="U137" s="1100">
        <v>1130390400</v>
      </c>
      <c r="V137" s="1099">
        <v>414</v>
      </c>
      <c r="W137" s="1099">
        <v>10122</v>
      </c>
      <c r="X137" s="1220"/>
      <c r="Z137" s="1311">
        <f t="shared" si="17"/>
        <v>0</v>
      </c>
      <c r="AA137" s="1374">
        <f t="shared" si="18"/>
        <v>0</v>
      </c>
      <c r="AB137" s="912">
        <f t="shared" si="19"/>
        <v>0</v>
      </c>
      <c r="AC137" s="912">
        <f t="shared" si="20"/>
        <v>0</v>
      </c>
    </row>
    <row r="138" spans="1:29" s="515" customFormat="1" ht="54" customHeight="1">
      <c r="A138" s="1431" t="s">
        <v>746</v>
      </c>
      <c r="B138" s="1278" t="s">
        <v>1317</v>
      </c>
      <c r="C138" s="871">
        <f>SUM(D138:E138)</f>
        <v>4800</v>
      </c>
      <c r="D138" s="1249">
        <v>0</v>
      </c>
      <c r="E138" s="1249">
        <v>4800</v>
      </c>
      <c r="F138" s="1442">
        <f>SUM(G138:H138)</f>
        <v>4800</v>
      </c>
      <c r="G138" s="1439">
        <v>0</v>
      </c>
      <c r="H138" s="970">
        <f t="shared" si="32"/>
        <v>4800</v>
      </c>
      <c r="I138" s="1442">
        <f>SUM(J138:K138)</f>
        <v>0</v>
      </c>
      <c r="J138" s="1439">
        <v>0</v>
      </c>
      <c r="K138" s="1439">
        <v>0</v>
      </c>
      <c r="L138" s="876">
        <f>IF(I138=0,0,I138/F138*100)</f>
        <v>0</v>
      </c>
      <c r="M138" s="877">
        <f>IF(J138=0,0,J138/G138*100)</f>
        <v>0</v>
      </c>
      <c r="N138" s="877">
        <f>IF(K138=0,0,K138/H138*100)</f>
        <v>0</v>
      </c>
      <c r="O138" s="1214"/>
      <c r="P138" s="1214"/>
      <c r="Q138" s="1065"/>
      <c r="R138" s="1065"/>
      <c r="S138" s="1065"/>
      <c r="T138" s="1099"/>
      <c r="U138" s="1100"/>
      <c r="V138" s="1099"/>
      <c r="W138" s="1099"/>
      <c r="X138" s="1220"/>
      <c r="Z138" s="1311">
        <f t="shared" si="17"/>
        <v>0</v>
      </c>
      <c r="AA138" s="1374">
        <f t="shared" si="18"/>
        <v>0</v>
      </c>
      <c r="AB138" s="912">
        <f t="shared" si="19"/>
        <v>0</v>
      </c>
      <c r="AC138" s="912">
        <f t="shared" si="20"/>
        <v>0</v>
      </c>
    </row>
    <row r="139" spans="1:29" ht="58.5" customHeight="1">
      <c r="A139" s="1437" t="s">
        <v>747</v>
      </c>
      <c r="B139" s="1127" t="s">
        <v>522</v>
      </c>
      <c r="C139" s="871">
        <f t="shared" si="28"/>
        <v>66153.600000000006</v>
      </c>
      <c r="D139" s="972">
        <v>50407.199999999997</v>
      </c>
      <c r="E139" s="894">
        <f>11945.9+3800.5</f>
        <v>15746.4</v>
      </c>
      <c r="F139" s="1442">
        <f t="shared" si="29"/>
        <v>11945.9</v>
      </c>
      <c r="G139" s="1443">
        <v>0</v>
      </c>
      <c r="H139" s="1445">
        <v>11945.9</v>
      </c>
      <c r="I139" s="1442">
        <f t="shared" si="30"/>
        <v>10950</v>
      </c>
      <c r="J139" s="1443">
        <v>0</v>
      </c>
      <c r="K139" s="1443">
        <v>10950</v>
      </c>
      <c r="L139" s="876">
        <f t="shared" si="27"/>
        <v>91.7</v>
      </c>
      <c r="M139" s="877">
        <f t="shared" si="27"/>
        <v>0</v>
      </c>
      <c r="N139" s="1446">
        <f t="shared" si="27"/>
        <v>91.7</v>
      </c>
      <c r="O139" s="1214" t="s">
        <v>1238</v>
      </c>
      <c r="P139" s="1214" t="s">
        <v>1220</v>
      </c>
      <c r="Q139" s="1065">
        <f t="shared" si="31"/>
        <v>54207.7</v>
      </c>
      <c r="R139" s="1065">
        <f t="shared" si="31"/>
        <v>50407.199999999997</v>
      </c>
      <c r="S139" s="1065">
        <f t="shared" si="31"/>
        <v>3800.5</v>
      </c>
      <c r="T139" s="1099" t="s">
        <v>886</v>
      </c>
      <c r="U139" s="1100">
        <v>1900290400</v>
      </c>
      <c r="V139" s="1099">
        <v>414</v>
      </c>
      <c r="W139" s="1099">
        <v>10123</v>
      </c>
      <c r="Z139" s="1311">
        <f t="shared" ref="Z139:Z205" si="33">C139-F139</f>
        <v>54207.7</v>
      </c>
      <c r="AA139" s="1374">
        <f t="shared" si="18"/>
        <v>54207.7</v>
      </c>
      <c r="AB139" s="912">
        <f t="shared" ref="AB139:AB202" si="34">D139-G139</f>
        <v>50407.199999999997</v>
      </c>
      <c r="AC139" s="912">
        <f t="shared" ref="AC139:AC202" si="35">E139-H139</f>
        <v>3800.5</v>
      </c>
    </row>
    <row r="140" spans="1:29" ht="69" customHeight="1">
      <c r="A140" s="1437" t="s">
        <v>748</v>
      </c>
      <c r="B140" s="1127" t="s">
        <v>919</v>
      </c>
      <c r="C140" s="871">
        <f t="shared" si="28"/>
        <v>37461.300000000003</v>
      </c>
      <c r="D140" s="972">
        <v>34834.800000000003</v>
      </c>
      <c r="E140" s="894">
        <v>2626.5</v>
      </c>
      <c r="F140" s="1442">
        <f t="shared" si="29"/>
        <v>0</v>
      </c>
      <c r="G140" s="1443">
        <v>0</v>
      </c>
      <c r="H140" s="1443">
        <v>0</v>
      </c>
      <c r="I140" s="1442">
        <f t="shared" si="30"/>
        <v>0</v>
      </c>
      <c r="J140" s="1443">
        <v>0</v>
      </c>
      <c r="K140" s="1443">
        <v>0</v>
      </c>
      <c r="L140" s="876">
        <f t="shared" si="27"/>
        <v>0</v>
      </c>
      <c r="M140" s="877">
        <f t="shared" si="27"/>
        <v>0</v>
      </c>
      <c r="N140" s="877">
        <f t="shared" si="27"/>
        <v>0</v>
      </c>
      <c r="O140" s="1214" t="s">
        <v>1239</v>
      </c>
      <c r="P140" s="1214" t="s">
        <v>1221</v>
      </c>
      <c r="Q140" s="1065">
        <f t="shared" si="31"/>
        <v>37461.300000000003</v>
      </c>
      <c r="R140" s="1065">
        <f t="shared" si="31"/>
        <v>34834.800000000003</v>
      </c>
      <c r="S140" s="1065">
        <f t="shared" si="31"/>
        <v>2626.5</v>
      </c>
      <c r="T140" s="1099" t="s">
        <v>886</v>
      </c>
      <c r="U140" s="1100">
        <v>1900290400</v>
      </c>
      <c r="V140" s="1099">
        <v>414</v>
      </c>
      <c r="W140" s="1099">
        <v>10124</v>
      </c>
      <c r="Z140" s="1311">
        <f t="shared" si="33"/>
        <v>37461.300000000003</v>
      </c>
      <c r="AA140" s="1374">
        <f t="shared" ref="AA140:AA203" si="36">C140-F140</f>
        <v>37461.300000000003</v>
      </c>
      <c r="AB140" s="912">
        <f t="shared" si="34"/>
        <v>34834.800000000003</v>
      </c>
      <c r="AC140" s="912">
        <f t="shared" si="35"/>
        <v>2626.5</v>
      </c>
    </row>
    <row r="141" spans="1:29" ht="56.25" customHeight="1">
      <c r="A141" s="1437" t="s">
        <v>749</v>
      </c>
      <c r="B141" s="1127" t="s">
        <v>1318</v>
      </c>
      <c r="C141" s="871">
        <f t="shared" si="28"/>
        <v>3403.5</v>
      </c>
      <c r="D141" s="972">
        <v>0</v>
      </c>
      <c r="E141" s="894">
        <v>3403.5</v>
      </c>
      <c r="F141" s="1442">
        <f t="shared" si="29"/>
        <v>3403.5</v>
      </c>
      <c r="G141" s="1443"/>
      <c r="H141" s="1443">
        <f>E141</f>
        <v>3403.5</v>
      </c>
      <c r="I141" s="1442">
        <f t="shared" si="30"/>
        <v>0</v>
      </c>
      <c r="J141" s="1443"/>
      <c r="K141" s="1443"/>
      <c r="L141" s="876">
        <f>IF(I141=0,0,I141/F141*100)</f>
        <v>0</v>
      </c>
      <c r="M141" s="877">
        <f>IF(J141=0,0,J141/G141*100)</f>
        <v>0</v>
      </c>
      <c r="N141" s="877">
        <f>IF(K141=0,0,K141/H141*100)</f>
        <v>0</v>
      </c>
      <c r="O141" s="1214"/>
      <c r="P141" s="1214"/>
      <c r="Q141" s="1065"/>
      <c r="R141" s="1065"/>
      <c r="S141" s="1065"/>
      <c r="Z141" s="1311">
        <f t="shared" si="33"/>
        <v>0</v>
      </c>
      <c r="AA141" s="1374">
        <f t="shared" si="36"/>
        <v>0</v>
      </c>
      <c r="AB141" s="912">
        <f t="shared" si="34"/>
        <v>0</v>
      </c>
      <c r="AC141" s="912">
        <f t="shared" si="35"/>
        <v>0</v>
      </c>
    </row>
    <row r="142" spans="1:29" ht="83.25" customHeight="1">
      <c r="A142" s="1437" t="s">
        <v>750</v>
      </c>
      <c r="B142" s="1127" t="s">
        <v>1331</v>
      </c>
      <c r="C142" s="1252">
        <f t="shared" si="28"/>
        <v>7459.35</v>
      </c>
      <c r="D142" s="972"/>
      <c r="E142" s="1255">
        <v>7459.35</v>
      </c>
      <c r="F142" s="881">
        <f t="shared" si="29"/>
        <v>7459.35</v>
      </c>
      <c r="G142" s="1443"/>
      <c r="H142" s="970">
        <f>E142</f>
        <v>7459.35</v>
      </c>
      <c r="I142" s="1442">
        <f>SUM(J142:K142)</f>
        <v>0</v>
      </c>
      <c r="J142" s="1443"/>
      <c r="K142" s="1443"/>
      <c r="L142" s="876">
        <f>IF(I142=0,0,I142/F142*100)</f>
        <v>0</v>
      </c>
      <c r="M142" s="877"/>
      <c r="N142" s="877"/>
      <c r="O142" s="1214"/>
      <c r="P142" s="1214"/>
      <c r="Q142" s="1065"/>
      <c r="R142" s="1065"/>
      <c r="S142" s="1065"/>
      <c r="Z142" s="1311"/>
      <c r="AA142" s="1374">
        <f t="shared" si="36"/>
        <v>0</v>
      </c>
      <c r="AB142" s="912">
        <f t="shared" si="34"/>
        <v>0</v>
      </c>
      <c r="AC142" s="912">
        <f t="shared" si="35"/>
        <v>0</v>
      </c>
    </row>
    <row r="143" spans="1:29" s="914" customFormat="1" ht="72.75" customHeight="1">
      <c r="A143" s="1452"/>
      <c r="B143" s="1261" t="s">
        <v>444</v>
      </c>
      <c r="C143" s="1051">
        <f>SUM(D143:E143)</f>
        <v>2364953.5</v>
      </c>
      <c r="D143" s="1051">
        <f>SUM(D144:D202)</f>
        <v>2117595.2000000002</v>
      </c>
      <c r="E143" s="1051">
        <f>SUM(E144:E202)</f>
        <v>247358.3</v>
      </c>
      <c r="F143" s="1051">
        <f>SUM(G143:H143)</f>
        <v>2364953.5</v>
      </c>
      <c r="G143" s="1051">
        <f>SUM(G144:G202)</f>
        <v>2117595.2000000002</v>
      </c>
      <c r="H143" s="1051">
        <f>SUM(H144:H202)</f>
        <v>247358.3</v>
      </c>
      <c r="I143" s="1051">
        <f>SUM(J143:K143)</f>
        <v>414805.4</v>
      </c>
      <c r="J143" s="1051">
        <f>SUM(J144:J202)</f>
        <v>354648.6</v>
      </c>
      <c r="K143" s="1051">
        <f>SUM(K144:K202)</f>
        <v>60156.800000000003</v>
      </c>
      <c r="L143" s="1053">
        <f t="shared" si="27"/>
        <v>17.5</v>
      </c>
      <c r="M143" s="1053">
        <f t="shared" si="27"/>
        <v>16.7</v>
      </c>
      <c r="N143" s="1053">
        <f t="shared" si="27"/>
        <v>24.3</v>
      </c>
      <c r="O143" s="1214"/>
      <c r="P143" s="1214"/>
      <c r="Q143" s="1065">
        <f t="shared" si="31"/>
        <v>0</v>
      </c>
      <c r="R143" s="1065">
        <f t="shared" si="31"/>
        <v>0</v>
      </c>
      <c r="S143" s="1065">
        <f t="shared" si="31"/>
        <v>0</v>
      </c>
      <c r="T143" s="1114"/>
      <c r="U143" s="1100"/>
      <c r="V143" s="1099"/>
      <c r="W143" s="1099"/>
      <c r="X143" s="1216"/>
      <c r="Z143" s="1311">
        <f t="shared" si="33"/>
        <v>0</v>
      </c>
      <c r="AA143" s="1374">
        <f t="shared" si="36"/>
        <v>0</v>
      </c>
      <c r="AB143" s="912">
        <f t="shared" si="34"/>
        <v>0</v>
      </c>
      <c r="AC143" s="912">
        <f t="shared" si="35"/>
        <v>0</v>
      </c>
    </row>
    <row r="144" spans="1:29" ht="120" customHeight="1">
      <c r="A144" s="1431" t="s">
        <v>751</v>
      </c>
      <c r="B144" s="955" t="s">
        <v>648</v>
      </c>
      <c r="C144" s="871">
        <f t="shared" si="28"/>
        <v>800</v>
      </c>
      <c r="D144" s="1249">
        <v>0</v>
      </c>
      <c r="E144" s="1249">
        <v>800</v>
      </c>
      <c r="F144" s="1442">
        <f t="shared" si="29"/>
        <v>800</v>
      </c>
      <c r="G144" s="1439">
        <f>D144</f>
        <v>0</v>
      </c>
      <c r="H144" s="1439">
        <f>E144</f>
        <v>800</v>
      </c>
      <c r="I144" s="1442">
        <f t="shared" si="30"/>
        <v>800</v>
      </c>
      <c r="J144" s="1439">
        <v>0</v>
      </c>
      <c r="K144" s="1439">
        <v>800</v>
      </c>
      <c r="L144" s="876">
        <f t="shared" si="27"/>
        <v>100</v>
      </c>
      <c r="M144" s="877">
        <f t="shared" si="27"/>
        <v>0</v>
      </c>
      <c r="N144" s="877">
        <f t="shared" si="27"/>
        <v>100</v>
      </c>
      <c r="O144" s="1214" t="s">
        <v>1290</v>
      </c>
      <c r="P144" s="1214" t="s">
        <v>1240</v>
      </c>
      <c r="Q144" s="1065">
        <f t="shared" si="31"/>
        <v>0</v>
      </c>
      <c r="R144" s="1065">
        <f t="shared" si="31"/>
        <v>0</v>
      </c>
      <c r="S144" s="1065">
        <f t="shared" si="31"/>
        <v>0</v>
      </c>
      <c r="T144" s="1099" t="s">
        <v>886</v>
      </c>
      <c r="U144" s="1100">
        <v>1820190400</v>
      </c>
      <c r="V144" s="1099">
        <v>414</v>
      </c>
      <c r="W144" s="1099">
        <v>14054</v>
      </c>
      <c r="Z144" s="1311">
        <f t="shared" si="33"/>
        <v>0</v>
      </c>
      <c r="AA144" s="1374">
        <f t="shared" si="36"/>
        <v>0</v>
      </c>
      <c r="AB144" s="912">
        <f t="shared" si="34"/>
        <v>0</v>
      </c>
      <c r="AC144" s="912">
        <f t="shared" si="35"/>
        <v>0</v>
      </c>
    </row>
    <row r="145" spans="1:29" s="736" customFormat="1" ht="122.25" customHeight="1">
      <c r="A145" s="1431" t="s">
        <v>854</v>
      </c>
      <c r="B145" s="956" t="s">
        <v>649</v>
      </c>
      <c r="C145" s="871">
        <f t="shared" si="28"/>
        <v>100</v>
      </c>
      <c r="D145" s="1249">
        <v>0</v>
      </c>
      <c r="E145" s="1249">
        <v>100</v>
      </c>
      <c r="F145" s="1442">
        <f t="shared" si="29"/>
        <v>100</v>
      </c>
      <c r="G145" s="1439">
        <f t="shared" ref="G145:H202" si="37">D145</f>
        <v>0</v>
      </c>
      <c r="H145" s="1439">
        <f t="shared" si="37"/>
        <v>100</v>
      </c>
      <c r="I145" s="1442">
        <f t="shared" si="30"/>
        <v>0</v>
      </c>
      <c r="J145" s="1439">
        <v>0</v>
      </c>
      <c r="K145" s="1439">
        <v>0</v>
      </c>
      <c r="L145" s="876">
        <f t="shared" si="27"/>
        <v>0</v>
      </c>
      <c r="M145" s="877">
        <f t="shared" si="27"/>
        <v>0</v>
      </c>
      <c r="N145" s="877">
        <f t="shared" si="27"/>
        <v>0</v>
      </c>
      <c r="O145" s="1214" t="s">
        <v>1291</v>
      </c>
      <c r="P145" s="1214" t="s">
        <v>1241</v>
      </c>
      <c r="Q145" s="1065">
        <f t="shared" si="31"/>
        <v>0</v>
      </c>
      <c r="R145" s="1065">
        <f t="shared" si="31"/>
        <v>0</v>
      </c>
      <c r="S145" s="1065">
        <f t="shared" si="31"/>
        <v>0</v>
      </c>
      <c r="T145" s="1099" t="s">
        <v>886</v>
      </c>
      <c r="U145" s="1100">
        <v>1820190400</v>
      </c>
      <c r="V145" s="1099">
        <v>414</v>
      </c>
      <c r="W145" s="1099">
        <v>14056</v>
      </c>
      <c r="X145" s="1216"/>
      <c r="Z145" s="1311">
        <f t="shared" si="33"/>
        <v>0</v>
      </c>
      <c r="AA145" s="1374">
        <f t="shared" si="36"/>
        <v>0</v>
      </c>
      <c r="AB145" s="912">
        <f t="shared" si="34"/>
        <v>0</v>
      </c>
      <c r="AC145" s="912">
        <f t="shared" si="35"/>
        <v>0</v>
      </c>
    </row>
    <row r="146" spans="1:29" s="736" customFormat="1" ht="112.5" customHeight="1">
      <c r="A146" s="1431" t="s">
        <v>820</v>
      </c>
      <c r="B146" s="956" t="s">
        <v>650</v>
      </c>
      <c r="C146" s="871">
        <f t="shared" si="28"/>
        <v>1500</v>
      </c>
      <c r="D146" s="1249">
        <v>0</v>
      </c>
      <c r="E146" s="1249">
        <v>1500</v>
      </c>
      <c r="F146" s="1442">
        <f t="shared" si="29"/>
        <v>1500</v>
      </c>
      <c r="G146" s="1439">
        <f t="shared" si="37"/>
        <v>0</v>
      </c>
      <c r="H146" s="1439">
        <f t="shared" si="37"/>
        <v>1500</v>
      </c>
      <c r="I146" s="1442">
        <f t="shared" si="30"/>
        <v>0</v>
      </c>
      <c r="J146" s="1439">
        <v>0</v>
      </c>
      <c r="K146" s="1439">
        <v>0</v>
      </c>
      <c r="L146" s="876">
        <f t="shared" si="27"/>
        <v>0</v>
      </c>
      <c r="M146" s="877">
        <f t="shared" si="27"/>
        <v>0</v>
      </c>
      <c r="N146" s="877">
        <f t="shared" si="27"/>
        <v>0</v>
      </c>
      <c r="O146" s="1214" t="s">
        <v>1292</v>
      </c>
      <c r="P146" s="1214" t="s">
        <v>1242</v>
      </c>
      <c r="Q146" s="1065">
        <f t="shared" si="31"/>
        <v>0</v>
      </c>
      <c r="R146" s="1065">
        <f t="shared" si="31"/>
        <v>0</v>
      </c>
      <c r="S146" s="1065">
        <f t="shared" si="31"/>
        <v>0</v>
      </c>
      <c r="T146" s="1099" t="s">
        <v>886</v>
      </c>
      <c r="U146" s="1100">
        <v>1820190400</v>
      </c>
      <c r="V146" s="1099">
        <v>414</v>
      </c>
      <c r="W146" s="1099">
        <v>14055</v>
      </c>
      <c r="X146" s="1216"/>
      <c r="Z146" s="1311">
        <f t="shared" si="33"/>
        <v>0</v>
      </c>
      <c r="AA146" s="1374">
        <f t="shared" si="36"/>
        <v>0</v>
      </c>
      <c r="AB146" s="912">
        <f t="shared" si="34"/>
        <v>0</v>
      </c>
      <c r="AC146" s="912">
        <f t="shared" si="35"/>
        <v>0</v>
      </c>
    </row>
    <row r="147" spans="1:29" s="736" customFormat="1" ht="129.75" customHeight="1">
      <c r="A147" s="1437" t="s">
        <v>834</v>
      </c>
      <c r="B147" s="956" t="s">
        <v>651</v>
      </c>
      <c r="C147" s="871">
        <f t="shared" si="28"/>
        <v>100</v>
      </c>
      <c r="D147" s="1249">
        <v>0</v>
      </c>
      <c r="E147" s="1249">
        <v>100</v>
      </c>
      <c r="F147" s="1442">
        <f t="shared" si="29"/>
        <v>100</v>
      </c>
      <c r="G147" s="1439">
        <f t="shared" si="37"/>
        <v>0</v>
      </c>
      <c r="H147" s="1439">
        <f t="shared" si="37"/>
        <v>100</v>
      </c>
      <c r="I147" s="1442">
        <f t="shared" si="30"/>
        <v>100</v>
      </c>
      <c r="J147" s="1439">
        <v>0</v>
      </c>
      <c r="K147" s="1439">
        <v>100</v>
      </c>
      <c r="L147" s="876">
        <f t="shared" si="27"/>
        <v>100</v>
      </c>
      <c r="M147" s="877">
        <f t="shared" si="27"/>
        <v>0</v>
      </c>
      <c r="N147" s="877">
        <f t="shared" si="27"/>
        <v>100</v>
      </c>
      <c r="O147" s="1214" t="s">
        <v>1293</v>
      </c>
      <c r="P147" s="1214" t="s">
        <v>1101</v>
      </c>
      <c r="Q147" s="1065">
        <f t="shared" si="31"/>
        <v>0</v>
      </c>
      <c r="R147" s="1065">
        <f t="shared" si="31"/>
        <v>0</v>
      </c>
      <c r="S147" s="1065">
        <f t="shared" si="31"/>
        <v>0</v>
      </c>
      <c r="T147" s="1099" t="s">
        <v>886</v>
      </c>
      <c r="U147" s="1100">
        <v>1820190400</v>
      </c>
      <c r="V147" s="1099">
        <v>414</v>
      </c>
      <c r="W147" s="1099">
        <v>14021</v>
      </c>
      <c r="X147" s="1216"/>
      <c r="Z147" s="1311">
        <f t="shared" si="33"/>
        <v>0</v>
      </c>
      <c r="AA147" s="1374">
        <f t="shared" si="36"/>
        <v>0</v>
      </c>
      <c r="AB147" s="912">
        <f t="shared" si="34"/>
        <v>0</v>
      </c>
      <c r="AC147" s="912">
        <f t="shared" si="35"/>
        <v>0</v>
      </c>
    </row>
    <row r="148" spans="1:29" s="736" customFormat="1" ht="92.25" customHeight="1">
      <c r="A148" s="1437" t="s">
        <v>835</v>
      </c>
      <c r="B148" s="956" t="s">
        <v>830</v>
      </c>
      <c r="C148" s="871">
        <f t="shared" si="28"/>
        <v>2800</v>
      </c>
      <c r="D148" s="1249">
        <v>0</v>
      </c>
      <c r="E148" s="1249">
        <f>100+2700</f>
        <v>2800</v>
      </c>
      <c r="F148" s="1442">
        <f t="shared" si="29"/>
        <v>2800</v>
      </c>
      <c r="G148" s="1439">
        <f t="shared" si="37"/>
        <v>0</v>
      </c>
      <c r="H148" s="1439">
        <f t="shared" si="37"/>
        <v>2800</v>
      </c>
      <c r="I148" s="1442">
        <f t="shared" si="30"/>
        <v>0</v>
      </c>
      <c r="J148" s="1439">
        <v>0</v>
      </c>
      <c r="K148" s="1439">
        <v>0</v>
      </c>
      <c r="L148" s="876">
        <f t="shared" si="27"/>
        <v>0</v>
      </c>
      <c r="M148" s="877">
        <f t="shared" si="27"/>
        <v>0</v>
      </c>
      <c r="N148" s="877">
        <f t="shared" si="27"/>
        <v>0</v>
      </c>
      <c r="O148" s="1214" t="s">
        <v>1192</v>
      </c>
      <c r="P148" s="1214" t="s">
        <v>1243</v>
      </c>
      <c r="Q148" s="1065">
        <f t="shared" si="31"/>
        <v>0</v>
      </c>
      <c r="R148" s="1065">
        <f t="shared" si="31"/>
        <v>0</v>
      </c>
      <c r="S148" s="1065">
        <f t="shared" si="31"/>
        <v>0</v>
      </c>
      <c r="T148" s="1099" t="s">
        <v>886</v>
      </c>
      <c r="U148" s="1100">
        <v>1820190400</v>
      </c>
      <c r="V148" s="1099">
        <v>414</v>
      </c>
      <c r="W148" s="1099">
        <v>14046</v>
      </c>
      <c r="X148" s="1216"/>
      <c r="Z148" s="1311">
        <f t="shared" si="33"/>
        <v>0</v>
      </c>
      <c r="AA148" s="1374">
        <f t="shared" si="36"/>
        <v>0</v>
      </c>
      <c r="AB148" s="912">
        <f t="shared" si="34"/>
        <v>0</v>
      </c>
      <c r="AC148" s="912">
        <f t="shared" si="35"/>
        <v>0</v>
      </c>
    </row>
    <row r="149" spans="1:29" s="736" customFormat="1" ht="84.75" customHeight="1">
      <c r="A149" s="1437" t="s">
        <v>826</v>
      </c>
      <c r="B149" s="956" t="s">
        <v>831</v>
      </c>
      <c r="C149" s="871">
        <f t="shared" si="28"/>
        <v>3100</v>
      </c>
      <c r="D149" s="1249">
        <v>0</v>
      </c>
      <c r="E149" s="1249">
        <f>100+3000</f>
        <v>3100</v>
      </c>
      <c r="F149" s="1442">
        <f t="shared" si="29"/>
        <v>3100</v>
      </c>
      <c r="G149" s="1439">
        <f t="shared" si="37"/>
        <v>0</v>
      </c>
      <c r="H149" s="1439">
        <f t="shared" si="37"/>
        <v>3100</v>
      </c>
      <c r="I149" s="1442">
        <f t="shared" si="30"/>
        <v>0</v>
      </c>
      <c r="J149" s="1439">
        <v>0</v>
      </c>
      <c r="K149" s="1439">
        <v>0</v>
      </c>
      <c r="L149" s="876">
        <f t="shared" si="27"/>
        <v>0</v>
      </c>
      <c r="M149" s="877">
        <f t="shared" si="27"/>
        <v>0</v>
      </c>
      <c r="N149" s="877">
        <f t="shared" si="27"/>
        <v>0</v>
      </c>
      <c r="O149" s="1214" t="s">
        <v>1294</v>
      </c>
      <c r="P149" s="1214" t="s">
        <v>1244</v>
      </c>
      <c r="Q149" s="1065">
        <f t="shared" si="31"/>
        <v>0</v>
      </c>
      <c r="R149" s="1065">
        <f t="shared" si="31"/>
        <v>0</v>
      </c>
      <c r="S149" s="1065">
        <f t="shared" si="31"/>
        <v>0</v>
      </c>
      <c r="T149" s="1099" t="s">
        <v>886</v>
      </c>
      <c r="U149" s="1100">
        <v>1820190400</v>
      </c>
      <c r="V149" s="1099">
        <v>414</v>
      </c>
      <c r="W149" s="1099">
        <v>14048</v>
      </c>
      <c r="X149" s="1216"/>
      <c r="Z149" s="1311">
        <f t="shared" si="33"/>
        <v>0</v>
      </c>
      <c r="AA149" s="1374">
        <f t="shared" si="36"/>
        <v>0</v>
      </c>
      <c r="AB149" s="912">
        <f t="shared" si="34"/>
        <v>0</v>
      </c>
      <c r="AC149" s="912">
        <f t="shared" si="35"/>
        <v>0</v>
      </c>
    </row>
    <row r="150" spans="1:29" s="736" customFormat="1" ht="84.75" customHeight="1">
      <c r="A150" s="1437" t="s">
        <v>827</v>
      </c>
      <c r="B150" s="956" t="s">
        <v>833</v>
      </c>
      <c r="C150" s="871">
        <f t="shared" si="28"/>
        <v>2200</v>
      </c>
      <c r="D150" s="1249">
        <v>0</v>
      </c>
      <c r="E150" s="1249">
        <v>2200</v>
      </c>
      <c r="F150" s="1442">
        <f t="shared" si="29"/>
        <v>2200</v>
      </c>
      <c r="G150" s="1439">
        <f t="shared" si="37"/>
        <v>0</v>
      </c>
      <c r="H150" s="1439">
        <f t="shared" si="37"/>
        <v>2200</v>
      </c>
      <c r="I150" s="1442">
        <f t="shared" si="30"/>
        <v>0</v>
      </c>
      <c r="J150" s="1439">
        <v>0</v>
      </c>
      <c r="K150" s="1439">
        <v>0</v>
      </c>
      <c r="L150" s="876">
        <f t="shared" si="27"/>
        <v>0</v>
      </c>
      <c r="M150" s="877">
        <f t="shared" si="27"/>
        <v>0</v>
      </c>
      <c r="N150" s="877">
        <f t="shared" si="27"/>
        <v>0</v>
      </c>
      <c r="O150" s="1214" t="s">
        <v>1295</v>
      </c>
      <c r="P150" s="1214" t="s">
        <v>1245</v>
      </c>
      <c r="Q150" s="1065">
        <f t="shared" si="31"/>
        <v>0</v>
      </c>
      <c r="R150" s="1065">
        <f t="shared" si="31"/>
        <v>0</v>
      </c>
      <c r="S150" s="1065">
        <f t="shared" si="31"/>
        <v>0</v>
      </c>
      <c r="T150" s="1099" t="s">
        <v>886</v>
      </c>
      <c r="U150" s="1100">
        <v>1820190400</v>
      </c>
      <c r="V150" s="1099">
        <v>414</v>
      </c>
      <c r="W150" s="1099">
        <v>14047</v>
      </c>
      <c r="X150" s="1216"/>
      <c r="Z150" s="1311">
        <f t="shared" si="33"/>
        <v>0</v>
      </c>
      <c r="AA150" s="1374">
        <f t="shared" si="36"/>
        <v>0</v>
      </c>
      <c r="AB150" s="912">
        <f t="shared" si="34"/>
        <v>0</v>
      </c>
      <c r="AC150" s="912">
        <f t="shared" si="35"/>
        <v>0</v>
      </c>
    </row>
    <row r="151" spans="1:29" s="736" customFormat="1" ht="78.75">
      <c r="A151" s="1437" t="s">
        <v>752</v>
      </c>
      <c r="B151" s="955" t="s">
        <v>705</v>
      </c>
      <c r="C151" s="871">
        <f t="shared" si="28"/>
        <v>53585.7</v>
      </c>
      <c r="D151" s="1249">
        <v>50369.9</v>
      </c>
      <c r="E151" s="1249">
        <v>3215.8</v>
      </c>
      <c r="F151" s="1442">
        <f t="shared" si="29"/>
        <v>53585.7</v>
      </c>
      <c r="G151" s="1439">
        <f t="shared" si="37"/>
        <v>50369.9</v>
      </c>
      <c r="H151" s="1439">
        <f t="shared" si="37"/>
        <v>3215.8</v>
      </c>
      <c r="I151" s="1442">
        <f t="shared" si="30"/>
        <v>0</v>
      </c>
      <c r="J151" s="2466">
        <v>0</v>
      </c>
      <c r="K151" s="2466">
        <v>0</v>
      </c>
      <c r="L151" s="2469">
        <f>IF(I151=0,0,I151/F151:F157*100)</f>
        <v>0</v>
      </c>
      <c r="M151" s="2470">
        <f>IF(J151=0,0,J151/G151:G157*100)</f>
        <v>0</v>
      </c>
      <c r="N151" s="2470">
        <f>IF(K151=0,0,K151/H151:H157*100)</f>
        <v>0</v>
      </c>
      <c r="O151" s="1214" t="s">
        <v>1192</v>
      </c>
      <c r="P151" s="1214" t="s">
        <v>1219</v>
      </c>
      <c r="Q151" s="1065">
        <f t="shared" si="31"/>
        <v>0</v>
      </c>
      <c r="R151" s="1065">
        <f t="shared" si="31"/>
        <v>0</v>
      </c>
      <c r="S151" s="1065">
        <f t="shared" si="31"/>
        <v>0</v>
      </c>
      <c r="T151" s="2456" t="s">
        <v>886</v>
      </c>
      <c r="U151" s="2456" t="s">
        <v>912</v>
      </c>
      <c r="V151" s="2456">
        <v>414</v>
      </c>
      <c r="W151" s="2456" t="s">
        <v>890</v>
      </c>
      <c r="X151" s="2468"/>
      <c r="Z151" s="1311">
        <f t="shared" si="33"/>
        <v>0</v>
      </c>
      <c r="AA151" s="1374">
        <f t="shared" si="36"/>
        <v>0</v>
      </c>
      <c r="AB151" s="912">
        <f t="shared" si="34"/>
        <v>0</v>
      </c>
      <c r="AC151" s="912">
        <f t="shared" si="35"/>
        <v>0</v>
      </c>
    </row>
    <row r="152" spans="1:29" s="736" customFormat="1" ht="93">
      <c r="A152" s="1437" t="s">
        <v>1353</v>
      </c>
      <c r="B152" s="956" t="s">
        <v>704</v>
      </c>
      <c r="C152" s="871">
        <f t="shared" si="28"/>
        <v>28400</v>
      </c>
      <c r="D152" s="1249">
        <v>26696</v>
      </c>
      <c r="E152" s="1249">
        <v>1704</v>
      </c>
      <c r="F152" s="1442">
        <f t="shared" si="29"/>
        <v>28400</v>
      </c>
      <c r="G152" s="1439">
        <f t="shared" si="37"/>
        <v>26696</v>
      </c>
      <c r="H152" s="1439">
        <f t="shared" si="37"/>
        <v>1704</v>
      </c>
      <c r="I152" s="1442">
        <f t="shared" si="30"/>
        <v>0</v>
      </c>
      <c r="J152" s="2466"/>
      <c r="K152" s="2466"/>
      <c r="L152" s="2469"/>
      <c r="M152" s="2470"/>
      <c r="N152" s="2470"/>
      <c r="O152" s="1214" t="s">
        <v>1192</v>
      </c>
      <c r="P152" s="1214" t="s">
        <v>1246</v>
      </c>
      <c r="Q152" s="1065">
        <f t="shared" si="31"/>
        <v>0</v>
      </c>
      <c r="R152" s="1065">
        <f t="shared" si="31"/>
        <v>0</v>
      </c>
      <c r="S152" s="1065">
        <f t="shared" si="31"/>
        <v>0</v>
      </c>
      <c r="T152" s="2456"/>
      <c r="U152" s="2456"/>
      <c r="V152" s="2456"/>
      <c r="W152" s="2456"/>
      <c r="X152" s="2468"/>
      <c r="Z152" s="1311">
        <f t="shared" si="33"/>
        <v>0</v>
      </c>
      <c r="AA152" s="1374">
        <f t="shared" si="36"/>
        <v>0</v>
      </c>
      <c r="AB152" s="912">
        <f t="shared" si="34"/>
        <v>0</v>
      </c>
      <c r="AC152" s="912">
        <f t="shared" si="35"/>
        <v>0</v>
      </c>
    </row>
    <row r="153" spans="1:29" s="736" customFormat="1" ht="83.25" customHeight="1">
      <c r="A153" s="1437" t="s">
        <v>1354</v>
      </c>
      <c r="B153" s="956" t="s">
        <v>703</v>
      </c>
      <c r="C153" s="871">
        <f t="shared" si="28"/>
        <v>54300</v>
      </c>
      <c r="D153" s="1249">
        <v>51042</v>
      </c>
      <c r="E153" s="1249">
        <v>3258</v>
      </c>
      <c r="F153" s="1442">
        <f t="shared" si="29"/>
        <v>54300</v>
      </c>
      <c r="G153" s="1439">
        <f t="shared" si="37"/>
        <v>51042</v>
      </c>
      <c r="H153" s="1439">
        <f t="shared" si="37"/>
        <v>3258</v>
      </c>
      <c r="I153" s="1442">
        <f t="shared" si="30"/>
        <v>0</v>
      </c>
      <c r="J153" s="2466"/>
      <c r="K153" s="2466"/>
      <c r="L153" s="2469"/>
      <c r="M153" s="2470"/>
      <c r="N153" s="2470"/>
      <c r="O153" s="1214" t="s">
        <v>1192</v>
      </c>
      <c r="P153" s="1214" t="s">
        <v>1247</v>
      </c>
      <c r="Q153" s="1065">
        <f t="shared" si="31"/>
        <v>0</v>
      </c>
      <c r="R153" s="1065">
        <f t="shared" si="31"/>
        <v>0</v>
      </c>
      <c r="S153" s="1065">
        <f t="shared" si="31"/>
        <v>0</v>
      </c>
      <c r="T153" s="2456"/>
      <c r="U153" s="2456"/>
      <c r="V153" s="2456"/>
      <c r="W153" s="2456"/>
      <c r="X153" s="2468"/>
      <c r="Z153" s="1311">
        <f t="shared" si="33"/>
        <v>0</v>
      </c>
      <c r="AA153" s="1374">
        <f t="shared" si="36"/>
        <v>0</v>
      </c>
      <c r="AB153" s="912">
        <f t="shared" si="34"/>
        <v>0</v>
      </c>
      <c r="AC153" s="912">
        <f t="shared" si="35"/>
        <v>0</v>
      </c>
    </row>
    <row r="154" spans="1:29" s="736" customFormat="1" ht="86.25" customHeight="1">
      <c r="A154" s="1437" t="s">
        <v>1355</v>
      </c>
      <c r="B154" s="956" t="s">
        <v>702</v>
      </c>
      <c r="C154" s="871">
        <f t="shared" si="28"/>
        <v>56697.8</v>
      </c>
      <c r="D154" s="1249">
        <v>53295.9</v>
      </c>
      <c r="E154" s="1249">
        <v>3401.9</v>
      </c>
      <c r="F154" s="1442">
        <f t="shared" si="29"/>
        <v>56697.8</v>
      </c>
      <c r="G154" s="1439">
        <f t="shared" si="37"/>
        <v>53295.9</v>
      </c>
      <c r="H154" s="1439">
        <f t="shared" si="37"/>
        <v>3401.9</v>
      </c>
      <c r="I154" s="1442">
        <f t="shared" si="30"/>
        <v>0</v>
      </c>
      <c r="J154" s="2466"/>
      <c r="K154" s="2466"/>
      <c r="L154" s="2469"/>
      <c r="M154" s="2470"/>
      <c r="N154" s="2470"/>
      <c r="O154" s="1214" t="s">
        <v>1192</v>
      </c>
      <c r="P154" s="1214" t="s">
        <v>1219</v>
      </c>
      <c r="Q154" s="1065">
        <f t="shared" si="31"/>
        <v>0</v>
      </c>
      <c r="R154" s="1065">
        <f t="shared" si="31"/>
        <v>0</v>
      </c>
      <c r="S154" s="1065">
        <f t="shared" si="31"/>
        <v>0</v>
      </c>
      <c r="T154" s="2456"/>
      <c r="U154" s="2456"/>
      <c r="V154" s="2456"/>
      <c r="W154" s="2456"/>
      <c r="X154" s="2468"/>
      <c r="Z154" s="1311">
        <f t="shared" si="33"/>
        <v>0</v>
      </c>
      <c r="AA154" s="1374">
        <f t="shared" si="36"/>
        <v>0</v>
      </c>
      <c r="AB154" s="912">
        <f t="shared" si="34"/>
        <v>0</v>
      </c>
      <c r="AC154" s="912">
        <f t="shared" si="35"/>
        <v>0</v>
      </c>
    </row>
    <row r="155" spans="1:29" s="736" customFormat="1" ht="58.5" customHeight="1">
      <c r="A155" s="1437" t="s">
        <v>1356</v>
      </c>
      <c r="B155" s="956" t="s">
        <v>832</v>
      </c>
      <c r="C155" s="871">
        <f t="shared" si="28"/>
        <v>8000</v>
      </c>
      <c r="D155" s="1249">
        <v>7520</v>
      </c>
      <c r="E155" s="1249">
        <v>480</v>
      </c>
      <c r="F155" s="1442">
        <f t="shared" si="29"/>
        <v>8000</v>
      </c>
      <c r="G155" s="1439">
        <f t="shared" si="37"/>
        <v>7520</v>
      </c>
      <c r="H155" s="1439">
        <f t="shared" si="37"/>
        <v>480</v>
      </c>
      <c r="I155" s="1442">
        <f t="shared" si="30"/>
        <v>0</v>
      </c>
      <c r="J155" s="2466"/>
      <c r="K155" s="2466"/>
      <c r="L155" s="2469"/>
      <c r="M155" s="2470"/>
      <c r="N155" s="2470"/>
      <c r="O155" s="1214" t="s">
        <v>1192</v>
      </c>
      <c r="P155" s="1214" t="s">
        <v>1219</v>
      </c>
      <c r="Q155" s="1065">
        <f t="shared" si="31"/>
        <v>0</v>
      </c>
      <c r="R155" s="1065">
        <f t="shared" si="31"/>
        <v>0</v>
      </c>
      <c r="S155" s="1065">
        <f t="shared" si="31"/>
        <v>0</v>
      </c>
      <c r="T155" s="2456"/>
      <c r="U155" s="2456"/>
      <c r="V155" s="2456"/>
      <c r="W155" s="2456"/>
      <c r="X155" s="2468"/>
      <c r="Z155" s="1311">
        <f t="shared" si="33"/>
        <v>0</v>
      </c>
      <c r="AA155" s="1374">
        <f t="shared" si="36"/>
        <v>0</v>
      </c>
      <c r="AB155" s="912">
        <f t="shared" si="34"/>
        <v>0</v>
      </c>
      <c r="AC155" s="912">
        <f t="shared" si="35"/>
        <v>0</v>
      </c>
    </row>
    <row r="156" spans="1:29" s="736" customFormat="1" ht="60" customHeight="1">
      <c r="A156" s="1437" t="s">
        <v>1357</v>
      </c>
      <c r="B156" s="956" t="s">
        <v>775</v>
      </c>
      <c r="C156" s="871">
        <f t="shared" si="28"/>
        <v>20200</v>
      </c>
      <c r="D156" s="1249">
        <v>18988</v>
      </c>
      <c r="E156" s="1249">
        <v>1212</v>
      </c>
      <c r="F156" s="1442">
        <f t="shared" si="29"/>
        <v>20200</v>
      </c>
      <c r="G156" s="1439">
        <f t="shared" si="37"/>
        <v>18988</v>
      </c>
      <c r="H156" s="1439">
        <f t="shared" si="37"/>
        <v>1212</v>
      </c>
      <c r="I156" s="1442">
        <f t="shared" si="30"/>
        <v>0</v>
      </c>
      <c r="J156" s="2466"/>
      <c r="K156" s="2466"/>
      <c r="L156" s="2469"/>
      <c r="M156" s="2470"/>
      <c r="N156" s="2470"/>
      <c r="O156" s="1214" t="s">
        <v>1192</v>
      </c>
      <c r="P156" s="1214" t="s">
        <v>1219</v>
      </c>
      <c r="Q156" s="1065">
        <f t="shared" si="31"/>
        <v>0</v>
      </c>
      <c r="R156" s="1065">
        <f t="shared" si="31"/>
        <v>0</v>
      </c>
      <c r="S156" s="1065">
        <f t="shared" si="31"/>
        <v>0</v>
      </c>
      <c r="T156" s="2456"/>
      <c r="U156" s="2456"/>
      <c r="V156" s="2456"/>
      <c r="W156" s="2456"/>
      <c r="X156" s="2468"/>
      <c r="Z156" s="1311">
        <f t="shared" si="33"/>
        <v>0</v>
      </c>
      <c r="AA156" s="1374">
        <f t="shared" si="36"/>
        <v>0</v>
      </c>
      <c r="AB156" s="912">
        <f t="shared" si="34"/>
        <v>0</v>
      </c>
      <c r="AC156" s="912">
        <f t="shared" si="35"/>
        <v>0</v>
      </c>
    </row>
    <row r="157" spans="1:29" s="736" customFormat="1" ht="60" customHeight="1">
      <c r="A157" s="1437" t="s">
        <v>1358</v>
      </c>
      <c r="B157" s="956" t="s">
        <v>774</v>
      </c>
      <c r="C157" s="871">
        <f t="shared" si="28"/>
        <v>20500</v>
      </c>
      <c r="D157" s="1249">
        <v>19270</v>
      </c>
      <c r="E157" s="1249">
        <v>1230</v>
      </c>
      <c r="F157" s="1442">
        <f t="shared" si="29"/>
        <v>20500</v>
      </c>
      <c r="G157" s="1439">
        <f t="shared" si="37"/>
        <v>19270</v>
      </c>
      <c r="H157" s="1439">
        <f t="shared" si="37"/>
        <v>1230</v>
      </c>
      <c r="I157" s="1442">
        <f t="shared" si="30"/>
        <v>0</v>
      </c>
      <c r="J157" s="2466"/>
      <c r="K157" s="2466"/>
      <c r="L157" s="2469"/>
      <c r="M157" s="2470"/>
      <c r="N157" s="2470"/>
      <c r="O157" s="1214" t="s">
        <v>1192</v>
      </c>
      <c r="P157" s="1214" t="s">
        <v>1219</v>
      </c>
      <c r="Q157" s="1065">
        <f t="shared" si="31"/>
        <v>0</v>
      </c>
      <c r="R157" s="1065">
        <f t="shared" si="31"/>
        <v>0</v>
      </c>
      <c r="S157" s="1065">
        <f t="shared" si="31"/>
        <v>0</v>
      </c>
      <c r="T157" s="2456"/>
      <c r="U157" s="2456"/>
      <c r="V157" s="2456"/>
      <c r="W157" s="2456"/>
      <c r="X157" s="2468"/>
      <c r="Z157" s="1311">
        <f t="shared" si="33"/>
        <v>0</v>
      </c>
      <c r="AA157" s="1374">
        <f t="shared" si="36"/>
        <v>0</v>
      </c>
      <c r="AB157" s="912">
        <f t="shared" si="34"/>
        <v>0</v>
      </c>
      <c r="AC157" s="912">
        <f t="shared" si="35"/>
        <v>0</v>
      </c>
    </row>
    <row r="158" spans="1:29" ht="105.75" customHeight="1">
      <c r="A158" s="1437" t="s">
        <v>753</v>
      </c>
      <c r="B158" s="955" t="s">
        <v>588</v>
      </c>
      <c r="C158" s="871">
        <f>SUM(D158:E158)</f>
        <v>100</v>
      </c>
      <c r="D158" s="1249">
        <v>0</v>
      </c>
      <c r="E158" s="1249">
        <v>100</v>
      </c>
      <c r="F158" s="1442">
        <f>SUM(G158:H158)</f>
        <v>100</v>
      </c>
      <c r="G158" s="1439">
        <f t="shared" si="37"/>
        <v>0</v>
      </c>
      <c r="H158" s="1439">
        <f t="shared" si="37"/>
        <v>100</v>
      </c>
      <c r="I158" s="1442">
        <f>SUM(J158:K158)</f>
        <v>98.4</v>
      </c>
      <c r="J158" s="1439">
        <v>0</v>
      </c>
      <c r="K158" s="1439">
        <v>98.4</v>
      </c>
      <c r="L158" s="876">
        <f t="shared" ref="L158:N173" si="38">IF(I158=0,0,I158/F158*100)</f>
        <v>98.4</v>
      </c>
      <c r="M158" s="877">
        <f t="shared" si="38"/>
        <v>0</v>
      </c>
      <c r="N158" s="877">
        <f t="shared" si="38"/>
        <v>98.4</v>
      </c>
      <c r="O158" s="1214" t="s">
        <v>1192</v>
      </c>
      <c r="P158" s="1214" t="s">
        <v>1251</v>
      </c>
      <c r="Q158" s="1065">
        <f t="shared" si="31"/>
        <v>0</v>
      </c>
      <c r="R158" s="1065">
        <f t="shared" si="31"/>
        <v>0</v>
      </c>
      <c r="S158" s="1065">
        <f t="shared" si="31"/>
        <v>0</v>
      </c>
      <c r="T158" s="1099" t="s">
        <v>886</v>
      </c>
      <c r="U158" s="1100" t="s">
        <v>903</v>
      </c>
      <c r="V158" s="1099">
        <v>414</v>
      </c>
      <c r="W158" s="1099" t="s">
        <v>890</v>
      </c>
      <c r="Z158" s="1311">
        <f t="shared" si="33"/>
        <v>0</v>
      </c>
      <c r="AA158" s="1374">
        <f t="shared" si="36"/>
        <v>0</v>
      </c>
      <c r="AB158" s="912">
        <f t="shared" si="34"/>
        <v>0</v>
      </c>
      <c r="AC158" s="912">
        <f t="shared" si="35"/>
        <v>0</v>
      </c>
    </row>
    <row r="159" spans="1:29" ht="105.75" customHeight="1">
      <c r="A159" s="895">
        <v>99</v>
      </c>
      <c r="B159" s="955" t="s">
        <v>589</v>
      </c>
      <c r="C159" s="871">
        <f>SUM(D159:E159)</f>
        <v>100</v>
      </c>
      <c r="D159" s="1249">
        <v>0</v>
      </c>
      <c r="E159" s="1249">
        <v>100</v>
      </c>
      <c r="F159" s="1442">
        <f>SUM(G159:H159)</f>
        <v>100</v>
      </c>
      <c r="G159" s="1439">
        <f t="shared" si="37"/>
        <v>0</v>
      </c>
      <c r="H159" s="1439">
        <f t="shared" si="37"/>
        <v>100</v>
      </c>
      <c r="I159" s="1442">
        <f>SUM(J159:K159)</f>
        <v>98.9</v>
      </c>
      <c r="J159" s="1439">
        <v>0</v>
      </c>
      <c r="K159" s="1439">
        <v>98.9</v>
      </c>
      <c r="L159" s="876">
        <f t="shared" si="38"/>
        <v>98.9</v>
      </c>
      <c r="M159" s="877">
        <f t="shared" si="38"/>
        <v>0</v>
      </c>
      <c r="N159" s="877">
        <f t="shared" si="38"/>
        <v>98.9</v>
      </c>
      <c r="O159" s="1214" t="s">
        <v>1285</v>
      </c>
      <c r="P159" s="1214" t="s">
        <v>1252</v>
      </c>
      <c r="Q159" s="1065">
        <f t="shared" si="31"/>
        <v>0</v>
      </c>
      <c r="R159" s="1065">
        <f t="shared" si="31"/>
        <v>0</v>
      </c>
      <c r="S159" s="1065">
        <f t="shared" si="31"/>
        <v>0</v>
      </c>
      <c r="T159" s="1099" t="s">
        <v>886</v>
      </c>
      <c r="U159" s="1100" t="s">
        <v>904</v>
      </c>
      <c r="V159" s="1099">
        <v>414</v>
      </c>
      <c r="W159" s="1099" t="s">
        <v>890</v>
      </c>
      <c r="Z159" s="1311">
        <f t="shared" si="33"/>
        <v>0</v>
      </c>
      <c r="AA159" s="1374">
        <f t="shared" si="36"/>
        <v>0</v>
      </c>
      <c r="AB159" s="912">
        <f t="shared" si="34"/>
        <v>0</v>
      </c>
      <c r="AC159" s="912">
        <f t="shared" si="35"/>
        <v>0</v>
      </c>
    </row>
    <row r="160" spans="1:29" ht="105.75" customHeight="1">
      <c r="A160" s="895">
        <v>100</v>
      </c>
      <c r="B160" s="955" t="s">
        <v>591</v>
      </c>
      <c r="C160" s="871">
        <f>SUM(D160:E160)</f>
        <v>100</v>
      </c>
      <c r="D160" s="1249">
        <v>0</v>
      </c>
      <c r="E160" s="1249">
        <v>100</v>
      </c>
      <c r="F160" s="1442">
        <f>SUM(G160:H160)</f>
        <v>100</v>
      </c>
      <c r="G160" s="1439">
        <f t="shared" si="37"/>
        <v>0</v>
      </c>
      <c r="H160" s="1439">
        <f t="shared" si="37"/>
        <v>100</v>
      </c>
      <c r="I160" s="1442">
        <f>SUM(J160:K160)</f>
        <v>98.7</v>
      </c>
      <c r="J160" s="1439">
        <v>0</v>
      </c>
      <c r="K160" s="1439">
        <v>98.7</v>
      </c>
      <c r="L160" s="876">
        <f t="shared" si="38"/>
        <v>98.7</v>
      </c>
      <c r="M160" s="877">
        <f t="shared" si="38"/>
        <v>0</v>
      </c>
      <c r="N160" s="877">
        <f t="shared" si="38"/>
        <v>98.7</v>
      </c>
      <c r="O160" s="1214" t="s">
        <v>1192</v>
      </c>
      <c r="P160" s="1214" t="s">
        <v>1254</v>
      </c>
      <c r="Q160" s="1065">
        <f t="shared" si="31"/>
        <v>0</v>
      </c>
      <c r="R160" s="1065">
        <f t="shared" si="31"/>
        <v>0</v>
      </c>
      <c r="S160" s="1065">
        <f t="shared" si="31"/>
        <v>0</v>
      </c>
      <c r="T160" s="1099" t="s">
        <v>886</v>
      </c>
      <c r="U160" s="1100" t="s">
        <v>906</v>
      </c>
      <c r="V160" s="1099">
        <v>414</v>
      </c>
      <c r="W160" s="1099" t="s">
        <v>890</v>
      </c>
      <c r="Z160" s="1311">
        <f t="shared" si="33"/>
        <v>0</v>
      </c>
      <c r="AA160" s="1374">
        <f t="shared" si="36"/>
        <v>0</v>
      </c>
      <c r="AB160" s="912">
        <f t="shared" si="34"/>
        <v>0</v>
      </c>
      <c r="AC160" s="912">
        <f t="shared" si="35"/>
        <v>0</v>
      </c>
    </row>
    <row r="161" spans="1:29" s="736" customFormat="1" ht="96.75" customHeight="1">
      <c r="A161" s="1437" t="s">
        <v>756</v>
      </c>
      <c r="B161" s="901" t="s">
        <v>465</v>
      </c>
      <c r="C161" s="871">
        <f t="shared" si="28"/>
        <v>18259.5</v>
      </c>
      <c r="D161" s="1249">
        <f>7398.4+9765.43</f>
        <v>17163.8</v>
      </c>
      <c r="E161" s="1249">
        <f>472.3+623.38</f>
        <v>1095.7</v>
      </c>
      <c r="F161" s="1442">
        <f t="shared" si="29"/>
        <v>18259.5</v>
      </c>
      <c r="G161" s="1439">
        <f t="shared" si="37"/>
        <v>17163.8</v>
      </c>
      <c r="H161" s="1439">
        <f t="shared" si="37"/>
        <v>1095.7</v>
      </c>
      <c r="I161" s="1442">
        <f t="shared" si="30"/>
        <v>0</v>
      </c>
      <c r="J161" s="1439">
        <v>0</v>
      </c>
      <c r="K161" s="1439">
        <v>0</v>
      </c>
      <c r="L161" s="876">
        <f t="shared" si="38"/>
        <v>0</v>
      </c>
      <c r="M161" s="877">
        <f t="shared" si="38"/>
        <v>0</v>
      </c>
      <c r="N161" s="877">
        <f t="shared" si="38"/>
        <v>0</v>
      </c>
      <c r="O161" s="1214" t="s">
        <v>1282</v>
      </c>
      <c r="P161" s="1214" t="s">
        <v>1248</v>
      </c>
      <c r="Q161" s="1065">
        <f t="shared" si="31"/>
        <v>0</v>
      </c>
      <c r="R161" s="1065">
        <f t="shared" si="31"/>
        <v>0</v>
      </c>
      <c r="S161" s="1065">
        <f t="shared" si="31"/>
        <v>0</v>
      </c>
      <c r="T161" s="1099" t="s">
        <v>886</v>
      </c>
      <c r="U161" s="1100" t="s">
        <v>901</v>
      </c>
      <c r="V161" s="1099">
        <v>414</v>
      </c>
      <c r="W161" s="1099" t="s">
        <v>890</v>
      </c>
      <c r="X161" s="1216"/>
      <c r="Z161" s="1311">
        <f t="shared" si="33"/>
        <v>0</v>
      </c>
      <c r="AA161" s="1374">
        <f t="shared" si="36"/>
        <v>0</v>
      </c>
      <c r="AB161" s="912">
        <f t="shared" si="34"/>
        <v>0</v>
      </c>
      <c r="AC161" s="912">
        <f t="shared" si="35"/>
        <v>0</v>
      </c>
    </row>
    <row r="162" spans="1:29" s="736" customFormat="1" ht="90.75" customHeight="1">
      <c r="A162" s="1437" t="s">
        <v>757</v>
      </c>
      <c r="B162" s="1084" t="s">
        <v>537</v>
      </c>
      <c r="C162" s="871">
        <f t="shared" si="28"/>
        <v>10370</v>
      </c>
      <c r="D162" s="1249">
        <f>8589.3+1158.4</f>
        <v>9747.7000000000007</v>
      </c>
      <c r="E162" s="1249">
        <f>548.3+73.95</f>
        <v>622.29999999999995</v>
      </c>
      <c r="F162" s="1442">
        <f t="shared" si="29"/>
        <v>10370</v>
      </c>
      <c r="G162" s="1439">
        <f t="shared" si="37"/>
        <v>9747.7000000000007</v>
      </c>
      <c r="H162" s="1439">
        <f t="shared" si="37"/>
        <v>622.29999999999995</v>
      </c>
      <c r="I162" s="871">
        <f t="shared" si="30"/>
        <v>6005.2</v>
      </c>
      <c r="J162" s="1249">
        <v>5644.9</v>
      </c>
      <c r="K162" s="1249">
        <v>360.3</v>
      </c>
      <c r="L162" s="876">
        <f t="shared" si="38"/>
        <v>57.9</v>
      </c>
      <c r="M162" s="877">
        <f t="shared" si="38"/>
        <v>57.9</v>
      </c>
      <c r="N162" s="877">
        <f t="shared" si="38"/>
        <v>57.9</v>
      </c>
      <c r="O162" s="1214" t="s">
        <v>1283</v>
      </c>
      <c r="P162" s="1214" t="s">
        <v>1249</v>
      </c>
      <c r="Q162" s="1065">
        <f t="shared" si="31"/>
        <v>0</v>
      </c>
      <c r="R162" s="1065">
        <f t="shared" si="31"/>
        <v>0</v>
      </c>
      <c r="S162" s="1065">
        <f t="shared" si="31"/>
        <v>0</v>
      </c>
      <c r="T162" s="1099" t="s">
        <v>886</v>
      </c>
      <c r="U162" s="1100" t="s">
        <v>907</v>
      </c>
      <c r="V162" s="1099">
        <v>414</v>
      </c>
      <c r="W162" s="1099" t="s">
        <v>890</v>
      </c>
      <c r="X162" s="1216"/>
      <c r="Z162" s="1311">
        <f t="shared" si="33"/>
        <v>0</v>
      </c>
      <c r="AA162" s="1374">
        <f t="shared" si="36"/>
        <v>0</v>
      </c>
      <c r="AB162" s="912">
        <f t="shared" si="34"/>
        <v>0</v>
      </c>
      <c r="AC162" s="912">
        <f t="shared" si="35"/>
        <v>0</v>
      </c>
    </row>
    <row r="163" spans="1:29" s="736" customFormat="1" ht="93">
      <c r="A163" s="1437" t="s">
        <v>758</v>
      </c>
      <c r="B163" s="1084" t="s">
        <v>587</v>
      </c>
      <c r="C163" s="871">
        <f t="shared" si="28"/>
        <v>16203.1</v>
      </c>
      <c r="D163" s="1249">
        <f>12178.9+3052</f>
        <v>15230.9</v>
      </c>
      <c r="E163" s="1249">
        <f>777.4+194.83</f>
        <v>972.2</v>
      </c>
      <c r="F163" s="1442">
        <f t="shared" si="29"/>
        <v>16203.1</v>
      </c>
      <c r="G163" s="1439">
        <f t="shared" si="37"/>
        <v>15230.9</v>
      </c>
      <c r="H163" s="1439">
        <f t="shared" si="37"/>
        <v>972.2</v>
      </c>
      <c r="I163" s="1442">
        <f t="shared" si="30"/>
        <v>6294.9</v>
      </c>
      <c r="J163" s="1439">
        <v>5917.2</v>
      </c>
      <c r="K163" s="1439">
        <v>377.7</v>
      </c>
      <c r="L163" s="876">
        <f t="shared" si="38"/>
        <v>38.799999999999997</v>
      </c>
      <c r="M163" s="877">
        <f t="shared" si="38"/>
        <v>38.799999999999997</v>
      </c>
      <c r="N163" s="877">
        <f t="shared" si="38"/>
        <v>38.9</v>
      </c>
      <c r="O163" s="1214" t="s">
        <v>1284</v>
      </c>
      <c r="P163" s="1214" t="s">
        <v>1250</v>
      </c>
      <c r="Q163" s="1065">
        <f t="shared" ref="Q163:S178" si="39">C163-F163</f>
        <v>0</v>
      </c>
      <c r="R163" s="1065">
        <f t="shared" si="39"/>
        <v>0</v>
      </c>
      <c r="S163" s="1065">
        <f t="shared" si="39"/>
        <v>0</v>
      </c>
      <c r="T163" s="1099" t="s">
        <v>886</v>
      </c>
      <c r="U163" s="1100" t="s">
        <v>900</v>
      </c>
      <c r="V163" s="1099">
        <v>414</v>
      </c>
      <c r="W163" s="1099" t="s">
        <v>890</v>
      </c>
      <c r="X163" s="1216"/>
      <c r="Z163" s="1311">
        <f t="shared" si="33"/>
        <v>0</v>
      </c>
      <c r="AA163" s="1374">
        <f t="shared" si="36"/>
        <v>0</v>
      </c>
      <c r="AB163" s="912">
        <f t="shared" si="34"/>
        <v>0</v>
      </c>
      <c r="AC163" s="912">
        <f t="shared" si="35"/>
        <v>0</v>
      </c>
    </row>
    <row r="164" spans="1:29" ht="136.5" customHeight="1">
      <c r="A164" s="1437" t="s">
        <v>1359</v>
      </c>
      <c r="B164" s="955" t="s">
        <v>588</v>
      </c>
      <c r="C164" s="871">
        <f t="shared" si="28"/>
        <v>22869.1</v>
      </c>
      <c r="D164" s="1249">
        <f>18886.8+2610.06</f>
        <v>21496.9</v>
      </c>
      <c r="E164" s="1249">
        <f>1205.6+166.61</f>
        <v>1372.2</v>
      </c>
      <c r="F164" s="1442">
        <f t="shared" si="29"/>
        <v>22869.1</v>
      </c>
      <c r="G164" s="1439">
        <f t="shared" si="37"/>
        <v>21496.9</v>
      </c>
      <c r="H164" s="1439">
        <f t="shared" si="37"/>
        <v>1372.2</v>
      </c>
      <c r="I164" s="1442">
        <f t="shared" si="30"/>
        <v>0</v>
      </c>
      <c r="J164" s="1439">
        <v>0</v>
      </c>
      <c r="K164" s="1439">
        <v>0</v>
      </c>
      <c r="L164" s="876">
        <f t="shared" si="38"/>
        <v>0</v>
      </c>
      <c r="M164" s="877">
        <f t="shared" si="38"/>
        <v>0</v>
      </c>
      <c r="N164" s="877">
        <f t="shared" si="38"/>
        <v>0</v>
      </c>
      <c r="O164" s="1214" t="s">
        <v>1192</v>
      </c>
      <c r="P164" s="1214" t="s">
        <v>1251</v>
      </c>
      <c r="Q164" s="1065">
        <f t="shared" si="39"/>
        <v>0</v>
      </c>
      <c r="R164" s="1065">
        <f t="shared" si="39"/>
        <v>0</v>
      </c>
      <c r="S164" s="1065">
        <f t="shared" si="39"/>
        <v>0</v>
      </c>
      <c r="T164" s="1099" t="s">
        <v>886</v>
      </c>
      <c r="U164" s="1100" t="s">
        <v>903</v>
      </c>
      <c r="V164" s="1099">
        <v>414</v>
      </c>
      <c r="W164" s="1099" t="s">
        <v>890</v>
      </c>
      <c r="Z164" s="1311">
        <f t="shared" si="33"/>
        <v>0</v>
      </c>
      <c r="AA164" s="1374">
        <f t="shared" si="36"/>
        <v>0</v>
      </c>
      <c r="AB164" s="912">
        <f t="shared" si="34"/>
        <v>0</v>
      </c>
      <c r="AC164" s="912">
        <f t="shared" si="35"/>
        <v>0</v>
      </c>
    </row>
    <row r="165" spans="1:29" ht="105" customHeight="1">
      <c r="A165" s="1437" t="s">
        <v>1360</v>
      </c>
      <c r="B165" s="955" t="s">
        <v>589</v>
      </c>
      <c r="C165" s="871">
        <f t="shared" si="28"/>
        <v>10547.8</v>
      </c>
      <c r="D165" s="1249">
        <f>8642.5+1272.44</f>
        <v>9914.9</v>
      </c>
      <c r="E165" s="1249">
        <f>551.7+81.23</f>
        <v>632.9</v>
      </c>
      <c r="F165" s="1442">
        <f t="shared" si="29"/>
        <v>10547.8</v>
      </c>
      <c r="G165" s="1439">
        <f t="shared" si="37"/>
        <v>9914.9</v>
      </c>
      <c r="H165" s="1439">
        <f t="shared" si="37"/>
        <v>632.9</v>
      </c>
      <c r="I165" s="1442">
        <f t="shared" si="30"/>
        <v>0</v>
      </c>
      <c r="J165" s="1439">
        <v>0</v>
      </c>
      <c r="K165" s="1439">
        <v>0</v>
      </c>
      <c r="L165" s="876">
        <f t="shared" si="38"/>
        <v>0</v>
      </c>
      <c r="M165" s="877">
        <f t="shared" si="38"/>
        <v>0</v>
      </c>
      <c r="N165" s="877">
        <f t="shared" si="38"/>
        <v>0</v>
      </c>
      <c r="O165" s="1214" t="s">
        <v>1285</v>
      </c>
      <c r="P165" s="1214" t="s">
        <v>1252</v>
      </c>
      <c r="Q165" s="1065">
        <f t="shared" si="39"/>
        <v>0</v>
      </c>
      <c r="R165" s="1065">
        <f t="shared" si="39"/>
        <v>0</v>
      </c>
      <c r="S165" s="1065">
        <f t="shared" si="39"/>
        <v>0</v>
      </c>
      <c r="T165" s="1099" t="s">
        <v>886</v>
      </c>
      <c r="U165" s="1100" t="s">
        <v>904</v>
      </c>
      <c r="V165" s="1099">
        <v>414</v>
      </c>
      <c r="W165" s="1099" t="s">
        <v>890</v>
      </c>
      <c r="Z165" s="1311">
        <f t="shared" si="33"/>
        <v>0</v>
      </c>
      <c r="AA165" s="1374">
        <f t="shared" si="36"/>
        <v>0</v>
      </c>
      <c r="AB165" s="912">
        <f t="shared" si="34"/>
        <v>0</v>
      </c>
      <c r="AC165" s="912">
        <f t="shared" si="35"/>
        <v>0</v>
      </c>
    </row>
    <row r="166" spans="1:29" ht="88.5" customHeight="1">
      <c r="A166" s="895">
        <v>104</v>
      </c>
      <c r="B166" s="955" t="s">
        <v>616</v>
      </c>
      <c r="C166" s="871">
        <f t="shared" si="28"/>
        <v>64593.7</v>
      </c>
      <c r="D166" s="1249">
        <f>17561.3+43156.37</f>
        <v>60717.7</v>
      </c>
      <c r="E166" s="1249">
        <f>1121.1+2754.89</f>
        <v>3876</v>
      </c>
      <c r="F166" s="1442">
        <f t="shared" si="29"/>
        <v>64593.7</v>
      </c>
      <c r="G166" s="1439">
        <f t="shared" si="37"/>
        <v>60717.7</v>
      </c>
      <c r="H166" s="1439">
        <f t="shared" si="37"/>
        <v>3876</v>
      </c>
      <c r="I166" s="1442">
        <f t="shared" si="30"/>
        <v>0</v>
      </c>
      <c r="J166" s="1439">
        <v>0</v>
      </c>
      <c r="K166" s="1439">
        <v>0</v>
      </c>
      <c r="L166" s="876">
        <f t="shared" si="38"/>
        <v>0</v>
      </c>
      <c r="M166" s="877">
        <f t="shared" si="38"/>
        <v>0</v>
      </c>
      <c r="N166" s="877">
        <f t="shared" si="38"/>
        <v>0</v>
      </c>
      <c r="O166" s="1214" t="s">
        <v>1192</v>
      </c>
      <c r="P166" s="1214" t="s">
        <v>1253</v>
      </c>
      <c r="Q166" s="1065">
        <f t="shared" si="39"/>
        <v>0</v>
      </c>
      <c r="R166" s="1065">
        <f t="shared" si="39"/>
        <v>0</v>
      </c>
      <c r="S166" s="1065">
        <f t="shared" si="39"/>
        <v>0</v>
      </c>
      <c r="T166" s="1099" t="s">
        <v>886</v>
      </c>
      <c r="U166" s="1100" t="s">
        <v>905</v>
      </c>
      <c r="V166" s="1099">
        <v>414</v>
      </c>
      <c r="W166" s="1099" t="s">
        <v>890</v>
      </c>
      <c r="Z166" s="1311">
        <f t="shared" si="33"/>
        <v>0</v>
      </c>
      <c r="AA166" s="1374">
        <f t="shared" si="36"/>
        <v>0</v>
      </c>
      <c r="AB166" s="912">
        <f t="shared" si="34"/>
        <v>0</v>
      </c>
      <c r="AC166" s="912">
        <f t="shared" si="35"/>
        <v>0</v>
      </c>
    </row>
    <row r="167" spans="1:29" ht="118.5" customHeight="1">
      <c r="A167" s="1437" t="s">
        <v>1361</v>
      </c>
      <c r="B167" s="955" t="s">
        <v>591</v>
      </c>
      <c r="C167" s="871">
        <f t="shared" si="28"/>
        <v>36681.5</v>
      </c>
      <c r="D167" s="1249">
        <f>32344.5+2136.03</f>
        <v>34480.5</v>
      </c>
      <c r="E167" s="1249">
        <f>2064.6+136.35</f>
        <v>2201</v>
      </c>
      <c r="F167" s="1442">
        <f t="shared" si="29"/>
        <v>36681.5</v>
      </c>
      <c r="G167" s="1439">
        <f t="shared" si="37"/>
        <v>34480.5</v>
      </c>
      <c r="H167" s="1439">
        <f t="shared" si="37"/>
        <v>2201</v>
      </c>
      <c r="I167" s="1442">
        <f t="shared" si="30"/>
        <v>0</v>
      </c>
      <c r="J167" s="1439">
        <v>0</v>
      </c>
      <c r="K167" s="1439">
        <v>0</v>
      </c>
      <c r="L167" s="876">
        <f t="shared" si="38"/>
        <v>0</v>
      </c>
      <c r="M167" s="877">
        <f t="shared" si="38"/>
        <v>0</v>
      </c>
      <c r="N167" s="877">
        <f t="shared" si="38"/>
        <v>0</v>
      </c>
      <c r="O167" s="1214" t="s">
        <v>1192</v>
      </c>
      <c r="P167" s="1214" t="s">
        <v>1254</v>
      </c>
      <c r="Q167" s="1065">
        <f t="shared" si="39"/>
        <v>0</v>
      </c>
      <c r="R167" s="1065">
        <f t="shared" si="39"/>
        <v>0</v>
      </c>
      <c r="S167" s="1065">
        <f t="shared" si="39"/>
        <v>0</v>
      </c>
      <c r="T167" s="1099" t="s">
        <v>886</v>
      </c>
      <c r="U167" s="1100" t="s">
        <v>906</v>
      </c>
      <c r="V167" s="1099">
        <v>414</v>
      </c>
      <c r="W167" s="1099" t="s">
        <v>890</v>
      </c>
      <c r="Z167" s="1311">
        <f t="shared" si="33"/>
        <v>0</v>
      </c>
      <c r="AA167" s="1374">
        <f t="shared" si="36"/>
        <v>0</v>
      </c>
      <c r="AB167" s="912">
        <f t="shared" si="34"/>
        <v>0</v>
      </c>
      <c r="AC167" s="912">
        <f t="shared" si="35"/>
        <v>0</v>
      </c>
    </row>
    <row r="168" spans="1:29" ht="93">
      <c r="A168" s="895">
        <v>105</v>
      </c>
      <c r="B168" s="1084" t="s">
        <v>575</v>
      </c>
      <c r="C168" s="871">
        <f t="shared" si="28"/>
        <v>5568.4</v>
      </c>
      <c r="D168" s="1249">
        <f>2306.5+2927.68</f>
        <v>5234.2</v>
      </c>
      <c r="E168" s="1249">
        <f>147.3+186.89</f>
        <v>334.2</v>
      </c>
      <c r="F168" s="1442">
        <f t="shared" si="29"/>
        <v>5568.4</v>
      </c>
      <c r="G168" s="1439">
        <f t="shared" si="37"/>
        <v>5234.2</v>
      </c>
      <c r="H168" s="1439">
        <f t="shared" si="37"/>
        <v>334.2</v>
      </c>
      <c r="I168" s="1442">
        <f t="shared" si="30"/>
        <v>0</v>
      </c>
      <c r="J168" s="1439">
        <v>0</v>
      </c>
      <c r="K168" s="1439">
        <v>0</v>
      </c>
      <c r="L168" s="876">
        <f t="shared" si="38"/>
        <v>0</v>
      </c>
      <c r="M168" s="877">
        <f t="shared" si="38"/>
        <v>0</v>
      </c>
      <c r="N168" s="877">
        <f t="shared" si="38"/>
        <v>0</v>
      </c>
      <c r="O168" s="1214" t="s">
        <v>1192</v>
      </c>
      <c r="P168" s="1214" t="s">
        <v>1102</v>
      </c>
      <c r="Q168" s="1065">
        <f t="shared" si="39"/>
        <v>0</v>
      </c>
      <c r="R168" s="1065">
        <f t="shared" si="39"/>
        <v>0</v>
      </c>
      <c r="S168" s="1065">
        <f t="shared" si="39"/>
        <v>0</v>
      </c>
      <c r="T168" s="1099" t="s">
        <v>886</v>
      </c>
      <c r="U168" s="1100" t="s">
        <v>902</v>
      </c>
      <c r="V168" s="1099">
        <v>414</v>
      </c>
      <c r="W168" s="1099" t="s">
        <v>890</v>
      </c>
      <c r="Z168" s="1311">
        <f t="shared" si="33"/>
        <v>0</v>
      </c>
      <c r="AA168" s="1374">
        <f t="shared" si="36"/>
        <v>0</v>
      </c>
      <c r="AB168" s="912">
        <f t="shared" si="34"/>
        <v>0</v>
      </c>
      <c r="AC168" s="912">
        <f t="shared" si="35"/>
        <v>0</v>
      </c>
    </row>
    <row r="169" spans="1:29" ht="99" customHeight="1">
      <c r="A169" s="1437" t="s">
        <v>761</v>
      </c>
      <c r="B169" s="1084" t="s">
        <v>660</v>
      </c>
      <c r="C169" s="871">
        <f t="shared" si="28"/>
        <v>14883.1</v>
      </c>
      <c r="D169" s="1249">
        <f>6906.5+7083.4</f>
        <v>13989.9</v>
      </c>
      <c r="E169" s="1249">
        <f>441.1+452.1</f>
        <v>893.2</v>
      </c>
      <c r="F169" s="1442">
        <f t="shared" si="29"/>
        <v>14883.1</v>
      </c>
      <c r="G169" s="1439">
        <f t="shared" si="37"/>
        <v>13989.9</v>
      </c>
      <c r="H169" s="1439">
        <f t="shared" si="37"/>
        <v>893.2</v>
      </c>
      <c r="I169" s="1442">
        <f t="shared" si="30"/>
        <v>5722.1</v>
      </c>
      <c r="J169" s="1439">
        <f>5163.728+215.006</f>
        <v>5378.7</v>
      </c>
      <c r="K169" s="1439">
        <f>329.627+13.724</f>
        <v>343.4</v>
      </c>
      <c r="L169" s="876">
        <f t="shared" si="38"/>
        <v>38.4</v>
      </c>
      <c r="M169" s="877">
        <f t="shared" si="38"/>
        <v>38.4</v>
      </c>
      <c r="N169" s="877">
        <f t="shared" si="38"/>
        <v>38.4</v>
      </c>
      <c r="O169" s="1214" t="s">
        <v>1286</v>
      </c>
      <c r="P169" s="1214" t="s">
        <v>1255</v>
      </c>
      <c r="Q169" s="1065">
        <f t="shared" si="39"/>
        <v>0</v>
      </c>
      <c r="R169" s="1065">
        <f t="shared" si="39"/>
        <v>0</v>
      </c>
      <c r="S169" s="1065">
        <f t="shared" si="39"/>
        <v>0</v>
      </c>
      <c r="T169" s="1099" t="s">
        <v>886</v>
      </c>
      <c r="U169" s="1100" t="s">
        <v>908</v>
      </c>
      <c r="V169" s="1099">
        <v>414</v>
      </c>
      <c r="W169" s="1099" t="s">
        <v>890</v>
      </c>
      <c r="Z169" s="1311">
        <f t="shared" si="33"/>
        <v>0</v>
      </c>
      <c r="AA169" s="1374">
        <f t="shared" si="36"/>
        <v>0</v>
      </c>
      <c r="AB169" s="912">
        <f t="shared" si="34"/>
        <v>0</v>
      </c>
      <c r="AC169" s="912">
        <f t="shared" si="35"/>
        <v>0</v>
      </c>
    </row>
    <row r="170" spans="1:29" ht="63" customHeight="1">
      <c r="A170" s="1437" t="s">
        <v>764</v>
      </c>
      <c r="B170" s="1084" t="s">
        <v>659</v>
      </c>
      <c r="C170" s="871">
        <f t="shared" si="28"/>
        <v>5350.6</v>
      </c>
      <c r="D170" s="1249">
        <f>4104.3+925.11</f>
        <v>5029.3999999999996</v>
      </c>
      <c r="E170" s="1249">
        <f>262.1+59.05</f>
        <v>321.2</v>
      </c>
      <c r="F170" s="1442">
        <f t="shared" si="29"/>
        <v>5350.6</v>
      </c>
      <c r="G170" s="1439">
        <f t="shared" si="37"/>
        <v>5029.3999999999996</v>
      </c>
      <c r="H170" s="1439">
        <f t="shared" si="37"/>
        <v>321.2</v>
      </c>
      <c r="I170" s="1442">
        <f t="shared" si="30"/>
        <v>0</v>
      </c>
      <c r="J170" s="1439">
        <v>0</v>
      </c>
      <c r="K170" s="1439">
        <v>0</v>
      </c>
      <c r="L170" s="876">
        <f t="shared" si="38"/>
        <v>0</v>
      </c>
      <c r="M170" s="877">
        <f t="shared" si="38"/>
        <v>0</v>
      </c>
      <c r="N170" s="877">
        <f t="shared" si="38"/>
        <v>0</v>
      </c>
      <c r="O170" s="1214" t="s">
        <v>1287</v>
      </c>
      <c r="P170" s="1214" t="s">
        <v>1256</v>
      </c>
      <c r="Q170" s="1065">
        <f t="shared" si="39"/>
        <v>0</v>
      </c>
      <c r="R170" s="1065">
        <f t="shared" si="39"/>
        <v>0</v>
      </c>
      <c r="S170" s="1065">
        <f t="shared" si="39"/>
        <v>0</v>
      </c>
      <c r="T170" s="1099" t="s">
        <v>886</v>
      </c>
      <c r="U170" s="1100" t="s">
        <v>909</v>
      </c>
      <c r="V170" s="1099">
        <v>414</v>
      </c>
      <c r="W170" s="1099" t="s">
        <v>910</v>
      </c>
      <c r="Z170" s="1311">
        <f t="shared" si="33"/>
        <v>0</v>
      </c>
      <c r="AA170" s="1374">
        <f t="shared" si="36"/>
        <v>0</v>
      </c>
      <c r="AB170" s="912">
        <f t="shared" si="34"/>
        <v>0</v>
      </c>
      <c r="AC170" s="912">
        <f t="shared" si="35"/>
        <v>0</v>
      </c>
    </row>
    <row r="171" spans="1:29" ht="86.25" customHeight="1">
      <c r="A171" s="1437" t="s">
        <v>1062</v>
      </c>
      <c r="B171" s="1436" t="s">
        <v>459</v>
      </c>
      <c r="C171" s="871">
        <f t="shared" si="28"/>
        <v>3006.6</v>
      </c>
      <c r="D171" s="972">
        <f>2610.1+215.98</f>
        <v>2826.1</v>
      </c>
      <c r="E171" s="972">
        <f>166.7+13.79</f>
        <v>180.5</v>
      </c>
      <c r="F171" s="1442">
        <f t="shared" si="29"/>
        <v>3006.6</v>
      </c>
      <c r="G171" s="1439">
        <f t="shared" si="37"/>
        <v>2826.1</v>
      </c>
      <c r="H171" s="1439">
        <f t="shared" si="37"/>
        <v>180.5</v>
      </c>
      <c r="I171" s="1442">
        <f t="shared" si="30"/>
        <v>0</v>
      </c>
      <c r="J171" s="1443">
        <v>0</v>
      </c>
      <c r="K171" s="1443">
        <v>0</v>
      </c>
      <c r="L171" s="876">
        <f t="shared" si="38"/>
        <v>0</v>
      </c>
      <c r="M171" s="877">
        <f t="shared" si="38"/>
        <v>0</v>
      </c>
      <c r="N171" s="877">
        <f t="shared" si="38"/>
        <v>0</v>
      </c>
      <c r="O171" s="1214" t="s">
        <v>1288</v>
      </c>
      <c r="P171" s="1214" t="s">
        <v>1257</v>
      </c>
      <c r="Q171" s="1065">
        <f t="shared" si="39"/>
        <v>0</v>
      </c>
      <c r="R171" s="1065">
        <f t="shared" si="39"/>
        <v>0</v>
      </c>
      <c r="S171" s="1065">
        <f t="shared" si="39"/>
        <v>0</v>
      </c>
      <c r="T171" s="1099" t="s">
        <v>886</v>
      </c>
      <c r="U171" s="1100" t="s">
        <v>889</v>
      </c>
      <c r="V171" s="1099">
        <v>414</v>
      </c>
      <c r="W171" s="1099" t="s">
        <v>890</v>
      </c>
      <c r="Z171" s="1311">
        <f t="shared" si="33"/>
        <v>0</v>
      </c>
      <c r="AA171" s="1374">
        <f t="shared" si="36"/>
        <v>0</v>
      </c>
      <c r="AB171" s="912">
        <f t="shared" si="34"/>
        <v>0</v>
      </c>
      <c r="AC171" s="912">
        <f t="shared" si="35"/>
        <v>0</v>
      </c>
    </row>
    <row r="172" spans="1:29" s="515" customFormat="1" ht="72.75" customHeight="1">
      <c r="A172" s="1437" t="s">
        <v>828</v>
      </c>
      <c r="B172" s="1075" t="s">
        <v>568</v>
      </c>
      <c r="C172" s="871">
        <f t="shared" si="28"/>
        <v>4391.5</v>
      </c>
      <c r="D172" s="972">
        <f>3674.8+453.18</f>
        <v>4128</v>
      </c>
      <c r="E172" s="972">
        <f>234.6+28.93</f>
        <v>263.5</v>
      </c>
      <c r="F172" s="1442">
        <f t="shared" si="29"/>
        <v>4391.5</v>
      </c>
      <c r="G172" s="1439">
        <f t="shared" si="37"/>
        <v>4128</v>
      </c>
      <c r="H172" s="1439">
        <f t="shared" si="37"/>
        <v>263.5</v>
      </c>
      <c r="I172" s="1442">
        <f t="shared" si="30"/>
        <v>3596.2</v>
      </c>
      <c r="J172" s="1443">
        <v>3380.4</v>
      </c>
      <c r="K172" s="1443">
        <v>215.8</v>
      </c>
      <c r="L172" s="876">
        <f t="shared" si="38"/>
        <v>81.900000000000006</v>
      </c>
      <c r="M172" s="877">
        <f t="shared" si="38"/>
        <v>81.900000000000006</v>
      </c>
      <c r="N172" s="877">
        <f t="shared" si="38"/>
        <v>81.900000000000006</v>
      </c>
      <c r="O172" s="1214" t="s">
        <v>1289</v>
      </c>
      <c r="P172" s="1214" t="s">
        <v>1258</v>
      </c>
      <c r="Q172" s="1065">
        <f t="shared" si="39"/>
        <v>0</v>
      </c>
      <c r="R172" s="1065">
        <f t="shared" si="39"/>
        <v>0</v>
      </c>
      <c r="S172" s="1065">
        <f t="shared" si="39"/>
        <v>0</v>
      </c>
      <c r="T172" s="1099" t="s">
        <v>886</v>
      </c>
      <c r="U172" s="1100" t="s">
        <v>891</v>
      </c>
      <c r="V172" s="1099">
        <v>414</v>
      </c>
      <c r="W172" s="1099" t="s">
        <v>890</v>
      </c>
      <c r="X172" s="1220"/>
      <c r="Z172" s="1311">
        <f t="shared" si="33"/>
        <v>0</v>
      </c>
      <c r="AA172" s="1374">
        <f t="shared" si="36"/>
        <v>0</v>
      </c>
      <c r="AB172" s="912">
        <f t="shared" si="34"/>
        <v>0</v>
      </c>
      <c r="AC172" s="912">
        <f t="shared" si="35"/>
        <v>0</v>
      </c>
    </row>
    <row r="173" spans="1:29" s="515" customFormat="1" ht="81.75" customHeight="1">
      <c r="A173" s="1437" t="s">
        <v>829</v>
      </c>
      <c r="B173" s="900" t="s">
        <v>693</v>
      </c>
      <c r="C173" s="871">
        <f t="shared" si="28"/>
        <v>23921.1</v>
      </c>
      <c r="D173" s="972">
        <f>18560.9+3924.8</f>
        <v>22485.7</v>
      </c>
      <c r="E173" s="972">
        <f>1184.8+250.55</f>
        <v>1435.4</v>
      </c>
      <c r="F173" s="1442">
        <f t="shared" si="29"/>
        <v>23921.1</v>
      </c>
      <c r="G173" s="1439">
        <f t="shared" si="37"/>
        <v>22485.7</v>
      </c>
      <c r="H173" s="1439">
        <f t="shared" si="37"/>
        <v>1435.4</v>
      </c>
      <c r="I173" s="1442">
        <f t="shared" si="30"/>
        <v>0</v>
      </c>
      <c r="J173" s="1443">
        <v>0</v>
      </c>
      <c r="K173" s="1443">
        <v>0</v>
      </c>
      <c r="L173" s="876">
        <f t="shared" si="38"/>
        <v>0</v>
      </c>
      <c r="M173" s="877">
        <f t="shared" si="38"/>
        <v>0</v>
      </c>
      <c r="N173" s="877">
        <f t="shared" si="38"/>
        <v>0</v>
      </c>
      <c r="O173" s="1214" t="s">
        <v>1192</v>
      </c>
      <c r="P173" s="1214" t="s">
        <v>1251</v>
      </c>
      <c r="Q173" s="1065">
        <f t="shared" si="39"/>
        <v>0</v>
      </c>
      <c r="R173" s="1065">
        <f t="shared" si="39"/>
        <v>0</v>
      </c>
      <c r="S173" s="1065">
        <f t="shared" si="39"/>
        <v>0</v>
      </c>
      <c r="T173" s="1099" t="s">
        <v>866</v>
      </c>
      <c r="U173" s="1100" t="s">
        <v>884</v>
      </c>
      <c r="V173" s="1099">
        <v>414</v>
      </c>
      <c r="W173" s="1099" t="s">
        <v>885</v>
      </c>
      <c r="X173" s="1220"/>
      <c r="Z173" s="1311">
        <f t="shared" si="33"/>
        <v>0</v>
      </c>
      <c r="AA173" s="1374">
        <f t="shared" si="36"/>
        <v>0</v>
      </c>
      <c r="AB173" s="912">
        <f t="shared" si="34"/>
        <v>0</v>
      </c>
      <c r="AC173" s="912">
        <f t="shared" si="35"/>
        <v>0</v>
      </c>
    </row>
    <row r="174" spans="1:29" s="515" customFormat="1" ht="63" customHeight="1">
      <c r="A174" s="1437" t="s">
        <v>821</v>
      </c>
      <c r="B174" s="987" t="s">
        <v>794</v>
      </c>
      <c r="C174" s="871">
        <f t="shared" si="28"/>
        <v>264888.5</v>
      </c>
      <c r="D174" s="972">
        <f>160380+75158.5+12733.8</f>
        <v>248272.3</v>
      </c>
      <c r="E174" s="1256">
        <f>4958.64+10800+857.6</f>
        <v>16616.2</v>
      </c>
      <c r="F174" s="1442">
        <f t="shared" si="29"/>
        <v>264888.5</v>
      </c>
      <c r="G174" s="1439">
        <f t="shared" si="37"/>
        <v>248272.3</v>
      </c>
      <c r="H174" s="1439">
        <f t="shared" si="37"/>
        <v>16616.2</v>
      </c>
      <c r="I174" s="1442">
        <f t="shared" si="30"/>
        <v>42294.2</v>
      </c>
      <c r="J174" s="1443">
        <v>39625.800000000003</v>
      </c>
      <c r="K174" s="1443">
        <v>2668.4</v>
      </c>
      <c r="L174" s="876">
        <f t="shared" ref="L174:N179" si="40">IF(I174=0,0,I174/F174*100)</f>
        <v>16</v>
      </c>
      <c r="M174" s="877">
        <f t="shared" si="40"/>
        <v>16</v>
      </c>
      <c r="N174" s="877">
        <f t="shared" si="40"/>
        <v>16.100000000000001</v>
      </c>
      <c r="O174" s="1214" t="s">
        <v>1296</v>
      </c>
      <c r="P174" s="1214" t="s">
        <v>1259</v>
      </c>
      <c r="Q174" s="1065">
        <f t="shared" si="39"/>
        <v>0</v>
      </c>
      <c r="R174" s="1065">
        <f t="shared" si="39"/>
        <v>0</v>
      </c>
      <c r="S174" s="1065">
        <f t="shared" si="39"/>
        <v>0</v>
      </c>
      <c r="T174" s="1099" t="s">
        <v>866</v>
      </c>
      <c r="U174" s="1100" t="s">
        <v>896</v>
      </c>
      <c r="V174" s="1099">
        <v>414</v>
      </c>
      <c r="W174" s="1099" t="s">
        <v>897</v>
      </c>
      <c r="X174" s="1220"/>
      <c r="Z174" s="1311">
        <f t="shared" si="33"/>
        <v>0</v>
      </c>
      <c r="AA174" s="1374">
        <f t="shared" si="36"/>
        <v>0</v>
      </c>
      <c r="AB174" s="912">
        <f t="shared" si="34"/>
        <v>0</v>
      </c>
      <c r="AC174" s="912">
        <f t="shared" si="35"/>
        <v>0</v>
      </c>
    </row>
    <row r="175" spans="1:29" ht="63" customHeight="1">
      <c r="A175" s="2404" t="s">
        <v>822</v>
      </c>
      <c r="B175" s="1084" t="s">
        <v>644</v>
      </c>
      <c r="C175" s="871">
        <f t="shared" si="28"/>
        <v>16856</v>
      </c>
      <c r="D175" s="1249">
        <v>0</v>
      </c>
      <c r="E175" s="1249">
        <v>16856</v>
      </c>
      <c r="F175" s="1442">
        <f t="shared" si="29"/>
        <v>16856</v>
      </c>
      <c r="G175" s="1439">
        <f t="shared" si="37"/>
        <v>0</v>
      </c>
      <c r="H175" s="1439">
        <f t="shared" si="37"/>
        <v>16856</v>
      </c>
      <c r="I175" s="1442">
        <f t="shared" si="30"/>
        <v>15355.9</v>
      </c>
      <c r="J175" s="1439">
        <v>0</v>
      </c>
      <c r="K175" s="1439">
        <v>15355.9</v>
      </c>
      <c r="L175" s="876">
        <f t="shared" si="40"/>
        <v>91.1</v>
      </c>
      <c r="M175" s="877">
        <f t="shared" si="40"/>
        <v>0</v>
      </c>
      <c r="N175" s="877">
        <f t="shared" si="40"/>
        <v>91.1</v>
      </c>
      <c r="O175" s="1214" t="s">
        <v>1297</v>
      </c>
      <c r="P175" s="1214" t="s">
        <v>1260</v>
      </c>
      <c r="Q175" s="1065">
        <f t="shared" si="39"/>
        <v>0</v>
      </c>
      <c r="R175" s="1065">
        <f t="shared" si="39"/>
        <v>0</v>
      </c>
      <c r="S175" s="1065">
        <f t="shared" si="39"/>
        <v>0</v>
      </c>
      <c r="T175" s="1099" t="s">
        <v>872</v>
      </c>
      <c r="U175" s="1100">
        <v>1130390420</v>
      </c>
      <c r="V175" s="1099">
        <v>414</v>
      </c>
      <c r="W175" s="1099">
        <v>14019</v>
      </c>
      <c r="Z175" s="1311">
        <f t="shared" si="33"/>
        <v>0</v>
      </c>
      <c r="AA175" s="1374">
        <f t="shared" si="36"/>
        <v>0</v>
      </c>
      <c r="AB175" s="912">
        <f t="shared" si="34"/>
        <v>0</v>
      </c>
      <c r="AC175" s="912">
        <f t="shared" si="35"/>
        <v>0</v>
      </c>
    </row>
    <row r="176" spans="1:29" ht="63" customHeight="1">
      <c r="A176" s="2405"/>
      <c r="B176" s="1084" t="s">
        <v>478</v>
      </c>
      <c r="C176" s="871">
        <f t="shared" si="28"/>
        <v>444195.7</v>
      </c>
      <c r="D176" s="1249">
        <f>412659.9+4883.9</f>
        <v>417543.8</v>
      </c>
      <c r="E176" s="1257">
        <f>26340.1+311.8</f>
        <v>26651.9</v>
      </c>
      <c r="F176" s="1442">
        <f t="shared" si="29"/>
        <v>444195.7</v>
      </c>
      <c r="G176" s="1439">
        <f t="shared" si="37"/>
        <v>417543.8</v>
      </c>
      <c r="H176" s="1068">
        <f t="shared" si="37"/>
        <v>26651.9</v>
      </c>
      <c r="I176" s="1442">
        <f t="shared" si="30"/>
        <v>259355.4</v>
      </c>
      <c r="J176" s="1439">
        <v>243794</v>
      </c>
      <c r="K176" s="1439">
        <v>15561.4</v>
      </c>
      <c r="L176" s="876">
        <f t="shared" si="40"/>
        <v>58.4</v>
      </c>
      <c r="M176" s="877">
        <f t="shared" si="40"/>
        <v>58.4</v>
      </c>
      <c r="N176" s="877">
        <f t="shared" si="40"/>
        <v>58.4</v>
      </c>
      <c r="O176" s="1214" t="s">
        <v>1298</v>
      </c>
      <c r="P176" s="1214" t="s">
        <v>1261</v>
      </c>
      <c r="Q176" s="1065">
        <f t="shared" si="39"/>
        <v>0</v>
      </c>
      <c r="R176" s="1065">
        <f t="shared" si="39"/>
        <v>0</v>
      </c>
      <c r="S176" s="1065">
        <f t="shared" si="39"/>
        <v>0</v>
      </c>
      <c r="T176" s="1099" t="s">
        <v>886</v>
      </c>
      <c r="U176" s="1100" t="s">
        <v>898</v>
      </c>
      <c r="V176" s="1099">
        <v>414</v>
      </c>
      <c r="W176" s="1099" t="s">
        <v>899</v>
      </c>
      <c r="Z176" s="1311">
        <f t="shared" si="33"/>
        <v>0</v>
      </c>
      <c r="AA176" s="1374">
        <f t="shared" si="36"/>
        <v>0</v>
      </c>
      <c r="AB176" s="912">
        <f t="shared" si="34"/>
        <v>0</v>
      </c>
      <c r="AC176" s="912">
        <f t="shared" si="35"/>
        <v>0</v>
      </c>
    </row>
    <row r="177" spans="1:29" s="515" customFormat="1" ht="74.25" customHeight="1">
      <c r="A177" s="1437" t="s">
        <v>823</v>
      </c>
      <c r="B177" s="900" t="s">
        <v>499</v>
      </c>
      <c r="C177" s="871">
        <f t="shared" si="28"/>
        <v>9981.4</v>
      </c>
      <c r="D177" s="972">
        <f>8500+859.8</f>
        <v>9359.7999999999993</v>
      </c>
      <c r="E177" s="972">
        <f>564.5+57.1</f>
        <v>621.6</v>
      </c>
      <c r="F177" s="1442">
        <f t="shared" si="29"/>
        <v>9981.4</v>
      </c>
      <c r="G177" s="1439">
        <f t="shared" si="37"/>
        <v>9359.7999999999993</v>
      </c>
      <c r="H177" s="1439">
        <f t="shared" si="37"/>
        <v>621.6</v>
      </c>
      <c r="I177" s="1442">
        <f t="shared" si="30"/>
        <v>2477.8000000000002</v>
      </c>
      <c r="J177" s="1443">
        <v>2323.5</v>
      </c>
      <c r="K177" s="1443">
        <v>154.30000000000001</v>
      </c>
      <c r="L177" s="876">
        <f t="shared" si="40"/>
        <v>24.8</v>
      </c>
      <c r="M177" s="877">
        <f t="shared" si="40"/>
        <v>24.8</v>
      </c>
      <c r="N177" s="877">
        <f t="shared" si="40"/>
        <v>24.8</v>
      </c>
      <c r="O177" s="1214" t="s">
        <v>1299</v>
      </c>
      <c r="P177" s="1214" t="s">
        <v>1262</v>
      </c>
      <c r="Q177" s="1065">
        <f t="shared" si="39"/>
        <v>0</v>
      </c>
      <c r="R177" s="1065">
        <f t="shared" si="39"/>
        <v>0</v>
      </c>
      <c r="S177" s="1065">
        <f t="shared" si="39"/>
        <v>0</v>
      </c>
      <c r="T177" s="1099" t="s">
        <v>871</v>
      </c>
      <c r="U177" s="1100" t="s">
        <v>870</v>
      </c>
      <c r="V177" s="1099">
        <v>414</v>
      </c>
      <c r="W177" s="1099" t="s">
        <v>873</v>
      </c>
      <c r="X177" s="1220"/>
      <c r="Z177" s="1311">
        <f t="shared" si="33"/>
        <v>0</v>
      </c>
      <c r="AA177" s="1374">
        <f t="shared" si="36"/>
        <v>0</v>
      </c>
      <c r="AB177" s="912">
        <f t="shared" si="34"/>
        <v>0</v>
      </c>
      <c r="AC177" s="912">
        <f t="shared" si="35"/>
        <v>0</v>
      </c>
    </row>
    <row r="178" spans="1:29" ht="54.75" customHeight="1">
      <c r="A178" s="1431" t="s">
        <v>915</v>
      </c>
      <c r="B178" s="900" t="s">
        <v>768</v>
      </c>
      <c r="C178" s="871">
        <f t="shared" si="28"/>
        <v>8900</v>
      </c>
      <c r="D178" s="972">
        <v>0</v>
      </c>
      <c r="E178" s="972">
        <v>8900</v>
      </c>
      <c r="F178" s="1442">
        <f t="shared" si="29"/>
        <v>8900</v>
      </c>
      <c r="G178" s="1439">
        <f t="shared" si="37"/>
        <v>0</v>
      </c>
      <c r="H178" s="1439">
        <f t="shared" si="37"/>
        <v>8900</v>
      </c>
      <c r="I178" s="1442">
        <f t="shared" si="30"/>
        <v>0</v>
      </c>
      <c r="J178" s="1443">
        <v>0</v>
      </c>
      <c r="K178" s="1443">
        <v>0</v>
      </c>
      <c r="L178" s="876">
        <f t="shared" si="40"/>
        <v>0</v>
      </c>
      <c r="M178" s="877">
        <f t="shared" si="40"/>
        <v>0</v>
      </c>
      <c r="N178" s="877">
        <f t="shared" si="40"/>
        <v>0</v>
      </c>
      <c r="O178" s="1214" t="s">
        <v>1300</v>
      </c>
      <c r="P178" s="1214" t="s">
        <v>1263</v>
      </c>
      <c r="Q178" s="1065">
        <f>C178-F178</f>
        <v>0</v>
      </c>
      <c r="R178" s="1065">
        <f t="shared" si="39"/>
        <v>0</v>
      </c>
      <c r="S178" s="1065">
        <f t="shared" si="39"/>
        <v>0</v>
      </c>
      <c r="T178" s="1099" t="s">
        <v>872</v>
      </c>
      <c r="U178" s="1100">
        <v>1130390420</v>
      </c>
      <c r="V178" s="1099">
        <v>414</v>
      </c>
      <c r="W178" s="1099">
        <v>14009</v>
      </c>
      <c r="Z178" s="1311">
        <f t="shared" si="33"/>
        <v>0</v>
      </c>
      <c r="AA178" s="1374">
        <f t="shared" si="36"/>
        <v>0</v>
      </c>
      <c r="AB178" s="912">
        <f t="shared" si="34"/>
        <v>0</v>
      </c>
      <c r="AC178" s="912">
        <f t="shared" si="35"/>
        <v>0</v>
      </c>
    </row>
    <row r="179" spans="1:29" ht="74.25" customHeight="1">
      <c r="A179" s="1437" t="s">
        <v>916</v>
      </c>
      <c r="B179" s="900" t="s">
        <v>769</v>
      </c>
      <c r="C179" s="871">
        <f t="shared" si="28"/>
        <v>21489</v>
      </c>
      <c r="D179" s="972">
        <v>0</v>
      </c>
      <c r="E179" s="972">
        <v>21489</v>
      </c>
      <c r="F179" s="1442">
        <f t="shared" si="29"/>
        <v>21489</v>
      </c>
      <c r="G179" s="1439">
        <f t="shared" si="37"/>
        <v>0</v>
      </c>
      <c r="H179" s="1439">
        <f t="shared" si="37"/>
        <v>21489</v>
      </c>
      <c r="I179" s="1442">
        <f t="shared" si="30"/>
        <v>6446.7</v>
      </c>
      <c r="J179" s="1443">
        <v>0</v>
      </c>
      <c r="K179" s="1443">
        <v>6446.7</v>
      </c>
      <c r="L179" s="876">
        <f t="shared" si="40"/>
        <v>30</v>
      </c>
      <c r="M179" s="877">
        <f t="shared" si="40"/>
        <v>0</v>
      </c>
      <c r="N179" s="877">
        <f t="shared" si="40"/>
        <v>30</v>
      </c>
      <c r="O179" s="1214" t="s">
        <v>1301</v>
      </c>
      <c r="P179" s="1214" t="s">
        <v>1264</v>
      </c>
      <c r="Q179" s="1065">
        <f>C179-F179</f>
        <v>0</v>
      </c>
      <c r="R179" s="1065">
        <f t="shared" ref="Q179:S196" si="41">D179-G179</f>
        <v>0</v>
      </c>
      <c r="S179" s="1065">
        <f t="shared" si="41"/>
        <v>0</v>
      </c>
      <c r="T179" s="1099" t="s">
        <v>872</v>
      </c>
      <c r="U179" s="1100">
        <v>1130390420</v>
      </c>
      <c r="V179" s="1099">
        <v>414</v>
      </c>
      <c r="W179" s="1099">
        <v>14053</v>
      </c>
      <c r="Z179" s="1311">
        <f t="shared" si="33"/>
        <v>0</v>
      </c>
      <c r="AA179" s="1374">
        <f t="shared" si="36"/>
        <v>0</v>
      </c>
      <c r="AB179" s="912">
        <f t="shared" si="34"/>
        <v>0</v>
      </c>
      <c r="AC179" s="912">
        <f t="shared" si="35"/>
        <v>0</v>
      </c>
    </row>
    <row r="180" spans="1:29" s="736" customFormat="1" ht="27.75">
      <c r="A180" s="1437" t="s">
        <v>1362</v>
      </c>
      <c r="B180" s="900" t="s">
        <v>692</v>
      </c>
      <c r="C180" s="871">
        <f>SUM(D180:E180)</f>
        <v>22300</v>
      </c>
      <c r="D180" s="972">
        <f>22300*0.9396914446</f>
        <v>20955.099999999999</v>
      </c>
      <c r="E180" s="972">
        <f>22300*(1-0.9396914446)</f>
        <v>1344.9</v>
      </c>
      <c r="F180" s="1442">
        <f>SUM(G180:H180)</f>
        <v>22300</v>
      </c>
      <c r="G180" s="1439">
        <f t="shared" si="37"/>
        <v>20955.099999999999</v>
      </c>
      <c r="H180" s="1439">
        <f t="shared" si="37"/>
        <v>1344.9</v>
      </c>
      <c r="I180" s="2463">
        <f>SUM(J180:K180)</f>
        <v>0</v>
      </c>
      <c r="J180" s="2464">
        <v>0</v>
      </c>
      <c r="K180" s="2464">
        <v>0</v>
      </c>
      <c r="L180" s="2467">
        <f>IF(I180=0,0,I180/F180:F181*100)</f>
        <v>0</v>
      </c>
      <c r="M180" s="2462">
        <f>IF(J180=0,0,J180/G180:G181*100)</f>
        <v>0</v>
      </c>
      <c r="N180" s="2462">
        <f>IF(K180=0,0,K180/H180:H181*100)</f>
        <v>0</v>
      </c>
      <c r="O180" s="2460" t="s">
        <v>1192</v>
      </c>
      <c r="P180" s="2460" t="s">
        <v>1265</v>
      </c>
      <c r="Q180" s="1065">
        <f>C180-F180</f>
        <v>0</v>
      </c>
      <c r="R180" s="1065">
        <f t="shared" si="41"/>
        <v>0</v>
      </c>
      <c r="S180" s="1065">
        <f t="shared" si="41"/>
        <v>0</v>
      </c>
      <c r="T180" s="2409" t="s">
        <v>874</v>
      </c>
      <c r="U180" s="2445" t="s">
        <v>875</v>
      </c>
      <c r="V180" s="2409">
        <v>414</v>
      </c>
      <c r="W180" s="2409" t="s">
        <v>876</v>
      </c>
      <c r="X180" s="2468"/>
      <c r="Z180" s="1311">
        <f t="shared" si="33"/>
        <v>0</v>
      </c>
      <c r="AA180" s="1374">
        <f t="shared" si="36"/>
        <v>0</v>
      </c>
      <c r="AB180" s="912">
        <f t="shared" si="34"/>
        <v>0</v>
      </c>
      <c r="AC180" s="912">
        <f t="shared" si="35"/>
        <v>0</v>
      </c>
    </row>
    <row r="181" spans="1:29" s="736" customFormat="1" ht="27.75">
      <c r="A181" s="1437" t="s">
        <v>1363</v>
      </c>
      <c r="B181" s="900" t="s">
        <v>691</v>
      </c>
      <c r="C181" s="871">
        <f t="shared" si="28"/>
        <v>49000</v>
      </c>
      <c r="D181" s="972">
        <f>49000*0.9396914446</f>
        <v>46044.9</v>
      </c>
      <c r="E181" s="972">
        <f>49000*(1-0.9396914446)</f>
        <v>2955.1</v>
      </c>
      <c r="F181" s="1442">
        <f t="shared" si="29"/>
        <v>49000</v>
      </c>
      <c r="G181" s="1439">
        <f t="shared" si="37"/>
        <v>46044.9</v>
      </c>
      <c r="H181" s="1439">
        <f t="shared" si="37"/>
        <v>2955.1</v>
      </c>
      <c r="I181" s="2463"/>
      <c r="J181" s="2464"/>
      <c r="K181" s="2464"/>
      <c r="L181" s="2467"/>
      <c r="M181" s="2462"/>
      <c r="N181" s="2462"/>
      <c r="O181" s="2461"/>
      <c r="P181" s="2461"/>
      <c r="Q181" s="1065">
        <f t="shared" si="41"/>
        <v>0</v>
      </c>
      <c r="R181" s="1065">
        <f t="shared" si="41"/>
        <v>0</v>
      </c>
      <c r="S181" s="1065">
        <f t="shared" si="41"/>
        <v>0</v>
      </c>
      <c r="T181" s="2409"/>
      <c r="U181" s="2445"/>
      <c r="V181" s="2409"/>
      <c r="W181" s="2409"/>
      <c r="X181" s="2468"/>
      <c r="Z181" s="1311">
        <f t="shared" si="33"/>
        <v>0</v>
      </c>
      <c r="AA181" s="1374">
        <f t="shared" si="36"/>
        <v>0</v>
      </c>
      <c r="AB181" s="912">
        <f t="shared" si="34"/>
        <v>0</v>
      </c>
      <c r="AC181" s="912">
        <f t="shared" si="35"/>
        <v>0</v>
      </c>
    </row>
    <row r="182" spans="1:29" s="736" customFormat="1" ht="70.5" customHeight="1">
      <c r="A182" s="1437" t="s">
        <v>860</v>
      </c>
      <c r="B182" s="955" t="s">
        <v>767</v>
      </c>
      <c r="C182" s="871">
        <f t="shared" si="28"/>
        <v>5777.1</v>
      </c>
      <c r="D182" s="1249">
        <v>0</v>
      </c>
      <c r="E182" s="1249">
        <v>5777.1</v>
      </c>
      <c r="F182" s="1442">
        <f t="shared" si="29"/>
        <v>5777.1</v>
      </c>
      <c r="G182" s="1439">
        <f t="shared" si="37"/>
        <v>0</v>
      </c>
      <c r="H182" s="1439">
        <f t="shared" si="37"/>
        <v>5777.1</v>
      </c>
      <c r="I182" s="1442">
        <f t="shared" si="30"/>
        <v>0</v>
      </c>
      <c r="J182" s="1439">
        <v>0</v>
      </c>
      <c r="K182" s="1439">
        <v>0</v>
      </c>
      <c r="L182" s="876">
        <f>IF(I182=0,0,I182/F182*100)</f>
        <v>0</v>
      </c>
      <c r="M182" s="877">
        <f>IF(J182=0,0,J182/G182*100)</f>
        <v>0</v>
      </c>
      <c r="N182" s="877">
        <f>IF(K182=0,0,K182/H182*100)</f>
        <v>0</v>
      </c>
      <c r="O182" s="1214" t="s">
        <v>1302</v>
      </c>
      <c r="P182" s="1214" t="s">
        <v>1266</v>
      </c>
      <c r="Q182" s="1065">
        <f>C182-F182</f>
        <v>0</v>
      </c>
      <c r="R182" s="1065">
        <f t="shared" si="41"/>
        <v>0</v>
      </c>
      <c r="S182" s="1065">
        <f t="shared" si="41"/>
        <v>0</v>
      </c>
      <c r="T182" s="1099" t="s">
        <v>872</v>
      </c>
      <c r="U182" s="1100">
        <v>1130490420</v>
      </c>
      <c r="V182" s="1099">
        <v>414</v>
      </c>
      <c r="W182" s="1099">
        <v>14007</v>
      </c>
      <c r="X182" s="1216"/>
      <c r="Z182" s="1311">
        <f t="shared" si="33"/>
        <v>0</v>
      </c>
      <c r="AA182" s="1374">
        <f t="shared" si="36"/>
        <v>0</v>
      </c>
      <c r="AB182" s="912">
        <f t="shared" si="34"/>
        <v>0</v>
      </c>
      <c r="AC182" s="912">
        <f t="shared" si="35"/>
        <v>0</v>
      </c>
    </row>
    <row r="183" spans="1:29" s="736" customFormat="1" ht="37.5" customHeight="1">
      <c r="A183" s="1437" t="s">
        <v>1364</v>
      </c>
      <c r="B183" s="955" t="s">
        <v>763</v>
      </c>
      <c r="C183" s="871">
        <f t="shared" si="28"/>
        <v>32800</v>
      </c>
      <c r="D183" s="1249">
        <v>30832</v>
      </c>
      <c r="E183" s="1249">
        <v>1968</v>
      </c>
      <c r="F183" s="1442">
        <f t="shared" si="29"/>
        <v>32800</v>
      </c>
      <c r="G183" s="1439">
        <f t="shared" si="37"/>
        <v>30832</v>
      </c>
      <c r="H183" s="1439">
        <f t="shared" si="37"/>
        <v>1968</v>
      </c>
      <c r="I183" s="2463">
        <f>SUM(J183:K185)</f>
        <v>0</v>
      </c>
      <c r="J183" s="2466">
        <v>0</v>
      </c>
      <c r="K183" s="2466">
        <v>0</v>
      </c>
      <c r="L183" s="2467">
        <f>IF(I183=0,0,I183/F183:F185*100)</f>
        <v>0</v>
      </c>
      <c r="M183" s="2462">
        <f>IF(J183=0,0,J183/G183:G185*100)</f>
        <v>0</v>
      </c>
      <c r="N183" s="2462">
        <f>IF(K183=0,0,K183/H183:H185*100)</f>
        <v>0</v>
      </c>
      <c r="O183" s="1214" t="s">
        <v>1267</v>
      </c>
      <c r="P183" s="1214" t="s">
        <v>1219</v>
      </c>
      <c r="Q183" s="1065">
        <f t="shared" si="41"/>
        <v>0</v>
      </c>
      <c r="R183" s="1065">
        <f t="shared" si="41"/>
        <v>0</v>
      </c>
      <c r="S183" s="1065">
        <f t="shared" si="41"/>
        <v>0</v>
      </c>
      <c r="T183" s="2409" t="s">
        <v>872</v>
      </c>
      <c r="U183" s="2445" t="s">
        <v>878</v>
      </c>
      <c r="V183" s="2409">
        <v>414</v>
      </c>
      <c r="W183" s="2409" t="s">
        <v>879</v>
      </c>
      <c r="X183" s="2465"/>
      <c r="Z183" s="1311">
        <f t="shared" si="33"/>
        <v>0</v>
      </c>
      <c r="AA183" s="1374">
        <f t="shared" si="36"/>
        <v>0</v>
      </c>
      <c r="AB183" s="912">
        <f t="shared" si="34"/>
        <v>0</v>
      </c>
      <c r="AC183" s="912">
        <f t="shared" si="35"/>
        <v>0</v>
      </c>
    </row>
    <row r="184" spans="1:29" s="736" customFormat="1" ht="37.5" customHeight="1">
      <c r="A184" s="895">
        <v>117</v>
      </c>
      <c r="B184" s="955" t="s">
        <v>765</v>
      </c>
      <c r="C184" s="871">
        <f t="shared" si="28"/>
        <v>1200</v>
      </c>
      <c r="D184" s="1249">
        <v>1128</v>
      </c>
      <c r="E184" s="1249">
        <v>72</v>
      </c>
      <c r="F184" s="1442">
        <f t="shared" si="29"/>
        <v>1200</v>
      </c>
      <c r="G184" s="1439">
        <f t="shared" si="37"/>
        <v>1128</v>
      </c>
      <c r="H184" s="1439">
        <f t="shared" si="37"/>
        <v>72</v>
      </c>
      <c r="I184" s="2463"/>
      <c r="J184" s="2466"/>
      <c r="K184" s="2466"/>
      <c r="L184" s="2467"/>
      <c r="M184" s="2462"/>
      <c r="N184" s="2462"/>
      <c r="O184" s="1214" t="s">
        <v>1192</v>
      </c>
      <c r="P184" s="1214" t="s">
        <v>1219</v>
      </c>
      <c r="Q184" s="1065">
        <f t="shared" si="41"/>
        <v>0</v>
      </c>
      <c r="R184" s="1065">
        <f t="shared" si="41"/>
        <v>0</v>
      </c>
      <c r="S184" s="1065">
        <f t="shared" si="41"/>
        <v>0</v>
      </c>
      <c r="T184" s="2409"/>
      <c r="U184" s="2445"/>
      <c r="V184" s="2409"/>
      <c r="W184" s="2409"/>
      <c r="X184" s="2465"/>
      <c r="Z184" s="1311">
        <f t="shared" si="33"/>
        <v>0</v>
      </c>
      <c r="AA184" s="1374">
        <f t="shared" si="36"/>
        <v>0</v>
      </c>
      <c r="AB184" s="912">
        <f t="shared" si="34"/>
        <v>0</v>
      </c>
      <c r="AC184" s="912">
        <f t="shared" si="35"/>
        <v>0</v>
      </c>
    </row>
    <row r="185" spans="1:29" s="736" customFormat="1" ht="37.5" customHeight="1">
      <c r="A185" s="895">
        <v>118</v>
      </c>
      <c r="B185" s="955" t="s">
        <v>766</v>
      </c>
      <c r="C185" s="871">
        <f t="shared" si="28"/>
        <v>1500</v>
      </c>
      <c r="D185" s="1249">
        <v>1410</v>
      </c>
      <c r="E185" s="1249">
        <v>90</v>
      </c>
      <c r="F185" s="1442">
        <f t="shared" si="29"/>
        <v>1500</v>
      </c>
      <c r="G185" s="1439">
        <f t="shared" si="37"/>
        <v>1410</v>
      </c>
      <c r="H185" s="1439">
        <f t="shared" si="37"/>
        <v>90</v>
      </c>
      <c r="I185" s="2463"/>
      <c r="J185" s="2466"/>
      <c r="K185" s="2466"/>
      <c r="L185" s="2467"/>
      <c r="M185" s="2462"/>
      <c r="N185" s="2462"/>
      <c r="O185" s="1214" t="s">
        <v>1267</v>
      </c>
      <c r="P185" s="1214" t="s">
        <v>1219</v>
      </c>
      <c r="Q185" s="1065">
        <f t="shared" si="41"/>
        <v>0</v>
      </c>
      <c r="R185" s="1065">
        <f t="shared" si="41"/>
        <v>0</v>
      </c>
      <c r="S185" s="1065">
        <f t="shared" si="41"/>
        <v>0</v>
      </c>
      <c r="T185" s="2409"/>
      <c r="U185" s="2445"/>
      <c r="V185" s="2409"/>
      <c r="W185" s="2409"/>
      <c r="X185" s="2465"/>
      <c r="Z185" s="1311">
        <f t="shared" si="33"/>
        <v>0</v>
      </c>
      <c r="AA185" s="1374">
        <f t="shared" si="36"/>
        <v>0</v>
      </c>
      <c r="AB185" s="912">
        <f t="shared" si="34"/>
        <v>0</v>
      </c>
      <c r="AC185" s="912">
        <f t="shared" si="35"/>
        <v>0</v>
      </c>
    </row>
    <row r="186" spans="1:29" s="736" customFormat="1" ht="54.75" customHeight="1">
      <c r="A186" s="1437" t="s">
        <v>1312</v>
      </c>
      <c r="B186" s="900" t="s">
        <v>463</v>
      </c>
      <c r="C186" s="871">
        <f t="shared" si="28"/>
        <v>19846.5</v>
      </c>
      <c r="D186" s="972">
        <f>18651.8+3.79</f>
        <v>18655.599999999999</v>
      </c>
      <c r="E186" s="972">
        <f>1190.7+0.2</f>
        <v>1190.9000000000001</v>
      </c>
      <c r="F186" s="1442">
        <f t="shared" si="29"/>
        <v>19846.5</v>
      </c>
      <c r="G186" s="1439">
        <f t="shared" si="37"/>
        <v>18655.599999999999</v>
      </c>
      <c r="H186" s="1439">
        <f t="shared" si="37"/>
        <v>1190.9000000000001</v>
      </c>
      <c r="I186" s="1442">
        <f t="shared" ref="I186:I223" si="42">SUM(J186:K186)</f>
        <v>30</v>
      </c>
      <c r="J186" s="1443">
        <v>28.2</v>
      </c>
      <c r="K186" s="1443">
        <v>1.8</v>
      </c>
      <c r="L186" s="876">
        <f t="shared" ref="L186:N229" si="43">IF(I186=0,0,I186/F186*100)</f>
        <v>0.2</v>
      </c>
      <c r="M186" s="877">
        <f t="shared" si="43"/>
        <v>0.2</v>
      </c>
      <c r="N186" s="877">
        <f t="shared" si="43"/>
        <v>0.2</v>
      </c>
      <c r="O186" s="1214" t="s">
        <v>1303</v>
      </c>
      <c r="P186" s="1214" t="s">
        <v>1268</v>
      </c>
      <c r="Q186" s="1065">
        <f t="shared" si="41"/>
        <v>0</v>
      </c>
      <c r="R186" s="1065">
        <f t="shared" si="41"/>
        <v>0</v>
      </c>
      <c r="S186" s="1065">
        <f t="shared" si="41"/>
        <v>0</v>
      </c>
      <c r="T186" s="1099" t="s">
        <v>923</v>
      </c>
      <c r="U186" s="1100" t="s">
        <v>924</v>
      </c>
      <c r="V186" s="1099">
        <v>414</v>
      </c>
      <c r="W186" s="1099" t="s">
        <v>922</v>
      </c>
      <c r="X186" s="1216"/>
      <c r="Z186" s="1311">
        <f t="shared" si="33"/>
        <v>0</v>
      </c>
      <c r="AA186" s="1374">
        <f t="shared" si="36"/>
        <v>0</v>
      </c>
      <c r="AB186" s="912">
        <f t="shared" si="34"/>
        <v>0</v>
      </c>
      <c r="AC186" s="912">
        <f t="shared" si="35"/>
        <v>0</v>
      </c>
    </row>
    <row r="187" spans="1:29" s="736" customFormat="1" ht="60" customHeight="1">
      <c r="A187" s="1437" t="s">
        <v>1065</v>
      </c>
      <c r="B187" s="900" t="s">
        <v>592</v>
      </c>
      <c r="C187" s="871">
        <f t="shared" si="28"/>
        <v>28317.1</v>
      </c>
      <c r="D187" s="972">
        <f>11848.8+14769.21</f>
        <v>26618</v>
      </c>
      <c r="E187" s="972">
        <f>756.4+942.7</f>
        <v>1699.1</v>
      </c>
      <c r="F187" s="1442">
        <f t="shared" si="29"/>
        <v>28317.1</v>
      </c>
      <c r="G187" s="1439">
        <f t="shared" si="37"/>
        <v>26618</v>
      </c>
      <c r="H187" s="1439">
        <f t="shared" si="37"/>
        <v>1699.1</v>
      </c>
      <c r="I187" s="1442">
        <f t="shared" si="42"/>
        <v>0</v>
      </c>
      <c r="J187" s="1443">
        <v>0</v>
      </c>
      <c r="K187" s="1443">
        <v>0</v>
      </c>
      <c r="L187" s="876">
        <f t="shared" si="43"/>
        <v>0</v>
      </c>
      <c r="M187" s="877">
        <f t="shared" si="43"/>
        <v>0</v>
      </c>
      <c r="N187" s="877">
        <f t="shared" si="43"/>
        <v>0</v>
      </c>
      <c r="O187" s="1214" t="s">
        <v>1192</v>
      </c>
      <c r="P187" s="1214" t="s">
        <v>1253</v>
      </c>
      <c r="Q187" s="1065">
        <f t="shared" si="41"/>
        <v>0</v>
      </c>
      <c r="R187" s="1065">
        <f t="shared" si="41"/>
        <v>0</v>
      </c>
      <c r="S187" s="1065">
        <f t="shared" si="41"/>
        <v>0</v>
      </c>
      <c r="T187" s="1099" t="s">
        <v>923</v>
      </c>
      <c r="U187" s="1100" t="s">
        <v>925</v>
      </c>
      <c r="V187" s="1099">
        <v>414</v>
      </c>
      <c r="W187" s="1099" t="s">
        <v>922</v>
      </c>
      <c r="X187" s="1216"/>
      <c r="Z187" s="1311">
        <f t="shared" si="33"/>
        <v>0</v>
      </c>
      <c r="AA187" s="1374">
        <f t="shared" si="36"/>
        <v>0</v>
      </c>
      <c r="AB187" s="912">
        <f t="shared" si="34"/>
        <v>0</v>
      </c>
      <c r="AC187" s="912">
        <f t="shared" si="35"/>
        <v>0</v>
      </c>
    </row>
    <row r="188" spans="1:29" s="736" customFormat="1" ht="69.75">
      <c r="A188" s="2404" t="s">
        <v>855</v>
      </c>
      <c r="B188" s="900" t="s">
        <v>776</v>
      </c>
      <c r="C188" s="871">
        <f>SUM(D188:E188)</f>
        <v>28483.9</v>
      </c>
      <c r="D188" s="972">
        <f>27685.1-D189</f>
        <v>26774.6</v>
      </c>
      <c r="E188" s="972">
        <f>1767.2-E189</f>
        <v>1709.3</v>
      </c>
      <c r="F188" s="1442">
        <f t="shared" si="29"/>
        <v>28483.9</v>
      </c>
      <c r="G188" s="972">
        <f>D188</f>
        <v>26774.6</v>
      </c>
      <c r="H188" s="972">
        <f>E188</f>
        <v>1709.3</v>
      </c>
      <c r="I188" s="1442">
        <f t="shared" si="42"/>
        <v>0</v>
      </c>
      <c r="J188" s="1443">
        <v>0</v>
      </c>
      <c r="K188" s="1443">
        <v>0</v>
      </c>
      <c r="L188" s="876">
        <f t="shared" si="43"/>
        <v>0</v>
      </c>
      <c r="M188" s="877">
        <f t="shared" si="43"/>
        <v>0</v>
      </c>
      <c r="N188" s="877">
        <f t="shared" si="43"/>
        <v>0</v>
      </c>
      <c r="O188" s="1214" t="s">
        <v>1192</v>
      </c>
      <c r="P188" s="1214" t="s">
        <v>1269</v>
      </c>
      <c r="Q188" s="1065">
        <f t="shared" si="41"/>
        <v>0</v>
      </c>
      <c r="R188" s="1065">
        <f t="shared" si="41"/>
        <v>0</v>
      </c>
      <c r="S188" s="1065">
        <f t="shared" si="41"/>
        <v>0</v>
      </c>
      <c r="T188" s="1099" t="s">
        <v>920</v>
      </c>
      <c r="U188" s="1100" t="s">
        <v>921</v>
      </c>
      <c r="V188" s="1099">
        <v>414</v>
      </c>
      <c r="W188" s="1099" t="s">
        <v>922</v>
      </c>
      <c r="X188" s="1216"/>
      <c r="Z188" s="1311">
        <f t="shared" si="33"/>
        <v>0</v>
      </c>
      <c r="AA188" s="1374">
        <f t="shared" si="36"/>
        <v>0</v>
      </c>
      <c r="AB188" s="912">
        <f t="shared" si="34"/>
        <v>0</v>
      </c>
      <c r="AC188" s="912">
        <f t="shared" si="35"/>
        <v>0</v>
      </c>
    </row>
    <row r="189" spans="1:29" s="736" customFormat="1" ht="33.75" customHeight="1">
      <c r="A189" s="2405"/>
      <c r="B189" s="900" t="s">
        <v>1335</v>
      </c>
      <c r="C189" s="1442">
        <f>SUM(D189:E189)</f>
        <v>968.4</v>
      </c>
      <c r="D189" s="1439">
        <v>910.5</v>
      </c>
      <c r="E189" s="1439">
        <v>57.9</v>
      </c>
      <c r="F189" s="1442">
        <f>SUM(G189:H189)</f>
        <v>968.4</v>
      </c>
      <c r="G189" s="879">
        <f>D189</f>
        <v>910.5</v>
      </c>
      <c r="H189" s="879">
        <f>E189</f>
        <v>57.9</v>
      </c>
      <c r="I189" s="1442">
        <f>SUM(J189:K189)</f>
        <v>0</v>
      </c>
      <c r="J189" s="1439">
        <v>0</v>
      </c>
      <c r="K189" s="1439">
        <v>0</v>
      </c>
      <c r="L189" s="876">
        <f>IF(I189=0,0,I189/F189*100)</f>
        <v>0</v>
      </c>
      <c r="M189" s="877">
        <f>IF(J189=0,0,J189/G189*100)</f>
        <v>0</v>
      </c>
      <c r="N189" s="877">
        <f>IF(K189=0,0,K189/H189*100)</f>
        <v>0</v>
      </c>
      <c r="O189" s="1214" t="s">
        <v>1272</v>
      </c>
      <c r="P189" s="1214" t="s">
        <v>1273</v>
      </c>
      <c r="Q189" s="1065">
        <f>C189-F189</f>
        <v>0</v>
      </c>
      <c r="R189" s="1065">
        <f>D189-G189</f>
        <v>0</v>
      </c>
      <c r="S189" s="1065">
        <f>E189-H189</f>
        <v>0</v>
      </c>
      <c r="T189" s="1099" t="s">
        <v>928</v>
      </c>
      <c r="U189" s="1100" t="s">
        <v>929</v>
      </c>
      <c r="V189" s="1099">
        <v>414</v>
      </c>
      <c r="W189" s="1099">
        <v>14036</v>
      </c>
      <c r="X189" s="1216"/>
      <c r="Z189" s="1311">
        <f>C189-F189</f>
        <v>0</v>
      </c>
      <c r="AA189" s="1374">
        <f t="shared" si="36"/>
        <v>0</v>
      </c>
      <c r="AB189" s="912">
        <f t="shared" si="34"/>
        <v>0</v>
      </c>
      <c r="AC189" s="912">
        <f t="shared" si="35"/>
        <v>0</v>
      </c>
    </row>
    <row r="190" spans="1:29" s="736" customFormat="1" ht="78.75">
      <c r="A190" s="2442" t="s">
        <v>856</v>
      </c>
      <c r="B190" s="901" t="s">
        <v>638</v>
      </c>
      <c r="C190" s="871">
        <f t="shared" si="28"/>
        <v>15520</v>
      </c>
      <c r="D190" s="972">
        <v>0</v>
      </c>
      <c r="E190" s="972">
        <v>15520</v>
      </c>
      <c r="F190" s="1442">
        <f t="shared" si="29"/>
        <v>15520</v>
      </c>
      <c r="G190" s="1439">
        <f t="shared" si="37"/>
        <v>0</v>
      </c>
      <c r="H190" s="1439">
        <f t="shared" si="37"/>
        <v>15520</v>
      </c>
      <c r="I190" s="1442">
        <f t="shared" si="42"/>
        <v>4656</v>
      </c>
      <c r="J190" s="1443">
        <v>0</v>
      </c>
      <c r="K190" s="1443">
        <v>4656</v>
      </c>
      <c r="L190" s="876">
        <f t="shared" si="43"/>
        <v>30</v>
      </c>
      <c r="M190" s="877">
        <f t="shared" si="43"/>
        <v>0</v>
      </c>
      <c r="N190" s="877">
        <f t="shared" si="43"/>
        <v>30</v>
      </c>
      <c r="O190" s="1214" t="s">
        <v>1304</v>
      </c>
      <c r="P190" s="1214" t="s">
        <v>1270</v>
      </c>
      <c r="Q190" s="1065">
        <f t="shared" si="41"/>
        <v>0</v>
      </c>
      <c r="R190" s="1065">
        <f t="shared" si="41"/>
        <v>0</v>
      </c>
      <c r="S190" s="1065">
        <f t="shared" si="41"/>
        <v>0</v>
      </c>
      <c r="T190" s="1099" t="s">
        <v>928</v>
      </c>
      <c r="U190" s="1100" t="s">
        <v>929</v>
      </c>
      <c r="V190" s="1099">
        <v>414</v>
      </c>
      <c r="W190" s="1099">
        <v>14003</v>
      </c>
      <c r="X190" s="1216"/>
      <c r="Z190" s="1311">
        <f t="shared" si="33"/>
        <v>0</v>
      </c>
      <c r="AA190" s="1374">
        <f t="shared" si="36"/>
        <v>0</v>
      </c>
      <c r="AB190" s="912">
        <f t="shared" si="34"/>
        <v>0</v>
      </c>
      <c r="AC190" s="912">
        <f t="shared" si="35"/>
        <v>0</v>
      </c>
    </row>
    <row r="191" spans="1:29" s="736" customFormat="1" ht="67.5" customHeight="1">
      <c r="A191" s="2442"/>
      <c r="B191" s="990" t="s">
        <v>694</v>
      </c>
      <c r="C191" s="871">
        <f t="shared" si="28"/>
        <v>251200</v>
      </c>
      <c r="D191" s="972">
        <v>236128</v>
      </c>
      <c r="E191" s="972">
        <v>15072</v>
      </c>
      <c r="F191" s="1442">
        <f t="shared" si="29"/>
        <v>251200</v>
      </c>
      <c r="G191" s="1439">
        <f t="shared" si="37"/>
        <v>236128</v>
      </c>
      <c r="H191" s="1439">
        <f t="shared" si="37"/>
        <v>15072</v>
      </c>
      <c r="I191" s="1442">
        <f t="shared" si="42"/>
        <v>0</v>
      </c>
      <c r="J191" s="1443">
        <v>0</v>
      </c>
      <c r="K191" s="1443">
        <v>0</v>
      </c>
      <c r="L191" s="876">
        <f t="shared" si="43"/>
        <v>0</v>
      </c>
      <c r="M191" s="877">
        <f t="shared" si="43"/>
        <v>0</v>
      </c>
      <c r="N191" s="877">
        <f t="shared" si="43"/>
        <v>0</v>
      </c>
      <c r="O191" s="1214" t="s">
        <v>1192</v>
      </c>
      <c r="P191" s="1214" t="s">
        <v>1271</v>
      </c>
      <c r="Q191" s="1065">
        <f t="shared" si="41"/>
        <v>0</v>
      </c>
      <c r="R191" s="1065">
        <f t="shared" si="41"/>
        <v>0</v>
      </c>
      <c r="S191" s="1065">
        <f t="shared" si="41"/>
        <v>0</v>
      </c>
      <c r="T191" s="1099" t="s">
        <v>928</v>
      </c>
      <c r="U191" s="1100" t="s">
        <v>931</v>
      </c>
      <c r="V191" s="1099">
        <v>414</v>
      </c>
      <c r="W191" s="1099" t="s">
        <v>930</v>
      </c>
      <c r="X191" s="1216"/>
      <c r="Z191" s="1311">
        <f t="shared" si="33"/>
        <v>0</v>
      </c>
      <c r="AA191" s="1374">
        <f t="shared" si="36"/>
        <v>0</v>
      </c>
      <c r="AB191" s="912">
        <f t="shared" si="34"/>
        <v>0</v>
      </c>
      <c r="AC191" s="912">
        <f t="shared" si="35"/>
        <v>0</v>
      </c>
    </row>
    <row r="192" spans="1:29" s="736" customFormat="1" ht="87.75" customHeight="1">
      <c r="A192" s="2442" t="s">
        <v>857</v>
      </c>
      <c r="B192" s="900" t="s">
        <v>646</v>
      </c>
      <c r="C192" s="871">
        <f t="shared" si="28"/>
        <v>7500</v>
      </c>
      <c r="D192" s="1249">
        <v>0</v>
      </c>
      <c r="E192" s="1249">
        <v>7500</v>
      </c>
      <c r="F192" s="1442">
        <f t="shared" si="29"/>
        <v>7500</v>
      </c>
      <c r="G192" s="1439">
        <f t="shared" si="37"/>
        <v>0</v>
      </c>
      <c r="H192" s="1439">
        <f t="shared" si="37"/>
        <v>7500</v>
      </c>
      <c r="I192" s="1442">
        <f t="shared" si="42"/>
        <v>7450</v>
      </c>
      <c r="J192" s="1439">
        <v>0</v>
      </c>
      <c r="K192" s="1439">
        <v>7450</v>
      </c>
      <c r="L192" s="876">
        <f t="shared" si="43"/>
        <v>99.3</v>
      </c>
      <c r="M192" s="877">
        <f t="shared" si="43"/>
        <v>0</v>
      </c>
      <c r="N192" s="877">
        <f t="shared" si="43"/>
        <v>99.3</v>
      </c>
      <c r="O192" s="1214" t="s">
        <v>1272</v>
      </c>
      <c r="P192" s="1214" t="s">
        <v>1273</v>
      </c>
      <c r="Q192" s="1065">
        <f t="shared" si="41"/>
        <v>0</v>
      </c>
      <c r="R192" s="1065">
        <f t="shared" si="41"/>
        <v>0</v>
      </c>
      <c r="S192" s="1065">
        <f t="shared" si="41"/>
        <v>0</v>
      </c>
      <c r="T192" s="1099" t="s">
        <v>928</v>
      </c>
      <c r="U192" s="1100" t="s">
        <v>929</v>
      </c>
      <c r="V192" s="1099">
        <v>414</v>
      </c>
      <c r="W192" s="1099">
        <v>14036</v>
      </c>
      <c r="X192" s="1216"/>
      <c r="Z192" s="1311">
        <f t="shared" si="33"/>
        <v>0</v>
      </c>
      <c r="AA192" s="1374">
        <f t="shared" si="36"/>
        <v>0</v>
      </c>
      <c r="AB192" s="912">
        <f t="shared" si="34"/>
        <v>0</v>
      </c>
      <c r="AC192" s="912">
        <f t="shared" si="35"/>
        <v>0</v>
      </c>
    </row>
    <row r="193" spans="1:31" s="736" customFormat="1" ht="61.5" customHeight="1">
      <c r="A193" s="2442"/>
      <c r="B193" s="990" t="s">
        <v>695</v>
      </c>
      <c r="C193" s="871">
        <f t="shared" si="28"/>
        <v>134909.6</v>
      </c>
      <c r="D193" s="972">
        <f>133919.9-D194</f>
        <v>126813.7</v>
      </c>
      <c r="E193" s="972">
        <f>8548.1-E194</f>
        <v>8095.9</v>
      </c>
      <c r="F193" s="1442">
        <f t="shared" si="29"/>
        <v>134909.6</v>
      </c>
      <c r="G193" s="1439">
        <f>D193</f>
        <v>126813.7</v>
      </c>
      <c r="H193" s="1439">
        <f>E193</f>
        <v>8095.9</v>
      </c>
      <c r="I193" s="1442">
        <f t="shared" si="42"/>
        <v>0</v>
      </c>
      <c r="J193" s="1443">
        <v>0</v>
      </c>
      <c r="K193" s="1443">
        <v>0</v>
      </c>
      <c r="L193" s="876">
        <f t="shared" si="43"/>
        <v>0</v>
      </c>
      <c r="M193" s="877">
        <f t="shared" si="43"/>
        <v>0</v>
      </c>
      <c r="N193" s="877">
        <f t="shared" si="43"/>
        <v>0</v>
      </c>
      <c r="O193" s="1214" t="s">
        <v>1192</v>
      </c>
      <c r="P193" s="1214" t="s">
        <v>1274</v>
      </c>
      <c r="Q193" s="1065">
        <f t="shared" si="41"/>
        <v>0</v>
      </c>
      <c r="R193" s="1065">
        <f t="shared" si="41"/>
        <v>0</v>
      </c>
      <c r="S193" s="1065">
        <f t="shared" si="41"/>
        <v>0</v>
      </c>
      <c r="T193" s="1099" t="s">
        <v>928</v>
      </c>
      <c r="U193" s="1100" t="s">
        <v>1030</v>
      </c>
      <c r="V193" s="1099">
        <v>414</v>
      </c>
      <c r="W193" s="1099" t="s">
        <v>930</v>
      </c>
      <c r="X193" s="1216"/>
      <c r="Z193" s="1311">
        <f t="shared" si="33"/>
        <v>0</v>
      </c>
      <c r="AA193" s="1374">
        <f t="shared" si="36"/>
        <v>0</v>
      </c>
      <c r="AB193" s="912">
        <f t="shared" si="34"/>
        <v>0</v>
      </c>
      <c r="AC193" s="912">
        <f t="shared" si="35"/>
        <v>0</v>
      </c>
    </row>
    <row r="194" spans="1:31" s="736" customFormat="1" ht="33.75" customHeight="1">
      <c r="A194" s="2442"/>
      <c r="B194" s="900" t="s">
        <v>1335</v>
      </c>
      <c r="C194" s="871">
        <f t="shared" si="28"/>
        <v>7558.4</v>
      </c>
      <c r="D194" s="1439">
        <v>7106.2</v>
      </c>
      <c r="E194" s="1439">
        <v>452.2</v>
      </c>
      <c r="F194" s="1442">
        <f t="shared" si="29"/>
        <v>7558.4</v>
      </c>
      <c r="G194" s="1439">
        <f>D194</f>
        <v>7106.2</v>
      </c>
      <c r="H194" s="1439">
        <f>E194</f>
        <v>452.2</v>
      </c>
      <c r="I194" s="1442">
        <f t="shared" si="42"/>
        <v>0</v>
      </c>
      <c r="J194" s="1439"/>
      <c r="K194" s="1439"/>
      <c r="L194" s="876">
        <f t="shared" si="43"/>
        <v>0</v>
      </c>
      <c r="M194" s="877">
        <f t="shared" si="43"/>
        <v>0</v>
      </c>
      <c r="N194" s="877">
        <f t="shared" si="43"/>
        <v>0</v>
      </c>
      <c r="O194" s="1214" t="s">
        <v>1272</v>
      </c>
      <c r="P194" s="1214" t="s">
        <v>1273</v>
      </c>
      <c r="Q194" s="1065">
        <f>C194-F194</f>
        <v>0</v>
      </c>
      <c r="R194" s="1065">
        <f>D194-G194</f>
        <v>0</v>
      </c>
      <c r="S194" s="1065">
        <f>E194-H194</f>
        <v>0</v>
      </c>
      <c r="T194" s="1099" t="s">
        <v>928</v>
      </c>
      <c r="U194" s="1100" t="s">
        <v>929</v>
      </c>
      <c r="V194" s="1099">
        <v>414</v>
      </c>
      <c r="W194" s="1099">
        <v>14036</v>
      </c>
      <c r="X194" s="1216"/>
      <c r="Z194" s="1311">
        <f>C194-F194</f>
        <v>0</v>
      </c>
      <c r="AA194" s="1374">
        <f t="shared" si="36"/>
        <v>0</v>
      </c>
      <c r="AB194" s="912">
        <f t="shared" si="34"/>
        <v>0</v>
      </c>
      <c r="AC194" s="912">
        <f t="shared" si="35"/>
        <v>0</v>
      </c>
    </row>
    <row r="195" spans="1:31" s="736" customFormat="1" ht="78.75">
      <c r="A195" s="2483" t="s">
        <v>858</v>
      </c>
      <c r="B195" s="990" t="s">
        <v>1336</v>
      </c>
      <c r="C195" s="871">
        <f>SUM(D195:E195)</f>
        <v>6308.4</v>
      </c>
      <c r="D195" s="1439"/>
      <c r="E195" s="1439">
        <v>6308.4</v>
      </c>
      <c r="F195" s="1442">
        <f>SUM(G195:H195)</f>
        <v>6308.4</v>
      </c>
      <c r="G195" s="1439"/>
      <c r="H195" s="1439">
        <v>6308.4</v>
      </c>
      <c r="I195" s="1442">
        <f t="shared" si="42"/>
        <v>2253</v>
      </c>
      <c r="J195" s="1439"/>
      <c r="K195" s="1439">
        <v>2253</v>
      </c>
      <c r="L195" s="876">
        <f t="shared" si="43"/>
        <v>35.700000000000003</v>
      </c>
      <c r="M195" s="877">
        <f t="shared" si="43"/>
        <v>0</v>
      </c>
      <c r="N195" s="877">
        <f t="shared" si="43"/>
        <v>35.700000000000003</v>
      </c>
      <c r="O195" s="1214"/>
      <c r="P195" s="1214"/>
      <c r="Q195" s="1065"/>
      <c r="R195" s="1065"/>
      <c r="S195" s="1065"/>
      <c r="T195" s="1099"/>
      <c r="U195" s="1100"/>
      <c r="V195" s="1099"/>
      <c r="W195" s="1099"/>
      <c r="X195" s="1216"/>
      <c r="Z195" s="1311"/>
      <c r="AA195" s="1374">
        <f t="shared" si="36"/>
        <v>0</v>
      </c>
      <c r="AB195" s="912">
        <f t="shared" si="34"/>
        <v>0</v>
      </c>
      <c r="AC195" s="912">
        <f t="shared" si="35"/>
        <v>0</v>
      </c>
    </row>
    <row r="196" spans="1:31" s="736" customFormat="1" ht="64.5" customHeight="1">
      <c r="A196" s="2405"/>
      <c r="B196" s="990" t="s">
        <v>698</v>
      </c>
      <c r="C196" s="1442">
        <f t="shared" ref="C196:C222" si="44">SUM(D196:E196)</f>
        <v>96270.7</v>
      </c>
      <c r="D196" s="879">
        <v>90460.9</v>
      </c>
      <c r="E196" s="879">
        <v>5809.8</v>
      </c>
      <c r="F196" s="1442">
        <f t="shared" ref="F196:F223" si="45">SUM(G196:H196)</f>
        <v>96270.7</v>
      </c>
      <c r="G196" s="1439">
        <f>D196</f>
        <v>90460.9</v>
      </c>
      <c r="H196" s="1439">
        <f t="shared" si="37"/>
        <v>5809.8</v>
      </c>
      <c r="I196" s="1442">
        <f t="shared" si="42"/>
        <v>0</v>
      </c>
      <c r="J196" s="1443">
        <v>0</v>
      </c>
      <c r="K196" s="1443">
        <v>0</v>
      </c>
      <c r="L196" s="876">
        <f t="shared" si="43"/>
        <v>0</v>
      </c>
      <c r="M196" s="877">
        <f t="shared" si="43"/>
        <v>0</v>
      </c>
      <c r="N196" s="877">
        <f t="shared" si="43"/>
        <v>0</v>
      </c>
      <c r="O196" s="1214" t="s">
        <v>1192</v>
      </c>
      <c r="P196" s="1214" t="s">
        <v>1276</v>
      </c>
      <c r="Q196" s="1065">
        <f t="shared" si="41"/>
        <v>0</v>
      </c>
      <c r="R196" s="1065">
        <f t="shared" si="41"/>
        <v>0</v>
      </c>
      <c r="S196" s="1065">
        <f t="shared" si="41"/>
        <v>0</v>
      </c>
      <c r="T196" s="1130" t="s">
        <v>936</v>
      </c>
      <c r="U196" s="1100" t="s">
        <v>940</v>
      </c>
      <c r="V196" s="1099">
        <v>414</v>
      </c>
      <c r="W196" s="1099" t="s">
        <v>939</v>
      </c>
      <c r="X196" s="1216"/>
      <c r="Z196" s="1311">
        <f t="shared" si="33"/>
        <v>0</v>
      </c>
      <c r="AA196" s="1374">
        <f t="shared" si="36"/>
        <v>0</v>
      </c>
      <c r="AB196" s="912">
        <f t="shared" si="34"/>
        <v>0</v>
      </c>
      <c r="AC196" s="912">
        <f t="shared" si="35"/>
        <v>0</v>
      </c>
    </row>
    <row r="197" spans="1:31" s="736" customFormat="1" ht="105" customHeight="1">
      <c r="A197" s="1437" t="s">
        <v>859</v>
      </c>
      <c r="B197" s="990" t="s">
        <v>697</v>
      </c>
      <c r="C197" s="871">
        <f t="shared" si="44"/>
        <v>150000</v>
      </c>
      <c r="D197" s="972">
        <v>140955</v>
      </c>
      <c r="E197" s="972">
        <v>9045</v>
      </c>
      <c r="F197" s="1442">
        <f t="shared" si="45"/>
        <v>150000</v>
      </c>
      <c r="G197" s="1439">
        <f t="shared" si="37"/>
        <v>140955</v>
      </c>
      <c r="H197" s="1439">
        <f t="shared" si="37"/>
        <v>9045</v>
      </c>
      <c r="I197" s="1442">
        <f t="shared" si="42"/>
        <v>33387.5</v>
      </c>
      <c r="J197" s="1443">
        <v>31373.8</v>
      </c>
      <c r="K197" s="1443">
        <v>2013.7</v>
      </c>
      <c r="L197" s="876">
        <f t="shared" si="43"/>
        <v>22.3</v>
      </c>
      <c r="M197" s="877">
        <f t="shared" si="43"/>
        <v>22.3</v>
      </c>
      <c r="N197" s="877">
        <f t="shared" si="43"/>
        <v>22.3</v>
      </c>
      <c r="O197" s="1214" t="s">
        <v>1306</v>
      </c>
      <c r="P197" s="1214" t="s">
        <v>1277</v>
      </c>
      <c r="Q197" s="1065">
        <f t="shared" ref="Q197:S205" si="46">C197-F197</f>
        <v>0</v>
      </c>
      <c r="R197" s="1065">
        <f t="shared" si="46"/>
        <v>0</v>
      </c>
      <c r="S197" s="1065">
        <f t="shared" si="46"/>
        <v>0</v>
      </c>
      <c r="T197" s="1130" t="s">
        <v>936</v>
      </c>
      <c r="U197" s="1100" t="s">
        <v>941</v>
      </c>
      <c r="V197" s="1099">
        <v>414</v>
      </c>
      <c r="W197" s="1099" t="s">
        <v>939</v>
      </c>
      <c r="X197" s="1216"/>
      <c r="Z197" s="1311">
        <f t="shared" si="33"/>
        <v>0</v>
      </c>
      <c r="AA197" s="1374">
        <f t="shared" si="36"/>
        <v>0</v>
      </c>
      <c r="AB197" s="912">
        <f t="shared" si="34"/>
        <v>0</v>
      </c>
      <c r="AC197" s="912">
        <f t="shared" si="35"/>
        <v>0</v>
      </c>
    </row>
    <row r="198" spans="1:31" ht="131.25" customHeight="1">
      <c r="A198" s="1437" t="s">
        <v>917</v>
      </c>
      <c r="B198" s="990" t="s">
        <v>942</v>
      </c>
      <c r="C198" s="871">
        <f t="shared" si="44"/>
        <v>34500</v>
      </c>
      <c r="D198" s="972">
        <v>32419.7</v>
      </c>
      <c r="E198" s="972">
        <v>2080.3000000000002</v>
      </c>
      <c r="F198" s="1442">
        <f t="shared" si="45"/>
        <v>34500</v>
      </c>
      <c r="G198" s="1439">
        <f t="shared" si="37"/>
        <v>32419.7</v>
      </c>
      <c r="H198" s="1439">
        <f t="shared" si="37"/>
        <v>2080.3000000000002</v>
      </c>
      <c r="I198" s="1442">
        <f t="shared" si="42"/>
        <v>15868.6</v>
      </c>
      <c r="J198" s="1443">
        <v>14911.5</v>
      </c>
      <c r="K198" s="1443">
        <v>957.1</v>
      </c>
      <c r="L198" s="876">
        <f t="shared" si="43"/>
        <v>46</v>
      </c>
      <c r="M198" s="877">
        <f t="shared" si="43"/>
        <v>46</v>
      </c>
      <c r="N198" s="877">
        <f t="shared" si="43"/>
        <v>46</v>
      </c>
      <c r="O198" s="1214" t="s">
        <v>1192</v>
      </c>
      <c r="P198" s="1214" t="s">
        <v>1278</v>
      </c>
      <c r="Q198" s="1065">
        <f t="shared" si="46"/>
        <v>0</v>
      </c>
      <c r="R198" s="1065">
        <f t="shared" si="46"/>
        <v>0</v>
      </c>
      <c r="S198" s="1065">
        <f t="shared" si="46"/>
        <v>0</v>
      </c>
      <c r="T198" s="1099" t="s">
        <v>936</v>
      </c>
      <c r="U198" s="1100" t="s">
        <v>943</v>
      </c>
      <c r="V198" s="1099">
        <v>414</v>
      </c>
      <c r="W198" s="1099" t="s">
        <v>939</v>
      </c>
      <c r="Z198" s="1311">
        <f t="shared" si="33"/>
        <v>0</v>
      </c>
      <c r="AA198" s="1374">
        <f t="shared" si="36"/>
        <v>0</v>
      </c>
      <c r="AB198" s="912">
        <f t="shared" si="34"/>
        <v>0</v>
      </c>
      <c r="AC198" s="912">
        <f t="shared" si="35"/>
        <v>0</v>
      </c>
    </row>
    <row r="199" spans="1:31" ht="90.75" customHeight="1">
      <c r="A199" s="1437" t="s">
        <v>918</v>
      </c>
      <c r="B199" s="901" t="s">
        <v>462</v>
      </c>
      <c r="C199" s="871">
        <f t="shared" si="44"/>
        <v>16153.6</v>
      </c>
      <c r="D199" s="972">
        <f>13560+1620.2</f>
        <v>15180.2</v>
      </c>
      <c r="E199" s="972">
        <f>869.4+104</f>
        <v>973.4</v>
      </c>
      <c r="F199" s="1442">
        <f t="shared" si="45"/>
        <v>16153.6</v>
      </c>
      <c r="G199" s="1439">
        <f t="shared" si="37"/>
        <v>15180.2</v>
      </c>
      <c r="H199" s="1439">
        <f t="shared" si="37"/>
        <v>973.4</v>
      </c>
      <c r="I199" s="1442">
        <f t="shared" si="42"/>
        <v>1014.3</v>
      </c>
      <c r="J199" s="1443">
        <v>953.1</v>
      </c>
      <c r="K199" s="1443">
        <v>61.2</v>
      </c>
      <c r="L199" s="876">
        <f t="shared" si="43"/>
        <v>6.3</v>
      </c>
      <c r="M199" s="877">
        <f t="shared" si="43"/>
        <v>6.3</v>
      </c>
      <c r="N199" s="877">
        <f t="shared" si="43"/>
        <v>6.3</v>
      </c>
      <c r="O199" s="1214" t="s">
        <v>1192</v>
      </c>
      <c r="P199" s="1214" t="s">
        <v>1279</v>
      </c>
      <c r="Q199" s="1065">
        <f t="shared" si="46"/>
        <v>0</v>
      </c>
      <c r="R199" s="1065">
        <f t="shared" si="46"/>
        <v>0</v>
      </c>
      <c r="S199" s="1065">
        <f t="shared" si="46"/>
        <v>0</v>
      </c>
      <c r="T199" s="1099" t="s">
        <v>936</v>
      </c>
      <c r="U199" s="1100" t="s">
        <v>938</v>
      </c>
      <c r="V199" s="1099">
        <v>414</v>
      </c>
      <c r="W199" s="1099" t="s">
        <v>939</v>
      </c>
      <c r="Z199" s="1311">
        <f t="shared" si="33"/>
        <v>0</v>
      </c>
      <c r="AA199" s="1374">
        <f t="shared" si="36"/>
        <v>0</v>
      </c>
      <c r="AB199" s="912">
        <f t="shared" si="34"/>
        <v>0</v>
      </c>
      <c r="AC199" s="912">
        <f t="shared" si="35"/>
        <v>0</v>
      </c>
    </row>
    <row r="200" spans="1:31" s="515" customFormat="1" ht="60.75" customHeight="1">
      <c r="A200" s="2442" t="s">
        <v>1028</v>
      </c>
      <c r="B200" s="900" t="s">
        <v>700</v>
      </c>
      <c r="C200" s="871">
        <f t="shared" si="44"/>
        <v>18000</v>
      </c>
      <c r="D200" s="972">
        <v>0</v>
      </c>
      <c r="E200" s="972">
        <v>18000</v>
      </c>
      <c r="F200" s="1442">
        <f t="shared" si="45"/>
        <v>18000</v>
      </c>
      <c r="G200" s="1439">
        <f t="shared" si="37"/>
        <v>0</v>
      </c>
      <c r="H200" s="1439">
        <f t="shared" si="37"/>
        <v>18000</v>
      </c>
      <c r="I200" s="1442">
        <f t="shared" si="42"/>
        <v>0</v>
      </c>
      <c r="J200" s="1443">
        <v>0</v>
      </c>
      <c r="K200" s="1443">
        <v>0</v>
      </c>
      <c r="L200" s="876">
        <f t="shared" si="43"/>
        <v>0</v>
      </c>
      <c r="M200" s="877">
        <f t="shared" si="43"/>
        <v>0</v>
      </c>
      <c r="N200" s="877">
        <f t="shared" si="43"/>
        <v>0</v>
      </c>
      <c r="O200" s="1214" t="s">
        <v>1307</v>
      </c>
      <c r="P200" s="1214" t="s">
        <v>1280</v>
      </c>
      <c r="Q200" s="1065">
        <f t="shared" si="46"/>
        <v>0</v>
      </c>
      <c r="R200" s="1065">
        <f t="shared" si="46"/>
        <v>0</v>
      </c>
      <c r="S200" s="1065">
        <f t="shared" si="46"/>
        <v>0</v>
      </c>
      <c r="T200" s="1099" t="s">
        <v>949</v>
      </c>
      <c r="U200" s="1100" t="s">
        <v>950</v>
      </c>
      <c r="V200" s="1099">
        <v>414</v>
      </c>
      <c r="W200" s="1099">
        <v>14052</v>
      </c>
      <c r="X200" s="1220"/>
      <c r="Z200" s="1311">
        <f t="shared" si="33"/>
        <v>0</v>
      </c>
      <c r="AA200" s="1374">
        <f t="shared" si="36"/>
        <v>0</v>
      </c>
      <c r="AB200" s="912">
        <f t="shared" si="34"/>
        <v>0</v>
      </c>
      <c r="AC200" s="912">
        <f t="shared" si="35"/>
        <v>0</v>
      </c>
    </row>
    <row r="201" spans="1:31" s="515" customFormat="1" ht="52.5">
      <c r="A201" s="2442"/>
      <c r="B201" s="900" t="s">
        <v>699</v>
      </c>
      <c r="C201" s="871">
        <f t="shared" si="44"/>
        <v>151300</v>
      </c>
      <c r="D201" s="972">
        <v>142200</v>
      </c>
      <c r="E201" s="972">
        <v>9100</v>
      </c>
      <c r="F201" s="1442">
        <f t="shared" si="45"/>
        <v>151300</v>
      </c>
      <c r="G201" s="1439">
        <f t="shared" si="37"/>
        <v>142200</v>
      </c>
      <c r="H201" s="1439">
        <f t="shared" si="37"/>
        <v>9100</v>
      </c>
      <c r="I201" s="1442">
        <f t="shared" si="42"/>
        <v>0</v>
      </c>
      <c r="J201" s="1443">
        <v>0</v>
      </c>
      <c r="K201" s="1443">
        <v>0</v>
      </c>
      <c r="L201" s="876">
        <f t="shared" si="43"/>
        <v>0</v>
      </c>
      <c r="M201" s="877">
        <f t="shared" si="43"/>
        <v>0</v>
      </c>
      <c r="N201" s="877">
        <f t="shared" si="43"/>
        <v>0</v>
      </c>
      <c r="O201" s="1214" t="s">
        <v>1192</v>
      </c>
      <c r="P201" s="1214" t="s">
        <v>1219</v>
      </c>
      <c r="Q201" s="1065">
        <f t="shared" si="46"/>
        <v>0</v>
      </c>
      <c r="R201" s="1065">
        <f t="shared" si="46"/>
        <v>0</v>
      </c>
      <c r="S201" s="1065">
        <f t="shared" si="46"/>
        <v>0</v>
      </c>
      <c r="T201" s="1099" t="s">
        <v>949</v>
      </c>
      <c r="U201" s="1100" t="s">
        <v>952</v>
      </c>
      <c r="V201" s="1099">
        <v>414</v>
      </c>
      <c r="W201" s="1099" t="s">
        <v>953</v>
      </c>
      <c r="X201" s="1220"/>
      <c r="Z201" s="1311">
        <f t="shared" si="33"/>
        <v>0</v>
      </c>
      <c r="AA201" s="1374">
        <f t="shared" si="36"/>
        <v>0</v>
      </c>
      <c r="AB201" s="912">
        <f t="shared" si="34"/>
        <v>0</v>
      </c>
      <c r="AC201" s="912">
        <f t="shared" si="35"/>
        <v>0</v>
      </c>
    </row>
    <row r="202" spans="1:31" ht="67.5" customHeight="1">
      <c r="A202" s="1437" t="s">
        <v>1029</v>
      </c>
      <c r="B202" s="900" t="s">
        <v>461</v>
      </c>
      <c r="C202" s="871">
        <f t="shared" si="44"/>
        <v>29999.7</v>
      </c>
      <c r="D202" s="972">
        <f>25201.1+2998.27</f>
        <v>28199.4</v>
      </c>
      <c r="E202" s="972">
        <f>1608.9+191.41</f>
        <v>1800.3</v>
      </c>
      <c r="F202" s="1442">
        <f t="shared" si="45"/>
        <v>29999.7</v>
      </c>
      <c r="G202" s="1439">
        <f t="shared" si="37"/>
        <v>28199.4</v>
      </c>
      <c r="H202" s="1439">
        <f t="shared" si="37"/>
        <v>1800.3</v>
      </c>
      <c r="I202" s="1442">
        <f t="shared" si="42"/>
        <v>1401.6</v>
      </c>
      <c r="J202" s="1443">
        <v>1317.5</v>
      </c>
      <c r="K202" s="1443">
        <v>84.1</v>
      </c>
      <c r="L202" s="876">
        <f t="shared" si="43"/>
        <v>4.7</v>
      </c>
      <c r="M202" s="877">
        <f t="shared" si="43"/>
        <v>4.7</v>
      </c>
      <c r="N202" s="877">
        <f t="shared" si="43"/>
        <v>4.7</v>
      </c>
      <c r="O202" s="1213" t="s">
        <v>1192</v>
      </c>
      <c r="P202" s="1214" t="s">
        <v>1281</v>
      </c>
      <c r="Q202" s="1065">
        <f t="shared" si="46"/>
        <v>0</v>
      </c>
      <c r="R202" s="1065">
        <f t="shared" si="46"/>
        <v>0</v>
      </c>
      <c r="S202" s="1065">
        <f t="shared" si="46"/>
        <v>0</v>
      </c>
      <c r="T202" s="1099" t="s">
        <v>954</v>
      </c>
      <c r="U202" s="1100" t="s">
        <v>957</v>
      </c>
      <c r="V202" s="1099">
        <v>414</v>
      </c>
      <c r="W202" s="1099" t="s">
        <v>958</v>
      </c>
      <c r="Z202" s="1311">
        <f t="shared" si="33"/>
        <v>0</v>
      </c>
      <c r="AA202" s="1374">
        <f t="shared" si="36"/>
        <v>0</v>
      </c>
      <c r="AB202" s="912">
        <f t="shared" si="34"/>
        <v>0</v>
      </c>
      <c r="AC202" s="912">
        <f t="shared" si="35"/>
        <v>0</v>
      </c>
    </row>
    <row r="203" spans="1:31" s="914" customFormat="1" ht="69.75" customHeight="1">
      <c r="A203" s="2401" t="s">
        <v>456</v>
      </c>
      <c r="B203" s="2401"/>
      <c r="C203" s="917">
        <f t="shared" si="44"/>
        <v>1791620.4</v>
      </c>
      <c r="D203" s="917">
        <f>SUM(D204,D223)</f>
        <v>1509500</v>
      </c>
      <c r="E203" s="917">
        <f>SUM(E204,E223)</f>
        <v>282120.40000000002</v>
      </c>
      <c r="F203" s="917">
        <f t="shared" si="45"/>
        <v>1789728.1</v>
      </c>
      <c r="G203" s="917">
        <f>SUM(G204,G223)</f>
        <v>1507801.2</v>
      </c>
      <c r="H203" s="917">
        <f>SUM(H204,H223)</f>
        <v>281926.90000000002</v>
      </c>
      <c r="I203" s="917">
        <f t="shared" si="42"/>
        <v>507356</v>
      </c>
      <c r="J203" s="917">
        <f>SUM(J204,J223)</f>
        <v>453188.5</v>
      </c>
      <c r="K203" s="917">
        <f>SUM(K204,K223)</f>
        <v>54167.5</v>
      </c>
      <c r="L203" s="918">
        <f t="shared" si="43"/>
        <v>28.3</v>
      </c>
      <c r="M203" s="920">
        <f t="shared" si="43"/>
        <v>30.1</v>
      </c>
      <c r="N203" s="920">
        <f t="shared" si="43"/>
        <v>19.2</v>
      </c>
      <c r="O203" s="1282"/>
      <c r="P203" s="1281" t="s">
        <v>1103</v>
      </c>
      <c r="Q203" s="1065">
        <f t="shared" si="46"/>
        <v>1892.3</v>
      </c>
      <c r="R203" s="1065">
        <f>D203-G203</f>
        <v>1698.8</v>
      </c>
      <c r="S203" s="1065">
        <f>E203-H203</f>
        <v>193.5</v>
      </c>
      <c r="T203" s="1099"/>
      <c r="U203" s="1100"/>
      <c r="V203" s="1099"/>
      <c r="W203" s="1099"/>
      <c r="X203" s="1216"/>
      <c r="Z203" s="1311">
        <f t="shared" si="33"/>
        <v>1892.3</v>
      </c>
      <c r="AA203" s="1374">
        <f t="shared" si="36"/>
        <v>1892.3</v>
      </c>
      <c r="AB203" s="912">
        <f t="shared" ref="AB203:AB256" si="47">D203-G203</f>
        <v>1698.8</v>
      </c>
      <c r="AC203" s="912">
        <f t="shared" ref="AC203:AC256" si="48">E203-H203</f>
        <v>193.5</v>
      </c>
      <c r="AD203" s="1378"/>
      <c r="AE203" s="1378"/>
    </row>
    <row r="204" spans="1:31" s="914" customFormat="1" ht="120.75" customHeight="1">
      <c r="A204" s="1280" t="s">
        <v>6</v>
      </c>
      <c r="B204" s="925" t="s">
        <v>439</v>
      </c>
      <c r="C204" s="926">
        <f t="shared" si="44"/>
        <v>115079</v>
      </c>
      <c r="D204" s="926">
        <f>SUM(D205,D217,D219,D221)</f>
        <v>0</v>
      </c>
      <c r="E204" s="926">
        <f>SUM(E205,E217,E219,E221)</f>
        <v>115079</v>
      </c>
      <c r="F204" s="926">
        <f>SUM(G204:H204)</f>
        <v>115079</v>
      </c>
      <c r="G204" s="926">
        <f>SUM(G205,G217,G219,G221)</f>
        <v>0</v>
      </c>
      <c r="H204" s="926">
        <f>SUM(H205,H217,H219,H221)</f>
        <v>115079</v>
      </c>
      <c r="I204" s="926">
        <f t="shared" si="42"/>
        <v>0</v>
      </c>
      <c r="J204" s="926">
        <f>SUM(J205,J217,J219,J221)</f>
        <v>0</v>
      </c>
      <c r="K204" s="926">
        <f>SUM(K205,K217,K219,K221)</f>
        <v>0</v>
      </c>
      <c r="L204" s="927">
        <f t="shared" si="43"/>
        <v>0</v>
      </c>
      <c r="M204" s="928">
        <f t="shared" si="43"/>
        <v>0</v>
      </c>
      <c r="N204" s="928">
        <f t="shared" si="43"/>
        <v>0</v>
      </c>
      <c r="O204" s="1282"/>
      <c r="P204" s="1281" t="s">
        <v>1104</v>
      </c>
      <c r="Q204" s="1065">
        <f t="shared" si="46"/>
        <v>0</v>
      </c>
      <c r="R204" s="1065">
        <f>D204-G204</f>
        <v>0</v>
      </c>
      <c r="S204" s="1065">
        <f>E204-H204</f>
        <v>0</v>
      </c>
      <c r="T204" s="1099"/>
      <c r="U204" s="1100"/>
      <c r="V204" s="1099"/>
      <c r="W204" s="1099"/>
      <c r="X204" s="1216"/>
      <c r="Z204" s="1311">
        <f t="shared" si="33"/>
        <v>0</v>
      </c>
      <c r="AA204" s="1374">
        <f t="shared" ref="AA204:AA256" si="49">C204-F204</f>
        <v>0</v>
      </c>
      <c r="AB204" s="912">
        <f t="shared" si="47"/>
        <v>0</v>
      </c>
      <c r="AC204" s="912">
        <f t="shared" si="48"/>
        <v>0</v>
      </c>
    </row>
    <row r="205" spans="1:31">
      <c r="A205" s="1437"/>
      <c r="B205" s="898" t="s">
        <v>283</v>
      </c>
      <c r="C205" s="1442">
        <f t="shared" si="44"/>
        <v>110906</v>
      </c>
      <c r="D205" s="875">
        <f>SUM(D206:D216)</f>
        <v>0</v>
      </c>
      <c r="E205" s="875">
        <f>SUM(E206:E216)</f>
        <v>110906</v>
      </c>
      <c r="F205" s="1442">
        <f>SUM(G205:H205)</f>
        <v>110906</v>
      </c>
      <c r="G205" s="875">
        <f>SUM(G206:G216)</f>
        <v>0</v>
      </c>
      <c r="H205" s="875">
        <f>SUM(H206:H216)</f>
        <v>110906</v>
      </c>
      <c r="I205" s="1442">
        <f t="shared" si="42"/>
        <v>0</v>
      </c>
      <c r="J205" s="875">
        <f>SUM(J206:J216)</f>
        <v>0</v>
      </c>
      <c r="K205" s="875">
        <f>SUM(K206:K216)</f>
        <v>0</v>
      </c>
      <c r="L205" s="876">
        <f t="shared" si="43"/>
        <v>0</v>
      </c>
      <c r="M205" s="877">
        <f t="shared" si="43"/>
        <v>0</v>
      </c>
      <c r="N205" s="877">
        <f t="shared" si="43"/>
        <v>0</v>
      </c>
      <c r="O205" s="1282"/>
      <c r="P205" s="1281" t="s">
        <v>1100</v>
      </c>
      <c r="Q205" s="1065">
        <f t="shared" si="46"/>
        <v>0</v>
      </c>
      <c r="R205" s="1065">
        <f t="shared" si="46"/>
        <v>0</v>
      </c>
      <c r="S205" s="1065">
        <f t="shared" si="46"/>
        <v>0</v>
      </c>
      <c r="Z205" s="1311">
        <f t="shared" si="33"/>
        <v>0</v>
      </c>
      <c r="AA205" s="1374">
        <f t="shared" si="49"/>
        <v>0</v>
      </c>
      <c r="AB205" s="912">
        <f t="shared" si="47"/>
        <v>0</v>
      </c>
      <c r="AC205" s="912">
        <f t="shared" si="48"/>
        <v>0</v>
      </c>
    </row>
    <row r="206" spans="1:31" ht="73.5" customHeight="1">
      <c r="A206" s="1437" t="s">
        <v>538</v>
      </c>
      <c r="B206" s="1434" t="s">
        <v>1080</v>
      </c>
      <c r="C206" s="1442">
        <f t="shared" si="44"/>
        <v>19450</v>
      </c>
      <c r="D206" s="1439">
        <v>0</v>
      </c>
      <c r="E206" s="1439">
        <v>19450</v>
      </c>
      <c r="F206" s="1442">
        <f t="shared" si="45"/>
        <v>19450</v>
      </c>
      <c r="G206" s="1439">
        <v>0</v>
      </c>
      <c r="H206" s="1439">
        <v>19450</v>
      </c>
      <c r="I206" s="1442">
        <f t="shared" si="42"/>
        <v>0</v>
      </c>
      <c r="J206" s="1443">
        <v>0</v>
      </c>
      <c r="K206" s="1443">
        <v>0</v>
      </c>
      <c r="L206" s="876">
        <f t="shared" si="43"/>
        <v>0</v>
      </c>
      <c r="M206" s="877">
        <f t="shared" si="43"/>
        <v>0</v>
      </c>
      <c r="N206" s="877">
        <f t="shared" si="43"/>
        <v>0</v>
      </c>
      <c r="O206" s="1282"/>
      <c r="P206" s="1281" t="s">
        <v>1105</v>
      </c>
      <c r="Q206" s="1065"/>
      <c r="R206" s="1065"/>
      <c r="S206" s="1065"/>
      <c r="T206" s="1099" t="s">
        <v>999</v>
      </c>
      <c r="U206" s="1100">
        <v>1110243180</v>
      </c>
      <c r="V206" s="1099">
        <v>522</v>
      </c>
      <c r="W206" s="1099" t="s">
        <v>1019</v>
      </c>
      <c r="Z206" s="1311">
        <f t="shared" ref="Z206:Z255" si="50">C206-F206</f>
        <v>0</v>
      </c>
      <c r="AA206" s="1374">
        <f t="shared" si="49"/>
        <v>0</v>
      </c>
      <c r="AB206" s="912">
        <f t="shared" si="47"/>
        <v>0</v>
      </c>
      <c r="AC206" s="912">
        <f t="shared" si="48"/>
        <v>0</v>
      </c>
    </row>
    <row r="207" spans="1:31" ht="78.75">
      <c r="A207" s="1437" t="s">
        <v>539</v>
      </c>
      <c r="B207" s="1434" t="s">
        <v>1081</v>
      </c>
      <c r="C207" s="1442">
        <f t="shared" si="44"/>
        <v>3235</v>
      </c>
      <c r="D207" s="1439">
        <v>0</v>
      </c>
      <c r="E207" s="1439">
        <v>3235</v>
      </c>
      <c r="F207" s="1442">
        <f t="shared" si="45"/>
        <v>3235</v>
      </c>
      <c r="G207" s="1439">
        <v>0</v>
      </c>
      <c r="H207" s="1439">
        <v>3235</v>
      </c>
      <c r="I207" s="1442">
        <f t="shared" si="42"/>
        <v>0</v>
      </c>
      <c r="J207" s="1443">
        <v>0</v>
      </c>
      <c r="K207" s="1443">
        <v>0</v>
      </c>
      <c r="L207" s="876">
        <f t="shared" si="43"/>
        <v>0</v>
      </c>
      <c r="M207" s="877">
        <f t="shared" si="43"/>
        <v>0</v>
      </c>
      <c r="N207" s="877">
        <f t="shared" si="43"/>
        <v>0</v>
      </c>
      <c r="O207" s="1282"/>
      <c r="Q207" s="1065"/>
      <c r="R207" s="1065"/>
      <c r="S207" s="1065"/>
      <c r="T207" s="1099" t="s">
        <v>999</v>
      </c>
      <c r="U207" s="1100">
        <v>1110243180</v>
      </c>
      <c r="V207" s="1099">
        <v>522</v>
      </c>
      <c r="W207" s="1099" t="s">
        <v>1019</v>
      </c>
      <c r="Z207" s="1311">
        <f t="shared" si="50"/>
        <v>0</v>
      </c>
      <c r="AA207" s="1374">
        <f t="shared" si="49"/>
        <v>0</v>
      </c>
      <c r="AB207" s="912">
        <f t="shared" si="47"/>
        <v>0</v>
      </c>
      <c r="AC207" s="912">
        <f t="shared" si="48"/>
        <v>0</v>
      </c>
    </row>
    <row r="208" spans="1:31" ht="61.5" customHeight="1">
      <c r="A208" s="1437" t="s">
        <v>19</v>
      </c>
      <c r="B208" s="1434" t="s">
        <v>1082</v>
      </c>
      <c r="C208" s="1442">
        <f t="shared" si="44"/>
        <v>4116</v>
      </c>
      <c r="D208" s="1439">
        <v>0</v>
      </c>
      <c r="E208" s="1439">
        <v>4116</v>
      </c>
      <c r="F208" s="1442">
        <f t="shared" si="45"/>
        <v>4116</v>
      </c>
      <c r="G208" s="1439">
        <v>0</v>
      </c>
      <c r="H208" s="1439">
        <v>4116</v>
      </c>
      <c r="I208" s="1442">
        <f t="shared" si="42"/>
        <v>0</v>
      </c>
      <c r="J208" s="1443">
        <v>0</v>
      </c>
      <c r="K208" s="1443">
        <v>0</v>
      </c>
      <c r="L208" s="876">
        <f t="shared" si="43"/>
        <v>0</v>
      </c>
      <c r="M208" s="877">
        <f t="shared" si="43"/>
        <v>0</v>
      </c>
      <c r="N208" s="877">
        <f t="shared" si="43"/>
        <v>0</v>
      </c>
      <c r="O208" s="1282"/>
      <c r="Q208" s="1065"/>
      <c r="R208" s="1065"/>
      <c r="S208" s="1065"/>
      <c r="T208" s="1099" t="s">
        <v>999</v>
      </c>
      <c r="U208" s="1100">
        <v>1110243180</v>
      </c>
      <c r="V208" s="1099">
        <v>522</v>
      </c>
      <c r="W208" s="1099" t="s">
        <v>1019</v>
      </c>
      <c r="Z208" s="1311">
        <f t="shared" si="50"/>
        <v>0</v>
      </c>
      <c r="AA208" s="1374">
        <f t="shared" si="49"/>
        <v>0</v>
      </c>
      <c r="AB208" s="912">
        <f t="shared" si="47"/>
        <v>0</v>
      </c>
      <c r="AC208" s="912">
        <f t="shared" si="48"/>
        <v>0</v>
      </c>
    </row>
    <row r="209" spans="1:29" ht="87.75" customHeight="1">
      <c r="A209" s="1437" t="s">
        <v>20</v>
      </c>
      <c r="B209" s="1434" t="s">
        <v>1083</v>
      </c>
      <c r="C209" s="1442">
        <f t="shared" si="44"/>
        <v>10687</v>
      </c>
      <c r="D209" s="1439">
        <v>0</v>
      </c>
      <c r="E209" s="1439">
        <v>10687</v>
      </c>
      <c r="F209" s="1442">
        <f t="shared" si="45"/>
        <v>10687</v>
      </c>
      <c r="G209" s="1439">
        <v>0</v>
      </c>
      <c r="H209" s="1439">
        <v>10687</v>
      </c>
      <c r="I209" s="1442">
        <f t="shared" si="42"/>
        <v>0</v>
      </c>
      <c r="J209" s="1443">
        <v>0</v>
      </c>
      <c r="K209" s="1443">
        <v>0</v>
      </c>
      <c r="L209" s="876">
        <f t="shared" si="43"/>
        <v>0</v>
      </c>
      <c r="M209" s="877">
        <f t="shared" si="43"/>
        <v>0</v>
      </c>
      <c r="N209" s="877">
        <f t="shared" si="43"/>
        <v>0</v>
      </c>
      <c r="O209" s="1282"/>
      <c r="Q209" s="1065"/>
      <c r="R209" s="1065"/>
      <c r="S209" s="1065"/>
      <c r="T209" s="1099" t="s">
        <v>999</v>
      </c>
      <c r="U209" s="1100">
        <v>1110243180</v>
      </c>
      <c r="V209" s="1099">
        <v>522</v>
      </c>
      <c r="W209" s="1099" t="s">
        <v>1019</v>
      </c>
      <c r="Z209" s="1311">
        <f t="shared" si="50"/>
        <v>0</v>
      </c>
      <c r="AA209" s="1374">
        <f t="shared" si="49"/>
        <v>0</v>
      </c>
      <c r="AB209" s="912">
        <f t="shared" si="47"/>
        <v>0</v>
      </c>
      <c r="AC209" s="912">
        <f t="shared" si="48"/>
        <v>0</v>
      </c>
    </row>
    <row r="210" spans="1:29" ht="95.25" customHeight="1">
      <c r="A210" s="1437" t="s">
        <v>467</v>
      </c>
      <c r="B210" s="1434" t="s">
        <v>1084</v>
      </c>
      <c r="C210" s="1442">
        <f t="shared" si="44"/>
        <v>3822</v>
      </c>
      <c r="D210" s="1439">
        <v>0</v>
      </c>
      <c r="E210" s="1439">
        <v>3822</v>
      </c>
      <c r="F210" s="1442">
        <f t="shared" si="45"/>
        <v>3822</v>
      </c>
      <c r="G210" s="1439">
        <v>0</v>
      </c>
      <c r="H210" s="1439">
        <v>3822</v>
      </c>
      <c r="I210" s="1442">
        <f t="shared" si="42"/>
        <v>0</v>
      </c>
      <c r="J210" s="1443">
        <v>0</v>
      </c>
      <c r="K210" s="1443">
        <v>0</v>
      </c>
      <c r="L210" s="876">
        <f t="shared" si="43"/>
        <v>0</v>
      </c>
      <c r="M210" s="877">
        <f t="shared" si="43"/>
        <v>0</v>
      </c>
      <c r="N210" s="877">
        <f t="shared" si="43"/>
        <v>0</v>
      </c>
      <c r="O210" s="1282"/>
      <c r="Q210" s="1065"/>
      <c r="R210" s="1065"/>
      <c r="S210" s="1065"/>
      <c r="T210" s="1099" t="s">
        <v>999</v>
      </c>
      <c r="U210" s="1100">
        <v>1110243180</v>
      </c>
      <c r="V210" s="1099">
        <v>522</v>
      </c>
      <c r="W210" s="1099" t="s">
        <v>1019</v>
      </c>
      <c r="Z210" s="1311">
        <f t="shared" si="50"/>
        <v>0</v>
      </c>
      <c r="AA210" s="1374">
        <f t="shared" si="49"/>
        <v>0</v>
      </c>
      <c r="AB210" s="912">
        <f t="shared" si="47"/>
        <v>0</v>
      </c>
      <c r="AC210" s="912">
        <f t="shared" si="48"/>
        <v>0</v>
      </c>
    </row>
    <row r="211" spans="1:29" ht="78.75">
      <c r="A211" s="1437" t="s">
        <v>468</v>
      </c>
      <c r="B211" s="1434" t="s">
        <v>1085</v>
      </c>
      <c r="C211" s="1442">
        <f t="shared" si="44"/>
        <v>1176</v>
      </c>
      <c r="D211" s="1439">
        <v>0</v>
      </c>
      <c r="E211" s="1439">
        <v>1176</v>
      </c>
      <c r="F211" s="1442">
        <f t="shared" si="45"/>
        <v>1176</v>
      </c>
      <c r="G211" s="1439">
        <v>0</v>
      </c>
      <c r="H211" s="1439">
        <v>1176</v>
      </c>
      <c r="I211" s="1442">
        <f t="shared" si="42"/>
        <v>0</v>
      </c>
      <c r="J211" s="1443">
        <v>0</v>
      </c>
      <c r="K211" s="1443">
        <v>0</v>
      </c>
      <c r="L211" s="876">
        <f t="shared" si="43"/>
        <v>0</v>
      </c>
      <c r="M211" s="877">
        <f t="shared" si="43"/>
        <v>0</v>
      </c>
      <c r="N211" s="877">
        <f t="shared" si="43"/>
        <v>0</v>
      </c>
      <c r="O211" s="1282"/>
      <c r="Q211" s="1065"/>
      <c r="R211" s="1065"/>
      <c r="S211" s="1065"/>
      <c r="T211" s="1099" t="s">
        <v>999</v>
      </c>
      <c r="U211" s="1100">
        <v>1110243180</v>
      </c>
      <c r="V211" s="1099">
        <v>522</v>
      </c>
      <c r="W211" s="1099" t="s">
        <v>1019</v>
      </c>
      <c r="Z211" s="1311">
        <f t="shared" si="50"/>
        <v>0</v>
      </c>
      <c r="AA211" s="1374">
        <f t="shared" si="49"/>
        <v>0</v>
      </c>
      <c r="AB211" s="912">
        <f t="shared" si="47"/>
        <v>0</v>
      </c>
      <c r="AC211" s="912">
        <f t="shared" si="48"/>
        <v>0</v>
      </c>
    </row>
    <row r="212" spans="1:29" ht="89.25" customHeight="1">
      <c r="A212" s="1437" t="s">
        <v>685</v>
      </c>
      <c r="B212" s="1434" t="s">
        <v>1086</v>
      </c>
      <c r="C212" s="1442">
        <f t="shared" si="44"/>
        <v>17670</v>
      </c>
      <c r="D212" s="1439">
        <v>0</v>
      </c>
      <c r="E212" s="1439">
        <v>17670</v>
      </c>
      <c r="F212" s="1442">
        <f t="shared" si="45"/>
        <v>17670</v>
      </c>
      <c r="G212" s="1439">
        <v>0</v>
      </c>
      <c r="H212" s="1439">
        <v>17670</v>
      </c>
      <c r="I212" s="1442">
        <f t="shared" si="42"/>
        <v>0</v>
      </c>
      <c r="J212" s="1443">
        <v>0</v>
      </c>
      <c r="K212" s="1443">
        <v>0</v>
      </c>
      <c r="L212" s="876">
        <f t="shared" si="43"/>
        <v>0</v>
      </c>
      <c r="M212" s="877">
        <f t="shared" si="43"/>
        <v>0</v>
      </c>
      <c r="N212" s="877">
        <f t="shared" si="43"/>
        <v>0</v>
      </c>
      <c r="O212" s="1282"/>
      <c r="Q212" s="1065"/>
      <c r="R212" s="1065"/>
      <c r="S212" s="1065"/>
      <c r="T212" s="1099" t="s">
        <v>999</v>
      </c>
      <c r="U212" s="1100">
        <v>1110243180</v>
      </c>
      <c r="V212" s="1099">
        <v>522</v>
      </c>
      <c r="W212" s="1099" t="s">
        <v>1019</v>
      </c>
      <c r="Z212" s="1311">
        <f t="shared" si="50"/>
        <v>0</v>
      </c>
      <c r="AA212" s="1374">
        <f t="shared" si="49"/>
        <v>0</v>
      </c>
      <c r="AB212" s="912">
        <f t="shared" si="47"/>
        <v>0</v>
      </c>
      <c r="AC212" s="912">
        <f t="shared" si="48"/>
        <v>0</v>
      </c>
    </row>
    <row r="213" spans="1:29" ht="115.5" customHeight="1">
      <c r="A213" s="1437" t="s">
        <v>687</v>
      </c>
      <c r="B213" s="1434" t="s">
        <v>1087</v>
      </c>
      <c r="C213" s="1442">
        <f t="shared" si="44"/>
        <v>19800</v>
      </c>
      <c r="D213" s="1439">
        <v>0</v>
      </c>
      <c r="E213" s="1439">
        <v>19800</v>
      </c>
      <c r="F213" s="1442">
        <f t="shared" si="45"/>
        <v>19800</v>
      </c>
      <c r="G213" s="1439">
        <v>0</v>
      </c>
      <c r="H213" s="1439">
        <v>19800</v>
      </c>
      <c r="I213" s="1442">
        <f t="shared" si="42"/>
        <v>0</v>
      </c>
      <c r="J213" s="1443">
        <v>0</v>
      </c>
      <c r="K213" s="1443">
        <v>0</v>
      </c>
      <c r="L213" s="876">
        <f t="shared" si="43"/>
        <v>0</v>
      </c>
      <c r="M213" s="877">
        <f t="shared" si="43"/>
        <v>0</v>
      </c>
      <c r="N213" s="877">
        <f t="shared" si="43"/>
        <v>0</v>
      </c>
      <c r="O213" s="1282"/>
      <c r="Q213" s="1065"/>
      <c r="R213" s="1065"/>
      <c r="S213" s="1065"/>
      <c r="T213" s="1099" t="s">
        <v>999</v>
      </c>
      <c r="U213" s="1100">
        <v>1110243180</v>
      </c>
      <c r="V213" s="1099">
        <v>522</v>
      </c>
      <c r="W213" s="1099" t="s">
        <v>1019</v>
      </c>
      <c r="Z213" s="1311">
        <f t="shared" si="50"/>
        <v>0</v>
      </c>
      <c r="AA213" s="1374">
        <f t="shared" si="49"/>
        <v>0</v>
      </c>
      <c r="AB213" s="912">
        <f t="shared" si="47"/>
        <v>0</v>
      </c>
      <c r="AC213" s="912">
        <f t="shared" si="48"/>
        <v>0</v>
      </c>
    </row>
    <row r="214" spans="1:29" ht="89.25" customHeight="1">
      <c r="A214" s="1437" t="s">
        <v>686</v>
      </c>
      <c r="B214" s="1434" t="s">
        <v>1089</v>
      </c>
      <c r="C214" s="1442">
        <f t="shared" si="44"/>
        <v>7650</v>
      </c>
      <c r="D214" s="1439">
        <v>0</v>
      </c>
      <c r="E214" s="1439">
        <v>7650</v>
      </c>
      <c r="F214" s="1442">
        <f t="shared" si="45"/>
        <v>7650</v>
      </c>
      <c r="G214" s="1439">
        <v>0</v>
      </c>
      <c r="H214" s="1439">
        <v>7650</v>
      </c>
      <c r="I214" s="1442">
        <f t="shared" si="42"/>
        <v>0</v>
      </c>
      <c r="J214" s="1443">
        <v>0</v>
      </c>
      <c r="K214" s="1443">
        <v>0</v>
      </c>
      <c r="L214" s="876">
        <f t="shared" si="43"/>
        <v>0</v>
      </c>
      <c r="M214" s="877">
        <f t="shared" si="43"/>
        <v>0</v>
      </c>
      <c r="N214" s="877">
        <f t="shared" si="43"/>
        <v>0</v>
      </c>
      <c r="O214" s="1282"/>
      <c r="Q214" s="1065"/>
      <c r="R214" s="1065"/>
      <c r="S214" s="1065"/>
      <c r="T214" s="1099" t="s">
        <v>999</v>
      </c>
      <c r="U214" s="1100">
        <v>1110243180</v>
      </c>
      <c r="V214" s="1099">
        <v>522</v>
      </c>
      <c r="W214" s="1099" t="s">
        <v>1019</v>
      </c>
      <c r="Z214" s="1311">
        <f t="shared" si="50"/>
        <v>0</v>
      </c>
      <c r="AA214" s="1374">
        <f t="shared" si="49"/>
        <v>0</v>
      </c>
      <c r="AB214" s="912">
        <f t="shared" si="47"/>
        <v>0</v>
      </c>
      <c r="AC214" s="912">
        <f t="shared" si="48"/>
        <v>0</v>
      </c>
    </row>
    <row r="215" spans="1:29" ht="87.75" customHeight="1">
      <c r="A215" s="1437" t="s">
        <v>688</v>
      </c>
      <c r="B215" s="1434" t="s">
        <v>1090</v>
      </c>
      <c r="C215" s="1442">
        <f t="shared" si="44"/>
        <v>3500</v>
      </c>
      <c r="D215" s="1439">
        <v>0</v>
      </c>
      <c r="E215" s="1439">
        <v>3500</v>
      </c>
      <c r="F215" s="1442">
        <f t="shared" si="45"/>
        <v>3500</v>
      </c>
      <c r="G215" s="1439">
        <v>0</v>
      </c>
      <c r="H215" s="1439">
        <v>3500</v>
      </c>
      <c r="I215" s="1442">
        <f t="shared" si="42"/>
        <v>0</v>
      </c>
      <c r="J215" s="1443">
        <v>0</v>
      </c>
      <c r="K215" s="1443">
        <v>0</v>
      </c>
      <c r="L215" s="876">
        <f t="shared" si="43"/>
        <v>0</v>
      </c>
      <c r="M215" s="877">
        <f t="shared" si="43"/>
        <v>0</v>
      </c>
      <c r="N215" s="877">
        <f t="shared" si="43"/>
        <v>0</v>
      </c>
      <c r="O215" s="1282"/>
      <c r="Q215" s="1065"/>
      <c r="R215" s="1065"/>
      <c r="S215" s="1065"/>
      <c r="T215" s="1099" t="s">
        <v>999</v>
      </c>
      <c r="U215" s="1100">
        <v>1110243180</v>
      </c>
      <c r="V215" s="1099">
        <v>522</v>
      </c>
      <c r="W215" s="1099" t="s">
        <v>1019</v>
      </c>
      <c r="Z215" s="1311">
        <f t="shared" si="50"/>
        <v>0</v>
      </c>
      <c r="AA215" s="1374">
        <f t="shared" si="49"/>
        <v>0</v>
      </c>
      <c r="AB215" s="912">
        <f t="shared" si="47"/>
        <v>0</v>
      </c>
      <c r="AC215" s="912">
        <f t="shared" si="48"/>
        <v>0</v>
      </c>
    </row>
    <row r="216" spans="1:29" ht="81.75" customHeight="1">
      <c r="A216" s="1437" t="s">
        <v>98</v>
      </c>
      <c r="B216" s="1434" t="s">
        <v>1090</v>
      </c>
      <c r="C216" s="1442">
        <f t="shared" si="44"/>
        <v>19800</v>
      </c>
      <c r="D216" s="1439">
        <v>0</v>
      </c>
      <c r="E216" s="1439">
        <v>19800</v>
      </c>
      <c r="F216" s="1442">
        <f t="shared" si="45"/>
        <v>19800</v>
      </c>
      <c r="G216" s="1439">
        <v>0</v>
      </c>
      <c r="H216" s="1439">
        <v>19800</v>
      </c>
      <c r="I216" s="1442">
        <f t="shared" si="42"/>
        <v>0</v>
      </c>
      <c r="J216" s="1443">
        <v>0</v>
      </c>
      <c r="K216" s="1443">
        <v>0</v>
      </c>
      <c r="L216" s="876">
        <f t="shared" si="43"/>
        <v>0</v>
      </c>
      <c r="M216" s="877">
        <f t="shared" si="43"/>
        <v>0</v>
      </c>
      <c r="N216" s="877">
        <f t="shared" si="43"/>
        <v>0</v>
      </c>
      <c r="O216" s="1282"/>
      <c r="Q216" s="1065"/>
      <c r="R216" s="1065"/>
      <c r="S216" s="1065"/>
      <c r="T216" s="1099" t="s">
        <v>999</v>
      </c>
      <c r="U216" s="1100">
        <v>1110243180</v>
      </c>
      <c r="V216" s="1099">
        <v>522</v>
      </c>
      <c r="W216" s="1099" t="s">
        <v>1019</v>
      </c>
      <c r="Z216" s="1311">
        <f t="shared" si="50"/>
        <v>0</v>
      </c>
      <c r="AA216" s="1374">
        <f t="shared" si="49"/>
        <v>0</v>
      </c>
      <c r="AB216" s="912">
        <f t="shared" si="47"/>
        <v>0</v>
      </c>
      <c r="AC216" s="912">
        <f t="shared" si="48"/>
        <v>0</v>
      </c>
    </row>
    <row r="217" spans="1:29">
      <c r="A217" s="1437"/>
      <c r="B217" s="898" t="s">
        <v>457</v>
      </c>
      <c r="C217" s="1442">
        <f t="shared" si="44"/>
        <v>1325</v>
      </c>
      <c r="D217" s="875">
        <f>SUM(D218)</f>
        <v>0</v>
      </c>
      <c r="E217" s="875">
        <f>SUM(E218)</f>
        <v>1325</v>
      </c>
      <c r="F217" s="1442">
        <f t="shared" si="45"/>
        <v>1325</v>
      </c>
      <c r="G217" s="875">
        <f>SUM(G218)</f>
        <v>0</v>
      </c>
      <c r="H217" s="875">
        <f>SUM(H218)</f>
        <v>1325</v>
      </c>
      <c r="I217" s="1442">
        <f t="shared" si="42"/>
        <v>0</v>
      </c>
      <c r="J217" s="875">
        <f>SUM(J218)</f>
        <v>0</v>
      </c>
      <c r="K217" s="875">
        <f>SUM(K218)</f>
        <v>0</v>
      </c>
      <c r="L217" s="1440">
        <f t="shared" si="43"/>
        <v>0</v>
      </c>
      <c r="M217" s="875">
        <f t="shared" si="43"/>
        <v>0</v>
      </c>
      <c r="N217" s="875">
        <f t="shared" si="43"/>
        <v>0</v>
      </c>
      <c r="O217" s="1282"/>
      <c r="Q217" s="1065">
        <f t="shared" ref="Q217:S221" si="51">C217-F217</f>
        <v>0</v>
      </c>
      <c r="R217" s="1065">
        <f t="shared" si="51"/>
        <v>0</v>
      </c>
      <c r="S217" s="1065">
        <f t="shared" si="51"/>
        <v>0</v>
      </c>
      <c r="Z217" s="1311">
        <f t="shared" si="50"/>
        <v>0</v>
      </c>
      <c r="AA217" s="1374">
        <f t="shared" si="49"/>
        <v>0</v>
      </c>
      <c r="AB217" s="912">
        <f t="shared" si="47"/>
        <v>0</v>
      </c>
      <c r="AC217" s="912">
        <f t="shared" si="48"/>
        <v>0</v>
      </c>
    </row>
    <row r="218" spans="1:29" ht="108" customHeight="1">
      <c r="A218" s="1437" t="s">
        <v>99</v>
      </c>
      <c r="B218" s="1434" t="s">
        <v>1093</v>
      </c>
      <c r="C218" s="1442">
        <f t="shared" si="44"/>
        <v>1325</v>
      </c>
      <c r="D218" s="879">
        <v>0</v>
      </c>
      <c r="E218" s="879">
        <v>1325</v>
      </c>
      <c r="F218" s="1442">
        <f t="shared" si="45"/>
        <v>1325</v>
      </c>
      <c r="G218" s="879">
        <v>0</v>
      </c>
      <c r="H218" s="879">
        <v>1325</v>
      </c>
      <c r="I218" s="1442">
        <f t="shared" si="42"/>
        <v>0</v>
      </c>
      <c r="J218" s="1443">
        <v>0</v>
      </c>
      <c r="K218" s="1443">
        <v>0</v>
      </c>
      <c r="L218" s="876">
        <f t="shared" si="43"/>
        <v>0</v>
      </c>
      <c r="M218" s="877">
        <f t="shared" si="43"/>
        <v>0</v>
      </c>
      <c r="N218" s="877">
        <f t="shared" si="43"/>
        <v>0</v>
      </c>
      <c r="O218" s="1282"/>
      <c r="Q218" s="1065">
        <f t="shared" si="51"/>
        <v>0</v>
      </c>
      <c r="R218" s="1065">
        <f t="shared" si="51"/>
        <v>0</v>
      </c>
      <c r="S218" s="1065">
        <f t="shared" si="51"/>
        <v>0</v>
      </c>
      <c r="T218" s="1099" t="s">
        <v>999</v>
      </c>
      <c r="U218" s="1100">
        <v>1110243180</v>
      </c>
      <c r="V218" s="1099">
        <v>522</v>
      </c>
      <c r="W218" s="1099" t="s">
        <v>1019</v>
      </c>
      <c r="Z218" s="1311">
        <f t="shared" si="50"/>
        <v>0</v>
      </c>
      <c r="AA218" s="1374">
        <f t="shared" si="49"/>
        <v>0</v>
      </c>
      <c r="AB218" s="912">
        <f t="shared" si="47"/>
        <v>0</v>
      </c>
      <c r="AC218" s="912">
        <f t="shared" si="48"/>
        <v>0</v>
      </c>
    </row>
    <row r="219" spans="1:29">
      <c r="A219" s="991"/>
      <c r="B219" s="898"/>
      <c r="C219" s="1442"/>
      <c r="D219" s="875"/>
      <c r="E219" s="875"/>
      <c r="F219" s="1442"/>
      <c r="G219" s="875"/>
      <c r="H219" s="875"/>
      <c r="I219" s="1442"/>
      <c r="J219" s="875"/>
      <c r="K219" s="875"/>
      <c r="L219" s="876"/>
      <c r="M219" s="877"/>
      <c r="N219" s="877"/>
      <c r="O219" s="1282"/>
      <c r="Q219" s="1065"/>
      <c r="R219" s="1065"/>
      <c r="S219" s="1065"/>
      <c r="Z219" s="1311"/>
      <c r="AA219" s="1374"/>
      <c r="AB219" s="912">
        <f t="shared" si="47"/>
        <v>0</v>
      </c>
      <c r="AC219" s="912">
        <f t="shared" si="48"/>
        <v>0</v>
      </c>
    </row>
    <row r="220" spans="1:29" ht="147" customHeight="1">
      <c r="A220" s="1437"/>
      <c r="B220" s="1434"/>
      <c r="C220" s="1442"/>
      <c r="D220" s="1439"/>
      <c r="E220" s="1439"/>
      <c r="F220" s="1442"/>
      <c r="G220" s="1439"/>
      <c r="H220" s="1439"/>
      <c r="I220" s="1442"/>
      <c r="J220" s="1443"/>
      <c r="K220" s="1443"/>
      <c r="L220" s="876"/>
      <c r="M220" s="877"/>
      <c r="N220" s="877"/>
      <c r="O220" s="1282"/>
      <c r="Q220" s="1065"/>
      <c r="R220" s="1065"/>
      <c r="S220" s="1065"/>
      <c r="Z220" s="1311"/>
      <c r="AA220" s="1374"/>
      <c r="AB220" s="912">
        <f t="shared" si="47"/>
        <v>0</v>
      </c>
      <c r="AC220" s="912">
        <f t="shared" si="48"/>
        <v>0</v>
      </c>
    </row>
    <row r="221" spans="1:29" ht="39" customHeight="1">
      <c r="A221" s="1437"/>
      <c r="B221" s="898" t="s">
        <v>431</v>
      </c>
      <c r="C221" s="1442">
        <f t="shared" si="44"/>
        <v>2848</v>
      </c>
      <c r="D221" s="875">
        <f>SUM(D222)</f>
        <v>0</v>
      </c>
      <c r="E221" s="875">
        <f>SUM(E222)</f>
        <v>2848</v>
      </c>
      <c r="F221" s="1442">
        <f t="shared" si="45"/>
        <v>2848</v>
      </c>
      <c r="G221" s="875">
        <f>SUM(G222)</f>
        <v>0</v>
      </c>
      <c r="H221" s="875">
        <f>SUM(H222)</f>
        <v>2848</v>
      </c>
      <c r="I221" s="1442">
        <f t="shared" si="42"/>
        <v>0</v>
      </c>
      <c r="J221" s="875">
        <f>SUM(J222)</f>
        <v>0</v>
      </c>
      <c r="K221" s="875">
        <f>SUM(K222)</f>
        <v>0</v>
      </c>
      <c r="L221" s="876">
        <f t="shared" si="43"/>
        <v>0</v>
      </c>
      <c r="M221" s="877">
        <f t="shared" si="43"/>
        <v>0</v>
      </c>
      <c r="N221" s="877">
        <f t="shared" si="43"/>
        <v>0</v>
      </c>
      <c r="O221" s="1282"/>
      <c r="Q221" s="1065">
        <f t="shared" si="51"/>
        <v>0</v>
      </c>
      <c r="R221" s="1065">
        <f t="shared" si="51"/>
        <v>0</v>
      </c>
      <c r="S221" s="1065">
        <f t="shared" si="51"/>
        <v>0</v>
      </c>
      <c r="Z221" s="1311">
        <f t="shared" si="50"/>
        <v>0</v>
      </c>
      <c r="AA221" s="1374">
        <f t="shared" si="49"/>
        <v>0</v>
      </c>
      <c r="AB221" s="912">
        <f t="shared" si="47"/>
        <v>0</v>
      </c>
      <c r="AC221" s="912">
        <f t="shared" si="48"/>
        <v>0</v>
      </c>
    </row>
    <row r="222" spans="1:29" ht="130.5" customHeight="1">
      <c r="A222" s="1437" t="s">
        <v>100</v>
      </c>
      <c r="B222" s="1434" t="s">
        <v>1092</v>
      </c>
      <c r="C222" s="1442">
        <f t="shared" si="44"/>
        <v>2848</v>
      </c>
      <c r="D222" s="1439">
        <v>0</v>
      </c>
      <c r="E222" s="1439">
        <v>2848</v>
      </c>
      <c r="F222" s="1442">
        <f t="shared" si="45"/>
        <v>2848</v>
      </c>
      <c r="G222" s="1439">
        <v>0</v>
      </c>
      <c r="H222" s="1439">
        <f>E222</f>
        <v>2848</v>
      </c>
      <c r="I222" s="1442">
        <f t="shared" si="42"/>
        <v>0</v>
      </c>
      <c r="J222" s="1443">
        <v>0</v>
      </c>
      <c r="K222" s="1443">
        <v>0</v>
      </c>
      <c r="L222" s="876">
        <f t="shared" si="43"/>
        <v>0</v>
      </c>
      <c r="M222" s="877">
        <f t="shared" si="43"/>
        <v>0</v>
      </c>
      <c r="N222" s="877">
        <f t="shared" si="43"/>
        <v>0</v>
      </c>
      <c r="O222" s="1282"/>
      <c r="Q222" s="1065"/>
      <c r="R222" s="1065"/>
      <c r="S222" s="1065"/>
      <c r="T222" s="1099" t="s">
        <v>999</v>
      </c>
      <c r="U222" s="1100">
        <v>1110243180</v>
      </c>
      <c r="V222" s="1099">
        <v>522</v>
      </c>
      <c r="W222" s="1099" t="s">
        <v>1019</v>
      </c>
      <c r="Z222" s="1311">
        <f t="shared" si="50"/>
        <v>0</v>
      </c>
      <c r="AA222" s="1374">
        <f t="shared" si="49"/>
        <v>0</v>
      </c>
      <c r="AB222" s="912">
        <f t="shared" si="47"/>
        <v>0</v>
      </c>
      <c r="AC222" s="912">
        <f t="shared" si="48"/>
        <v>0</v>
      </c>
    </row>
    <row r="223" spans="1:29" s="914" customFormat="1" ht="87.75" customHeight="1">
      <c r="A223" s="1304" t="s">
        <v>2</v>
      </c>
      <c r="B223" s="925" t="s">
        <v>222</v>
      </c>
      <c r="C223" s="926">
        <f>SUM(D223:E223)</f>
        <v>1676541.4</v>
      </c>
      <c r="D223" s="926">
        <f>SUM(D224,D243)</f>
        <v>1509500</v>
      </c>
      <c r="E223" s="926">
        <f>SUM(E224,E243)</f>
        <v>167041.4</v>
      </c>
      <c r="F223" s="926">
        <f t="shared" si="45"/>
        <v>1674649.1</v>
      </c>
      <c r="G223" s="926">
        <f>SUM(G224,G243)</f>
        <v>1507801.2</v>
      </c>
      <c r="H223" s="926">
        <f>SUM(H224,H243)</f>
        <v>166847.9</v>
      </c>
      <c r="I223" s="926">
        <f t="shared" si="42"/>
        <v>507356</v>
      </c>
      <c r="J223" s="926">
        <f>SUM(J224,J243)</f>
        <v>453188.5</v>
      </c>
      <c r="K223" s="926">
        <f>SUM(K224,K243)</f>
        <v>54167.5</v>
      </c>
      <c r="L223" s="927">
        <f t="shared" si="43"/>
        <v>30.3</v>
      </c>
      <c r="M223" s="928">
        <f t="shared" si="43"/>
        <v>30.1</v>
      </c>
      <c r="N223" s="928">
        <f t="shared" si="43"/>
        <v>32.5</v>
      </c>
      <c r="O223" s="1282"/>
      <c r="P223" s="1208"/>
      <c r="Q223" s="1065">
        <f t="shared" ref="Q223:S256" si="52">C223-F223</f>
        <v>1892.3</v>
      </c>
      <c r="R223" s="1065">
        <f t="shared" si="52"/>
        <v>1698.8</v>
      </c>
      <c r="S223" s="1065">
        <f t="shared" si="52"/>
        <v>193.5</v>
      </c>
      <c r="T223" s="1099"/>
      <c r="U223" s="1100"/>
      <c r="V223" s="1099"/>
      <c r="W223" s="1099"/>
      <c r="X223" s="1216"/>
      <c r="Z223" s="1311">
        <f t="shared" si="50"/>
        <v>1892.3</v>
      </c>
      <c r="AA223" s="1374">
        <f t="shared" si="49"/>
        <v>1892.3</v>
      </c>
      <c r="AB223" s="912">
        <f t="shared" si="47"/>
        <v>1698.8</v>
      </c>
      <c r="AC223" s="912">
        <f t="shared" si="48"/>
        <v>193.5</v>
      </c>
    </row>
    <row r="224" spans="1:29" s="914" customFormat="1" ht="62.25" customHeight="1">
      <c r="A224" s="1305" t="s">
        <v>246</v>
      </c>
      <c r="B224" s="932" t="s">
        <v>41</v>
      </c>
      <c r="C224" s="933">
        <f>D224+E224</f>
        <v>1567706.4</v>
      </c>
      <c r="D224" s="933">
        <f>D225+D228+D241</f>
        <v>1509500</v>
      </c>
      <c r="E224" s="933">
        <f>E225+E228+E241</f>
        <v>58206.400000000001</v>
      </c>
      <c r="F224" s="933">
        <f>G224+H224</f>
        <v>1565814.1</v>
      </c>
      <c r="G224" s="933">
        <f>G225+G228+G241</f>
        <v>1507801.2</v>
      </c>
      <c r="H224" s="933">
        <f>H225+H228+H241</f>
        <v>58012.9</v>
      </c>
      <c r="I224" s="933">
        <f>J224+K224</f>
        <v>482128.4</v>
      </c>
      <c r="J224" s="933">
        <f>J225+J228+J241</f>
        <v>453188.5</v>
      </c>
      <c r="K224" s="933">
        <f>K225+K228+K241</f>
        <v>28939.9</v>
      </c>
      <c r="L224" s="935">
        <f t="shared" si="43"/>
        <v>30.8</v>
      </c>
      <c r="M224" s="936">
        <f t="shared" si="43"/>
        <v>30.1</v>
      </c>
      <c r="N224" s="936">
        <f t="shared" si="43"/>
        <v>49.9</v>
      </c>
      <c r="O224" s="1282"/>
      <c r="P224" s="1208"/>
      <c r="Q224" s="1065">
        <f t="shared" si="52"/>
        <v>1892.3</v>
      </c>
      <c r="R224" s="1065">
        <f t="shared" si="52"/>
        <v>1698.8</v>
      </c>
      <c r="S224" s="1065">
        <f t="shared" si="52"/>
        <v>193.5</v>
      </c>
      <c r="T224" s="1099"/>
      <c r="U224" s="1100"/>
      <c r="V224" s="1099"/>
      <c r="W224" s="1099"/>
      <c r="X224" s="1216"/>
      <c r="Z224" s="1311">
        <f t="shared" si="50"/>
        <v>1892.3</v>
      </c>
      <c r="AA224" s="1374">
        <f t="shared" si="49"/>
        <v>1892.3</v>
      </c>
      <c r="AB224" s="912">
        <f t="shared" si="47"/>
        <v>1698.8</v>
      </c>
      <c r="AC224" s="912">
        <f t="shared" si="48"/>
        <v>193.5</v>
      </c>
    </row>
    <row r="225" spans="1:29" s="914" customFormat="1" ht="69.75" customHeight="1">
      <c r="A225" s="1360" t="s">
        <v>247</v>
      </c>
      <c r="B225" s="1361" t="s">
        <v>1337</v>
      </c>
      <c r="C225" s="1018">
        <f>SUM(D225:E225)</f>
        <v>600000</v>
      </c>
      <c r="D225" s="1362">
        <f>SUM(D226:D227)</f>
        <v>600000</v>
      </c>
      <c r="E225" s="1362">
        <f>SUM(E226:E227)</f>
        <v>0</v>
      </c>
      <c r="F225" s="1018">
        <f>G225+H225</f>
        <v>600000</v>
      </c>
      <c r="G225" s="1362">
        <f>SUM(G226:G227)</f>
        <v>600000</v>
      </c>
      <c r="H225" s="1362">
        <f>SUM(H226:H227)</f>
        <v>0</v>
      </c>
      <c r="I225" s="1018">
        <f>SUM(J225:K225)</f>
        <v>0</v>
      </c>
      <c r="J225" s="1362">
        <f>SUM(J226:J227)</f>
        <v>0</v>
      </c>
      <c r="K225" s="1362">
        <f>SUM(K226:K227)</f>
        <v>0</v>
      </c>
      <c r="L225" s="1363">
        <f t="shared" si="43"/>
        <v>0</v>
      </c>
      <c r="M225" s="1363">
        <f t="shared" si="43"/>
        <v>0</v>
      </c>
      <c r="N225" s="1363">
        <f t="shared" si="43"/>
        <v>0</v>
      </c>
      <c r="O225" s="1282"/>
      <c r="P225" s="1208"/>
      <c r="Q225" s="1065"/>
      <c r="R225" s="1065"/>
      <c r="S225" s="1065"/>
      <c r="T225" s="1099"/>
      <c r="U225" s="1100"/>
      <c r="V225" s="1099"/>
      <c r="W225" s="1099"/>
      <c r="X225" s="1216"/>
      <c r="Z225" s="1311"/>
      <c r="AA225" s="1374">
        <f t="shared" si="49"/>
        <v>0</v>
      </c>
      <c r="AB225" s="912">
        <f t="shared" si="47"/>
        <v>0</v>
      </c>
      <c r="AC225" s="912">
        <f t="shared" si="48"/>
        <v>0</v>
      </c>
    </row>
    <row r="226" spans="1:29" s="914" customFormat="1" ht="63.75" customHeight="1">
      <c r="A226" s="944" t="s">
        <v>1338</v>
      </c>
      <c r="B226" s="1238" t="s">
        <v>1169</v>
      </c>
      <c r="C226" s="871">
        <f>SUM(D226:E226)</f>
        <v>300000</v>
      </c>
      <c r="D226" s="884">
        <v>300000</v>
      </c>
      <c r="E226" s="887">
        <v>0</v>
      </c>
      <c r="F226" s="1442">
        <f t="shared" ref="F226:H227" si="53">C226</f>
        <v>300000</v>
      </c>
      <c r="G226" s="1443">
        <f t="shared" si="53"/>
        <v>300000</v>
      </c>
      <c r="H226" s="1443">
        <f t="shared" si="53"/>
        <v>0</v>
      </c>
      <c r="I226" s="1442">
        <f>SUM(J226:K226)</f>
        <v>0</v>
      </c>
      <c r="J226" s="884">
        <v>0</v>
      </c>
      <c r="K226" s="887">
        <v>0</v>
      </c>
      <c r="L226" s="876">
        <f t="shared" si="43"/>
        <v>0</v>
      </c>
      <c r="M226" s="877">
        <f t="shared" si="43"/>
        <v>0</v>
      </c>
      <c r="N226" s="877">
        <f t="shared" si="43"/>
        <v>0</v>
      </c>
      <c r="O226" s="1282"/>
      <c r="P226" s="1208"/>
      <c r="Q226" s="1065"/>
      <c r="R226" s="1065"/>
      <c r="S226" s="1065"/>
      <c r="T226" s="1099"/>
      <c r="U226" s="1100"/>
      <c r="V226" s="1099"/>
      <c r="W226" s="1099"/>
      <c r="X226" s="1216"/>
      <c r="Z226" s="1311"/>
      <c r="AA226" s="1374">
        <f t="shared" si="49"/>
        <v>0</v>
      </c>
      <c r="AB226" s="912">
        <f t="shared" si="47"/>
        <v>0</v>
      </c>
      <c r="AC226" s="912">
        <f t="shared" si="48"/>
        <v>0</v>
      </c>
    </row>
    <row r="227" spans="1:29" s="914" customFormat="1">
      <c r="A227" s="944" t="s">
        <v>1339</v>
      </c>
      <c r="B227" s="1436" t="s">
        <v>1340</v>
      </c>
      <c r="C227" s="871">
        <f>SUM(D227:E227)</f>
        <v>300000</v>
      </c>
      <c r="D227" s="884">
        <v>300000</v>
      </c>
      <c r="E227" s="887">
        <v>0</v>
      </c>
      <c r="F227" s="1442">
        <f t="shared" si="53"/>
        <v>300000</v>
      </c>
      <c r="G227" s="1443">
        <f t="shared" si="53"/>
        <v>300000</v>
      </c>
      <c r="H227" s="1443">
        <f t="shared" si="53"/>
        <v>0</v>
      </c>
      <c r="I227" s="1442">
        <f>SUM(J227:K227)</f>
        <v>0</v>
      </c>
      <c r="J227" s="884">
        <v>0</v>
      </c>
      <c r="K227" s="887">
        <v>0</v>
      </c>
      <c r="L227" s="876">
        <f t="shared" si="43"/>
        <v>0</v>
      </c>
      <c r="M227" s="877">
        <f t="shared" si="43"/>
        <v>0</v>
      </c>
      <c r="N227" s="877">
        <f t="shared" si="43"/>
        <v>0</v>
      </c>
      <c r="O227" s="1282"/>
      <c r="P227" s="1208"/>
      <c r="Q227" s="1065"/>
      <c r="R227" s="1065"/>
      <c r="S227" s="1065"/>
      <c r="T227" s="1099"/>
      <c r="U227" s="1100"/>
      <c r="V227" s="1099"/>
      <c r="W227" s="1099"/>
      <c r="X227" s="1216"/>
      <c r="Z227" s="1311"/>
      <c r="AA227" s="1374">
        <f t="shared" si="49"/>
        <v>0</v>
      </c>
      <c r="AB227" s="912">
        <f t="shared" si="47"/>
        <v>0</v>
      </c>
      <c r="AC227" s="912">
        <f t="shared" si="48"/>
        <v>0</v>
      </c>
    </row>
    <row r="228" spans="1:29" s="959" customFormat="1" ht="63.75" customHeight="1">
      <c r="A228" s="1189" t="s">
        <v>248</v>
      </c>
      <c r="B228" s="1054" t="s">
        <v>446</v>
      </c>
      <c r="C228" s="1055">
        <f>SUM(D228:E228)</f>
        <v>907600</v>
      </c>
      <c r="D228" s="1056">
        <f>SUM(D229:D240)</f>
        <v>853000</v>
      </c>
      <c r="E228" s="1056">
        <f>SUM(E229:E240)</f>
        <v>54600</v>
      </c>
      <c r="F228" s="1055">
        <f>SUM(G228:H228)</f>
        <v>905707.7</v>
      </c>
      <c r="G228" s="1056">
        <f>SUM(G229:G240)</f>
        <v>851301.2</v>
      </c>
      <c r="H228" s="1056">
        <f>SUM(H229:H240)</f>
        <v>54406.5</v>
      </c>
      <c r="I228" s="1055">
        <f>SUM(J228:K228)</f>
        <v>432966.40000000002</v>
      </c>
      <c r="J228" s="1056">
        <f>SUM(J229:J240)</f>
        <v>406976.2</v>
      </c>
      <c r="K228" s="1056">
        <f>SUM(K229:K240)</f>
        <v>25990.2</v>
      </c>
      <c r="L228" s="1053">
        <f t="shared" si="43"/>
        <v>47.8</v>
      </c>
      <c r="M228" s="1053">
        <f t="shared" si="43"/>
        <v>47.8</v>
      </c>
      <c r="N228" s="1053">
        <f t="shared" si="43"/>
        <v>47.8</v>
      </c>
      <c r="O228" s="1282"/>
      <c r="P228" s="1208"/>
      <c r="Q228" s="1065">
        <f t="shared" si="52"/>
        <v>1892.3</v>
      </c>
      <c r="R228" s="1065">
        <f t="shared" si="52"/>
        <v>1698.8</v>
      </c>
      <c r="S228" s="1065">
        <f t="shared" si="52"/>
        <v>193.5</v>
      </c>
      <c r="T228" s="1099"/>
      <c r="U228" s="1100"/>
      <c r="V228" s="1099"/>
      <c r="W228" s="1099"/>
      <c r="X228" s="1218"/>
      <c r="Z228" s="1311">
        <f t="shared" si="50"/>
        <v>1892.3</v>
      </c>
      <c r="AA228" s="1374">
        <f t="shared" si="49"/>
        <v>1892.3</v>
      </c>
      <c r="AB228" s="912">
        <f t="shared" si="47"/>
        <v>1698.8</v>
      </c>
      <c r="AC228" s="912">
        <f t="shared" si="48"/>
        <v>193.5</v>
      </c>
    </row>
    <row r="229" spans="1:29" s="959" customFormat="1" ht="39" customHeight="1">
      <c r="A229" s="895"/>
      <c r="B229" s="937" t="s">
        <v>1000</v>
      </c>
      <c r="C229" s="871">
        <f>SUM(D229:E229)</f>
        <v>1892.3</v>
      </c>
      <c r="D229" s="884">
        <v>1698.8</v>
      </c>
      <c r="E229" s="887">
        <v>193.5</v>
      </c>
      <c r="F229" s="1442">
        <f>G229+H229</f>
        <v>0</v>
      </c>
      <c r="G229" s="887">
        <v>0</v>
      </c>
      <c r="H229" s="887">
        <v>0</v>
      </c>
      <c r="I229" s="1442">
        <f t="shared" ref="I229:I247" si="54">SUM(J229:K229)</f>
        <v>0</v>
      </c>
      <c r="J229" s="884">
        <v>0</v>
      </c>
      <c r="K229" s="887">
        <v>0</v>
      </c>
      <c r="L229" s="876">
        <f t="shared" si="43"/>
        <v>0</v>
      </c>
      <c r="M229" s="877">
        <f t="shared" si="43"/>
        <v>0</v>
      </c>
      <c r="N229" s="877">
        <f t="shared" si="43"/>
        <v>0</v>
      </c>
      <c r="O229" s="1282"/>
      <c r="P229" s="1208"/>
      <c r="Q229" s="1065"/>
      <c r="R229" s="1065"/>
      <c r="S229" s="1065"/>
      <c r="T229" s="1099" t="s">
        <v>999</v>
      </c>
      <c r="U229" s="1100" t="s">
        <v>1001</v>
      </c>
      <c r="V229" s="1099">
        <v>414</v>
      </c>
      <c r="W229" s="1099"/>
      <c r="X229" s="1218"/>
      <c r="Z229" s="1311">
        <f t="shared" si="50"/>
        <v>1892.3</v>
      </c>
      <c r="AA229" s="1374">
        <f t="shared" si="49"/>
        <v>1892.3</v>
      </c>
      <c r="AB229" s="912">
        <f t="shared" si="47"/>
        <v>1698.8</v>
      </c>
      <c r="AC229" s="912">
        <f t="shared" si="48"/>
        <v>193.5</v>
      </c>
    </row>
    <row r="230" spans="1:29" ht="61.5" customHeight="1">
      <c r="A230" s="895">
        <v>1</v>
      </c>
      <c r="B230" s="937" t="s">
        <v>668</v>
      </c>
      <c r="C230" s="871">
        <f t="shared" ref="C230:C247" si="55">SUM(D230:E230)</f>
        <v>452152</v>
      </c>
      <c r="D230" s="884">
        <v>425019.2</v>
      </c>
      <c r="E230" s="887">
        <v>27132.799999999999</v>
      </c>
      <c r="F230" s="1442">
        <f>G230+H230</f>
        <v>452152</v>
      </c>
      <c r="G230" s="887">
        <f>D230</f>
        <v>425019.2</v>
      </c>
      <c r="H230" s="887">
        <f>E230</f>
        <v>27132.799999999999</v>
      </c>
      <c r="I230" s="1442">
        <f t="shared" si="54"/>
        <v>311259.8</v>
      </c>
      <c r="J230" s="884">
        <v>292581.7</v>
      </c>
      <c r="K230" s="887">
        <v>18678.099999999999</v>
      </c>
      <c r="L230" s="876">
        <f t="shared" ref="L230:N247" si="56">IF(I230=0,0,I230/F230*100)</f>
        <v>68.8</v>
      </c>
      <c r="M230" s="877">
        <f t="shared" si="56"/>
        <v>68.8</v>
      </c>
      <c r="N230" s="877">
        <f t="shared" si="56"/>
        <v>68.8</v>
      </c>
      <c r="O230" s="1282"/>
      <c r="Q230" s="1065">
        <f t="shared" si="52"/>
        <v>0</v>
      </c>
      <c r="R230" s="1065">
        <f t="shared" si="52"/>
        <v>0</v>
      </c>
      <c r="S230" s="1065">
        <f t="shared" si="52"/>
        <v>0</v>
      </c>
      <c r="T230" s="1099" t="s">
        <v>999</v>
      </c>
      <c r="U230" s="1100" t="s">
        <v>1005</v>
      </c>
      <c r="V230" s="1099">
        <v>414</v>
      </c>
      <c r="W230" s="1099" t="s">
        <v>1006</v>
      </c>
      <c r="Z230" s="1311">
        <f t="shared" si="50"/>
        <v>0</v>
      </c>
      <c r="AA230" s="1374">
        <f t="shared" si="49"/>
        <v>0</v>
      </c>
      <c r="AB230" s="912">
        <f t="shared" si="47"/>
        <v>0</v>
      </c>
      <c r="AC230" s="912">
        <f t="shared" si="48"/>
        <v>0</v>
      </c>
    </row>
    <row r="231" spans="1:29" ht="75" customHeight="1">
      <c r="A231" s="895">
        <v>2</v>
      </c>
      <c r="B231" s="1436" t="s">
        <v>470</v>
      </c>
      <c r="C231" s="871">
        <f t="shared" si="55"/>
        <v>50107.7</v>
      </c>
      <c r="D231" s="887">
        <v>47101.2</v>
      </c>
      <c r="E231" s="887">
        <v>3006.5</v>
      </c>
      <c r="F231" s="871">
        <f t="shared" ref="F231:F247" si="57">SUM(G231:H231)</f>
        <v>50107.7</v>
      </c>
      <c r="G231" s="887">
        <f t="shared" ref="G231:H240" si="58">D231</f>
        <v>47101.2</v>
      </c>
      <c r="H231" s="887">
        <f t="shared" si="58"/>
        <v>3006.5</v>
      </c>
      <c r="I231" s="871">
        <f t="shared" si="54"/>
        <v>36081.199999999997</v>
      </c>
      <c r="J231" s="887">
        <v>33916.300000000003</v>
      </c>
      <c r="K231" s="887">
        <v>2164.9</v>
      </c>
      <c r="L231" s="872">
        <f t="shared" si="56"/>
        <v>72</v>
      </c>
      <c r="M231" s="873">
        <f t="shared" si="56"/>
        <v>72</v>
      </c>
      <c r="N231" s="873">
        <f t="shared" si="56"/>
        <v>72</v>
      </c>
      <c r="O231" s="1282"/>
      <c r="Q231" s="1065">
        <f t="shared" si="52"/>
        <v>0</v>
      </c>
      <c r="R231" s="1065">
        <f t="shared" si="52"/>
        <v>0</v>
      </c>
      <c r="S231" s="1065">
        <f t="shared" si="52"/>
        <v>0</v>
      </c>
      <c r="T231" s="1099" t="s">
        <v>999</v>
      </c>
      <c r="U231" s="1100" t="s">
        <v>1010</v>
      </c>
      <c r="V231" s="1099">
        <v>414</v>
      </c>
      <c r="W231" s="1099" t="s">
        <v>1011</v>
      </c>
      <c r="Z231" s="1311">
        <f t="shared" si="50"/>
        <v>0</v>
      </c>
      <c r="AA231" s="1374">
        <f t="shared" si="49"/>
        <v>0</v>
      </c>
      <c r="AB231" s="912">
        <f t="shared" si="47"/>
        <v>0</v>
      </c>
      <c r="AC231" s="912">
        <f t="shared" si="48"/>
        <v>0</v>
      </c>
    </row>
    <row r="232" spans="1:29" ht="90" customHeight="1">
      <c r="A232" s="895">
        <v>3</v>
      </c>
      <c r="B232" s="1436" t="s">
        <v>622</v>
      </c>
      <c r="C232" s="871">
        <f>SUM(D232:E232)</f>
        <v>64810.2</v>
      </c>
      <c r="D232" s="887">
        <v>60910.9</v>
      </c>
      <c r="E232" s="887">
        <v>3899.3</v>
      </c>
      <c r="F232" s="871">
        <f t="shared" si="57"/>
        <v>64810.2</v>
      </c>
      <c r="G232" s="887">
        <f t="shared" si="58"/>
        <v>60910.9</v>
      </c>
      <c r="H232" s="887">
        <f t="shared" si="58"/>
        <v>3899.3</v>
      </c>
      <c r="I232" s="871">
        <f t="shared" si="54"/>
        <v>17826.7</v>
      </c>
      <c r="J232" s="887">
        <v>16755.099999999999</v>
      </c>
      <c r="K232" s="887">
        <v>1071.5999999999999</v>
      </c>
      <c r="L232" s="872">
        <f t="shared" si="56"/>
        <v>27.5</v>
      </c>
      <c r="M232" s="873">
        <f t="shared" si="56"/>
        <v>27.5</v>
      </c>
      <c r="N232" s="873">
        <f t="shared" si="56"/>
        <v>27.5</v>
      </c>
      <c r="O232" s="1282"/>
      <c r="Q232" s="1065">
        <f t="shared" si="52"/>
        <v>0</v>
      </c>
      <c r="R232" s="1065">
        <f t="shared" si="52"/>
        <v>0</v>
      </c>
      <c r="S232" s="1065">
        <f t="shared" si="52"/>
        <v>0</v>
      </c>
      <c r="T232" s="1099" t="s">
        <v>999</v>
      </c>
      <c r="U232" s="1100" t="s">
        <v>1016</v>
      </c>
      <c r="V232" s="1099">
        <v>414</v>
      </c>
      <c r="W232" s="1099" t="s">
        <v>1004</v>
      </c>
      <c r="Z232" s="1311">
        <f t="shared" si="50"/>
        <v>0</v>
      </c>
      <c r="AA232" s="1374">
        <f t="shared" si="49"/>
        <v>0</v>
      </c>
      <c r="AB232" s="912">
        <f t="shared" si="47"/>
        <v>0</v>
      </c>
      <c r="AC232" s="912">
        <f t="shared" si="48"/>
        <v>0</v>
      </c>
    </row>
    <row r="233" spans="1:29" ht="90" customHeight="1">
      <c r="A233" s="895">
        <v>4</v>
      </c>
      <c r="B233" s="1436" t="s">
        <v>837</v>
      </c>
      <c r="C233" s="871">
        <f t="shared" si="55"/>
        <v>38427.4</v>
      </c>
      <c r="D233" s="887">
        <v>36115.4</v>
      </c>
      <c r="E233" s="887">
        <v>2312</v>
      </c>
      <c r="F233" s="871">
        <f t="shared" si="57"/>
        <v>38427.4</v>
      </c>
      <c r="G233" s="887">
        <f t="shared" si="58"/>
        <v>36115.4</v>
      </c>
      <c r="H233" s="887">
        <f t="shared" si="58"/>
        <v>2312</v>
      </c>
      <c r="I233" s="871">
        <f t="shared" si="54"/>
        <v>9344</v>
      </c>
      <c r="J233" s="887">
        <v>8782.2999999999993</v>
      </c>
      <c r="K233" s="887">
        <v>561.70000000000005</v>
      </c>
      <c r="L233" s="872">
        <f t="shared" si="56"/>
        <v>24.3</v>
      </c>
      <c r="M233" s="873">
        <f t="shared" si="56"/>
        <v>24.3</v>
      </c>
      <c r="N233" s="873">
        <f t="shared" si="56"/>
        <v>24.3</v>
      </c>
      <c r="O233" s="1282"/>
      <c r="Q233" s="1065">
        <f t="shared" si="52"/>
        <v>0</v>
      </c>
      <c r="R233" s="1065">
        <f t="shared" si="52"/>
        <v>0</v>
      </c>
      <c r="S233" s="1065">
        <f t="shared" si="52"/>
        <v>0</v>
      </c>
      <c r="T233" s="1099" t="s">
        <v>999</v>
      </c>
      <c r="U233" s="1100" t="s">
        <v>1015</v>
      </c>
      <c r="V233" s="1099">
        <v>414</v>
      </c>
      <c r="W233" s="1099" t="s">
        <v>1004</v>
      </c>
      <c r="Z233" s="1311">
        <f t="shared" si="50"/>
        <v>0</v>
      </c>
      <c r="AA233" s="1374">
        <f t="shared" si="49"/>
        <v>0</v>
      </c>
      <c r="AB233" s="912">
        <f t="shared" si="47"/>
        <v>0</v>
      </c>
      <c r="AC233" s="912">
        <f t="shared" si="48"/>
        <v>0</v>
      </c>
    </row>
    <row r="234" spans="1:29" ht="90" customHeight="1">
      <c r="A234" s="895">
        <v>5</v>
      </c>
      <c r="B234" s="1436" t="s">
        <v>620</v>
      </c>
      <c r="C234" s="871">
        <f>SUM(D234:E234)</f>
        <v>115978.8</v>
      </c>
      <c r="D234" s="887">
        <v>109001</v>
      </c>
      <c r="E234" s="887">
        <v>6977.8</v>
      </c>
      <c r="F234" s="871">
        <f t="shared" si="57"/>
        <v>115978.8</v>
      </c>
      <c r="G234" s="887">
        <f t="shared" si="58"/>
        <v>109001</v>
      </c>
      <c r="H234" s="887">
        <f t="shared" si="58"/>
        <v>6977.8</v>
      </c>
      <c r="I234" s="871">
        <f t="shared" si="54"/>
        <v>23306.2</v>
      </c>
      <c r="J234" s="887">
        <v>21905.200000000001</v>
      </c>
      <c r="K234" s="887">
        <v>1401</v>
      </c>
      <c r="L234" s="872">
        <f t="shared" si="56"/>
        <v>20.100000000000001</v>
      </c>
      <c r="M234" s="873">
        <f t="shared" si="56"/>
        <v>20.100000000000001</v>
      </c>
      <c r="N234" s="873">
        <f t="shared" si="56"/>
        <v>20.100000000000001</v>
      </c>
      <c r="O234" s="1282"/>
      <c r="Q234" s="1065">
        <f t="shared" si="52"/>
        <v>0</v>
      </c>
      <c r="R234" s="1065">
        <f t="shared" si="52"/>
        <v>0</v>
      </c>
      <c r="S234" s="1065">
        <f t="shared" si="52"/>
        <v>0</v>
      </c>
      <c r="T234" s="1099" t="s">
        <v>999</v>
      </c>
      <c r="U234" s="1100" t="s">
        <v>1014</v>
      </c>
      <c r="V234" s="1099">
        <v>414</v>
      </c>
      <c r="W234" s="1099" t="s">
        <v>1004</v>
      </c>
      <c r="Z234" s="1311">
        <f t="shared" si="50"/>
        <v>0</v>
      </c>
      <c r="AA234" s="1374">
        <f t="shared" si="49"/>
        <v>0</v>
      </c>
      <c r="AB234" s="912">
        <f t="shared" si="47"/>
        <v>0</v>
      </c>
      <c r="AC234" s="912">
        <f t="shared" si="48"/>
        <v>0</v>
      </c>
    </row>
    <row r="235" spans="1:29" ht="75" customHeight="1">
      <c r="A235" s="895">
        <v>6</v>
      </c>
      <c r="B235" s="1436" t="s">
        <v>471</v>
      </c>
      <c r="C235" s="871">
        <f t="shared" si="55"/>
        <v>9500</v>
      </c>
      <c r="D235" s="887">
        <v>8928.4</v>
      </c>
      <c r="E235" s="887">
        <v>571.6</v>
      </c>
      <c r="F235" s="871">
        <f t="shared" si="57"/>
        <v>9500</v>
      </c>
      <c r="G235" s="887">
        <f t="shared" si="58"/>
        <v>8928.4</v>
      </c>
      <c r="H235" s="887">
        <f t="shared" si="58"/>
        <v>571.6</v>
      </c>
      <c r="I235" s="871">
        <f t="shared" si="54"/>
        <v>614.6</v>
      </c>
      <c r="J235" s="887">
        <v>577.6</v>
      </c>
      <c r="K235" s="887">
        <v>37</v>
      </c>
      <c r="L235" s="872">
        <f t="shared" si="56"/>
        <v>6.5</v>
      </c>
      <c r="M235" s="873">
        <f t="shared" si="56"/>
        <v>6.5</v>
      </c>
      <c r="N235" s="873">
        <f t="shared" si="56"/>
        <v>6.5</v>
      </c>
      <c r="O235" s="1282"/>
      <c r="Q235" s="1065">
        <f t="shared" si="52"/>
        <v>0</v>
      </c>
      <c r="R235" s="1065">
        <f t="shared" si="52"/>
        <v>0</v>
      </c>
      <c r="S235" s="1065">
        <f t="shared" si="52"/>
        <v>0</v>
      </c>
      <c r="T235" s="1099" t="s">
        <v>999</v>
      </c>
      <c r="U235" s="1100" t="s">
        <v>1012</v>
      </c>
      <c r="V235" s="1099">
        <v>414</v>
      </c>
      <c r="W235" s="1099" t="s">
        <v>1004</v>
      </c>
      <c r="Z235" s="1311">
        <f t="shared" si="50"/>
        <v>0</v>
      </c>
      <c r="AA235" s="1374">
        <f t="shared" si="49"/>
        <v>0</v>
      </c>
      <c r="AB235" s="912">
        <f t="shared" si="47"/>
        <v>0</v>
      </c>
      <c r="AC235" s="912">
        <f t="shared" si="48"/>
        <v>0</v>
      </c>
    </row>
    <row r="236" spans="1:29" ht="75" customHeight="1">
      <c r="A236" s="895">
        <v>7</v>
      </c>
      <c r="B236" s="1436" t="s">
        <v>472</v>
      </c>
      <c r="C236" s="871">
        <f t="shared" si="55"/>
        <v>16500</v>
      </c>
      <c r="D236" s="887">
        <v>15507.2</v>
      </c>
      <c r="E236" s="887">
        <v>992.8</v>
      </c>
      <c r="F236" s="871">
        <f t="shared" si="57"/>
        <v>16500</v>
      </c>
      <c r="G236" s="887">
        <f t="shared" si="58"/>
        <v>15507.2</v>
      </c>
      <c r="H236" s="887">
        <f t="shared" si="58"/>
        <v>992.8</v>
      </c>
      <c r="I236" s="871">
        <f t="shared" si="54"/>
        <v>650.1</v>
      </c>
      <c r="J236" s="887">
        <v>611</v>
      </c>
      <c r="K236" s="887">
        <v>39.1</v>
      </c>
      <c r="L236" s="872">
        <f t="shared" si="56"/>
        <v>3.9</v>
      </c>
      <c r="M236" s="873">
        <f t="shared" si="56"/>
        <v>3.9</v>
      </c>
      <c r="N236" s="873">
        <f t="shared" si="56"/>
        <v>3.9</v>
      </c>
      <c r="O236" s="1282"/>
      <c r="Q236" s="1065">
        <f t="shared" si="52"/>
        <v>0</v>
      </c>
      <c r="R236" s="1065">
        <f t="shared" si="52"/>
        <v>0</v>
      </c>
      <c r="S236" s="1065">
        <f t="shared" si="52"/>
        <v>0</v>
      </c>
      <c r="T236" s="1099" t="s">
        <v>999</v>
      </c>
      <c r="U236" s="1100" t="s">
        <v>1007</v>
      </c>
      <c r="V236" s="1099">
        <v>414</v>
      </c>
      <c r="W236" s="1099" t="s">
        <v>1004</v>
      </c>
      <c r="Z236" s="1311">
        <f t="shared" si="50"/>
        <v>0</v>
      </c>
      <c r="AA236" s="1374">
        <f t="shared" si="49"/>
        <v>0</v>
      </c>
      <c r="AB236" s="912">
        <f t="shared" si="47"/>
        <v>0</v>
      </c>
      <c r="AC236" s="912">
        <f t="shared" si="48"/>
        <v>0</v>
      </c>
    </row>
    <row r="237" spans="1:29" ht="75" customHeight="1">
      <c r="A237" s="895">
        <v>8</v>
      </c>
      <c r="B237" s="1436" t="s">
        <v>473</v>
      </c>
      <c r="C237" s="871">
        <f t="shared" si="55"/>
        <v>10549.1</v>
      </c>
      <c r="D237" s="887">
        <v>9914.4</v>
      </c>
      <c r="E237" s="887">
        <v>634.70000000000005</v>
      </c>
      <c r="F237" s="871">
        <f t="shared" si="57"/>
        <v>10549.1</v>
      </c>
      <c r="G237" s="887">
        <f t="shared" si="58"/>
        <v>9914.4</v>
      </c>
      <c r="H237" s="887">
        <f t="shared" si="58"/>
        <v>634.70000000000005</v>
      </c>
      <c r="I237" s="871">
        <f t="shared" si="54"/>
        <v>10125.9</v>
      </c>
      <c r="J237" s="887">
        <v>9517.2000000000007</v>
      </c>
      <c r="K237" s="887">
        <v>608.70000000000005</v>
      </c>
      <c r="L237" s="872">
        <f t="shared" si="56"/>
        <v>96</v>
      </c>
      <c r="M237" s="873">
        <f t="shared" si="56"/>
        <v>96</v>
      </c>
      <c r="N237" s="873">
        <f t="shared" si="56"/>
        <v>95.9</v>
      </c>
      <c r="O237" s="1282"/>
      <c r="Q237" s="1065">
        <f t="shared" si="52"/>
        <v>0</v>
      </c>
      <c r="R237" s="1065">
        <f t="shared" si="52"/>
        <v>0</v>
      </c>
      <c r="S237" s="1065">
        <f t="shared" si="52"/>
        <v>0</v>
      </c>
      <c r="T237" s="1099" t="s">
        <v>999</v>
      </c>
      <c r="U237" s="1100" t="s">
        <v>1003</v>
      </c>
      <c r="V237" s="1099">
        <v>414</v>
      </c>
      <c r="W237" s="1099" t="s">
        <v>1004</v>
      </c>
      <c r="Z237" s="1311">
        <f t="shared" si="50"/>
        <v>0</v>
      </c>
      <c r="AA237" s="1374">
        <f t="shared" si="49"/>
        <v>0</v>
      </c>
      <c r="AB237" s="912">
        <f t="shared" si="47"/>
        <v>0</v>
      </c>
      <c r="AC237" s="912">
        <f t="shared" si="48"/>
        <v>0</v>
      </c>
    </row>
    <row r="238" spans="1:29" ht="75" customHeight="1">
      <c r="A238" s="895">
        <v>9</v>
      </c>
      <c r="B238" s="1436" t="s">
        <v>474</v>
      </c>
      <c r="C238" s="871">
        <f>SUM(D238:E238)</f>
        <v>26243.8</v>
      </c>
      <c r="D238" s="887">
        <v>24664.799999999999</v>
      </c>
      <c r="E238" s="887">
        <v>1579</v>
      </c>
      <c r="F238" s="871">
        <f t="shared" si="57"/>
        <v>26243.8</v>
      </c>
      <c r="G238" s="887">
        <f t="shared" si="58"/>
        <v>24664.799999999999</v>
      </c>
      <c r="H238" s="887">
        <f t="shared" si="58"/>
        <v>1579</v>
      </c>
      <c r="I238" s="871">
        <f t="shared" si="54"/>
        <v>23757.9</v>
      </c>
      <c r="J238" s="887">
        <v>22329.8</v>
      </c>
      <c r="K238" s="887">
        <v>1428.1</v>
      </c>
      <c r="L238" s="872">
        <f t="shared" si="56"/>
        <v>90.5</v>
      </c>
      <c r="M238" s="873">
        <f t="shared" si="56"/>
        <v>90.5</v>
      </c>
      <c r="N238" s="873">
        <f t="shared" si="56"/>
        <v>90.4</v>
      </c>
      <c r="O238" s="1282"/>
      <c r="Q238" s="1065">
        <f t="shared" si="52"/>
        <v>0</v>
      </c>
      <c r="R238" s="1065">
        <f t="shared" si="52"/>
        <v>0</v>
      </c>
      <c r="S238" s="1065">
        <f t="shared" si="52"/>
        <v>0</v>
      </c>
      <c r="T238" s="1099" t="s">
        <v>999</v>
      </c>
      <c r="U238" s="1100" t="s">
        <v>1013</v>
      </c>
      <c r="V238" s="1099">
        <v>414</v>
      </c>
      <c r="W238" s="1099" t="s">
        <v>1004</v>
      </c>
      <c r="Z238" s="1311">
        <f t="shared" si="50"/>
        <v>0</v>
      </c>
      <c r="AA238" s="1374">
        <f t="shared" si="49"/>
        <v>0</v>
      </c>
      <c r="AB238" s="912">
        <f t="shared" si="47"/>
        <v>0</v>
      </c>
      <c r="AC238" s="912">
        <f t="shared" si="48"/>
        <v>0</v>
      </c>
    </row>
    <row r="239" spans="1:29" ht="75" customHeight="1">
      <c r="A239" s="895">
        <v>10</v>
      </c>
      <c r="B239" s="1436" t="s">
        <v>617</v>
      </c>
      <c r="C239" s="871">
        <f t="shared" si="55"/>
        <v>81990.7</v>
      </c>
      <c r="D239" s="887">
        <v>77057.899999999994</v>
      </c>
      <c r="E239" s="887">
        <v>4932.8</v>
      </c>
      <c r="F239" s="871">
        <f t="shared" si="57"/>
        <v>81990.7</v>
      </c>
      <c r="G239" s="887">
        <f t="shared" si="58"/>
        <v>77057.899999999994</v>
      </c>
      <c r="H239" s="887">
        <f t="shared" si="58"/>
        <v>4932.8</v>
      </c>
      <c r="I239" s="871">
        <f t="shared" si="54"/>
        <v>0</v>
      </c>
      <c r="J239" s="887">
        <v>0</v>
      </c>
      <c r="K239" s="887">
        <v>0</v>
      </c>
      <c r="L239" s="872">
        <f t="shared" si="56"/>
        <v>0</v>
      </c>
      <c r="M239" s="873">
        <f t="shared" si="56"/>
        <v>0</v>
      </c>
      <c r="N239" s="873">
        <f t="shared" si="56"/>
        <v>0</v>
      </c>
      <c r="O239" s="1282"/>
      <c r="Q239" s="1065">
        <f t="shared" si="52"/>
        <v>0</v>
      </c>
      <c r="R239" s="1065">
        <f t="shared" si="52"/>
        <v>0</v>
      </c>
      <c r="S239" s="1065">
        <f t="shared" si="52"/>
        <v>0</v>
      </c>
      <c r="T239" s="1099" t="s">
        <v>999</v>
      </c>
      <c r="U239" s="1100" t="s">
        <v>1002</v>
      </c>
      <c r="V239" s="1099">
        <v>414</v>
      </c>
      <c r="W239" s="1099" t="s">
        <v>1004</v>
      </c>
      <c r="Z239" s="1311">
        <f t="shared" si="50"/>
        <v>0</v>
      </c>
      <c r="AA239" s="1374">
        <f t="shared" si="49"/>
        <v>0</v>
      </c>
      <c r="AB239" s="912">
        <f t="shared" si="47"/>
        <v>0</v>
      </c>
      <c r="AC239" s="912">
        <f t="shared" si="48"/>
        <v>0</v>
      </c>
    </row>
    <row r="240" spans="1:29" ht="75" customHeight="1">
      <c r="A240" s="895">
        <v>12</v>
      </c>
      <c r="B240" s="1436" t="s">
        <v>619</v>
      </c>
      <c r="C240" s="871">
        <f>SUM(D240:E240)</f>
        <v>39448</v>
      </c>
      <c r="D240" s="887">
        <v>37080.800000000003</v>
      </c>
      <c r="E240" s="887">
        <v>2367.1999999999998</v>
      </c>
      <c r="F240" s="871">
        <f t="shared" si="57"/>
        <v>39448</v>
      </c>
      <c r="G240" s="887">
        <f t="shared" si="58"/>
        <v>37080.800000000003</v>
      </c>
      <c r="H240" s="887">
        <f t="shared" si="58"/>
        <v>2367.1999999999998</v>
      </c>
      <c r="I240" s="871">
        <f t="shared" si="54"/>
        <v>0</v>
      </c>
      <c r="J240" s="887">
        <v>0</v>
      </c>
      <c r="K240" s="887">
        <v>0</v>
      </c>
      <c r="L240" s="872">
        <f t="shared" si="56"/>
        <v>0</v>
      </c>
      <c r="M240" s="873">
        <f t="shared" si="56"/>
        <v>0</v>
      </c>
      <c r="N240" s="873">
        <f t="shared" si="56"/>
        <v>0</v>
      </c>
      <c r="O240" s="1282"/>
      <c r="Q240" s="1065">
        <f t="shared" si="52"/>
        <v>0</v>
      </c>
      <c r="R240" s="1065">
        <f t="shared" si="52"/>
        <v>0</v>
      </c>
      <c r="S240" s="1065">
        <f t="shared" si="52"/>
        <v>0</v>
      </c>
      <c r="T240" s="1099" t="s">
        <v>999</v>
      </c>
      <c r="U240" s="1100" t="s">
        <v>1008</v>
      </c>
      <c r="V240" s="1099">
        <v>414</v>
      </c>
      <c r="W240" s="1099" t="s">
        <v>1006</v>
      </c>
      <c r="Z240" s="1311">
        <f t="shared" si="50"/>
        <v>0</v>
      </c>
      <c r="AA240" s="1374">
        <f t="shared" si="49"/>
        <v>0</v>
      </c>
      <c r="AB240" s="912">
        <f t="shared" si="47"/>
        <v>0</v>
      </c>
      <c r="AC240" s="912">
        <f t="shared" si="48"/>
        <v>0</v>
      </c>
    </row>
    <row r="241" spans="1:29" s="914" customFormat="1" ht="110.25" customHeight="1">
      <c r="A241" s="1314" t="s">
        <v>1341</v>
      </c>
      <c r="B241" s="947" t="s">
        <v>656</v>
      </c>
      <c r="C241" s="948">
        <f>SUM(D241:E241)</f>
        <v>60106.400000000001</v>
      </c>
      <c r="D241" s="949">
        <f>D242</f>
        <v>56500</v>
      </c>
      <c r="E241" s="949">
        <f>E242</f>
        <v>3606.4</v>
      </c>
      <c r="F241" s="950">
        <f t="shared" si="57"/>
        <v>60106.400000000001</v>
      </c>
      <c r="G241" s="949">
        <f>G242</f>
        <v>56500</v>
      </c>
      <c r="H241" s="949">
        <f>H242</f>
        <v>3606.4</v>
      </c>
      <c r="I241" s="950">
        <f t="shared" si="54"/>
        <v>49162</v>
      </c>
      <c r="J241" s="949">
        <f>J242</f>
        <v>46212.3</v>
      </c>
      <c r="K241" s="949">
        <f>K242</f>
        <v>2949.7</v>
      </c>
      <c r="L241" s="951">
        <f t="shared" si="56"/>
        <v>81.8</v>
      </c>
      <c r="M241" s="952">
        <f t="shared" si="56"/>
        <v>81.8</v>
      </c>
      <c r="N241" s="952">
        <f t="shared" si="56"/>
        <v>81.8</v>
      </c>
      <c r="O241" s="1282"/>
      <c r="P241" s="1208"/>
      <c r="Q241" s="1065">
        <f t="shared" si="52"/>
        <v>0</v>
      </c>
      <c r="R241" s="1065">
        <f t="shared" si="52"/>
        <v>0</v>
      </c>
      <c r="S241" s="1065">
        <f t="shared" si="52"/>
        <v>0</v>
      </c>
      <c r="T241" s="1099"/>
      <c r="U241" s="1100"/>
      <c r="V241" s="1099"/>
      <c r="W241" s="1099"/>
      <c r="X241" s="1216"/>
      <c r="Z241" s="1311">
        <f t="shared" si="50"/>
        <v>0</v>
      </c>
      <c r="AA241" s="1374">
        <f t="shared" si="49"/>
        <v>0</v>
      </c>
      <c r="AB241" s="912">
        <f t="shared" si="47"/>
        <v>0</v>
      </c>
      <c r="AC241" s="912">
        <f t="shared" si="48"/>
        <v>0</v>
      </c>
    </row>
    <row r="242" spans="1:29" ht="58.5" customHeight="1">
      <c r="A242" s="895">
        <v>13</v>
      </c>
      <c r="B242" s="937" t="s">
        <v>623</v>
      </c>
      <c r="C242" s="871">
        <f>SUM(D242:E242)</f>
        <v>60106.400000000001</v>
      </c>
      <c r="D242" s="884">
        <v>56500</v>
      </c>
      <c r="E242" s="887">
        <v>3606.4</v>
      </c>
      <c r="F242" s="871">
        <f t="shared" si="57"/>
        <v>60106.400000000001</v>
      </c>
      <c r="G242" s="884">
        <f>D242</f>
        <v>56500</v>
      </c>
      <c r="H242" s="884">
        <f>E242</f>
        <v>3606.4</v>
      </c>
      <c r="I242" s="1442">
        <f t="shared" si="54"/>
        <v>49162</v>
      </c>
      <c r="J242" s="884">
        <v>46212.3</v>
      </c>
      <c r="K242" s="887">
        <v>2949.7</v>
      </c>
      <c r="L242" s="876">
        <f t="shared" si="56"/>
        <v>81.8</v>
      </c>
      <c r="M242" s="877">
        <f t="shared" si="56"/>
        <v>81.8</v>
      </c>
      <c r="N242" s="877">
        <f t="shared" si="56"/>
        <v>81.8</v>
      </c>
      <c r="O242" s="1282"/>
      <c r="Q242" s="1065">
        <f t="shared" si="52"/>
        <v>0</v>
      </c>
      <c r="R242" s="1065">
        <f t="shared" si="52"/>
        <v>0</v>
      </c>
      <c r="S242" s="1065">
        <f t="shared" si="52"/>
        <v>0</v>
      </c>
      <c r="T242" s="1099" t="s">
        <v>999</v>
      </c>
      <c r="U242" s="1100" t="s">
        <v>1017</v>
      </c>
      <c r="V242" s="1099">
        <v>414</v>
      </c>
      <c r="W242" s="1099" t="s">
        <v>1018</v>
      </c>
      <c r="Z242" s="1311">
        <f t="shared" si="50"/>
        <v>0</v>
      </c>
      <c r="AA242" s="1374">
        <f t="shared" si="49"/>
        <v>0</v>
      </c>
      <c r="AB242" s="912">
        <f t="shared" si="47"/>
        <v>0</v>
      </c>
      <c r="AC242" s="912">
        <f t="shared" si="48"/>
        <v>0</v>
      </c>
    </row>
    <row r="243" spans="1:29" s="914" customFormat="1" ht="56.25" customHeight="1">
      <c r="A243" s="1305" t="s">
        <v>249</v>
      </c>
      <c r="B243" s="932" t="s">
        <v>39</v>
      </c>
      <c r="C243" s="933">
        <f t="shared" si="55"/>
        <v>108835</v>
      </c>
      <c r="D243" s="933">
        <f>SUM(D244:D247)</f>
        <v>0</v>
      </c>
      <c r="E243" s="933">
        <f>SUM(E244:E247)</f>
        <v>108835</v>
      </c>
      <c r="F243" s="933">
        <f t="shared" si="57"/>
        <v>108835</v>
      </c>
      <c r="G243" s="933">
        <f>SUM(G244:G247)</f>
        <v>0</v>
      </c>
      <c r="H243" s="933">
        <f>SUM(H244:H247)</f>
        <v>108835</v>
      </c>
      <c r="I243" s="933">
        <f t="shared" si="54"/>
        <v>25227.599999999999</v>
      </c>
      <c r="J243" s="933">
        <f>SUM(J244:J247)</f>
        <v>0</v>
      </c>
      <c r="K243" s="933">
        <f>SUM(K244:K247)</f>
        <v>25227.599999999999</v>
      </c>
      <c r="L243" s="935">
        <f t="shared" si="56"/>
        <v>23.2</v>
      </c>
      <c r="M243" s="936">
        <f t="shared" si="56"/>
        <v>0</v>
      </c>
      <c r="N243" s="936">
        <f t="shared" si="56"/>
        <v>23.2</v>
      </c>
      <c r="O243" s="1282"/>
      <c r="P243" s="1208"/>
      <c r="Q243" s="1065">
        <f t="shared" si="52"/>
        <v>0</v>
      </c>
      <c r="R243" s="1065">
        <f t="shared" si="52"/>
        <v>0</v>
      </c>
      <c r="S243" s="1065">
        <f t="shared" si="52"/>
        <v>0</v>
      </c>
      <c r="T243" s="1099"/>
      <c r="U243" s="1100"/>
      <c r="V243" s="1099"/>
      <c r="W243" s="1099"/>
      <c r="X243" s="1216"/>
      <c r="Z243" s="1311">
        <f t="shared" si="50"/>
        <v>0</v>
      </c>
      <c r="AA243" s="1374">
        <f t="shared" si="49"/>
        <v>0</v>
      </c>
      <c r="AB243" s="912">
        <f t="shared" si="47"/>
        <v>0</v>
      </c>
      <c r="AC243" s="912">
        <f t="shared" si="48"/>
        <v>0</v>
      </c>
    </row>
    <row r="244" spans="1:29" s="736" customFormat="1" ht="58.5" customHeight="1">
      <c r="A244" s="895">
        <v>14</v>
      </c>
      <c r="B244" s="1238" t="s">
        <v>706</v>
      </c>
      <c r="C244" s="871">
        <f>SUM(D244:E244)</f>
        <v>2760</v>
      </c>
      <c r="D244" s="887">
        <v>0</v>
      </c>
      <c r="E244" s="887">
        <v>2760</v>
      </c>
      <c r="F244" s="871">
        <f t="shared" si="57"/>
        <v>2760</v>
      </c>
      <c r="G244" s="887">
        <f t="shared" ref="G244:H247" si="59">D244</f>
        <v>0</v>
      </c>
      <c r="H244" s="887">
        <f t="shared" si="59"/>
        <v>2760</v>
      </c>
      <c r="I244" s="871">
        <f t="shared" si="54"/>
        <v>0</v>
      </c>
      <c r="J244" s="887">
        <v>0</v>
      </c>
      <c r="K244" s="887">
        <v>0</v>
      </c>
      <c r="L244" s="872">
        <f t="shared" si="56"/>
        <v>0</v>
      </c>
      <c r="M244" s="873">
        <f t="shared" si="56"/>
        <v>0</v>
      </c>
      <c r="N244" s="873">
        <f t="shared" si="56"/>
        <v>0</v>
      </c>
      <c r="O244" s="1282"/>
      <c r="P244" s="1208"/>
      <c r="Q244" s="1065">
        <f t="shared" si="52"/>
        <v>0</v>
      </c>
      <c r="R244" s="1065">
        <f t="shared" si="52"/>
        <v>0</v>
      </c>
      <c r="S244" s="1065">
        <f t="shared" si="52"/>
        <v>0</v>
      </c>
      <c r="T244" s="1099" t="s">
        <v>999</v>
      </c>
      <c r="U244" s="1100">
        <v>1110290400</v>
      </c>
      <c r="V244" s="1099">
        <v>414</v>
      </c>
      <c r="W244" s="1099">
        <v>10119</v>
      </c>
      <c r="X244" s="1216"/>
      <c r="Z244" s="1311">
        <f t="shared" si="50"/>
        <v>0</v>
      </c>
      <c r="AA244" s="1374">
        <f t="shared" si="49"/>
        <v>0</v>
      </c>
      <c r="AB244" s="912">
        <f t="shared" si="47"/>
        <v>0</v>
      </c>
      <c r="AC244" s="912">
        <f t="shared" si="48"/>
        <v>0</v>
      </c>
    </row>
    <row r="245" spans="1:29" s="736" customFormat="1" ht="59.25" customHeight="1">
      <c r="A245" s="895">
        <v>15</v>
      </c>
      <c r="B245" s="1238" t="s">
        <v>1169</v>
      </c>
      <c r="C245" s="871">
        <f>SUM(D245:E245)</f>
        <v>12000</v>
      </c>
      <c r="D245" s="887">
        <v>0</v>
      </c>
      <c r="E245" s="887">
        <v>12000</v>
      </c>
      <c r="F245" s="871">
        <f t="shared" si="57"/>
        <v>12000</v>
      </c>
      <c r="G245" s="887">
        <f t="shared" si="59"/>
        <v>0</v>
      </c>
      <c r="H245" s="887">
        <f t="shared" si="59"/>
        <v>12000</v>
      </c>
      <c r="I245" s="871">
        <f t="shared" si="54"/>
        <v>0</v>
      </c>
      <c r="J245" s="887">
        <v>0</v>
      </c>
      <c r="K245" s="887">
        <v>0</v>
      </c>
      <c r="L245" s="872"/>
      <c r="M245" s="873"/>
      <c r="N245" s="873"/>
      <c r="O245" s="1282"/>
      <c r="P245" s="1208"/>
      <c r="Q245" s="1065"/>
      <c r="R245" s="1065"/>
      <c r="S245" s="1065"/>
      <c r="T245" s="1099"/>
      <c r="U245" s="1100"/>
      <c r="V245" s="1099"/>
      <c r="W245" s="1099"/>
      <c r="X245" s="1216"/>
      <c r="Z245" s="1311">
        <f t="shared" si="50"/>
        <v>0</v>
      </c>
      <c r="AA245" s="1374">
        <f t="shared" si="49"/>
        <v>0</v>
      </c>
      <c r="AB245" s="912">
        <f t="shared" si="47"/>
        <v>0</v>
      </c>
      <c r="AC245" s="912">
        <f t="shared" si="48"/>
        <v>0</v>
      </c>
    </row>
    <row r="246" spans="1:29" s="736" customFormat="1" ht="58.5" customHeight="1">
      <c r="A246" s="895">
        <v>16</v>
      </c>
      <c r="B246" s="1238" t="s">
        <v>268</v>
      </c>
      <c r="C246" s="871">
        <f>SUM(D246:E246)</f>
        <v>700</v>
      </c>
      <c r="D246" s="887">
        <v>0</v>
      </c>
      <c r="E246" s="887">
        <v>700</v>
      </c>
      <c r="F246" s="871">
        <f t="shared" si="57"/>
        <v>700</v>
      </c>
      <c r="G246" s="887">
        <f t="shared" si="59"/>
        <v>0</v>
      </c>
      <c r="H246" s="887">
        <f t="shared" si="59"/>
        <v>700</v>
      </c>
      <c r="I246" s="871">
        <f t="shared" si="54"/>
        <v>360.1</v>
      </c>
      <c r="J246" s="887">
        <v>0</v>
      </c>
      <c r="K246" s="887">
        <v>360.1</v>
      </c>
      <c r="L246" s="872">
        <f t="shared" si="56"/>
        <v>51.4</v>
      </c>
      <c r="M246" s="873">
        <f t="shared" si="56"/>
        <v>0</v>
      </c>
      <c r="N246" s="873">
        <f t="shared" si="56"/>
        <v>51.4</v>
      </c>
      <c r="O246" s="1282"/>
      <c r="P246" s="1208"/>
      <c r="Q246" s="1065">
        <f>C246-F246</f>
        <v>0</v>
      </c>
      <c r="R246" s="1065">
        <f t="shared" si="52"/>
        <v>0</v>
      </c>
      <c r="S246" s="1065">
        <f t="shared" si="52"/>
        <v>0</v>
      </c>
      <c r="T246" s="1099" t="s">
        <v>999</v>
      </c>
      <c r="U246" s="1100">
        <v>1110290400</v>
      </c>
      <c r="V246" s="1099">
        <v>414</v>
      </c>
      <c r="W246" s="1099">
        <v>10044</v>
      </c>
      <c r="X246" s="1216"/>
      <c r="Z246" s="1311">
        <f t="shared" si="50"/>
        <v>0</v>
      </c>
      <c r="AA246" s="1374">
        <f t="shared" si="49"/>
        <v>0</v>
      </c>
      <c r="AB246" s="912">
        <f t="shared" si="47"/>
        <v>0</v>
      </c>
      <c r="AC246" s="912">
        <f t="shared" si="48"/>
        <v>0</v>
      </c>
    </row>
    <row r="247" spans="1:29" s="736" customFormat="1" ht="29.25" customHeight="1">
      <c r="A247" s="895">
        <v>17</v>
      </c>
      <c r="B247" s="1238" t="s">
        <v>263</v>
      </c>
      <c r="C247" s="871">
        <f t="shared" si="55"/>
        <v>93375</v>
      </c>
      <c r="D247" s="887">
        <v>0</v>
      </c>
      <c r="E247" s="887">
        <v>93375</v>
      </c>
      <c r="F247" s="871">
        <f t="shared" si="57"/>
        <v>93375</v>
      </c>
      <c r="G247" s="887">
        <f t="shared" si="59"/>
        <v>0</v>
      </c>
      <c r="H247" s="887">
        <f t="shared" si="59"/>
        <v>93375</v>
      </c>
      <c r="I247" s="871">
        <f t="shared" si="54"/>
        <v>24867.5</v>
      </c>
      <c r="J247" s="887">
        <v>0</v>
      </c>
      <c r="K247" s="887">
        <v>24867.5</v>
      </c>
      <c r="L247" s="872">
        <f t="shared" si="56"/>
        <v>26.6</v>
      </c>
      <c r="M247" s="873">
        <f t="shared" si="56"/>
        <v>0</v>
      </c>
      <c r="N247" s="873">
        <f t="shared" si="56"/>
        <v>26.6</v>
      </c>
      <c r="O247" s="1282"/>
      <c r="P247" s="1208"/>
      <c r="Q247" s="1065">
        <f t="shared" si="52"/>
        <v>0</v>
      </c>
      <c r="R247" s="1065">
        <f t="shared" si="52"/>
        <v>0</v>
      </c>
      <c r="S247" s="1065">
        <f t="shared" si="52"/>
        <v>0</v>
      </c>
      <c r="T247" s="1099" t="s">
        <v>999</v>
      </c>
      <c r="U247" s="1100">
        <v>1110290400</v>
      </c>
      <c r="V247" s="1099">
        <v>414</v>
      </c>
      <c r="W247" s="1099">
        <v>10001</v>
      </c>
      <c r="X247" s="1216"/>
      <c r="Z247" s="1311">
        <f t="shared" si="50"/>
        <v>0</v>
      </c>
      <c r="AA247" s="1374">
        <f t="shared" si="49"/>
        <v>0</v>
      </c>
      <c r="AB247" s="912">
        <f t="shared" si="47"/>
        <v>0</v>
      </c>
      <c r="AC247" s="912">
        <f t="shared" si="48"/>
        <v>0</v>
      </c>
    </row>
    <row r="248" spans="1:29" ht="35.25" customHeight="1">
      <c r="A248" s="1102"/>
      <c r="B248" s="1079" t="s">
        <v>432</v>
      </c>
      <c r="C248" s="1080"/>
      <c r="D248" s="1079"/>
      <c r="E248" s="1079"/>
      <c r="F248" s="1080"/>
      <c r="G248" s="1079"/>
      <c r="H248" s="1079"/>
      <c r="I248" s="1203"/>
      <c r="J248" s="1210"/>
      <c r="K248" s="1210"/>
      <c r="L248" s="1081"/>
      <c r="M248" s="1082"/>
      <c r="N248" s="1082"/>
      <c r="O248" s="1282"/>
      <c r="Q248" s="1065">
        <f t="shared" si="52"/>
        <v>0</v>
      </c>
      <c r="R248" s="1065">
        <f t="shared" si="52"/>
        <v>0</v>
      </c>
      <c r="S248" s="1065">
        <f t="shared" si="52"/>
        <v>0</v>
      </c>
      <c r="Z248" s="1311">
        <f t="shared" si="50"/>
        <v>0</v>
      </c>
      <c r="AA248" s="1374">
        <f t="shared" si="49"/>
        <v>0</v>
      </c>
      <c r="AB248" s="912">
        <f t="shared" si="47"/>
        <v>0</v>
      </c>
      <c r="AC248" s="912">
        <f t="shared" si="48"/>
        <v>0</v>
      </c>
    </row>
    <row r="249" spans="1:29" ht="174" customHeight="1">
      <c r="A249" s="2402" t="s">
        <v>1346</v>
      </c>
      <c r="B249" s="2406"/>
      <c r="C249" s="893">
        <f t="shared" ref="C249:C255" si="60">SUM(D249:E249)</f>
        <v>865629.1</v>
      </c>
      <c r="D249" s="894">
        <f>SUM(D88,D17:D18)</f>
        <v>853456.8</v>
      </c>
      <c r="E249" s="894">
        <f>SUM(E88,E17:E18)</f>
        <v>12172.3</v>
      </c>
      <c r="F249" s="893">
        <f t="shared" ref="F249:F255" si="61">SUM(G249:H249)</f>
        <v>865629</v>
      </c>
      <c r="G249" s="894">
        <f>SUM(G88,G17:G18)</f>
        <v>853456.8</v>
      </c>
      <c r="H249" s="894">
        <f>SUM(H88,H17:H18)</f>
        <v>12172.2</v>
      </c>
      <c r="I249" s="893">
        <f t="shared" ref="I249:I255" si="62">SUM(J249:K249)</f>
        <v>102424.6</v>
      </c>
      <c r="J249" s="894">
        <f>SUM(J88,J17:J18)</f>
        <v>96810.3</v>
      </c>
      <c r="K249" s="894">
        <f>SUM(K88,K17:K18)</f>
        <v>5614.3</v>
      </c>
      <c r="L249" s="893">
        <f>IF(I249=0,0,I249/F249*100)</f>
        <v>11.8</v>
      </c>
      <c r="M249" s="894">
        <f>IF(J249=0,0,J249/G249*100)</f>
        <v>11.3</v>
      </c>
      <c r="N249" s="894">
        <f>IF(K249=0,0,K249/H249*100)</f>
        <v>46.1</v>
      </c>
      <c r="O249" s="1282"/>
      <c r="Q249" s="1065">
        <f t="shared" si="52"/>
        <v>0.1</v>
      </c>
      <c r="R249" s="1065">
        <f t="shared" si="52"/>
        <v>0</v>
      </c>
      <c r="S249" s="1065">
        <f t="shared" si="52"/>
        <v>0.1</v>
      </c>
      <c r="Z249" s="1311">
        <f t="shared" si="50"/>
        <v>0.1</v>
      </c>
      <c r="AA249" s="1374">
        <f t="shared" si="49"/>
        <v>0.1</v>
      </c>
      <c r="AB249" s="912">
        <f t="shared" si="47"/>
        <v>0</v>
      </c>
      <c r="AC249" s="912">
        <f t="shared" si="48"/>
        <v>0.1</v>
      </c>
    </row>
    <row r="250" spans="1:29" ht="30" customHeight="1">
      <c r="A250" s="1453"/>
      <c r="B250" s="1428" t="s">
        <v>1347</v>
      </c>
      <c r="C250" s="871">
        <f>C18</f>
        <v>741029.8</v>
      </c>
      <c r="D250" s="894">
        <f>D18</f>
        <v>733604.7</v>
      </c>
      <c r="E250" s="894">
        <f t="shared" ref="E250:K250" si="63">E18</f>
        <v>7425.1</v>
      </c>
      <c r="F250" s="871">
        <f t="shared" si="63"/>
        <v>741029.7</v>
      </c>
      <c r="G250" s="894">
        <f t="shared" si="63"/>
        <v>733604.7</v>
      </c>
      <c r="H250" s="894">
        <f t="shared" si="63"/>
        <v>7425</v>
      </c>
      <c r="I250" s="871">
        <f t="shared" si="63"/>
        <v>86351.1</v>
      </c>
      <c r="J250" s="894">
        <f t="shared" si="63"/>
        <v>85483.9</v>
      </c>
      <c r="K250" s="894">
        <f t="shared" si="63"/>
        <v>867.2</v>
      </c>
      <c r="L250" s="893">
        <f>SUM(M250:N250)</f>
        <v>32</v>
      </c>
      <c r="M250" s="894">
        <f>SUM(M225,M122,M67)</f>
        <v>16</v>
      </c>
      <c r="N250" s="894">
        <f>SUM(N225,N122,N67)</f>
        <v>16</v>
      </c>
      <c r="O250" s="1282"/>
      <c r="Q250" s="1065"/>
      <c r="R250" s="1065"/>
      <c r="S250" s="1065"/>
      <c r="Z250" s="1311"/>
      <c r="AA250" s="1374"/>
      <c r="AB250" s="912">
        <f t="shared" si="47"/>
        <v>0</v>
      </c>
      <c r="AC250" s="912">
        <f t="shared" si="48"/>
        <v>0.1</v>
      </c>
    </row>
    <row r="251" spans="1:29" ht="63.75" customHeight="1">
      <c r="A251" s="2402" t="s">
        <v>1098</v>
      </c>
      <c r="B251" s="2406"/>
      <c r="C251" s="893">
        <f t="shared" si="60"/>
        <v>810073.1</v>
      </c>
      <c r="D251" s="894">
        <f>SUM(D16,D100,D98,D99,D21,D123,D31)-12300.3</f>
        <v>696497.1</v>
      </c>
      <c r="E251" s="1443">
        <f>SUM(E16,E100,E98,E99,E21,E123,E31)</f>
        <v>113576</v>
      </c>
      <c r="F251" s="893">
        <f>SUM(G251:H251)</f>
        <v>766604.7</v>
      </c>
      <c r="G251" s="894">
        <f>SUM(G16,G100,G98,G99,G21,G123,G31)</f>
        <v>653463.4</v>
      </c>
      <c r="H251" s="1443">
        <f>SUM(H16,H100,H98,H99,H21,H123,H31)</f>
        <v>113141.3</v>
      </c>
      <c r="I251" s="893">
        <f>SUM(J251:K251)</f>
        <v>40609.4</v>
      </c>
      <c r="J251" s="894">
        <f>SUM(J16,J100,J98,J99,J21,J123,J31)</f>
        <v>24862.6</v>
      </c>
      <c r="K251" s="1443">
        <f>SUM(K16,K100,K98,K99,K21,K123,K31)</f>
        <v>15746.8</v>
      </c>
      <c r="L251" s="893">
        <f t="shared" ref="L251:L256" si="64">SUM(M251:N251)</f>
        <v>127.6</v>
      </c>
      <c r="M251" s="894">
        <f>SUM(M228,M122,M67)</f>
        <v>63.8</v>
      </c>
      <c r="N251" s="894">
        <f>SUM(N228,N122,N67)</f>
        <v>63.8</v>
      </c>
      <c r="O251" s="1282"/>
      <c r="Q251" s="1065"/>
      <c r="R251" s="1065"/>
      <c r="S251" s="1065"/>
      <c r="Z251" s="1311">
        <f t="shared" si="50"/>
        <v>43468.4</v>
      </c>
      <c r="AA251" s="1374">
        <f t="shared" si="49"/>
        <v>43468.4</v>
      </c>
      <c r="AB251" s="912">
        <f t="shared" si="47"/>
        <v>43033.7</v>
      </c>
      <c r="AC251" s="912">
        <f t="shared" si="48"/>
        <v>434.7</v>
      </c>
    </row>
    <row r="252" spans="1:29" ht="65.25" customHeight="1">
      <c r="A252" s="2402" t="s">
        <v>780</v>
      </c>
      <c r="B252" s="2406"/>
      <c r="C252" s="1440">
        <f t="shared" si="60"/>
        <v>3487177.1</v>
      </c>
      <c r="D252" s="1443">
        <f>D143+D67+D228-D254</f>
        <v>3276914.7</v>
      </c>
      <c r="E252" s="1443">
        <f>E143+E67+E228-E254</f>
        <v>210262.39999999999</v>
      </c>
      <c r="F252" s="1440">
        <f>SUM(G252:H252)</f>
        <v>3485284.8</v>
      </c>
      <c r="G252" s="1443">
        <f>G143+G67+G228-G254</f>
        <v>3275215.9</v>
      </c>
      <c r="H252" s="1443">
        <f>H143+H67+H228-H254</f>
        <v>210068.9</v>
      </c>
      <c r="I252" s="1440">
        <f t="shared" si="62"/>
        <v>862675.4</v>
      </c>
      <c r="J252" s="1443">
        <f>J143+J67+J228-J254</f>
        <v>810750</v>
      </c>
      <c r="K252" s="1443">
        <f>K143+K67+K228-K254</f>
        <v>51925.4</v>
      </c>
      <c r="L252" s="1440">
        <f t="shared" si="64"/>
        <v>168.6</v>
      </c>
      <c r="M252" s="1443">
        <f>SUM(M228,M143,M67)</f>
        <v>80.5</v>
      </c>
      <c r="N252" s="1443">
        <f>SUM(N228,N143,N67)</f>
        <v>88.1</v>
      </c>
      <c r="O252" s="1282"/>
      <c r="Q252" s="1065">
        <f t="shared" si="52"/>
        <v>1892.3</v>
      </c>
      <c r="R252" s="1065">
        <f t="shared" si="52"/>
        <v>1698.8</v>
      </c>
      <c r="S252" s="1065">
        <f t="shared" si="52"/>
        <v>193.5</v>
      </c>
      <c r="Z252" s="1311">
        <f t="shared" si="50"/>
        <v>1892.3</v>
      </c>
      <c r="AA252" s="1374">
        <f t="shared" si="49"/>
        <v>1892.3</v>
      </c>
      <c r="AB252" s="912">
        <f t="shared" si="47"/>
        <v>1698.8</v>
      </c>
      <c r="AC252" s="912">
        <f t="shared" si="48"/>
        <v>193.5</v>
      </c>
    </row>
    <row r="253" spans="1:29" ht="62.25" customHeight="1">
      <c r="A253" s="2402" t="s">
        <v>1031</v>
      </c>
      <c r="B253" s="2406"/>
      <c r="C253" s="1440">
        <f t="shared" si="60"/>
        <v>276980</v>
      </c>
      <c r="D253" s="1443">
        <f>SUM(D254:D255)</f>
        <v>0</v>
      </c>
      <c r="E253" s="1443">
        <f>SUM(E254:E255)</f>
        <v>276980</v>
      </c>
      <c r="F253" s="1440">
        <f t="shared" si="61"/>
        <v>276980</v>
      </c>
      <c r="G253" s="1443">
        <f>SUM(G254:G255)</f>
        <v>0</v>
      </c>
      <c r="H253" s="1443">
        <f>SUM(H254:H255)</f>
        <v>276980</v>
      </c>
      <c r="I253" s="1440">
        <f t="shared" si="62"/>
        <v>63540.4</v>
      </c>
      <c r="J253" s="1443">
        <f>SUM(J254:J255)</f>
        <v>0</v>
      </c>
      <c r="K253" s="1443">
        <f>SUM(K254:K255)</f>
        <v>63540.4</v>
      </c>
      <c r="L253" s="1440">
        <f t="shared" si="64"/>
        <v>207</v>
      </c>
      <c r="M253" s="1443">
        <f t="shared" ref="M253:N256" si="65">SUM(M230,M151,M68)</f>
        <v>103.5</v>
      </c>
      <c r="N253" s="1443">
        <f t="shared" si="65"/>
        <v>103.5</v>
      </c>
      <c r="O253" s="1282"/>
      <c r="Q253" s="1065">
        <f t="shared" si="52"/>
        <v>0</v>
      </c>
      <c r="R253" s="1065">
        <f t="shared" si="52"/>
        <v>0</v>
      </c>
      <c r="S253" s="1065">
        <f t="shared" si="52"/>
        <v>0</v>
      </c>
      <c r="Z253" s="1311">
        <f t="shared" si="50"/>
        <v>0</v>
      </c>
      <c r="AA253" s="1374">
        <f t="shared" si="49"/>
        <v>0</v>
      </c>
      <c r="AB253" s="912">
        <f t="shared" si="47"/>
        <v>0</v>
      </c>
      <c r="AC253" s="912">
        <f t="shared" si="48"/>
        <v>0</v>
      </c>
    </row>
    <row r="254" spans="1:29" ht="36" customHeight="1">
      <c r="A254" s="895"/>
      <c r="B254" s="1436" t="s">
        <v>778</v>
      </c>
      <c r="C254" s="876">
        <f t="shared" ref="C254:J254" si="66">SUM(C144,C145,C146,C147,C148,C150,C149,C175,C179,C182,C190,C192,C200,C178,C158:C160,C195)</f>
        <v>111250.5</v>
      </c>
      <c r="D254" s="877">
        <f t="shared" si="66"/>
        <v>0</v>
      </c>
      <c r="E254" s="877">
        <f>SUM(E144,E145,E146,E147,E148,E150,E149,E175,E179,E182,E190,E192,E200,E178,E158:E160,E195)</f>
        <v>111250.5</v>
      </c>
      <c r="F254" s="876">
        <f t="shared" si="66"/>
        <v>111250.5</v>
      </c>
      <c r="G254" s="877">
        <f t="shared" si="66"/>
        <v>0</v>
      </c>
      <c r="H254" s="877">
        <f>SUM(H144,H145,H146,H147,H148,H150,H149,H175,H179,H182,H190,H192,H200,H178,H158:H160,H195)</f>
        <v>111250.5</v>
      </c>
      <c r="I254" s="876">
        <f t="shared" si="66"/>
        <v>37357.599999999999</v>
      </c>
      <c r="J254" s="877">
        <f t="shared" si="66"/>
        <v>0</v>
      </c>
      <c r="K254" s="877">
        <f>SUM(K144,K145,K146,K147,K148,K150,K149,K175,K179,K182,K190,K192,K200,K178,K158:K160,K195)</f>
        <v>37357.599999999999</v>
      </c>
      <c r="L254" s="1440">
        <f t="shared" si="64"/>
        <v>271.60000000000002</v>
      </c>
      <c r="M254" s="1443">
        <f t="shared" si="65"/>
        <v>135.80000000000001</v>
      </c>
      <c r="N254" s="1443">
        <f t="shared" si="65"/>
        <v>135.80000000000001</v>
      </c>
      <c r="O254" s="1282"/>
      <c r="Q254" s="1065">
        <f t="shared" si="52"/>
        <v>0</v>
      </c>
      <c r="R254" s="1065">
        <f t="shared" si="52"/>
        <v>0</v>
      </c>
      <c r="S254" s="1065">
        <f t="shared" si="52"/>
        <v>0</v>
      </c>
      <c r="T254" s="1114"/>
      <c r="Z254" s="1311">
        <f t="shared" si="50"/>
        <v>0</v>
      </c>
      <c r="AA254" s="1374">
        <f t="shared" si="49"/>
        <v>0</v>
      </c>
      <c r="AB254" s="912">
        <f t="shared" si="47"/>
        <v>0</v>
      </c>
      <c r="AC254" s="912">
        <f t="shared" si="48"/>
        <v>0</v>
      </c>
    </row>
    <row r="255" spans="1:29" ht="36" customHeight="1">
      <c r="A255" s="895"/>
      <c r="B255" s="1436" t="s">
        <v>779</v>
      </c>
      <c r="C255" s="1440">
        <f t="shared" si="60"/>
        <v>165729.5</v>
      </c>
      <c r="D255" s="877">
        <f>SUM(D103:D113,D90:D97,D114:D118,D119:D122,D101,D124:D136)</f>
        <v>0</v>
      </c>
      <c r="E255" s="877">
        <f>SUM(E103:E113,E90:E97,E114:E118,E119:E122,E101,E124:E136,E138,E141)</f>
        <v>165729.5</v>
      </c>
      <c r="F255" s="1440">
        <f t="shared" si="61"/>
        <v>165729.5</v>
      </c>
      <c r="G255" s="877">
        <f>SUM(G103:G113,G90:G97,G114:G118,G119:G122,G101,G124:G136)</f>
        <v>0</v>
      </c>
      <c r="H255" s="877">
        <f>SUM(H103:H113,H90:H97,H114:H118,H119:H122,H101,H124:H136,H138,H141)</f>
        <v>165729.5</v>
      </c>
      <c r="I255" s="1440">
        <f t="shared" si="62"/>
        <v>26182.799999999999</v>
      </c>
      <c r="J255" s="877">
        <f>SUM(J103:J113,J90:J97,J114:J118,J119:J122,J101,J124:J136)</f>
        <v>0</v>
      </c>
      <c r="K255" s="877">
        <f>SUM(K103:K113,K90:K97,K114:K118,K119:K122,K101,K124:K136,K138,K141)</f>
        <v>26182.799999999999</v>
      </c>
      <c r="L255" s="1440">
        <f t="shared" si="64"/>
        <v>109</v>
      </c>
      <c r="M255" s="1443">
        <f t="shared" si="65"/>
        <v>54.5</v>
      </c>
      <c r="N255" s="1443">
        <f t="shared" si="65"/>
        <v>54.5</v>
      </c>
      <c r="O255" s="1282"/>
      <c r="Q255" s="1065">
        <f t="shared" si="52"/>
        <v>0</v>
      </c>
      <c r="R255" s="1065">
        <f t="shared" si="52"/>
        <v>0</v>
      </c>
      <c r="S255" s="1065">
        <f t="shared" si="52"/>
        <v>0</v>
      </c>
      <c r="Z255" s="1311">
        <f t="shared" si="50"/>
        <v>0</v>
      </c>
      <c r="AA255" s="1374">
        <f t="shared" si="49"/>
        <v>0</v>
      </c>
      <c r="AB255" s="912">
        <f t="shared" si="47"/>
        <v>0</v>
      </c>
      <c r="AC255" s="912">
        <f t="shared" si="48"/>
        <v>0</v>
      </c>
    </row>
    <row r="256" spans="1:29" ht="70.5" customHeight="1">
      <c r="A256" s="2397" t="s">
        <v>1316</v>
      </c>
      <c r="B256" s="2398"/>
      <c r="C256" s="876">
        <f>D256+E256</f>
        <v>1208952.2</v>
      </c>
      <c r="D256" s="879">
        <f>D12-D249-D251-D252-D253</f>
        <v>754042.3</v>
      </c>
      <c r="E256" s="879">
        <f>E12-E249-E251-E252-E253</f>
        <v>454909.9</v>
      </c>
      <c r="F256" s="876">
        <f>G256+H256</f>
        <v>1104982.8999999999</v>
      </c>
      <c r="G256" s="879">
        <f>G12-G249-G251-G252-G253</f>
        <v>656500</v>
      </c>
      <c r="H256" s="879">
        <f>H12-H249-H251-H252-H253</f>
        <v>448482.9</v>
      </c>
      <c r="I256" s="876">
        <f>J256+K256</f>
        <v>102625.9</v>
      </c>
      <c r="J256" s="879">
        <f>J12-J249-J251-J252-J253</f>
        <v>46212.3</v>
      </c>
      <c r="K256" s="879">
        <f>K12-K249-K251-K252-K253</f>
        <v>56413.599999999999</v>
      </c>
      <c r="L256" s="893">
        <f t="shared" si="64"/>
        <v>126.6</v>
      </c>
      <c r="M256" s="894">
        <f t="shared" si="65"/>
        <v>63.3</v>
      </c>
      <c r="N256" s="894">
        <f t="shared" si="65"/>
        <v>63.3</v>
      </c>
      <c r="O256" s="1282"/>
      <c r="Q256" s="1065">
        <f t="shared" si="52"/>
        <v>103969.3</v>
      </c>
      <c r="R256" s="1065">
        <f t="shared" si="52"/>
        <v>97542.3</v>
      </c>
      <c r="S256" s="1065">
        <f t="shared" si="52"/>
        <v>6427</v>
      </c>
      <c r="Z256" s="1311">
        <f>C256-F256</f>
        <v>103969.3</v>
      </c>
      <c r="AA256" s="1374">
        <f t="shared" si="49"/>
        <v>103969.3</v>
      </c>
      <c r="AB256" s="912">
        <f t="shared" si="47"/>
        <v>97542.3</v>
      </c>
      <c r="AC256" s="912">
        <f t="shared" si="48"/>
        <v>6427</v>
      </c>
    </row>
    <row r="257" spans="1:29" ht="51.75" customHeight="1">
      <c r="A257" s="1103"/>
      <c r="B257" s="797"/>
      <c r="C257" s="1403"/>
      <c r="D257" s="799"/>
      <c r="E257" s="799"/>
      <c r="F257" s="1403"/>
      <c r="G257" s="799"/>
      <c r="H257" s="799"/>
      <c r="I257" s="1408"/>
      <c r="J257" s="799"/>
      <c r="K257" s="799"/>
      <c r="L257" s="1403"/>
      <c r="M257" s="799"/>
      <c r="N257" s="799"/>
      <c r="Q257" s="807" t="s">
        <v>813</v>
      </c>
      <c r="R257" s="1070" t="s">
        <v>814</v>
      </c>
      <c r="S257" s="1070" t="s">
        <v>815</v>
      </c>
    </row>
    <row r="258" spans="1:29" s="939" customFormat="1" ht="35.25" customHeight="1">
      <c r="A258" s="1104"/>
      <c r="B258" s="939" t="s">
        <v>310</v>
      </c>
      <c r="C258" s="940"/>
      <c r="D258" s="941"/>
      <c r="E258" s="1288"/>
      <c r="F258" s="1405"/>
      <c r="G258" s="942"/>
      <c r="H258" s="942"/>
      <c r="I258" s="1205"/>
      <c r="J258" s="942"/>
      <c r="K258" s="2399" t="s">
        <v>613</v>
      </c>
      <c r="L258" s="2399"/>
      <c r="M258" s="943"/>
      <c r="N258" s="943"/>
      <c r="O258" s="1208"/>
      <c r="P258" s="1208"/>
      <c r="Q258" s="807"/>
      <c r="R258" s="778"/>
      <c r="S258" s="778">
        <f>S138+S139</f>
        <v>3800.5</v>
      </c>
      <c r="T258" s="1138" t="s">
        <v>1034</v>
      </c>
      <c r="U258" s="1100"/>
      <c r="V258" s="1099"/>
      <c r="W258" s="1099"/>
      <c r="X258" s="1216"/>
      <c r="Z258" s="1312"/>
      <c r="AB258" s="1424"/>
      <c r="AC258" s="1424"/>
    </row>
    <row r="259" spans="1:29" s="939" customFormat="1" ht="39.75" customHeight="1">
      <c r="A259" s="1104"/>
      <c r="B259" s="712" t="s">
        <v>1342</v>
      </c>
      <c r="C259" s="1366"/>
      <c r="D259" s="1367"/>
      <c r="E259" s="943"/>
      <c r="F259" s="1406"/>
      <c r="G259" s="1368"/>
      <c r="H259" s="1368"/>
      <c r="I259" s="1369"/>
      <c r="J259" s="1368"/>
      <c r="K259" s="2399"/>
      <c r="L259" s="2399"/>
      <c r="M259" s="943"/>
      <c r="N259" s="943"/>
      <c r="O259" s="1208"/>
      <c r="P259" s="1208"/>
      <c r="Q259" s="807"/>
      <c r="R259" s="778"/>
      <c r="S259" s="778">
        <f>S139+S140</f>
        <v>6427</v>
      </c>
      <c r="T259" s="1138" t="s">
        <v>1034</v>
      </c>
      <c r="U259" s="1100"/>
      <c r="V259" s="1099"/>
      <c r="W259" s="1099"/>
      <c r="X259" s="1216"/>
      <c r="Z259" s="1312"/>
      <c r="AC259" s="1424"/>
    </row>
    <row r="260" spans="1:29" s="939" customFormat="1" ht="78.75" customHeight="1">
      <c r="A260" s="1104"/>
      <c r="C260" s="1366"/>
      <c r="D260" s="1367"/>
      <c r="E260" s="943"/>
      <c r="F260" s="1406"/>
      <c r="G260" s="1368"/>
      <c r="H260" s="1368"/>
      <c r="I260" s="1369"/>
      <c r="J260" s="1368"/>
      <c r="K260" s="1429"/>
      <c r="L260" s="1410"/>
      <c r="M260" s="943"/>
      <c r="N260" s="943"/>
      <c r="O260" s="1208"/>
      <c r="P260" s="1208"/>
      <c r="Q260" s="807"/>
      <c r="R260" s="778"/>
      <c r="S260" s="778"/>
      <c r="T260" s="1138"/>
      <c r="U260" s="1100"/>
      <c r="V260" s="1099"/>
      <c r="W260" s="1099"/>
      <c r="X260" s="1216"/>
      <c r="Z260" s="1312"/>
      <c r="AC260" s="1424"/>
    </row>
    <row r="261" spans="1:29" ht="88.5" customHeight="1">
      <c r="A261" s="1105"/>
      <c r="B261" s="791"/>
      <c r="C261" s="1370"/>
      <c r="D261" s="1371"/>
      <c r="E261" s="2372"/>
      <c r="F261" s="2372"/>
      <c r="G261" s="1372"/>
      <c r="H261" s="1371"/>
      <c r="I261" s="1373"/>
      <c r="J261" s="1371"/>
      <c r="K261" s="1371"/>
      <c r="Q261" s="807"/>
      <c r="R261" s="778">
        <f>R223</f>
        <v>1698.8</v>
      </c>
      <c r="S261" s="778">
        <f>S223</f>
        <v>193.5</v>
      </c>
      <c r="T261" s="1138" t="s">
        <v>1033</v>
      </c>
    </row>
    <row r="262" spans="1:29" ht="45" customHeight="1">
      <c r="A262" s="1105"/>
      <c r="B262" s="791"/>
      <c r="C262" s="793"/>
      <c r="E262" s="1427"/>
      <c r="F262" s="1407"/>
      <c r="G262" s="756"/>
      <c r="Q262" s="807"/>
      <c r="R262" s="1071"/>
      <c r="S262" s="1071"/>
      <c r="T262" s="1138"/>
    </row>
    <row r="263" spans="1:29" ht="58.5" customHeight="1">
      <c r="E263" s="742"/>
      <c r="Q263" s="1071"/>
      <c r="R263" s="778">
        <f>R16</f>
        <v>43033.7</v>
      </c>
      <c r="S263" s="778">
        <f>S16</f>
        <v>434.7</v>
      </c>
      <c r="T263" s="1138" t="s">
        <v>816</v>
      </c>
    </row>
    <row r="264" spans="1:29" s="1100" customFormat="1" ht="46.5" customHeight="1">
      <c r="A264" s="1101"/>
      <c r="B264" s="497"/>
      <c r="C264" s="700"/>
      <c r="D264" s="497"/>
      <c r="E264" s="742"/>
      <c r="F264" s="700"/>
      <c r="G264" s="497"/>
      <c r="H264" s="497"/>
      <c r="I264" s="714"/>
      <c r="J264" s="497"/>
      <c r="K264" s="497"/>
      <c r="L264" s="700"/>
      <c r="M264" s="497"/>
      <c r="N264" s="497"/>
      <c r="O264" s="1208"/>
      <c r="P264" s="1208"/>
      <c r="Q264" s="778"/>
      <c r="R264" s="778"/>
      <c r="S264" s="778"/>
      <c r="T264" s="1138"/>
      <c r="V264" s="1099"/>
      <c r="W264" s="1099"/>
      <c r="X264" s="1216"/>
      <c r="Y264" s="497"/>
      <c r="Z264" s="1035"/>
      <c r="AC264" s="1114"/>
    </row>
    <row r="265" spans="1:29" s="1100" customFormat="1" ht="47.25" customHeight="1">
      <c r="A265" s="1101"/>
      <c r="B265" s="497"/>
      <c r="C265" s="700"/>
      <c r="D265" s="497"/>
      <c r="E265" s="497"/>
      <c r="F265" s="700"/>
      <c r="G265" s="497"/>
      <c r="H265" s="497"/>
      <c r="I265" s="714"/>
      <c r="J265" s="497"/>
      <c r="K265" s="497"/>
      <c r="L265" s="700"/>
      <c r="M265" s="497"/>
      <c r="N265" s="497"/>
      <c r="O265" s="1208"/>
      <c r="P265" s="1208"/>
      <c r="Q265" s="1071"/>
      <c r="R265" s="1071"/>
      <c r="S265" s="778"/>
      <c r="T265" s="1138"/>
      <c r="V265" s="1099"/>
      <c r="W265" s="1099"/>
      <c r="X265" s="1216"/>
      <c r="Y265" s="497"/>
      <c r="Z265" s="1035"/>
      <c r="AC265" s="1114"/>
    </row>
    <row r="266" spans="1:29" s="1100" customFormat="1" ht="45" customHeight="1">
      <c r="A266" s="1101"/>
      <c r="B266" s="497"/>
      <c r="C266" s="700"/>
      <c r="D266" s="497"/>
      <c r="E266" s="497"/>
      <c r="F266" s="700"/>
      <c r="G266" s="497"/>
      <c r="H266" s="497"/>
      <c r="I266" s="714"/>
      <c r="J266" s="497"/>
      <c r="K266" s="497"/>
      <c r="L266" s="700"/>
      <c r="M266" s="497"/>
      <c r="N266" s="497"/>
      <c r="O266" s="1208"/>
      <c r="P266" s="1208"/>
      <c r="Q266" s="497"/>
      <c r="R266" s="756">
        <f>R12-R259-R261-R262-R263-R264-R265</f>
        <v>97542.3</v>
      </c>
      <c r="S266" s="756">
        <f>S12-S259-S261-S262-S263-S264-S265</f>
        <v>0.1</v>
      </c>
      <c r="T266" s="1099"/>
      <c r="V266" s="1099"/>
      <c r="W266" s="1099"/>
      <c r="X266" s="1216"/>
      <c r="Y266" s="497"/>
      <c r="Z266" s="1035"/>
      <c r="AC266" s="1114"/>
    </row>
    <row r="267" spans="1:29" s="1100" customFormat="1" ht="56.25" customHeight="1">
      <c r="A267" s="1101"/>
      <c r="B267" s="497"/>
      <c r="C267" s="700"/>
      <c r="D267" s="497"/>
      <c r="E267" s="497"/>
      <c r="F267" s="700"/>
      <c r="G267" s="497"/>
      <c r="H267" s="497"/>
      <c r="I267" s="714"/>
      <c r="J267" s="497"/>
      <c r="K267" s="497"/>
      <c r="L267" s="700"/>
      <c r="M267" s="497"/>
      <c r="N267" s="497"/>
      <c r="O267" s="1208"/>
      <c r="P267" s="1208"/>
      <c r="Q267" s="497"/>
      <c r="R267" s="1067"/>
      <c r="S267" s="1067"/>
      <c r="T267" s="1099"/>
      <c r="V267" s="1099"/>
      <c r="W267" s="1099"/>
      <c r="X267" s="1216"/>
      <c r="Y267" s="497"/>
      <c r="Z267" s="1035"/>
      <c r="AC267" s="1114"/>
    </row>
  </sheetData>
  <mergeCells count="111">
    <mergeCell ref="A253:B253"/>
    <mergeCell ref="A256:B256"/>
    <mergeCell ref="K258:L258"/>
    <mergeCell ref="K259:L259"/>
    <mergeCell ref="E261:F261"/>
    <mergeCell ref="A195:A196"/>
    <mergeCell ref="A200:A201"/>
    <mergeCell ref="A203:B203"/>
    <mergeCell ref="A249:B249"/>
    <mergeCell ref="A251:B251"/>
    <mergeCell ref="A252:B252"/>
    <mergeCell ref="V183:V185"/>
    <mergeCell ref="W183:W185"/>
    <mergeCell ref="X183:X185"/>
    <mergeCell ref="A188:A189"/>
    <mergeCell ref="A190:A191"/>
    <mergeCell ref="A192:A194"/>
    <mergeCell ref="W180:W181"/>
    <mergeCell ref="X180:X181"/>
    <mergeCell ref="I183:I185"/>
    <mergeCell ref="J183:J185"/>
    <mergeCell ref="K183:K185"/>
    <mergeCell ref="L183:L185"/>
    <mergeCell ref="M183:M185"/>
    <mergeCell ref="N183:N185"/>
    <mergeCell ref="T183:T185"/>
    <mergeCell ref="U183:U185"/>
    <mergeCell ref="N180:N181"/>
    <mergeCell ref="O180:O181"/>
    <mergeCell ref="P180:P181"/>
    <mergeCell ref="T180:T181"/>
    <mergeCell ref="U180:U181"/>
    <mergeCell ref="V180:V181"/>
    <mergeCell ref="U151:U157"/>
    <mergeCell ref="V151:V157"/>
    <mergeCell ref="W151:W157"/>
    <mergeCell ref="X151:X157"/>
    <mergeCell ref="A175:A176"/>
    <mergeCell ref="I180:I181"/>
    <mergeCell ref="J180:J181"/>
    <mergeCell ref="K180:K181"/>
    <mergeCell ref="L180:L181"/>
    <mergeCell ref="M180:M181"/>
    <mergeCell ref="J151:J157"/>
    <mergeCell ref="K151:K157"/>
    <mergeCell ref="L151:L157"/>
    <mergeCell ref="M151:M157"/>
    <mergeCell ref="N151:N157"/>
    <mergeCell ref="T151:T157"/>
    <mergeCell ref="F9:F10"/>
    <mergeCell ref="G9:H9"/>
    <mergeCell ref="I9:I10"/>
    <mergeCell ref="J9:K9"/>
    <mergeCell ref="L9:L10"/>
    <mergeCell ref="X98:X99"/>
    <mergeCell ref="A101:A102"/>
    <mergeCell ref="I98:I99"/>
    <mergeCell ref="J98:J99"/>
    <mergeCell ref="K98:K99"/>
    <mergeCell ref="L98:L99"/>
    <mergeCell ref="M65:M66"/>
    <mergeCell ref="N65:N66"/>
    <mergeCell ref="T98:T99"/>
    <mergeCell ref="U98:U99"/>
    <mergeCell ref="V98:V99"/>
    <mergeCell ref="W98:W99"/>
    <mergeCell ref="X62:X66"/>
    <mergeCell ref="P65:P66"/>
    <mergeCell ref="N62:N64"/>
    <mergeCell ref="M62:M64"/>
    <mergeCell ref="M98:M99"/>
    <mergeCell ref="N98:N99"/>
    <mergeCell ref="T62:T66"/>
    <mergeCell ref="X35:X36"/>
    <mergeCell ref="M9:N9"/>
    <mergeCell ref="O9:O10"/>
    <mergeCell ref="X16:X18"/>
    <mergeCell ref="T35:T36"/>
    <mergeCell ref="A1:B1"/>
    <mergeCell ref="K1:N1"/>
    <mergeCell ref="I3:L3"/>
    <mergeCell ref="A5:W5"/>
    <mergeCell ref="A6:W6"/>
    <mergeCell ref="A7:W7"/>
    <mergeCell ref="A13:B13"/>
    <mergeCell ref="P9:P10"/>
    <mergeCell ref="I35:I36"/>
    <mergeCell ref="J35:J36"/>
    <mergeCell ref="K35:K36"/>
    <mergeCell ref="L35:L36"/>
    <mergeCell ref="M35:M36"/>
    <mergeCell ref="N35:N36"/>
    <mergeCell ref="P8:Q8"/>
    <mergeCell ref="A9:A10"/>
    <mergeCell ref="B9:B10"/>
    <mergeCell ref="C9:C10"/>
    <mergeCell ref="D9:E9"/>
    <mergeCell ref="K65:K66"/>
    <mergeCell ref="L65:L66"/>
    <mergeCell ref="L62:L64"/>
    <mergeCell ref="K62:K64"/>
    <mergeCell ref="I65:I66"/>
    <mergeCell ref="J65:J66"/>
    <mergeCell ref="U35:U36"/>
    <mergeCell ref="V35:V36"/>
    <mergeCell ref="W35:W36"/>
    <mergeCell ref="U62:U66"/>
    <mergeCell ref="V62:V66"/>
    <mergeCell ref="W62:W66"/>
    <mergeCell ref="J62:J64"/>
    <mergeCell ref="I62:I64"/>
  </mergeCells>
  <pageMargins left="0.22" right="0.19685039370078741" top="0.23622047244094491" bottom="0.51181102362204722" header="0.15748031496062992" footer="0.47244094488188981"/>
  <pageSetup paperSize="9" scale="35" fitToHeight="15" orientation="landscape" r:id="rId1"/>
  <customProperties>
    <customPr name="krista_fm_consts" r:id="rId2"/>
  </customProperties>
</worksheet>
</file>

<file path=xl/worksheets/sheet27.xml><?xml version="1.0" encoding="utf-8"?>
<worksheet xmlns="http://schemas.openxmlformats.org/spreadsheetml/2006/main" xmlns:r="http://schemas.openxmlformats.org/officeDocument/2006/relationships">
  <sheetPr>
    <pageSetUpPr fitToPage="1"/>
  </sheetPr>
  <dimension ref="A1:H32"/>
  <sheetViews>
    <sheetView zoomScale="60" zoomScaleNormal="60" zoomScaleSheetLayoutView="40" workbookViewId="0">
      <selection activeCell="F19" sqref="F19:F20"/>
    </sheetView>
  </sheetViews>
  <sheetFormatPr defaultColWidth="9.140625" defaultRowHeight="15.75"/>
  <cols>
    <col min="1" max="1" width="14.140625" style="1101" customWidth="1"/>
    <col min="2" max="2" width="122" style="497" customWidth="1"/>
    <col min="3" max="3" width="24.140625" style="700" customWidth="1"/>
    <col min="4" max="4" width="24.28515625" style="497" customWidth="1"/>
    <col min="5" max="5" width="23.28515625" style="497" customWidth="1"/>
    <col min="6" max="6" width="24.140625" style="714" customWidth="1"/>
    <col min="7" max="7" width="22.5703125" style="497" customWidth="1"/>
    <col min="8" max="8" width="22" style="497" customWidth="1"/>
    <col min="9" max="16384" width="9.140625" style="497"/>
  </cols>
  <sheetData>
    <row r="1" spans="1:8" ht="20.25">
      <c r="A1" s="2359"/>
      <c r="B1" s="2359"/>
      <c r="C1" s="817"/>
      <c r="D1" s="817"/>
      <c r="E1" s="817"/>
      <c r="F1" s="817"/>
      <c r="H1" s="1413" t="s">
        <v>513</v>
      </c>
    </row>
    <row r="2" spans="1:8" hidden="1">
      <c r="B2" s="1468"/>
      <c r="C2" s="714"/>
      <c r="D2" s="1468"/>
      <c r="E2" s="1468"/>
    </row>
    <row r="3" spans="1:8" s="467" customFormat="1" hidden="1">
      <c r="A3" s="860"/>
      <c r="B3" s="859"/>
      <c r="C3" s="715"/>
      <c r="D3" s="716"/>
      <c r="E3" s="716"/>
      <c r="F3" s="2312"/>
      <c r="G3" s="2312"/>
      <c r="H3" s="2312"/>
    </row>
    <row r="4" spans="1:8" s="467" customFormat="1" ht="43.5" hidden="1" customHeight="1">
      <c r="A4" s="860"/>
      <c r="B4" s="859"/>
      <c r="C4" s="815">
        <f>6162009.6</f>
        <v>6162009.5999999996</v>
      </c>
      <c r="D4" s="716"/>
      <c r="E4" s="716"/>
      <c r="F4" s="1199">
        <v>2407625.6</v>
      </c>
      <c r="G4" s="469"/>
      <c r="H4" s="469"/>
    </row>
    <row r="5" spans="1:8" s="467" customFormat="1" ht="28.5" customHeight="1">
      <c r="A5" s="2473" t="s">
        <v>5</v>
      </c>
      <c r="B5" s="2473"/>
      <c r="C5" s="2473"/>
      <c r="D5" s="2473"/>
      <c r="E5" s="2473"/>
      <c r="F5" s="2473"/>
      <c r="G5" s="2473"/>
      <c r="H5" s="2473"/>
    </row>
    <row r="6" spans="1:8" s="467" customFormat="1" ht="38.25" customHeight="1">
      <c r="A6" s="2473" t="s">
        <v>236</v>
      </c>
      <c r="B6" s="2473"/>
      <c r="C6" s="2473"/>
      <c r="D6" s="2473"/>
      <c r="E6" s="2473"/>
      <c r="F6" s="2473"/>
      <c r="G6" s="2473"/>
      <c r="H6" s="2473"/>
    </row>
    <row r="7" spans="1:8" s="467" customFormat="1" ht="38.25" customHeight="1">
      <c r="A7" s="2473" t="s">
        <v>1366</v>
      </c>
      <c r="B7" s="2473"/>
      <c r="C7" s="2473"/>
      <c r="D7" s="2473"/>
      <c r="E7" s="2473"/>
      <c r="F7" s="2473"/>
      <c r="G7" s="2473"/>
      <c r="H7" s="2473"/>
    </row>
    <row r="8" spans="1:8" s="1063" customFormat="1" ht="25.5" customHeight="1">
      <c r="A8" s="1073"/>
      <c r="B8" s="1073"/>
      <c r="C8" s="1061"/>
      <c r="D8" s="1351"/>
      <c r="E8" s="1058"/>
      <c r="F8" s="1201"/>
      <c r="G8" s="1364"/>
      <c r="H8" s="1364"/>
    </row>
    <row r="9" spans="1:8" s="791" customFormat="1" ht="70.5" customHeight="1">
      <c r="A9" s="2493" t="s">
        <v>18</v>
      </c>
      <c r="B9" s="2490" t="s">
        <v>0</v>
      </c>
      <c r="C9" s="2407" t="s">
        <v>614</v>
      </c>
      <c r="D9" s="2424" t="s">
        <v>257</v>
      </c>
      <c r="E9" s="2424"/>
      <c r="F9" s="2407" t="s">
        <v>237</v>
      </c>
      <c r="G9" s="2424" t="s">
        <v>257</v>
      </c>
      <c r="H9" s="2424"/>
    </row>
    <row r="10" spans="1:8" s="791" customFormat="1" ht="150" customHeight="1">
      <c r="A10" s="2494"/>
      <c r="B10" s="2491"/>
      <c r="C10" s="2486"/>
      <c r="D10" s="2487" t="s">
        <v>1074</v>
      </c>
      <c r="E10" s="2487" t="s">
        <v>258</v>
      </c>
      <c r="F10" s="2486"/>
      <c r="G10" s="2487" t="s">
        <v>1074</v>
      </c>
      <c r="H10" s="2487" t="s">
        <v>258</v>
      </c>
    </row>
    <row r="11" spans="1:8" ht="15.75" customHeight="1">
      <c r="A11" s="2494"/>
      <c r="B11" s="2491"/>
      <c r="C11" s="2486"/>
      <c r="D11" s="2488"/>
      <c r="E11" s="2488"/>
      <c r="F11" s="2486"/>
      <c r="G11" s="2488"/>
      <c r="H11" s="2488"/>
    </row>
    <row r="12" spans="1:8" ht="74.25" customHeight="1">
      <c r="A12" s="2495"/>
      <c r="B12" s="2492"/>
      <c r="C12" s="2408"/>
      <c r="D12" s="2489"/>
      <c r="E12" s="2489"/>
      <c r="F12" s="2408"/>
      <c r="G12" s="2489"/>
      <c r="H12" s="2489"/>
    </row>
    <row r="13" spans="1:8" s="736" customFormat="1" ht="80.25" customHeight="1">
      <c r="A13" s="1470" t="s">
        <v>538</v>
      </c>
      <c r="B13" s="1066" t="s">
        <v>1076</v>
      </c>
      <c r="C13" s="871">
        <f t="shared" ref="C13:C18" si="0">SUM(D13:E13)</f>
        <v>43468.4</v>
      </c>
      <c r="D13" s="972">
        <v>43033.7</v>
      </c>
      <c r="E13" s="972">
        <v>434.7</v>
      </c>
      <c r="F13" s="871">
        <f t="shared" ref="F13:F18" si="1">SUM(G13:H13)</f>
        <v>0</v>
      </c>
      <c r="G13" s="894">
        <v>0</v>
      </c>
      <c r="H13" s="894">
        <v>0</v>
      </c>
    </row>
    <row r="14" spans="1:8" s="892" customFormat="1" ht="118.5" customHeight="1">
      <c r="A14" s="1470" t="s">
        <v>19</v>
      </c>
      <c r="B14" s="1066" t="s">
        <v>792</v>
      </c>
      <c r="C14" s="1474">
        <f t="shared" si="0"/>
        <v>741029.8</v>
      </c>
      <c r="D14" s="877">
        <v>733604.7</v>
      </c>
      <c r="E14" s="877">
        <v>7425.1</v>
      </c>
      <c r="F14" s="1476">
        <f t="shared" si="1"/>
        <v>86351</v>
      </c>
      <c r="G14" s="1473">
        <v>85483.9</v>
      </c>
      <c r="H14" s="1473">
        <v>867.1</v>
      </c>
    </row>
    <row r="15" spans="1:8" ht="26.25">
      <c r="A15" s="1470"/>
      <c r="B15" s="898" t="s">
        <v>283</v>
      </c>
      <c r="C15" s="1474">
        <f t="shared" si="0"/>
        <v>7093</v>
      </c>
      <c r="D15" s="875">
        <f>SUM(D17:D17)</f>
        <v>0</v>
      </c>
      <c r="E15" s="875">
        <f>SUM(E16:E17)</f>
        <v>7093</v>
      </c>
      <c r="F15" s="1474">
        <f t="shared" si="1"/>
        <v>4543</v>
      </c>
      <c r="G15" s="875">
        <f>SUM(G17:G17)</f>
        <v>0</v>
      </c>
      <c r="H15" s="875">
        <f>SUM(H17:H17)</f>
        <v>4543</v>
      </c>
    </row>
    <row r="16" spans="1:8" ht="115.5" customHeight="1">
      <c r="A16" s="1470" t="s">
        <v>20</v>
      </c>
      <c r="B16" s="1471" t="s">
        <v>1119</v>
      </c>
      <c r="C16" s="871">
        <f>SUM(D16:E16)</f>
        <v>2550</v>
      </c>
      <c r="D16" s="1249">
        <v>0</v>
      </c>
      <c r="E16" s="1249">
        <v>2550</v>
      </c>
      <c r="F16" s="1474">
        <f>SUM(G16:H16)</f>
        <v>0</v>
      </c>
      <c r="G16" s="1475">
        <v>0</v>
      </c>
      <c r="H16" s="1475">
        <v>0</v>
      </c>
    </row>
    <row r="17" spans="1:8" ht="95.25" customHeight="1">
      <c r="A17" s="1470" t="s">
        <v>467</v>
      </c>
      <c r="B17" s="1084" t="s">
        <v>770</v>
      </c>
      <c r="C17" s="871">
        <f>SUM(D17:E17)</f>
        <v>4543</v>
      </c>
      <c r="D17" s="1249">
        <v>0</v>
      </c>
      <c r="E17" s="1249">
        <v>4543</v>
      </c>
      <c r="F17" s="1474">
        <f t="shared" si="1"/>
        <v>4543</v>
      </c>
      <c r="G17" s="1475">
        <v>0</v>
      </c>
      <c r="H17" s="1475">
        <v>4543</v>
      </c>
    </row>
    <row r="18" spans="1:8" ht="80.25" customHeight="1">
      <c r="A18" s="1470" t="s">
        <v>688</v>
      </c>
      <c r="B18" s="1075" t="s">
        <v>673</v>
      </c>
      <c r="C18" s="871">
        <f t="shared" si="0"/>
        <v>7200</v>
      </c>
      <c r="D18" s="972">
        <v>0</v>
      </c>
      <c r="E18" s="972">
        <v>7200</v>
      </c>
      <c r="F18" s="1474">
        <f t="shared" si="1"/>
        <v>0</v>
      </c>
      <c r="G18" s="1475">
        <v>0</v>
      </c>
      <c r="H18" s="1475">
        <v>0</v>
      </c>
    </row>
    <row r="19" spans="1:8" ht="63" customHeight="1">
      <c r="A19" s="1470" t="s">
        <v>1352</v>
      </c>
      <c r="B19" s="1075" t="s">
        <v>771</v>
      </c>
      <c r="C19" s="871">
        <f>SUM(D19:E19)</f>
        <v>319980.59999999998</v>
      </c>
      <c r="D19" s="972">
        <f>319980.6*0.90202494621</f>
        <v>288630.5</v>
      </c>
      <c r="E19" s="972">
        <f>319980.6*(1-0.90202494621)</f>
        <v>31350.1</v>
      </c>
      <c r="F19" s="2450">
        <f>SUM(G19:H19)</f>
        <v>0</v>
      </c>
      <c r="G19" s="2440">
        <v>0</v>
      </c>
      <c r="H19" s="2440">
        <v>0</v>
      </c>
    </row>
    <row r="20" spans="1:8" ht="121.5" customHeight="1">
      <c r="A20" s="1470" t="s">
        <v>1023</v>
      </c>
      <c r="B20" s="1075" t="s">
        <v>772</v>
      </c>
      <c r="C20" s="871">
        <f>SUM(D20:E20)</f>
        <v>359978.2</v>
      </c>
      <c r="D20" s="972">
        <f>359978.2*0.90202494621</f>
        <v>324709.3</v>
      </c>
      <c r="E20" s="972">
        <f>359978.2*(1-0.90202494621)</f>
        <v>35268.9</v>
      </c>
      <c r="F20" s="2451"/>
      <c r="G20" s="2441"/>
      <c r="H20" s="2441"/>
    </row>
    <row r="21" spans="1:8" ht="66.75" customHeight="1">
      <c r="A21" s="1470" t="s">
        <v>563</v>
      </c>
      <c r="B21" s="1472" t="s">
        <v>460</v>
      </c>
      <c r="C21" s="871">
        <f>SUM(D21:E21)</f>
        <v>65926.600000000006</v>
      </c>
      <c r="D21" s="972">
        <f>20123.6+12300.3</f>
        <v>32423.9</v>
      </c>
      <c r="E21" s="972">
        <f>21202.4+12300.3</f>
        <v>33502.699999999997</v>
      </c>
      <c r="F21" s="1474">
        <f>SUM(G21:H21)</f>
        <v>16006.9</v>
      </c>
      <c r="G21" s="1475">
        <v>6006.7</v>
      </c>
      <c r="H21" s="1475">
        <v>10000.200000000001</v>
      </c>
    </row>
    <row r="22" spans="1:8" s="1216" customFormat="1" ht="93.75" customHeight="1">
      <c r="A22" s="1470" t="s">
        <v>736</v>
      </c>
      <c r="B22" s="1106" t="s">
        <v>863</v>
      </c>
      <c r="C22" s="871">
        <f>SUM(D22:E22)</f>
        <v>21276.6</v>
      </c>
      <c r="D22" s="972">
        <v>20000</v>
      </c>
      <c r="E22" s="972">
        <v>1276.5999999999999</v>
      </c>
      <c r="F22" s="1474">
        <f>SUM(G22:H22)</f>
        <v>20059.5</v>
      </c>
      <c r="G22" s="1475">
        <v>18855.900000000001</v>
      </c>
      <c r="H22" s="1475">
        <v>1203.5999999999999</v>
      </c>
    </row>
    <row r="23" spans="1:8" ht="73.5" customHeight="1">
      <c r="A23" s="1487"/>
      <c r="B23" s="1488"/>
      <c r="C23" s="1489"/>
      <c r="D23" s="1490"/>
      <c r="E23" s="1490"/>
      <c r="F23" s="1489"/>
      <c r="G23" s="1491"/>
      <c r="H23" s="1491"/>
    </row>
    <row r="24" spans="1:8" ht="52.5" customHeight="1">
      <c r="A24" s="1480"/>
      <c r="B24" s="1481" t="s">
        <v>432</v>
      </c>
      <c r="C24" s="1482"/>
      <c r="D24" s="1481"/>
      <c r="E24" s="1481"/>
      <c r="F24" s="1483"/>
      <c r="G24" s="1484"/>
      <c r="H24" s="1484"/>
    </row>
    <row r="25" spans="1:8" ht="52.5" customHeight="1">
      <c r="A25" s="1453"/>
      <c r="B25" s="1469" t="s">
        <v>1347</v>
      </c>
      <c r="C25" s="871">
        <f t="shared" ref="C25:H25" si="2">C14</f>
        <v>741029.8</v>
      </c>
      <c r="D25" s="894">
        <f t="shared" si="2"/>
        <v>733604.7</v>
      </c>
      <c r="E25" s="894">
        <f t="shared" si="2"/>
        <v>7425.1</v>
      </c>
      <c r="F25" s="871">
        <f t="shared" si="2"/>
        <v>86351</v>
      </c>
      <c r="G25" s="894">
        <f t="shared" si="2"/>
        <v>85483.9</v>
      </c>
      <c r="H25" s="894">
        <f t="shared" si="2"/>
        <v>867.1</v>
      </c>
    </row>
    <row r="26" spans="1:8" ht="52.5" customHeight="1">
      <c r="A26" s="2402" t="s">
        <v>1098</v>
      </c>
      <c r="B26" s="2406"/>
      <c r="C26" s="893">
        <f>SUM(D26:E26)</f>
        <v>810073.1</v>
      </c>
      <c r="D26" s="894">
        <f>SUM(D13,D21,D19,D20,D17,D22,D18)-12300.3</f>
        <v>696497.1</v>
      </c>
      <c r="E26" s="1475">
        <f>SUM(E13,E21,E19,E20,E17,E22,E18)</f>
        <v>113576</v>
      </c>
      <c r="F26" s="893">
        <f>SUM(G26:H26)</f>
        <v>40609.4</v>
      </c>
      <c r="G26" s="894">
        <f>SUM(G13,G21,G19,G20,G17,G22,G18)</f>
        <v>24862.6</v>
      </c>
      <c r="H26" s="1475">
        <f>SUM(H13,H21,H19,H20,H17,H22,H18)</f>
        <v>15746.8</v>
      </c>
    </row>
    <row r="27" spans="1:8" ht="45" customHeight="1">
      <c r="A27" s="1105"/>
      <c r="B27" s="791"/>
      <c r="C27" s="1505">
        <f t="shared" ref="C27:H27" si="3">C25+C26</f>
        <v>1551102.9</v>
      </c>
      <c r="D27" s="1505">
        <f t="shared" si="3"/>
        <v>1430101.8</v>
      </c>
      <c r="E27" s="1505">
        <f t="shared" si="3"/>
        <v>121001.1</v>
      </c>
      <c r="F27" s="1505">
        <f t="shared" si="3"/>
        <v>126960.4</v>
      </c>
      <c r="G27" s="1505">
        <f t="shared" si="3"/>
        <v>110346.5</v>
      </c>
      <c r="H27" s="1505">
        <f t="shared" si="3"/>
        <v>16613.900000000001</v>
      </c>
    </row>
    <row r="28" spans="1:8" ht="58.5" customHeight="1">
      <c r="E28" s="742"/>
    </row>
    <row r="29" spans="1:8" s="1100" customFormat="1" ht="46.5" customHeight="1">
      <c r="A29" s="1101"/>
      <c r="B29" s="497"/>
      <c r="C29" s="700"/>
      <c r="D29" s="497"/>
      <c r="E29" s="742"/>
      <c r="F29" s="714"/>
      <c r="G29" s="497"/>
      <c r="H29" s="497"/>
    </row>
    <row r="30" spans="1:8" s="1100" customFormat="1" ht="47.25" customHeight="1">
      <c r="A30" s="1101"/>
      <c r="B30" s="497"/>
      <c r="C30" s="700"/>
      <c r="D30" s="497"/>
      <c r="E30" s="497"/>
      <c r="F30" s="714"/>
      <c r="G30" s="497"/>
      <c r="H30" s="497"/>
    </row>
    <row r="31" spans="1:8" s="1100" customFormat="1" ht="45" customHeight="1">
      <c r="A31" s="1101"/>
      <c r="B31" s="497"/>
      <c r="C31" s="700"/>
      <c r="D31" s="497"/>
      <c r="E31" s="497"/>
      <c r="F31" s="714"/>
      <c r="G31" s="497"/>
      <c r="H31" s="497"/>
    </row>
    <row r="32" spans="1:8" s="1100" customFormat="1" ht="56.25" customHeight="1">
      <c r="A32" s="1101"/>
      <c r="B32" s="497"/>
      <c r="C32" s="700"/>
      <c r="D32" s="497"/>
      <c r="E32" s="497"/>
      <c r="F32" s="714"/>
      <c r="G32" s="497"/>
      <c r="H32" s="497"/>
    </row>
  </sheetData>
  <mergeCells count="19">
    <mergeCell ref="A1:B1"/>
    <mergeCell ref="F3:H3"/>
    <mergeCell ref="A5:H5"/>
    <mergeCell ref="A6:H6"/>
    <mergeCell ref="A7:H7"/>
    <mergeCell ref="A26:B26"/>
    <mergeCell ref="B9:B12"/>
    <mergeCell ref="A9:A12"/>
    <mergeCell ref="F19:F20"/>
    <mergeCell ref="G19:G20"/>
    <mergeCell ref="H19:H20"/>
    <mergeCell ref="D9:E9"/>
    <mergeCell ref="G9:H9"/>
    <mergeCell ref="C9:C12"/>
    <mergeCell ref="D10:D12"/>
    <mergeCell ref="E10:E12"/>
    <mergeCell ref="F9:F12"/>
    <mergeCell ref="G10:G12"/>
    <mergeCell ref="H10:H12"/>
  </mergeCells>
  <pageMargins left="0.23622047244094491" right="0.19685039370078741" top="0.23622047244094491" bottom="0.51181102362204722" header="0.15748031496062992" footer="0.47244094488188981"/>
  <pageSetup paperSize="9" scale="31" orientation="landscape" r:id="rId1"/>
  <customProperties>
    <customPr name="krista_fm_consts" r:id="rId2"/>
  </customProperties>
</worksheet>
</file>

<file path=xl/worksheets/sheet28.xml><?xml version="1.0" encoding="utf-8"?>
<worksheet xmlns="http://schemas.openxmlformats.org/spreadsheetml/2006/main" xmlns:r="http://schemas.openxmlformats.org/officeDocument/2006/relationships">
  <sheetPr>
    <pageSetUpPr fitToPage="1"/>
  </sheetPr>
  <dimension ref="A1:O26"/>
  <sheetViews>
    <sheetView view="pageBreakPreview" topLeftCell="A5" zoomScale="60" zoomScaleNormal="60" workbookViewId="0">
      <selection activeCell="C12" sqref="C12"/>
    </sheetView>
  </sheetViews>
  <sheetFormatPr defaultColWidth="9.140625" defaultRowHeight="23.25"/>
  <cols>
    <col min="1" max="1" width="14.140625" style="1101" customWidth="1"/>
    <col min="2" max="2" width="122" style="497" customWidth="1"/>
    <col min="3" max="3" width="19.28515625" style="700" customWidth="1"/>
    <col min="4" max="5" width="19.28515625" style="497" customWidth="1"/>
    <col min="6" max="6" width="19.28515625" style="714" customWidth="1"/>
    <col min="7" max="8" width="19.28515625" style="497" customWidth="1"/>
    <col min="9" max="9" width="19.28515625" style="714" customWidth="1"/>
    <col min="10" max="11" width="19.28515625" style="497" customWidth="1"/>
    <col min="12" max="12" width="19.28515625" style="714" customWidth="1"/>
    <col min="13" max="14" width="19.28515625" style="497" customWidth="1"/>
    <col min="15" max="15" width="74.42578125" style="1507" customWidth="1"/>
    <col min="16" max="16" width="35.140625" style="497" customWidth="1"/>
    <col min="17" max="16384" width="9.140625" style="497"/>
  </cols>
  <sheetData>
    <row r="1" spans="1:15">
      <c r="A1" s="2359"/>
      <c r="B1" s="2359"/>
      <c r="C1" s="817"/>
      <c r="D1" s="817"/>
      <c r="E1" s="817"/>
      <c r="F1" s="817"/>
      <c r="H1" s="1413"/>
      <c r="I1" s="817"/>
      <c r="K1" s="1413"/>
      <c r="L1" s="817"/>
      <c r="N1" s="1413"/>
    </row>
    <row r="2" spans="1:15" hidden="1">
      <c r="B2" s="1494"/>
      <c r="C2" s="714"/>
      <c r="D2" s="1494"/>
      <c r="E2" s="1494"/>
    </row>
    <row r="3" spans="1:15" s="467" customFormat="1" hidden="1">
      <c r="A3" s="860"/>
      <c r="B3" s="859"/>
      <c r="C3" s="715"/>
      <c r="D3" s="716"/>
      <c r="E3" s="716"/>
      <c r="F3" s="2312"/>
      <c r="G3" s="2312"/>
      <c r="H3" s="2312"/>
      <c r="I3" s="2312"/>
      <c r="J3" s="2312"/>
      <c r="K3" s="2312"/>
      <c r="L3" s="2312"/>
      <c r="M3" s="2312"/>
      <c r="N3" s="2312"/>
      <c r="O3" s="1508"/>
    </row>
    <row r="4" spans="1:15" s="467" customFormat="1" ht="43.5" hidden="1" customHeight="1">
      <c r="A4" s="860"/>
      <c r="B4" s="859"/>
      <c r="C4" s="815">
        <f>6162009.6</f>
        <v>6162009.5999999996</v>
      </c>
      <c r="D4" s="716"/>
      <c r="E4" s="716"/>
      <c r="F4" s="1199">
        <v>2407625.6</v>
      </c>
      <c r="G4" s="469"/>
      <c r="H4" s="469"/>
      <c r="I4" s="1199">
        <v>2407625.6</v>
      </c>
      <c r="J4" s="469"/>
      <c r="K4" s="469"/>
      <c r="L4" s="1199">
        <v>2407625.6</v>
      </c>
      <c r="M4" s="469"/>
      <c r="N4" s="469"/>
      <c r="O4" s="1508"/>
    </row>
    <row r="5" spans="1:15" s="467" customFormat="1" ht="28.5" customHeight="1">
      <c r="A5" s="2473" t="s">
        <v>5</v>
      </c>
      <c r="B5" s="2473"/>
      <c r="C5" s="2473"/>
      <c r="D5" s="2473"/>
      <c r="E5" s="2473"/>
      <c r="F5" s="2473"/>
      <c r="G5" s="2473"/>
      <c r="H5" s="2473"/>
      <c r="I5" s="2473"/>
      <c r="J5" s="2473"/>
      <c r="K5" s="2473"/>
      <c r="L5" s="2473"/>
      <c r="M5" s="2473"/>
      <c r="N5" s="2473"/>
      <c r="O5" s="2473"/>
    </row>
    <row r="6" spans="1:15" s="467" customFormat="1" ht="38.25" customHeight="1">
      <c r="A6" s="2473" t="s">
        <v>236</v>
      </c>
      <c r="B6" s="2473"/>
      <c r="C6" s="2473"/>
      <c r="D6" s="2473"/>
      <c r="E6" s="2473"/>
      <c r="F6" s="2473"/>
      <c r="G6" s="2473"/>
      <c r="H6" s="2473"/>
      <c r="I6" s="2473"/>
      <c r="J6" s="2473"/>
      <c r="K6" s="2473"/>
      <c r="L6" s="2473"/>
      <c r="M6" s="2473"/>
      <c r="N6" s="2473"/>
      <c r="O6" s="2473"/>
    </row>
    <row r="7" spans="1:15" s="467" customFormat="1" ht="38.25" customHeight="1">
      <c r="A7" s="2473"/>
      <c r="B7" s="2473"/>
      <c r="C7" s="2473"/>
      <c r="D7" s="2473"/>
      <c r="E7" s="2473"/>
      <c r="F7" s="2473"/>
      <c r="G7" s="2473"/>
      <c r="H7" s="2473"/>
      <c r="O7" s="1508"/>
    </row>
    <row r="8" spans="1:15" s="1063" customFormat="1" ht="25.5" customHeight="1">
      <c r="A8" s="1073"/>
      <c r="B8" s="1073"/>
      <c r="C8" s="1061"/>
      <c r="D8" s="1351"/>
      <c r="E8" s="1058"/>
      <c r="F8" s="1201"/>
      <c r="G8" s="1364"/>
      <c r="H8" s="1364"/>
      <c r="I8" s="1201"/>
      <c r="J8" s="1364"/>
      <c r="K8" s="1364"/>
      <c r="L8" s="1201"/>
      <c r="M8" s="1364"/>
      <c r="N8" s="1364"/>
      <c r="O8" s="1508" t="s">
        <v>1378</v>
      </c>
    </row>
    <row r="9" spans="1:15" s="791" customFormat="1" ht="70.5" customHeight="1">
      <c r="A9" s="2497" t="s">
        <v>18</v>
      </c>
      <c r="B9" s="2498" t="s">
        <v>0</v>
      </c>
      <c r="C9" s="2499" t="s">
        <v>614</v>
      </c>
      <c r="D9" s="2496" t="s">
        <v>257</v>
      </c>
      <c r="E9" s="2496"/>
      <c r="F9" s="2499" t="s">
        <v>237</v>
      </c>
      <c r="G9" s="2496" t="s">
        <v>257</v>
      </c>
      <c r="H9" s="2496"/>
      <c r="I9" s="2499" t="s">
        <v>1374</v>
      </c>
      <c r="J9" s="2496" t="s">
        <v>257</v>
      </c>
      <c r="K9" s="2496"/>
      <c r="L9" s="2499" t="s">
        <v>1375</v>
      </c>
      <c r="M9" s="2496" t="s">
        <v>257</v>
      </c>
      <c r="N9" s="2496"/>
      <c r="O9" s="2502" t="s">
        <v>1106</v>
      </c>
    </row>
    <row r="10" spans="1:15" s="791" customFormat="1" ht="150" customHeight="1">
      <c r="A10" s="2497"/>
      <c r="B10" s="2498"/>
      <c r="C10" s="2499"/>
      <c r="D10" s="1515" t="s">
        <v>1074</v>
      </c>
      <c r="E10" s="1515" t="s">
        <v>258</v>
      </c>
      <c r="F10" s="2499"/>
      <c r="G10" s="1515" t="s">
        <v>1074</v>
      </c>
      <c r="H10" s="1515" t="s">
        <v>258</v>
      </c>
      <c r="I10" s="2499"/>
      <c r="J10" s="1515" t="s">
        <v>1074</v>
      </c>
      <c r="K10" s="1515" t="s">
        <v>258</v>
      </c>
      <c r="L10" s="2499"/>
      <c r="M10" s="1515" t="s">
        <v>1074</v>
      </c>
      <c r="N10" s="1515" t="s">
        <v>258</v>
      </c>
      <c r="O10" s="2503"/>
    </row>
    <row r="11" spans="1:15" ht="15.75">
      <c r="A11" s="263">
        <v>1</v>
      </c>
      <c r="B11" s="263">
        <v>2</v>
      </c>
      <c r="C11" s="1514">
        <v>3</v>
      </c>
      <c r="D11" s="263">
        <v>4</v>
      </c>
      <c r="E11" s="263">
        <v>5</v>
      </c>
      <c r="F11" s="721">
        <v>10</v>
      </c>
      <c r="G11" s="721">
        <v>11</v>
      </c>
      <c r="H11" s="721">
        <v>12</v>
      </c>
      <c r="I11" s="1509">
        <v>13</v>
      </c>
      <c r="J11" s="721">
        <v>14</v>
      </c>
      <c r="K11" s="721">
        <v>15</v>
      </c>
      <c r="L11" s="1509">
        <v>16</v>
      </c>
      <c r="M11" s="721">
        <v>17</v>
      </c>
      <c r="N11" s="721">
        <v>18</v>
      </c>
      <c r="O11" s="721">
        <v>19</v>
      </c>
    </row>
    <row r="12" spans="1:15" ht="95.25" customHeight="1">
      <c r="A12" s="1499" t="s">
        <v>538</v>
      </c>
      <c r="B12" s="1084" t="s">
        <v>1373</v>
      </c>
      <c r="C12" s="1510">
        <f t="shared" ref="C12:C19" si="0">SUM(D12:E12)</f>
        <v>4543</v>
      </c>
      <c r="D12" s="1249">
        <v>0</v>
      </c>
      <c r="E12" s="1249">
        <v>4543</v>
      </c>
      <c r="F12" s="1503">
        <f t="shared" ref="F12:F19" si="1">SUM(G12:H12)</f>
        <v>4543</v>
      </c>
      <c r="G12" s="1504">
        <v>0</v>
      </c>
      <c r="H12" s="1504">
        <v>4543</v>
      </c>
      <c r="I12" s="1510">
        <f t="shared" ref="I12:I19" si="2">SUM(J12:K12)</f>
        <v>0</v>
      </c>
      <c r="J12" s="1504">
        <v>0</v>
      </c>
      <c r="K12" s="1504">
        <v>0</v>
      </c>
      <c r="L12" s="1510">
        <f t="shared" ref="L12:L19" si="3">SUM(M12:N12)</f>
        <v>0</v>
      </c>
      <c r="M12" s="1504">
        <v>0</v>
      </c>
      <c r="N12" s="1504">
        <v>0</v>
      </c>
      <c r="O12" s="1496" t="s">
        <v>353</v>
      </c>
    </row>
    <row r="13" spans="1:15" ht="61.5" customHeight="1">
      <c r="A13" s="1499" t="s">
        <v>539</v>
      </c>
      <c r="B13" s="1075" t="s">
        <v>1372</v>
      </c>
      <c r="C13" s="1510">
        <f t="shared" si="0"/>
        <v>7200</v>
      </c>
      <c r="D13" s="972">
        <v>0</v>
      </c>
      <c r="E13" s="972">
        <v>7200</v>
      </c>
      <c r="F13" s="1497">
        <f t="shared" si="1"/>
        <v>0</v>
      </c>
      <c r="G13" s="1500">
        <v>0</v>
      </c>
      <c r="H13" s="1500">
        <v>0</v>
      </c>
      <c r="I13" s="1511">
        <f t="shared" si="2"/>
        <v>0</v>
      </c>
      <c r="J13" s="1500">
        <v>0</v>
      </c>
      <c r="K13" s="1500">
        <v>0</v>
      </c>
      <c r="L13" s="1511">
        <f t="shared" si="3"/>
        <v>0</v>
      </c>
      <c r="M13" s="1500">
        <v>0</v>
      </c>
      <c r="N13" s="1500">
        <v>0</v>
      </c>
      <c r="O13" s="1496" t="s">
        <v>353</v>
      </c>
    </row>
    <row r="14" spans="1:15" ht="63" customHeight="1">
      <c r="A14" s="1499" t="s">
        <v>19</v>
      </c>
      <c r="B14" s="1075" t="s">
        <v>771</v>
      </c>
      <c r="C14" s="1510">
        <f t="shared" si="0"/>
        <v>319980.59999999998</v>
      </c>
      <c r="D14" s="972">
        <f>319980.6*0.90202494621</f>
        <v>288630.5</v>
      </c>
      <c r="E14" s="972">
        <f>319980.6*(1-0.90202494621)</f>
        <v>31350.1</v>
      </c>
      <c r="F14" s="880">
        <f t="shared" si="1"/>
        <v>0</v>
      </c>
      <c r="G14" s="879">
        <v>0</v>
      </c>
      <c r="H14" s="879">
        <v>0</v>
      </c>
      <c r="I14" s="1512">
        <f t="shared" si="2"/>
        <v>806671.2</v>
      </c>
      <c r="J14" s="879">
        <v>482434.7</v>
      </c>
      <c r="K14" s="879">
        <v>324236.5</v>
      </c>
      <c r="L14" s="1512">
        <f t="shared" si="3"/>
        <v>0</v>
      </c>
      <c r="M14" s="879">
        <v>0</v>
      </c>
      <c r="N14" s="879">
        <v>0</v>
      </c>
      <c r="O14" s="1496" t="s">
        <v>1377</v>
      </c>
    </row>
    <row r="15" spans="1:15" ht="100.5" customHeight="1">
      <c r="A15" s="1499" t="s">
        <v>20</v>
      </c>
      <c r="B15" s="1075" t="s">
        <v>772</v>
      </c>
      <c r="C15" s="1510">
        <f t="shared" si="0"/>
        <v>359978.2</v>
      </c>
      <c r="D15" s="972">
        <f>359978.2*0.90202494621</f>
        <v>324709.3</v>
      </c>
      <c r="E15" s="972">
        <f>359978.2*(1-0.90202494621)</f>
        <v>35268.9</v>
      </c>
      <c r="F15" s="880">
        <f t="shared" si="1"/>
        <v>0</v>
      </c>
      <c r="G15" s="879">
        <v>0</v>
      </c>
      <c r="H15" s="879">
        <v>0</v>
      </c>
      <c r="I15" s="1512">
        <f t="shared" si="2"/>
        <v>925654.2</v>
      </c>
      <c r="J15" s="879">
        <v>542739</v>
      </c>
      <c r="K15" s="879">
        <v>382915.2</v>
      </c>
      <c r="L15" s="1512">
        <f t="shared" si="3"/>
        <v>0</v>
      </c>
      <c r="M15" s="879">
        <v>0</v>
      </c>
      <c r="N15" s="879">
        <v>0</v>
      </c>
      <c r="O15" s="1496" t="s">
        <v>1377</v>
      </c>
    </row>
    <row r="16" spans="1:15" s="736" customFormat="1" ht="54.75" customHeight="1">
      <c r="A16" s="1499" t="s">
        <v>467</v>
      </c>
      <c r="B16" s="900" t="s">
        <v>463</v>
      </c>
      <c r="C16" s="1510">
        <f t="shared" si="0"/>
        <v>19846.5</v>
      </c>
      <c r="D16" s="972">
        <f>18651.8+3.8</f>
        <v>18655.599999999999</v>
      </c>
      <c r="E16" s="972">
        <f>1190.7+0.2</f>
        <v>1190.9000000000001</v>
      </c>
      <c r="F16" s="1498">
        <f t="shared" si="1"/>
        <v>30</v>
      </c>
      <c r="G16" s="1501">
        <v>28.2</v>
      </c>
      <c r="H16" s="1501">
        <v>1.8</v>
      </c>
      <c r="I16" s="1513">
        <f t="shared" si="2"/>
        <v>0</v>
      </c>
      <c r="J16" s="1501">
        <v>0</v>
      </c>
      <c r="K16" s="1501">
        <v>0</v>
      </c>
      <c r="L16" s="1513">
        <f t="shared" si="3"/>
        <v>0</v>
      </c>
      <c r="M16" s="1501">
        <v>0</v>
      </c>
      <c r="N16" s="1501">
        <v>0</v>
      </c>
      <c r="O16" s="1214" t="s">
        <v>353</v>
      </c>
    </row>
    <row r="17" spans="1:15" s="736" customFormat="1" ht="60" customHeight="1">
      <c r="A17" s="1499" t="s">
        <v>468</v>
      </c>
      <c r="B17" s="900" t="s">
        <v>592</v>
      </c>
      <c r="C17" s="1510">
        <f t="shared" si="0"/>
        <v>28317.1</v>
      </c>
      <c r="D17" s="972">
        <f>11848.8+14769.21</f>
        <v>26618</v>
      </c>
      <c r="E17" s="972">
        <f>756.4+942.7</f>
        <v>1699.1</v>
      </c>
      <c r="F17" s="1503">
        <f t="shared" si="1"/>
        <v>0</v>
      </c>
      <c r="G17" s="1504">
        <v>0</v>
      </c>
      <c r="H17" s="1504">
        <v>0</v>
      </c>
      <c r="I17" s="1510">
        <f t="shared" si="2"/>
        <v>0</v>
      </c>
      <c r="J17" s="1504">
        <v>0</v>
      </c>
      <c r="K17" s="1504">
        <v>0</v>
      </c>
      <c r="L17" s="1510">
        <f t="shared" si="3"/>
        <v>0</v>
      </c>
      <c r="M17" s="1504">
        <v>0</v>
      </c>
      <c r="N17" s="1504">
        <v>0</v>
      </c>
      <c r="O17" s="1214" t="s">
        <v>353</v>
      </c>
    </row>
    <row r="18" spans="1:15" s="736" customFormat="1" ht="99.75" customHeight="1">
      <c r="A18" s="2404" t="s">
        <v>685</v>
      </c>
      <c r="B18" s="900" t="s">
        <v>776</v>
      </c>
      <c r="C18" s="1510">
        <f t="shared" si="0"/>
        <v>28483.9</v>
      </c>
      <c r="D18" s="972">
        <f>27685.1-D19</f>
        <v>26774.6</v>
      </c>
      <c r="E18" s="972">
        <f>1767.2-E19</f>
        <v>1709.3</v>
      </c>
      <c r="F18" s="1503">
        <f t="shared" si="1"/>
        <v>183200</v>
      </c>
      <c r="G18" s="1504">
        <v>172200</v>
      </c>
      <c r="H18" s="1504">
        <v>11000</v>
      </c>
      <c r="I18" s="1510">
        <f t="shared" si="2"/>
        <v>0</v>
      </c>
      <c r="J18" s="1504">
        <v>0</v>
      </c>
      <c r="K18" s="1504">
        <v>0</v>
      </c>
      <c r="L18" s="1510">
        <f t="shared" si="3"/>
        <v>0</v>
      </c>
      <c r="M18" s="1504">
        <v>0</v>
      </c>
      <c r="N18" s="1504">
        <v>0</v>
      </c>
      <c r="O18" s="2500" t="s">
        <v>1376</v>
      </c>
    </row>
    <row r="19" spans="1:15" s="736" customFormat="1" ht="33.75" customHeight="1">
      <c r="A19" s="2405"/>
      <c r="B19" s="900" t="s">
        <v>1335</v>
      </c>
      <c r="C19" s="1510">
        <f t="shared" si="0"/>
        <v>968.4</v>
      </c>
      <c r="D19" s="1502">
        <v>910.5</v>
      </c>
      <c r="E19" s="1502">
        <v>57.9</v>
      </c>
      <c r="F19" s="1503">
        <f t="shared" si="1"/>
        <v>0</v>
      </c>
      <c r="G19" s="1502">
        <v>0</v>
      </c>
      <c r="H19" s="1502">
        <v>0</v>
      </c>
      <c r="I19" s="1510">
        <f t="shared" si="2"/>
        <v>0</v>
      </c>
      <c r="J19" s="1502">
        <v>0</v>
      </c>
      <c r="K19" s="1502">
        <v>0</v>
      </c>
      <c r="L19" s="1510">
        <f t="shared" si="3"/>
        <v>0</v>
      </c>
      <c r="M19" s="1502">
        <v>0</v>
      </c>
      <c r="N19" s="1502">
        <v>0</v>
      </c>
      <c r="O19" s="2501"/>
    </row>
    <row r="20" spans="1:15" ht="88.5" customHeight="1">
      <c r="A20" s="1105"/>
      <c r="B20" s="791"/>
      <c r="C20" s="1370"/>
      <c r="D20" s="1371"/>
      <c r="E20" s="1495"/>
      <c r="F20" s="1373"/>
      <c r="G20" s="1371"/>
      <c r="H20" s="1371"/>
      <c r="I20" s="1373"/>
      <c r="J20" s="1371"/>
      <c r="K20" s="1371"/>
      <c r="L20" s="1373"/>
      <c r="M20" s="1371"/>
      <c r="N20" s="1371"/>
    </row>
    <row r="21" spans="1:15" ht="45" customHeight="1">
      <c r="A21" s="1105"/>
      <c r="B21" s="791"/>
      <c r="C21" s="793"/>
      <c r="E21" s="1495"/>
    </row>
    <row r="22" spans="1:15" ht="58.5" customHeight="1">
      <c r="E22" s="742"/>
    </row>
    <row r="23" spans="1:15" s="1100" customFormat="1" ht="46.5" customHeight="1">
      <c r="A23" s="1101"/>
      <c r="B23" s="497"/>
      <c r="C23" s="700"/>
      <c r="D23" s="497"/>
      <c r="E23" s="742"/>
      <c r="F23" s="714"/>
      <c r="G23" s="497"/>
      <c r="H23" s="497"/>
      <c r="I23" s="714"/>
      <c r="J23" s="497"/>
      <c r="K23" s="497"/>
      <c r="L23" s="714"/>
      <c r="M23" s="497"/>
      <c r="N23" s="497"/>
      <c r="O23" s="1506"/>
    </row>
    <row r="24" spans="1:15" s="1100" customFormat="1" ht="47.25" customHeight="1">
      <c r="A24" s="1101"/>
      <c r="B24" s="497"/>
      <c r="C24" s="700"/>
      <c r="D24" s="497"/>
      <c r="E24" s="497"/>
      <c r="F24" s="714"/>
      <c r="G24" s="497"/>
      <c r="H24" s="497"/>
      <c r="I24" s="714"/>
      <c r="J24" s="497"/>
      <c r="K24" s="497"/>
      <c r="L24" s="714"/>
      <c r="M24" s="497"/>
      <c r="N24" s="497"/>
      <c r="O24" s="1506"/>
    </row>
    <row r="25" spans="1:15" s="1100" customFormat="1" ht="45" customHeight="1">
      <c r="A25" s="1101"/>
      <c r="B25" s="497"/>
      <c r="C25" s="700"/>
      <c r="D25" s="497"/>
      <c r="E25" s="497"/>
      <c r="F25" s="714"/>
      <c r="G25" s="497"/>
      <c r="H25" s="497"/>
      <c r="I25" s="714"/>
      <c r="J25" s="497"/>
      <c r="K25" s="497"/>
      <c r="L25" s="714"/>
      <c r="M25" s="497"/>
      <c r="N25" s="497"/>
      <c r="O25" s="1506"/>
    </row>
    <row r="26" spans="1:15" s="1100" customFormat="1" ht="56.25" customHeight="1">
      <c r="A26" s="1101"/>
      <c r="B26" s="497"/>
      <c r="C26" s="700"/>
      <c r="D26" s="497"/>
      <c r="E26" s="497"/>
      <c r="F26" s="714"/>
      <c r="G26" s="497"/>
      <c r="H26" s="497"/>
      <c r="I26" s="714"/>
      <c r="J26" s="497"/>
      <c r="K26" s="497"/>
      <c r="L26" s="714"/>
      <c r="M26" s="497"/>
      <c r="N26" s="497"/>
      <c r="O26" s="1506"/>
    </row>
  </sheetData>
  <mergeCells count="20">
    <mergeCell ref="L3:N3"/>
    <mergeCell ref="L9:L10"/>
    <mergeCell ref="M9:N9"/>
    <mergeCell ref="O18:O19"/>
    <mergeCell ref="A18:A19"/>
    <mergeCell ref="O9:O10"/>
    <mergeCell ref="A5:O5"/>
    <mergeCell ref="A6:O6"/>
    <mergeCell ref="I3:K3"/>
    <mergeCell ref="I9:I10"/>
    <mergeCell ref="A1:B1"/>
    <mergeCell ref="F3:H3"/>
    <mergeCell ref="A7:H7"/>
    <mergeCell ref="J9:K9"/>
    <mergeCell ref="A9:A10"/>
    <mergeCell ref="B9:B10"/>
    <mergeCell ref="C9:C10"/>
    <mergeCell ref="D9:E9"/>
    <mergeCell ref="F9:F10"/>
    <mergeCell ref="G9:H9"/>
  </mergeCells>
  <pageMargins left="0.23622047244094491" right="0.19685039370078741" top="0.23622047244094491" bottom="0.51181102362204722" header="0.15748031496062992" footer="0.47244094488188981"/>
  <pageSetup paperSize="9" scale="33" orientation="landscape" r:id="rId1"/>
  <customProperties>
    <customPr name="krista_fm_consts" r:id="rId2"/>
  </customProperties>
</worksheet>
</file>

<file path=xl/worksheets/sheet29.xml><?xml version="1.0" encoding="utf-8"?>
<worksheet xmlns="http://schemas.openxmlformats.org/spreadsheetml/2006/main" xmlns:r="http://schemas.openxmlformats.org/officeDocument/2006/relationships">
  <sheetPr>
    <pageSetUpPr fitToPage="1"/>
  </sheetPr>
  <dimension ref="A1:H73"/>
  <sheetViews>
    <sheetView zoomScale="60" zoomScaleNormal="60" zoomScaleSheetLayoutView="40" workbookViewId="0">
      <selection activeCell="C70" sqref="C70:C73"/>
    </sheetView>
  </sheetViews>
  <sheetFormatPr defaultColWidth="9.140625" defaultRowHeight="15.75"/>
  <cols>
    <col min="1" max="1" width="14.140625" style="1101" customWidth="1"/>
    <col min="2" max="2" width="122" style="497" customWidth="1"/>
    <col min="3" max="3" width="24.140625" style="700" customWidth="1"/>
    <col min="4" max="4" width="24.28515625" style="497" customWidth="1"/>
    <col min="5" max="5" width="23.28515625" style="497" customWidth="1"/>
    <col min="6" max="6" width="24.140625" style="714" customWidth="1"/>
    <col min="7" max="7" width="22.5703125" style="497" customWidth="1"/>
    <col min="8" max="8" width="22" style="497" customWidth="1"/>
    <col min="9" max="9" width="20.85546875" style="497" bestFit="1" customWidth="1"/>
    <col min="10" max="10" width="25.5703125" style="497" customWidth="1"/>
    <col min="11" max="16384" width="9.140625" style="497"/>
  </cols>
  <sheetData>
    <row r="1" spans="1:8" ht="20.25">
      <c r="A1" s="2359"/>
      <c r="B1" s="2359"/>
      <c r="C1" s="817"/>
      <c r="D1" s="817"/>
      <c r="E1" s="817"/>
      <c r="F1" s="817"/>
      <c r="H1" s="1413" t="s">
        <v>513</v>
      </c>
    </row>
    <row r="2" spans="1:8" hidden="1">
      <c r="B2" s="1412"/>
      <c r="C2" s="714"/>
      <c r="D2" s="1412"/>
      <c r="E2" s="1412"/>
    </row>
    <row r="3" spans="1:8" s="467" customFormat="1" hidden="1">
      <c r="A3" s="860"/>
      <c r="B3" s="859"/>
      <c r="C3" s="715"/>
      <c r="D3" s="716"/>
      <c r="E3" s="716"/>
      <c r="F3" s="2312"/>
      <c r="G3" s="2312"/>
      <c r="H3" s="2312"/>
    </row>
    <row r="4" spans="1:8" s="467" customFormat="1" ht="43.5" hidden="1" customHeight="1">
      <c r="A4" s="860"/>
      <c r="B4" s="859"/>
      <c r="C4" s="815">
        <f>6162009.6</f>
        <v>6162009.5999999996</v>
      </c>
      <c r="D4" s="716"/>
      <c r="E4" s="716"/>
      <c r="F4" s="1199">
        <v>2407625.6</v>
      </c>
      <c r="G4" s="469"/>
      <c r="H4" s="469"/>
    </row>
    <row r="5" spans="1:8" s="467" customFormat="1" ht="28.5" customHeight="1">
      <c r="A5" s="2473" t="s">
        <v>5</v>
      </c>
      <c r="B5" s="2473"/>
      <c r="C5" s="2473"/>
      <c r="D5" s="2473"/>
      <c r="E5" s="2473"/>
      <c r="F5" s="2473"/>
      <c r="G5" s="2473"/>
      <c r="H5" s="2473"/>
    </row>
    <row r="6" spans="1:8" s="467" customFormat="1" ht="38.25" customHeight="1">
      <c r="A6" s="2473" t="s">
        <v>236</v>
      </c>
      <c r="B6" s="2473"/>
      <c r="C6" s="2473"/>
      <c r="D6" s="2473"/>
      <c r="E6" s="2473"/>
      <c r="F6" s="2473"/>
      <c r="G6" s="2473"/>
      <c r="H6" s="2473"/>
    </row>
    <row r="7" spans="1:8" s="467" customFormat="1" ht="38.25" customHeight="1">
      <c r="A7" s="2473" t="s">
        <v>1348</v>
      </c>
      <c r="B7" s="2473"/>
      <c r="C7" s="2473"/>
      <c r="D7" s="2473"/>
      <c r="E7" s="2473"/>
      <c r="F7" s="2473"/>
      <c r="G7" s="2473"/>
      <c r="H7" s="2473"/>
    </row>
    <row r="8" spans="1:8" s="1063" customFormat="1" ht="25.5" customHeight="1">
      <c r="A8" s="1073"/>
      <c r="B8" s="1073"/>
      <c r="C8" s="1059"/>
      <c r="D8" s="1351"/>
      <c r="E8" s="1058"/>
      <c r="F8" s="1201"/>
      <c r="G8" s="1062"/>
      <c r="H8" s="1364"/>
    </row>
    <row r="9" spans="1:8" s="791" customFormat="1" ht="70.5" customHeight="1">
      <c r="A9" s="2394" t="s">
        <v>18</v>
      </c>
      <c r="B9" s="2395" t="s">
        <v>0</v>
      </c>
      <c r="C9" s="2396" t="s">
        <v>614</v>
      </c>
      <c r="D9" s="2424" t="s">
        <v>257</v>
      </c>
      <c r="E9" s="2424"/>
      <c r="F9" s="2407" t="s">
        <v>237</v>
      </c>
      <c r="G9" s="2424" t="s">
        <v>257</v>
      </c>
      <c r="H9" s="2424"/>
    </row>
    <row r="10" spans="1:8" s="791" customFormat="1" ht="150" customHeight="1">
      <c r="A10" s="2394"/>
      <c r="B10" s="2395"/>
      <c r="C10" s="2396"/>
      <c r="D10" s="905" t="s">
        <v>1074</v>
      </c>
      <c r="E10" s="905" t="s">
        <v>258</v>
      </c>
      <c r="F10" s="2408"/>
      <c r="G10" s="905" t="s">
        <v>1074</v>
      </c>
      <c r="H10" s="905" t="s">
        <v>258</v>
      </c>
    </row>
    <row r="11" spans="1:8">
      <c r="A11" s="263">
        <v>1</v>
      </c>
      <c r="B11" s="263">
        <v>2</v>
      </c>
      <c r="C11" s="1401">
        <v>3</v>
      </c>
      <c r="D11" s="263">
        <v>4</v>
      </c>
      <c r="E11" s="263">
        <v>5</v>
      </c>
      <c r="F11" s="1404">
        <v>6</v>
      </c>
      <c r="G11" s="721">
        <v>7</v>
      </c>
      <c r="H11" s="721">
        <v>8</v>
      </c>
    </row>
    <row r="12" spans="1:8" s="914" customFormat="1" ht="43.5" customHeight="1">
      <c r="A12" s="1313"/>
      <c r="B12" s="916" t="s">
        <v>10</v>
      </c>
      <c r="C12" s="917">
        <f t="shared" ref="C12:H12" si="0">SUM(C13:C38)</f>
        <v>545560.80000000005</v>
      </c>
      <c r="D12" s="917">
        <f t="shared" si="0"/>
        <v>420187.7</v>
      </c>
      <c r="E12" s="917">
        <f t="shared" si="0"/>
        <v>125373.1</v>
      </c>
      <c r="F12" s="917">
        <f t="shared" si="0"/>
        <v>32174.9</v>
      </c>
      <c r="G12" s="917">
        <f t="shared" si="0"/>
        <v>14957.2</v>
      </c>
      <c r="H12" s="917">
        <f t="shared" si="0"/>
        <v>17217.7</v>
      </c>
    </row>
    <row r="13" spans="1:8" ht="111" customHeight="1">
      <c r="A13" s="1415" t="s">
        <v>109</v>
      </c>
      <c r="B13" s="1084" t="s">
        <v>676</v>
      </c>
      <c r="C13" s="871">
        <f>SUM(D13:E13)</f>
        <v>4400</v>
      </c>
      <c r="D13" s="1249">
        <v>0</v>
      </c>
      <c r="E13" s="1249">
        <v>4400</v>
      </c>
      <c r="F13" s="1416">
        <f>SUM(G13:H13)</f>
        <v>4324.1000000000004</v>
      </c>
      <c r="G13" s="1417">
        <v>0</v>
      </c>
      <c r="H13" s="1417">
        <v>4324.1000000000004</v>
      </c>
    </row>
    <row r="14" spans="1:8" ht="105">
      <c r="A14" s="1415" t="s">
        <v>561</v>
      </c>
      <c r="B14" s="973" t="s">
        <v>664</v>
      </c>
      <c r="C14" s="871">
        <f t="shared" ref="C14:C23" si="1">SUM(D14:E14)</f>
        <v>1519</v>
      </c>
      <c r="D14" s="972">
        <v>0</v>
      </c>
      <c r="E14" s="972">
        <v>1519</v>
      </c>
      <c r="F14" s="1416">
        <f t="shared" ref="F14:F23" si="2">SUM(G14:H14)</f>
        <v>0</v>
      </c>
      <c r="G14" s="1417">
        <v>0</v>
      </c>
      <c r="H14" s="1417">
        <v>0</v>
      </c>
    </row>
    <row r="15" spans="1:8" ht="105">
      <c r="A15" s="1415" t="s">
        <v>563</v>
      </c>
      <c r="B15" s="973" t="s">
        <v>665</v>
      </c>
      <c r="C15" s="871">
        <f t="shared" si="1"/>
        <v>1519</v>
      </c>
      <c r="D15" s="972">
        <v>0</v>
      </c>
      <c r="E15" s="972">
        <v>1519</v>
      </c>
      <c r="F15" s="1416">
        <f t="shared" si="2"/>
        <v>0</v>
      </c>
      <c r="G15" s="1417">
        <v>0</v>
      </c>
      <c r="H15" s="1417">
        <v>0</v>
      </c>
    </row>
    <row r="16" spans="1:8" ht="105">
      <c r="A16" s="1415" t="s">
        <v>573</v>
      </c>
      <c r="B16" s="973" t="s">
        <v>666</v>
      </c>
      <c r="C16" s="871">
        <f t="shared" si="1"/>
        <v>1400</v>
      </c>
      <c r="D16" s="972">
        <v>0</v>
      </c>
      <c r="E16" s="972">
        <v>1400</v>
      </c>
      <c r="F16" s="1416">
        <f t="shared" si="2"/>
        <v>0</v>
      </c>
      <c r="G16" s="1417">
        <v>0</v>
      </c>
      <c r="H16" s="1417">
        <v>0</v>
      </c>
    </row>
    <row r="17" spans="1:8" s="838" customFormat="1" ht="107.25" customHeight="1">
      <c r="A17" s="1415" t="s">
        <v>627</v>
      </c>
      <c r="B17" s="976" t="s">
        <v>839</v>
      </c>
      <c r="C17" s="871">
        <f t="shared" si="1"/>
        <v>2714.8</v>
      </c>
      <c r="D17" s="972">
        <v>0</v>
      </c>
      <c r="E17" s="972">
        <v>2714.8</v>
      </c>
      <c r="F17" s="1416">
        <f t="shared" si="2"/>
        <v>0</v>
      </c>
      <c r="G17" s="1417">
        <v>0</v>
      </c>
      <c r="H17" s="970">
        <v>0</v>
      </c>
    </row>
    <row r="18" spans="1:8" ht="75" customHeight="1">
      <c r="A18" s="1415" t="s">
        <v>628</v>
      </c>
      <c r="B18" s="976" t="s">
        <v>1344</v>
      </c>
      <c r="C18" s="871">
        <f t="shared" si="1"/>
        <v>2100</v>
      </c>
      <c r="D18" s="972">
        <v>0</v>
      </c>
      <c r="E18" s="972">
        <v>2100</v>
      </c>
      <c r="F18" s="1416">
        <f t="shared" si="2"/>
        <v>0</v>
      </c>
      <c r="G18" s="1417">
        <v>0</v>
      </c>
      <c r="H18" s="970">
        <v>0</v>
      </c>
    </row>
    <row r="19" spans="1:8" s="1216" customFormat="1" ht="90.75" customHeight="1">
      <c r="A19" s="1415" t="s">
        <v>635</v>
      </c>
      <c r="B19" s="1125" t="s">
        <v>795</v>
      </c>
      <c r="C19" s="871">
        <f t="shared" si="1"/>
        <v>1230</v>
      </c>
      <c r="D19" s="1249">
        <v>0</v>
      </c>
      <c r="E19" s="1249">
        <v>1230</v>
      </c>
      <c r="F19" s="1416">
        <f t="shared" si="2"/>
        <v>0</v>
      </c>
      <c r="G19" s="1418">
        <v>0</v>
      </c>
      <c r="H19" s="1418">
        <v>0</v>
      </c>
    </row>
    <row r="20" spans="1:8" s="1216" customFormat="1" ht="86.25" customHeight="1">
      <c r="A20" s="1415" t="s">
        <v>734</v>
      </c>
      <c r="B20" s="937" t="s">
        <v>796</v>
      </c>
      <c r="C20" s="871">
        <f t="shared" si="1"/>
        <v>1020</v>
      </c>
      <c r="D20" s="1249">
        <v>0</v>
      </c>
      <c r="E20" s="1249">
        <v>1020</v>
      </c>
      <c r="F20" s="1416">
        <f t="shared" si="2"/>
        <v>0</v>
      </c>
      <c r="G20" s="1418">
        <v>0</v>
      </c>
      <c r="H20" s="1418">
        <v>0</v>
      </c>
    </row>
    <row r="21" spans="1:8" s="1216" customFormat="1" ht="78.75">
      <c r="A21" s="1415" t="s">
        <v>735</v>
      </c>
      <c r="B21" s="1126" t="s">
        <v>806</v>
      </c>
      <c r="C21" s="871">
        <f t="shared" si="1"/>
        <v>2100</v>
      </c>
      <c r="D21" s="1249">
        <v>0</v>
      </c>
      <c r="E21" s="1249">
        <v>2100</v>
      </c>
      <c r="F21" s="1416">
        <f t="shared" si="2"/>
        <v>0</v>
      </c>
      <c r="G21" s="1418">
        <v>0</v>
      </c>
      <c r="H21" s="1418">
        <v>0</v>
      </c>
    </row>
    <row r="22" spans="1:8" s="1216" customFormat="1" ht="78.75">
      <c r="A22" s="1415" t="s">
        <v>636</v>
      </c>
      <c r="B22" s="1125" t="s">
        <v>807</v>
      </c>
      <c r="C22" s="871">
        <f t="shared" si="1"/>
        <v>2340</v>
      </c>
      <c r="D22" s="1249">
        <v>0</v>
      </c>
      <c r="E22" s="1249">
        <v>2340</v>
      </c>
      <c r="F22" s="1416">
        <f t="shared" si="2"/>
        <v>0</v>
      </c>
      <c r="G22" s="1418">
        <v>0</v>
      </c>
      <c r="H22" s="1418">
        <v>0</v>
      </c>
    </row>
    <row r="23" spans="1:8" s="1216" customFormat="1" ht="111" customHeight="1">
      <c r="A23" s="1415" t="s">
        <v>736</v>
      </c>
      <c r="B23" s="1125" t="s">
        <v>808</v>
      </c>
      <c r="C23" s="871">
        <f t="shared" si="1"/>
        <v>2000</v>
      </c>
      <c r="D23" s="1249">
        <v>0</v>
      </c>
      <c r="E23" s="1249">
        <v>2000</v>
      </c>
      <c r="F23" s="1416">
        <f t="shared" si="2"/>
        <v>0</v>
      </c>
      <c r="G23" s="1418">
        <v>0</v>
      </c>
      <c r="H23" s="1418">
        <v>0</v>
      </c>
    </row>
    <row r="24" spans="1:8" s="1216" customFormat="1" ht="57.75" customHeight="1">
      <c r="A24" s="1415" t="s">
        <v>742</v>
      </c>
      <c r="B24" s="1127" t="s">
        <v>841</v>
      </c>
      <c r="C24" s="871">
        <f t="shared" ref="C24:C65" si="3">SUM(D24:E24)</f>
        <v>1026</v>
      </c>
      <c r="D24" s="972">
        <v>0</v>
      </c>
      <c r="E24" s="1255">
        <v>1026</v>
      </c>
      <c r="F24" s="1416">
        <f t="shared" ref="F24:F65" si="4">SUM(G24:H24)</f>
        <v>0</v>
      </c>
      <c r="G24" s="1417">
        <v>0</v>
      </c>
      <c r="H24" s="1417">
        <v>0</v>
      </c>
    </row>
    <row r="25" spans="1:8" s="1216" customFormat="1" ht="67.5" customHeight="1">
      <c r="A25" s="1415" t="s">
        <v>782</v>
      </c>
      <c r="B25" s="1127" t="s">
        <v>842</v>
      </c>
      <c r="C25" s="871">
        <f t="shared" si="3"/>
        <v>813</v>
      </c>
      <c r="D25" s="972">
        <v>0</v>
      </c>
      <c r="E25" s="1255">
        <v>813</v>
      </c>
      <c r="F25" s="1416">
        <f t="shared" si="4"/>
        <v>0</v>
      </c>
      <c r="G25" s="1417">
        <v>0</v>
      </c>
      <c r="H25" s="1417">
        <v>0</v>
      </c>
    </row>
    <row r="26" spans="1:8" ht="90.75" customHeight="1">
      <c r="A26" s="1415" t="s">
        <v>817</v>
      </c>
      <c r="B26" s="1127" t="s">
        <v>843</v>
      </c>
      <c r="C26" s="871">
        <f t="shared" si="3"/>
        <v>792</v>
      </c>
      <c r="D26" s="972">
        <v>0</v>
      </c>
      <c r="E26" s="1255">
        <v>792</v>
      </c>
      <c r="F26" s="1416">
        <f t="shared" si="4"/>
        <v>0</v>
      </c>
      <c r="G26" s="1417">
        <v>0</v>
      </c>
      <c r="H26" s="1417">
        <v>0</v>
      </c>
    </row>
    <row r="27" spans="1:8" ht="78.75">
      <c r="A27" s="1415" t="s">
        <v>818</v>
      </c>
      <c r="B27" s="1127" t="s">
        <v>844</v>
      </c>
      <c r="C27" s="871">
        <f t="shared" si="3"/>
        <v>879</v>
      </c>
      <c r="D27" s="972">
        <v>0</v>
      </c>
      <c r="E27" s="1255">
        <v>879</v>
      </c>
      <c r="F27" s="1416">
        <f t="shared" si="4"/>
        <v>0</v>
      </c>
      <c r="G27" s="1417">
        <v>0</v>
      </c>
      <c r="H27" s="1417">
        <v>0</v>
      </c>
    </row>
    <row r="28" spans="1:8" ht="78.75">
      <c r="A28" s="1415" t="s">
        <v>819</v>
      </c>
      <c r="B28" s="1127" t="s">
        <v>845</v>
      </c>
      <c r="C28" s="871">
        <f t="shared" si="3"/>
        <v>1554</v>
      </c>
      <c r="D28" s="1249">
        <v>0</v>
      </c>
      <c r="E28" s="1255">
        <v>1554</v>
      </c>
      <c r="F28" s="1416">
        <f t="shared" si="4"/>
        <v>0</v>
      </c>
      <c r="G28" s="1417">
        <v>0</v>
      </c>
      <c r="H28" s="1417">
        <v>0</v>
      </c>
    </row>
    <row r="29" spans="1:8" ht="57.75" customHeight="1">
      <c r="A29" s="1415" t="s">
        <v>762</v>
      </c>
      <c r="B29" s="1127" t="s">
        <v>846</v>
      </c>
      <c r="C29" s="871">
        <f t="shared" si="3"/>
        <v>879</v>
      </c>
      <c r="D29" s="1249">
        <v>0</v>
      </c>
      <c r="E29" s="1255">
        <v>879</v>
      </c>
      <c r="F29" s="1416">
        <f t="shared" si="4"/>
        <v>0</v>
      </c>
      <c r="G29" s="1417">
        <v>0</v>
      </c>
      <c r="H29" s="1417">
        <v>0</v>
      </c>
    </row>
    <row r="30" spans="1:8" ht="78.75">
      <c r="A30" s="1415" t="s">
        <v>743</v>
      </c>
      <c r="B30" s="1127" t="s">
        <v>847</v>
      </c>
      <c r="C30" s="871">
        <f t="shared" si="3"/>
        <v>627</v>
      </c>
      <c r="D30" s="1249">
        <v>0</v>
      </c>
      <c r="E30" s="1255">
        <v>627</v>
      </c>
      <c r="F30" s="1416">
        <f t="shared" si="4"/>
        <v>0</v>
      </c>
      <c r="G30" s="1417">
        <v>0</v>
      </c>
      <c r="H30" s="1417">
        <v>0</v>
      </c>
    </row>
    <row r="31" spans="1:8" ht="89.25" customHeight="1">
      <c r="A31" s="1415" t="s">
        <v>744</v>
      </c>
      <c r="B31" s="1127" t="s">
        <v>848</v>
      </c>
      <c r="C31" s="871">
        <f t="shared" si="3"/>
        <v>669</v>
      </c>
      <c r="D31" s="1249">
        <v>0</v>
      </c>
      <c r="E31" s="1255">
        <v>669</v>
      </c>
      <c r="F31" s="1416">
        <f t="shared" si="4"/>
        <v>0</v>
      </c>
      <c r="G31" s="1417">
        <v>0</v>
      </c>
      <c r="H31" s="1417">
        <v>0</v>
      </c>
    </row>
    <row r="32" spans="1:8" ht="54" customHeight="1">
      <c r="A32" s="1415" t="s">
        <v>745</v>
      </c>
      <c r="B32" s="1127" t="s">
        <v>849</v>
      </c>
      <c r="C32" s="871">
        <f t="shared" si="3"/>
        <v>495</v>
      </c>
      <c r="D32" s="1249">
        <v>0</v>
      </c>
      <c r="E32" s="1255">
        <v>495</v>
      </c>
      <c r="F32" s="1416">
        <f t="shared" si="4"/>
        <v>0</v>
      </c>
      <c r="G32" s="1417">
        <v>0</v>
      </c>
      <c r="H32" s="1417">
        <v>0</v>
      </c>
    </row>
    <row r="33" spans="1:8" ht="54" customHeight="1">
      <c r="A33" s="1415" t="s">
        <v>746</v>
      </c>
      <c r="B33" s="1127" t="s">
        <v>850</v>
      </c>
      <c r="C33" s="871">
        <f t="shared" si="3"/>
        <v>792</v>
      </c>
      <c r="D33" s="1249">
        <v>0</v>
      </c>
      <c r="E33" s="1255">
        <v>792</v>
      </c>
      <c r="F33" s="1416">
        <f t="shared" si="4"/>
        <v>0</v>
      </c>
      <c r="G33" s="1417">
        <v>0</v>
      </c>
      <c r="H33" s="1417">
        <v>0</v>
      </c>
    </row>
    <row r="34" spans="1:8" ht="54" customHeight="1">
      <c r="A34" s="1415" t="s">
        <v>747</v>
      </c>
      <c r="B34" s="1127" t="s">
        <v>851</v>
      </c>
      <c r="C34" s="871">
        <f t="shared" si="3"/>
        <v>1026</v>
      </c>
      <c r="D34" s="1249">
        <v>0</v>
      </c>
      <c r="E34" s="1255">
        <v>1026</v>
      </c>
      <c r="F34" s="1416">
        <f t="shared" si="4"/>
        <v>0</v>
      </c>
      <c r="G34" s="1417">
        <v>0</v>
      </c>
      <c r="H34" s="1417">
        <v>0</v>
      </c>
    </row>
    <row r="35" spans="1:8" ht="54" customHeight="1">
      <c r="A35" s="1415" t="s">
        <v>748</v>
      </c>
      <c r="B35" s="1127" t="s">
        <v>852</v>
      </c>
      <c r="C35" s="871">
        <f t="shared" si="3"/>
        <v>669</v>
      </c>
      <c r="D35" s="1249">
        <v>0</v>
      </c>
      <c r="E35" s="1255">
        <v>669</v>
      </c>
      <c r="F35" s="1416">
        <f t="shared" si="4"/>
        <v>0</v>
      </c>
      <c r="G35" s="1417">
        <v>0</v>
      </c>
      <c r="H35" s="1417">
        <v>0</v>
      </c>
    </row>
    <row r="36" spans="1:8" ht="54" customHeight="1">
      <c r="A36" s="1415" t="s">
        <v>749</v>
      </c>
      <c r="B36" s="1127" t="s">
        <v>853</v>
      </c>
      <c r="C36" s="871">
        <f t="shared" si="3"/>
        <v>879</v>
      </c>
      <c r="D36" s="972">
        <v>0</v>
      </c>
      <c r="E36" s="1255">
        <v>879</v>
      </c>
      <c r="F36" s="1416">
        <f t="shared" si="4"/>
        <v>0</v>
      </c>
      <c r="G36" s="1417">
        <v>0</v>
      </c>
      <c r="H36" s="1417">
        <v>0</v>
      </c>
    </row>
    <row r="37" spans="1:8" ht="58.5" customHeight="1">
      <c r="A37" s="1415" t="s">
        <v>854</v>
      </c>
      <c r="B37" s="1127" t="s">
        <v>522</v>
      </c>
      <c r="C37" s="871">
        <f t="shared" si="3"/>
        <v>54207.7</v>
      </c>
      <c r="D37" s="972">
        <v>0</v>
      </c>
      <c r="E37" s="894">
        <v>54207.7</v>
      </c>
      <c r="F37" s="1416">
        <f t="shared" si="4"/>
        <v>10950</v>
      </c>
      <c r="G37" s="1417">
        <v>0</v>
      </c>
      <c r="H37" s="1417">
        <v>10950</v>
      </c>
    </row>
    <row r="38" spans="1:8" s="914" customFormat="1" ht="72.75" customHeight="1">
      <c r="A38" s="1051"/>
      <c r="B38" s="1261" t="s">
        <v>444</v>
      </c>
      <c r="C38" s="1051">
        <f>SUM(D38:E38)</f>
        <v>457910.3</v>
      </c>
      <c r="D38" s="1051">
        <f>SUM(D39:D65)</f>
        <v>420187.7</v>
      </c>
      <c r="E38" s="1051">
        <f>SUM(E39:E65)</f>
        <v>37722.6</v>
      </c>
      <c r="F38" s="1051">
        <f>SUM(G38:H38)</f>
        <v>16900.8</v>
      </c>
      <c r="G38" s="1051">
        <f>SUM(G39:G65)</f>
        <v>14957.2</v>
      </c>
      <c r="H38" s="1051">
        <f>SUM(H39:H65)</f>
        <v>1943.6</v>
      </c>
    </row>
    <row r="39" spans="1:8" ht="120" customHeight="1">
      <c r="A39" s="1414" t="s">
        <v>826</v>
      </c>
      <c r="B39" s="955" t="s">
        <v>648</v>
      </c>
      <c r="C39" s="871">
        <f t="shared" si="3"/>
        <v>800</v>
      </c>
      <c r="D39" s="1249">
        <v>0</v>
      </c>
      <c r="E39" s="1249">
        <v>800</v>
      </c>
      <c r="F39" s="1416">
        <f t="shared" si="4"/>
        <v>800</v>
      </c>
      <c r="G39" s="1418">
        <v>0</v>
      </c>
      <c r="H39" s="1418">
        <v>800</v>
      </c>
    </row>
    <row r="40" spans="1:8" s="736" customFormat="1" ht="122.25" customHeight="1">
      <c r="A40" s="1414" t="s">
        <v>827</v>
      </c>
      <c r="B40" s="956" t="s">
        <v>649</v>
      </c>
      <c r="C40" s="871">
        <f t="shared" si="3"/>
        <v>100</v>
      </c>
      <c r="D40" s="1249">
        <v>0</v>
      </c>
      <c r="E40" s="1249">
        <v>100</v>
      </c>
      <c r="F40" s="1416">
        <f t="shared" si="4"/>
        <v>0</v>
      </c>
      <c r="G40" s="1418">
        <v>0</v>
      </c>
      <c r="H40" s="1418">
        <v>0</v>
      </c>
    </row>
    <row r="41" spans="1:8" s="736" customFormat="1" ht="112.5" customHeight="1">
      <c r="A41" s="1414" t="s">
        <v>752</v>
      </c>
      <c r="B41" s="956" t="s">
        <v>650</v>
      </c>
      <c r="C41" s="871">
        <f t="shared" si="3"/>
        <v>1500</v>
      </c>
      <c r="D41" s="1249">
        <v>0</v>
      </c>
      <c r="E41" s="1249">
        <v>1500</v>
      </c>
      <c r="F41" s="1416">
        <f t="shared" si="4"/>
        <v>0</v>
      </c>
      <c r="G41" s="1418">
        <v>0</v>
      </c>
      <c r="H41" s="1418">
        <v>0</v>
      </c>
    </row>
    <row r="42" spans="1:8" s="736" customFormat="1" ht="129.75" customHeight="1">
      <c r="A42" s="1415" t="s">
        <v>753</v>
      </c>
      <c r="B42" s="956" t="s">
        <v>651</v>
      </c>
      <c r="C42" s="871">
        <f t="shared" si="3"/>
        <v>100</v>
      </c>
      <c r="D42" s="1249">
        <v>0</v>
      </c>
      <c r="E42" s="1249">
        <v>100</v>
      </c>
      <c r="F42" s="1416">
        <f t="shared" si="4"/>
        <v>100</v>
      </c>
      <c r="G42" s="1418">
        <v>0</v>
      </c>
      <c r="H42" s="1418">
        <v>100</v>
      </c>
    </row>
    <row r="43" spans="1:8" s="736" customFormat="1" ht="92.25" customHeight="1">
      <c r="A43" s="1415" t="s">
        <v>754</v>
      </c>
      <c r="B43" s="956" t="s">
        <v>830</v>
      </c>
      <c r="C43" s="871">
        <f t="shared" si="3"/>
        <v>2800</v>
      </c>
      <c r="D43" s="1249">
        <v>0</v>
      </c>
      <c r="E43" s="1249">
        <f>100+2700</f>
        <v>2800</v>
      </c>
      <c r="F43" s="1416">
        <f t="shared" si="4"/>
        <v>0</v>
      </c>
      <c r="G43" s="1418">
        <v>0</v>
      </c>
      <c r="H43" s="1418">
        <v>0</v>
      </c>
    </row>
    <row r="44" spans="1:8" s="736" customFormat="1" ht="84.75" customHeight="1">
      <c r="A44" s="1415" t="s">
        <v>755</v>
      </c>
      <c r="B44" s="956" t="s">
        <v>831</v>
      </c>
      <c r="C44" s="871">
        <f t="shared" si="3"/>
        <v>3100</v>
      </c>
      <c r="D44" s="1249">
        <v>0</v>
      </c>
      <c r="E44" s="1249">
        <f>100+3000</f>
        <v>3100</v>
      </c>
      <c r="F44" s="1416">
        <f t="shared" si="4"/>
        <v>0</v>
      </c>
      <c r="G44" s="1418">
        <v>0</v>
      </c>
      <c r="H44" s="1418">
        <v>0</v>
      </c>
    </row>
    <row r="45" spans="1:8" s="736" customFormat="1" ht="84.75" customHeight="1">
      <c r="A45" s="1415" t="s">
        <v>756</v>
      </c>
      <c r="B45" s="956" t="s">
        <v>833</v>
      </c>
      <c r="C45" s="871">
        <f t="shared" si="3"/>
        <v>2200</v>
      </c>
      <c r="D45" s="1249">
        <v>0</v>
      </c>
      <c r="E45" s="1249">
        <v>2200</v>
      </c>
      <c r="F45" s="1416">
        <f t="shared" si="4"/>
        <v>0</v>
      </c>
      <c r="G45" s="1418">
        <v>0</v>
      </c>
      <c r="H45" s="1418">
        <v>0</v>
      </c>
    </row>
    <row r="46" spans="1:8" s="736" customFormat="1" ht="78.75">
      <c r="A46" s="1415" t="s">
        <v>913</v>
      </c>
      <c r="B46" s="955" t="s">
        <v>705</v>
      </c>
      <c r="C46" s="871">
        <f t="shared" si="3"/>
        <v>53585.7</v>
      </c>
      <c r="D46" s="1249">
        <v>50369.9</v>
      </c>
      <c r="E46" s="1249">
        <v>3215.8</v>
      </c>
      <c r="F46" s="1416">
        <f t="shared" si="4"/>
        <v>0</v>
      </c>
      <c r="G46" s="2466">
        <v>0</v>
      </c>
      <c r="H46" s="2466">
        <v>0</v>
      </c>
    </row>
    <row r="47" spans="1:8" s="736" customFormat="1" ht="78.75">
      <c r="A47" s="1415" t="s">
        <v>914</v>
      </c>
      <c r="B47" s="956" t="s">
        <v>704</v>
      </c>
      <c r="C47" s="871">
        <f t="shared" si="3"/>
        <v>28400</v>
      </c>
      <c r="D47" s="1249">
        <v>26696</v>
      </c>
      <c r="E47" s="1249">
        <v>1704</v>
      </c>
      <c r="F47" s="1416">
        <f t="shared" si="4"/>
        <v>0</v>
      </c>
      <c r="G47" s="2466"/>
      <c r="H47" s="2466"/>
    </row>
    <row r="48" spans="1:8" s="736" customFormat="1" ht="83.25" customHeight="1">
      <c r="A48" s="1415" t="s">
        <v>934</v>
      </c>
      <c r="B48" s="956" t="s">
        <v>703</v>
      </c>
      <c r="C48" s="871">
        <f t="shared" si="3"/>
        <v>54300</v>
      </c>
      <c r="D48" s="1249">
        <v>51042</v>
      </c>
      <c r="E48" s="1249">
        <v>3258</v>
      </c>
      <c r="F48" s="1416">
        <f t="shared" si="4"/>
        <v>0</v>
      </c>
      <c r="G48" s="2466"/>
      <c r="H48" s="2466"/>
    </row>
    <row r="49" spans="1:8" s="736" customFormat="1" ht="86.25" customHeight="1">
      <c r="A49" s="1415" t="s">
        <v>1024</v>
      </c>
      <c r="B49" s="956" t="s">
        <v>702</v>
      </c>
      <c r="C49" s="871">
        <f t="shared" si="3"/>
        <v>56697.8</v>
      </c>
      <c r="D49" s="1249">
        <v>53295.9</v>
      </c>
      <c r="E49" s="1249">
        <v>3401.9</v>
      </c>
      <c r="F49" s="1416">
        <f t="shared" si="4"/>
        <v>0</v>
      </c>
      <c r="G49" s="2466"/>
      <c r="H49" s="2466"/>
    </row>
    <row r="50" spans="1:8" s="736" customFormat="1" ht="58.5" customHeight="1">
      <c r="A50" s="1415" t="s">
        <v>1025</v>
      </c>
      <c r="B50" s="956" t="s">
        <v>832</v>
      </c>
      <c r="C50" s="871">
        <f t="shared" si="3"/>
        <v>8000</v>
      </c>
      <c r="D50" s="1249">
        <v>7520</v>
      </c>
      <c r="E50" s="1249">
        <v>480</v>
      </c>
      <c r="F50" s="1416">
        <f t="shared" si="4"/>
        <v>0</v>
      </c>
      <c r="G50" s="2466"/>
      <c r="H50" s="2466"/>
    </row>
    <row r="51" spans="1:8" s="736" customFormat="1" ht="60" customHeight="1">
      <c r="A51" s="1415" t="s">
        <v>1319</v>
      </c>
      <c r="B51" s="956" t="s">
        <v>775</v>
      </c>
      <c r="C51" s="871">
        <f t="shared" si="3"/>
        <v>20200</v>
      </c>
      <c r="D51" s="1249">
        <v>18988</v>
      </c>
      <c r="E51" s="1249">
        <v>1212</v>
      </c>
      <c r="F51" s="1416">
        <f t="shared" si="4"/>
        <v>0</v>
      </c>
      <c r="G51" s="2466"/>
      <c r="H51" s="2466"/>
    </row>
    <row r="52" spans="1:8" s="736" customFormat="1" ht="60" customHeight="1">
      <c r="A52" s="1415" t="s">
        <v>1325</v>
      </c>
      <c r="B52" s="956" t="s">
        <v>774</v>
      </c>
      <c r="C52" s="871">
        <f t="shared" si="3"/>
        <v>20500</v>
      </c>
      <c r="D52" s="1249">
        <v>19270</v>
      </c>
      <c r="E52" s="1249">
        <v>1230</v>
      </c>
      <c r="F52" s="1416">
        <f t="shared" si="4"/>
        <v>0</v>
      </c>
      <c r="G52" s="2466"/>
      <c r="H52" s="2466"/>
    </row>
    <row r="53" spans="1:8" ht="105.75" customHeight="1">
      <c r="A53" s="1415" t="s">
        <v>757</v>
      </c>
      <c r="B53" s="955" t="s">
        <v>588</v>
      </c>
      <c r="C53" s="871">
        <f>SUM(D53:E53)</f>
        <v>100</v>
      </c>
      <c r="D53" s="1249">
        <v>0</v>
      </c>
      <c r="E53" s="1249">
        <v>100</v>
      </c>
      <c r="F53" s="1416">
        <f>SUM(G53:H53)</f>
        <v>29.5</v>
      </c>
      <c r="G53" s="1418">
        <v>0</v>
      </c>
      <c r="H53" s="1418">
        <v>29.5</v>
      </c>
    </row>
    <row r="54" spans="1:8" ht="105.75" customHeight="1">
      <c r="A54" s="895">
        <v>103</v>
      </c>
      <c r="B54" s="955" t="s">
        <v>589</v>
      </c>
      <c r="C54" s="871">
        <f>SUM(D54:E54)</f>
        <v>100</v>
      </c>
      <c r="D54" s="1249">
        <v>0</v>
      </c>
      <c r="E54" s="1249">
        <v>100</v>
      </c>
      <c r="F54" s="1416">
        <f>SUM(G54:H54)</f>
        <v>29.7</v>
      </c>
      <c r="G54" s="1418">
        <v>0</v>
      </c>
      <c r="H54" s="1418">
        <v>29.7</v>
      </c>
    </row>
    <row r="55" spans="1:8" ht="105.75" customHeight="1">
      <c r="A55" s="895">
        <v>104</v>
      </c>
      <c r="B55" s="955" t="s">
        <v>591</v>
      </c>
      <c r="C55" s="871">
        <f>SUM(D55:E55)</f>
        <v>100</v>
      </c>
      <c r="D55" s="1249">
        <v>0</v>
      </c>
      <c r="E55" s="1249">
        <v>100</v>
      </c>
      <c r="F55" s="1416">
        <f>SUM(G55:H55)</f>
        <v>29.6</v>
      </c>
      <c r="G55" s="1418">
        <v>0</v>
      </c>
      <c r="H55" s="1418">
        <v>29.6</v>
      </c>
    </row>
    <row r="56" spans="1:8" s="736" customFormat="1" ht="96.75" customHeight="1">
      <c r="A56" s="1415" t="s">
        <v>760</v>
      </c>
      <c r="B56" s="901" t="s">
        <v>465</v>
      </c>
      <c r="C56" s="871">
        <f t="shared" si="3"/>
        <v>18259.5</v>
      </c>
      <c r="D56" s="1249">
        <f>7398.4+9765.43</f>
        <v>17163.8</v>
      </c>
      <c r="E56" s="1249">
        <f>472.3+623.38</f>
        <v>1095.7</v>
      </c>
      <c r="F56" s="1416">
        <f t="shared" si="4"/>
        <v>0</v>
      </c>
      <c r="G56" s="1418">
        <v>0</v>
      </c>
      <c r="H56" s="1418">
        <v>0</v>
      </c>
    </row>
    <row r="57" spans="1:8" s="736" customFormat="1" ht="90.75" customHeight="1">
      <c r="A57" s="1415" t="s">
        <v>761</v>
      </c>
      <c r="B57" s="1084" t="s">
        <v>537</v>
      </c>
      <c r="C57" s="871">
        <f t="shared" si="3"/>
        <v>10370</v>
      </c>
      <c r="D57" s="1249">
        <f>8589.3+1158.4</f>
        <v>9747.7000000000007</v>
      </c>
      <c r="E57" s="1249">
        <f>548.3+73.95</f>
        <v>622.29999999999995</v>
      </c>
      <c r="F57" s="871">
        <f t="shared" si="4"/>
        <v>6005.2</v>
      </c>
      <c r="G57" s="1249">
        <v>5644.9</v>
      </c>
      <c r="H57" s="1249">
        <v>360.3</v>
      </c>
    </row>
    <row r="58" spans="1:8" s="736" customFormat="1" ht="78.75">
      <c r="A58" s="1415" t="s">
        <v>764</v>
      </c>
      <c r="B58" s="1084" t="s">
        <v>587</v>
      </c>
      <c r="C58" s="871">
        <f t="shared" si="3"/>
        <v>16203.1</v>
      </c>
      <c r="D58" s="1249">
        <f>12178.9+3052</f>
        <v>15230.9</v>
      </c>
      <c r="E58" s="1249">
        <f>777.4+194.83</f>
        <v>972.2</v>
      </c>
      <c r="F58" s="1416">
        <f t="shared" si="4"/>
        <v>4229.3</v>
      </c>
      <c r="G58" s="1418">
        <v>3975.5</v>
      </c>
      <c r="H58" s="1418">
        <v>253.8</v>
      </c>
    </row>
    <row r="59" spans="1:8" ht="136.5" customHeight="1">
      <c r="A59" s="1415" t="s">
        <v>1326</v>
      </c>
      <c r="B59" s="955" t="s">
        <v>588</v>
      </c>
      <c r="C59" s="871">
        <f t="shared" si="3"/>
        <v>22869.1</v>
      </c>
      <c r="D59" s="1249">
        <f>18886.8+2610.06</f>
        <v>21496.9</v>
      </c>
      <c r="E59" s="1249">
        <f>1205.6+166.61</f>
        <v>1372.2</v>
      </c>
      <c r="F59" s="1416">
        <f t="shared" si="4"/>
        <v>0</v>
      </c>
      <c r="G59" s="1418">
        <v>0</v>
      </c>
      <c r="H59" s="1418">
        <v>0</v>
      </c>
    </row>
    <row r="60" spans="1:8" ht="105" customHeight="1">
      <c r="A60" s="895" t="s">
        <v>1327</v>
      </c>
      <c r="B60" s="955" t="s">
        <v>589</v>
      </c>
      <c r="C60" s="871">
        <f t="shared" si="3"/>
        <v>10547.8</v>
      </c>
      <c r="D60" s="1249">
        <f>8642.5+1272.44</f>
        <v>9914.9</v>
      </c>
      <c r="E60" s="1249">
        <f>551.7+81.23</f>
        <v>632.9</v>
      </c>
      <c r="F60" s="1416">
        <f t="shared" si="4"/>
        <v>0</v>
      </c>
      <c r="G60" s="1418">
        <v>0</v>
      </c>
      <c r="H60" s="1418">
        <v>0</v>
      </c>
    </row>
    <row r="61" spans="1:8" ht="88.5" customHeight="1">
      <c r="A61" s="895">
        <v>108</v>
      </c>
      <c r="B61" s="955" t="s">
        <v>616</v>
      </c>
      <c r="C61" s="871">
        <f t="shared" si="3"/>
        <v>64593.7</v>
      </c>
      <c r="D61" s="1249">
        <f>17561.3+43156.37</f>
        <v>60717.7</v>
      </c>
      <c r="E61" s="1249">
        <f>1121.1+2754.89</f>
        <v>3876</v>
      </c>
      <c r="F61" s="1416">
        <f t="shared" si="4"/>
        <v>0</v>
      </c>
      <c r="G61" s="1418">
        <v>0</v>
      </c>
      <c r="H61" s="1418">
        <v>0</v>
      </c>
    </row>
    <row r="62" spans="1:8" ht="118.5" customHeight="1">
      <c r="A62" s="895" t="s">
        <v>1332</v>
      </c>
      <c r="B62" s="955" t="s">
        <v>591</v>
      </c>
      <c r="C62" s="871">
        <f t="shared" si="3"/>
        <v>36681.5</v>
      </c>
      <c r="D62" s="1249">
        <f>32344.5+2136.03</f>
        <v>34480.5</v>
      </c>
      <c r="E62" s="1249">
        <f>2064.6+136.35</f>
        <v>2201</v>
      </c>
      <c r="F62" s="1416">
        <f t="shared" si="4"/>
        <v>0</v>
      </c>
      <c r="G62" s="1418">
        <v>0</v>
      </c>
      <c r="H62" s="1418">
        <v>0</v>
      </c>
    </row>
    <row r="63" spans="1:8" ht="78.75">
      <c r="A63" s="895">
        <v>109</v>
      </c>
      <c r="B63" s="1084" t="s">
        <v>575</v>
      </c>
      <c r="C63" s="871">
        <f t="shared" si="3"/>
        <v>5568.4</v>
      </c>
      <c r="D63" s="1249">
        <f>2306.5+2927.68</f>
        <v>5234.2</v>
      </c>
      <c r="E63" s="1249">
        <f>147.3+186.89</f>
        <v>334.2</v>
      </c>
      <c r="F63" s="1416">
        <f t="shared" si="4"/>
        <v>0</v>
      </c>
      <c r="G63" s="1418">
        <v>0</v>
      </c>
      <c r="H63" s="1418">
        <v>0</v>
      </c>
    </row>
    <row r="64" spans="1:8" ht="99" customHeight="1">
      <c r="A64" s="1415" t="s">
        <v>829</v>
      </c>
      <c r="B64" s="1084" t="s">
        <v>660</v>
      </c>
      <c r="C64" s="871">
        <f t="shared" si="3"/>
        <v>14883.1</v>
      </c>
      <c r="D64" s="1249">
        <f>6906.5+7083.4</f>
        <v>13989.9</v>
      </c>
      <c r="E64" s="1249">
        <f>441.1+452.1</f>
        <v>893.2</v>
      </c>
      <c r="F64" s="1416">
        <f t="shared" si="4"/>
        <v>5677.5</v>
      </c>
      <c r="G64" s="1418">
        <f>5121.824+215.006</f>
        <v>5336.8</v>
      </c>
      <c r="H64" s="1418">
        <f>326.952+13.724</f>
        <v>340.7</v>
      </c>
    </row>
    <row r="65" spans="1:8" ht="63" customHeight="1">
      <c r="A65" s="1415" t="s">
        <v>821</v>
      </c>
      <c r="B65" s="1084" t="s">
        <v>659</v>
      </c>
      <c r="C65" s="871">
        <f t="shared" si="3"/>
        <v>5350.6</v>
      </c>
      <c r="D65" s="1249">
        <f>4104.3+925.11</f>
        <v>5029.3999999999996</v>
      </c>
      <c r="E65" s="1249">
        <f>262.1+59.05</f>
        <v>321.2</v>
      </c>
      <c r="F65" s="1416">
        <f t="shared" si="4"/>
        <v>0</v>
      </c>
      <c r="G65" s="1418">
        <v>0</v>
      </c>
      <c r="H65" s="1418">
        <v>0</v>
      </c>
    </row>
    <row r="69" spans="1:8" ht="22.5">
      <c r="C69" s="1419"/>
      <c r="D69" s="793"/>
      <c r="E69" s="793"/>
      <c r="F69" s="793"/>
      <c r="G69" s="793"/>
      <c r="H69" s="793"/>
    </row>
    <row r="70" spans="1:8" ht="22.5">
      <c r="C70" s="1419"/>
    </row>
    <row r="71" spans="1:8" ht="22.5">
      <c r="C71" s="1420"/>
    </row>
    <row r="72" spans="1:8" ht="22.5">
      <c r="C72" s="1419"/>
    </row>
    <row r="73" spans="1:8" ht="22.5">
      <c r="C73" s="1420"/>
    </row>
  </sheetData>
  <mergeCells count="13">
    <mergeCell ref="A1:B1"/>
    <mergeCell ref="F3:H3"/>
    <mergeCell ref="A5:H5"/>
    <mergeCell ref="A6:H6"/>
    <mergeCell ref="A7:H7"/>
    <mergeCell ref="G46:G52"/>
    <mergeCell ref="H46:H52"/>
    <mergeCell ref="A9:A10"/>
    <mergeCell ref="B9:B10"/>
    <mergeCell ref="C9:C10"/>
    <mergeCell ref="D9:E9"/>
    <mergeCell ref="F9:F10"/>
    <mergeCell ref="G9:H9"/>
  </mergeCells>
  <pageMargins left="0.23622047244094491" right="0.19685039370078741" top="0.23622047244094491" bottom="0.51181102362204722" header="0.15748031496062992" footer="0.47244094488188981"/>
  <pageSetup paperSize="9" scale="36" fitToHeight="15" orientation="portrait" r:id="rId1"/>
  <customProperties>
    <customPr name="krista_fm_consts" r:id="rId2"/>
  </customProperties>
</worksheet>
</file>

<file path=xl/worksheets/sheet3.xml><?xml version="1.0" encoding="utf-8"?>
<worksheet xmlns="http://schemas.openxmlformats.org/spreadsheetml/2006/main" xmlns:r="http://schemas.openxmlformats.org/officeDocument/2006/relationships">
  <sheetPr>
    <pageSetUpPr fitToPage="1"/>
  </sheetPr>
  <dimension ref="A1:G95"/>
  <sheetViews>
    <sheetView topLeftCell="A20" zoomScale="120" zoomScaleNormal="120" zoomScaleSheetLayoutView="100" workbookViewId="0">
      <selection activeCell="C31" sqref="C31:C32"/>
    </sheetView>
  </sheetViews>
  <sheetFormatPr defaultColWidth="9.140625" defaultRowHeight="12.75"/>
  <cols>
    <col min="1" max="1" width="4.85546875" style="169" customWidth="1"/>
    <col min="2" max="2" width="80" style="78" customWidth="1"/>
    <col min="3" max="3" width="13.140625" style="78" customWidth="1"/>
    <col min="4" max="4" width="1.7109375" style="78" hidden="1" customWidth="1"/>
    <col min="5" max="5" width="13.5703125" style="78" customWidth="1"/>
    <col min="6" max="6" width="10.42578125" style="78" customWidth="1"/>
    <col min="7" max="16384" width="9.140625" style="78"/>
  </cols>
  <sheetData>
    <row r="1" spans="1:6" hidden="1">
      <c r="A1" s="2278" t="s">
        <v>78</v>
      </c>
      <c r="B1" s="2278"/>
      <c r="C1" s="2278"/>
      <c r="D1" s="2278"/>
      <c r="E1" s="2278"/>
      <c r="F1" s="2278"/>
    </row>
    <row r="2" spans="1:6" ht="15.75" customHeight="1">
      <c r="A2" s="68"/>
      <c r="B2" s="17"/>
      <c r="C2" s="17"/>
      <c r="D2" s="17"/>
      <c r="E2" s="17"/>
      <c r="F2" s="17"/>
    </row>
    <row r="3" spans="1:6" ht="15" customHeight="1">
      <c r="A3" s="68"/>
      <c r="B3" s="17"/>
      <c r="C3" s="2278" t="s">
        <v>136</v>
      </c>
      <c r="D3" s="2278"/>
      <c r="E3" s="2278"/>
      <c r="F3" s="2278"/>
    </row>
    <row r="4" spans="1:6" ht="19.5" customHeight="1">
      <c r="A4" s="2279" t="s">
        <v>5</v>
      </c>
      <c r="B4" s="2279"/>
      <c r="C4" s="2279"/>
      <c r="D4" s="2279"/>
      <c r="E4" s="2279"/>
      <c r="F4" s="2279"/>
    </row>
    <row r="5" spans="1:6" ht="15.75" customHeight="1">
      <c r="A5" s="2280" t="s">
        <v>28</v>
      </c>
      <c r="B5" s="2280"/>
      <c r="C5" s="2280"/>
      <c r="D5" s="2280"/>
      <c r="E5" s="2280"/>
      <c r="F5" s="2280"/>
    </row>
    <row r="6" spans="1:6" ht="15.75">
      <c r="A6" s="2280" t="s">
        <v>168</v>
      </c>
      <c r="B6" s="2280"/>
      <c r="C6" s="2280"/>
      <c r="D6" s="2280"/>
      <c r="E6" s="2280"/>
      <c r="F6" s="2280"/>
    </row>
    <row r="7" spans="1:6" ht="14.25" customHeight="1">
      <c r="A7" s="164"/>
      <c r="B7" s="7"/>
      <c r="C7" s="7"/>
      <c r="D7" s="7"/>
      <c r="E7" s="7"/>
      <c r="F7" s="8" t="s">
        <v>7</v>
      </c>
    </row>
    <row r="8" spans="1:6" ht="24.75" customHeight="1">
      <c r="A8" s="2284" t="s">
        <v>18</v>
      </c>
      <c r="B8" s="2282" t="s">
        <v>0</v>
      </c>
      <c r="C8" s="2283" t="s">
        <v>169</v>
      </c>
      <c r="D8" s="6" t="s">
        <v>1</v>
      </c>
      <c r="E8" s="2275" t="s">
        <v>8</v>
      </c>
      <c r="F8" s="2275" t="s">
        <v>11</v>
      </c>
    </row>
    <row r="9" spans="1:6" ht="81.75" customHeight="1">
      <c r="A9" s="2284"/>
      <c r="B9" s="2282"/>
      <c r="C9" s="2283"/>
      <c r="D9" s="6" t="s">
        <v>9</v>
      </c>
      <c r="E9" s="2275"/>
      <c r="F9" s="2276"/>
    </row>
    <row r="10" spans="1:6">
      <c r="A10" s="20">
        <v>1</v>
      </c>
      <c r="B10" s="30">
        <v>2</v>
      </c>
      <c r="C10" s="9" t="s">
        <v>19</v>
      </c>
      <c r="D10" s="9"/>
      <c r="E10" s="9" t="s">
        <v>20</v>
      </c>
      <c r="F10" s="30">
        <v>5</v>
      </c>
    </row>
    <row r="11" spans="1:6" s="97" customFormat="1" ht="19.5" customHeight="1">
      <c r="A11" s="165"/>
      <c r="B11" s="106" t="s">
        <v>10</v>
      </c>
      <c r="C11" s="107">
        <f>C15+C53+C66+C77</f>
        <v>1201758.6000000001</v>
      </c>
      <c r="D11" s="107" t="e">
        <f>D15+D53+D66+D77</f>
        <v>#REF!</v>
      </c>
      <c r="E11" s="107">
        <f>E15+E53+E66+E77</f>
        <v>0</v>
      </c>
      <c r="F11" s="108">
        <f>E11/C11*100</f>
        <v>0</v>
      </c>
    </row>
    <row r="12" spans="1:6" ht="15.75">
      <c r="A12" s="22"/>
      <c r="B12" s="11" t="s">
        <v>1</v>
      </c>
      <c r="C12" s="23"/>
      <c r="D12" s="23"/>
      <c r="E12" s="23"/>
      <c r="F12" s="24"/>
    </row>
    <row r="13" spans="1:6" ht="18" customHeight="1">
      <c r="A13" s="54"/>
      <c r="B13" s="58" t="s">
        <v>33</v>
      </c>
      <c r="C13" s="53" t="e">
        <f>C18+#REF!+C70</f>
        <v>#REF!</v>
      </c>
      <c r="D13" s="53" t="e">
        <f>D18+#REF!+D70</f>
        <v>#REF!</v>
      </c>
      <c r="E13" s="53" t="e">
        <f>E18+#REF!+E70</f>
        <v>#REF!</v>
      </c>
      <c r="F13" s="52" t="e">
        <f>E13/C13*100</f>
        <v>#REF!</v>
      </c>
    </row>
    <row r="14" spans="1:6" ht="16.5" customHeight="1">
      <c r="A14" s="22"/>
      <c r="B14" s="59" t="s">
        <v>34</v>
      </c>
      <c r="C14" s="53" t="e">
        <f>C11-C13</f>
        <v>#REF!</v>
      </c>
      <c r="D14" s="53" t="e">
        <f>#REF!+#REF!+#REF!+#REF!+#REF!+#REF!+#REF!+#REF!+#REF!+#REF!+#REF!++#REF!+#REF!+#REF!+#REF!+#REF!+#REF!</f>
        <v>#REF!</v>
      </c>
      <c r="E14" s="53" t="e">
        <f>E11-E13</f>
        <v>#REF!</v>
      </c>
      <c r="F14" s="52" t="e">
        <f>E14/C14*100</f>
        <v>#REF!</v>
      </c>
    </row>
    <row r="15" spans="1:6" ht="45.75" customHeight="1">
      <c r="A15" s="44" t="s">
        <v>6</v>
      </c>
      <c r="B15" s="109" t="s">
        <v>15</v>
      </c>
      <c r="C15" s="77">
        <f>C16+C33</f>
        <v>410415.6</v>
      </c>
      <c r="D15" s="77">
        <f>D16+D33</f>
        <v>0</v>
      </c>
      <c r="E15" s="77">
        <f>E16+E33</f>
        <v>0</v>
      </c>
      <c r="F15" s="75">
        <f>E15/C15*100</f>
        <v>0</v>
      </c>
    </row>
    <row r="16" spans="1:6" s="93" customFormat="1" ht="15.75" customHeight="1">
      <c r="A16" s="4" t="s">
        <v>30</v>
      </c>
      <c r="B16" s="126" t="s">
        <v>41</v>
      </c>
      <c r="C16" s="113">
        <f>C18+C19</f>
        <v>185758.6</v>
      </c>
      <c r="D16" s="113">
        <f>D18+D19</f>
        <v>0</v>
      </c>
      <c r="E16" s="113">
        <f>E18+E19</f>
        <v>0</v>
      </c>
      <c r="F16" s="114">
        <f>E16/C16*100</f>
        <v>0</v>
      </c>
    </row>
    <row r="17" spans="1:7" s="93" customFormat="1" ht="15.75">
      <c r="A17" s="4"/>
      <c r="B17" s="127" t="s">
        <v>1</v>
      </c>
      <c r="C17" s="113"/>
      <c r="D17" s="113"/>
      <c r="E17" s="113"/>
      <c r="F17" s="114"/>
    </row>
    <row r="18" spans="1:7" s="93" customFormat="1" ht="15.75">
      <c r="A18" s="4"/>
      <c r="B18" s="128" t="s">
        <v>33</v>
      </c>
      <c r="C18" s="129">
        <f>C25+C31</f>
        <v>167243.9</v>
      </c>
      <c r="D18" s="129">
        <f>D25+D31</f>
        <v>0</v>
      </c>
      <c r="E18" s="129">
        <f>E25+E31</f>
        <v>0</v>
      </c>
      <c r="F18" s="130">
        <f>E18/C18*100</f>
        <v>0</v>
      </c>
    </row>
    <row r="19" spans="1:7" s="93" customFormat="1" ht="15.75">
      <c r="A19" s="4"/>
      <c r="B19" s="131" t="s">
        <v>34</v>
      </c>
      <c r="C19" s="129">
        <f>C32</f>
        <v>18514.7</v>
      </c>
      <c r="D19" s="129">
        <f>D32</f>
        <v>0</v>
      </c>
      <c r="E19" s="129">
        <f>E32</f>
        <v>0</v>
      </c>
      <c r="F19" s="130">
        <f>E19/C19*100</f>
        <v>0</v>
      </c>
    </row>
    <row r="20" spans="1:7" s="93" customFormat="1" ht="32.25" customHeight="1">
      <c r="A20" s="166"/>
      <c r="B20" s="111" t="s">
        <v>61</v>
      </c>
      <c r="C20" s="113">
        <f>C25+C29</f>
        <v>185758.6</v>
      </c>
      <c r="D20" s="113">
        <f>D25+D29</f>
        <v>0</v>
      </c>
      <c r="E20" s="113">
        <f>E25+E29</f>
        <v>0</v>
      </c>
      <c r="F20" s="114">
        <f>E20/C20*100</f>
        <v>0</v>
      </c>
    </row>
    <row r="21" spans="1:7" s="93" customFormat="1" ht="28.5" hidden="1">
      <c r="A21" s="6" t="s">
        <v>35</v>
      </c>
      <c r="B21" s="115" t="s">
        <v>21</v>
      </c>
      <c r="C21" s="113">
        <f>C23+C24</f>
        <v>0</v>
      </c>
      <c r="D21" s="113"/>
      <c r="E21" s="113">
        <f>E23+E24</f>
        <v>0</v>
      </c>
      <c r="F21" s="114" t="e">
        <f>E21/C21*100</f>
        <v>#DIV/0!</v>
      </c>
    </row>
    <row r="22" spans="1:7" s="93" customFormat="1" ht="15.75" hidden="1">
      <c r="A22" s="6"/>
      <c r="B22" s="116" t="s">
        <v>1</v>
      </c>
      <c r="C22" s="113"/>
      <c r="D22" s="113"/>
      <c r="E22" s="113"/>
      <c r="F22" s="114"/>
    </row>
    <row r="23" spans="1:7" s="93" customFormat="1" ht="30" hidden="1" customHeight="1">
      <c r="A23" s="36"/>
      <c r="B23" s="117" t="s">
        <v>36</v>
      </c>
      <c r="C23" s="118">
        <v>0</v>
      </c>
      <c r="D23" s="118"/>
      <c r="E23" s="118">
        <v>0</v>
      </c>
      <c r="F23" s="119"/>
    </row>
    <row r="24" spans="1:7" s="93" customFormat="1" ht="15.75" hidden="1">
      <c r="A24" s="36"/>
      <c r="B24" s="120" t="s">
        <v>34</v>
      </c>
      <c r="C24" s="118">
        <v>0</v>
      </c>
      <c r="D24" s="118"/>
      <c r="E24" s="118">
        <v>0</v>
      </c>
      <c r="F24" s="119"/>
    </row>
    <row r="25" spans="1:7" s="93" customFormat="1" ht="28.5">
      <c r="A25" s="6" t="s">
        <v>50</v>
      </c>
      <c r="B25" s="71" t="s">
        <v>21</v>
      </c>
      <c r="C25" s="41">
        <f>C27</f>
        <v>91068.3</v>
      </c>
      <c r="D25" s="41">
        <f>D27</f>
        <v>0</v>
      </c>
      <c r="E25" s="41">
        <f>E27</f>
        <v>0</v>
      </c>
      <c r="F25" s="24">
        <f>E25/C25*100</f>
        <v>0</v>
      </c>
    </row>
    <row r="26" spans="1:7" s="93" customFormat="1" ht="15.75">
      <c r="A26" s="5"/>
      <c r="B26" s="116" t="s">
        <v>1</v>
      </c>
      <c r="C26" s="121"/>
      <c r="D26" s="121"/>
      <c r="E26" s="121"/>
      <c r="F26" s="114"/>
    </row>
    <row r="27" spans="1:7" s="93" customFormat="1" ht="30">
      <c r="A27" s="6"/>
      <c r="B27" s="117" t="s">
        <v>36</v>
      </c>
      <c r="C27" s="122">
        <f>11653.192+79415.143</f>
        <v>91068.3</v>
      </c>
      <c r="D27" s="123"/>
      <c r="E27" s="124"/>
      <c r="F27" s="125">
        <f>E27/C27*100</f>
        <v>0</v>
      </c>
    </row>
    <row r="28" spans="1:7" s="93" customFormat="1" ht="15.75" hidden="1">
      <c r="A28" s="6"/>
      <c r="B28" s="120" t="s">
        <v>34</v>
      </c>
      <c r="C28" s="122"/>
      <c r="D28" s="123"/>
      <c r="E28" s="124"/>
      <c r="F28" s="125" t="e">
        <f>E28/C28*100</f>
        <v>#DIV/0!</v>
      </c>
    </row>
    <row r="29" spans="1:7" s="93" customFormat="1" ht="30.75" customHeight="1">
      <c r="A29" s="6" t="s">
        <v>4</v>
      </c>
      <c r="B29" s="71" t="s">
        <v>87</v>
      </c>
      <c r="C29" s="41">
        <f>SUM(C31:C32)</f>
        <v>94690.3</v>
      </c>
      <c r="D29" s="41">
        <f>SUM(D31:D32)</f>
        <v>0</v>
      </c>
      <c r="E29" s="41">
        <f>SUM(E31:E32)</f>
        <v>0</v>
      </c>
      <c r="F29" s="24">
        <f>E29/C29*100</f>
        <v>0</v>
      </c>
    </row>
    <row r="30" spans="1:7" s="93" customFormat="1" ht="15.75">
      <c r="A30" s="5"/>
      <c r="B30" s="116" t="s">
        <v>1</v>
      </c>
      <c r="C30" s="122"/>
      <c r="D30" s="123"/>
      <c r="E30" s="124"/>
      <c r="F30" s="125"/>
    </row>
    <row r="31" spans="1:7" s="93" customFormat="1" ht="30">
      <c r="A31" s="6"/>
      <c r="B31" s="117" t="s">
        <v>36</v>
      </c>
      <c r="C31" s="122">
        <v>76175.600000000006</v>
      </c>
      <c r="D31" s="123"/>
      <c r="E31" s="124"/>
      <c r="F31" s="125">
        <f>E31/C31*100</f>
        <v>0</v>
      </c>
      <c r="G31" s="112"/>
    </row>
    <row r="32" spans="1:7" s="93" customFormat="1" ht="15.75">
      <c r="A32" s="6"/>
      <c r="B32" s="120" t="s">
        <v>34</v>
      </c>
      <c r="C32" s="122">
        <v>18514.7</v>
      </c>
      <c r="D32" s="123"/>
      <c r="E32" s="124"/>
      <c r="F32" s="125">
        <f>E32/C32*100</f>
        <v>0</v>
      </c>
    </row>
    <row r="33" spans="1:6" s="93" customFormat="1" ht="32.25" customHeight="1">
      <c r="A33" s="132" t="s">
        <v>31</v>
      </c>
      <c r="B33" s="133" t="s">
        <v>39</v>
      </c>
      <c r="C33" s="139">
        <f>C34</f>
        <v>224657</v>
      </c>
      <c r="D33" s="139">
        <f>D34</f>
        <v>0</v>
      </c>
      <c r="E33" s="139">
        <f>E34</f>
        <v>0</v>
      </c>
      <c r="F33" s="141">
        <f t="shared" ref="F33:F53" si="0">E33/C33*100</f>
        <v>0</v>
      </c>
    </row>
    <row r="34" spans="1:6" s="93" customFormat="1" ht="32.25" customHeight="1">
      <c r="A34" s="166"/>
      <c r="B34" s="12" t="s">
        <v>61</v>
      </c>
      <c r="C34" s="23">
        <f>C35+C40+C45+C51</f>
        <v>224657</v>
      </c>
      <c r="D34" s="23">
        <f>D35+D40+D45+D51</f>
        <v>0</v>
      </c>
      <c r="E34" s="23">
        <f>E35+E40+E45+E51</f>
        <v>0</v>
      </c>
      <c r="F34" s="24">
        <f t="shared" si="0"/>
        <v>0</v>
      </c>
    </row>
    <row r="35" spans="1:6" s="93" customFormat="1" ht="15.75">
      <c r="A35" s="4"/>
      <c r="B35" s="18" t="s">
        <v>22</v>
      </c>
      <c r="C35" s="23">
        <f>SUM(C36:C39)</f>
        <v>77480</v>
      </c>
      <c r="D35" s="23">
        <f>SUM(D36:D39)</f>
        <v>0</v>
      </c>
      <c r="E35" s="23">
        <f>SUM(E36:E39)</f>
        <v>0</v>
      </c>
      <c r="F35" s="24">
        <f t="shared" si="0"/>
        <v>0</v>
      </c>
    </row>
    <row r="36" spans="1:6" s="93" customFormat="1" ht="32.25" customHeight="1">
      <c r="A36" s="20" t="s">
        <v>35</v>
      </c>
      <c r="B36" s="134" t="s">
        <v>32</v>
      </c>
      <c r="C36" s="135">
        <v>18300</v>
      </c>
      <c r="D36" s="135"/>
      <c r="E36" s="135"/>
      <c r="F36" s="136">
        <f>E36/C36*100</f>
        <v>0</v>
      </c>
    </row>
    <row r="37" spans="1:6" s="93" customFormat="1" ht="18" customHeight="1">
      <c r="A37" s="20" t="s">
        <v>140</v>
      </c>
      <c r="B37" s="134" t="s">
        <v>44</v>
      </c>
      <c r="C37" s="138">
        <v>40000</v>
      </c>
      <c r="D37" s="27"/>
      <c r="E37" s="27"/>
      <c r="F37" s="29">
        <f t="shared" si="0"/>
        <v>0</v>
      </c>
    </row>
    <row r="38" spans="1:6" s="93" customFormat="1" ht="31.5" customHeight="1">
      <c r="A38" s="20" t="s">
        <v>141</v>
      </c>
      <c r="B38" s="137" t="s">
        <v>170</v>
      </c>
      <c r="C38" s="138">
        <v>9180</v>
      </c>
      <c r="D38" s="41"/>
      <c r="E38" s="27"/>
      <c r="F38" s="29">
        <f t="shared" si="0"/>
        <v>0</v>
      </c>
    </row>
    <row r="39" spans="1:6" s="93" customFormat="1" ht="31.5" customHeight="1">
      <c r="A39" s="20" t="s">
        <v>145</v>
      </c>
      <c r="B39" s="134" t="s">
        <v>171</v>
      </c>
      <c r="C39" s="138">
        <v>10000</v>
      </c>
      <c r="D39" s="41"/>
      <c r="E39" s="27"/>
      <c r="F39" s="29">
        <f t="shared" si="0"/>
        <v>0</v>
      </c>
    </row>
    <row r="40" spans="1:6" s="93" customFormat="1" ht="15.75" customHeight="1">
      <c r="A40" s="20"/>
      <c r="B40" s="99" t="s">
        <v>46</v>
      </c>
      <c r="C40" s="23">
        <f>SUM(C41:C44)</f>
        <v>38071</v>
      </c>
      <c r="D40" s="23">
        <f>SUM(D41:D44)</f>
        <v>0</v>
      </c>
      <c r="E40" s="23">
        <f>SUM(E41:E44)</f>
        <v>0</v>
      </c>
      <c r="F40" s="24">
        <f t="shared" si="0"/>
        <v>0</v>
      </c>
    </row>
    <row r="41" spans="1:6" s="93" customFormat="1" ht="31.5" customHeight="1">
      <c r="A41" s="20" t="s">
        <v>146</v>
      </c>
      <c r="B41" s="137" t="s">
        <v>172</v>
      </c>
      <c r="C41" s="138">
        <v>14105</v>
      </c>
      <c r="D41" s="27"/>
      <c r="E41" s="27"/>
      <c r="F41" s="29">
        <f t="shared" si="0"/>
        <v>0</v>
      </c>
    </row>
    <row r="42" spans="1:6" s="93" customFormat="1" ht="33.75" customHeight="1">
      <c r="A42" s="20" t="s">
        <v>147</v>
      </c>
      <c r="B42" s="137" t="s">
        <v>173</v>
      </c>
      <c r="C42" s="138">
        <v>12723</v>
      </c>
      <c r="D42" s="27"/>
      <c r="E42" s="27"/>
      <c r="F42" s="29">
        <f t="shared" si="0"/>
        <v>0</v>
      </c>
    </row>
    <row r="43" spans="1:6" s="93" customFormat="1" ht="30">
      <c r="A43" s="20" t="s">
        <v>148</v>
      </c>
      <c r="B43" s="137" t="s">
        <v>174</v>
      </c>
      <c r="C43" s="138">
        <v>4743</v>
      </c>
      <c r="D43" s="27"/>
      <c r="E43" s="27"/>
      <c r="F43" s="29">
        <f>E43/C43*100</f>
        <v>0</v>
      </c>
    </row>
    <row r="44" spans="1:6" s="93" customFormat="1" ht="30" customHeight="1">
      <c r="A44" s="20" t="s">
        <v>175</v>
      </c>
      <c r="B44" s="137" t="s">
        <v>176</v>
      </c>
      <c r="C44" s="138">
        <v>6500</v>
      </c>
      <c r="D44" s="27"/>
      <c r="E44" s="27"/>
      <c r="F44" s="29">
        <f t="shared" si="0"/>
        <v>0</v>
      </c>
    </row>
    <row r="45" spans="1:6" s="93" customFormat="1" ht="17.25" customHeight="1">
      <c r="A45" s="3"/>
      <c r="B45" s="13" t="s">
        <v>12</v>
      </c>
      <c r="C45" s="23">
        <f>SUM(C46:C50)</f>
        <v>106293</v>
      </c>
      <c r="D45" s="23">
        <f>SUM(D46:D50)</f>
        <v>0</v>
      </c>
      <c r="E45" s="23">
        <f>SUM(E46:E50)</f>
        <v>0</v>
      </c>
      <c r="F45" s="24">
        <f t="shared" si="0"/>
        <v>0</v>
      </c>
    </row>
    <row r="46" spans="1:6" s="93" customFormat="1" ht="17.25" customHeight="1">
      <c r="A46" s="3" t="s">
        <v>179</v>
      </c>
      <c r="B46" s="137" t="s">
        <v>178</v>
      </c>
      <c r="C46" s="138">
        <v>30800</v>
      </c>
      <c r="D46" s="138"/>
      <c r="E46" s="138"/>
      <c r="F46" s="29">
        <f>E46/C46*100</f>
        <v>0</v>
      </c>
    </row>
    <row r="47" spans="1:6" s="93" customFormat="1" ht="17.25" customHeight="1">
      <c r="A47" s="3" t="s">
        <v>180</v>
      </c>
      <c r="B47" s="137" t="s">
        <v>177</v>
      </c>
      <c r="C47" s="138">
        <v>11787</v>
      </c>
      <c r="D47" s="138"/>
      <c r="E47" s="138"/>
      <c r="F47" s="29">
        <f t="shared" si="0"/>
        <v>0</v>
      </c>
    </row>
    <row r="48" spans="1:6" s="93" customFormat="1" ht="32.25" customHeight="1">
      <c r="A48" s="6" t="s">
        <v>181</v>
      </c>
      <c r="B48" s="137" t="s">
        <v>185</v>
      </c>
      <c r="C48" s="138">
        <v>27236</v>
      </c>
      <c r="D48" s="139"/>
      <c r="E48" s="138"/>
      <c r="F48" s="29">
        <f t="shared" si="0"/>
        <v>0</v>
      </c>
    </row>
    <row r="49" spans="1:6" s="93" customFormat="1" ht="35.25" customHeight="1">
      <c r="A49" s="6" t="s">
        <v>182</v>
      </c>
      <c r="B49" s="137" t="s">
        <v>184</v>
      </c>
      <c r="C49" s="138">
        <v>34490</v>
      </c>
      <c r="D49" s="139"/>
      <c r="E49" s="138"/>
      <c r="F49" s="29">
        <f t="shared" si="0"/>
        <v>0</v>
      </c>
    </row>
    <row r="50" spans="1:6" s="93" customFormat="1" ht="32.25" customHeight="1">
      <c r="A50" s="6" t="s">
        <v>183</v>
      </c>
      <c r="B50" s="137" t="s">
        <v>186</v>
      </c>
      <c r="C50" s="138">
        <v>1980</v>
      </c>
      <c r="D50" s="28"/>
      <c r="E50" s="28"/>
      <c r="F50" s="29">
        <f t="shared" si="0"/>
        <v>0</v>
      </c>
    </row>
    <row r="51" spans="1:6" s="93" customFormat="1" ht="15.75">
      <c r="A51" s="5"/>
      <c r="B51" s="39" t="s">
        <v>90</v>
      </c>
      <c r="C51" s="23">
        <f>C52</f>
        <v>2813</v>
      </c>
      <c r="D51" s="23">
        <f>D52</f>
        <v>0</v>
      </c>
      <c r="E51" s="23">
        <f>E52</f>
        <v>0</v>
      </c>
      <c r="F51" s="24">
        <f t="shared" si="0"/>
        <v>0</v>
      </c>
    </row>
    <row r="52" spans="1:6" s="93" customFormat="1" ht="17.25" customHeight="1">
      <c r="A52" s="6" t="s">
        <v>188</v>
      </c>
      <c r="B52" s="140" t="s">
        <v>187</v>
      </c>
      <c r="C52" s="138">
        <v>2813</v>
      </c>
      <c r="D52" s="28"/>
      <c r="E52" s="28"/>
      <c r="F52" s="29">
        <f t="shared" si="0"/>
        <v>0</v>
      </c>
    </row>
    <row r="53" spans="1:6" s="93" customFormat="1" ht="48" customHeight="1">
      <c r="A53" s="84" t="s">
        <v>2</v>
      </c>
      <c r="B53" s="110" t="s">
        <v>24</v>
      </c>
      <c r="C53" s="77">
        <f>C54</f>
        <v>120743</v>
      </c>
      <c r="D53" s="77" t="e">
        <f>D54</f>
        <v>#REF!</v>
      </c>
      <c r="E53" s="77">
        <f>E54</f>
        <v>0</v>
      </c>
      <c r="F53" s="75">
        <f t="shared" si="0"/>
        <v>0</v>
      </c>
    </row>
    <row r="54" spans="1:6" ht="15" customHeight="1">
      <c r="A54" s="4" t="s">
        <v>37</v>
      </c>
      <c r="B54" s="18" t="s">
        <v>39</v>
      </c>
      <c r="C54" s="23">
        <f>SUM(C55:C65)</f>
        <v>120743</v>
      </c>
      <c r="D54" s="23" t="e">
        <f>SUM(D55:D65)</f>
        <v>#REF!</v>
      </c>
      <c r="E54" s="23">
        <f>SUM(E55:E65)</f>
        <v>0</v>
      </c>
      <c r="F54" s="24">
        <f t="shared" ref="F54:F68" si="1">E54/C54*100</f>
        <v>0</v>
      </c>
    </row>
    <row r="55" spans="1:6" s="93" customFormat="1" ht="30">
      <c r="A55" s="144" t="s">
        <v>189</v>
      </c>
      <c r="B55" s="145" t="s">
        <v>58</v>
      </c>
      <c r="C55" s="146">
        <v>5800</v>
      </c>
      <c r="D55" s="28" t="e">
        <f>SUM(#REF!)</f>
        <v>#REF!</v>
      </c>
      <c r="E55" s="28"/>
      <c r="F55" s="29">
        <f t="shared" si="1"/>
        <v>0</v>
      </c>
    </row>
    <row r="56" spans="1:6" ht="30.75" customHeight="1">
      <c r="A56" s="144" t="s">
        <v>190</v>
      </c>
      <c r="B56" s="147" t="s">
        <v>194</v>
      </c>
      <c r="C56" s="146">
        <v>943</v>
      </c>
      <c r="D56" s="28" t="e">
        <f>SUM(#REF!)</f>
        <v>#REF!</v>
      </c>
      <c r="E56" s="28"/>
      <c r="F56" s="29">
        <f t="shared" si="1"/>
        <v>0</v>
      </c>
    </row>
    <row r="57" spans="1:6" ht="33" customHeight="1">
      <c r="A57" s="148" t="s">
        <v>191</v>
      </c>
      <c r="B57" s="149" t="s">
        <v>193</v>
      </c>
      <c r="C57" s="146">
        <v>9000</v>
      </c>
      <c r="D57" s="23"/>
      <c r="E57" s="28"/>
      <c r="F57" s="29">
        <f t="shared" si="1"/>
        <v>0</v>
      </c>
    </row>
    <row r="58" spans="1:6" s="93" customFormat="1" ht="32.25" customHeight="1">
      <c r="A58" s="144" t="s">
        <v>192</v>
      </c>
      <c r="B58" s="147" t="s">
        <v>57</v>
      </c>
      <c r="C58" s="146">
        <v>16000</v>
      </c>
      <c r="D58" s="27"/>
      <c r="E58" s="27"/>
      <c r="F58" s="29">
        <f t="shared" si="1"/>
        <v>0</v>
      </c>
    </row>
    <row r="59" spans="1:6" s="93" customFormat="1" ht="45.75" customHeight="1">
      <c r="A59" s="144" t="s">
        <v>195</v>
      </c>
      <c r="B59" s="147" t="s">
        <v>202</v>
      </c>
      <c r="C59" s="146">
        <v>2000</v>
      </c>
      <c r="D59" s="27"/>
      <c r="E59" s="27"/>
      <c r="F59" s="29">
        <f t="shared" si="1"/>
        <v>0</v>
      </c>
    </row>
    <row r="60" spans="1:6" s="93" customFormat="1" ht="15.75">
      <c r="A60" s="144" t="s">
        <v>196</v>
      </c>
      <c r="B60" s="147" t="s">
        <v>197</v>
      </c>
      <c r="C60" s="146">
        <v>5775</v>
      </c>
      <c r="D60" s="27"/>
      <c r="E60" s="27"/>
      <c r="F60" s="29">
        <f t="shared" si="1"/>
        <v>0</v>
      </c>
    </row>
    <row r="61" spans="1:6" s="93" customFormat="1" ht="30.75" customHeight="1">
      <c r="A61" s="144" t="s">
        <v>198</v>
      </c>
      <c r="B61" s="150" t="s">
        <v>199</v>
      </c>
      <c r="C61" s="151">
        <v>2000</v>
      </c>
      <c r="D61" s="152"/>
      <c r="E61" s="152"/>
      <c r="F61" s="29">
        <f t="shared" si="1"/>
        <v>0</v>
      </c>
    </row>
    <row r="62" spans="1:6" s="93" customFormat="1" ht="15.75">
      <c r="A62" s="144" t="s">
        <v>200</v>
      </c>
      <c r="B62" s="147" t="s">
        <v>201</v>
      </c>
      <c r="C62" s="146">
        <v>558</v>
      </c>
      <c r="D62" s="27"/>
      <c r="E62" s="27"/>
      <c r="F62" s="29">
        <f t="shared" si="1"/>
        <v>0</v>
      </c>
    </row>
    <row r="63" spans="1:6" s="93" customFormat="1" ht="30">
      <c r="A63" s="144" t="s">
        <v>204</v>
      </c>
      <c r="B63" s="149" t="s">
        <v>203</v>
      </c>
      <c r="C63" s="146">
        <v>62000</v>
      </c>
      <c r="D63" s="28"/>
      <c r="E63" s="28"/>
      <c r="F63" s="29">
        <f t="shared" si="1"/>
        <v>0</v>
      </c>
    </row>
    <row r="64" spans="1:6" ht="33" customHeight="1">
      <c r="A64" s="148" t="s">
        <v>205</v>
      </c>
      <c r="B64" s="149" t="s">
        <v>206</v>
      </c>
      <c r="C64" s="146">
        <v>15667</v>
      </c>
      <c r="D64" s="153"/>
      <c r="E64" s="146"/>
      <c r="F64" s="29">
        <f t="shared" si="1"/>
        <v>0</v>
      </c>
    </row>
    <row r="65" spans="1:6" s="93" customFormat="1" ht="32.25" customHeight="1">
      <c r="A65" s="148">
        <v>27</v>
      </c>
      <c r="B65" s="154" t="s">
        <v>16</v>
      </c>
      <c r="C65" s="146">
        <v>1000</v>
      </c>
      <c r="D65" s="27"/>
      <c r="E65" s="27"/>
      <c r="F65" s="29">
        <f t="shared" si="1"/>
        <v>0</v>
      </c>
    </row>
    <row r="66" spans="1:6" s="93" customFormat="1" ht="46.5" customHeight="1">
      <c r="A66" s="84" t="s">
        <v>3</v>
      </c>
      <c r="B66" s="73" t="s">
        <v>25</v>
      </c>
      <c r="C66" s="74">
        <f>C67</f>
        <v>550600</v>
      </c>
      <c r="D66" s="74">
        <f>D67</f>
        <v>0</v>
      </c>
      <c r="E66" s="74">
        <f>E67</f>
        <v>0</v>
      </c>
      <c r="F66" s="75">
        <f t="shared" si="1"/>
        <v>0</v>
      </c>
    </row>
    <row r="67" spans="1:6" s="93" customFormat="1" ht="15.75">
      <c r="A67" s="4" t="s">
        <v>42</v>
      </c>
      <c r="B67" s="18" t="s">
        <v>40</v>
      </c>
      <c r="C67" s="23">
        <f>SUM(C68+C72)</f>
        <v>550600</v>
      </c>
      <c r="D67" s="23">
        <f>SUM(D68+D72)</f>
        <v>0</v>
      </c>
      <c r="E67" s="23">
        <f>SUM(E68+E72)</f>
        <v>0</v>
      </c>
      <c r="F67" s="24">
        <f t="shared" si="1"/>
        <v>0</v>
      </c>
    </row>
    <row r="68" spans="1:6" s="93" customFormat="1" ht="15.75">
      <c r="A68" s="20" t="s">
        <v>210</v>
      </c>
      <c r="B68" s="155" t="s">
        <v>143</v>
      </c>
      <c r="C68" s="156">
        <f>C70+C71</f>
        <v>202600</v>
      </c>
      <c r="D68" s="23">
        <f>D70+D71</f>
        <v>0</v>
      </c>
      <c r="E68" s="23">
        <f>E70+E71</f>
        <v>0</v>
      </c>
      <c r="F68" s="24">
        <f t="shared" si="1"/>
        <v>0</v>
      </c>
    </row>
    <row r="69" spans="1:6" s="93" customFormat="1" ht="15.75">
      <c r="A69" s="4"/>
      <c r="B69" s="157" t="s">
        <v>1</v>
      </c>
      <c r="C69" s="143"/>
      <c r="D69" s="28"/>
      <c r="E69" s="28"/>
      <c r="F69" s="29"/>
    </row>
    <row r="70" spans="1:6" s="93" customFormat="1" ht="15.75" customHeight="1">
      <c r="A70" s="167"/>
      <c r="B70" s="158" t="s">
        <v>33</v>
      </c>
      <c r="C70" s="159">
        <v>186900</v>
      </c>
      <c r="D70" s="27"/>
      <c r="E70" s="27">
        <v>0</v>
      </c>
      <c r="F70" s="29">
        <f t="shared" ref="F70:F81" si="2">E70/C70*100</f>
        <v>0</v>
      </c>
    </row>
    <row r="71" spans="1:6" s="93" customFormat="1" ht="15.75" customHeight="1">
      <c r="A71" s="168"/>
      <c r="B71" s="160" t="s">
        <v>34</v>
      </c>
      <c r="C71" s="159">
        <v>15700</v>
      </c>
      <c r="D71" s="27"/>
      <c r="E71" s="27">
        <v>0</v>
      </c>
      <c r="F71" s="29">
        <f t="shared" si="2"/>
        <v>0</v>
      </c>
    </row>
    <row r="72" spans="1:6" s="93" customFormat="1" ht="28.5">
      <c r="A72" s="4" t="s">
        <v>142</v>
      </c>
      <c r="B72" s="18" t="s">
        <v>39</v>
      </c>
      <c r="C72" s="23">
        <f>SUM(C73:D76)</f>
        <v>348000</v>
      </c>
      <c r="D72" s="23">
        <f>SUM(D73:E76)</f>
        <v>0</v>
      </c>
      <c r="E72" s="23">
        <f>SUM(E73:F76)</f>
        <v>0</v>
      </c>
      <c r="F72" s="24">
        <f t="shared" si="2"/>
        <v>0</v>
      </c>
    </row>
    <row r="73" spans="1:6" s="93" customFormat="1" ht="31.5" customHeight="1">
      <c r="A73" s="6" t="s">
        <v>207</v>
      </c>
      <c r="B73" s="142" t="s">
        <v>144</v>
      </c>
      <c r="C73" s="159">
        <v>309207</v>
      </c>
      <c r="D73" s="27"/>
      <c r="E73" s="27"/>
      <c r="F73" s="29">
        <f t="shared" si="2"/>
        <v>0</v>
      </c>
    </row>
    <row r="74" spans="1:6" s="93" customFormat="1" ht="30">
      <c r="A74" s="6" t="s">
        <v>208</v>
      </c>
      <c r="B74" s="161" t="s">
        <v>70</v>
      </c>
      <c r="C74" s="162">
        <v>1310</v>
      </c>
      <c r="D74" s="42"/>
      <c r="E74" s="27"/>
      <c r="F74" s="29">
        <f t="shared" si="2"/>
        <v>0</v>
      </c>
    </row>
    <row r="75" spans="1:6" s="93" customFormat="1" ht="15.75" customHeight="1">
      <c r="A75" s="167" t="s">
        <v>209</v>
      </c>
      <c r="B75" s="163" t="s">
        <v>29</v>
      </c>
      <c r="C75" s="159">
        <v>15711</v>
      </c>
      <c r="D75" s="27"/>
      <c r="E75" s="27"/>
      <c r="F75" s="29">
        <f t="shared" si="2"/>
        <v>0</v>
      </c>
    </row>
    <row r="76" spans="1:6" s="93" customFormat="1" ht="34.5" customHeight="1">
      <c r="A76" s="167" t="s">
        <v>212</v>
      </c>
      <c r="B76" s="163" t="s">
        <v>211</v>
      </c>
      <c r="C76" s="159">
        <v>21772</v>
      </c>
      <c r="D76" s="27"/>
      <c r="E76" s="27"/>
      <c r="F76" s="29">
        <f t="shared" si="2"/>
        <v>0</v>
      </c>
    </row>
    <row r="77" spans="1:6" s="93" customFormat="1" ht="57">
      <c r="A77" s="166"/>
      <c r="B77" s="12" t="s">
        <v>220</v>
      </c>
      <c r="C77" s="23">
        <f>C78</f>
        <v>120000</v>
      </c>
      <c r="D77" s="23" t="e">
        <f>D53+D58+D63+D69</f>
        <v>#REF!</v>
      </c>
      <c r="E77" s="23">
        <f>E53+E58+E63+E69</f>
        <v>0</v>
      </c>
      <c r="F77" s="24">
        <f t="shared" si="2"/>
        <v>0</v>
      </c>
    </row>
    <row r="78" spans="1:6" s="93" customFormat="1" ht="15.75">
      <c r="A78" s="4"/>
      <c r="B78" s="18" t="s">
        <v>215</v>
      </c>
      <c r="C78" s="23">
        <f>SUM(C79:C81)</f>
        <v>120000</v>
      </c>
      <c r="D78" s="23">
        <f>SUM(D79:D81)</f>
        <v>0</v>
      </c>
      <c r="E78" s="23">
        <f>SUM(E79:E81)</f>
        <v>0</v>
      </c>
      <c r="F78" s="24">
        <f t="shared" si="2"/>
        <v>0</v>
      </c>
    </row>
    <row r="79" spans="1:6" s="93" customFormat="1" ht="32.25" customHeight="1">
      <c r="A79" s="20" t="s">
        <v>189</v>
      </c>
      <c r="B79" s="134" t="s">
        <v>217</v>
      </c>
      <c r="C79" s="135">
        <v>70000</v>
      </c>
      <c r="D79" s="135"/>
      <c r="E79" s="135"/>
      <c r="F79" s="136">
        <f t="shared" si="2"/>
        <v>0</v>
      </c>
    </row>
    <row r="80" spans="1:6" s="93" customFormat="1" ht="18" customHeight="1">
      <c r="A80" s="20" t="s">
        <v>190</v>
      </c>
      <c r="B80" s="134" t="s">
        <v>218</v>
      </c>
      <c r="C80" s="138">
        <v>40000</v>
      </c>
      <c r="D80" s="27"/>
      <c r="E80" s="27"/>
      <c r="F80" s="29">
        <f t="shared" si="2"/>
        <v>0</v>
      </c>
    </row>
    <row r="81" spans="1:6" s="93" customFormat="1" ht="17.25" customHeight="1">
      <c r="A81" s="20" t="s">
        <v>191</v>
      </c>
      <c r="B81" s="137" t="s">
        <v>219</v>
      </c>
      <c r="C81" s="138">
        <v>10000</v>
      </c>
      <c r="D81" s="41"/>
      <c r="E81" s="27"/>
      <c r="F81" s="29">
        <f t="shared" si="2"/>
        <v>0</v>
      </c>
    </row>
    <row r="82" spans="1:6" s="93" customFormat="1" ht="6" customHeight="1">
      <c r="A82" s="85"/>
      <c r="B82" s="101"/>
      <c r="C82" s="102"/>
      <c r="D82" s="88"/>
      <c r="E82" s="88"/>
      <c r="F82" s="89"/>
    </row>
    <row r="83" spans="1:6" s="93" customFormat="1" ht="15.75" customHeight="1">
      <c r="A83" s="170" t="s">
        <v>62</v>
      </c>
      <c r="B83" s="2285" t="s">
        <v>213</v>
      </c>
      <c r="C83" s="2285"/>
      <c r="D83" s="2285"/>
      <c r="E83" s="2285"/>
    </row>
    <row r="84" spans="1:6" ht="15" customHeight="1">
      <c r="A84" s="68"/>
      <c r="B84" s="2274"/>
      <c r="C84" s="2274"/>
      <c r="D84" s="2274"/>
      <c r="E84" s="2274"/>
      <c r="F84" s="26"/>
    </row>
    <row r="85" spans="1:6" ht="10.5" customHeight="1">
      <c r="A85" s="90"/>
      <c r="B85" s="2277" t="s">
        <v>80</v>
      </c>
      <c r="C85" s="2277"/>
      <c r="D85" s="2277"/>
      <c r="E85" s="2277"/>
      <c r="F85" s="2277"/>
    </row>
    <row r="86" spans="1:6" ht="20.25" customHeight="1">
      <c r="A86" s="90"/>
      <c r="B86" s="72" t="s">
        <v>85</v>
      </c>
      <c r="C86" s="72"/>
      <c r="D86" s="72"/>
      <c r="E86" s="2273" t="s">
        <v>86</v>
      </c>
      <c r="F86" s="2273"/>
    </row>
    <row r="87" spans="1:6" ht="17.25" hidden="1" customHeight="1">
      <c r="B87" s="2272" t="s">
        <v>59</v>
      </c>
      <c r="C87" s="2272"/>
      <c r="D87" s="2272"/>
      <c r="E87" s="2272"/>
      <c r="F87" s="2272"/>
    </row>
    <row r="88" spans="1:6" ht="16.5" hidden="1">
      <c r="B88" s="47" t="s">
        <v>79</v>
      </c>
      <c r="C88" s="47"/>
      <c r="D88" s="47"/>
      <c r="E88" s="47" t="s">
        <v>81</v>
      </c>
      <c r="F88" s="47"/>
    </row>
    <row r="89" spans="1:6" ht="15.75" customHeight="1">
      <c r="A89" s="91"/>
      <c r="B89" s="103"/>
      <c r="F89" s="21"/>
    </row>
    <row r="90" spans="1:6" ht="30.75" customHeight="1">
      <c r="B90" s="103" t="s">
        <v>214</v>
      </c>
      <c r="F90" s="104"/>
    </row>
    <row r="91" spans="1:6" ht="14.25" customHeight="1">
      <c r="B91" s="103" t="s">
        <v>135</v>
      </c>
      <c r="F91" s="104"/>
    </row>
    <row r="92" spans="1:6" ht="14.25" customHeight="1">
      <c r="B92" s="103"/>
      <c r="F92" s="104"/>
    </row>
    <row r="94" spans="1:6" hidden="1">
      <c r="B94" s="105" t="s">
        <v>60</v>
      </c>
    </row>
    <row r="95" spans="1:6">
      <c r="B95" s="105"/>
    </row>
  </sheetData>
  <mergeCells count="15">
    <mergeCell ref="E86:F86"/>
    <mergeCell ref="B87:F87"/>
    <mergeCell ref="A1:F1"/>
    <mergeCell ref="C3:F3"/>
    <mergeCell ref="A4:F4"/>
    <mergeCell ref="A5:F5"/>
    <mergeCell ref="A6:F6"/>
    <mergeCell ref="A8:A9"/>
    <mergeCell ref="B8:B9"/>
    <mergeCell ref="C8:C9"/>
    <mergeCell ref="E8:E9"/>
    <mergeCell ref="F8:F9"/>
    <mergeCell ref="B83:E83"/>
    <mergeCell ref="B84:E84"/>
    <mergeCell ref="B85:F85"/>
  </mergeCells>
  <pageMargins left="0.54" right="0" top="0.47244094488188981" bottom="0.59055118110236227" header="0" footer="0"/>
  <pageSetup paperSize="9" scale="79" fitToHeight="3" orientation="portrait" r:id="rId1"/>
  <headerFooter alignWithMargins="0"/>
  <customProperties>
    <customPr name="krista_fm_consts" r:id="rId2"/>
  </customProperties>
</worksheet>
</file>

<file path=xl/worksheets/sheet30.xml><?xml version="1.0" encoding="utf-8"?>
<worksheet xmlns="http://schemas.openxmlformats.org/spreadsheetml/2006/main" xmlns:r="http://schemas.openxmlformats.org/officeDocument/2006/relationships">
  <sheetPr>
    <pageSetUpPr fitToPage="1"/>
  </sheetPr>
  <dimension ref="A1:W253"/>
  <sheetViews>
    <sheetView view="pageBreakPreview" zoomScale="50" zoomScaleNormal="60" zoomScaleSheetLayoutView="50" workbookViewId="0">
      <pane xSplit="2" ySplit="12" topLeftCell="C136" activePane="bottomRight" state="frozen"/>
      <selection pane="topRight" activeCell="C1" sqref="C1"/>
      <selection pane="bottomLeft" activeCell="A12" sqref="A12"/>
      <selection pane="bottomRight" activeCell="A7" sqref="A7:N7"/>
    </sheetView>
  </sheetViews>
  <sheetFormatPr defaultColWidth="9.140625" defaultRowHeight="30"/>
  <cols>
    <col min="1" max="1" width="12.7109375" style="1101" customWidth="1"/>
    <col min="2" max="2" width="125.140625"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4.140625" style="497" bestFit="1" customWidth="1"/>
    <col min="9" max="9" width="22.7109375" style="700" customWidth="1"/>
    <col min="10" max="10" width="22.5703125" style="497" customWidth="1"/>
    <col min="11" max="11" width="22.140625" style="497" bestFit="1" customWidth="1"/>
    <col min="12" max="12" width="24" style="700" bestFit="1" customWidth="1"/>
    <col min="13" max="14" width="22.140625" style="497" bestFit="1" customWidth="1"/>
    <col min="15" max="17" width="20" style="497" hidden="1" customWidth="1"/>
    <col min="18" max="18" width="24.5703125" style="1142" customWidth="1"/>
    <col min="19" max="19" width="32.140625" style="1150" customWidth="1"/>
    <col min="20" max="20" width="21.5703125" style="1142" customWidth="1"/>
    <col min="21" max="21" width="29.140625" style="1142" customWidth="1"/>
    <col min="22" max="22" width="26.7109375" style="1098" customWidth="1"/>
    <col min="23" max="23" width="9.140625" style="736"/>
    <col min="24" max="16384" width="9.140625" style="497"/>
  </cols>
  <sheetData>
    <row r="1" spans="1:23">
      <c r="A1" s="2359"/>
      <c r="B1" s="2359"/>
      <c r="C1" s="817"/>
      <c r="D1" s="817"/>
      <c r="E1" s="817"/>
      <c r="F1" s="817"/>
      <c r="G1" s="817"/>
      <c r="H1" s="817"/>
      <c r="I1" s="817"/>
      <c r="K1" s="2384" t="s">
        <v>862</v>
      </c>
      <c r="L1" s="2384"/>
      <c r="M1" s="2384"/>
      <c r="N1" s="2384"/>
    </row>
    <row r="2" spans="1:23" hidden="1">
      <c r="B2" s="1139"/>
      <c r="C2" s="714"/>
      <c r="D2" s="1139"/>
      <c r="E2" s="1139"/>
      <c r="L2" s="714"/>
    </row>
    <row r="3" spans="1:23" s="467" customFormat="1" hidden="1">
      <c r="A3" s="860"/>
      <c r="C3" s="715"/>
      <c r="D3" s="716"/>
      <c r="E3" s="716"/>
      <c r="F3" s="715"/>
      <c r="G3" s="716"/>
      <c r="H3" s="716"/>
      <c r="I3" s="2312"/>
      <c r="J3" s="2312"/>
      <c r="K3" s="2312"/>
      <c r="L3" s="2312"/>
      <c r="N3" s="717"/>
      <c r="R3" s="1151"/>
      <c r="S3" s="1152"/>
      <c r="T3" s="1151"/>
      <c r="U3" s="1151"/>
      <c r="V3" s="1109"/>
      <c r="W3" s="1110"/>
    </row>
    <row r="4" spans="1:23" s="467" customFormat="1" ht="43.5" hidden="1" customHeight="1">
      <c r="A4" s="860"/>
      <c r="C4" s="815">
        <f>6162009.6</f>
        <v>6162009.5999999996</v>
      </c>
      <c r="D4" s="716"/>
      <c r="E4" s="716"/>
      <c r="F4" s="815">
        <v>5873905</v>
      </c>
      <c r="G4" s="469"/>
      <c r="H4" s="469"/>
      <c r="I4" s="816">
        <v>2407625.6</v>
      </c>
      <c r="J4" s="469"/>
      <c r="K4" s="469"/>
      <c r="L4" s="718"/>
      <c r="N4" s="717"/>
      <c r="R4" s="1151"/>
      <c r="S4" s="1152"/>
      <c r="T4" s="1151"/>
      <c r="U4" s="1151"/>
      <c r="V4" s="1109"/>
      <c r="W4" s="1110"/>
    </row>
    <row r="5" spans="1:23" s="467" customFormat="1" ht="30.75" customHeight="1">
      <c r="A5" s="2389" t="s">
        <v>5</v>
      </c>
      <c r="B5" s="2389"/>
      <c r="C5" s="2389"/>
      <c r="D5" s="2389"/>
      <c r="E5" s="2389"/>
      <c r="F5" s="2389"/>
      <c r="G5" s="2389"/>
      <c r="H5" s="2389"/>
      <c r="I5" s="2389"/>
      <c r="J5" s="2389"/>
      <c r="K5" s="2389"/>
      <c r="L5" s="2389"/>
      <c r="M5" s="2389"/>
      <c r="N5" s="2389"/>
      <c r="R5" s="1151"/>
      <c r="S5" s="1152"/>
      <c r="T5" s="1151"/>
      <c r="U5" s="1151"/>
      <c r="V5" s="1109"/>
      <c r="W5" s="1110"/>
    </row>
    <row r="6" spans="1:23" s="467" customFormat="1" ht="30.75" customHeight="1">
      <c r="A6" s="2389" t="s">
        <v>236</v>
      </c>
      <c r="B6" s="2389"/>
      <c r="C6" s="2389"/>
      <c r="D6" s="2389"/>
      <c r="E6" s="2389"/>
      <c r="F6" s="2389"/>
      <c r="G6" s="2389"/>
      <c r="H6" s="2389"/>
      <c r="I6" s="2389"/>
      <c r="J6" s="2389"/>
      <c r="K6" s="2389"/>
      <c r="L6" s="2389"/>
      <c r="M6" s="2389"/>
      <c r="N6" s="2389"/>
      <c r="R6" s="1151"/>
      <c r="S6" s="1152"/>
      <c r="T6" s="1151"/>
      <c r="U6" s="1151"/>
      <c r="V6" s="1109"/>
      <c r="W6" s="1110"/>
    </row>
    <row r="7" spans="1:23" s="467" customFormat="1" ht="36" customHeight="1">
      <c r="A7" s="2389" t="s">
        <v>1020</v>
      </c>
      <c r="B7" s="2389"/>
      <c r="C7" s="2389"/>
      <c r="D7" s="2389"/>
      <c r="E7" s="2389"/>
      <c r="F7" s="2389"/>
      <c r="G7" s="2389"/>
      <c r="H7" s="2389"/>
      <c r="I7" s="2389"/>
      <c r="J7" s="2389"/>
      <c r="K7" s="2389"/>
      <c r="L7" s="2389"/>
      <c r="M7" s="2389"/>
      <c r="N7" s="2389"/>
      <c r="O7" s="858"/>
      <c r="R7" s="1151"/>
      <c r="S7" s="1152"/>
      <c r="T7" s="1151"/>
      <c r="U7" s="1151"/>
      <c r="V7" s="1109"/>
      <c r="W7" s="1110"/>
    </row>
    <row r="8" spans="1:23" s="467" customFormat="1" ht="36" customHeight="1">
      <c r="A8" s="1072"/>
      <c r="B8" s="1057"/>
      <c r="C8" s="1064"/>
      <c r="D8" s="1064"/>
      <c r="E8" s="1064"/>
      <c r="F8" s="1064"/>
      <c r="G8" s="1064"/>
      <c r="H8" s="1064"/>
      <c r="I8" s="1064"/>
      <c r="J8" s="1057"/>
      <c r="K8" s="1064"/>
      <c r="L8" s="1057"/>
      <c r="M8" s="1057"/>
      <c r="N8" s="1057"/>
      <c r="O8" s="858"/>
      <c r="R8" s="1151"/>
      <c r="S8" s="1152"/>
      <c r="T8" s="1151"/>
      <c r="U8" s="1151"/>
      <c r="V8" s="1109"/>
      <c r="W8" s="1110"/>
    </row>
    <row r="9" spans="1:23" s="1063" customFormat="1" ht="20.25" customHeight="1">
      <c r="A9" s="1073"/>
      <c r="B9" s="1058"/>
      <c r="C9" s="1059"/>
      <c r="D9" s="1058"/>
      <c r="E9" s="1058"/>
      <c r="F9" s="1061"/>
      <c r="G9" s="1058"/>
      <c r="H9" s="1060"/>
      <c r="I9" s="1061"/>
      <c r="J9" s="2423"/>
      <c r="K9" s="2423"/>
      <c r="L9" s="2423" t="s">
        <v>377</v>
      </c>
      <c r="M9" s="2423"/>
      <c r="N9" s="1062"/>
      <c r="R9" s="1151"/>
      <c r="S9" s="1152"/>
      <c r="T9" s="1151"/>
      <c r="U9" s="1151"/>
      <c r="V9" s="1109"/>
      <c r="W9" s="1111"/>
    </row>
    <row r="10" spans="1:23" s="791" customFormat="1" ht="70.5" customHeight="1">
      <c r="A10" s="2394" t="s">
        <v>18</v>
      </c>
      <c r="B10" s="2395" t="s">
        <v>0</v>
      </c>
      <c r="C10" s="2396" t="s">
        <v>614</v>
      </c>
      <c r="D10" s="2424" t="s">
        <v>257</v>
      </c>
      <c r="E10" s="2424"/>
      <c r="F10" s="2396" t="s">
        <v>442</v>
      </c>
      <c r="G10" s="2424" t="s">
        <v>257</v>
      </c>
      <c r="H10" s="2424"/>
      <c r="I10" s="2396" t="s">
        <v>237</v>
      </c>
      <c r="J10" s="2424" t="s">
        <v>257</v>
      </c>
      <c r="K10" s="2424"/>
      <c r="L10" s="2396" t="s">
        <v>574</v>
      </c>
      <c r="M10" s="2424" t="s">
        <v>448</v>
      </c>
      <c r="N10" s="2424"/>
      <c r="R10" s="2510" t="s">
        <v>1068</v>
      </c>
      <c r="S10" s="2511"/>
      <c r="T10" s="2511"/>
      <c r="U10" s="2512"/>
      <c r="V10" s="1098"/>
      <c r="W10" s="1112"/>
    </row>
    <row r="11" spans="1:23" s="791" customFormat="1" ht="150" customHeight="1">
      <c r="A11" s="2394"/>
      <c r="B11" s="2395"/>
      <c r="C11" s="2396"/>
      <c r="D11" s="905" t="s">
        <v>259</v>
      </c>
      <c r="E11" s="905" t="s">
        <v>258</v>
      </c>
      <c r="F11" s="2396"/>
      <c r="G11" s="905" t="s">
        <v>259</v>
      </c>
      <c r="H11" s="905" t="s">
        <v>258</v>
      </c>
      <c r="I11" s="2396"/>
      <c r="J11" s="905" t="s">
        <v>259</v>
      </c>
      <c r="K11" s="905" t="s">
        <v>258</v>
      </c>
      <c r="L11" s="2396"/>
      <c r="M11" s="905" t="s">
        <v>259</v>
      </c>
      <c r="N11" s="905" t="s">
        <v>258</v>
      </c>
      <c r="R11" s="2513"/>
      <c r="S11" s="2514"/>
      <c r="T11" s="2514"/>
      <c r="U11" s="2515"/>
      <c r="V11" s="1098"/>
      <c r="W11" s="1112"/>
    </row>
    <row r="12" spans="1:23" s="720" customFormat="1" ht="30" customHeight="1">
      <c r="A12" s="895">
        <v>1</v>
      </c>
      <c r="B12" s="895">
        <v>2</v>
      </c>
      <c r="C12" s="263">
        <v>3</v>
      </c>
      <c r="D12" s="263">
        <v>4</v>
      </c>
      <c r="E12" s="263">
        <v>5</v>
      </c>
      <c r="F12" s="721">
        <v>6</v>
      </c>
      <c r="G12" s="721">
        <v>7</v>
      </c>
      <c r="H12" s="721">
        <v>8</v>
      </c>
      <c r="I12" s="721">
        <v>9</v>
      </c>
      <c r="J12" s="721">
        <v>10</v>
      </c>
      <c r="K12" s="721">
        <v>11</v>
      </c>
      <c r="L12" s="721">
        <v>12</v>
      </c>
      <c r="M12" s="721">
        <v>13</v>
      </c>
      <c r="N12" s="721">
        <v>14</v>
      </c>
      <c r="O12" s="720" t="s">
        <v>791</v>
      </c>
      <c r="R12" s="2516"/>
      <c r="S12" s="2517"/>
      <c r="T12" s="2517"/>
      <c r="U12" s="2518"/>
      <c r="V12" s="1098"/>
      <c r="W12" s="1113"/>
    </row>
    <row r="13" spans="1:23" s="914" customFormat="1" ht="48.75" customHeight="1">
      <c r="A13" s="944"/>
      <c r="B13" s="916" t="s">
        <v>10</v>
      </c>
      <c r="C13" s="917">
        <f>SUM(D13:E13)</f>
        <v>6135278.4000000004</v>
      </c>
      <c r="D13" s="917">
        <f>SUM(D14,D206)</f>
        <v>4693620</v>
      </c>
      <c r="E13" s="917">
        <f>SUM(E14,E206)</f>
        <v>1441658.4</v>
      </c>
      <c r="F13" s="917">
        <f>SUM(G13:H13)</f>
        <v>5998248.7000000002</v>
      </c>
      <c r="G13" s="917">
        <f>SUM(G14,G206)</f>
        <v>4648887.5</v>
      </c>
      <c r="H13" s="917">
        <f>SUM(H14,H206)</f>
        <v>1349361.2</v>
      </c>
      <c r="I13" s="917">
        <f>SUM(J13:K13)</f>
        <v>105889.60000000001</v>
      </c>
      <c r="J13" s="917">
        <f>SUM(J14,J206)</f>
        <v>49433.8</v>
      </c>
      <c r="K13" s="917">
        <f>SUM(K14,K206)</f>
        <v>56455.8</v>
      </c>
      <c r="L13" s="918">
        <f t="shared" ref="L13:N14" si="0">IF(I13=0,0,I13/F13*100)</f>
        <v>1.8</v>
      </c>
      <c r="M13" s="918">
        <f t="shared" si="0"/>
        <v>1.1000000000000001</v>
      </c>
      <c r="N13" s="918">
        <f t="shared" si="0"/>
        <v>4.2</v>
      </c>
      <c r="O13" s="1065">
        <f t="shared" ref="O13:Q79" si="1">C13-F13</f>
        <v>137029.70000000001</v>
      </c>
      <c r="P13" s="1065">
        <f t="shared" si="1"/>
        <v>44732.5</v>
      </c>
      <c r="Q13" s="1065">
        <f t="shared" si="1"/>
        <v>92297.2</v>
      </c>
      <c r="R13" s="2504" t="s">
        <v>1066</v>
      </c>
      <c r="S13" s="2505"/>
      <c r="T13" s="2505"/>
      <c r="U13" s="2506"/>
      <c r="V13" s="1098"/>
      <c r="W13" s="913"/>
    </row>
    <row r="14" spans="1:23" s="914" customFormat="1" ht="81" customHeight="1">
      <c r="A14" s="2401" t="s">
        <v>453</v>
      </c>
      <c r="B14" s="2401"/>
      <c r="C14" s="917">
        <f>D14+E14</f>
        <v>4918426</v>
      </c>
      <c r="D14" s="917">
        <f>SUM(D16,D89)</f>
        <v>3784120</v>
      </c>
      <c r="E14" s="917">
        <f>SUM(E16,E89)</f>
        <v>1134306</v>
      </c>
      <c r="F14" s="917">
        <f>G14+H14</f>
        <v>4783288.5999999996</v>
      </c>
      <c r="G14" s="917">
        <f>SUM(G16,G89)</f>
        <v>3741086.3</v>
      </c>
      <c r="H14" s="917">
        <f>SUM(H16,H89)</f>
        <v>1042202.3</v>
      </c>
      <c r="I14" s="917">
        <f>SUM(J14:K14)</f>
        <v>81690</v>
      </c>
      <c r="J14" s="917">
        <f>SUM(J16,J90)</f>
        <v>39878</v>
      </c>
      <c r="K14" s="917">
        <f>SUM(K16,K90)</f>
        <v>41812</v>
      </c>
      <c r="L14" s="918">
        <f t="shared" si="0"/>
        <v>1.7</v>
      </c>
      <c r="M14" s="920">
        <f t="shared" si="0"/>
        <v>1.1000000000000001</v>
      </c>
      <c r="N14" s="920">
        <f t="shared" si="0"/>
        <v>4</v>
      </c>
      <c r="O14" s="1065">
        <f t="shared" si="1"/>
        <v>135137.4</v>
      </c>
      <c r="P14" s="1065">
        <f t="shared" si="1"/>
        <v>43033.7</v>
      </c>
      <c r="Q14" s="1065">
        <f t="shared" si="1"/>
        <v>92103.7</v>
      </c>
      <c r="R14" s="2504" t="s">
        <v>1066</v>
      </c>
      <c r="S14" s="2505"/>
      <c r="T14" s="2505"/>
      <c r="U14" s="2506"/>
      <c r="V14" s="1098"/>
      <c r="W14" s="913"/>
    </row>
    <row r="15" spans="1:23" s="914" customFormat="1" ht="57" hidden="1" customHeight="1">
      <c r="A15" s="944" t="s">
        <v>6</v>
      </c>
      <c r="B15" s="921" t="s">
        <v>437</v>
      </c>
      <c r="C15" s="922"/>
      <c r="D15" s="922"/>
      <c r="E15" s="922"/>
      <c r="F15" s="922"/>
      <c r="G15" s="922"/>
      <c r="H15" s="922"/>
      <c r="I15" s="922"/>
      <c r="J15" s="922"/>
      <c r="K15" s="922"/>
      <c r="L15" s="923"/>
      <c r="M15" s="924"/>
      <c r="N15" s="924"/>
      <c r="O15" s="1065">
        <f t="shared" si="1"/>
        <v>0</v>
      </c>
      <c r="P15" s="1065">
        <f t="shared" si="1"/>
        <v>0</v>
      </c>
      <c r="Q15" s="1065">
        <f t="shared" si="1"/>
        <v>0</v>
      </c>
      <c r="R15" s="1148"/>
      <c r="S15" s="1149"/>
      <c r="T15" s="1148"/>
      <c r="U15" s="1148"/>
      <c r="V15" s="1098"/>
      <c r="W15" s="913"/>
    </row>
    <row r="16" spans="1:23" s="914" customFormat="1" ht="121.5" customHeight="1">
      <c r="A16" s="944" t="s">
        <v>6</v>
      </c>
      <c r="B16" s="925" t="s">
        <v>439</v>
      </c>
      <c r="C16" s="926">
        <f>SUM(D16:E16)</f>
        <v>1397343.1</v>
      </c>
      <c r="D16" s="926">
        <f>SUM(D17)</f>
        <v>1012195.5</v>
      </c>
      <c r="E16" s="926">
        <f>SUM(E17)</f>
        <v>385147.6</v>
      </c>
      <c r="F16" s="926">
        <f>SUM(G16:H16)</f>
        <v>1353874.7</v>
      </c>
      <c r="G16" s="926">
        <f>SUM(G17)</f>
        <v>969161.8</v>
      </c>
      <c r="H16" s="926">
        <f>SUM(H17)</f>
        <v>384712.9</v>
      </c>
      <c r="I16" s="926">
        <f t="shared" ref="I16:I26" si="2">SUM(J16:K16)</f>
        <v>13884.7</v>
      </c>
      <c r="J16" s="926">
        <f>SUM(J17)</f>
        <v>13340.4</v>
      </c>
      <c r="K16" s="926">
        <f>SUM(K17)</f>
        <v>544.29999999999995</v>
      </c>
      <c r="L16" s="927">
        <f t="shared" ref="L16:N38" si="3">IF(I16=0,0,I16/F16*100)</f>
        <v>1</v>
      </c>
      <c r="M16" s="928">
        <f t="shared" si="3"/>
        <v>1.4</v>
      </c>
      <c r="N16" s="928">
        <f t="shared" si="3"/>
        <v>0.1</v>
      </c>
      <c r="O16" s="1065">
        <f t="shared" si="1"/>
        <v>43468.4</v>
      </c>
      <c r="P16" s="1065">
        <f t="shared" si="1"/>
        <v>43033.7</v>
      </c>
      <c r="Q16" s="1065">
        <f t="shared" si="1"/>
        <v>434.7</v>
      </c>
      <c r="R16" s="2504" t="s">
        <v>1066</v>
      </c>
      <c r="S16" s="2505"/>
      <c r="T16" s="2505"/>
      <c r="U16" s="2506"/>
      <c r="V16" s="1098"/>
      <c r="W16" s="913"/>
    </row>
    <row r="17" spans="1:23" s="914" customFormat="1" ht="51" customHeight="1">
      <c r="A17" s="944" t="s">
        <v>253</v>
      </c>
      <c r="B17" s="962" t="s">
        <v>41</v>
      </c>
      <c r="C17" s="929">
        <f t="shared" ref="C17:C70" si="4">SUM(D17:E17)</f>
        <v>1397343.1</v>
      </c>
      <c r="D17" s="929">
        <f>SUM(D18:D19,D20,D22,D26,D28,D31,D34,D36,D41,D45,D48,D50,D54,D59,D61,D63,D71,D65,D21,D57)</f>
        <v>1012195.5</v>
      </c>
      <c r="E17" s="929">
        <f>SUM(E18:E19,E20,E22,E26,E28,E31,E34,E36,E41,E45,E48,E50,E54,E59,E61,E63,E71,E65,E21,E57)</f>
        <v>385147.6</v>
      </c>
      <c r="F17" s="929">
        <f>SUM(G17:H17)</f>
        <v>1353874.7</v>
      </c>
      <c r="G17" s="929">
        <f>SUM(G18:G19,G20,G22,G26,G28,G31,G34,G36,G41,G45,G48,G50,G54,G59,G61,G63,G71,G65,G21,G57)</f>
        <v>969161.8</v>
      </c>
      <c r="H17" s="929">
        <f>SUM(H18:H19,H20,H22,H26,H28,H31,H34,H36,H41,H45,H48,H50,H54,H59,H61,H63,H71,H65,H21,H57)</f>
        <v>384712.9</v>
      </c>
      <c r="I17" s="929">
        <f t="shared" si="2"/>
        <v>13884.7</v>
      </c>
      <c r="J17" s="929">
        <f>SUM(J18:J19,J20,J22,J26,J28,J31,J34,J36,J41,J45,J48,J50,J54,J59,J61,J63,J71,J65,J21,J57)</f>
        <v>13340.4</v>
      </c>
      <c r="K17" s="929">
        <f>SUM(K18:K19,K20,K22,K26,K28,K31,K34,K36,K41,K45,K48,K50,K54,K59,K61,K63,K71,K65,K21,K57)</f>
        <v>544.29999999999995</v>
      </c>
      <c r="L17" s="930">
        <f t="shared" si="3"/>
        <v>1</v>
      </c>
      <c r="M17" s="931">
        <f t="shared" si="3"/>
        <v>1.4</v>
      </c>
      <c r="N17" s="931">
        <f t="shared" si="3"/>
        <v>0.1</v>
      </c>
      <c r="O17" s="1065">
        <f t="shared" si="1"/>
        <v>43468.4</v>
      </c>
      <c r="P17" s="1065">
        <f t="shared" si="1"/>
        <v>43033.7</v>
      </c>
      <c r="Q17" s="1065">
        <f t="shared" si="1"/>
        <v>434.7</v>
      </c>
      <c r="R17" s="2504" t="s">
        <v>1066</v>
      </c>
      <c r="S17" s="2505"/>
      <c r="T17" s="2505"/>
      <c r="U17" s="2506"/>
      <c r="V17" s="1098"/>
      <c r="W17" s="913"/>
    </row>
    <row r="18" spans="1:23" s="736" customFormat="1" ht="105" hidden="1">
      <c r="A18" s="1144" t="s">
        <v>538</v>
      </c>
      <c r="B18" s="971" t="s">
        <v>434</v>
      </c>
      <c r="C18" s="871">
        <f t="shared" si="4"/>
        <v>0</v>
      </c>
      <c r="D18" s="972"/>
      <c r="E18" s="972"/>
      <c r="F18" s="871">
        <f t="shared" ref="F18:F70" si="5">SUM(G18:H18)</f>
        <v>0</v>
      </c>
      <c r="G18" s="972"/>
      <c r="H18" s="972"/>
      <c r="I18" s="871">
        <f t="shared" si="2"/>
        <v>0</v>
      </c>
      <c r="J18" s="972"/>
      <c r="K18" s="972"/>
      <c r="L18" s="872">
        <f t="shared" si="3"/>
        <v>0</v>
      </c>
      <c r="M18" s="873">
        <f t="shared" si="3"/>
        <v>0</v>
      </c>
      <c r="N18" s="873">
        <f t="shared" si="3"/>
        <v>0</v>
      </c>
      <c r="O18" s="1065">
        <f t="shared" si="1"/>
        <v>0</v>
      </c>
      <c r="P18" s="1065">
        <f t="shared" si="1"/>
        <v>0</v>
      </c>
      <c r="Q18" s="1065">
        <f t="shared" si="1"/>
        <v>0</v>
      </c>
      <c r="R18" s="1148"/>
      <c r="S18" s="1149"/>
      <c r="T18" s="1148"/>
      <c r="U18" s="1148"/>
      <c r="V18" s="1098"/>
    </row>
    <row r="19" spans="1:23" s="736" customFormat="1" ht="60" customHeight="1">
      <c r="A19" s="1144" t="s">
        <v>538</v>
      </c>
      <c r="B19" s="971" t="s">
        <v>1035</v>
      </c>
      <c r="C19" s="871">
        <f t="shared" si="4"/>
        <v>43468.4</v>
      </c>
      <c r="D19" s="972">
        <v>43033.7</v>
      </c>
      <c r="E19" s="972">
        <v>434.7</v>
      </c>
      <c r="F19" s="871">
        <f t="shared" si="5"/>
        <v>0</v>
      </c>
      <c r="G19" s="972">
        <v>0</v>
      </c>
      <c r="H19" s="972">
        <v>0</v>
      </c>
      <c r="I19" s="871">
        <f t="shared" si="2"/>
        <v>0</v>
      </c>
      <c r="J19" s="972">
        <v>0</v>
      </c>
      <c r="K19" s="972">
        <v>0</v>
      </c>
      <c r="L19" s="872">
        <f t="shared" si="3"/>
        <v>0</v>
      </c>
      <c r="M19" s="873">
        <f t="shared" si="3"/>
        <v>0</v>
      </c>
      <c r="N19" s="873">
        <f t="shared" si="3"/>
        <v>0</v>
      </c>
      <c r="O19" s="1065">
        <f t="shared" si="1"/>
        <v>43468.4</v>
      </c>
      <c r="P19" s="1065">
        <f t="shared" si="1"/>
        <v>43033.7</v>
      </c>
      <c r="Q19" s="1065">
        <f t="shared" si="1"/>
        <v>434.7</v>
      </c>
      <c r="R19" s="1148" t="s">
        <v>866</v>
      </c>
      <c r="S19" s="1149" t="s">
        <v>865</v>
      </c>
      <c r="T19" s="1148">
        <v>522</v>
      </c>
      <c r="U19" s="1148"/>
      <c r="V19" s="1098"/>
    </row>
    <row r="20" spans="1:23" s="892" customFormat="1" ht="114" customHeight="1">
      <c r="A20" s="1144" t="s">
        <v>539</v>
      </c>
      <c r="B20" s="1066" t="s">
        <v>434</v>
      </c>
      <c r="C20" s="874">
        <f>SUM(D20:E20)</f>
        <v>14736.7</v>
      </c>
      <c r="D20" s="877">
        <v>14736.7</v>
      </c>
      <c r="E20" s="877">
        <v>0</v>
      </c>
      <c r="F20" s="882">
        <f>SUM(G20:H20)</f>
        <v>14736.7</v>
      </c>
      <c r="G20" s="877">
        <v>14736.7</v>
      </c>
      <c r="H20" s="877">
        <v>0</v>
      </c>
      <c r="I20" s="882">
        <f t="shared" si="2"/>
        <v>9709.4</v>
      </c>
      <c r="J20" s="1069">
        <v>9709.4</v>
      </c>
      <c r="K20" s="877">
        <v>0</v>
      </c>
      <c r="L20" s="876">
        <f t="shared" si="3"/>
        <v>65.900000000000006</v>
      </c>
      <c r="M20" s="877">
        <f>IF(J20=0,0,J20/G20*100)</f>
        <v>65.900000000000006</v>
      </c>
      <c r="N20" s="877">
        <f>IF(K20=0,0,K20/H20*100)</f>
        <v>0</v>
      </c>
      <c r="O20" s="1065">
        <f t="shared" si="1"/>
        <v>0</v>
      </c>
      <c r="P20" s="1065">
        <f t="shared" si="1"/>
        <v>0</v>
      </c>
      <c r="Q20" s="1065">
        <f t="shared" si="1"/>
        <v>0</v>
      </c>
      <c r="R20" s="1148" t="s">
        <v>961</v>
      </c>
      <c r="S20" s="1149" t="s">
        <v>962</v>
      </c>
      <c r="T20" s="1148">
        <v>522</v>
      </c>
      <c r="U20" s="1148"/>
      <c r="V20" s="1098"/>
      <c r="W20" s="1118"/>
    </row>
    <row r="21" spans="1:23" s="892" customFormat="1" ht="108" customHeight="1">
      <c r="A21" s="1144" t="s">
        <v>19</v>
      </c>
      <c r="B21" s="1066" t="s">
        <v>792</v>
      </c>
      <c r="C21" s="874">
        <f t="shared" si="4"/>
        <v>741029.8</v>
      </c>
      <c r="D21" s="877">
        <v>733604.7</v>
      </c>
      <c r="E21" s="877">
        <v>7425.1</v>
      </c>
      <c r="F21" s="882">
        <f t="shared" si="5"/>
        <v>741029.8</v>
      </c>
      <c r="G21" s="877">
        <v>733604.7</v>
      </c>
      <c r="H21" s="877">
        <v>7425.1</v>
      </c>
      <c r="I21" s="882">
        <f t="shared" si="2"/>
        <v>0</v>
      </c>
      <c r="J21" s="877">
        <v>0</v>
      </c>
      <c r="K21" s="877">
        <v>0</v>
      </c>
      <c r="L21" s="876">
        <f t="shared" si="3"/>
        <v>0</v>
      </c>
      <c r="M21" s="877">
        <f t="shared" si="3"/>
        <v>0</v>
      </c>
      <c r="N21" s="877">
        <f t="shared" si="3"/>
        <v>0</v>
      </c>
      <c r="O21" s="1065">
        <f t="shared" si="1"/>
        <v>0</v>
      </c>
      <c r="P21" s="1065">
        <f t="shared" si="1"/>
        <v>0</v>
      </c>
      <c r="Q21" s="1065">
        <f t="shared" si="1"/>
        <v>0</v>
      </c>
      <c r="R21" s="1148" t="s">
        <v>963</v>
      </c>
      <c r="S21" s="1149" t="s">
        <v>964</v>
      </c>
      <c r="T21" s="1148">
        <v>522</v>
      </c>
      <c r="U21" s="1148"/>
      <c r="V21" s="1098"/>
      <c r="W21" s="1118"/>
    </row>
    <row r="22" spans="1:23" ht="26.25">
      <c r="A22" s="1144"/>
      <c r="B22" s="898" t="s">
        <v>283</v>
      </c>
      <c r="C22" s="874">
        <f t="shared" si="4"/>
        <v>56903.1</v>
      </c>
      <c r="D22" s="875">
        <f>SUM(D24:D25)</f>
        <v>0</v>
      </c>
      <c r="E22" s="875">
        <f>SUM(E23:E25)</f>
        <v>56903.1</v>
      </c>
      <c r="F22" s="874">
        <f t="shared" si="5"/>
        <v>56903.1</v>
      </c>
      <c r="G22" s="875">
        <f>SUM(G24:G25)</f>
        <v>0</v>
      </c>
      <c r="H22" s="875">
        <f>SUM(H23:H25)</f>
        <v>56903.1</v>
      </c>
      <c r="I22" s="874">
        <f t="shared" si="2"/>
        <v>0</v>
      </c>
      <c r="J22" s="875">
        <f>SUM(J24:J25)</f>
        <v>0</v>
      </c>
      <c r="K22" s="875">
        <f>SUM(K24:K25)</f>
        <v>0</v>
      </c>
      <c r="L22" s="876">
        <f t="shared" si="3"/>
        <v>0</v>
      </c>
      <c r="M22" s="877">
        <f t="shared" si="3"/>
        <v>0</v>
      </c>
      <c r="N22" s="877">
        <f t="shared" si="3"/>
        <v>0</v>
      </c>
      <c r="O22" s="1065">
        <f t="shared" si="1"/>
        <v>0</v>
      </c>
      <c r="P22" s="1065">
        <f t="shared" si="1"/>
        <v>0</v>
      </c>
      <c r="Q22" s="1065">
        <f t="shared" si="1"/>
        <v>0</v>
      </c>
      <c r="R22" s="2504" t="s">
        <v>1066</v>
      </c>
      <c r="S22" s="2505"/>
      <c r="T22" s="2505"/>
      <c r="U22" s="2506"/>
    </row>
    <row r="23" spans="1:23" ht="52.5">
      <c r="A23" s="1144" t="s">
        <v>20</v>
      </c>
      <c r="B23" s="1146" t="s">
        <v>803</v>
      </c>
      <c r="C23" s="874">
        <f>SUM(D23:E23)</f>
        <v>5016.7</v>
      </c>
      <c r="D23" s="1085">
        <v>0</v>
      </c>
      <c r="E23" s="1085">
        <v>5016.7</v>
      </c>
      <c r="F23" s="874">
        <f>SUM(G23:H23)</f>
        <v>5016.7</v>
      </c>
      <c r="G23" s="1085">
        <v>0</v>
      </c>
      <c r="H23" s="1085">
        <v>5016.7</v>
      </c>
      <c r="I23" s="1083">
        <f>SUM(J23:K23)</f>
        <v>0</v>
      </c>
      <c r="J23" s="1083">
        <v>0</v>
      </c>
      <c r="K23" s="1083">
        <v>0</v>
      </c>
      <c r="L23" s="877">
        <f t="shared" si="3"/>
        <v>0</v>
      </c>
      <c r="M23" s="877">
        <f>IF(J23=0,0,J23/G23*100)</f>
        <v>0</v>
      </c>
      <c r="N23" s="877">
        <f>IF(K23=0,0,K23/H23*100)</f>
        <v>0</v>
      </c>
      <c r="O23" s="1065"/>
      <c r="P23" s="1065"/>
      <c r="Q23" s="1065"/>
      <c r="R23" s="1148" t="s">
        <v>954</v>
      </c>
      <c r="S23" s="1149" t="s">
        <v>976</v>
      </c>
      <c r="T23" s="1148">
        <v>522</v>
      </c>
      <c r="U23" s="1148">
        <v>24356</v>
      </c>
    </row>
    <row r="24" spans="1:23" ht="83.25" customHeight="1">
      <c r="A24" s="1144" t="s">
        <v>467</v>
      </c>
      <c r="B24" s="1084" t="s">
        <v>770</v>
      </c>
      <c r="C24" s="874">
        <f>SUM(D24:E24)</f>
        <v>8886.4</v>
      </c>
      <c r="D24" s="1085">
        <v>0</v>
      </c>
      <c r="E24" s="1085">
        <v>8886.4</v>
      </c>
      <c r="F24" s="874">
        <f>SUM(G24:H24)</f>
        <v>8886.4</v>
      </c>
      <c r="G24" s="1085">
        <v>0</v>
      </c>
      <c r="H24" s="1085">
        <v>8886.4</v>
      </c>
      <c r="I24" s="1083">
        <f t="shared" si="2"/>
        <v>0</v>
      </c>
      <c r="J24" s="1083">
        <v>0</v>
      </c>
      <c r="K24" s="1083">
        <v>0</v>
      </c>
      <c r="L24" s="877">
        <f t="shared" si="3"/>
        <v>0</v>
      </c>
      <c r="M24" s="877">
        <f>IF(J24=0,0,J24/G24*100)</f>
        <v>0</v>
      </c>
      <c r="N24" s="877">
        <f>IF(K24=0,0,K24/H24*100)</f>
        <v>0</v>
      </c>
      <c r="O24" s="1065">
        <f t="shared" si="1"/>
        <v>0</v>
      </c>
      <c r="P24" s="1065">
        <f t="shared" si="1"/>
        <v>0</v>
      </c>
      <c r="Q24" s="1065">
        <f t="shared" si="1"/>
        <v>0</v>
      </c>
      <c r="R24" s="1148" t="s">
        <v>926</v>
      </c>
      <c r="S24" s="1149" t="s">
        <v>965</v>
      </c>
      <c r="T24" s="1148">
        <v>522</v>
      </c>
      <c r="U24" s="1148" t="s">
        <v>975</v>
      </c>
    </row>
    <row r="25" spans="1:23" ht="83.25" customHeight="1">
      <c r="A25" s="1144" t="s">
        <v>468</v>
      </c>
      <c r="B25" s="1084" t="s">
        <v>1036</v>
      </c>
      <c r="C25" s="874">
        <f t="shared" si="4"/>
        <v>43000</v>
      </c>
      <c r="D25" s="1085">
        <v>0</v>
      </c>
      <c r="E25" s="1085">
        <v>43000</v>
      </c>
      <c r="F25" s="874">
        <f t="shared" si="5"/>
        <v>43000</v>
      </c>
      <c r="G25" s="1085">
        <v>0</v>
      </c>
      <c r="H25" s="1085">
        <v>43000</v>
      </c>
      <c r="I25" s="1083">
        <f t="shared" si="2"/>
        <v>0</v>
      </c>
      <c r="J25" s="1083">
        <v>0</v>
      </c>
      <c r="K25" s="1083">
        <v>0</v>
      </c>
      <c r="L25" s="877">
        <f t="shared" si="3"/>
        <v>0</v>
      </c>
      <c r="M25" s="877">
        <f t="shared" si="3"/>
        <v>0</v>
      </c>
      <c r="N25" s="877">
        <f t="shared" si="3"/>
        <v>0</v>
      </c>
      <c r="O25" s="1065">
        <f t="shared" si="1"/>
        <v>0</v>
      </c>
      <c r="P25" s="1065">
        <f t="shared" si="1"/>
        <v>0</v>
      </c>
      <c r="Q25" s="1065">
        <f t="shared" si="1"/>
        <v>0</v>
      </c>
      <c r="R25" s="1148" t="s">
        <v>886</v>
      </c>
      <c r="S25" s="1149" t="s">
        <v>967</v>
      </c>
      <c r="T25" s="1148">
        <v>522</v>
      </c>
      <c r="U25" s="1148" t="s">
        <v>969</v>
      </c>
    </row>
    <row r="26" spans="1:23" ht="34.5" customHeight="1">
      <c r="A26" s="1144"/>
      <c r="B26" s="898" t="s">
        <v>724</v>
      </c>
      <c r="C26" s="874">
        <f t="shared" si="4"/>
        <v>8700</v>
      </c>
      <c r="D26" s="875">
        <f>D27</f>
        <v>0</v>
      </c>
      <c r="E26" s="875">
        <f>E27</f>
        <v>8700</v>
      </c>
      <c r="F26" s="874">
        <f t="shared" si="5"/>
        <v>8700</v>
      </c>
      <c r="G26" s="875">
        <f>G27</f>
        <v>0</v>
      </c>
      <c r="H26" s="875">
        <f>H27</f>
        <v>8700</v>
      </c>
      <c r="I26" s="874">
        <f t="shared" si="2"/>
        <v>0</v>
      </c>
      <c r="J26" s="875">
        <f>J27</f>
        <v>0</v>
      </c>
      <c r="K26" s="875">
        <f>K27</f>
        <v>0</v>
      </c>
      <c r="L26" s="876">
        <f t="shared" si="3"/>
        <v>0</v>
      </c>
      <c r="M26" s="877">
        <f t="shared" si="3"/>
        <v>0</v>
      </c>
      <c r="N26" s="877">
        <f t="shared" si="3"/>
        <v>0</v>
      </c>
      <c r="O26" s="1065">
        <f t="shared" si="1"/>
        <v>0</v>
      </c>
      <c r="P26" s="1065">
        <f t="shared" si="1"/>
        <v>0</v>
      </c>
      <c r="Q26" s="1065">
        <f t="shared" si="1"/>
        <v>0</v>
      </c>
      <c r="R26" s="2504" t="s">
        <v>1066</v>
      </c>
      <c r="S26" s="2505"/>
      <c r="T26" s="2505"/>
      <c r="U26" s="2506"/>
    </row>
    <row r="27" spans="1:23" ht="141.75" customHeight="1">
      <c r="A27" s="1144" t="s">
        <v>685</v>
      </c>
      <c r="B27" s="1084" t="s">
        <v>861</v>
      </c>
      <c r="C27" s="1083">
        <f t="shared" si="4"/>
        <v>8700</v>
      </c>
      <c r="D27" s="1085">
        <v>0</v>
      </c>
      <c r="E27" s="1085">
        <v>8700</v>
      </c>
      <c r="F27" s="1083">
        <f t="shared" si="5"/>
        <v>8700</v>
      </c>
      <c r="G27" s="1085">
        <v>0</v>
      </c>
      <c r="H27" s="1085">
        <v>8700</v>
      </c>
      <c r="I27" s="1083"/>
      <c r="J27" s="1083">
        <v>0</v>
      </c>
      <c r="K27" s="1083">
        <v>0</v>
      </c>
      <c r="L27" s="877">
        <f t="shared" si="3"/>
        <v>0</v>
      </c>
      <c r="M27" s="877">
        <f t="shared" si="3"/>
        <v>0</v>
      </c>
      <c r="N27" s="877">
        <f t="shared" si="3"/>
        <v>0</v>
      </c>
      <c r="O27" s="1065">
        <f t="shared" si="1"/>
        <v>0</v>
      </c>
      <c r="P27" s="1065">
        <f t="shared" si="1"/>
        <v>0</v>
      </c>
      <c r="Q27" s="1065">
        <f t="shared" si="1"/>
        <v>0</v>
      </c>
      <c r="R27" s="1148" t="s">
        <v>886</v>
      </c>
      <c r="S27" s="1149" t="s">
        <v>966</v>
      </c>
      <c r="T27" s="1148">
        <v>522</v>
      </c>
      <c r="U27" s="1148" t="s">
        <v>977</v>
      </c>
    </row>
    <row r="28" spans="1:23" s="700" customFormat="1" ht="26.25">
      <c r="A28" s="1144"/>
      <c r="B28" s="1074" t="s">
        <v>12</v>
      </c>
      <c r="C28" s="874">
        <f t="shared" si="4"/>
        <v>13835</v>
      </c>
      <c r="D28" s="880">
        <f>SUM(D29:D30)</f>
        <v>0</v>
      </c>
      <c r="E28" s="880">
        <f>SUM(E29:E30)</f>
        <v>13835</v>
      </c>
      <c r="F28" s="874">
        <f t="shared" si="5"/>
        <v>13835</v>
      </c>
      <c r="G28" s="880">
        <f>SUM(G29:G30)</f>
        <v>0</v>
      </c>
      <c r="H28" s="880">
        <f>SUM(H29:H30)</f>
        <v>13835</v>
      </c>
      <c r="I28" s="874">
        <f t="shared" ref="I28:I62" si="6">SUM(J28:K28)</f>
        <v>0</v>
      </c>
      <c r="J28" s="880">
        <f>SUM(J29:J30)</f>
        <v>0</v>
      </c>
      <c r="K28" s="880">
        <f>SUM(K29:K30)</f>
        <v>0</v>
      </c>
      <c r="L28" s="876">
        <f t="shared" si="3"/>
        <v>0</v>
      </c>
      <c r="M28" s="876">
        <f t="shared" si="3"/>
        <v>0</v>
      </c>
      <c r="N28" s="876">
        <f t="shared" si="3"/>
        <v>0</v>
      </c>
      <c r="O28" s="1065">
        <f t="shared" si="1"/>
        <v>0</v>
      </c>
      <c r="P28" s="1065">
        <f t="shared" si="1"/>
        <v>0</v>
      </c>
      <c r="Q28" s="1065">
        <f t="shared" si="1"/>
        <v>0</v>
      </c>
      <c r="R28" s="2504" t="s">
        <v>1066</v>
      </c>
      <c r="S28" s="2505"/>
      <c r="T28" s="2505"/>
      <c r="U28" s="2506"/>
      <c r="V28" s="1115"/>
      <c r="W28" s="993"/>
    </row>
    <row r="29" spans="1:23" ht="63.75" customHeight="1">
      <c r="A29" s="1144" t="s">
        <v>687</v>
      </c>
      <c r="B29" s="1075" t="s">
        <v>1037</v>
      </c>
      <c r="C29" s="874">
        <f t="shared" si="4"/>
        <v>7000</v>
      </c>
      <c r="D29" s="879">
        <v>0</v>
      </c>
      <c r="E29" s="879">
        <v>7000</v>
      </c>
      <c r="F29" s="874">
        <f t="shared" si="5"/>
        <v>7000</v>
      </c>
      <c r="G29" s="879">
        <v>0</v>
      </c>
      <c r="H29" s="879">
        <v>7000</v>
      </c>
      <c r="I29" s="874">
        <f t="shared" si="6"/>
        <v>0</v>
      </c>
      <c r="J29" s="879">
        <v>0</v>
      </c>
      <c r="K29" s="879">
        <v>0</v>
      </c>
      <c r="L29" s="876">
        <f t="shared" si="3"/>
        <v>0</v>
      </c>
      <c r="M29" s="877">
        <f t="shared" si="3"/>
        <v>0</v>
      </c>
      <c r="N29" s="877">
        <f t="shared" si="3"/>
        <v>0</v>
      </c>
      <c r="O29" s="1065">
        <f t="shared" si="1"/>
        <v>0</v>
      </c>
      <c r="P29" s="1065">
        <f t="shared" si="1"/>
        <v>0</v>
      </c>
      <c r="Q29" s="1065">
        <f t="shared" si="1"/>
        <v>0</v>
      </c>
      <c r="R29" s="1148" t="s">
        <v>886</v>
      </c>
      <c r="S29" s="1149" t="s">
        <v>970</v>
      </c>
      <c r="T29" s="1148">
        <v>522</v>
      </c>
      <c r="U29" s="1148">
        <v>24351</v>
      </c>
    </row>
    <row r="30" spans="1:23" ht="63.75" customHeight="1">
      <c r="A30" s="1144" t="s">
        <v>686</v>
      </c>
      <c r="B30" s="1075" t="s">
        <v>1038</v>
      </c>
      <c r="C30" s="874">
        <f>SUM(D30:E30)</f>
        <v>6835</v>
      </c>
      <c r="D30" s="879">
        <v>0</v>
      </c>
      <c r="E30" s="879">
        <v>6835</v>
      </c>
      <c r="F30" s="874">
        <f>SUM(G30:H30)</f>
        <v>6835</v>
      </c>
      <c r="G30" s="879">
        <v>0</v>
      </c>
      <c r="H30" s="879">
        <v>6835</v>
      </c>
      <c r="I30" s="874">
        <f t="shared" si="6"/>
        <v>0</v>
      </c>
      <c r="J30" s="879">
        <v>0</v>
      </c>
      <c r="K30" s="879">
        <v>0</v>
      </c>
      <c r="L30" s="876">
        <f t="shared" si="3"/>
        <v>0</v>
      </c>
      <c r="M30" s="877">
        <f>IF(J30=0,0,J30/G30*100)</f>
        <v>0</v>
      </c>
      <c r="N30" s="877">
        <f>IF(K30=0,0,K30/H30*100)</f>
        <v>0</v>
      </c>
      <c r="O30" s="1065">
        <f t="shared" si="1"/>
        <v>0</v>
      </c>
      <c r="P30" s="1065">
        <f t="shared" si="1"/>
        <v>0</v>
      </c>
      <c r="Q30" s="1065">
        <f t="shared" si="1"/>
        <v>0</v>
      </c>
      <c r="R30" s="1148" t="s">
        <v>886</v>
      </c>
      <c r="S30" s="1149" t="s">
        <v>968</v>
      </c>
      <c r="T30" s="1148">
        <v>522</v>
      </c>
      <c r="U30" s="1148" t="s">
        <v>969</v>
      </c>
    </row>
    <row r="31" spans="1:23" s="700" customFormat="1" ht="26.25">
      <c r="A31" s="991"/>
      <c r="B31" s="1074" t="s">
        <v>729</v>
      </c>
      <c r="C31" s="874">
        <f t="shared" si="4"/>
        <v>8500</v>
      </c>
      <c r="D31" s="880">
        <f>SUM(D32:D33)</f>
        <v>0</v>
      </c>
      <c r="E31" s="880">
        <f>SUM(E32:E33)</f>
        <v>8500</v>
      </c>
      <c r="F31" s="874">
        <f t="shared" si="5"/>
        <v>8500</v>
      </c>
      <c r="G31" s="880">
        <f>SUM(G32:G33)</f>
        <v>0</v>
      </c>
      <c r="H31" s="880">
        <f>SUM(H32:H33)</f>
        <v>8500</v>
      </c>
      <c r="I31" s="874">
        <f t="shared" si="6"/>
        <v>0</v>
      </c>
      <c r="J31" s="880">
        <f>SUM(J32:J33)</f>
        <v>0</v>
      </c>
      <c r="K31" s="880">
        <f>SUM(K32:K33)</f>
        <v>0</v>
      </c>
      <c r="L31" s="876">
        <f t="shared" si="3"/>
        <v>0</v>
      </c>
      <c r="M31" s="876">
        <f t="shared" si="3"/>
        <v>0</v>
      </c>
      <c r="N31" s="876">
        <f t="shared" si="3"/>
        <v>0</v>
      </c>
      <c r="O31" s="1065">
        <f t="shared" si="1"/>
        <v>0</v>
      </c>
      <c r="P31" s="1065">
        <f t="shared" si="1"/>
        <v>0</v>
      </c>
      <c r="Q31" s="1065">
        <f t="shared" si="1"/>
        <v>0</v>
      </c>
      <c r="R31" s="2504" t="s">
        <v>1066</v>
      </c>
      <c r="S31" s="2505"/>
      <c r="T31" s="2505"/>
      <c r="U31" s="2506"/>
      <c r="V31" s="1115"/>
      <c r="W31" s="993"/>
    </row>
    <row r="32" spans="1:23" ht="63.75" customHeight="1">
      <c r="A32" s="1144" t="s">
        <v>688</v>
      </c>
      <c r="B32" s="1075" t="s">
        <v>1039</v>
      </c>
      <c r="C32" s="874">
        <f t="shared" si="4"/>
        <v>7000</v>
      </c>
      <c r="D32" s="879">
        <v>0</v>
      </c>
      <c r="E32" s="879">
        <v>7000</v>
      </c>
      <c r="F32" s="874">
        <f t="shared" si="5"/>
        <v>7000</v>
      </c>
      <c r="G32" s="879">
        <v>0</v>
      </c>
      <c r="H32" s="879">
        <v>7000</v>
      </c>
      <c r="I32" s="874">
        <f t="shared" si="6"/>
        <v>0</v>
      </c>
      <c r="J32" s="879">
        <v>0</v>
      </c>
      <c r="K32" s="879">
        <v>0</v>
      </c>
      <c r="L32" s="876">
        <f t="shared" si="3"/>
        <v>0</v>
      </c>
      <c r="M32" s="877">
        <f t="shared" si="3"/>
        <v>0</v>
      </c>
      <c r="N32" s="877">
        <f t="shared" si="3"/>
        <v>0</v>
      </c>
      <c r="O32" s="1065">
        <f t="shared" si="1"/>
        <v>0</v>
      </c>
      <c r="P32" s="1065">
        <f t="shared" si="1"/>
        <v>0</v>
      </c>
      <c r="Q32" s="1065">
        <f t="shared" si="1"/>
        <v>0</v>
      </c>
      <c r="R32" s="1148" t="s">
        <v>926</v>
      </c>
      <c r="S32" s="1149" t="s">
        <v>970</v>
      </c>
      <c r="T32" s="1148">
        <v>522</v>
      </c>
      <c r="U32" s="1148" t="s">
        <v>993</v>
      </c>
    </row>
    <row r="33" spans="1:23" ht="63.75" customHeight="1">
      <c r="A33" s="1144" t="s">
        <v>98</v>
      </c>
      <c r="B33" s="1075" t="s">
        <v>1040</v>
      </c>
      <c r="C33" s="874">
        <f t="shared" si="4"/>
        <v>1500</v>
      </c>
      <c r="D33" s="879">
        <v>0</v>
      </c>
      <c r="E33" s="879">
        <v>1500</v>
      </c>
      <c r="F33" s="874">
        <f t="shared" si="5"/>
        <v>1500</v>
      </c>
      <c r="G33" s="879">
        <v>0</v>
      </c>
      <c r="H33" s="879">
        <v>1500</v>
      </c>
      <c r="I33" s="874">
        <f t="shared" si="6"/>
        <v>0</v>
      </c>
      <c r="J33" s="879">
        <v>0</v>
      </c>
      <c r="K33" s="879">
        <v>0</v>
      </c>
      <c r="L33" s="876">
        <f t="shared" si="3"/>
        <v>0</v>
      </c>
      <c r="M33" s="877">
        <f t="shared" si="3"/>
        <v>0</v>
      </c>
      <c r="N33" s="877">
        <f t="shared" si="3"/>
        <v>0</v>
      </c>
      <c r="O33" s="1065">
        <f t="shared" si="1"/>
        <v>0</v>
      </c>
      <c r="P33" s="1065">
        <f t="shared" si="1"/>
        <v>0</v>
      </c>
      <c r="Q33" s="1065">
        <f t="shared" si="1"/>
        <v>0</v>
      </c>
      <c r="R33" s="1148" t="s">
        <v>923</v>
      </c>
      <c r="S33" s="1149" t="s">
        <v>970</v>
      </c>
      <c r="T33" s="1148">
        <v>522</v>
      </c>
      <c r="U33" s="1148" t="s">
        <v>992</v>
      </c>
    </row>
    <row r="34" spans="1:23" s="700" customFormat="1" ht="26.25">
      <c r="A34" s="1144"/>
      <c r="B34" s="1074" t="s">
        <v>615</v>
      </c>
      <c r="C34" s="874">
        <f t="shared" si="4"/>
        <v>10156</v>
      </c>
      <c r="D34" s="880">
        <f>D35</f>
        <v>0</v>
      </c>
      <c r="E34" s="880">
        <f>E35</f>
        <v>10156</v>
      </c>
      <c r="F34" s="874">
        <f t="shared" si="5"/>
        <v>10156</v>
      </c>
      <c r="G34" s="880">
        <f>G35</f>
        <v>0</v>
      </c>
      <c r="H34" s="880">
        <f>H35</f>
        <v>10156</v>
      </c>
      <c r="I34" s="874">
        <f t="shared" si="6"/>
        <v>0</v>
      </c>
      <c r="J34" s="880">
        <f>J35</f>
        <v>0</v>
      </c>
      <c r="K34" s="880">
        <f>K35</f>
        <v>0</v>
      </c>
      <c r="L34" s="876">
        <f t="shared" si="3"/>
        <v>0</v>
      </c>
      <c r="M34" s="876">
        <f t="shared" si="3"/>
        <v>0</v>
      </c>
      <c r="N34" s="876">
        <f t="shared" si="3"/>
        <v>0</v>
      </c>
      <c r="O34" s="1065">
        <f t="shared" si="1"/>
        <v>0</v>
      </c>
      <c r="P34" s="1065">
        <f t="shared" si="1"/>
        <v>0</v>
      </c>
      <c r="Q34" s="1065">
        <f t="shared" si="1"/>
        <v>0</v>
      </c>
      <c r="R34" s="2504" t="s">
        <v>1066</v>
      </c>
      <c r="S34" s="2505"/>
      <c r="T34" s="2505"/>
      <c r="U34" s="2506"/>
      <c r="V34" s="1115"/>
      <c r="W34" s="993"/>
    </row>
    <row r="35" spans="1:23" ht="63.75" customHeight="1">
      <c r="A35" s="1144" t="s">
        <v>99</v>
      </c>
      <c r="B35" s="1075" t="s">
        <v>673</v>
      </c>
      <c r="C35" s="874">
        <f t="shared" si="4"/>
        <v>10156</v>
      </c>
      <c r="D35" s="879">
        <v>0</v>
      </c>
      <c r="E35" s="879">
        <v>10156</v>
      </c>
      <c r="F35" s="874">
        <f t="shared" si="5"/>
        <v>10156</v>
      </c>
      <c r="G35" s="879">
        <v>0</v>
      </c>
      <c r="H35" s="879">
        <v>10156</v>
      </c>
      <c r="I35" s="874">
        <f t="shared" si="6"/>
        <v>0</v>
      </c>
      <c r="J35" s="879">
        <v>0</v>
      </c>
      <c r="K35" s="879">
        <v>0</v>
      </c>
      <c r="L35" s="876">
        <f t="shared" si="3"/>
        <v>0</v>
      </c>
      <c r="M35" s="877">
        <f t="shared" si="3"/>
        <v>0</v>
      </c>
      <c r="N35" s="877">
        <f t="shared" si="3"/>
        <v>0</v>
      </c>
      <c r="O35" s="1065">
        <f t="shared" si="1"/>
        <v>0</v>
      </c>
      <c r="P35" s="1065">
        <f t="shared" si="1"/>
        <v>0</v>
      </c>
      <c r="Q35" s="1065">
        <f t="shared" si="1"/>
        <v>0</v>
      </c>
      <c r="R35" s="1148" t="s">
        <v>926</v>
      </c>
      <c r="S35" s="1149" t="s">
        <v>965</v>
      </c>
      <c r="T35" s="1148">
        <v>522</v>
      </c>
      <c r="U35" s="1148">
        <v>24345</v>
      </c>
    </row>
    <row r="36" spans="1:23" ht="34.5" customHeight="1">
      <c r="A36" s="991"/>
      <c r="B36" s="898" t="s">
        <v>68</v>
      </c>
      <c r="C36" s="874">
        <f t="shared" si="4"/>
        <v>23740</v>
      </c>
      <c r="D36" s="875">
        <f>SUM(D37:D40)</f>
        <v>0</v>
      </c>
      <c r="E36" s="875">
        <f>SUM(E37:E40)</f>
        <v>23740</v>
      </c>
      <c r="F36" s="874">
        <f t="shared" si="5"/>
        <v>23740</v>
      </c>
      <c r="G36" s="875">
        <f>SUM(G37:G40)</f>
        <v>0</v>
      </c>
      <c r="H36" s="875">
        <f>SUM(H37:H40)</f>
        <v>23740</v>
      </c>
      <c r="I36" s="874">
        <f t="shared" si="6"/>
        <v>312.5</v>
      </c>
      <c r="J36" s="875">
        <f>SUM(J37:J40)</f>
        <v>0</v>
      </c>
      <c r="K36" s="875">
        <f>SUM(K37:K40)</f>
        <v>312.5</v>
      </c>
      <c r="L36" s="876">
        <f t="shared" si="3"/>
        <v>1.3</v>
      </c>
      <c r="M36" s="877">
        <f t="shared" si="3"/>
        <v>0</v>
      </c>
      <c r="N36" s="877">
        <f t="shared" si="3"/>
        <v>1.3</v>
      </c>
      <c r="O36" s="1065">
        <f t="shared" si="1"/>
        <v>0</v>
      </c>
      <c r="P36" s="1065">
        <f t="shared" si="1"/>
        <v>0</v>
      </c>
      <c r="Q36" s="1065">
        <f t="shared" si="1"/>
        <v>0</v>
      </c>
      <c r="R36" s="2504" t="s">
        <v>1066</v>
      </c>
      <c r="S36" s="2505"/>
      <c r="T36" s="2505"/>
      <c r="U36" s="2506"/>
    </row>
    <row r="37" spans="1:23" ht="82.5" customHeight="1">
      <c r="A37" s="1144" t="s">
        <v>100</v>
      </c>
      <c r="B37" s="1084" t="s">
        <v>1041</v>
      </c>
      <c r="C37" s="1083">
        <f t="shared" si="4"/>
        <v>1240</v>
      </c>
      <c r="D37" s="1085">
        <v>0</v>
      </c>
      <c r="E37" s="1085">
        <v>1240</v>
      </c>
      <c r="F37" s="1083">
        <f t="shared" si="5"/>
        <v>1240</v>
      </c>
      <c r="G37" s="1085">
        <v>0</v>
      </c>
      <c r="H37" s="1085">
        <v>1240</v>
      </c>
      <c r="I37" s="1083">
        <f t="shared" si="6"/>
        <v>312.5</v>
      </c>
      <c r="J37" s="1083">
        <v>0</v>
      </c>
      <c r="K37" s="1083">
        <v>312.5</v>
      </c>
      <c r="L37" s="877">
        <f t="shared" si="3"/>
        <v>25.2</v>
      </c>
      <c r="M37" s="877">
        <f t="shared" si="3"/>
        <v>0</v>
      </c>
      <c r="N37" s="877">
        <f t="shared" si="3"/>
        <v>25.2</v>
      </c>
      <c r="O37" s="1065">
        <f t="shared" si="1"/>
        <v>0</v>
      </c>
      <c r="P37" s="1065">
        <f t="shared" si="1"/>
        <v>0</v>
      </c>
      <c r="Q37" s="1065">
        <f t="shared" si="1"/>
        <v>0</v>
      </c>
      <c r="R37" s="1148" t="s">
        <v>886</v>
      </c>
      <c r="S37" s="1149" t="s">
        <v>967</v>
      </c>
      <c r="T37" s="1148">
        <v>522</v>
      </c>
      <c r="U37" s="1148" t="s">
        <v>969</v>
      </c>
    </row>
    <row r="38" spans="1:23" ht="84.75" customHeight="1">
      <c r="A38" s="1144" t="s">
        <v>101</v>
      </c>
      <c r="B38" s="1084" t="s">
        <v>1042</v>
      </c>
      <c r="C38" s="1083">
        <f>SUM(D38:E38)</f>
        <v>6500</v>
      </c>
      <c r="D38" s="1085">
        <v>0</v>
      </c>
      <c r="E38" s="1085">
        <v>6500</v>
      </c>
      <c r="F38" s="1083">
        <f>SUM(G38:H38)</f>
        <v>6500</v>
      </c>
      <c r="G38" s="1085">
        <v>0</v>
      </c>
      <c r="H38" s="1085">
        <v>6500</v>
      </c>
      <c r="I38" s="1083">
        <f>SUM(J38:K38)</f>
        <v>0</v>
      </c>
      <c r="J38" s="1083">
        <v>0</v>
      </c>
      <c r="K38" s="1083">
        <v>0</v>
      </c>
      <c r="L38" s="877">
        <f t="shared" si="3"/>
        <v>0</v>
      </c>
      <c r="M38" s="877">
        <f>IF(J38=0,0,J38/G38*100)</f>
        <v>0</v>
      </c>
      <c r="N38" s="877">
        <f>IF(K38=0,0,K38/H38*100)</f>
        <v>0</v>
      </c>
      <c r="O38" s="1065"/>
      <c r="P38" s="1065"/>
      <c r="Q38" s="1065"/>
      <c r="R38" s="1148" t="s">
        <v>961</v>
      </c>
      <c r="S38" s="1149">
        <v>1240343280</v>
      </c>
      <c r="T38" s="1148">
        <v>522</v>
      </c>
      <c r="U38" s="1148" t="s">
        <v>971</v>
      </c>
    </row>
    <row r="39" spans="1:23" ht="169.5" customHeight="1">
      <c r="A39" s="1144" t="s">
        <v>102</v>
      </c>
      <c r="B39" s="1084" t="s">
        <v>1043</v>
      </c>
      <c r="C39" s="1083">
        <f t="shared" si="4"/>
        <v>6000</v>
      </c>
      <c r="D39" s="1085">
        <v>0</v>
      </c>
      <c r="E39" s="1085">
        <v>6000</v>
      </c>
      <c r="F39" s="1083">
        <f t="shared" si="5"/>
        <v>6000</v>
      </c>
      <c r="G39" s="1085">
        <v>0</v>
      </c>
      <c r="H39" s="1085">
        <v>6000</v>
      </c>
      <c r="I39" s="2412">
        <f t="shared" si="6"/>
        <v>0</v>
      </c>
      <c r="J39" s="2412">
        <v>0</v>
      </c>
      <c r="K39" s="2412">
        <v>0</v>
      </c>
      <c r="L39" s="2418">
        <f>IF(I39=0,0,I39/F39:F40*100)</f>
        <v>0</v>
      </c>
      <c r="M39" s="2418">
        <f>IF(J39=0,0,J39/G39:G40*100)</f>
        <v>0</v>
      </c>
      <c r="N39" s="2418">
        <f>IF(K39=0,0,K39/H39:H40*100)</f>
        <v>0</v>
      </c>
      <c r="O39" s="1065">
        <f t="shared" si="1"/>
        <v>0</v>
      </c>
      <c r="P39" s="1065">
        <f t="shared" si="1"/>
        <v>0</v>
      </c>
      <c r="Q39" s="1065">
        <f t="shared" si="1"/>
        <v>0</v>
      </c>
      <c r="R39" s="2519" t="s">
        <v>886</v>
      </c>
      <c r="S39" s="2519" t="s">
        <v>966</v>
      </c>
      <c r="T39" s="2519">
        <v>522</v>
      </c>
      <c r="U39" s="2519" t="s">
        <v>977</v>
      </c>
      <c r="V39" s="2411" t="s">
        <v>877</v>
      </c>
    </row>
    <row r="40" spans="1:23" ht="183.75">
      <c r="A40" s="1144" t="s">
        <v>103</v>
      </c>
      <c r="B40" s="1084" t="s">
        <v>1044</v>
      </c>
      <c r="C40" s="1083">
        <f t="shared" si="4"/>
        <v>10000</v>
      </c>
      <c r="D40" s="1085">
        <v>0</v>
      </c>
      <c r="E40" s="1085">
        <v>10000</v>
      </c>
      <c r="F40" s="1083">
        <f t="shared" si="5"/>
        <v>10000</v>
      </c>
      <c r="G40" s="1085">
        <v>0</v>
      </c>
      <c r="H40" s="1085">
        <v>10000</v>
      </c>
      <c r="I40" s="2414"/>
      <c r="J40" s="2414"/>
      <c r="K40" s="2414"/>
      <c r="L40" s="2419"/>
      <c r="M40" s="2419"/>
      <c r="N40" s="2419"/>
      <c r="O40" s="1065">
        <f t="shared" si="1"/>
        <v>0</v>
      </c>
      <c r="P40" s="1065">
        <f t="shared" si="1"/>
        <v>0</v>
      </c>
      <c r="Q40" s="1065">
        <f t="shared" si="1"/>
        <v>0</v>
      </c>
      <c r="R40" s="2519"/>
      <c r="S40" s="2519"/>
      <c r="T40" s="2519"/>
      <c r="U40" s="2519"/>
      <c r="V40" s="2411"/>
    </row>
    <row r="41" spans="1:23" ht="34.5" customHeight="1">
      <c r="A41" s="1144"/>
      <c r="B41" s="898" t="s">
        <v>281</v>
      </c>
      <c r="C41" s="874">
        <f t="shared" si="4"/>
        <v>21207</v>
      </c>
      <c r="D41" s="875">
        <f>SUM(D43:D44)</f>
        <v>0</v>
      </c>
      <c r="E41" s="875">
        <f>SUM(E42:E44)</f>
        <v>21207</v>
      </c>
      <c r="F41" s="874">
        <f t="shared" si="5"/>
        <v>21207</v>
      </c>
      <c r="G41" s="875">
        <f>SUM(G43:G44)</f>
        <v>0</v>
      </c>
      <c r="H41" s="875">
        <f>SUM(H42:H44)</f>
        <v>21207</v>
      </c>
      <c r="I41" s="874">
        <f t="shared" si="6"/>
        <v>0</v>
      </c>
      <c r="J41" s="875">
        <f>SUM(J43:J44)</f>
        <v>0</v>
      </c>
      <c r="K41" s="875">
        <f>SUM(K43:K44)</f>
        <v>0</v>
      </c>
      <c r="L41" s="876">
        <f t="shared" ref="L41:N65" si="7">IF(I41=0,0,I41/F41*100)</f>
        <v>0</v>
      </c>
      <c r="M41" s="877">
        <f t="shared" si="7"/>
        <v>0</v>
      </c>
      <c r="N41" s="877">
        <f t="shared" si="7"/>
        <v>0</v>
      </c>
      <c r="O41" s="1065">
        <f t="shared" si="1"/>
        <v>0</v>
      </c>
      <c r="P41" s="1065">
        <f t="shared" si="1"/>
        <v>0</v>
      </c>
      <c r="Q41" s="1065">
        <f t="shared" si="1"/>
        <v>0</v>
      </c>
      <c r="R41" s="2504" t="s">
        <v>1066</v>
      </c>
      <c r="S41" s="2505"/>
      <c r="T41" s="2505"/>
      <c r="U41" s="2506"/>
    </row>
    <row r="42" spans="1:23" ht="75" customHeight="1">
      <c r="A42" s="1144" t="s">
        <v>107</v>
      </c>
      <c r="B42" s="1146" t="s">
        <v>682</v>
      </c>
      <c r="C42" s="1083">
        <f>SUM(D42:E42)</f>
        <v>4207</v>
      </c>
      <c r="D42" s="1085">
        <v>0</v>
      </c>
      <c r="E42" s="1085">
        <v>4207</v>
      </c>
      <c r="F42" s="1083">
        <f>SUM(G42:H42)</f>
        <v>4207</v>
      </c>
      <c r="G42" s="1085">
        <v>0</v>
      </c>
      <c r="H42" s="1085">
        <v>4207</v>
      </c>
      <c r="I42" s="1083">
        <f>SUM(J42:K42)</f>
        <v>0</v>
      </c>
      <c r="J42" s="1083">
        <v>0</v>
      </c>
      <c r="K42" s="1083">
        <v>0</v>
      </c>
      <c r="L42" s="877">
        <f t="shared" si="7"/>
        <v>0</v>
      </c>
      <c r="M42" s="877">
        <f>IF(J42=0,0,J42/G42*100)</f>
        <v>0</v>
      </c>
      <c r="N42" s="877">
        <f>IF(K42=0,0,K42/H42*100)</f>
        <v>0</v>
      </c>
      <c r="O42" s="1065"/>
      <c r="P42" s="1065"/>
      <c r="Q42" s="1065"/>
      <c r="R42" s="1148" t="s">
        <v>928</v>
      </c>
      <c r="S42" s="1149" t="s">
        <v>988</v>
      </c>
      <c r="T42" s="1148">
        <v>522</v>
      </c>
      <c r="U42" s="1148" t="s">
        <v>989</v>
      </c>
    </row>
    <row r="43" spans="1:23" ht="63" customHeight="1">
      <c r="A43" s="1144" t="s">
        <v>108</v>
      </c>
      <c r="B43" s="1084" t="s">
        <v>675</v>
      </c>
      <c r="C43" s="1083">
        <f t="shared" si="4"/>
        <v>13000</v>
      </c>
      <c r="D43" s="1085">
        <v>0</v>
      </c>
      <c r="E43" s="1085">
        <v>13000</v>
      </c>
      <c r="F43" s="1083">
        <f t="shared" si="5"/>
        <v>13000</v>
      </c>
      <c r="G43" s="1085">
        <v>0</v>
      </c>
      <c r="H43" s="1085">
        <v>13000</v>
      </c>
      <c r="I43" s="1083">
        <f t="shared" si="6"/>
        <v>0</v>
      </c>
      <c r="J43" s="1083">
        <v>0</v>
      </c>
      <c r="K43" s="1083">
        <v>0</v>
      </c>
      <c r="L43" s="877">
        <f t="shared" si="7"/>
        <v>0</v>
      </c>
      <c r="M43" s="877">
        <f>IF(J43=0,0,J43/G43*100)</f>
        <v>0</v>
      </c>
      <c r="N43" s="877">
        <f>IF(K43=0,0,K43/H43*100)</f>
        <v>0</v>
      </c>
      <c r="O43" s="1065">
        <f t="shared" si="1"/>
        <v>0</v>
      </c>
      <c r="P43" s="1065">
        <f t="shared" si="1"/>
        <v>0</v>
      </c>
      <c r="Q43" s="1065">
        <f t="shared" si="1"/>
        <v>0</v>
      </c>
      <c r="R43" s="1148" t="s">
        <v>886</v>
      </c>
      <c r="S43" s="1149" t="s">
        <v>967</v>
      </c>
      <c r="T43" s="1148">
        <v>522</v>
      </c>
      <c r="U43" s="1148" t="s">
        <v>983</v>
      </c>
    </row>
    <row r="44" spans="1:23" ht="118.5" customHeight="1">
      <c r="A44" s="1144" t="s">
        <v>109</v>
      </c>
      <c r="B44" s="1084" t="s">
        <v>1045</v>
      </c>
      <c r="C44" s="1083">
        <f t="shared" si="4"/>
        <v>4000</v>
      </c>
      <c r="D44" s="1085">
        <v>0</v>
      </c>
      <c r="E44" s="1085">
        <v>4000</v>
      </c>
      <c r="F44" s="1083">
        <f t="shared" si="5"/>
        <v>4000</v>
      </c>
      <c r="G44" s="1085">
        <v>0</v>
      </c>
      <c r="H44" s="1085">
        <v>4000</v>
      </c>
      <c r="I44" s="1083">
        <f t="shared" si="6"/>
        <v>0</v>
      </c>
      <c r="J44" s="1083">
        <v>0</v>
      </c>
      <c r="K44" s="1083">
        <v>0</v>
      </c>
      <c r="L44" s="877">
        <f t="shared" si="7"/>
        <v>0</v>
      </c>
      <c r="M44" s="877">
        <f t="shared" si="7"/>
        <v>0</v>
      </c>
      <c r="N44" s="877">
        <f t="shared" si="7"/>
        <v>0</v>
      </c>
      <c r="O44" s="1065">
        <f t="shared" si="1"/>
        <v>0</v>
      </c>
      <c r="P44" s="1065">
        <f t="shared" si="1"/>
        <v>0</v>
      </c>
      <c r="Q44" s="1065">
        <f t="shared" si="1"/>
        <v>0</v>
      </c>
      <c r="R44" s="1148" t="s">
        <v>886</v>
      </c>
      <c r="S44" s="1149">
        <v>510243220</v>
      </c>
      <c r="T44" s="1148">
        <v>522</v>
      </c>
      <c r="U44" s="1148" t="s">
        <v>979</v>
      </c>
    </row>
    <row r="45" spans="1:23" ht="34.5" customHeight="1">
      <c r="A45" s="1144"/>
      <c r="B45" s="898" t="s">
        <v>431</v>
      </c>
      <c r="C45" s="874">
        <f t="shared" si="4"/>
        <v>10680</v>
      </c>
      <c r="D45" s="875">
        <f>D47</f>
        <v>0</v>
      </c>
      <c r="E45" s="875">
        <f>SUM(E46:E47)</f>
        <v>10680</v>
      </c>
      <c r="F45" s="874">
        <f t="shared" si="5"/>
        <v>10680</v>
      </c>
      <c r="G45" s="875">
        <f>G47</f>
        <v>0</v>
      </c>
      <c r="H45" s="875">
        <f>SUM(H46:H47)</f>
        <v>10680</v>
      </c>
      <c r="I45" s="874">
        <f t="shared" si="6"/>
        <v>0</v>
      </c>
      <c r="J45" s="875">
        <f>J47</f>
        <v>0</v>
      </c>
      <c r="K45" s="875">
        <f>K47</f>
        <v>0</v>
      </c>
      <c r="L45" s="876">
        <f t="shared" si="7"/>
        <v>0</v>
      </c>
      <c r="M45" s="877">
        <f t="shared" si="7"/>
        <v>0</v>
      </c>
      <c r="N45" s="877">
        <f t="shared" si="7"/>
        <v>0</v>
      </c>
      <c r="O45" s="1065">
        <f t="shared" si="1"/>
        <v>0</v>
      </c>
      <c r="P45" s="1065">
        <f t="shared" si="1"/>
        <v>0</v>
      </c>
      <c r="Q45" s="1065">
        <f t="shared" si="1"/>
        <v>0</v>
      </c>
      <c r="R45" s="2504" t="s">
        <v>1066</v>
      </c>
      <c r="S45" s="2505"/>
      <c r="T45" s="2505"/>
      <c r="U45" s="2506"/>
    </row>
    <row r="46" spans="1:23" ht="93" customHeight="1">
      <c r="A46" s="1144" t="s">
        <v>1022</v>
      </c>
      <c r="B46" s="1146" t="s">
        <v>1042</v>
      </c>
      <c r="C46" s="1083">
        <f>SUM(D46:E46)</f>
        <v>6280</v>
      </c>
      <c r="D46" s="1085">
        <v>0</v>
      </c>
      <c r="E46" s="1085">
        <v>6280</v>
      </c>
      <c r="F46" s="1083">
        <f>SUM(G46:H46)</f>
        <v>6280</v>
      </c>
      <c r="G46" s="1085">
        <v>0</v>
      </c>
      <c r="H46" s="1085">
        <v>6280</v>
      </c>
      <c r="I46" s="1083">
        <f>SUM(J46:K46)</f>
        <v>0</v>
      </c>
      <c r="J46" s="1083">
        <v>0</v>
      </c>
      <c r="K46" s="1083">
        <v>0</v>
      </c>
      <c r="L46" s="877">
        <f t="shared" si="7"/>
        <v>0</v>
      </c>
      <c r="M46" s="877">
        <f>IF(J46=0,0,J46/G46*100)</f>
        <v>0</v>
      </c>
      <c r="N46" s="877">
        <f>IF(K46=0,0,K46/H46*100)</f>
        <v>0</v>
      </c>
      <c r="O46" s="1065"/>
      <c r="P46" s="1065"/>
      <c r="Q46" s="1065"/>
      <c r="R46" s="1148" t="s">
        <v>961</v>
      </c>
      <c r="S46" s="1149">
        <v>1240343280</v>
      </c>
      <c r="T46" s="1148">
        <v>522</v>
      </c>
      <c r="U46" s="1148" t="s">
        <v>971</v>
      </c>
    </row>
    <row r="47" spans="1:23" ht="78.75">
      <c r="A47" s="1144" t="s">
        <v>117</v>
      </c>
      <c r="B47" s="1084" t="s">
        <v>676</v>
      </c>
      <c r="C47" s="1083">
        <f t="shared" si="4"/>
        <v>4400</v>
      </c>
      <c r="D47" s="1085">
        <v>0</v>
      </c>
      <c r="E47" s="1085">
        <v>4400</v>
      </c>
      <c r="F47" s="1083">
        <f t="shared" si="5"/>
        <v>4400</v>
      </c>
      <c r="G47" s="1085">
        <v>0</v>
      </c>
      <c r="H47" s="1085">
        <v>4400</v>
      </c>
      <c r="I47" s="1083">
        <f t="shared" si="6"/>
        <v>0</v>
      </c>
      <c r="J47" s="1083">
        <v>0</v>
      </c>
      <c r="K47" s="1083">
        <v>0</v>
      </c>
      <c r="L47" s="877">
        <f t="shared" si="7"/>
        <v>0</v>
      </c>
      <c r="M47" s="877">
        <f t="shared" si="7"/>
        <v>0</v>
      </c>
      <c r="N47" s="877">
        <f t="shared" si="7"/>
        <v>0</v>
      </c>
      <c r="O47" s="1065">
        <f t="shared" si="1"/>
        <v>0</v>
      </c>
      <c r="P47" s="1065">
        <f t="shared" si="1"/>
        <v>0</v>
      </c>
      <c r="Q47" s="1065">
        <f t="shared" si="1"/>
        <v>0</v>
      </c>
      <c r="R47" s="1148" t="s">
        <v>886</v>
      </c>
      <c r="S47" s="1149" t="s">
        <v>972</v>
      </c>
      <c r="T47" s="1148">
        <v>522</v>
      </c>
      <c r="U47" s="1148" t="s">
        <v>978</v>
      </c>
    </row>
    <row r="48" spans="1:23" ht="34.5" customHeight="1">
      <c r="A48" s="1144"/>
      <c r="B48" s="898" t="s">
        <v>583</v>
      </c>
      <c r="C48" s="874">
        <f t="shared" si="4"/>
        <v>2500</v>
      </c>
      <c r="D48" s="875">
        <f>D49</f>
        <v>0</v>
      </c>
      <c r="E48" s="875">
        <f>E49</f>
        <v>2500</v>
      </c>
      <c r="F48" s="874">
        <f t="shared" si="5"/>
        <v>2500</v>
      </c>
      <c r="G48" s="875">
        <f>G49</f>
        <v>0</v>
      </c>
      <c r="H48" s="875">
        <f>H49</f>
        <v>2500</v>
      </c>
      <c r="I48" s="874">
        <f t="shared" si="6"/>
        <v>0</v>
      </c>
      <c r="J48" s="875">
        <f>J49</f>
        <v>0</v>
      </c>
      <c r="K48" s="875">
        <f>K49</f>
        <v>0</v>
      </c>
      <c r="L48" s="876">
        <f t="shared" si="7"/>
        <v>0</v>
      </c>
      <c r="M48" s="877">
        <f t="shared" si="7"/>
        <v>0</v>
      </c>
      <c r="N48" s="877">
        <f t="shared" si="7"/>
        <v>0</v>
      </c>
      <c r="O48" s="1065">
        <f t="shared" si="1"/>
        <v>0</v>
      </c>
      <c r="P48" s="1065">
        <f t="shared" si="1"/>
        <v>0</v>
      </c>
      <c r="Q48" s="1065">
        <f t="shared" si="1"/>
        <v>0</v>
      </c>
      <c r="R48" s="2504" t="s">
        <v>1066</v>
      </c>
      <c r="S48" s="2505"/>
      <c r="T48" s="2505"/>
      <c r="U48" s="2506"/>
    </row>
    <row r="49" spans="1:21" ht="60">
      <c r="A49" s="1144" t="s">
        <v>118</v>
      </c>
      <c r="B49" s="1084" t="s">
        <v>1046</v>
      </c>
      <c r="C49" s="1083">
        <f t="shared" si="4"/>
        <v>2500</v>
      </c>
      <c r="D49" s="1085">
        <v>0</v>
      </c>
      <c r="E49" s="1085">
        <v>2500</v>
      </c>
      <c r="F49" s="1083">
        <f t="shared" si="5"/>
        <v>2500</v>
      </c>
      <c r="G49" s="1085">
        <v>0</v>
      </c>
      <c r="H49" s="1085">
        <v>2500</v>
      </c>
      <c r="I49" s="1083">
        <f t="shared" si="6"/>
        <v>0</v>
      </c>
      <c r="J49" s="1083">
        <v>0</v>
      </c>
      <c r="K49" s="1083">
        <v>0</v>
      </c>
      <c r="L49" s="877">
        <f t="shared" si="7"/>
        <v>0</v>
      </c>
      <c r="M49" s="877">
        <f t="shared" si="7"/>
        <v>0</v>
      </c>
      <c r="N49" s="877">
        <f t="shared" si="7"/>
        <v>0</v>
      </c>
      <c r="O49" s="1065">
        <f t="shared" si="1"/>
        <v>0</v>
      </c>
      <c r="P49" s="1065">
        <f t="shared" si="1"/>
        <v>0</v>
      </c>
      <c r="Q49" s="1065">
        <f t="shared" si="1"/>
        <v>0</v>
      </c>
      <c r="R49" s="1148" t="s">
        <v>886</v>
      </c>
      <c r="S49" s="1149" t="s">
        <v>967</v>
      </c>
      <c r="T49" s="1148">
        <v>522</v>
      </c>
      <c r="U49" s="1148" t="s">
        <v>969</v>
      </c>
    </row>
    <row r="50" spans="1:21" ht="34.5" customHeight="1">
      <c r="A50" s="1144"/>
      <c r="B50" s="898" t="s">
        <v>709</v>
      </c>
      <c r="C50" s="874">
        <f>SUM(D50:E50)</f>
        <v>109500</v>
      </c>
      <c r="D50" s="875">
        <f>SUM(D52:D53)</f>
        <v>0</v>
      </c>
      <c r="E50" s="875">
        <f>SUM(E51:E53)</f>
        <v>109500</v>
      </c>
      <c r="F50" s="874">
        <f>SUM(G50:H50)</f>
        <v>109500</v>
      </c>
      <c r="G50" s="875">
        <f>SUM(G52:G53)</f>
        <v>0</v>
      </c>
      <c r="H50" s="875">
        <f>SUM(H51:H53)</f>
        <v>109500</v>
      </c>
      <c r="I50" s="874">
        <f>SUM(J50:K50)</f>
        <v>0</v>
      </c>
      <c r="J50" s="875">
        <f>SUM(J52:J53)</f>
        <v>0</v>
      </c>
      <c r="K50" s="875">
        <f>SUM(K52:K53)</f>
        <v>0</v>
      </c>
      <c r="L50" s="876">
        <f t="shared" si="7"/>
        <v>0</v>
      </c>
      <c r="M50" s="877">
        <f t="shared" si="7"/>
        <v>0</v>
      </c>
      <c r="N50" s="877">
        <f t="shared" si="7"/>
        <v>0</v>
      </c>
      <c r="O50" s="1065">
        <f t="shared" si="1"/>
        <v>0</v>
      </c>
      <c r="P50" s="1065">
        <f t="shared" si="1"/>
        <v>0</v>
      </c>
      <c r="Q50" s="1065">
        <f t="shared" si="1"/>
        <v>0</v>
      </c>
      <c r="R50" s="2504" t="s">
        <v>1066</v>
      </c>
      <c r="S50" s="2505"/>
      <c r="T50" s="2505"/>
      <c r="U50" s="2506"/>
    </row>
    <row r="51" spans="1:21" ht="78.75">
      <c r="A51" s="1144" t="s">
        <v>154</v>
      </c>
      <c r="B51" s="1146" t="s">
        <v>1047</v>
      </c>
      <c r="C51" s="1083">
        <f>SUM(D51:E51)</f>
        <v>35000</v>
      </c>
      <c r="D51" s="1085">
        <v>0</v>
      </c>
      <c r="E51" s="1085">
        <v>35000</v>
      </c>
      <c r="F51" s="1083">
        <f>SUM(G51:H51)</f>
        <v>35000</v>
      </c>
      <c r="G51" s="1085">
        <v>0</v>
      </c>
      <c r="H51" s="1085">
        <v>35000</v>
      </c>
      <c r="I51" s="1083">
        <f t="shared" si="6"/>
        <v>0</v>
      </c>
      <c r="J51" s="1083">
        <v>0</v>
      </c>
      <c r="K51" s="1083">
        <v>0</v>
      </c>
      <c r="L51" s="877">
        <f t="shared" si="7"/>
        <v>0</v>
      </c>
      <c r="M51" s="877">
        <f>IF(J51=0,0,J51/G51*100)</f>
        <v>0</v>
      </c>
      <c r="N51" s="877">
        <f>IF(K51=0,0,K51/H51*100)</f>
        <v>0</v>
      </c>
      <c r="O51" s="1065"/>
      <c r="P51" s="1065"/>
      <c r="Q51" s="1065"/>
      <c r="R51" s="1148" t="s">
        <v>961</v>
      </c>
      <c r="S51" s="1149" t="s">
        <v>990</v>
      </c>
      <c r="T51" s="1148">
        <v>522</v>
      </c>
      <c r="U51" s="1148">
        <v>24357</v>
      </c>
    </row>
    <row r="52" spans="1:21" ht="76.5" customHeight="1">
      <c r="A52" s="1144" t="s">
        <v>155</v>
      </c>
      <c r="B52" s="1084" t="s">
        <v>1048</v>
      </c>
      <c r="C52" s="1083">
        <f>SUM(D52:E52)</f>
        <v>15000</v>
      </c>
      <c r="D52" s="1085">
        <v>0</v>
      </c>
      <c r="E52" s="1085">
        <v>15000</v>
      </c>
      <c r="F52" s="1083">
        <f>SUM(G52:H52)</f>
        <v>15000</v>
      </c>
      <c r="G52" s="1085">
        <v>0</v>
      </c>
      <c r="H52" s="1085">
        <v>15000</v>
      </c>
      <c r="I52" s="1083">
        <f t="shared" si="6"/>
        <v>0</v>
      </c>
      <c r="J52" s="1083">
        <v>0</v>
      </c>
      <c r="K52" s="1083">
        <v>0</v>
      </c>
      <c r="L52" s="877">
        <f t="shared" si="7"/>
        <v>0</v>
      </c>
      <c r="M52" s="877">
        <f>IF(J52=0,0,J52/G52*100)</f>
        <v>0</v>
      </c>
      <c r="N52" s="877">
        <f>IF(K52=0,0,K52/H52*100)</f>
        <v>0</v>
      </c>
      <c r="O52" s="1065">
        <f t="shared" si="1"/>
        <v>0</v>
      </c>
      <c r="P52" s="1065">
        <f t="shared" si="1"/>
        <v>0</v>
      </c>
      <c r="Q52" s="1065">
        <f t="shared" si="1"/>
        <v>0</v>
      </c>
      <c r="R52" s="1148" t="s">
        <v>886</v>
      </c>
      <c r="S52" s="1149" t="s">
        <v>967</v>
      </c>
      <c r="T52" s="1148">
        <v>522</v>
      </c>
      <c r="U52" s="1148" t="s">
        <v>991</v>
      </c>
    </row>
    <row r="53" spans="1:21" ht="78.75">
      <c r="A53" s="1144" t="s">
        <v>156</v>
      </c>
      <c r="B53" s="1084" t="s">
        <v>1049</v>
      </c>
      <c r="C53" s="1083">
        <f t="shared" si="4"/>
        <v>59500</v>
      </c>
      <c r="D53" s="1085">
        <v>0</v>
      </c>
      <c r="E53" s="1085">
        <v>59500</v>
      </c>
      <c r="F53" s="1083">
        <f t="shared" si="5"/>
        <v>59500</v>
      </c>
      <c r="G53" s="1085">
        <v>0</v>
      </c>
      <c r="H53" s="1085">
        <v>59500</v>
      </c>
      <c r="I53" s="1083">
        <f t="shared" si="6"/>
        <v>0</v>
      </c>
      <c r="J53" s="1083">
        <v>0</v>
      </c>
      <c r="K53" s="1083">
        <v>0</v>
      </c>
      <c r="L53" s="877">
        <f t="shared" si="7"/>
        <v>0</v>
      </c>
      <c r="M53" s="877">
        <f t="shared" si="7"/>
        <v>0</v>
      </c>
      <c r="N53" s="877">
        <f t="shared" si="7"/>
        <v>0</v>
      </c>
      <c r="O53" s="1065">
        <f t="shared" si="1"/>
        <v>0</v>
      </c>
      <c r="P53" s="1065">
        <f t="shared" si="1"/>
        <v>0</v>
      </c>
      <c r="Q53" s="1065">
        <f t="shared" si="1"/>
        <v>0</v>
      </c>
      <c r="R53" s="1148" t="s">
        <v>886</v>
      </c>
      <c r="S53" s="1149" t="s">
        <v>967</v>
      </c>
      <c r="T53" s="1148">
        <v>522</v>
      </c>
      <c r="U53" s="1148" t="s">
        <v>969</v>
      </c>
    </row>
    <row r="54" spans="1:21" ht="34.5" customHeight="1">
      <c r="A54" s="1144"/>
      <c r="B54" s="898" t="s">
        <v>333</v>
      </c>
      <c r="C54" s="874">
        <f t="shared" si="4"/>
        <v>32810</v>
      </c>
      <c r="D54" s="875">
        <f>SUM(D55:D56)</f>
        <v>0</v>
      </c>
      <c r="E54" s="875">
        <f>SUM(E55:E56)</f>
        <v>32810</v>
      </c>
      <c r="F54" s="874">
        <f t="shared" si="5"/>
        <v>32810</v>
      </c>
      <c r="G54" s="875">
        <f>SUM(G55:G56)</f>
        <v>0</v>
      </c>
      <c r="H54" s="875">
        <f>SUM(H55:H56)</f>
        <v>32810</v>
      </c>
      <c r="I54" s="874">
        <f>SUM(J54:K54)</f>
        <v>0</v>
      </c>
      <c r="J54" s="875">
        <f>SUM(J55:J56)</f>
        <v>0</v>
      </c>
      <c r="K54" s="875">
        <f>SUM(K55:K56)</f>
        <v>0</v>
      </c>
      <c r="L54" s="876">
        <f t="shared" si="7"/>
        <v>0</v>
      </c>
      <c r="M54" s="877">
        <f t="shared" si="7"/>
        <v>0</v>
      </c>
      <c r="N54" s="877">
        <f t="shared" si="7"/>
        <v>0</v>
      </c>
      <c r="O54" s="1065">
        <f t="shared" si="1"/>
        <v>0</v>
      </c>
      <c r="P54" s="1065">
        <f t="shared" si="1"/>
        <v>0</v>
      </c>
      <c r="Q54" s="1065">
        <f t="shared" si="1"/>
        <v>0</v>
      </c>
      <c r="R54" s="2504" t="s">
        <v>1066</v>
      </c>
      <c r="S54" s="2505"/>
      <c r="T54" s="2505"/>
      <c r="U54" s="2506"/>
    </row>
    <row r="55" spans="1:21" ht="60">
      <c r="A55" s="1144" t="s">
        <v>122</v>
      </c>
      <c r="B55" s="1084" t="s">
        <v>1051</v>
      </c>
      <c r="C55" s="1083">
        <f>SUM(D55:E55)</f>
        <v>10000</v>
      </c>
      <c r="D55" s="1085">
        <v>0</v>
      </c>
      <c r="E55" s="1085">
        <v>10000</v>
      </c>
      <c r="F55" s="1083">
        <f>SUM(G55:H55)</f>
        <v>10000</v>
      </c>
      <c r="G55" s="1085">
        <v>0</v>
      </c>
      <c r="H55" s="1085">
        <v>10000</v>
      </c>
      <c r="I55" s="1083">
        <f t="shared" si="6"/>
        <v>0</v>
      </c>
      <c r="J55" s="1083">
        <v>0</v>
      </c>
      <c r="K55" s="1083">
        <v>0</v>
      </c>
      <c r="L55" s="877">
        <f t="shared" si="7"/>
        <v>0</v>
      </c>
      <c r="M55" s="877">
        <f>IF(J55=0,0,J55/G55*100)</f>
        <v>0</v>
      </c>
      <c r="N55" s="877">
        <f>IF(K55=0,0,K55/H55*100)</f>
        <v>0</v>
      </c>
      <c r="O55" s="1065">
        <f t="shared" si="1"/>
        <v>0</v>
      </c>
      <c r="P55" s="1065">
        <f t="shared" si="1"/>
        <v>0</v>
      </c>
      <c r="Q55" s="1065">
        <f t="shared" si="1"/>
        <v>0</v>
      </c>
      <c r="R55" s="1148" t="s">
        <v>886</v>
      </c>
      <c r="S55" s="1149" t="s">
        <v>967</v>
      </c>
      <c r="T55" s="1148">
        <v>522</v>
      </c>
      <c r="U55" s="1148" t="s">
        <v>994</v>
      </c>
    </row>
    <row r="56" spans="1:21" ht="60">
      <c r="A56" s="1144" t="s">
        <v>123</v>
      </c>
      <c r="B56" s="1084" t="s">
        <v>1050</v>
      </c>
      <c r="C56" s="1083">
        <f t="shared" si="4"/>
        <v>22810</v>
      </c>
      <c r="D56" s="1085">
        <v>0</v>
      </c>
      <c r="E56" s="1085">
        <v>22810</v>
      </c>
      <c r="F56" s="1083">
        <f t="shared" si="5"/>
        <v>22810</v>
      </c>
      <c r="G56" s="1085">
        <v>0</v>
      </c>
      <c r="H56" s="1085">
        <v>22810</v>
      </c>
      <c r="I56" s="1083">
        <f t="shared" si="6"/>
        <v>0</v>
      </c>
      <c r="J56" s="1083">
        <v>0</v>
      </c>
      <c r="K56" s="1083">
        <v>0</v>
      </c>
      <c r="L56" s="877">
        <f t="shared" si="7"/>
        <v>0</v>
      </c>
      <c r="M56" s="877">
        <f t="shared" si="7"/>
        <v>0</v>
      </c>
      <c r="N56" s="877">
        <f t="shared" si="7"/>
        <v>0</v>
      </c>
      <c r="O56" s="1065">
        <f t="shared" si="1"/>
        <v>0</v>
      </c>
      <c r="P56" s="1065">
        <f t="shared" si="1"/>
        <v>0</v>
      </c>
      <c r="Q56" s="1065">
        <f t="shared" si="1"/>
        <v>0</v>
      </c>
      <c r="R56" s="1148" t="s">
        <v>886</v>
      </c>
      <c r="S56" s="1149" t="s">
        <v>967</v>
      </c>
      <c r="T56" s="1148">
        <v>522</v>
      </c>
      <c r="U56" s="1148" t="s">
        <v>995</v>
      </c>
    </row>
    <row r="57" spans="1:21" ht="34.5" customHeight="1">
      <c r="A57" s="1144"/>
      <c r="B57" s="898" t="s">
        <v>443</v>
      </c>
      <c r="C57" s="874">
        <f>SUM(D57:E57)</f>
        <v>14560</v>
      </c>
      <c r="D57" s="875">
        <f>D58</f>
        <v>0</v>
      </c>
      <c r="E57" s="875">
        <f>E58</f>
        <v>14560</v>
      </c>
      <c r="F57" s="874">
        <f>SUM(G57:H57)</f>
        <v>14560</v>
      </c>
      <c r="G57" s="875">
        <f>G58</f>
        <v>0</v>
      </c>
      <c r="H57" s="875">
        <f>H58</f>
        <v>14560</v>
      </c>
      <c r="I57" s="874">
        <f>SUM(J57:K57)</f>
        <v>0</v>
      </c>
      <c r="J57" s="875">
        <f>J58</f>
        <v>0</v>
      </c>
      <c r="K57" s="875">
        <f>K58</f>
        <v>0</v>
      </c>
      <c r="L57" s="876">
        <f t="shared" si="7"/>
        <v>0</v>
      </c>
      <c r="M57" s="877">
        <f>IF(J57=0,0,J57/G57*100)</f>
        <v>0</v>
      </c>
      <c r="N57" s="877">
        <f>IF(K57=0,0,K57/H57*100)</f>
        <v>0</v>
      </c>
      <c r="O57" s="1065">
        <f t="shared" si="1"/>
        <v>0</v>
      </c>
      <c r="P57" s="1065">
        <f t="shared" si="1"/>
        <v>0</v>
      </c>
      <c r="Q57" s="1065">
        <f t="shared" si="1"/>
        <v>0</v>
      </c>
      <c r="R57" s="2504" t="s">
        <v>1066</v>
      </c>
      <c r="S57" s="2505"/>
      <c r="T57" s="2505"/>
      <c r="U57" s="2506"/>
    </row>
    <row r="58" spans="1:21" ht="60">
      <c r="A58" s="1144" t="s">
        <v>124</v>
      </c>
      <c r="B58" s="1084" t="s">
        <v>1052</v>
      </c>
      <c r="C58" s="1083">
        <f>SUM(D58:E58)</f>
        <v>14560</v>
      </c>
      <c r="D58" s="1085">
        <v>0</v>
      </c>
      <c r="E58" s="1085">
        <v>14560</v>
      </c>
      <c r="F58" s="1083">
        <f>SUM(G58:H58)</f>
        <v>14560</v>
      </c>
      <c r="G58" s="1085">
        <v>0</v>
      </c>
      <c r="H58" s="1085">
        <v>14560</v>
      </c>
      <c r="I58" s="1083">
        <f t="shared" si="6"/>
        <v>0</v>
      </c>
      <c r="J58" s="1083">
        <v>0</v>
      </c>
      <c r="K58" s="1083">
        <v>0</v>
      </c>
      <c r="L58" s="877">
        <f t="shared" si="7"/>
        <v>0</v>
      </c>
      <c r="M58" s="877">
        <f>IF(J58=0,0,J58/G58*100)</f>
        <v>0</v>
      </c>
      <c r="N58" s="877">
        <f>IF(K58=0,0,K58/H58*100)</f>
        <v>0</v>
      </c>
      <c r="O58" s="1065">
        <f t="shared" si="1"/>
        <v>0</v>
      </c>
      <c r="P58" s="1065">
        <f t="shared" si="1"/>
        <v>0</v>
      </c>
      <c r="Q58" s="1065">
        <f t="shared" si="1"/>
        <v>0</v>
      </c>
      <c r="R58" s="1148" t="s">
        <v>886</v>
      </c>
      <c r="S58" s="1149" t="s">
        <v>967</v>
      </c>
      <c r="T58" s="1148">
        <v>522</v>
      </c>
      <c r="U58" s="1148" t="s">
        <v>986</v>
      </c>
    </row>
    <row r="59" spans="1:21" ht="34.5" customHeight="1">
      <c r="A59" s="1144"/>
      <c r="B59" s="898" t="s">
        <v>90</v>
      </c>
      <c r="C59" s="874">
        <f t="shared" si="4"/>
        <v>1300</v>
      </c>
      <c r="D59" s="875">
        <f>D60</f>
        <v>0</v>
      </c>
      <c r="E59" s="875">
        <f>E60</f>
        <v>1300</v>
      </c>
      <c r="F59" s="874">
        <f t="shared" si="5"/>
        <v>1300</v>
      </c>
      <c r="G59" s="875">
        <f>G60</f>
        <v>0</v>
      </c>
      <c r="H59" s="875">
        <f>H60</f>
        <v>1300</v>
      </c>
      <c r="I59" s="874">
        <f>SUM(J59:K59)</f>
        <v>0</v>
      </c>
      <c r="J59" s="875">
        <f>J60</f>
        <v>0</v>
      </c>
      <c r="K59" s="875">
        <f>K60</f>
        <v>0</v>
      </c>
      <c r="L59" s="876">
        <f t="shared" si="7"/>
        <v>0</v>
      </c>
      <c r="M59" s="877">
        <f t="shared" si="7"/>
        <v>0</v>
      </c>
      <c r="N59" s="877">
        <f t="shared" si="7"/>
        <v>0</v>
      </c>
      <c r="O59" s="1065">
        <f t="shared" si="1"/>
        <v>0</v>
      </c>
      <c r="P59" s="1065">
        <f t="shared" si="1"/>
        <v>0</v>
      </c>
      <c r="Q59" s="1065">
        <f t="shared" si="1"/>
        <v>0</v>
      </c>
      <c r="R59" s="2504" t="s">
        <v>1066</v>
      </c>
      <c r="S59" s="2505"/>
      <c r="T59" s="2505"/>
      <c r="U59" s="2506"/>
    </row>
    <row r="60" spans="1:21" ht="60">
      <c r="A60" s="1144" t="s">
        <v>125</v>
      </c>
      <c r="B60" s="1084" t="s">
        <v>1053</v>
      </c>
      <c r="C60" s="1083">
        <f t="shared" si="4"/>
        <v>1300</v>
      </c>
      <c r="D60" s="1085">
        <v>0</v>
      </c>
      <c r="E60" s="1085">
        <v>1300</v>
      </c>
      <c r="F60" s="1083">
        <f t="shared" si="5"/>
        <v>1300</v>
      </c>
      <c r="G60" s="1085">
        <v>0</v>
      </c>
      <c r="H60" s="1085">
        <v>1300</v>
      </c>
      <c r="I60" s="1083">
        <f t="shared" si="6"/>
        <v>0</v>
      </c>
      <c r="J60" s="1083">
        <v>0</v>
      </c>
      <c r="K60" s="1083">
        <v>0</v>
      </c>
      <c r="L60" s="877">
        <f t="shared" si="7"/>
        <v>0</v>
      </c>
      <c r="M60" s="877">
        <f t="shared" si="7"/>
        <v>0</v>
      </c>
      <c r="N60" s="877">
        <f t="shared" si="7"/>
        <v>0</v>
      </c>
      <c r="O60" s="1065">
        <f t="shared" si="1"/>
        <v>0</v>
      </c>
      <c r="P60" s="1065">
        <f t="shared" si="1"/>
        <v>0</v>
      </c>
      <c r="Q60" s="1065">
        <f t="shared" si="1"/>
        <v>0</v>
      </c>
      <c r="R60" s="1148" t="s">
        <v>886</v>
      </c>
      <c r="S60" s="1149">
        <v>520343220</v>
      </c>
      <c r="T60" s="1148">
        <v>522</v>
      </c>
      <c r="U60" s="1148" t="s">
        <v>994</v>
      </c>
    </row>
    <row r="61" spans="1:21" ht="34.5" customHeight="1">
      <c r="A61" s="1144"/>
      <c r="B61" s="898" t="s">
        <v>712</v>
      </c>
      <c r="C61" s="874">
        <f t="shared" si="4"/>
        <v>2300</v>
      </c>
      <c r="D61" s="875">
        <f>D62</f>
        <v>0</v>
      </c>
      <c r="E61" s="875">
        <f>E62</f>
        <v>2300</v>
      </c>
      <c r="F61" s="874">
        <f t="shared" si="5"/>
        <v>2300</v>
      </c>
      <c r="G61" s="875">
        <f>G62</f>
        <v>0</v>
      </c>
      <c r="H61" s="875">
        <f>H62</f>
        <v>2300</v>
      </c>
      <c r="I61" s="874">
        <f>SUM(J61:K61)</f>
        <v>0</v>
      </c>
      <c r="J61" s="875">
        <f>J62</f>
        <v>0</v>
      </c>
      <c r="K61" s="875">
        <f>K62</f>
        <v>0</v>
      </c>
      <c r="L61" s="876">
        <f t="shared" si="7"/>
        <v>0</v>
      </c>
      <c r="M61" s="877">
        <f t="shared" si="7"/>
        <v>0</v>
      </c>
      <c r="N61" s="877">
        <f t="shared" si="7"/>
        <v>0</v>
      </c>
      <c r="O61" s="1065">
        <f t="shared" si="1"/>
        <v>0</v>
      </c>
      <c r="P61" s="1065">
        <f t="shared" si="1"/>
        <v>0</v>
      </c>
      <c r="Q61" s="1065">
        <f t="shared" si="1"/>
        <v>0</v>
      </c>
      <c r="R61" s="2504" t="s">
        <v>1066</v>
      </c>
      <c r="S61" s="2505"/>
      <c r="T61" s="2505"/>
      <c r="U61" s="2506"/>
    </row>
    <row r="62" spans="1:21" ht="60">
      <c r="A62" s="1144" t="s">
        <v>126</v>
      </c>
      <c r="B62" s="1084" t="s">
        <v>1054</v>
      </c>
      <c r="C62" s="1083">
        <f t="shared" si="4"/>
        <v>2300</v>
      </c>
      <c r="D62" s="1085">
        <v>0</v>
      </c>
      <c r="E62" s="1085">
        <v>2300</v>
      </c>
      <c r="F62" s="1083">
        <f t="shared" si="5"/>
        <v>2300</v>
      </c>
      <c r="G62" s="1085">
        <v>0</v>
      </c>
      <c r="H62" s="1085">
        <v>2300</v>
      </c>
      <c r="I62" s="1083">
        <f t="shared" si="6"/>
        <v>0</v>
      </c>
      <c r="J62" s="1083">
        <v>0</v>
      </c>
      <c r="K62" s="1083">
        <v>0</v>
      </c>
      <c r="L62" s="877">
        <f t="shared" si="7"/>
        <v>0</v>
      </c>
      <c r="M62" s="877">
        <f t="shared" si="7"/>
        <v>0</v>
      </c>
      <c r="N62" s="877">
        <f t="shared" si="7"/>
        <v>0</v>
      </c>
      <c r="O62" s="1065">
        <f t="shared" si="1"/>
        <v>0</v>
      </c>
      <c r="P62" s="1065">
        <f t="shared" si="1"/>
        <v>0</v>
      </c>
      <c r="Q62" s="1065">
        <f t="shared" si="1"/>
        <v>0</v>
      </c>
      <c r="R62" s="1148" t="s">
        <v>886</v>
      </c>
      <c r="S62" s="1149" t="s">
        <v>967</v>
      </c>
      <c r="T62" s="1148">
        <v>522</v>
      </c>
      <c r="U62" s="1148" t="s">
        <v>983</v>
      </c>
    </row>
    <row r="63" spans="1:21" ht="34.5" customHeight="1">
      <c r="A63" s="1144"/>
      <c r="B63" s="898" t="s">
        <v>46</v>
      </c>
      <c r="C63" s="874">
        <f t="shared" si="4"/>
        <v>12500</v>
      </c>
      <c r="D63" s="875">
        <f>D64</f>
        <v>0</v>
      </c>
      <c r="E63" s="875">
        <f>E64</f>
        <v>12500</v>
      </c>
      <c r="F63" s="874">
        <f t="shared" si="5"/>
        <v>12500</v>
      </c>
      <c r="G63" s="875">
        <f>G64</f>
        <v>0</v>
      </c>
      <c r="H63" s="875">
        <f>H64</f>
        <v>12500</v>
      </c>
      <c r="I63" s="874">
        <f>SUM(J63:K63)</f>
        <v>0</v>
      </c>
      <c r="J63" s="875">
        <f>J64</f>
        <v>0</v>
      </c>
      <c r="K63" s="875">
        <f>K64</f>
        <v>0</v>
      </c>
      <c r="L63" s="876">
        <f t="shared" si="7"/>
        <v>0</v>
      </c>
      <c r="M63" s="877">
        <f t="shared" si="7"/>
        <v>0</v>
      </c>
      <c r="N63" s="877">
        <f t="shared" si="7"/>
        <v>0</v>
      </c>
      <c r="O63" s="1065">
        <f t="shared" si="1"/>
        <v>0</v>
      </c>
      <c r="P63" s="1065">
        <f t="shared" si="1"/>
        <v>0</v>
      </c>
      <c r="Q63" s="1065">
        <f t="shared" si="1"/>
        <v>0</v>
      </c>
      <c r="R63" s="2504" t="s">
        <v>1066</v>
      </c>
      <c r="S63" s="2505"/>
      <c r="T63" s="2505"/>
      <c r="U63" s="2506"/>
    </row>
    <row r="64" spans="1:21" ht="105">
      <c r="A64" s="1144" t="s">
        <v>127</v>
      </c>
      <c r="B64" s="1084" t="s">
        <v>1055</v>
      </c>
      <c r="C64" s="1083">
        <f t="shared" si="4"/>
        <v>12500</v>
      </c>
      <c r="D64" s="1085">
        <v>0</v>
      </c>
      <c r="E64" s="1085">
        <v>12500</v>
      </c>
      <c r="F64" s="1083">
        <f t="shared" si="5"/>
        <v>12500</v>
      </c>
      <c r="G64" s="1085">
        <v>0</v>
      </c>
      <c r="H64" s="1085">
        <v>12500</v>
      </c>
      <c r="I64" s="1083"/>
      <c r="J64" s="1083">
        <v>0</v>
      </c>
      <c r="K64" s="1083">
        <v>0</v>
      </c>
      <c r="L64" s="877">
        <f t="shared" si="7"/>
        <v>0</v>
      </c>
      <c r="M64" s="877">
        <f t="shared" si="7"/>
        <v>0</v>
      </c>
      <c r="N64" s="877">
        <f t="shared" si="7"/>
        <v>0</v>
      </c>
      <c r="O64" s="1065">
        <f t="shared" si="1"/>
        <v>0</v>
      </c>
      <c r="P64" s="1065">
        <f t="shared" si="1"/>
        <v>0</v>
      </c>
      <c r="Q64" s="1065">
        <f t="shared" si="1"/>
        <v>0</v>
      </c>
      <c r="R64" s="1148" t="s">
        <v>886</v>
      </c>
      <c r="S64" s="1149" t="s">
        <v>966</v>
      </c>
      <c r="T64" s="1148">
        <v>522</v>
      </c>
      <c r="U64" s="1148" t="s">
        <v>977</v>
      </c>
    </row>
    <row r="65" spans="1:23" ht="34.5" customHeight="1">
      <c r="A65" s="1144"/>
      <c r="B65" s="898" t="s">
        <v>457</v>
      </c>
      <c r="C65" s="874">
        <f t="shared" si="4"/>
        <v>34000</v>
      </c>
      <c r="D65" s="875">
        <f>SUM(D66:D70)</f>
        <v>0</v>
      </c>
      <c r="E65" s="875">
        <f>SUM(E66:E70)</f>
        <v>34000</v>
      </c>
      <c r="F65" s="874">
        <f t="shared" si="5"/>
        <v>34000</v>
      </c>
      <c r="G65" s="875">
        <f>SUM(G66:G70)</f>
        <v>0</v>
      </c>
      <c r="H65" s="875">
        <f>SUM(H66:H70)</f>
        <v>34000</v>
      </c>
      <c r="I65" s="874">
        <f>SUM(J65:K65)</f>
        <v>0</v>
      </c>
      <c r="J65" s="875">
        <f>SUM(J66:J70)</f>
        <v>0</v>
      </c>
      <c r="K65" s="875">
        <f>SUM(K66:K70)</f>
        <v>0</v>
      </c>
      <c r="L65" s="876">
        <f t="shared" si="7"/>
        <v>0</v>
      </c>
      <c r="M65" s="877">
        <f t="shared" si="7"/>
        <v>0</v>
      </c>
      <c r="N65" s="877">
        <f t="shared" si="7"/>
        <v>0</v>
      </c>
      <c r="O65" s="1065">
        <f t="shared" si="1"/>
        <v>0</v>
      </c>
      <c r="P65" s="1065">
        <f t="shared" si="1"/>
        <v>0</v>
      </c>
      <c r="Q65" s="1065">
        <f t="shared" si="1"/>
        <v>0</v>
      </c>
      <c r="R65" s="2504" t="s">
        <v>1066</v>
      </c>
      <c r="S65" s="2505"/>
      <c r="T65" s="2505"/>
      <c r="U65" s="2506"/>
    </row>
    <row r="66" spans="1:23" ht="90.75" customHeight="1">
      <c r="A66" s="1144" t="s">
        <v>128</v>
      </c>
      <c r="B66" s="1084" t="s">
        <v>1056</v>
      </c>
      <c r="C66" s="1083">
        <f t="shared" si="4"/>
        <v>10000</v>
      </c>
      <c r="D66" s="1085">
        <v>0</v>
      </c>
      <c r="E66" s="1085">
        <v>10000</v>
      </c>
      <c r="F66" s="1083">
        <f t="shared" si="5"/>
        <v>10000</v>
      </c>
      <c r="G66" s="1085">
        <v>0</v>
      </c>
      <c r="H66" s="1085">
        <v>10000</v>
      </c>
      <c r="I66" s="2412"/>
      <c r="J66" s="2412"/>
      <c r="K66" s="2412"/>
      <c r="L66" s="2415">
        <f>IF(I66=0,0,I66/F66:F70*100)</f>
        <v>0</v>
      </c>
      <c r="M66" s="2415">
        <f>IF(J66=0,0,J66/G66:G70*100)</f>
        <v>0</v>
      </c>
      <c r="N66" s="2415">
        <f>IF(K66=0,0,K66/H66:H70*100)</f>
        <v>0</v>
      </c>
      <c r="O66" s="1065">
        <f t="shared" si="1"/>
        <v>0</v>
      </c>
      <c r="P66" s="1065">
        <f t="shared" si="1"/>
        <v>0</v>
      </c>
      <c r="Q66" s="1065">
        <f t="shared" si="1"/>
        <v>0</v>
      </c>
      <c r="R66" s="2519" t="s">
        <v>886</v>
      </c>
      <c r="S66" s="2519" t="s">
        <v>966</v>
      </c>
      <c r="T66" s="2519">
        <v>522</v>
      </c>
      <c r="U66" s="2519" t="s">
        <v>979</v>
      </c>
      <c r="V66" s="2410"/>
    </row>
    <row r="67" spans="1:23" ht="150.75" customHeight="1">
      <c r="A67" s="1144" t="s">
        <v>158</v>
      </c>
      <c r="B67" s="1084" t="s">
        <v>1057</v>
      </c>
      <c r="C67" s="1083">
        <f t="shared" si="4"/>
        <v>6400</v>
      </c>
      <c r="D67" s="1085">
        <v>0</v>
      </c>
      <c r="E67" s="1085">
        <v>6400</v>
      </c>
      <c r="F67" s="1083">
        <f t="shared" si="5"/>
        <v>6400</v>
      </c>
      <c r="G67" s="1085">
        <v>0</v>
      </c>
      <c r="H67" s="1085">
        <v>6400</v>
      </c>
      <c r="I67" s="2413"/>
      <c r="J67" s="2413"/>
      <c r="K67" s="2413"/>
      <c r="L67" s="2416"/>
      <c r="M67" s="2416"/>
      <c r="N67" s="2416"/>
      <c r="O67" s="1065">
        <f t="shared" si="1"/>
        <v>0</v>
      </c>
      <c r="P67" s="1065">
        <f t="shared" si="1"/>
        <v>0</v>
      </c>
      <c r="Q67" s="1065">
        <f t="shared" si="1"/>
        <v>0</v>
      </c>
      <c r="R67" s="2519"/>
      <c r="S67" s="2519"/>
      <c r="T67" s="2519"/>
      <c r="U67" s="2519"/>
      <c r="V67" s="2410"/>
    </row>
    <row r="68" spans="1:23" ht="150.75" customHeight="1">
      <c r="A68" s="1144" t="s">
        <v>129</v>
      </c>
      <c r="B68" s="1084" t="s">
        <v>1058</v>
      </c>
      <c r="C68" s="1083">
        <f t="shared" si="4"/>
        <v>4600</v>
      </c>
      <c r="D68" s="1085">
        <v>0</v>
      </c>
      <c r="E68" s="1085">
        <v>4600</v>
      </c>
      <c r="F68" s="1083">
        <f t="shared" si="5"/>
        <v>4600</v>
      </c>
      <c r="G68" s="1085">
        <v>0</v>
      </c>
      <c r="H68" s="1085">
        <v>4600</v>
      </c>
      <c r="I68" s="2413"/>
      <c r="J68" s="2413"/>
      <c r="K68" s="2413"/>
      <c r="L68" s="2416"/>
      <c r="M68" s="2416"/>
      <c r="N68" s="2416"/>
      <c r="O68" s="1065">
        <f t="shared" si="1"/>
        <v>0</v>
      </c>
      <c r="P68" s="1065">
        <f t="shared" si="1"/>
        <v>0</v>
      </c>
      <c r="Q68" s="1065">
        <f t="shared" si="1"/>
        <v>0</v>
      </c>
      <c r="R68" s="2519"/>
      <c r="S68" s="2519"/>
      <c r="T68" s="2519"/>
      <c r="U68" s="2519"/>
      <c r="V68" s="2410"/>
    </row>
    <row r="69" spans="1:23" ht="133.5" customHeight="1">
      <c r="A69" s="1144" t="s">
        <v>159</v>
      </c>
      <c r="B69" s="1084" t="s">
        <v>1059</v>
      </c>
      <c r="C69" s="1083">
        <f t="shared" si="4"/>
        <v>10000</v>
      </c>
      <c r="D69" s="1085">
        <v>0</v>
      </c>
      <c r="E69" s="1085">
        <v>10000</v>
      </c>
      <c r="F69" s="1083">
        <f t="shared" si="5"/>
        <v>10000</v>
      </c>
      <c r="G69" s="1085">
        <v>0</v>
      </c>
      <c r="H69" s="1085">
        <v>10000</v>
      </c>
      <c r="I69" s="2413"/>
      <c r="J69" s="2413"/>
      <c r="K69" s="2413"/>
      <c r="L69" s="2416"/>
      <c r="M69" s="2416"/>
      <c r="N69" s="2416"/>
      <c r="O69" s="1065">
        <f t="shared" si="1"/>
        <v>0</v>
      </c>
      <c r="P69" s="1065">
        <f t="shared" si="1"/>
        <v>0</v>
      </c>
      <c r="Q69" s="1065">
        <f t="shared" si="1"/>
        <v>0</v>
      </c>
      <c r="R69" s="2519"/>
      <c r="S69" s="2519"/>
      <c r="T69" s="2519"/>
      <c r="U69" s="2519"/>
      <c r="V69" s="2410"/>
    </row>
    <row r="70" spans="1:23" ht="138.75" customHeight="1">
      <c r="A70" s="1144" t="s">
        <v>130</v>
      </c>
      <c r="B70" s="1084" t="s">
        <v>1060</v>
      </c>
      <c r="C70" s="1083">
        <f t="shared" si="4"/>
        <v>3000</v>
      </c>
      <c r="D70" s="1085">
        <v>0</v>
      </c>
      <c r="E70" s="1085">
        <v>3000</v>
      </c>
      <c r="F70" s="1083">
        <f t="shared" si="5"/>
        <v>3000</v>
      </c>
      <c r="G70" s="1085">
        <v>0</v>
      </c>
      <c r="H70" s="1085">
        <v>3000</v>
      </c>
      <c r="I70" s="2414"/>
      <c r="J70" s="2414"/>
      <c r="K70" s="2414"/>
      <c r="L70" s="2417"/>
      <c r="M70" s="2417"/>
      <c r="N70" s="2417"/>
      <c r="O70" s="1065">
        <f t="shared" si="1"/>
        <v>0</v>
      </c>
      <c r="P70" s="1065">
        <f t="shared" si="1"/>
        <v>0</v>
      </c>
      <c r="Q70" s="1065">
        <f t="shared" si="1"/>
        <v>0</v>
      </c>
      <c r="R70" s="2519"/>
      <c r="S70" s="2519"/>
      <c r="T70" s="2519"/>
      <c r="U70" s="2519"/>
      <c r="V70" s="2410"/>
    </row>
    <row r="71" spans="1:23" s="914" customFormat="1" ht="79.5" customHeight="1">
      <c r="A71" s="1144"/>
      <c r="B71" s="1089" t="s">
        <v>444</v>
      </c>
      <c r="C71" s="1090">
        <f>D71+E71</f>
        <v>234917.1</v>
      </c>
      <c r="D71" s="1091">
        <f>SUM(D72,D75,D78,D80,D82,D84,D87)</f>
        <v>220820.4</v>
      </c>
      <c r="E71" s="1091">
        <f>SUM(E72,E75,E78,E82,E80,E84,E87)</f>
        <v>14096.7</v>
      </c>
      <c r="F71" s="1090">
        <f>G71+H71</f>
        <v>234917.1</v>
      </c>
      <c r="G71" s="1091">
        <f>SUM(G72,G75,G78,G80,G82,G84,G87)</f>
        <v>220820.4</v>
      </c>
      <c r="H71" s="1091">
        <f>SUM(H72,H75,H78,H82,H80,H84,H87)</f>
        <v>14096.7</v>
      </c>
      <c r="I71" s="1090">
        <f>J71+K71</f>
        <v>3862.8</v>
      </c>
      <c r="J71" s="1091">
        <f>SUM(J72,J75,J78,J80,J82,J84,J87)</f>
        <v>3631</v>
      </c>
      <c r="K71" s="1091">
        <f>SUM(K72,K75,K78,K82,K80,K84,K87)</f>
        <v>231.8</v>
      </c>
      <c r="L71" s="1092">
        <f t="shared" ref="L71:N91" si="8">IF(I71=0,0,I71/F71*100)</f>
        <v>1.6</v>
      </c>
      <c r="M71" s="1093">
        <f t="shared" si="8"/>
        <v>1.6</v>
      </c>
      <c r="N71" s="1093">
        <f t="shared" si="8"/>
        <v>1.6</v>
      </c>
      <c r="O71" s="1065">
        <f t="shared" si="1"/>
        <v>0</v>
      </c>
      <c r="P71" s="1065">
        <f t="shared" si="1"/>
        <v>0</v>
      </c>
      <c r="Q71" s="1065">
        <f t="shared" si="1"/>
        <v>0</v>
      </c>
      <c r="R71" s="2504" t="s">
        <v>1066</v>
      </c>
      <c r="S71" s="2505"/>
      <c r="T71" s="2505"/>
      <c r="U71" s="2506"/>
      <c r="V71" s="1098"/>
      <c r="W71" s="913"/>
    </row>
    <row r="72" spans="1:23" ht="38.25" customHeight="1">
      <c r="A72" s="1144"/>
      <c r="B72" s="1076" t="s">
        <v>431</v>
      </c>
      <c r="C72" s="874">
        <f t="shared" ref="C72:C123" si="9">SUM(D72:E72)</f>
        <v>19433</v>
      </c>
      <c r="D72" s="880">
        <f>D73+D74</f>
        <v>18266.8</v>
      </c>
      <c r="E72" s="880">
        <f>E73+E74</f>
        <v>1166.2</v>
      </c>
      <c r="F72" s="874">
        <f t="shared" ref="F72:F123" si="10">SUM(G72:H72)</f>
        <v>19433</v>
      </c>
      <c r="G72" s="880">
        <f>G73+G74</f>
        <v>18266.8</v>
      </c>
      <c r="H72" s="880">
        <f>H73+H74</f>
        <v>1166.2</v>
      </c>
      <c r="I72" s="874">
        <f t="shared" ref="I72:I123" si="11">SUM(J72:K72)</f>
        <v>0</v>
      </c>
      <c r="J72" s="880">
        <f>J73+J74</f>
        <v>0</v>
      </c>
      <c r="K72" s="880">
        <f>K73+K74</f>
        <v>0</v>
      </c>
      <c r="L72" s="877">
        <f t="shared" si="8"/>
        <v>0</v>
      </c>
      <c r="M72" s="877">
        <f t="shared" si="8"/>
        <v>0</v>
      </c>
      <c r="N72" s="877">
        <f t="shared" si="8"/>
        <v>0</v>
      </c>
      <c r="O72" s="1065">
        <f t="shared" si="1"/>
        <v>0</v>
      </c>
      <c r="P72" s="1065">
        <f t="shared" si="1"/>
        <v>0</v>
      </c>
      <c r="Q72" s="1065">
        <f t="shared" si="1"/>
        <v>0</v>
      </c>
      <c r="R72" s="2504" t="s">
        <v>1066</v>
      </c>
      <c r="S72" s="2505"/>
      <c r="T72" s="2505"/>
      <c r="U72" s="2506"/>
    </row>
    <row r="73" spans="1:23">
      <c r="A73" s="895">
        <v>36</v>
      </c>
      <c r="B73" s="1077" t="s">
        <v>690</v>
      </c>
      <c r="C73" s="1083">
        <f t="shared" si="9"/>
        <v>10977.6</v>
      </c>
      <c r="D73" s="879">
        <v>10318.799999999999</v>
      </c>
      <c r="E73" s="879">
        <v>658.8</v>
      </c>
      <c r="F73" s="1083">
        <f t="shared" si="10"/>
        <v>10977.6</v>
      </c>
      <c r="G73" s="879">
        <v>10318.799999999999</v>
      </c>
      <c r="H73" s="879">
        <v>658.8</v>
      </c>
      <c r="I73" s="1083">
        <f t="shared" si="11"/>
        <v>0</v>
      </c>
      <c r="J73" s="879">
        <v>0</v>
      </c>
      <c r="K73" s="879">
        <v>0</v>
      </c>
      <c r="L73" s="877">
        <f t="shared" si="8"/>
        <v>0</v>
      </c>
      <c r="M73" s="877">
        <f t="shared" si="8"/>
        <v>0</v>
      </c>
      <c r="N73" s="877">
        <f t="shared" si="8"/>
        <v>0</v>
      </c>
      <c r="O73" s="1065">
        <f t="shared" si="1"/>
        <v>0</v>
      </c>
      <c r="P73" s="1065">
        <f t="shared" si="1"/>
        <v>0</v>
      </c>
      <c r="Q73" s="1065">
        <f t="shared" si="1"/>
        <v>0</v>
      </c>
      <c r="R73" s="1148" t="s">
        <v>954</v>
      </c>
      <c r="S73" s="1149" t="s">
        <v>974</v>
      </c>
      <c r="T73" s="1148">
        <v>522</v>
      </c>
      <c r="U73" s="1148" t="s">
        <v>958</v>
      </c>
    </row>
    <row r="74" spans="1:23">
      <c r="A74" s="1144" t="s">
        <v>532</v>
      </c>
      <c r="B74" s="1077" t="s">
        <v>689</v>
      </c>
      <c r="C74" s="1083">
        <f t="shared" si="9"/>
        <v>8455.4</v>
      </c>
      <c r="D74" s="879">
        <v>7948</v>
      </c>
      <c r="E74" s="879">
        <v>507.4</v>
      </c>
      <c r="F74" s="1083">
        <f t="shared" si="10"/>
        <v>8455.4</v>
      </c>
      <c r="G74" s="879">
        <v>7948</v>
      </c>
      <c r="H74" s="879">
        <v>507.4</v>
      </c>
      <c r="I74" s="1083">
        <f t="shared" si="11"/>
        <v>0</v>
      </c>
      <c r="J74" s="879">
        <v>0</v>
      </c>
      <c r="K74" s="879">
        <v>0</v>
      </c>
      <c r="L74" s="877">
        <f t="shared" si="8"/>
        <v>0</v>
      </c>
      <c r="M74" s="877">
        <f t="shared" si="8"/>
        <v>0</v>
      </c>
      <c r="N74" s="877">
        <f t="shared" si="8"/>
        <v>0</v>
      </c>
      <c r="O74" s="1065">
        <f t="shared" si="1"/>
        <v>0</v>
      </c>
      <c r="P74" s="1065">
        <f t="shared" si="1"/>
        <v>0</v>
      </c>
      <c r="Q74" s="1065">
        <f t="shared" si="1"/>
        <v>0</v>
      </c>
      <c r="R74" s="1148" t="s">
        <v>886</v>
      </c>
      <c r="S74" s="1149" t="s">
        <v>973</v>
      </c>
      <c r="T74" s="1148">
        <v>522</v>
      </c>
      <c r="U74" s="1148" t="s">
        <v>890</v>
      </c>
    </row>
    <row r="75" spans="1:23" ht="37.5" customHeight="1">
      <c r="A75" s="1144"/>
      <c r="B75" s="898" t="s">
        <v>457</v>
      </c>
      <c r="C75" s="874">
        <f t="shared" si="9"/>
        <v>14332.1</v>
      </c>
      <c r="D75" s="881">
        <f>SUM(D76:D77)</f>
        <v>13472</v>
      </c>
      <c r="E75" s="881">
        <f>SUM(E76:E77)</f>
        <v>860.1</v>
      </c>
      <c r="F75" s="874">
        <f t="shared" si="10"/>
        <v>14332.1</v>
      </c>
      <c r="G75" s="881">
        <f>SUM(G76:G77)</f>
        <v>13472</v>
      </c>
      <c r="H75" s="881">
        <f>SUM(H76:H77)</f>
        <v>860.1</v>
      </c>
      <c r="I75" s="874">
        <f t="shared" si="11"/>
        <v>0</v>
      </c>
      <c r="J75" s="881">
        <f>SUM(J76:J77)</f>
        <v>0</v>
      </c>
      <c r="K75" s="881">
        <f>SUM(K76:K77)</f>
        <v>0</v>
      </c>
      <c r="L75" s="882">
        <f t="shared" si="8"/>
        <v>0</v>
      </c>
      <c r="M75" s="875">
        <f t="shared" si="8"/>
        <v>0</v>
      </c>
      <c r="N75" s="875">
        <f t="shared" si="8"/>
        <v>0</v>
      </c>
      <c r="O75" s="1065">
        <f t="shared" si="1"/>
        <v>0</v>
      </c>
      <c r="P75" s="1065">
        <f t="shared" si="1"/>
        <v>0</v>
      </c>
      <c r="Q75" s="1065">
        <f t="shared" si="1"/>
        <v>0</v>
      </c>
      <c r="R75" s="2504" t="s">
        <v>1066</v>
      </c>
      <c r="S75" s="2505"/>
      <c r="T75" s="2505"/>
      <c r="U75" s="2506"/>
    </row>
    <row r="76" spans="1:23" ht="108" customHeight="1">
      <c r="A76" s="1144" t="s">
        <v>161</v>
      </c>
      <c r="B76" s="1147" t="s">
        <v>838</v>
      </c>
      <c r="C76" s="1083">
        <f t="shared" si="9"/>
        <v>8056.3</v>
      </c>
      <c r="D76" s="879">
        <v>7572.8</v>
      </c>
      <c r="E76" s="879">
        <v>483.5</v>
      </c>
      <c r="F76" s="1083">
        <f t="shared" si="10"/>
        <v>8056.3</v>
      </c>
      <c r="G76" s="879">
        <v>7572.8</v>
      </c>
      <c r="H76" s="879">
        <v>483.5</v>
      </c>
      <c r="I76" s="1083">
        <f t="shared" si="11"/>
        <v>0</v>
      </c>
      <c r="J76" s="879">
        <v>0</v>
      </c>
      <c r="K76" s="879">
        <v>0</v>
      </c>
      <c r="L76" s="877">
        <f t="shared" si="8"/>
        <v>0</v>
      </c>
      <c r="M76" s="877">
        <f t="shared" si="8"/>
        <v>0</v>
      </c>
      <c r="N76" s="877">
        <f t="shared" si="8"/>
        <v>0</v>
      </c>
      <c r="O76" s="1065">
        <f t="shared" si="1"/>
        <v>0</v>
      </c>
      <c r="P76" s="1065">
        <f t="shared" si="1"/>
        <v>0</v>
      </c>
      <c r="Q76" s="1065">
        <f t="shared" si="1"/>
        <v>0</v>
      </c>
      <c r="R76" s="1148">
        <v>1102</v>
      </c>
      <c r="S76" s="1149" t="s">
        <v>981</v>
      </c>
      <c r="T76" s="1148">
        <v>522</v>
      </c>
      <c r="U76" s="1148" t="s">
        <v>958</v>
      </c>
    </row>
    <row r="77" spans="1:23" ht="35.25" customHeight="1">
      <c r="A77" s="895">
        <v>39</v>
      </c>
      <c r="B77" s="1075" t="s">
        <v>678</v>
      </c>
      <c r="C77" s="1083">
        <f t="shared" si="9"/>
        <v>6275.8</v>
      </c>
      <c r="D77" s="879">
        <v>5899.2</v>
      </c>
      <c r="E77" s="879">
        <v>376.6</v>
      </c>
      <c r="F77" s="1083">
        <f t="shared" si="10"/>
        <v>6275.8</v>
      </c>
      <c r="G77" s="879">
        <v>5899.2</v>
      </c>
      <c r="H77" s="879">
        <v>376.6</v>
      </c>
      <c r="I77" s="1083">
        <f t="shared" si="11"/>
        <v>0</v>
      </c>
      <c r="J77" s="879">
        <v>0</v>
      </c>
      <c r="K77" s="879">
        <v>0</v>
      </c>
      <c r="L77" s="877">
        <f t="shared" si="8"/>
        <v>0</v>
      </c>
      <c r="M77" s="877">
        <f t="shared" si="8"/>
        <v>0</v>
      </c>
      <c r="N77" s="877">
        <f t="shared" si="8"/>
        <v>0</v>
      </c>
      <c r="O77" s="1065">
        <f t="shared" si="1"/>
        <v>0</v>
      </c>
      <c r="P77" s="1065">
        <f t="shared" si="1"/>
        <v>0</v>
      </c>
      <c r="Q77" s="1065">
        <f t="shared" si="1"/>
        <v>0</v>
      </c>
      <c r="R77" s="1148" t="s">
        <v>886</v>
      </c>
      <c r="S77" s="1149" t="s">
        <v>980</v>
      </c>
      <c r="T77" s="1148">
        <v>522</v>
      </c>
      <c r="U77" s="1148" t="s">
        <v>890</v>
      </c>
    </row>
    <row r="78" spans="1:23" ht="33" customHeight="1">
      <c r="A78" s="1144"/>
      <c r="B78" s="898" t="s">
        <v>433</v>
      </c>
      <c r="C78" s="874">
        <f t="shared" si="9"/>
        <v>14049.3</v>
      </c>
      <c r="D78" s="875">
        <f>D79</f>
        <v>13206.2</v>
      </c>
      <c r="E78" s="875">
        <f>E79</f>
        <v>843.1</v>
      </c>
      <c r="F78" s="874">
        <f t="shared" si="10"/>
        <v>14049.3</v>
      </c>
      <c r="G78" s="875">
        <f>G79</f>
        <v>13206.2</v>
      </c>
      <c r="H78" s="875">
        <f>H79</f>
        <v>843.1</v>
      </c>
      <c r="I78" s="874">
        <f t="shared" si="11"/>
        <v>3862.8</v>
      </c>
      <c r="J78" s="875">
        <f>J79</f>
        <v>3631</v>
      </c>
      <c r="K78" s="875">
        <f>K79</f>
        <v>231.8</v>
      </c>
      <c r="L78" s="882">
        <f t="shared" si="8"/>
        <v>27.5</v>
      </c>
      <c r="M78" s="883">
        <f t="shared" si="8"/>
        <v>27.5</v>
      </c>
      <c r="N78" s="883">
        <f t="shared" si="8"/>
        <v>27.5</v>
      </c>
      <c r="O78" s="1065">
        <f t="shared" si="1"/>
        <v>0</v>
      </c>
      <c r="P78" s="1065">
        <f t="shared" si="1"/>
        <v>0</v>
      </c>
      <c r="Q78" s="1065">
        <f t="shared" si="1"/>
        <v>0</v>
      </c>
      <c r="R78" s="2504" t="s">
        <v>1066</v>
      </c>
      <c r="S78" s="2505"/>
      <c r="T78" s="2505"/>
      <c r="U78" s="2506"/>
    </row>
    <row r="79" spans="1:23" ht="29.25" customHeight="1">
      <c r="A79" s="1144" t="s">
        <v>131</v>
      </c>
      <c r="B79" s="1084" t="s">
        <v>679</v>
      </c>
      <c r="C79" s="1083">
        <f t="shared" si="9"/>
        <v>14049.3</v>
      </c>
      <c r="D79" s="1085">
        <v>13206.2</v>
      </c>
      <c r="E79" s="1085">
        <v>843.1</v>
      </c>
      <c r="F79" s="1083">
        <f t="shared" si="10"/>
        <v>14049.3</v>
      </c>
      <c r="G79" s="1085">
        <v>13206.2</v>
      </c>
      <c r="H79" s="1085">
        <v>843.1</v>
      </c>
      <c r="I79" s="1083">
        <f t="shared" si="11"/>
        <v>3862.8</v>
      </c>
      <c r="J79" s="1085">
        <v>3631</v>
      </c>
      <c r="K79" s="1085">
        <v>231.8</v>
      </c>
      <c r="L79" s="877">
        <f t="shared" si="8"/>
        <v>27.5</v>
      </c>
      <c r="M79" s="877">
        <f t="shared" si="8"/>
        <v>27.5</v>
      </c>
      <c r="N79" s="877">
        <f t="shared" si="8"/>
        <v>27.5</v>
      </c>
      <c r="O79" s="1065">
        <f t="shared" si="1"/>
        <v>0</v>
      </c>
      <c r="P79" s="1065">
        <f t="shared" si="1"/>
        <v>0</v>
      </c>
      <c r="Q79" s="1065">
        <f t="shared" si="1"/>
        <v>0</v>
      </c>
      <c r="R79" s="1148" t="s">
        <v>954</v>
      </c>
      <c r="S79" s="1149" t="s">
        <v>982</v>
      </c>
      <c r="T79" s="1148">
        <v>522</v>
      </c>
      <c r="U79" s="1148" t="s">
        <v>958</v>
      </c>
    </row>
    <row r="80" spans="1:23" ht="33.75" customHeight="1">
      <c r="A80" s="895"/>
      <c r="B80" s="898" t="s">
        <v>458</v>
      </c>
      <c r="C80" s="874">
        <f t="shared" si="9"/>
        <v>11408.6</v>
      </c>
      <c r="D80" s="875">
        <f>D81</f>
        <v>10724</v>
      </c>
      <c r="E80" s="875">
        <f>E81</f>
        <v>684.6</v>
      </c>
      <c r="F80" s="874">
        <f t="shared" si="10"/>
        <v>11408.6</v>
      </c>
      <c r="G80" s="875">
        <f>G81</f>
        <v>10724</v>
      </c>
      <c r="H80" s="875">
        <f>H81</f>
        <v>684.6</v>
      </c>
      <c r="I80" s="874">
        <f t="shared" si="11"/>
        <v>0</v>
      </c>
      <c r="J80" s="875">
        <f>J81</f>
        <v>0</v>
      </c>
      <c r="K80" s="875">
        <f>K81</f>
        <v>0</v>
      </c>
      <c r="L80" s="882">
        <f t="shared" si="8"/>
        <v>0</v>
      </c>
      <c r="M80" s="883">
        <f t="shared" si="8"/>
        <v>0</v>
      </c>
      <c r="N80" s="883">
        <f t="shared" si="8"/>
        <v>0</v>
      </c>
      <c r="O80" s="1065">
        <f t="shared" ref="O80:Q95" si="12">C80-F80</f>
        <v>0</v>
      </c>
      <c r="P80" s="1065">
        <f t="shared" si="12"/>
        <v>0</v>
      </c>
      <c r="Q80" s="1065">
        <f t="shared" si="12"/>
        <v>0</v>
      </c>
      <c r="R80" s="2504" t="s">
        <v>1066</v>
      </c>
      <c r="S80" s="2505"/>
      <c r="T80" s="2505"/>
      <c r="U80" s="2506"/>
    </row>
    <row r="81" spans="1:23" ht="60" customHeight="1">
      <c r="A81" s="1144" t="s">
        <v>555</v>
      </c>
      <c r="B81" s="1084" t="s">
        <v>680</v>
      </c>
      <c r="C81" s="1083">
        <f t="shared" si="9"/>
        <v>11408.6</v>
      </c>
      <c r="D81" s="1085">
        <v>10724</v>
      </c>
      <c r="E81" s="1085">
        <v>684.6</v>
      </c>
      <c r="F81" s="1083">
        <f t="shared" si="10"/>
        <v>11408.6</v>
      </c>
      <c r="G81" s="1085">
        <v>10724</v>
      </c>
      <c r="H81" s="1085">
        <v>684.6</v>
      </c>
      <c r="I81" s="1083">
        <f t="shared" si="11"/>
        <v>0</v>
      </c>
      <c r="J81" s="1083">
        <v>0</v>
      </c>
      <c r="K81" s="1083">
        <v>0</v>
      </c>
      <c r="L81" s="877">
        <f t="shared" si="8"/>
        <v>0</v>
      </c>
      <c r="M81" s="877">
        <f t="shared" si="8"/>
        <v>0</v>
      </c>
      <c r="N81" s="877">
        <f t="shared" si="8"/>
        <v>0</v>
      </c>
      <c r="O81" s="1065">
        <f t="shared" si="12"/>
        <v>0</v>
      </c>
      <c r="P81" s="1065">
        <f t="shared" si="12"/>
        <v>0</v>
      </c>
      <c r="Q81" s="1065">
        <f t="shared" si="12"/>
        <v>0</v>
      </c>
      <c r="R81" s="1148" t="s">
        <v>954</v>
      </c>
      <c r="S81" s="1149" t="s">
        <v>997</v>
      </c>
      <c r="T81" s="1148">
        <v>522</v>
      </c>
      <c r="U81" s="1148" t="s">
        <v>958</v>
      </c>
    </row>
    <row r="82" spans="1:23" ht="36" customHeight="1">
      <c r="A82" s="895"/>
      <c r="B82" s="898" t="s">
        <v>443</v>
      </c>
      <c r="C82" s="874">
        <f t="shared" si="9"/>
        <v>55844.9</v>
      </c>
      <c r="D82" s="875">
        <f>D83</f>
        <v>52494.2</v>
      </c>
      <c r="E82" s="875">
        <f>E83</f>
        <v>3350.7</v>
      </c>
      <c r="F82" s="874">
        <f t="shared" si="10"/>
        <v>55844.9</v>
      </c>
      <c r="G82" s="875">
        <f>G83</f>
        <v>52494.2</v>
      </c>
      <c r="H82" s="875">
        <f>H83</f>
        <v>3350.7</v>
      </c>
      <c r="I82" s="874">
        <f t="shared" si="11"/>
        <v>0</v>
      </c>
      <c r="J82" s="875">
        <f>J83</f>
        <v>0</v>
      </c>
      <c r="K82" s="875">
        <f>K83</f>
        <v>0</v>
      </c>
      <c r="L82" s="876">
        <f t="shared" si="8"/>
        <v>0</v>
      </c>
      <c r="M82" s="877">
        <f t="shared" si="8"/>
        <v>0</v>
      </c>
      <c r="N82" s="877">
        <f t="shared" si="8"/>
        <v>0</v>
      </c>
      <c r="O82" s="1065">
        <f t="shared" si="12"/>
        <v>0</v>
      </c>
      <c r="P82" s="1065">
        <f t="shared" si="12"/>
        <v>0</v>
      </c>
      <c r="Q82" s="1065">
        <f t="shared" si="12"/>
        <v>0</v>
      </c>
      <c r="R82" s="2504" t="s">
        <v>1066</v>
      </c>
      <c r="S82" s="2505"/>
      <c r="T82" s="2505"/>
      <c r="U82" s="2506"/>
    </row>
    <row r="83" spans="1:23" ht="52.5">
      <c r="A83" s="1144" t="s">
        <v>556</v>
      </c>
      <c r="B83" s="1084" t="s">
        <v>681</v>
      </c>
      <c r="C83" s="1083">
        <f t="shared" si="9"/>
        <v>55844.9</v>
      </c>
      <c r="D83" s="1085">
        <v>52494.2</v>
      </c>
      <c r="E83" s="1085">
        <v>3350.7</v>
      </c>
      <c r="F83" s="1083">
        <f t="shared" si="10"/>
        <v>55844.9</v>
      </c>
      <c r="G83" s="1085">
        <v>52494.2</v>
      </c>
      <c r="H83" s="1085">
        <v>3350.7</v>
      </c>
      <c r="I83" s="1083">
        <f t="shared" si="11"/>
        <v>0</v>
      </c>
      <c r="J83" s="1083">
        <v>0</v>
      </c>
      <c r="K83" s="970">
        <v>0</v>
      </c>
      <c r="L83" s="877">
        <f t="shared" si="8"/>
        <v>0</v>
      </c>
      <c r="M83" s="877">
        <f t="shared" si="8"/>
        <v>0</v>
      </c>
      <c r="N83" s="877">
        <f t="shared" si="8"/>
        <v>0</v>
      </c>
      <c r="O83" s="1065">
        <f t="shared" si="12"/>
        <v>0</v>
      </c>
      <c r="P83" s="1065">
        <f t="shared" si="12"/>
        <v>0</v>
      </c>
      <c r="Q83" s="1065">
        <f t="shared" si="12"/>
        <v>0</v>
      </c>
      <c r="R83" s="1148" t="s">
        <v>874</v>
      </c>
      <c r="S83" s="1149" t="s">
        <v>984</v>
      </c>
      <c r="T83" s="1148">
        <v>522</v>
      </c>
      <c r="U83" s="1148" t="s">
        <v>985</v>
      </c>
    </row>
    <row r="84" spans="1:23" ht="31.5" customHeight="1">
      <c r="A84" s="895"/>
      <c r="B84" s="898" t="s">
        <v>281</v>
      </c>
      <c r="C84" s="874">
        <f t="shared" si="9"/>
        <v>110820.3</v>
      </c>
      <c r="D84" s="875">
        <f>SUM(D85:D86)</f>
        <v>104170.1</v>
      </c>
      <c r="E84" s="875">
        <f>SUM(E85:E86)</f>
        <v>6650.2</v>
      </c>
      <c r="F84" s="874">
        <f t="shared" si="10"/>
        <v>110820.3</v>
      </c>
      <c r="G84" s="875">
        <f>SUM(G85:G86)</f>
        <v>104170.1</v>
      </c>
      <c r="H84" s="875">
        <f>SUM(H85:H86)</f>
        <v>6650.2</v>
      </c>
      <c r="I84" s="874">
        <f t="shared" si="11"/>
        <v>0</v>
      </c>
      <c r="J84" s="875">
        <f>SUM(J85:J86)</f>
        <v>0</v>
      </c>
      <c r="K84" s="875">
        <f>SUM(K85:K86)</f>
        <v>0</v>
      </c>
      <c r="L84" s="876">
        <f t="shared" si="8"/>
        <v>0</v>
      </c>
      <c r="M84" s="877">
        <f t="shared" si="8"/>
        <v>0</v>
      </c>
      <c r="N84" s="877">
        <f t="shared" si="8"/>
        <v>0</v>
      </c>
      <c r="O84" s="1065">
        <f t="shared" si="12"/>
        <v>0</v>
      </c>
      <c r="P84" s="1065">
        <f t="shared" si="12"/>
        <v>0</v>
      </c>
      <c r="Q84" s="1065">
        <f t="shared" si="12"/>
        <v>0</v>
      </c>
      <c r="R84" s="2504" t="s">
        <v>1066</v>
      </c>
      <c r="S84" s="2505"/>
      <c r="T84" s="2505"/>
      <c r="U84" s="2506"/>
    </row>
    <row r="85" spans="1:23" ht="70.5" customHeight="1">
      <c r="A85" s="1141" t="s">
        <v>133</v>
      </c>
      <c r="B85" s="1086" t="s">
        <v>682</v>
      </c>
      <c r="C85" s="1145">
        <f t="shared" si="9"/>
        <v>79932</v>
      </c>
      <c r="D85" s="1088">
        <f>69176.7+5958.6</f>
        <v>75135.3</v>
      </c>
      <c r="E85" s="1085">
        <f>9003.7-4207</f>
        <v>4796.7</v>
      </c>
      <c r="F85" s="1145">
        <f t="shared" si="10"/>
        <v>79932</v>
      </c>
      <c r="G85" s="1088">
        <v>75135.3</v>
      </c>
      <c r="H85" s="1085">
        <v>4796.7</v>
      </c>
      <c r="I85" s="1145">
        <f t="shared" si="11"/>
        <v>0</v>
      </c>
      <c r="J85" s="1145">
        <v>0</v>
      </c>
      <c r="K85" s="970">
        <v>0</v>
      </c>
      <c r="L85" s="1143">
        <f t="shared" si="8"/>
        <v>0</v>
      </c>
      <c r="M85" s="1143">
        <f t="shared" si="8"/>
        <v>0</v>
      </c>
      <c r="N85" s="883">
        <f t="shared" si="8"/>
        <v>0</v>
      </c>
      <c r="O85" s="1065">
        <f t="shared" si="12"/>
        <v>0</v>
      </c>
      <c r="P85" s="1065">
        <f t="shared" si="12"/>
        <v>0</v>
      </c>
      <c r="Q85" s="1065">
        <f t="shared" si="12"/>
        <v>0</v>
      </c>
      <c r="R85" s="1148" t="s">
        <v>928</v>
      </c>
      <c r="S85" s="1149" t="s">
        <v>987</v>
      </c>
      <c r="T85" s="1148">
        <v>522</v>
      </c>
      <c r="U85" s="1148" t="s">
        <v>930</v>
      </c>
    </row>
    <row r="86" spans="1:23">
      <c r="A86" s="1144" t="s">
        <v>162</v>
      </c>
      <c r="B86" s="1084" t="s">
        <v>683</v>
      </c>
      <c r="C86" s="1083">
        <f t="shared" si="9"/>
        <v>30888.3</v>
      </c>
      <c r="D86" s="1085">
        <v>29034.799999999999</v>
      </c>
      <c r="E86" s="1085">
        <v>1853.5</v>
      </c>
      <c r="F86" s="1083">
        <f t="shared" si="10"/>
        <v>30888.3</v>
      </c>
      <c r="G86" s="1085">
        <v>29034.799999999999</v>
      </c>
      <c r="H86" s="1085">
        <v>1853.5</v>
      </c>
      <c r="I86" s="1083">
        <f t="shared" si="11"/>
        <v>0</v>
      </c>
      <c r="J86" s="1083">
        <v>0</v>
      </c>
      <c r="K86" s="1083">
        <v>0</v>
      </c>
      <c r="L86" s="877">
        <f t="shared" si="8"/>
        <v>0</v>
      </c>
      <c r="M86" s="877">
        <f t="shared" si="8"/>
        <v>0</v>
      </c>
      <c r="N86" s="877">
        <f t="shared" si="8"/>
        <v>0</v>
      </c>
      <c r="O86" s="1065">
        <f t="shared" si="12"/>
        <v>0</v>
      </c>
      <c r="P86" s="1065">
        <f t="shared" si="12"/>
        <v>0</v>
      </c>
      <c r="Q86" s="1065">
        <f t="shared" si="12"/>
        <v>0</v>
      </c>
      <c r="R86" s="1148" t="s">
        <v>954</v>
      </c>
      <c r="S86" s="1149" t="s">
        <v>998</v>
      </c>
      <c r="T86" s="1148">
        <v>522</v>
      </c>
      <c r="U86" s="1148" t="s">
        <v>958</v>
      </c>
    </row>
    <row r="87" spans="1:23" ht="31.5" customHeight="1">
      <c r="A87" s="1144"/>
      <c r="B87" s="898" t="s">
        <v>583</v>
      </c>
      <c r="C87" s="874">
        <f t="shared" si="9"/>
        <v>9028.9</v>
      </c>
      <c r="D87" s="875">
        <f>SUM(D88:D88)</f>
        <v>8487.1</v>
      </c>
      <c r="E87" s="875">
        <f>SUM(E88:E88)</f>
        <v>541.79999999999995</v>
      </c>
      <c r="F87" s="874">
        <f t="shared" si="10"/>
        <v>9028.9</v>
      </c>
      <c r="G87" s="875">
        <f>SUM(G88:G88)</f>
        <v>8487.1</v>
      </c>
      <c r="H87" s="875">
        <f>SUM(H88:H88)</f>
        <v>541.79999999999995</v>
      </c>
      <c r="I87" s="874">
        <f t="shared" si="11"/>
        <v>0</v>
      </c>
      <c r="J87" s="875">
        <f>SUM(J88:J88)</f>
        <v>0</v>
      </c>
      <c r="K87" s="875">
        <f>SUM(K88:K88)</f>
        <v>0</v>
      </c>
      <c r="L87" s="876">
        <f t="shared" si="8"/>
        <v>0</v>
      </c>
      <c r="M87" s="877">
        <f t="shared" si="8"/>
        <v>0</v>
      </c>
      <c r="N87" s="877">
        <f t="shared" si="8"/>
        <v>0</v>
      </c>
      <c r="O87" s="1065">
        <f t="shared" si="12"/>
        <v>0</v>
      </c>
      <c r="P87" s="1065">
        <f t="shared" si="12"/>
        <v>0</v>
      </c>
      <c r="Q87" s="1065">
        <f t="shared" si="12"/>
        <v>0</v>
      </c>
      <c r="R87" s="2504" t="s">
        <v>1066</v>
      </c>
      <c r="S87" s="2505"/>
      <c r="T87" s="2505"/>
      <c r="U87" s="2506"/>
    </row>
    <row r="88" spans="1:23" ht="33.75" customHeight="1">
      <c r="A88" s="1144" t="s">
        <v>545</v>
      </c>
      <c r="B88" s="1077" t="s">
        <v>684</v>
      </c>
      <c r="C88" s="1083">
        <f t="shared" si="9"/>
        <v>9028.9</v>
      </c>
      <c r="D88" s="1085">
        <v>8487.1</v>
      </c>
      <c r="E88" s="1085">
        <v>541.79999999999995</v>
      </c>
      <c r="F88" s="1083">
        <f t="shared" si="10"/>
        <v>9028.9</v>
      </c>
      <c r="G88" s="1085">
        <v>8487.1</v>
      </c>
      <c r="H88" s="1085">
        <v>541.79999999999995</v>
      </c>
      <c r="I88" s="1083">
        <f t="shared" si="11"/>
        <v>0</v>
      </c>
      <c r="J88" s="1083">
        <v>0</v>
      </c>
      <c r="K88" s="970">
        <v>0</v>
      </c>
      <c r="L88" s="877">
        <f t="shared" si="8"/>
        <v>0</v>
      </c>
      <c r="M88" s="877">
        <f t="shared" si="8"/>
        <v>0</v>
      </c>
      <c r="N88" s="877">
        <f t="shared" si="8"/>
        <v>0</v>
      </c>
      <c r="O88" s="1065">
        <f t="shared" si="12"/>
        <v>0</v>
      </c>
      <c r="P88" s="1065">
        <f t="shared" si="12"/>
        <v>0</v>
      </c>
      <c r="Q88" s="1065">
        <f t="shared" si="12"/>
        <v>0</v>
      </c>
      <c r="R88" s="1148" t="s">
        <v>886</v>
      </c>
      <c r="S88" s="1149" t="s">
        <v>996</v>
      </c>
      <c r="T88" s="1148">
        <v>522</v>
      </c>
      <c r="U88" s="1148" t="s">
        <v>890</v>
      </c>
    </row>
    <row r="89" spans="1:23" s="914" customFormat="1" ht="108.75" customHeight="1">
      <c r="A89" s="945" t="s">
        <v>2</v>
      </c>
      <c r="B89" s="1046" t="s">
        <v>313</v>
      </c>
      <c r="C89" s="1047">
        <f t="shared" si="9"/>
        <v>3521082.9</v>
      </c>
      <c r="D89" s="1047">
        <f>D90</f>
        <v>2771924.5</v>
      </c>
      <c r="E89" s="1047">
        <f>E90</f>
        <v>749158.40000000002</v>
      </c>
      <c r="F89" s="1047">
        <f t="shared" si="10"/>
        <v>3429413.9</v>
      </c>
      <c r="G89" s="1047">
        <f>G90</f>
        <v>2771924.5</v>
      </c>
      <c r="H89" s="1047">
        <f>H90</f>
        <v>657489.4</v>
      </c>
      <c r="I89" s="1047">
        <f t="shared" si="11"/>
        <v>67805.3</v>
      </c>
      <c r="J89" s="1047">
        <f>J90</f>
        <v>26537.599999999999</v>
      </c>
      <c r="K89" s="1047">
        <f>K90</f>
        <v>41267.699999999997</v>
      </c>
      <c r="L89" s="1048">
        <f t="shared" si="8"/>
        <v>2</v>
      </c>
      <c r="M89" s="1049">
        <f t="shared" si="8"/>
        <v>1</v>
      </c>
      <c r="N89" s="1049">
        <f t="shared" si="8"/>
        <v>6.3</v>
      </c>
      <c r="O89" s="1065">
        <f t="shared" si="12"/>
        <v>91669</v>
      </c>
      <c r="P89" s="1065">
        <f t="shared" si="12"/>
        <v>0</v>
      </c>
      <c r="Q89" s="1065">
        <f t="shared" si="12"/>
        <v>91669</v>
      </c>
      <c r="R89" s="2504" t="s">
        <v>1066</v>
      </c>
      <c r="S89" s="2505"/>
      <c r="T89" s="2505"/>
      <c r="U89" s="2506"/>
      <c r="V89" s="1098"/>
      <c r="W89" s="913"/>
    </row>
    <row r="90" spans="1:23" s="914" customFormat="1" ht="67.5" customHeight="1">
      <c r="A90" s="944" t="s">
        <v>246</v>
      </c>
      <c r="B90" s="932" t="s">
        <v>41</v>
      </c>
      <c r="C90" s="933">
        <f t="shared" si="9"/>
        <v>3521082.9</v>
      </c>
      <c r="D90" s="934">
        <f>SUM(D91:D145)</f>
        <v>2771924.5</v>
      </c>
      <c r="E90" s="934">
        <f>SUM(E91:E145)</f>
        <v>749158.40000000002</v>
      </c>
      <c r="F90" s="933">
        <f>SUM(G90:H90)</f>
        <v>3429413.9</v>
      </c>
      <c r="G90" s="934">
        <f>SUM(G91:G145)</f>
        <v>2771924.5</v>
      </c>
      <c r="H90" s="934">
        <f>SUM(H91:H145)</f>
        <v>657489.4</v>
      </c>
      <c r="I90" s="933">
        <f t="shared" si="11"/>
        <v>67805.3</v>
      </c>
      <c r="J90" s="934">
        <f>SUM(J91:J145)</f>
        <v>26537.599999999999</v>
      </c>
      <c r="K90" s="934">
        <f>SUM(K91:K145)</f>
        <v>41267.699999999997</v>
      </c>
      <c r="L90" s="935">
        <f t="shared" si="8"/>
        <v>2</v>
      </c>
      <c r="M90" s="936">
        <f t="shared" si="8"/>
        <v>1</v>
      </c>
      <c r="N90" s="936">
        <f t="shared" si="8"/>
        <v>6.3</v>
      </c>
      <c r="O90" s="1065">
        <f t="shared" si="12"/>
        <v>91669</v>
      </c>
      <c r="P90" s="1065">
        <f t="shared" si="12"/>
        <v>0</v>
      </c>
      <c r="Q90" s="1065">
        <f t="shared" si="12"/>
        <v>91669</v>
      </c>
      <c r="R90" s="2504" t="s">
        <v>1066</v>
      </c>
      <c r="S90" s="2505"/>
      <c r="T90" s="2505"/>
      <c r="U90" s="2506"/>
      <c r="V90" s="1098"/>
      <c r="W90" s="913"/>
    </row>
    <row r="91" spans="1:23" s="892" customFormat="1" ht="124.5" customHeight="1">
      <c r="A91" s="1120" t="s">
        <v>824</v>
      </c>
      <c r="B91" s="1066" t="s">
        <v>434</v>
      </c>
      <c r="C91" s="874">
        <f t="shared" si="9"/>
        <v>109862.6</v>
      </c>
      <c r="D91" s="877">
        <v>105115.4</v>
      </c>
      <c r="E91" s="877">
        <v>4747.2</v>
      </c>
      <c r="F91" s="882">
        <f t="shared" si="10"/>
        <v>109862.6</v>
      </c>
      <c r="G91" s="877">
        <f>105115.4</f>
        <v>105115.4</v>
      </c>
      <c r="H91" s="877">
        <v>4747.2</v>
      </c>
      <c r="I91" s="882">
        <f t="shared" si="11"/>
        <v>4747.1000000000004</v>
      </c>
      <c r="J91" s="877">
        <v>0</v>
      </c>
      <c r="K91" s="877">
        <v>4747.1000000000004</v>
      </c>
      <c r="L91" s="876">
        <f t="shared" si="8"/>
        <v>4.3</v>
      </c>
      <c r="M91" s="877">
        <f t="shared" si="8"/>
        <v>0</v>
      </c>
      <c r="N91" s="877">
        <f t="shared" si="8"/>
        <v>100</v>
      </c>
      <c r="O91" s="1065">
        <f t="shared" si="12"/>
        <v>0</v>
      </c>
      <c r="P91" s="1065">
        <f t="shared" si="12"/>
        <v>0</v>
      </c>
      <c r="Q91" s="1065">
        <f t="shared" si="12"/>
        <v>0</v>
      </c>
      <c r="R91" s="1148" t="s">
        <v>880</v>
      </c>
      <c r="S91" s="1149" t="s">
        <v>881</v>
      </c>
      <c r="T91" s="1148" t="s">
        <v>882</v>
      </c>
      <c r="U91" s="1148"/>
      <c r="V91" s="1098"/>
      <c r="W91" s="1118"/>
    </row>
    <row r="92" spans="1:23" ht="106.5" customHeight="1">
      <c r="A92" s="1144" t="s">
        <v>557</v>
      </c>
      <c r="B92" s="973" t="s">
        <v>793</v>
      </c>
      <c r="C92" s="874">
        <f t="shared" si="9"/>
        <v>5176.2</v>
      </c>
      <c r="D92" s="879">
        <v>0</v>
      </c>
      <c r="E92" s="879">
        <v>5176.2</v>
      </c>
      <c r="F92" s="874">
        <f>SUM(G92:H92)</f>
        <v>5176.2</v>
      </c>
      <c r="G92" s="879">
        <v>0</v>
      </c>
      <c r="H92" s="879">
        <v>5176.2</v>
      </c>
      <c r="I92" s="874">
        <f t="shared" si="11"/>
        <v>0</v>
      </c>
      <c r="J92" s="879">
        <v>0</v>
      </c>
      <c r="K92" s="879">
        <v>0</v>
      </c>
      <c r="L92" s="876">
        <v>0</v>
      </c>
      <c r="M92" s="877">
        <f>IF(J92=0,0,J92/G92*100)</f>
        <v>0</v>
      </c>
      <c r="N92" s="877">
        <f>IF(K92=0,0,K92/H92*100)</f>
        <v>0</v>
      </c>
      <c r="O92" s="1065">
        <f t="shared" si="12"/>
        <v>0</v>
      </c>
      <c r="P92" s="1065">
        <f t="shared" si="12"/>
        <v>0</v>
      </c>
      <c r="Q92" s="1065">
        <f t="shared" si="12"/>
        <v>0</v>
      </c>
      <c r="R92" s="1148" t="s">
        <v>886</v>
      </c>
      <c r="S92" s="1149" t="s">
        <v>895</v>
      </c>
      <c r="T92" s="1148">
        <v>414</v>
      </c>
      <c r="U92" s="1148">
        <v>30131</v>
      </c>
    </row>
    <row r="93" spans="1:23" ht="52.5">
      <c r="A93" s="1144" t="s">
        <v>558</v>
      </c>
      <c r="B93" s="973" t="s">
        <v>661</v>
      </c>
      <c r="C93" s="874">
        <f t="shared" si="9"/>
        <v>10224.4</v>
      </c>
      <c r="D93" s="879">
        <v>0</v>
      </c>
      <c r="E93" s="879">
        <v>10224.4</v>
      </c>
      <c r="F93" s="874">
        <f t="shared" si="10"/>
        <v>10224.4</v>
      </c>
      <c r="G93" s="879">
        <v>0</v>
      </c>
      <c r="H93" s="879">
        <v>10224.4</v>
      </c>
      <c r="I93" s="874">
        <f t="shared" si="11"/>
        <v>0</v>
      </c>
      <c r="J93" s="879">
        <v>0</v>
      </c>
      <c r="K93" s="879">
        <v>0</v>
      </c>
      <c r="L93" s="876">
        <v>0</v>
      </c>
      <c r="M93" s="877">
        <f t="shared" ref="M93:N110" si="13">IF(J93=0,0,J93/G93*100)</f>
        <v>0</v>
      </c>
      <c r="N93" s="877">
        <f t="shared" si="13"/>
        <v>0</v>
      </c>
      <c r="O93" s="1065">
        <f t="shared" si="12"/>
        <v>0</v>
      </c>
      <c r="P93" s="1065">
        <f t="shared" si="12"/>
        <v>0</v>
      </c>
      <c r="Q93" s="1065">
        <f t="shared" si="12"/>
        <v>0</v>
      </c>
      <c r="R93" s="1148" t="s">
        <v>886</v>
      </c>
      <c r="S93" s="1149" t="s">
        <v>887</v>
      </c>
      <c r="T93" s="1148">
        <v>414</v>
      </c>
      <c r="U93" s="1148">
        <v>14037</v>
      </c>
    </row>
    <row r="94" spans="1:23" ht="60" customHeight="1">
      <c r="A94" s="1144" t="s">
        <v>559</v>
      </c>
      <c r="B94" s="973" t="s">
        <v>662</v>
      </c>
      <c r="C94" s="874">
        <f t="shared" si="9"/>
        <v>2373</v>
      </c>
      <c r="D94" s="879">
        <v>0</v>
      </c>
      <c r="E94" s="879">
        <v>2373</v>
      </c>
      <c r="F94" s="874">
        <f t="shared" si="10"/>
        <v>2373</v>
      </c>
      <c r="G94" s="879">
        <v>0</v>
      </c>
      <c r="H94" s="879">
        <v>2373</v>
      </c>
      <c r="I94" s="874">
        <f t="shared" si="11"/>
        <v>0</v>
      </c>
      <c r="J94" s="879">
        <v>0</v>
      </c>
      <c r="K94" s="879">
        <v>0</v>
      </c>
      <c r="L94" s="876">
        <v>0</v>
      </c>
      <c r="M94" s="877">
        <f t="shared" si="13"/>
        <v>0</v>
      </c>
      <c r="N94" s="877">
        <f t="shared" si="13"/>
        <v>0</v>
      </c>
      <c r="O94" s="1065">
        <f t="shared" si="12"/>
        <v>0</v>
      </c>
      <c r="P94" s="1065">
        <f t="shared" si="12"/>
        <v>0</v>
      </c>
      <c r="Q94" s="1065">
        <f t="shared" si="12"/>
        <v>0</v>
      </c>
      <c r="R94" s="1148" t="s">
        <v>886</v>
      </c>
      <c r="S94" s="1149" t="s">
        <v>888</v>
      </c>
      <c r="T94" s="1148">
        <v>141</v>
      </c>
      <c r="U94" s="1148">
        <v>14038</v>
      </c>
    </row>
    <row r="95" spans="1:23" ht="86.25" customHeight="1">
      <c r="A95" s="1144" t="s">
        <v>560</v>
      </c>
      <c r="B95" s="973" t="s">
        <v>663</v>
      </c>
      <c r="C95" s="874">
        <f t="shared" si="9"/>
        <v>4074.6</v>
      </c>
      <c r="D95" s="879">
        <v>0</v>
      </c>
      <c r="E95" s="879">
        <v>4074.6</v>
      </c>
      <c r="F95" s="874">
        <f t="shared" si="10"/>
        <v>4074.6</v>
      </c>
      <c r="G95" s="879">
        <v>0</v>
      </c>
      <c r="H95" s="879">
        <v>4074.6</v>
      </c>
      <c r="I95" s="874">
        <f t="shared" si="11"/>
        <v>0</v>
      </c>
      <c r="J95" s="879">
        <v>0</v>
      </c>
      <c r="K95" s="879">
        <v>0</v>
      </c>
      <c r="L95" s="876">
        <v>0</v>
      </c>
      <c r="M95" s="877">
        <f t="shared" si="13"/>
        <v>0</v>
      </c>
      <c r="N95" s="877">
        <f t="shared" si="13"/>
        <v>0</v>
      </c>
      <c r="O95" s="1065">
        <f t="shared" si="12"/>
        <v>0</v>
      </c>
      <c r="P95" s="1065">
        <f t="shared" si="12"/>
        <v>0</v>
      </c>
      <c r="Q95" s="1065">
        <f t="shared" si="12"/>
        <v>0</v>
      </c>
      <c r="R95" s="1148" t="s">
        <v>886</v>
      </c>
      <c r="S95" s="1149" t="s">
        <v>888</v>
      </c>
      <c r="T95" s="1148">
        <v>414</v>
      </c>
      <c r="U95" s="1148">
        <v>14039</v>
      </c>
    </row>
    <row r="96" spans="1:23" ht="167.25" customHeight="1">
      <c r="A96" s="1144" t="s">
        <v>561</v>
      </c>
      <c r="B96" s="973" t="s">
        <v>805</v>
      </c>
      <c r="C96" s="874">
        <f t="shared" si="9"/>
        <v>10000</v>
      </c>
      <c r="D96" s="879">
        <v>0</v>
      </c>
      <c r="E96" s="879">
        <v>10000</v>
      </c>
      <c r="F96" s="874">
        <f>SUM(G96:H96)</f>
        <v>10000</v>
      </c>
      <c r="G96" s="879">
        <v>0</v>
      </c>
      <c r="H96" s="879">
        <v>10000</v>
      </c>
      <c r="I96" s="874">
        <f t="shared" si="11"/>
        <v>0</v>
      </c>
      <c r="J96" s="879">
        <v>0</v>
      </c>
      <c r="K96" s="879">
        <v>0</v>
      </c>
      <c r="L96" s="876">
        <v>0</v>
      </c>
      <c r="M96" s="877">
        <f>IF(J96=0,0,J96/G96*100)</f>
        <v>0</v>
      </c>
      <c r="N96" s="877">
        <f>IF(K96=0,0,K96/H96*100)</f>
        <v>0</v>
      </c>
      <c r="O96" s="1065">
        <f t="shared" ref="O96:Q111" si="14">C96-F96</f>
        <v>0</v>
      </c>
      <c r="P96" s="1065">
        <f t="shared" si="14"/>
        <v>0</v>
      </c>
      <c r="Q96" s="1065">
        <f t="shared" si="14"/>
        <v>0</v>
      </c>
      <c r="R96" s="1148" t="s">
        <v>866</v>
      </c>
      <c r="S96" s="1149" t="s">
        <v>883</v>
      </c>
      <c r="T96" s="1148">
        <v>414</v>
      </c>
      <c r="U96" s="1148">
        <v>14051</v>
      </c>
    </row>
    <row r="97" spans="1:23" ht="109.5" customHeight="1">
      <c r="A97" s="1144" t="s">
        <v>563</v>
      </c>
      <c r="B97" s="973" t="s">
        <v>664</v>
      </c>
      <c r="C97" s="874">
        <f t="shared" si="9"/>
        <v>1519</v>
      </c>
      <c r="D97" s="879">
        <v>0</v>
      </c>
      <c r="E97" s="879">
        <v>1519</v>
      </c>
      <c r="F97" s="874">
        <f t="shared" si="10"/>
        <v>1519</v>
      </c>
      <c r="G97" s="879">
        <v>0</v>
      </c>
      <c r="H97" s="879">
        <v>1519</v>
      </c>
      <c r="I97" s="874">
        <f t="shared" si="11"/>
        <v>0</v>
      </c>
      <c r="J97" s="879">
        <v>0</v>
      </c>
      <c r="K97" s="879">
        <v>0</v>
      </c>
      <c r="L97" s="876">
        <v>0</v>
      </c>
      <c r="M97" s="877">
        <f t="shared" si="13"/>
        <v>0</v>
      </c>
      <c r="N97" s="877">
        <f t="shared" si="13"/>
        <v>0</v>
      </c>
      <c r="O97" s="1065">
        <f t="shared" si="14"/>
        <v>0</v>
      </c>
      <c r="P97" s="1065">
        <f t="shared" si="14"/>
        <v>0</v>
      </c>
      <c r="Q97" s="1065">
        <f t="shared" si="14"/>
        <v>0</v>
      </c>
      <c r="R97" s="1148" t="s">
        <v>886</v>
      </c>
      <c r="S97" s="1149" t="s">
        <v>892</v>
      </c>
      <c r="T97" s="1148">
        <v>414</v>
      </c>
      <c r="U97" s="1148">
        <v>14041</v>
      </c>
    </row>
    <row r="98" spans="1:23" ht="117" customHeight="1">
      <c r="A98" s="1144" t="s">
        <v>573</v>
      </c>
      <c r="B98" s="973" t="s">
        <v>665</v>
      </c>
      <c r="C98" s="874">
        <f t="shared" si="9"/>
        <v>1519</v>
      </c>
      <c r="D98" s="879">
        <v>0</v>
      </c>
      <c r="E98" s="879">
        <v>1519</v>
      </c>
      <c r="F98" s="874">
        <f t="shared" si="10"/>
        <v>1519</v>
      </c>
      <c r="G98" s="879">
        <v>0</v>
      </c>
      <c r="H98" s="879">
        <v>1519</v>
      </c>
      <c r="I98" s="874">
        <f t="shared" si="11"/>
        <v>0</v>
      </c>
      <c r="J98" s="879">
        <v>0</v>
      </c>
      <c r="K98" s="879">
        <v>0</v>
      </c>
      <c r="L98" s="876">
        <v>0</v>
      </c>
      <c r="M98" s="877">
        <f t="shared" si="13"/>
        <v>0</v>
      </c>
      <c r="N98" s="877">
        <f t="shared" si="13"/>
        <v>0</v>
      </c>
      <c r="O98" s="1065">
        <f t="shared" si="14"/>
        <v>0</v>
      </c>
      <c r="P98" s="1065">
        <f t="shared" si="14"/>
        <v>0</v>
      </c>
      <c r="Q98" s="1065">
        <f t="shared" si="14"/>
        <v>0</v>
      </c>
      <c r="R98" s="1148" t="s">
        <v>886</v>
      </c>
      <c r="S98" s="1149" t="s">
        <v>892</v>
      </c>
      <c r="T98" s="1148">
        <v>414</v>
      </c>
      <c r="U98" s="1148">
        <v>14042</v>
      </c>
    </row>
    <row r="99" spans="1:23" ht="90.75" customHeight="1">
      <c r="A99" s="1144" t="s">
        <v>624</v>
      </c>
      <c r="B99" s="973" t="s">
        <v>666</v>
      </c>
      <c r="C99" s="874">
        <f t="shared" si="9"/>
        <v>1400</v>
      </c>
      <c r="D99" s="879">
        <v>0</v>
      </c>
      <c r="E99" s="879">
        <v>1400</v>
      </c>
      <c r="F99" s="874">
        <f t="shared" si="10"/>
        <v>1400</v>
      </c>
      <c r="G99" s="879">
        <v>0</v>
      </c>
      <c r="H99" s="879">
        <v>1400</v>
      </c>
      <c r="I99" s="874">
        <f t="shared" si="11"/>
        <v>0</v>
      </c>
      <c r="J99" s="879">
        <v>0</v>
      </c>
      <c r="K99" s="879">
        <v>0</v>
      </c>
      <c r="L99" s="876">
        <v>0</v>
      </c>
      <c r="M99" s="877">
        <f t="shared" si="13"/>
        <v>0</v>
      </c>
      <c r="N99" s="877">
        <f t="shared" si="13"/>
        <v>0</v>
      </c>
      <c r="O99" s="1065">
        <f t="shared" si="14"/>
        <v>0</v>
      </c>
      <c r="P99" s="1065">
        <f t="shared" si="14"/>
        <v>0</v>
      </c>
      <c r="Q99" s="1065">
        <f t="shared" si="14"/>
        <v>0</v>
      </c>
      <c r="R99" s="1148" t="s">
        <v>886</v>
      </c>
      <c r="S99" s="1149" t="s">
        <v>892</v>
      </c>
      <c r="T99" s="1148">
        <v>414</v>
      </c>
      <c r="U99" s="1148">
        <v>14043</v>
      </c>
    </row>
    <row r="100" spans="1:23" ht="118.5" customHeight="1">
      <c r="A100" s="1144" t="s">
        <v>625</v>
      </c>
      <c r="B100" s="973" t="s">
        <v>667</v>
      </c>
      <c r="C100" s="874">
        <f t="shared" si="9"/>
        <v>14280</v>
      </c>
      <c r="D100" s="879">
        <v>0</v>
      </c>
      <c r="E100" s="879">
        <v>14280</v>
      </c>
      <c r="F100" s="874">
        <f t="shared" si="10"/>
        <v>14280</v>
      </c>
      <c r="G100" s="879">
        <v>0</v>
      </c>
      <c r="H100" s="879">
        <v>14280</v>
      </c>
      <c r="I100" s="874">
        <f t="shared" si="11"/>
        <v>0</v>
      </c>
      <c r="J100" s="879">
        <v>0</v>
      </c>
      <c r="K100" s="879">
        <v>0</v>
      </c>
      <c r="L100" s="876">
        <v>0</v>
      </c>
      <c r="M100" s="877">
        <f t="shared" si="13"/>
        <v>0</v>
      </c>
      <c r="N100" s="877">
        <f t="shared" si="13"/>
        <v>0</v>
      </c>
      <c r="O100" s="1065">
        <f t="shared" si="14"/>
        <v>0</v>
      </c>
      <c r="P100" s="1065">
        <f t="shared" si="14"/>
        <v>0</v>
      </c>
      <c r="Q100" s="1065">
        <f t="shared" si="14"/>
        <v>0</v>
      </c>
      <c r="R100" s="1148" t="s">
        <v>886</v>
      </c>
      <c r="S100" s="1149" t="s">
        <v>893</v>
      </c>
      <c r="T100" s="1148">
        <v>414</v>
      </c>
      <c r="U100" s="1148">
        <v>14044</v>
      </c>
    </row>
    <row r="101" spans="1:23" ht="52.5">
      <c r="A101" s="1144" t="s">
        <v>105</v>
      </c>
      <c r="B101" s="1075" t="s">
        <v>771</v>
      </c>
      <c r="C101" s="874">
        <f t="shared" si="9"/>
        <v>319980.59999999998</v>
      </c>
      <c r="D101" s="879">
        <f>319980.6*0.90202494621</f>
        <v>288630.5</v>
      </c>
      <c r="E101" s="879">
        <f>319980.6*(1-0.90202494621)</f>
        <v>31350.1</v>
      </c>
      <c r="F101" s="874">
        <f t="shared" si="10"/>
        <v>319980.59999999998</v>
      </c>
      <c r="G101" s="879">
        <f>319980.6*0.90202494621</f>
        <v>288630.5</v>
      </c>
      <c r="H101" s="879">
        <f>319980.6*(1-0.90202494621)</f>
        <v>31350.1</v>
      </c>
      <c r="I101" s="2435">
        <f t="shared" si="11"/>
        <v>0</v>
      </c>
      <c r="J101" s="2431">
        <v>0</v>
      </c>
      <c r="K101" s="2431">
        <v>0</v>
      </c>
      <c r="L101" s="2433">
        <f>IF(I101=0,0,I101/F101:F102*_G101100)</f>
        <v>0</v>
      </c>
      <c r="M101" s="2429">
        <f>IF(J101=0,0,J101/G101:G102*100)</f>
        <v>0</v>
      </c>
      <c r="N101" s="2429">
        <f>IF(K101=0,0,K101/H101:H102*100)</f>
        <v>0</v>
      </c>
      <c r="O101" s="1065">
        <f t="shared" si="14"/>
        <v>0</v>
      </c>
      <c r="P101" s="1065">
        <f t="shared" si="14"/>
        <v>0</v>
      </c>
      <c r="Q101" s="1065">
        <f t="shared" si="14"/>
        <v>0</v>
      </c>
      <c r="R101" s="2519" t="s">
        <v>926</v>
      </c>
      <c r="S101" s="2520" t="s">
        <v>927</v>
      </c>
      <c r="T101" s="2519">
        <v>414</v>
      </c>
      <c r="U101" s="2519"/>
      <c r="V101" s="2411" t="s">
        <v>877</v>
      </c>
    </row>
    <row r="102" spans="1:23" ht="105">
      <c r="A102" s="1144" t="s">
        <v>1023</v>
      </c>
      <c r="B102" s="1075" t="s">
        <v>772</v>
      </c>
      <c r="C102" s="874">
        <f t="shared" si="9"/>
        <v>359978.2</v>
      </c>
      <c r="D102" s="879">
        <f>359978.2*0.90202494621</f>
        <v>324709.3</v>
      </c>
      <c r="E102" s="879">
        <f>359978.2*(1-0.90202494621)</f>
        <v>35268.9</v>
      </c>
      <c r="F102" s="874">
        <f t="shared" si="10"/>
        <v>359978.2</v>
      </c>
      <c r="G102" s="879">
        <f>359978.2*0.90202494621</f>
        <v>324709.3</v>
      </c>
      <c r="H102" s="879">
        <f>359978.2*(1-0.90202494621)</f>
        <v>35268.9</v>
      </c>
      <c r="I102" s="2436"/>
      <c r="J102" s="2432"/>
      <c r="K102" s="2432"/>
      <c r="L102" s="2434"/>
      <c r="M102" s="2430"/>
      <c r="N102" s="2430"/>
      <c r="O102" s="1065">
        <f t="shared" si="14"/>
        <v>0</v>
      </c>
      <c r="P102" s="1065">
        <f t="shared" si="14"/>
        <v>0</v>
      </c>
      <c r="Q102" s="1065">
        <f t="shared" si="14"/>
        <v>0</v>
      </c>
      <c r="R102" s="2519"/>
      <c r="S102" s="2520"/>
      <c r="T102" s="2519"/>
      <c r="U102" s="2519"/>
      <c r="V102" s="2411"/>
    </row>
    <row r="103" spans="1:23" ht="52.5">
      <c r="A103" s="1144" t="s">
        <v>626</v>
      </c>
      <c r="B103" s="1147" t="s">
        <v>460</v>
      </c>
      <c r="C103" s="874">
        <f t="shared" si="9"/>
        <v>53626.3</v>
      </c>
      <c r="D103" s="879">
        <v>32423.9</v>
      </c>
      <c r="E103" s="879">
        <v>21202.400000000001</v>
      </c>
      <c r="F103" s="874">
        <f t="shared" si="10"/>
        <v>53626.3</v>
      </c>
      <c r="G103" s="879">
        <v>32423.9</v>
      </c>
      <c r="H103" s="879">
        <v>21202.400000000001</v>
      </c>
      <c r="I103" s="874">
        <f t="shared" si="11"/>
        <v>30</v>
      </c>
      <c r="J103" s="879">
        <v>15.5</v>
      </c>
      <c r="K103" s="879">
        <v>14.5</v>
      </c>
      <c r="L103" s="876">
        <f t="shared" ref="L103:N134" si="15">IF(I103=0,0,I103/F103*100)</f>
        <v>0.1</v>
      </c>
      <c r="M103" s="877">
        <f t="shared" si="13"/>
        <v>0</v>
      </c>
      <c r="N103" s="877">
        <f t="shared" si="13"/>
        <v>0.1</v>
      </c>
      <c r="O103" s="1065">
        <f t="shared" si="14"/>
        <v>0</v>
      </c>
      <c r="P103" s="1065">
        <f t="shared" si="14"/>
        <v>0</v>
      </c>
      <c r="Q103" s="1065">
        <f t="shared" si="14"/>
        <v>0</v>
      </c>
      <c r="R103" s="1148" t="s">
        <v>954</v>
      </c>
      <c r="S103" s="1148" t="s">
        <v>959</v>
      </c>
      <c r="T103" s="1148">
        <v>414</v>
      </c>
      <c r="U103" s="1148" t="s">
        <v>960</v>
      </c>
    </row>
    <row r="104" spans="1:23" ht="105">
      <c r="A104" s="2404" t="s">
        <v>627</v>
      </c>
      <c r="B104" s="975" t="s">
        <v>645</v>
      </c>
      <c r="C104" s="874">
        <f t="shared" si="9"/>
        <v>1929.7</v>
      </c>
      <c r="D104" s="1085">
        <v>0</v>
      </c>
      <c r="E104" s="1085">
        <v>1929.7</v>
      </c>
      <c r="F104" s="874">
        <f t="shared" si="10"/>
        <v>1929.7</v>
      </c>
      <c r="G104" s="1085">
        <v>0</v>
      </c>
      <c r="H104" s="1085">
        <v>1929.7</v>
      </c>
      <c r="I104" s="874">
        <f t="shared" si="11"/>
        <v>689.2</v>
      </c>
      <c r="J104" s="1085">
        <v>0</v>
      </c>
      <c r="K104" s="1085">
        <v>689.2</v>
      </c>
      <c r="L104" s="876">
        <f t="shared" si="15"/>
        <v>35.700000000000003</v>
      </c>
      <c r="M104" s="877">
        <f>IF(J104=0,0,J104/G104*100)</f>
        <v>0</v>
      </c>
      <c r="N104" s="877">
        <f>IF(K104=0,0,K104/H104*100)</f>
        <v>35.700000000000003</v>
      </c>
      <c r="O104" s="1065">
        <f t="shared" si="14"/>
        <v>0</v>
      </c>
      <c r="P104" s="1065">
        <f t="shared" si="14"/>
        <v>0</v>
      </c>
      <c r="Q104" s="1065">
        <f t="shared" si="14"/>
        <v>0</v>
      </c>
      <c r="R104" s="1148" t="s">
        <v>867</v>
      </c>
      <c r="S104" s="1149">
        <v>1550190400</v>
      </c>
      <c r="T104" s="1148">
        <v>414</v>
      </c>
      <c r="U104" s="1148">
        <v>14024</v>
      </c>
    </row>
    <row r="105" spans="1:23" ht="78.75">
      <c r="A105" s="2405"/>
      <c r="B105" s="975" t="s">
        <v>707</v>
      </c>
      <c r="C105" s="874">
        <f t="shared" si="9"/>
        <v>30000</v>
      </c>
      <c r="D105" s="1085">
        <v>0</v>
      </c>
      <c r="E105" s="1085">
        <v>30000</v>
      </c>
      <c r="F105" s="874">
        <f t="shared" si="10"/>
        <v>30000</v>
      </c>
      <c r="G105" s="1085">
        <v>0</v>
      </c>
      <c r="H105" s="1085">
        <v>30000</v>
      </c>
      <c r="I105" s="874">
        <f t="shared" si="11"/>
        <v>0</v>
      </c>
      <c r="J105" s="1085">
        <v>0</v>
      </c>
      <c r="K105" s="1085">
        <v>0</v>
      </c>
      <c r="L105" s="876">
        <f t="shared" si="15"/>
        <v>0</v>
      </c>
      <c r="M105" s="877">
        <f t="shared" si="13"/>
        <v>0</v>
      </c>
      <c r="N105" s="877">
        <f t="shared" si="13"/>
        <v>0</v>
      </c>
      <c r="O105" s="1065">
        <f t="shared" si="14"/>
        <v>0</v>
      </c>
      <c r="P105" s="1065">
        <f t="shared" si="14"/>
        <v>0</v>
      </c>
      <c r="Q105" s="1065">
        <f t="shared" si="14"/>
        <v>0</v>
      </c>
      <c r="R105" s="1148" t="s">
        <v>868</v>
      </c>
      <c r="S105" s="1149">
        <v>1550190400</v>
      </c>
      <c r="T105" s="1148">
        <v>414</v>
      </c>
      <c r="U105" s="1148">
        <v>10120</v>
      </c>
    </row>
    <row r="106" spans="1:23" s="838" customFormat="1" ht="78.75">
      <c r="A106" s="1144" t="s">
        <v>628</v>
      </c>
      <c r="B106" s="976" t="s">
        <v>839</v>
      </c>
      <c r="C106" s="874">
        <f t="shared" si="9"/>
        <v>2714.8</v>
      </c>
      <c r="D106" s="879">
        <v>0</v>
      </c>
      <c r="E106" s="879">
        <v>2714.8</v>
      </c>
      <c r="F106" s="874">
        <f t="shared" si="10"/>
        <v>2714.8</v>
      </c>
      <c r="G106" s="879">
        <v>0</v>
      </c>
      <c r="H106" s="879">
        <v>2714.8</v>
      </c>
      <c r="I106" s="874">
        <f t="shared" si="11"/>
        <v>0</v>
      </c>
      <c r="J106" s="879">
        <v>0</v>
      </c>
      <c r="K106" s="885">
        <v>0</v>
      </c>
      <c r="L106" s="876">
        <f t="shared" si="15"/>
        <v>0</v>
      </c>
      <c r="M106" s="877">
        <f t="shared" si="13"/>
        <v>0</v>
      </c>
      <c r="N106" s="877">
        <f t="shared" si="13"/>
        <v>0</v>
      </c>
      <c r="O106" s="1065">
        <f t="shared" si="14"/>
        <v>0</v>
      </c>
      <c r="P106" s="1065">
        <f t="shared" si="14"/>
        <v>0</v>
      </c>
      <c r="Q106" s="1065">
        <f t="shared" si="14"/>
        <v>0</v>
      </c>
      <c r="R106" s="1148" t="s">
        <v>886</v>
      </c>
      <c r="S106" s="1149" t="s">
        <v>894</v>
      </c>
      <c r="T106" s="1148">
        <v>414</v>
      </c>
      <c r="U106" s="1148">
        <v>14031</v>
      </c>
      <c r="V106" s="1123"/>
      <c r="W106" s="1124"/>
    </row>
    <row r="107" spans="1:23" ht="78.75">
      <c r="A107" s="1144" t="s">
        <v>629</v>
      </c>
      <c r="B107" s="976" t="s">
        <v>653</v>
      </c>
      <c r="C107" s="874">
        <f t="shared" si="9"/>
        <v>2400</v>
      </c>
      <c r="D107" s="879">
        <v>0</v>
      </c>
      <c r="E107" s="879">
        <v>2400</v>
      </c>
      <c r="F107" s="874">
        <f t="shared" si="10"/>
        <v>2400</v>
      </c>
      <c r="G107" s="879">
        <v>0</v>
      </c>
      <c r="H107" s="879">
        <v>2400</v>
      </c>
      <c r="I107" s="874">
        <f t="shared" si="11"/>
        <v>0</v>
      </c>
      <c r="J107" s="879">
        <v>0</v>
      </c>
      <c r="K107" s="885">
        <v>0</v>
      </c>
      <c r="L107" s="876">
        <f t="shared" si="15"/>
        <v>0</v>
      </c>
      <c r="M107" s="877">
        <f t="shared" si="13"/>
        <v>0</v>
      </c>
      <c r="N107" s="877">
        <f t="shared" si="13"/>
        <v>0</v>
      </c>
      <c r="O107" s="1065">
        <f t="shared" si="14"/>
        <v>0</v>
      </c>
      <c r="P107" s="1065">
        <f t="shared" si="14"/>
        <v>0</v>
      </c>
      <c r="Q107" s="1065">
        <f t="shared" si="14"/>
        <v>0</v>
      </c>
      <c r="R107" s="1148" t="s">
        <v>886</v>
      </c>
      <c r="S107" s="1149">
        <v>1900290400</v>
      </c>
      <c r="T107" s="1148">
        <v>414</v>
      </c>
      <c r="U107" s="1148">
        <v>14020</v>
      </c>
    </row>
    <row r="108" spans="1:23" ht="52.5" hidden="1">
      <c r="A108" s="1144" t="s">
        <v>627</v>
      </c>
      <c r="B108" s="976" t="s">
        <v>654</v>
      </c>
      <c r="C108" s="874">
        <f t="shared" si="9"/>
        <v>0</v>
      </c>
      <c r="D108" s="879">
        <v>0</v>
      </c>
      <c r="E108" s="879">
        <v>0</v>
      </c>
      <c r="F108" s="874">
        <f t="shared" si="10"/>
        <v>0</v>
      </c>
      <c r="G108" s="879">
        <v>0</v>
      </c>
      <c r="H108" s="879">
        <v>0</v>
      </c>
      <c r="I108" s="874">
        <f t="shared" si="11"/>
        <v>0</v>
      </c>
      <c r="J108" s="879">
        <v>0</v>
      </c>
      <c r="K108" s="885">
        <v>0</v>
      </c>
      <c r="L108" s="876">
        <f t="shared" si="15"/>
        <v>0</v>
      </c>
      <c r="M108" s="877">
        <f t="shared" si="13"/>
        <v>0</v>
      </c>
      <c r="N108" s="877">
        <f t="shared" si="13"/>
        <v>0</v>
      </c>
      <c r="O108" s="1065">
        <f t="shared" si="14"/>
        <v>0</v>
      </c>
      <c r="P108" s="1065">
        <f t="shared" si="14"/>
        <v>0</v>
      </c>
      <c r="Q108" s="1065">
        <f t="shared" si="14"/>
        <v>0</v>
      </c>
      <c r="R108" s="1148"/>
      <c r="S108" s="1149"/>
      <c r="T108" s="1148"/>
      <c r="U108" s="1148"/>
    </row>
    <row r="109" spans="1:23" ht="52.5">
      <c r="A109" s="1144" t="s">
        <v>630</v>
      </c>
      <c r="B109" s="900" t="s">
        <v>641</v>
      </c>
      <c r="C109" s="874">
        <f t="shared" si="9"/>
        <v>8850</v>
      </c>
      <c r="D109" s="879">
        <v>0</v>
      </c>
      <c r="E109" s="879">
        <v>8850</v>
      </c>
      <c r="F109" s="874">
        <f t="shared" si="10"/>
        <v>8850</v>
      </c>
      <c r="G109" s="879">
        <v>0</v>
      </c>
      <c r="H109" s="879">
        <v>8850</v>
      </c>
      <c r="I109" s="874">
        <f t="shared" si="11"/>
        <v>0</v>
      </c>
      <c r="J109" s="879">
        <v>0</v>
      </c>
      <c r="K109" s="879">
        <v>0</v>
      </c>
      <c r="L109" s="876">
        <f t="shared" si="15"/>
        <v>0</v>
      </c>
      <c r="M109" s="877">
        <f t="shared" si="13"/>
        <v>0</v>
      </c>
      <c r="N109" s="877">
        <f t="shared" si="13"/>
        <v>0</v>
      </c>
      <c r="O109" s="1065">
        <f t="shared" si="14"/>
        <v>0</v>
      </c>
      <c r="P109" s="1065">
        <f t="shared" si="14"/>
        <v>0</v>
      </c>
      <c r="Q109" s="1065">
        <f t="shared" si="14"/>
        <v>0</v>
      </c>
      <c r="R109" s="1148" t="s">
        <v>947</v>
      </c>
      <c r="S109" s="1149" t="s">
        <v>948</v>
      </c>
      <c r="T109" s="1148">
        <v>414</v>
      </c>
      <c r="U109" s="1148">
        <v>14016</v>
      </c>
    </row>
    <row r="110" spans="1:23" ht="52.5">
      <c r="A110" s="1144" t="s">
        <v>732</v>
      </c>
      <c r="B110" s="976" t="s">
        <v>647</v>
      </c>
      <c r="C110" s="874">
        <f t="shared" si="9"/>
        <v>39000</v>
      </c>
      <c r="D110" s="879">
        <v>0</v>
      </c>
      <c r="E110" s="879">
        <v>39000</v>
      </c>
      <c r="F110" s="874">
        <f t="shared" si="10"/>
        <v>39000</v>
      </c>
      <c r="G110" s="879">
        <v>0</v>
      </c>
      <c r="H110" s="879">
        <v>39000</v>
      </c>
      <c r="I110" s="874">
        <f t="shared" si="11"/>
        <v>21450</v>
      </c>
      <c r="J110" s="879">
        <v>0</v>
      </c>
      <c r="K110" s="885">
        <v>21450</v>
      </c>
      <c r="L110" s="876">
        <f t="shared" si="15"/>
        <v>55</v>
      </c>
      <c r="M110" s="877">
        <f t="shared" si="13"/>
        <v>0</v>
      </c>
      <c r="N110" s="877">
        <f t="shared" si="13"/>
        <v>55</v>
      </c>
      <c r="O110" s="1065">
        <f t="shared" si="14"/>
        <v>0</v>
      </c>
      <c r="P110" s="1065">
        <f t="shared" si="14"/>
        <v>0</v>
      </c>
      <c r="Q110" s="1065">
        <f t="shared" si="14"/>
        <v>0</v>
      </c>
      <c r="R110" s="1148" t="s">
        <v>936</v>
      </c>
      <c r="S110" s="1149" t="s">
        <v>944</v>
      </c>
      <c r="T110" s="1148">
        <v>414</v>
      </c>
      <c r="U110" s="1148">
        <v>14050</v>
      </c>
    </row>
    <row r="111" spans="1:23" ht="78.75">
      <c r="A111" s="1144" t="s">
        <v>733</v>
      </c>
      <c r="B111" s="976" t="s">
        <v>804</v>
      </c>
      <c r="C111" s="874">
        <f t="shared" si="9"/>
        <v>2244.9</v>
      </c>
      <c r="D111" s="879">
        <v>0</v>
      </c>
      <c r="E111" s="879">
        <v>2244.9</v>
      </c>
      <c r="F111" s="874">
        <f t="shared" si="10"/>
        <v>2244.9</v>
      </c>
      <c r="G111" s="879">
        <v>0</v>
      </c>
      <c r="H111" s="879">
        <v>2244.9</v>
      </c>
      <c r="I111" s="874">
        <f t="shared" si="11"/>
        <v>0</v>
      </c>
      <c r="J111" s="879">
        <v>0</v>
      </c>
      <c r="K111" s="885">
        <v>0</v>
      </c>
      <c r="L111" s="876">
        <f t="shared" si="15"/>
        <v>0</v>
      </c>
      <c r="M111" s="877">
        <f>IF(J111=0,0,J111/G111*100)</f>
        <v>0</v>
      </c>
      <c r="N111" s="877">
        <f>IF(K111=0,0,K111/H111*100)</f>
        <v>0</v>
      </c>
      <c r="O111" s="1065">
        <f t="shared" si="14"/>
        <v>0</v>
      </c>
      <c r="P111" s="1065">
        <f t="shared" si="14"/>
        <v>0</v>
      </c>
      <c r="Q111" s="1065">
        <f t="shared" si="14"/>
        <v>0</v>
      </c>
      <c r="R111" s="1148" t="s">
        <v>945</v>
      </c>
      <c r="S111" s="1149" t="s">
        <v>937</v>
      </c>
      <c r="T111" s="1148">
        <v>414</v>
      </c>
      <c r="U111" s="1148">
        <v>14071</v>
      </c>
    </row>
    <row r="112" spans="1:23" ht="78.75">
      <c r="A112" s="1144" t="s">
        <v>781</v>
      </c>
      <c r="B112" s="900" t="s">
        <v>637</v>
      </c>
      <c r="C112" s="874">
        <f t="shared" si="9"/>
        <v>4496.8</v>
      </c>
      <c r="D112" s="879">
        <v>0</v>
      </c>
      <c r="E112" s="879">
        <v>4496.8</v>
      </c>
      <c r="F112" s="874">
        <f t="shared" si="10"/>
        <v>4496.8</v>
      </c>
      <c r="G112" s="879">
        <v>0</v>
      </c>
      <c r="H112" s="879">
        <v>4496.8</v>
      </c>
      <c r="I112" s="874">
        <f t="shared" si="11"/>
        <v>0</v>
      </c>
      <c r="J112" s="879">
        <v>0</v>
      </c>
      <c r="K112" s="879">
        <v>0</v>
      </c>
      <c r="L112" s="876">
        <f t="shared" si="15"/>
        <v>0</v>
      </c>
      <c r="M112" s="877">
        <f t="shared" si="15"/>
        <v>0</v>
      </c>
      <c r="N112" s="877">
        <f t="shared" si="15"/>
        <v>0</v>
      </c>
      <c r="O112" s="1065">
        <f t="shared" ref="O112:Q127" si="16">C112-F112</f>
        <v>0</v>
      </c>
      <c r="P112" s="1065">
        <f t="shared" si="16"/>
        <v>0</v>
      </c>
      <c r="Q112" s="1065">
        <f t="shared" si="16"/>
        <v>0</v>
      </c>
      <c r="R112" s="1148" t="s">
        <v>949</v>
      </c>
      <c r="S112" s="1149" t="s">
        <v>951</v>
      </c>
      <c r="T112" s="1148">
        <v>414</v>
      </c>
      <c r="U112" s="1148">
        <v>14057</v>
      </c>
    </row>
    <row r="113" spans="1:21" ht="52.5">
      <c r="A113" s="1144" t="s">
        <v>631</v>
      </c>
      <c r="B113" s="901" t="s">
        <v>639</v>
      </c>
      <c r="C113" s="874">
        <f t="shared" si="9"/>
        <v>1946</v>
      </c>
      <c r="D113" s="879">
        <v>0</v>
      </c>
      <c r="E113" s="879">
        <v>1946</v>
      </c>
      <c r="F113" s="874">
        <f t="shared" si="10"/>
        <v>1946</v>
      </c>
      <c r="G113" s="879">
        <v>0</v>
      </c>
      <c r="H113" s="879">
        <v>1946</v>
      </c>
      <c r="I113" s="874">
        <f t="shared" si="11"/>
        <v>0</v>
      </c>
      <c r="J113" s="879">
        <v>0</v>
      </c>
      <c r="K113" s="879">
        <v>0</v>
      </c>
      <c r="L113" s="876">
        <f t="shared" si="15"/>
        <v>0</v>
      </c>
      <c r="M113" s="877">
        <f t="shared" si="15"/>
        <v>0</v>
      </c>
      <c r="N113" s="877">
        <f t="shared" si="15"/>
        <v>0</v>
      </c>
      <c r="O113" s="1065">
        <f t="shared" si="16"/>
        <v>0</v>
      </c>
      <c r="P113" s="1065">
        <f t="shared" si="16"/>
        <v>0</v>
      </c>
      <c r="Q113" s="1065">
        <f t="shared" si="16"/>
        <v>0</v>
      </c>
      <c r="R113" s="1148" t="s">
        <v>954</v>
      </c>
      <c r="S113" s="1149" t="s">
        <v>956</v>
      </c>
      <c r="T113" s="1148">
        <v>414</v>
      </c>
      <c r="U113" s="1148">
        <v>14015</v>
      </c>
    </row>
    <row r="114" spans="1:21" ht="57.75" customHeight="1">
      <c r="A114" s="1144" t="s">
        <v>632</v>
      </c>
      <c r="B114" s="900" t="s">
        <v>643</v>
      </c>
      <c r="C114" s="874">
        <f t="shared" si="9"/>
        <v>2752.8</v>
      </c>
      <c r="D114" s="879">
        <v>0</v>
      </c>
      <c r="E114" s="879">
        <v>2752.8</v>
      </c>
      <c r="F114" s="874">
        <f t="shared" si="10"/>
        <v>2752.8</v>
      </c>
      <c r="G114" s="879">
        <v>0</v>
      </c>
      <c r="H114" s="879">
        <v>2752.8</v>
      </c>
      <c r="I114" s="874">
        <f t="shared" si="11"/>
        <v>0</v>
      </c>
      <c r="J114" s="879">
        <v>0</v>
      </c>
      <c r="K114" s="879">
        <v>0</v>
      </c>
      <c r="L114" s="876">
        <f t="shared" si="15"/>
        <v>0</v>
      </c>
      <c r="M114" s="877">
        <f t="shared" si="15"/>
        <v>0</v>
      </c>
      <c r="N114" s="877">
        <f t="shared" si="15"/>
        <v>0</v>
      </c>
      <c r="O114" s="1065">
        <f t="shared" si="16"/>
        <v>0</v>
      </c>
      <c r="P114" s="1065">
        <f t="shared" si="16"/>
        <v>0</v>
      </c>
      <c r="Q114" s="1065">
        <f t="shared" si="16"/>
        <v>0</v>
      </c>
      <c r="R114" s="1148" t="s">
        <v>954</v>
      </c>
      <c r="S114" s="1149" t="s">
        <v>956</v>
      </c>
      <c r="T114" s="1148">
        <v>141</v>
      </c>
      <c r="U114" s="1148">
        <v>14018</v>
      </c>
    </row>
    <row r="115" spans="1:21" ht="52.5">
      <c r="A115" s="1144" t="s">
        <v>633</v>
      </c>
      <c r="B115" s="900" t="s">
        <v>801</v>
      </c>
      <c r="C115" s="874">
        <f t="shared" si="9"/>
        <v>10292.6</v>
      </c>
      <c r="D115" s="879">
        <v>0</v>
      </c>
      <c r="E115" s="879">
        <v>10292.6</v>
      </c>
      <c r="F115" s="874">
        <f t="shared" si="10"/>
        <v>10292.6</v>
      </c>
      <c r="G115" s="879">
        <v>0</v>
      </c>
      <c r="H115" s="879">
        <v>10292.6</v>
      </c>
      <c r="I115" s="874">
        <f t="shared" si="11"/>
        <v>0</v>
      </c>
      <c r="J115" s="879">
        <v>0</v>
      </c>
      <c r="K115" s="879">
        <v>0</v>
      </c>
      <c r="L115" s="876">
        <f t="shared" si="15"/>
        <v>0</v>
      </c>
      <c r="M115" s="877">
        <f t="shared" si="15"/>
        <v>0</v>
      </c>
      <c r="N115" s="877">
        <f t="shared" si="15"/>
        <v>0</v>
      </c>
      <c r="O115" s="1065">
        <f t="shared" si="16"/>
        <v>0</v>
      </c>
      <c r="P115" s="1065">
        <f t="shared" si="16"/>
        <v>0</v>
      </c>
      <c r="Q115" s="1065">
        <f t="shared" si="16"/>
        <v>0</v>
      </c>
      <c r="R115" s="1148" t="s">
        <v>954</v>
      </c>
      <c r="S115" s="1149" t="s">
        <v>955</v>
      </c>
      <c r="T115" s="1148">
        <v>414</v>
      </c>
      <c r="U115" s="1148">
        <v>14004</v>
      </c>
    </row>
    <row r="116" spans="1:21" ht="78.75">
      <c r="A116" s="1144" t="s">
        <v>634</v>
      </c>
      <c r="B116" s="900" t="s">
        <v>802</v>
      </c>
      <c r="C116" s="874">
        <f t="shared" si="9"/>
        <v>5000</v>
      </c>
      <c r="D116" s="879">
        <v>0</v>
      </c>
      <c r="E116" s="879">
        <v>5000</v>
      </c>
      <c r="F116" s="874">
        <f t="shared" si="10"/>
        <v>5000</v>
      </c>
      <c r="G116" s="879">
        <v>0</v>
      </c>
      <c r="H116" s="879">
        <v>5000</v>
      </c>
      <c r="I116" s="874">
        <f t="shared" si="11"/>
        <v>0</v>
      </c>
      <c r="J116" s="879">
        <v>0</v>
      </c>
      <c r="K116" s="879">
        <v>0</v>
      </c>
      <c r="L116" s="876">
        <f t="shared" si="15"/>
        <v>0</v>
      </c>
      <c r="M116" s="877">
        <f t="shared" si="15"/>
        <v>0</v>
      </c>
      <c r="N116" s="877">
        <f t="shared" si="15"/>
        <v>0</v>
      </c>
      <c r="O116" s="1065">
        <f t="shared" si="16"/>
        <v>0</v>
      </c>
      <c r="P116" s="1065">
        <f t="shared" si="16"/>
        <v>0</v>
      </c>
      <c r="Q116" s="1065">
        <f t="shared" si="16"/>
        <v>0</v>
      </c>
      <c r="R116" s="1148" t="s">
        <v>954</v>
      </c>
      <c r="S116" s="1149" t="s">
        <v>956</v>
      </c>
      <c r="T116" s="1148">
        <v>414</v>
      </c>
      <c r="U116" s="1148">
        <v>14060</v>
      </c>
    </row>
    <row r="117" spans="1:21" ht="52.5">
      <c r="A117" s="1144" t="s">
        <v>825</v>
      </c>
      <c r="B117" s="900" t="s">
        <v>803</v>
      </c>
      <c r="C117" s="874">
        <f t="shared" si="9"/>
        <v>5016.7</v>
      </c>
      <c r="D117" s="879">
        <v>0</v>
      </c>
      <c r="E117" s="879">
        <v>5016.7</v>
      </c>
      <c r="F117" s="874">
        <f t="shared" si="10"/>
        <v>5016.7</v>
      </c>
      <c r="G117" s="879">
        <v>0</v>
      </c>
      <c r="H117" s="879">
        <v>5016.7</v>
      </c>
      <c r="I117" s="874">
        <f t="shared" si="11"/>
        <v>0</v>
      </c>
      <c r="J117" s="879">
        <v>0</v>
      </c>
      <c r="K117" s="879">
        <v>0</v>
      </c>
      <c r="L117" s="876">
        <f t="shared" si="15"/>
        <v>0</v>
      </c>
      <c r="M117" s="877">
        <f t="shared" si="15"/>
        <v>0</v>
      </c>
      <c r="N117" s="877">
        <f t="shared" si="15"/>
        <v>0</v>
      </c>
      <c r="O117" s="1065">
        <f t="shared" si="16"/>
        <v>0</v>
      </c>
      <c r="P117" s="1065">
        <f t="shared" si="16"/>
        <v>0</v>
      </c>
      <c r="Q117" s="1065">
        <f t="shared" si="16"/>
        <v>0</v>
      </c>
      <c r="R117" s="1148" t="s">
        <v>954</v>
      </c>
      <c r="S117" s="1149" t="s">
        <v>956</v>
      </c>
      <c r="T117" s="1148">
        <v>414</v>
      </c>
      <c r="U117" s="1148">
        <v>14061</v>
      </c>
    </row>
    <row r="118" spans="1:21" ht="52.5">
      <c r="A118" s="1144" t="s">
        <v>635</v>
      </c>
      <c r="B118" s="900" t="s">
        <v>812</v>
      </c>
      <c r="C118" s="874">
        <f t="shared" si="9"/>
        <v>2500</v>
      </c>
      <c r="D118" s="879">
        <v>0</v>
      </c>
      <c r="E118" s="879">
        <v>2500</v>
      </c>
      <c r="F118" s="874">
        <f t="shared" si="10"/>
        <v>2500</v>
      </c>
      <c r="G118" s="879">
        <v>0</v>
      </c>
      <c r="H118" s="879">
        <v>2500</v>
      </c>
      <c r="I118" s="874">
        <f t="shared" si="11"/>
        <v>0</v>
      </c>
      <c r="J118" s="879">
        <v>0</v>
      </c>
      <c r="K118" s="879">
        <v>0</v>
      </c>
      <c r="L118" s="876">
        <f t="shared" si="15"/>
        <v>0</v>
      </c>
      <c r="M118" s="877">
        <f t="shared" si="15"/>
        <v>0</v>
      </c>
      <c r="N118" s="877">
        <f t="shared" si="15"/>
        <v>0</v>
      </c>
      <c r="O118" s="1065">
        <f t="shared" si="16"/>
        <v>0</v>
      </c>
      <c r="P118" s="1065">
        <f t="shared" si="16"/>
        <v>0</v>
      </c>
      <c r="Q118" s="1065">
        <f t="shared" si="16"/>
        <v>0</v>
      </c>
      <c r="R118" s="1148" t="s">
        <v>954</v>
      </c>
      <c r="S118" s="1149" t="s">
        <v>956</v>
      </c>
      <c r="T118" s="1148">
        <v>414</v>
      </c>
      <c r="U118" s="1148">
        <v>14074</v>
      </c>
    </row>
    <row r="119" spans="1:21" ht="78.75">
      <c r="A119" s="1144" t="s">
        <v>734</v>
      </c>
      <c r="B119" s="1125" t="s">
        <v>795</v>
      </c>
      <c r="C119" s="874">
        <f t="shared" si="9"/>
        <v>4100</v>
      </c>
      <c r="D119" s="1085">
        <v>0</v>
      </c>
      <c r="E119" s="1085">
        <v>4100</v>
      </c>
      <c r="F119" s="874">
        <f t="shared" si="10"/>
        <v>4100</v>
      </c>
      <c r="G119" s="1085">
        <v>0</v>
      </c>
      <c r="H119" s="1085">
        <v>4100</v>
      </c>
      <c r="I119" s="874">
        <f t="shared" si="11"/>
        <v>0</v>
      </c>
      <c r="J119" s="1085">
        <v>0</v>
      </c>
      <c r="K119" s="1085">
        <v>0</v>
      </c>
      <c r="L119" s="876">
        <f t="shared" si="15"/>
        <v>0</v>
      </c>
      <c r="M119" s="877">
        <f t="shared" si="15"/>
        <v>0</v>
      </c>
      <c r="N119" s="877">
        <f t="shared" si="15"/>
        <v>0</v>
      </c>
      <c r="O119" s="1065">
        <f t="shared" si="16"/>
        <v>0</v>
      </c>
      <c r="P119" s="1065">
        <f t="shared" si="16"/>
        <v>0</v>
      </c>
      <c r="Q119" s="1065">
        <f t="shared" si="16"/>
        <v>0</v>
      </c>
      <c r="R119" s="1148" t="s">
        <v>886</v>
      </c>
      <c r="S119" s="1149">
        <v>1820190400</v>
      </c>
      <c r="T119" s="1148">
        <v>414</v>
      </c>
      <c r="U119" s="1148">
        <v>14062</v>
      </c>
    </row>
    <row r="120" spans="1:21" ht="78.75">
      <c r="A120" s="1144" t="s">
        <v>735</v>
      </c>
      <c r="B120" s="937" t="s">
        <v>796</v>
      </c>
      <c r="C120" s="874">
        <f t="shared" si="9"/>
        <v>3400</v>
      </c>
      <c r="D120" s="1085">
        <v>0</v>
      </c>
      <c r="E120" s="1085">
        <v>3400</v>
      </c>
      <c r="F120" s="874">
        <f t="shared" si="10"/>
        <v>3400</v>
      </c>
      <c r="G120" s="1085">
        <v>0</v>
      </c>
      <c r="H120" s="1085">
        <v>3400</v>
      </c>
      <c r="I120" s="874">
        <f t="shared" si="11"/>
        <v>0</v>
      </c>
      <c r="J120" s="1085">
        <v>0</v>
      </c>
      <c r="K120" s="1085">
        <v>0</v>
      </c>
      <c r="L120" s="876">
        <f t="shared" si="15"/>
        <v>0</v>
      </c>
      <c r="M120" s="877">
        <f t="shared" si="15"/>
        <v>0</v>
      </c>
      <c r="N120" s="877">
        <f t="shared" si="15"/>
        <v>0</v>
      </c>
      <c r="O120" s="1065">
        <f t="shared" si="16"/>
        <v>0</v>
      </c>
      <c r="P120" s="1065">
        <f t="shared" si="16"/>
        <v>0</v>
      </c>
      <c r="Q120" s="1065">
        <f t="shared" si="16"/>
        <v>0</v>
      </c>
      <c r="R120" s="1148" t="s">
        <v>886</v>
      </c>
      <c r="S120" s="1149">
        <v>1820190400</v>
      </c>
      <c r="T120" s="1148">
        <v>414</v>
      </c>
      <c r="U120" s="1148">
        <v>14063</v>
      </c>
    </row>
    <row r="121" spans="1:21" ht="78.75">
      <c r="A121" s="1144" t="s">
        <v>636</v>
      </c>
      <c r="B121" s="1126" t="s">
        <v>806</v>
      </c>
      <c r="C121" s="874">
        <f t="shared" si="9"/>
        <v>7000</v>
      </c>
      <c r="D121" s="1085">
        <v>0</v>
      </c>
      <c r="E121" s="1085">
        <v>7000</v>
      </c>
      <c r="F121" s="874">
        <f t="shared" si="10"/>
        <v>7000</v>
      </c>
      <c r="G121" s="1085">
        <v>0</v>
      </c>
      <c r="H121" s="1085">
        <v>7000</v>
      </c>
      <c r="I121" s="874">
        <f t="shared" si="11"/>
        <v>0</v>
      </c>
      <c r="J121" s="1085">
        <v>0</v>
      </c>
      <c r="K121" s="1085">
        <v>0</v>
      </c>
      <c r="L121" s="876">
        <f t="shared" si="15"/>
        <v>0</v>
      </c>
      <c r="M121" s="877">
        <f t="shared" si="15"/>
        <v>0</v>
      </c>
      <c r="N121" s="877">
        <f t="shared" si="15"/>
        <v>0</v>
      </c>
      <c r="O121" s="1065">
        <f t="shared" si="16"/>
        <v>0</v>
      </c>
      <c r="P121" s="1065">
        <f t="shared" si="16"/>
        <v>0</v>
      </c>
      <c r="Q121" s="1065">
        <f t="shared" si="16"/>
        <v>0</v>
      </c>
      <c r="R121" s="1148" t="s">
        <v>886</v>
      </c>
      <c r="S121" s="1149">
        <v>1820190400</v>
      </c>
      <c r="T121" s="1148">
        <v>414</v>
      </c>
      <c r="U121" s="1148">
        <v>14064</v>
      </c>
    </row>
    <row r="122" spans="1:21" ht="78.75">
      <c r="A122" s="1144" t="s">
        <v>736</v>
      </c>
      <c r="B122" s="1125" t="s">
        <v>807</v>
      </c>
      <c r="C122" s="874">
        <f t="shared" si="9"/>
        <v>7800</v>
      </c>
      <c r="D122" s="1085">
        <v>0</v>
      </c>
      <c r="E122" s="1085">
        <v>7800</v>
      </c>
      <c r="F122" s="874">
        <f t="shared" si="10"/>
        <v>7800</v>
      </c>
      <c r="G122" s="1085">
        <v>0</v>
      </c>
      <c r="H122" s="1085">
        <v>7800</v>
      </c>
      <c r="I122" s="874">
        <f t="shared" si="11"/>
        <v>0</v>
      </c>
      <c r="J122" s="1085">
        <v>0</v>
      </c>
      <c r="K122" s="1085">
        <v>0</v>
      </c>
      <c r="L122" s="876">
        <f t="shared" si="15"/>
        <v>0</v>
      </c>
      <c r="M122" s="877">
        <f t="shared" si="15"/>
        <v>0</v>
      </c>
      <c r="N122" s="877">
        <f t="shared" si="15"/>
        <v>0</v>
      </c>
      <c r="O122" s="1065">
        <f t="shared" si="16"/>
        <v>0</v>
      </c>
      <c r="P122" s="1065">
        <f t="shared" si="16"/>
        <v>0</v>
      </c>
      <c r="Q122" s="1065">
        <f t="shared" si="16"/>
        <v>0</v>
      </c>
      <c r="R122" s="1148" t="s">
        <v>886</v>
      </c>
      <c r="S122" s="1149">
        <v>1820190400</v>
      </c>
      <c r="T122" s="1148">
        <v>414</v>
      </c>
      <c r="U122" s="1148">
        <v>14065</v>
      </c>
    </row>
    <row r="123" spans="1:21" ht="120" customHeight="1">
      <c r="A123" s="1144" t="s">
        <v>737</v>
      </c>
      <c r="B123" s="1125" t="s">
        <v>808</v>
      </c>
      <c r="C123" s="874">
        <f t="shared" si="9"/>
        <v>2000</v>
      </c>
      <c r="D123" s="1085">
        <v>0</v>
      </c>
      <c r="E123" s="1085">
        <v>2000</v>
      </c>
      <c r="F123" s="874">
        <f t="shared" si="10"/>
        <v>2000</v>
      </c>
      <c r="G123" s="1085">
        <v>0</v>
      </c>
      <c r="H123" s="1085">
        <v>2000</v>
      </c>
      <c r="I123" s="874">
        <f t="shared" si="11"/>
        <v>0</v>
      </c>
      <c r="J123" s="1085">
        <v>0</v>
      </c>
      <c r="K123" s="1085">
        <v>0</v>
      </c>
      <c r="L123" s="876">
        <f t="shared" si="15"/>
        <v>0</v>
      </c>
      <c r="M123" s="877">
        <f t="shared" si="15"/>
        <v>0</v>
      </c>
      <c r="N123" s="877">
        <f t="shared" si="15"/>
        <v>0</v>
      </c>
      <c r="O123" s="1065">
        <f t="shared" si="16"/>
        <v>0</v>
      </c>
      <c r="P123" s="1065">
        <f t="shared" si="16"/>
        <v>0</v>
      </c>
      <c r="Q123" s="1065">
        <f t="shared" si="16"/>
        <v>0</v>
      </c>
      <c r="R123" s="1148" t="s">
        <v>886</v>
      </c>
      <c r="S123" s="1149">
        <v>1820190400</v>
      </c>
      <c r="T123" s="1148">
        <v>414</v>
      </c>
      <c r="U123" s="1148">
        <v>14066</v>
      </c>
    </row>
    <row r="124" spans="1:21" ht="118.5" customHeight="1">
      <c r="A124" s="1144" t="s">
        <v>738</v>
      </c>
      <c r="B124" s="900" t="s">
        <v>809</v>
      </c>
      <c r="C124" s="874">
        <f>SUM(D124:E124)</f>
        <v>20000</v>
      </c>
      <c r="D124" s="1085">
        <v>0</v>
      </c>
      <c r="E124" s="1085">
        <v>20000</v>
      </c>
      <c r="F124" s="874">
        <f>SUM(G124:H124)</f>
        <v>20000</v>
      </c>
      <c r="G124" s="1085">
        <v>0</v>
      </c>
      <c r="H124" s="1085">
        <v>20000</v>
      </c>
      <c r="I124" s="874">
        <f>SUM(J124:K124)</f>
        <v>0</v>
      </c>
      <c r="J124" s="1085">
        <v>0</v>
      </c>
      <c r="K124" s="1085">
        <v>0</v>
      </c>
      <c r="L124" s="876">
        <f t="shared" si="15"/>
        <v>0</v>
      </c>
      <c r="M124" s="877">
        <f>IF(J124=0,0,J124/G124*100)</f>
        <v>0</v>
      </c>
      <c r="N124" s="877">
        <f>IF(K124=0,0,K124/H124*100)</f>
        <v>0</v>
      </c>
      <c r="O124" s="1065">
        <f t="shared" si="16"/>
        <v>0</v>
      </c>
      <c r="P124" s="1065">
        <f t="shared" si="16"/>
        <v>0</v>
      </c>
      <c r="Q124" s="1065">
        <f t="shared" si="16"/>
        <v>0</v>
      </c>
      <c r="R124" s="1148" t="s">
        <v>928</v>
      </c>
      <c r="S124" s="1149" t="s">
        <v>929</v>
      </c>
      <c r="T124" s="1148">
        <v>414</v>
      </c>
      <c r="U124" s="1148">
        <v>14072</v>
      </c>
    </row>
    <row r="125" spans="1:21" ht="89.25" customHeight="1">
      <c r="A125" s="1144" t="s">
        <v>739</v>
      </c>
      <c r="B125" s="900" t="s">
        <v>810</v>
      </c>
      <c r="C125" s="874">
        <f>SUM(D125:E125)</f>
        <v>20000</v>
      </c>
      <c r="D125" s="1085">
        <v>0</v>
      </c>
      <c r="E125" s="1085">
        <v>20000</v>
      </c>
      <c r="F125" s="874">
        <f>SUM(G125:H125)</f>
        <v>20000</v>
      </c>
      <c r="G125" s="1085">
        <v>0</v>
      </c>
      <c r="H125" s="1085">
        <v>20000</v>
      </c>
      <c r="I125" s="874">
        <f>SUM(J125:K125)</f>
        <v>0</v>
      </c>
      <c r="J125" s="1085">
        <v>0</v>
      </c>
      <c r="K125" s="1085">
        <v>0</v>
      </c>
      <c r="L125" s="876">
        <f t="shared" si="15"/>
        <v>0</v>
      </c>
      <c r="M125" s="877">
        <f>IF(J125=0,0,J125/G125*100)</f>
        <v>0</v>
      </c>
      <c r="N125" s="877">
        <f>IF(K125=0,0,K125/H125*100)</f>
        <v>0</v>
      </c>
      <c r="O125" s="1065">
        <f t="shared" si="16"/>
        <v>0</v>
      </c>
      <c r="P125" s="1065">
        <f t="shared" si="16"/>
        <v>0</v>
      </c>
      <c r="Q125" s="1065">
        <f t="shared" si="16"/>
        <v>0</v>
      </c>
      <c r="R125" s="1148" t="s">
        <v>936</v>
      </c>
      <c r="S125" s="1149" t="s">
        <v>937</v>
      </c>
      <c r="T125" s="1148">
        <v>414</v>
      </c>
      <c r="U125" s="1148">
        <v>14058</v>
      </c>
    </row>
    <row r="126" spans="1:21" ht="135.75" customHeight="1">
      <c r="A126" s="1144" t="s">
        <v>740</v>
      </c>
      <c r="B126" s="990" t="s">
        <v>811</v>
      </c>
      <c r="C126" s="874">
        <f>SUM(D126:E126)</f>
        <v>24516</v>
      </c>
      <c r="D126" s="1085">
        <v>0</v>
      </c>
      <c r="E126" s="1085">
        <v>24516</v>
      </c>
      <c r="F126" s="874">
        <f>SUM(G126:H126)</f>
        <v>24516</v>
      </c>
      <c r="G126" s="1085">
        <v>0</v>
      </c>
      <c r="H126" s="1085">
        <v>24516</v>
      </c>
      <c r="I126" s="874">
        <f>SUM(J126:K126)</f>
        <v>0</v>
      </c>
      <c r="J126" s="1085">
        <v>0</v>
      </c>
      <c r="K126" s="1085">
        <v>0</v>
      </c>
      <c r="L126" s="876">
        <f t="shared" si="15"/>
        <v>0</v>
      </c>
      <c r="M126" s="877">
        <f t="shared" si="15"/>
        <v>0</v>
      </c>
      <c r="N126" s="877">
        <f t="shared" si="15"/>
        <v>0</v>
      </c>
      <c r="O126" s="1065">
        <f t="shared" si="16"/>
        <v>0</v>
      </c>
      <c r="P126" s="1065">
        <f t="shared" si="16"/>
        <v>0</v>
      </c>
      <c r="Q126" s="1065">
        <f t="shared" si="16"/>
        <v>0</v>
      </c>
      <c r="R126" s="1148" t="s">
        <v>936</v>
      </c>
      <c r="S126" s="1149" t="s">
        <v>937</v>
      </c>
      <c r="T126" s="1148">
        <v>414</v>
      </c>
      <c r="U126" s="1148">
        <v>14059</v>
      </c>
    </row>
    <row r="127" spans="1:21" ht="95.25" customHeight="1">
      <c r="A127" s="1144" t="s">
        <v>741</v>
      </c>
      <c r="B127" s="900" t="s">
        <v>640</v>
      </c>
      <c r="C127" s="874">
        <f>SUM(D127:E127)</f>
        <v>1400</v>
      </c>
      <c r="D127" s="879">
        <v>0</v>
      </c>
      <c r="E127" s="879">
        <v>1400</v>
      </c>
      <c r="F127" s="874">
        <f>SUM(G127:H127)</f>
        <v>1400</v>
      </c>
      <c r="G127" s="879">
        <v>0</v>
      </c>
      <c r="H127" s="879">
        <v>1400</v>
      </c>
      <c r="I127" s="874">
        <f>SUM(J127:K127)</f>
        <v>0</v>
      </c>
      <c r="J127" s="879">
        <v>0</v>
      </c>
      <c r="K127" s="879">
        <v>0</v>
      </c>
      <c r="L127" s="876">
        <f t="shared" si="15"/>
        <v>0</v>
      </c>
      <c r="M127" s="877">
        <f t="shared" si="15"/>
        <v>0</v>
      </c>
      <c r="N127" s="877">
        <f t="shared" si="15"/>
        <v>0</v>
      </c>
      <c r="O127" s="1065">
        <f t="shared" si="16"/>
        <v>0</v>
      </c>
      <c r="P127" s="1065">
        <f t="shared" si="16"/>
        <v>0</v>
      </c>
      <c r="Q127" s="1065">
        <f t="shared" si="16"/>
        <v>0</v>
      </c>
      <c r="R127" s="1148" t="s">
        <v>869</v>
      </c>
      <c r="S127" s="1149">
        <v>1410190420</v>
      </c>
      <c r="T127" s="1148">
        <v>414</v>
      </c>
      <c r="U127" s="1148">
        <v>14022</v>
      </c>
    </row>
    <row r="128" spans="1:21" ht="95.25" customHeight="1">
      <c r="A128" s="1144" t="s">
        <v>742</v>
      </c>
      <c r="B128" s="1106" t="s">
        <v>863</v>
      </c>
      <c r="C128" s="874">
        <f>SUM(D128:E128)</f>
        <v>21276.6</v>
      </c>
      <c r="D128" s="879">
        <v>20000</v>
      </c>
      <c r="E128" s="879">
        <v>1276.5999999999999</v>
      </c>
      <c r="F128" s="874">
        <f>SUM(G128:H128)</f>
        <v>21276.6</v>
      </c>
      <c r="G128" s="879">
        <v>20000</v>
      </c>
      <c r="H128" s="879">
        <v>1276.5999999999999</v>
      </c>
      <c r="I128" s="874">
        <f>SUM(J128:K128)</f>
        <v>0</v>
      </c>
      <c r="J128" s="879">
        <v>0</v>
      </c>
      <c r="K128" s="879">
        <v>0</v>
      </c>
      <c r="L128" s="876">
        <f t="shared" si="15"/>
        <v>0</v>
      </c>
      <c r="M128" s="877">
        <f>IF(J128=0,0,J128/G128*100)</f>
        <v>0</v>
      </c>
      <c r="N128" s="877">
        <f>IF(K128=0,0,K128/H128*100)</f>
        <v>0</v>
      </c>
      <c r="O128" s="1065"/>
      <c r="P128" s="1065"/>
      <c r="Q128" s="1065"/>
      <c r="R128" s="1148" t="s">
        <v>928</v>
      </c>
      <c r="S128" s="1149" t="s">
        <v>932</v>
      </c>
      <c r="T128" s="1148">
        <v>414</v>
      </c>
      <c r="U128" s="1148" t="s">
        <v>933</v>
      </c>
    </row>
    <row r="129" spans="1:23" ht="52.5">
      <c r="A129" s="1144" t="s">
        <v>782</v>
      </c>
      <c r="B129" s="1127" t="s">
        <v>841</v>
      </c>
      <c r="C129" s="874">
        <f t="shared" ref="C129:C192" si="17">SUM(D129:E129)</f>
        <v>3420</v>
      </c>
      <c r="D129" s="879"/>
      <c r="E129" s="970">
        <v>3420</v>
      </c>
      <c r="F129" s="874">
        <f t="shared" ref="F129:F192" si="18">SUM(G129:H129)</f>
        <v>3420</v>
      </c>
      <c r="G129" s="1083"/>
      <c r="H129" s="970">
        <v>3420</v>
      </c>
      <c r="I129" s="874">
        <f t="shared" ref="I129:I184" si="19">SUM(J129:K129)</f>
        <v>0</v>
      </c>
      <c r="J129" s="879">
        <v>0</v>
      </c>
      <c r="K129" s="879">
        <v>0</v>
      </c>
      <c r="L129" s="876">
        <f t="shared" si="15"/>
        <v>0</v>
      </c>
      <c r="M129" s="877">
        <f t="shared" si="15"/>
        <v>0</v>
      </c>
      <c r="N129" s="877">
        <f t="shared" si="15"/>
        <v>0</v>
      </c>
      <c r="O129" s="1065">
        <f t="shared" ref="O129:Q162" si="20">C129-F129</f>
        <v>0</v>
      </c>
      <c r="P129" s="1065">
        <f t="shared" si="20"/>
        <v>0</v>
      </c>
      <c r="Q129" s="1065">
        <f t="shared" si="20"/>
        <v>0</v>
      </c>
      <c r="R129" s="1148" t="s">
        <v>886</v>
      </c>
      <c r="S129" s="1149" t="s">
        <v>892</v>
      </c>
      <c r="T129" s="1148">
        <v>414</v>
      </c>
      <c r="U129" s="1148">
        <v>14076</v>
      </c>
    </row>
    <row r="130" spans="1:23" ht="52.5">
      <c r="A130" s="1144" t="s">
        <v>817</v>
      </c>
      <c r="B130" s="1127" t="s">
        <v>842</v>
      </c>
      <c r="C130" s="874">
        <f t="shared" si="17"/>
        <v>2710</v>
      </c>
      <c r="D130" s="879"/>
      <c r="E130" s="970">
        <v>2710</v>
      </c>
      <c r="F130" s="874">
        <f t="shared" si="18"/>
        <v>2710</v>
      </c>
      <c r="G130" s="1083"/>
      <c r="H130" s="970">
        <v>2710</v>
      </c>
      <c r="I130" s="874">
        <f t="shared" si="19"/>
        <v>0</v>
      </c>
      <c r="J130" s="879">
        <v>0</v>
      </c>
      <c r="K130" s="879">
        <v>0</v>
      </c>
      <c r="L130" s="876">
        <f t="shared" si="15"/>
        <v>0</v>
      </c>
      <c r="M130" s="877">
        <f t="shared" si="15"/>
        <v>0</v>
      </c>
      <c r="N130" s="877">
        <f t="shared" si="15"/>
        <v>0</v>
      </c>
      <c r="O130" s="1065">
        <f t="shared" si="20"/>
        <v>0</v>
      </c>
      <c r="P130" s="1065">
        <f t="shared" si="20"/>
        <v>0</v>
      </c>
      <c r="Q130" s="1065">
        <f t="shared" si="20"/>
        <v>0</v>
      </c>
      <c r="R130" s="1148" t="s">
        <v>886</v>
      </c>
      <c r="S130" s="1149" t="s">
        <v>892</v>
      </c>
      <c r="T130" s="1148">
        <v>414</v>
      </c>
      <c r="U130" s="1148">
        <v>14077</v>
      </c>
    </row>
    <row r="131" spans="1:23" ht="78.75">
      <c r="A131" s="1144" t="s">
        <v>818</v>
      </c>
      <c r="B131" s="1127" t="s">
        <v>843</v>
      </c>
      <c r="C131" s="874">
        <f t="shared" si="17"/>
        <v>2640</v>
      </c>
      <c r="D131" s="879"/>
      <c r="E131" s="970">
        <v>2640</v>
      </c>
      <c r="F131" s="874">
        <f t="shared" si="18"/>
        <v>2640</v>
      </c>
      <c r="G131" s="1083"/>
      <c r="H131" s="970">
        <v>2640</v>
      </c>
      <c r="I131" s="874">
        <f t="shared" si="19"/>
        <v>0</v>
      </c>
      <c r="J131" s="879">
        <v>0</v>
      </c>
      <c r="K131" s="879">
        <v>0</v>
      </c>
      <c r="L131" s="876">
        <f t="shared" si="15"/>
        <v>0</v>
      </c>
      <c r="M131" s="877">
        <f t="shared" si="15"/>
        <v>0</v>
      </c>
      <c r="N131" s="877">
        <f t="shared" si="15"/>
        <v>0</v>
      </c>
      <c r="O131" s="1065">
        <f t="shared" si="20"/>
        <v>0</v>
      </c>
      <c r="P131" s="1065">
        <f t="shared" si="20"/>
        <v>0</v>
      </c>
      <c r="Q131" s="1065">
        <f t="shared" si="20"/>
        <v>0</v>
      </c>
      <c r="R131" s="1148" t="s">
        <v>886</v>
      </c>
      <c r="S131" s="1149" t="s">
        <v>892</v>
      </c>
      <c r="T131" s="1148">
        <v>414</v>
      </c>
      <c r="U131" s="1148">
        <v>14078</v>
      </c>
    </row>
    <row r="132" spans="1:23" ht="78.75">
      <c r="A132" s="1144" t="s">
        <v>819</v>
      </c>
      <c r="B132" s="1127" t="s">
        <v>844</v>
      </c>
      <c r="C132" s="874">
        <f t="shared" si="17"/>
        <v>2930</v>
      </c>
      <c r="D132" s="879"/>
      <c r="E132" s="970">
        <v>2930</v>
      </c>
      <c r="F132" s="874">
        <f t="shared" si="18"/>
        <v>2930</v>
      </c>
      <c r="G132" s="1083"/>
      <c r="H132" s="970">
        <v>2930</v>
      </c>
      <c r="I132" s="874">
        <f t="shared" si="19"/>
        <v>0</v>
      </c>
      <c r="J132" s="879">
        <v>0</v>
      </c>
      <c r="K132" s="879">
        <v>0</v>
      </c>
      <c r="L132" s="876">
        <f t="shared" si="15"/>
        <v>0</v>
      </c>
      <c r="M132" s="877">
        <f t="shared" si="15"/>
        <v>0</v>
      </c>
      <c r="N132" s="877">
        <f t="shared" si="15"/>
        <v>0</v>
      </c>
      <c r="O132" s="1065">
        <f t="shared" si="20"/>
        <v>0</v>
      </c>
      <c r="P132" s="1065">
        <f t="shared" si="20"/>
        <v>0</v>
      </c>
      <c r="Q132" s="1065">
        <f t="shared" si="20"/>
        <v>0</v>
      </c>
      <c r="R132" s="1148" t="s">
        <v>886</v>
      </c>
      <c r="S132" s="1149" t="s">
        <v>892</v>
      </c>
      <c r="T132" s="1148">
        <v>414</v>
      </c>
      <c r="U132" s="1148">
        <v>14079</v>
      </c>
    </row>
    <row r="133" spans="1:23" ht="78.75">
      <c r="A133" s="1144" t="s">
        <v>762</v>
      </c>
      <c r="B133" s="1127" t="s">
        <v>845</v>
      </c>
      <c r="C133" s="874">
        <f t="shared" si="17"/>
        <v>5180</v>
      </c>
      <c r="D133" s="1085"/>
      <c r="E133" s="970">
        <v>5180</v>
      </c>
      <c r="F133" s="874">
        <f t="shared" si="18"/>
        <v>5180</v>
      </c>
      <c r="G133" s="1085"/>
      <c r="H133" s="970">
        <v>5180</v>
      </c>
      <c r="I133" s="874">
        <f t="shared" si="19"/>
        <v>0</v>
      </c>
      <c r="J133" s="879">
        <v>0</v>
      </c>
      <c r="K133" s="879">
        <v>0</v>
      </c>
      <c r="L133" s="876">
        <f t="shared" si="15"/>
        <v>0</v>
      </c>
      <c r="M133" s="877">
        <f t="shared" si="15"/>
        <v>0</v>
      </c>
      <c r="N133" s="877">
        <f t="shared" si="15"/>
        <v>0</v>
      </c>
      <c r="O133" s="1065">
        <f t="shared" si="20"/>
        <v>0</v>
      </c>
      <c r="P133" s="1065">
        <f t="shared" si="20"/>
        <v>0</v>
      </c>
      <c r="Q133" s="1065">
        <f t="shared" si="20"/>
        <v>0</v>
      </c>
      <c r="R133" s="1148" t="s">
        <v>886</v>
      </c>
      <c r="S133" s="1149" t="s">
        <v>892</v>
      </c>
      <c r="T133" s="1148">
        <v>414</v>
      </c>
      <c r="U133" s="1148">
        <v>14080</v>
      </c>
    </row>
    <row r="134" spans="1:23" ht="52.5">
      <c r="A134" s="1144" t="s">
        <v>743</v>
      </c>
      <c r="B134" s="1127" t="s">
        <v>846</v>
      </c>
      <c r="C134" s="874">
        <f t="shared" si="17"/>
        <v>2930</v>
      </c>
      <c r="D134" s="1085"/>
      <c r="E134" s="970">
        <v>2930</v>
      </c>
      <c r="F134" s="874">
        <f t="shared" si="18"/>
        <v>2930</v>
      </c>
      <c r="G134" s="1085"/>
      <c r="H134" s="970">
        <v>2930</v>
      </c>
      <c r="I134" s="874">
        <f t="shared" si="19"/>
        <v>0</v>
      </c>
      <c r="J134" s="879">
        <v>0</v>
      </c>
      <c r="K134" s="879">
        <v>0</v>
      </c>
      <c r="L134" s="876">
        <f t="shared" si="15"/>
        <v>0</v>
      </c>
      <c r="M134" s="877">
        <f t="shared" si="15"/>
        <v>0</v>
      </c>
      <c r="N134" s="877">
        <f t="shared" si="15"/>
        <v>0</v>
      </c>
      <c r="O134" s="1065">
        <f t="shared" si="20"/>
        <v>0</v>
      </c>
      <c r="P134" s="1065">
        <f t="shared" si="20"/>
        <v>0</v>
      </c>
      <c r="Q134" s="1065">
        <f t="shared" si="20"/>
        <v>0</v>
      </c>
      <c r="R134" s="1148" t="s">
        <v>886</v>
      </c>
      <c r="S134" s="1149" t="s">
        <v>892</v>
      </c>
      <c r="T134" s="1148">
        <v>414</v>
      </c>
      <c r="U134" s="1148">
        <v>14081</v>
      </c>
    </row>
    <row r="135" spans="1:23" ht="78.75">
      <c r="A135" s="1144" t="s">
        <v>744</v>
      </c>
      <c r="B135" s="1127" t="s">
        <v>847</v>
      </c>
      <c r="C135" s="874">
        <f t="shared" si="17"/>
        <v>2090</v>
      </c>
      <c r="D135" s="1085"/>
      <c r="E135" s="970">
        <v>2090</v>
      </c>
      <c r="F135" s="874">
        <f t="shared" si="18"/>
        <v>2090</v>
      </c>
      <c r="G135" s="1085"/>
      <c r="H135" s="970">
        <v>2090</v>
      </c>
      <c r="I135" s="874">
        <f t="shared" si="19"/>
        <v>0</v>
      </c>
      <c r="J135" s="879">
        <v>0</v>
      </c>
      <c r="K135" s="879">
        <v>0</v>
      </c>
      <c r="L135" s="876">
        <f t="shared" ref="L135:N153" si="21">IF(I135=0,0,I135/F135*100)</f>
        <v>0</v>
      </c>
      <c r="M135" s="877">
        <f t="shared" si="21"/>
        <v>0</v>
      </c>
      <c r="N135" s="877">
        <f t="shared" si="21"/>
        <v>0</v>
      </c>
      <c r="O135" s="1065">
        <f t="shared" si="20"/>
        <v>0</v>
      </c>
      <c r="P135" s="1065">
        <f t="shared" si="20"/>
        <v>0</v>
      </c>
      <c r="Q135" s="1065">
        <f t="shared" si="20"/>
        <v>0</v>
      </c>
      <c r="R135" s="1148" t="s">
        <v>886</v>
      </c>
      <c r="S135" s="1149" t="s">
        <v>892</v>
      </c>
      <c r="T135" s="1148">
        <v>414</v>
      </c>
      <c r="U135" s="1148">
        <v>14082</v>
      </c>
    </row>
    <row r="136" spans="1:23" ht="78.75">
      <c r="A136" s="1144" t="s">
        <v>745</v>
      </c>
      <c r="B136" s="1127" t="s">
        <v>848</v>
      </c>
      <c r="C136" s="874">
        <f t="shared" si="17"/>
        <v>2230</v>
      </c>
      <c r="D136" s="1085"/>
      <c r="E136" s="970">
        <v>2230</v>
      </c>
      <c r="F136" s="874">
        <f t="shared" si="18"/>
        <v>2230</v>
      </c>
      <c r="G136" s="1085"/>
      <c r="H136" s="970">
        <v>2230</v>
      </c>
      <c r="I136" s="874">
        <f t="shared" si="19"/>
        <v>0</v>
      </c>
      <c r="J136" s="879">
        <v>0</v>
      </c>
      <c r="K136" s="879">
        <v>0</v>
      </c>
      <c r="L136" s="876">
        <f t="shared" si="21"/>
        <v>0</v>
      </c>
      <c r="M136" s="877">
        <f t="shared" si="21"/>
        <v>0</v>
      </c>
      <c r="N136" s="877">
        <f t="shared" si="21"/>
        <v>0</v>
      </c>
      <c r="O136" s="1065">
        <f t="shared" si="20"/>
        <v>0</v>
      </c>
      <c r="P136" s="1065">
        <f t="shared" si="20"/>
        <v>0</v>
      </c>
      <c r="Q136" s="1065">
        <f t="shared" si="20"/>
        <v>0</v>
      </c>
      <c r="R136" s="1148" t="s">
        <v>886</v>
      </c>
      <c r="S136" s="1149" t="s">
        <v>892</v>
      </c>
      <c r="T136" s="1148">
        <v>414</v>
      </c>
      <c r="U136" s="1148">
        <v>14083</v>
      </c>
    </row>
    <row r="137" spans="1:23" ht="52.5">
      <c r="A137" s="1144" t="s">
        <v>746</v>
      </c>
      <c r="B137" s="1127" t="s">
        <v>849</v>
      </c>
      <c r="C137" s="874">
        <f t="shared" si="17"/>
        <v>1650</v>
      </c>
      <c r="D137" s="1085"/>
      <c r="E137" s="970">
        <v>1650</v>
      </c>
      <c r="F137" s="874">
        <f t="shared" si="18"/>
        <v>1650</v>
      </c>
      <c r="G137" s="1085"/>
      <c r="H137" s="970">
        <v>1650</v>
      </c>
      <c r="I137" s="874">
        <f t="shared" si="19"/>
        <v>0</v>
      </c>
      <c r="J137" s="879">
        <v>0</v>
      </c>
      <c r="K137" s="879">
        <v>0</v>
      </c>
      <c r="L137" s="876">
        <f t="shared" si="21"/>
        <v>0</v>
      </c>
      <c r="M137" s="877">
        <f t="shared" si="21"/>
        <v>0</v>
      </c>
      <c r="N137" s="877">
        <f t="shared" si="21"/>
        <v>0</v>
      </c>
      <c r="O137" s="1065">
        <f t="shared" si="20"/>
        <v>0</v>
      </c>
      <c r="P137" s="1065">
        <f t="shared" si="20"/>
        <v>0</v>
      </c>
      <c r="Q137" s="1065">
        <f t="shared" si="20"/>
        <v>0</v>
      </c>
      <c r="R137" s="1148" t="s">
        <v>886</v>
      </c>
      <c r="S137" s="1149" t="s">
        <v>892</v>
      </c>
      <c r="T137" s="1148">
        <v>414</v>
      </c>
      <c r="U137" s="1148">
        <v>14084</v>
      </c>
    </row>
    <row r="138" spans="1:23" ht="52.5">
      <c r="A138" s="1144" t="s">
        <v>747</v>
      </c>
      <c r="B138" s="1127" t="s">
        <v>850</v>
      </c>
      <c r="C138" s="874">
        <f t="shared" si="17"/>
        <v>2640</v>
      </c>
      <c r="D138" s="1085"/>
      <c r="E138" s="970">
        <v>2640</v>
      </c>
      <c r="F138" s="874">
        <f t="shared" si="18"/>
        <v>2640</v>
      </c>
      <c r="G138" s="1085"/>
      <c r="H138" s="970">
        <v>2640</v>
      </c>
      <c r="I138" s="874">
        <f t="shared" si="19"/>
        <v>0</v>
      </c>
      <c r="J138" s="879">
        <v>0</v>
      </c>
      <c r="K138" s="879">
        <v>0</v>
      </c>
      <c r="L138" s="876">
        <f t="shared" si="21"/>
        <v>0</v>
      </c>
      <c r="M138" s="877">
        <f t="shared" si="21"/>
        <v>0</v>
      </c>
      <c r="N138" s="877">
        <f t="shared" si="21"/>
        <v>0</v>
      </c>
      <c r="O138" s="1065">
        <f t="shared" si="20"/>
        <v>0</v>
      </c>
      <c r="P138" s="1065">
        <f t="shared" si="20"/>
        <v>0</v>
      </c>
      <c r="Q138" s="1065">
        <f t="shared" si="20"/>
        <v>0</v>
      </c>
      <c r="R138" s="1148" t="s">
        <v>886</v>
      </c>
      <c r="S138" s="1149" t="s">
        <v>892</v>
      </c>
      <c r="T138" s="1148">
        <v>414</v>
      </c>
      <c r="U138" s="1148">
        <v>14085</v>
      </c>
    </row>
    <row r="139" spans="1:23" ht="74.25" customHeight="1">
      <c r="A139" s="1144" t="s">
        <v>748</v>
      </c>
      <c r="B139" s="1127" t="s">
        <v>851</v>
      </c>
      <c r="C139" s="874">
        <f t="shared" si="17"/>
        <v>3420</v>
      </c>
      <c r="D139" s="1085"/>
      <c r="E139" s="970">
        <v>3420</v>
      </c>
      <c r="F139" s="874">
        <f t="shared" si="18"/>
        <v>3420</v>
      </c>
      <c r="G139" s="1085"/>
      <c r="H139" s="970">
        <v>3420</v>
      </c>
      <c r="I139" s="874">
        <f t="shared" si="19"/>
        <v>0</v>
      </c>
      <c r="J139" s="879">
        <v>0</v>
      </c>
      <c r="K139" s="879">
        <v>0</v>
      </c>
      <c r="L139" s="876">
        <f t="shared" si="21"/>
        <v>0</v>
      </c>
      <c r="M139" s="877">
        <f t="shared" si="21"/>
        <v>0</v>
      </c>
      <c r="N139" s="877">
        <f t="shared" si="21"/>
        <v>0</v>
      </c>
      <c r="O139" s="1065">
        <f t="shared" si="20"/>
        <v>0</v>
      </c>
      <c r="P139" s="1065">
        <f t="shared" si="20"/>
        <v>0</v>
      </c>
      <c r="Q139" s="1065">
        <f t="shared" si="20"/>
        <v>0</v>
      </c>
      <c r="R139" s="1148" t="s">
        <v>886</v>
      </c>
      <c r="S139" s="1149" t="s">
        <v>892</v>
      </c>
      <c r="T139" s="1148">
        <v>414</v>
      </c>
      <c r="U139" s="1148">
        <v>14086</v>
      </c>
    </row>
    <row r="140" spans="1:23" ht="52.5">
      <c r="A140" s="1144" t="s">
        <v>749</v>
      </c>
      <c r="B140" s="1127" t="s">
        <v>852</v>
      </c>
      <c r="C140" s="874">
        <f t="shared" si="17"/>
        <v>2230</v>
      </c>
      <c r="D140" s="1085"/>
      <c r="E140" s="970">
        <v>2230</v>
      </c>
      <c r="F140" s="874">
        <f t="shared" si="18"/>
        <v>2230</v>
      </c>
      <c r="G140" s="1085"/>
      <c r="H140" s="970">
        <v>2230</v>
      </c>
      <c r="I140" s="874">
        <f t="shared" si="19"/>
        <v>0</v>
      </c>
      <c r="J140" s="879">
        <v>0</v>
      </c>
      <c r="K140" s="879">
        <v>0</v>
      </c>
      <c r="L140" s="876">
        <f t="shared" si="21"/>
        <v>0</v>
      </c>
      <c r="M140" s="877">
        <f t="shared" si="21"/>
        <v>0</v>
      </c>
      <c r="N140" s="877">
        <f t="shared" si="21"/>
        <v>0</v>
      </c>
      <c r="O140" s="1065">
        <f t="shared" si="20"/>
        <v>0</v>
      </c>
      <c r="P140" s="1065">
        <f t="shared" si="20"/>
        <v>0</v>
      </c>
      <c r="Q140" s="1065">
        <f t="shared" si="20"/>
        <v>0</v>
      </c>
      <c r="R140" s="1148" t="s">
        <v>886</v>
      </c>
      <c r="S140" s="1149" t="s">
        <v>892</v>
      </c>
      <c r="T140" s="1148">
        <v>414</v>
      </c>
      <c r="U140" s="1148">
        <v>14087</v>
      </c>
    </row>
    <row r="141" spans="1:23" ht="52.5">
      <c r="A141" s="1144" t="s">
        <v>750</v>
      </c>
      <c r="B141" s="1127" t="s">
        <v>853</v>
      </c>
      <c r="C141" s="874">
        <f t="shared" si="17"/>
        <v>2930</v>
      </c>
      <c r="D141" s="879"/>
      <c r="E141" s="970">
        <v>2930</v>
      </c>
      <c r="F141" s="874">
        <f t="shared" si="18"/>
        <v>2930</v>
      </c>
      <c r="G141" s="1083"/>
      <c r="H141" s="970">
        <v>2930</v>
      </c>
      <c r="I141" s="874">
        <f t="shared" si="19"/>
        <v>0</v>
      </c>
      <c r="J141" s="879">
        <v>0</v>
      </c>
      <c r="K141" s="879">
        <v>0</v>
      </c>
      <c r="L141" s="876">
        <f t="shared" si="21"/>
        <v>0</v>
      </c>
      <c r="M141" s="877">
        <f t="shared" si="21"/>
        <v>0</v>
      </c>
      <c r="N141" s="877">
        <f t="shared" si="21"/>
        <v>0</v>
      </c>
      <c r="O141" s="1065">
        <f t="shared" si="20"/>
        <v>0</v>
      </c>
      <c r="P141" s="1065">
        <f t="shared" si="20"/>
        <v>0</v>
      </c>
      <c r="Q141" s="1065">
        <f t="shared" si="20"/>
        <v>0</v>
      </c>
      <c r="R141" s="1148" t="s">
        <v>886</v>
      </c>
      <c r="S141" s="1149" t="s">
        <v>892</v>
      </c>
      <c r="T141" s="1148">
        <v>414</v>
      </c>
      <c r="U141" s="1148">
        <v>14088</v>
      </c>
    </row>
    <row r="142" spans="1:23" s="515" customFormat="1" ht="125.25" customHeight="1">
      <c r="A142" s="1141" t="s">
        <v>751</v>
      </c>
      <c r="B142" s="987" t="s">
        <v>864</v>
      </c>
      <c r="C142" s="874">
        <f t="shared" si="17"/>
        <v>23733</v>
      </c>
      <c r="D142" s="1085">
        <v>0</v>
      </c>
      <c r="E142" s="1085">
        <v>23733</v>
      </c>
      <c r="F142" s="874">
        <f>SUM(G142:H142)</f>
        <v>23733</v>
      </c>
      <c r="G142" s="1085">
        <v>0</v>
      </c>
      <c r="H142" s="1085">
        <v>23733</v>
      </c>
      <c r="I142" s="874">
        <f t="shared" si="19"/>
        <v>0</v>
      </c>
      <c r="J142" s="1085">
        <v>0</v>
      </c>
      <c r="K142" s="1085">
        <v>0</v>
      </c>
      <c r="L142" s="876">
        <f t="shared" si="21"/>
        <v>0</v>
      </c>
      <c r="M142" s="877">
        <f t="shared" si="21"/>
        <v>0</v>
      </c>
      <c r="N142" s="877">
        <f t="shared" si="21"/>
        <v>0</v>
      </c>
      <c r="O142" s="1065">
        <f t="shared" si="20"/>
        <v>0</v>
      </c>
      <c r="P142" s="1065">
        <f t="shared" si="20"/>
        <v>0</v>
      </c>
      <c r="Q142" s="1065">
        <f t="shared" si="20"/>
        <v>0</v>
      </c>
      <c r="R142" s="1148" t="s">
        <v>872</v>
      </c>
      <c r="S142" s="1149">
        <v>1130390400</v>
      </c>
      <c r="T142" s="1148">
        <v>414</v>
      </c>
      <c r="U142" s="1148">
        <v>10122</v>
      </c>
      <c r="V142" s="1129"/>
      <c r="W142" s="783"/>
    </row>
    <row r="143" spans="1:23" ht="52.5">
      <c r="A143" s="1144" t="s">
        <v>854</v>
      </c>
      <c r="B143" s="1127" t="s">
        <v>522</v>
      </c>
      <c r="C143" s="874">
        <f t="shared" si="17"/>
        <v>54207.7</v>
      </c>
      <c r="D143" s="879"/>
      <c r="E143" s="970">
        <v>54207.7</v>
      </c>
      <c r="F143" s="874">
        <f t="shared" si="18"/>
        <v>0</v>
      </c>
      <c r="G143" s="1083"/>
      <c r="H143" s="970"/>
      <c r="I143" s="874">
        <f t="shared" si="19"/>
        <v>0</v>
      </c>
      <c r="J143" s="879">
        <v>0</v>
      </c>
      <c r="K143" s="879">
        <v>0</v>
      </c>
      <c r="L143" s="876">
        <f t="shared" si="21"/>
        <v>0</v>
      </c>
      <c r="M143" s="877">
        <f t="shared" si="21"/>
        <v>0</v>
      </c>
      <c r="N143" s="877">
        <f t="shared" si="21"/>
        <v>0</v>
      </c>
      <c r="O143" s="1065">
        <f t="shared" si="20"/>
        <v>54207.7</v>
      </c>
      <c r="P143" s="1065">
        <f t="shared" si="20"/>
        <v>0</v>
      </c>
      <c r="Q143" s="1065">
        <f t="shared" si="20"/>
        <v>54207.7</v>
      </c>
      <c r="R143" s="1148" t="s">
        <v>886</v>
      </c>
      <c r="S143" s="1149">
        <v>1900290400</v>
      </c>
      <c r="T143" s="1148">
        <v>414</v>
      </c>
      <c r="U143" s="1148">
        <v>10123</v>
      </c>
    </row>
    <row r="144" spans="1:23" ht="52.5">
      <c r="A144" s="1144" t="s">
        <v>820</v>
      </c>
      <c r="B144" s="1127" t="s">
        <v>919</v>
      </c>
      <c r="C144" s="874">
        <f t="shared" si="17"/>
        <v>37461.300000000003</v>
      </c>
      <c r="D144" s="879"/>
      <c r="E144" s="970">
        <v>37461.300000000003</v>
      </c>
      <c r="F144" s="874">
        <f t="shared" si="18"/>
        <v>0</v>
      </c>
      <c r="G144" s="1083"/>
      <c r="H144" s="970"/>
      <c r="I144" s="874">
        <f t="shared" si="19"/>
        <v>0</v>
      </c>
      <c r="J144" s="879">
        <v>0</v>
      </c>
      <c r="K144" s="879">
        <v>0</v>
      </c>
      <c r="L144" s="876">
        <f t="shared" si="21"/>
        <v>0</v>
      </c>
      <c r="M144" s="877">
        <f t="shared" si="21"/>
        <v>0</v>
      </c>
      <c r="N144" s="877">
        <f t="shared" si="21"/>
        <v>0</v>
      </c>
      <c r="O144" s="1065">
        <f t="shared" si="20"/>
        <v>37461.300000000003</v>
      </c>
      <c r="P144" s="1065">
        <f t="shared" si="20"/>
        <v>0</v>
      </c>
      <c r="Q144" s="1065">
        <f t="shared" si="20"/>
        <v>37461.300000000003</v>
      </c>
      <c r="R144" s="1148" t="s">
        <v>886</v>
      </c>
      <c r="S144" s="1149">
        <v>1900290400</v>
      </c>
      <c r="T144" s="1148">
        <v>414</v>
      </c>
      <c r="U144" s="1148">
        <v>10124</v>
      </c>
    </row>
    <row r="145" spans="1:23" s="914" customFormat="1" ht="67.5" customHeight="1">
      <c r="A145" s="1144"/>
      <c r="B145" s="1050" t="s">
        <v>444</v>
      </c>
      <c r="C145" s="1051">
        <f t="shared" si="17"/>
        <v>2244030.1</v>
      </c>
      <c r="D145" s="1052">
        <f>SUM(D146:D205)</f>
        <v>2001045.4</v>
      </c>
      <c r="E145" s="1051">
        <f>SUM(E147:E205)</f>
        <v>242984.7</v>
      </c>
      <c r="F145" s="1051">
        <f t="shared" si="18"/>
        <v>2244030.1</v>
      </c>
      <c r="G145" s="1051">
        <f>SUM(G146:G205)</f>
        <v>2001045.4</v>
      </c>
      <c r="H145" s="1051">
        <f>SUM(H146:H205)</f>
        <v>242984.7</v>
      </c>
      <c r="I145" s="1051">
        <f t="shared" si="19"/>
        <v>40889</v>
      </c>
      <c r="J145" s="1051">
        <f>SUM(J146:J205)</f>
        <v>26522.1</v>
      </c>
      <c r="K145" s="1051">
        <f>SUM(K146:K205)</f>
        <v>14366.9</v>
      </c>
      <c r="L145" s="1053">
        <f t="shared" si="21"/>
        <v>1.8</v>
      </c>
      <c r="M145" s="1053">
        <f t="shared" si="21"/>
        <v>1.3</v>
      </c>
      <c r="N145" s="1053">
        <f t="shared" si="21"/>
        <v>5.9</v>
      </c>
      <c r="O145" s="1065">
        <f t="shared" si="20"/>
        <v>0</v>
      </c>
      <c r="P145" s="1065">
        <f t="shared" si="20"/>
        <v>0</v>
      </c>
      <c r="Q145" s="1065">
        <f t="shared" si="20"/>
        <v>0</v>
      </c>
      <c r="R145" s="2504" t="s">
        <v>1066</v>
      </c>
      <c r="S145" s="2505"/>
      <c r="T145" s="2505"/>
      <c r="U145" s="2506"/>
      <c r="V145" s="1098"/>
      <c r="W145" s="913"/>
    </row>
    <row r="146" spans="1:23" ht="52.5" hidden="1">
      <c r="A146" s="1144"/>
      <c r="B146" s="937" t="s">
        <v>797</v>
      </c>
      <c r="C146" s="874">
        <f t="shared" si="17"/>
        <v>0</v>
      </c>
      <c r="D146" s="1068">
        <v>0</v>
      </c>
      <c r="E146" s="1085"/>
      <c r="F146" s="874">
        <f t="shared" si="18"/>
        <v>0</v>
      </c>
      <c r="G146" s="1085"/>
      <c r="H146" s="1085"/>
      <c r="I146" s="874">
        <f t="shared" si="19"/>
        <v>0</v>
      </c>
      <c r="J146" s="1085"/>
      <c r="K146" s="1085"/>
      <c r="L146" s="876">
        <f t="shared" si="21"/>
        <v>0</v>
      </c>
      <c r="M146" s="877">
        <f>IF(J146=0,0,J146/G146*100)</f>
        <v>0</v>
      </c>
      <c r="N146" s="877">
        <f>IF(K146=0,0,K146/H146*100)</f>
        <v>0</v>
      </c>
      <c r="O146" s="1065">
        <f t="shared" si="20"/>
        <v>0</v>
      </c>
      <c r="P146" s="1065">
        <f t="shared" si="20"/>
        <v>0</v>
      </c>
      <c r="Q146" s="1065">
        <f t="shared" si="20"/>
        <v>0</v>
      </c>
      <c r="R146" s="1148"/>
      <c r="S146" s="1149"/>
      <c r="T146" s="1148"/>
      <c r="U146" s="1148"/>
    </row>
    <row r="147" spans="1:23" ht="105">
      <c r="A147" s="1141" t="s">
        <v>834</v>
      </c>
      <c r="B147" s="955" t="s">
        <v>648</v>
      </c>
      <c r="C147" s="874">
        <f t="shared" si="17"/>
        <v>800</v>
      </c>
      <c r="D147" s="1085">
        <v>0</v>
      </c>
      <c r="E147" s="1085">
        <v>800</v>
      </c>
      <c r="F147" s="874">
        <f t="shared" si="18"/>
        <v>800</v>
      </c>
      <c r="G147" s="1085">
        <v>0</v>
      </c>
      <c r="H147" s="1085">
        <v>800</v>
      </c>
      <c r="I147" s="874">
        <f t="shared" si="19"/>
        <v>0</v>
      </c>
      <c r="J147" s="1085">
        <v>0</v>
      </c>
      <c r="K147" s="1085">
        <v>0</v>
      </c>
      <c r="L147" s="876">
        <f t="shared" si="21"/>
        <v>0</v>
      </c>
      <c r="M147" s="877">
        <f>IF(J147=0,0,J147/G147*100)</f>
        <v>0</v>
      </c>
      <c r="N147" s="877">
        <f>IF(K147=0,0,K147/H147*100)</f>
        <v>0</v>
      </c>
      <c r="O147" s="1065">
        <f t="shared" si="20"/>
        <v>0</v>
      </c>
      <c r="P147" s="1065">
        <f t="shared" si="20"/>
        <v>0</v>
      </c>
      <c r="Q147" s="1065">
        <f t="shared" si="20"/>
        <v>0</v>
      </c>
      <c r="R147" s="1148" t="s">
        <v>886</v>
      </c>
      <c r="S147" s="1149">
        <v>1820190400</v>
      </c>
      <c r="T147" s="1148">
        <v>414</v>
      </c>
      <c r="U147" s="1148">
        <v>14054</v>
      </c>
    </row>
    <row r="148" spans="1:23" ht="78.75">
      <c r="A148" s="1141" t="s">
        <v>835</v>
      </c>
      <c r="B148" s="956" t="s">
        <v>649</v>
      </c>
      <c r="C148" s="874">
        <f t="shared" si="17"/>
        <v>100</v>
      </c>
      <c r="D148" s="1085">
        <v>0</v>
      </c>
      <c r="E148" s="1085">
        <v>100</v>
      </c>
      <c r="F148" s="874">
        <f t="shared" si="18"/>
        <v>100</v>
      </c>
      <c r="G148" s="1085">
        <v>0</v>
      </c>
      <c r="H148" s="1085">
        <v>100</v>
      </c>
      <c r="I148" s="874">
        <f t="shared" si="19"/>
        <v>0</v>
      </c>
      <c r="J148" s="1128"/>
      <c r="K148" s="1128"/>
      <c r="L148" s="876">
        <f t="shared" si="21"/>
        <v>0</v>
      </c>
      <c r="M148" s="877">
        <f t="shared" si="21"/>
        <v>0</v>
      </c>
      <c r="N148" s="877">
        <f t="shared" si="21"/>
        <v>0</v>
      </c>
      <c r="O148" s="1065">
        <f t="shared" si="20"/>
        <v>0</v>
      </c>
      <c r="P148" s="1065">
        <f t="shared" si="20"/>
        <v>0</v>
      </c>
      <c r="Q148" s="1065">
        <f t="shared" si="20"/>
        <v>0</v>
      </c>
      <c r="R148" s="1148" t="s">
        <v>886</v>
      </c>
      <c r="S148" s="1149">
        <v>1820190400</v>
      </c>
      <c r="T148" s="1148">
        <v>414</v>
      </c>
      <c r="U148" s="1148">
        <v>14056</v>
      </c>
    </row>
    <row r="149" spans="1:23" ht="78.75">
      <c r="A149" s="1141" t="s">
        <v>826</v>
      </c>
      <c r="B149" s="956" t="s">
        <v>650</v>
      </c>
      <c r="C149" s="874">
        <f t="shared" si="17"/>
        <v>1500</v>
      </c>
      <c r="D149" s="1085">
        <v>0</v>
      </c>
      <c r="E149" s="1085">
        <v>1500</v>
      </c>
      <c r="F149" s="874">
        <f t="shared" si="18"/>
        <v>1500</v>
      </c>
      <c r="G149" s="1085">
        <v>0</v>
      </c>
      <c r="H149" s="1085">
        <v>1500</v>
      </c>
      <c r="I149" s="874">
        <f t="shared" si="19"/>
        <v>0</v>
      </c>
      <c r="J149" s="1128"/>
      <c r="K149" s="1128"/>
      <c r="L149" s="876">
        <f t="shared" si="21"/>
        <v>0</v>
      </c>
      <c r="M149" s="877">
        <f t="shared" si="21"/>
        <v>0</v>
      </c>
      <c r="N149" s="877">
        <f t="shared" si="21"/>
        <v>0</v>
      </c>
      <c r="O149" s="1065">
        <f t="shared" si="20"/>
        <v>0</v>
      </c>
      <c r="P149" s="1065">
        <f t="shared" si="20"/>
        <v>0</v>
      </c>
      <c r="Q149" s="1065">
        <f t="shared" si="20"/>
        <v>0</v>
      </c>
      <c r="R149" s="1148" t="s">
        <v>886</v>
      </c>
      <c r="S149" s="1149">
        <v>1820190400</v>
      </c>
      <c r="T149" s="1148">
        <v>414</v>
      </c>
      <c r="U149" s="1148">
        <v>14055</v>
      </c>
    </row>
    <row r="150" spans="1:23" ht="105">
      <c r="A150" s="1144" t="s">
        <v>827</v>
      </c>
      <c r="B150" s="956" t="s">
        <v>651</v>
      </c>
      <c r="C150" s="874">
        <f t="shared" si="17"/>
        <v>100</v>
      </c>
      <c r="D150" s="1085">
        <v>0</v>
      </c>
      <c r="E150" s="1085">
        <v>100</v>
      </c>
      <c r="F150" s="874">
        <f t="shared" si="18"/>
        <v>100</v>
      </c>
      <c r="G150" s="1085">
        <v>0</v>
      </c>
      <c r="H150" s="1085">
        <v>100</v>
      </c>
      <c r="I150" s="874">
        <f t="shared" si="19"/>
        <v>0</v>
      </c>
      <c r="J150" s="1128"/>
      <c r="K150" s="1128"/>
      <c r="L150" s="876">
        <f t="shared" si="21"/>
        <v>0</v>
      </c>
      <c r="M150" s="877">
        <f t="shared" si="21"/>
        <v>0</v>
      </c>
      <c r="N150" s="877">
        <f t="shared" si="21"/>
        <v>0</v>
      </c>
      <c r="O150" s="1065">
        <f t="shared" si="20"/>
        <v>0</v>
      </c>
      <c r="P150" s="1065">
        <f t="shared" si="20"/>
        <v>0</v>
      </c>
      <c r="Q150" s="1065">
        <f t="shared" si="20"/>
        <v>0</v>
      </c>
      <c r="R150" s="1148" t="s">
        <v>886</v>
      </c>
      <c r="S150" s="1149">
        <v>1820190400</v>
      </c>
      <c r="T150" s="1148">
        <v>414</v>
      </c>
      <c r="U150" s="1148">
        <v>14021</v>
      </c>
    </row>
    <row r="151" spans="1:23" ht="111" customHeight="1">
      <c r="A151" s="1144" t="s">
        <v>752</v>
      </c>
      <c r="B151" s="956" t="s">
        <v>830</v>
      </c>
      <c r="C151" s="874">
        <f t="shared" si="17"/>
        <v>2800</v>
      </c>
      <c r="D151" s="1085">
        <v>0</v>
      </c>
      <c r="E151" s="1085">
        <f>100+2700</f>
        <v>2800</v>
      </c>
      <c r="F151" s="874">
        <f t="shared" si="18"/>
        <v>2800</v>
      </c>
      <c r="G151" s="1085">
        <v>0</v>
      </c>
      <c r="H151" s="1085">
        <v>2800</v>
      </c>
      <c r="I151" s="874">
        <f t="shared" si="19"/>
        <v>0</v>
      </c>
      <c r="J151" s="1128"/>
      <c r="K151" s="1128"/>
      <c r="L151" s="876">
        <f t="shared" si="21"/>
        <v>0</v>
      </c>
      <c r="M151" s="877">
        <f t="shared" si="21"/>
        <v>0</v>
      </c>
      <c r="N151" s="877">
        <f t="shared" si="21"/>
        <v>0</v>
      </c>
      <c r="O151" s="1065">
        <f t="shared" si="20"/>
        <v>0</v>
      </c>
      <c r="P151" s="1065">
        <f t="shared" si="20"/>
        <v>0</v>
      </c>
      <c r="Q151" s="1065">
        <f t="shared" si="20"/>
        <v>0</v>
      </c>
      <c r="R151" s="1148" t="s">
        <v>886</v>
      </c>
      <c r="S151" s="1149">
        <v>1820190400</v>
      </c>
      <c r="T151" s="1148">
        <v>414</v>
      </c>
      <c r="U151" s="1148">
        <v>14046</v>
      </c>
    </row>
    <row r="152" spans="1:23" ht="78.75">
      <c r="A152" s="1144" t="s">
        <v>753</v>
      </c>
      <c r="B152" s="956" t="s">
        <v>831</v>
      </c>
      <c r="C152" s="874">
        <f t="shared" si="17"/>
        <v>3100</v>
      </c>
      <c r="D152" s="1085">
        <v>0</v>
      </c>
      <c r="E152" s="1085">
        <f>100+3000</f>
        <v>3100</v>
      </c>
      <c r="F152" s="874">
        <f t="shared" si="18"/>
        <v>3100</v>
      </c>
      <c r="G152" s="1085">
        <v>0</v>
      </c>
      <c r="H152" s="1085">
        <v>3100</v>
      </c>
      <c r="I152" s="874">
        <f t="shared" si="19"/>
        <v>0</v>
      </c>
      <c r="J152" s="1128"/>
      <c r="K152" s="1128"/>
      <c r="L152" s="876">
        <f t="shared" si="21"/>
        <v>0</v>
      </c>
      <c r="M152" s="877">
        <f t="shared" si="21"/>
        <v>0</v>
      </c>
      <c r="N152" s="877">
        <f t="shared" si="21"/>
        <v>0</v>
      </c>
      <c r="O152" s="1065">
        <f t="shared" si="20"/>
        <v>0</v>
      </c>
      <c r="P152" s="1065">
        <f t="shared" si="20"/>
        <v>0</v>
      </c>
      <c r="Q152" s="1065">
        <f t="shared" si="20"/>
        <v>0</v>
      </c>
      <c r="R152" s="1148" t="s">
        <v>886</v>
      </c>
      <c r="S152" s="1149">
        <v>1820190400</v>
      </c>
      <c r="T152" s="1148">
        <v>414</v>
      </c>
      <c r="U152" s="1148">
        <v>14048</v>
      </c>
    </row>
    <row r="153" spans="1:23" ht="85.5" customHeight="1">
      <c r="A153" s="1144" t="s">
        <v>754</v>
      </c>
      <c r="B153" s="956" t="s">
        <v>833</v>
      </c>
      <c r="C153" s="874">
        <f t="shared" si="17"/>
        <v>2200</v>
      </c>
      <c r="D153" s="1085">
        <v>0</v>
      </c>
      <c r="E153" s="1085">
        <v>2200</v>
      </c>
      <c r="F153" s="874">
        <f t="shared" si="18"/>
        <v>2200</v>
      </c>
      <c r="G153" s="1085">
        <v>0</v>
      </c>
      <c r="H153" s="1085">
        <v>2200</v>
      </c>
      <c r="I153" s="874">
        <f t="shared" si="19"/>
        <v>0</v>
      </c>
      <c r="J153" s="1128"/>
      <c r="K153" s="1128"/>
      <c r="L153" s="876">
        <f t="shared" si="21"/>
        <v>0</v>
      </c>
      <c r="M153" s="877">
        <f t="shared" si="21"/>
        <v>0</v>
      </c>
      <c r="N153" s="877">
        <f t="shared" si="21"/>
        <v>0</v>
      </c>
      <c r="O153" s="1065">
        <f t="shared" si="20"/>
        <v>0</v>
      </c>
      <c r="P153" s="1065">
        <f t="shared" si="20"/>
        <v>0</v>
      </c>
      <c r="Q153" s="1065">
        <f t="shared" si="20"/>
        <v>0</v>
      </c>
      <c r="R153" s="1148" t="s">
        <v>886</v>
      </c>
      <c r="S153" s="1149">
        <v>1820190400</v>
      </c>
      <c r="T153" s="1148">
        <v>414</v>
      </c>
      <c r="U153" s="1148">
        <v>14047</v>
      </c>
    </row>
    <row r="154" spans="1:23" ht="84.75" customHeight="1">
      <c r="A154" s="1144" t="s">
        <v>1061</v>
      </c>
      <c r="B154" s="955" t="s">
        <v>705</v>
      </c>
      <c r="C154" s="874">
        <f t="shared" si="17"/>
        <v>53585.7</v>
      </c>
      <c r="D154" s="1085">
        <v>50369.9</v>
      </c>
      <c r="E154" s="1085">
        <v>3215.8</v>
      </c>
      <c r="F154" s="874">
        <f t="shared" si="18"/>
        <v>53585.7</v>
      </c>
      <c r="G154" s="1085">
        <v>50369.9</v>
      </c>
      <c r="H154" s="1085">
        <v>3215.8</v>
      </c>
      <c r="I154" s="874">
        <f t="shared" si="19"/>
        <v>0</v>
      </c>
      <c r="J154" s="2420"/>
      <c r="K154" s="2420"/>
      <c r="L154" s="2425">
        <f>IF(I154=0,0,I154/F154:F160*100)</f>
        <v>0</v>
      </c>
      <c r="M154" s="2418">
        <f>IF(J154=0,0,J154/G154:G160*100)</f>
        <v>0</v>
      </c>
      <c r="N154" s="2418">
        <f>IF(K154=0,0,K154/H154:H160*100)</f>
        <v>0</v>
      </c>
      <c r="O154" s="1065">
        <f t="shared" si="20"/>
        <v>0</v>
      </c>
      <c r="P154" s="1065">
        <f t="shared" si="20"/>
        <v>0</v>
      </c>
      <c r="Q154" s="1065">
        <f t="shared" si="20"/>
        <v>0</v>
      </c>
      <c r="R154" s="2521" t="s">
        <v>886</v>
      </c>
      <c r="S154" s="2521" t="s">
        <v>912</v>
      </c>
      <c r="T154" s="2521">
        <v>414</v>
      </c>
      <c r="U154" s="2521" t="s">
        <v>890</v>
      </c>
      <c r="V154" s="2452" t="s">
        <v>877</v>
      </c>
    </row>
    <row r="155" spans="1:23" ht="78.75">
      <c r="A155" s="1144" t="s">
        <v>911</v>
      </c>
      <c r="B155" s="956" t="s">
        <v>704</v>
      </c>
      <c r="C155" s="874">
        <f t="shared" si="17"/>
        <v>28400</v>
      </c>
      <c r="D155" s="1085">
        <v>26696</v>
      </c>
      <c r="E155" s="1085">
        <v>1704</v>
      </c>
      <c r="F155" s="874">
        <f t="shared" si="18"/>
        <v>28400</v>
      </c>
      <c r="G155" s="1085">
        <v>26696</v>
      </c>
      <c r="H155" s="1085">
        <v>1704</v>
      </c>
      <c r="I155" s="874">
        <f t="shared" si="19"/>
        <v>0</v>
      </c>
      <c r="J155" s="2421"/>
      <c r="K155" s="2421"/>
      <c r="L155" s="2426"/>
      <c r="M155" s="2428"/>
      <c r="N155" s="2428"/>
      <c r="O155" s="1065">
        <f t="shared" si="20"/>
        <v>0</v>
      </c>
      <c r="P155" s="1065">
        <f t="shared" si="20"/>
        <v>0</v>
      </c>
      <c r="Q155" s="1065">
        <f t="shared" si="20"/>
        <v>0</v>
      </c>
      <c r="R155" s="2521"/>
      <c r="S155" s="2521"/>
      <c r="T155" s="2521"/>
      <c r="U155" s="2521"/>
      <c r="V155" s="2452"/>
    </row>
    <row r="156" spans="1:23" ht="78.75">
      <c r="A156" s="1144" t="s">
        <v>913</v>
      </c>
      <c r="B156" s="956" t="s">
        <v>703</v>
      </c>
      <c r="C156" s="874">
        <f t="shared" si="17"/>
        <v>54300</v>
      </c>
      <c r="D156" s="1085">
        <v>51042</v>
      </c>
      <c r="E156" s="1085">
        <v>3258</v>
      </c>
      <c r="F156" s="874">
        <f t="shared" si="18"/>
        <v>54300</v>
      </c>
      <c r="G156" s="1085">
        <v>51042</v>
      </c>
      <c r="H156" s="1085">
        <v>3258</v>
      </c>
      <c r="I156" s="874">
        <f t="shared" si="19"/>
        <v>0</v>
      </c>
      <c r="J156" s="2421"/>
      <c r="K156" s="2421"/>
      <c r="L156" s="2426"/>
      <c r="M156" s="2428"/>
      <c r="N156" s="2428"/>
      <c r="O156" s="1065">
        <f t="shared" si="20"/>
        <v>0</v>
      </c>
      <c r="P156" s="1065">
        <f t="shared" si="20"/>
        <v>0</v>
      </c>
      <c r="Q156" s="1065">
        <f t="shared" si="20"/>
        <v>0</v>
      </c>
      <c r="R156" s="2521"/>
      <c r="S156" s="2521"/>
      <c r="T156" s="2521"/>
      <c r="U156" s="2521"/>
      <c r="V156" s="2452"/>
    </row>
    <row r="157" spans="1:23" ht="78.75">
      <c r="A157" s="1144" t="s">
        <v>914</v>
      </c>
      <c r="B157" s="956" t="s">
        <v>702</v>
      </c>
      <c r="C157" s="874">
        <f t="shared" si="17"/>
        <v>56697.8</v>
      </c>
      <c r="D157" s="1085">
        <v>53295.9</v>
      </c>
      <c r="E157" s="1085">
        <v>3401.9</v>
      </c>
      <c r="F157" s="874">
        <f t="shared" si="18"/>
        <v>56697.8</v>
      </c>
      <c r="G157" s="1085">
        <v>53295.9</v>
      </c>
      <c r="H157" s="1085">
        <v>3401.9</v>
      </c>
      <c r="I157" s="874">
        <f t="shared" si="19"/>
        <v>0</v>
      </c>
      <c r="J157" s="2421"/>
      <c r="K157" s="2421"/>
      <c r="L157" s="2426"/>
      <c r="M157" s="2428"/>
      <c r="N157" s="2428"/>
      <c r="O157" s="1065">
        <f t="shared" si="20"/>
        <v>0</v>
      </c>
      <c r="P157" s="1065">
        <f t="shared" si="20"/>
        <v>0</v>
      </c>
      <c r="Q157" s="1065">
        <f t="shared" si="20"/>
        <v>0</v>
      </c>
      <c r="R157" s="2521"/>
      <c r="S157" s="2521"/>
      <c r="T157" s="2521"/>
      <c r="U157" s="2521"/>
      <c r="V157" s="2452"/>
    </row>
    <row r="158" spans="1:23" ht="52.5">
      <c r="A158" s="1144" t="s">
        <v>934</v>
      </c>
      <c r="B158" s="956" t="s">
        <v>832</v>
      </c>
      <c r="C158" s="874">
        <f t="shared" si="17"/>
        <v>8000</v>
      </c>
      <c r="D158" s="1085">
        <v>7520</v>
      </c>
      <c r="E158" s="1085">
        <v>480</v>
      </c>
      <c r="F158" s="874">
        <f t="shared" si="18"/>
        <v>8000</v>
      </c>
      <c r="G158" s="1085">
        <v>7520</v>
      </c>
      <c r="H158" s="1085">
        <v>480</v>
      </c>
      <c r="I158" s="874">
        <f t="shared" si="19"/>
        <v>0</v>
      </c>
      <c r="J158" s="2421"/>
      <c r="K158" s="2421"/>
      <c r="L158" s="2426"/>
      <c r="M158" s="2428"/>
      <c r="N158" s="2428"/>
      <c r="O158" s="1065">
        <f t="shared" si="20"/>
        <v>0</v>
      </c>
      <c r="P158" s="1065">
        <f t="shared" si="20"/>
        <v>0</v>
      </c>
      <c r="Q158" s="1065">
        <f t="shared" si="20"/>
        <v>0</v>
      </c>
      <c r="R158" s="2521"/>
      <c r="S158" s="2521"/>
      <c r="T158" s="2521"/>
      <c r="U158" s="2521"/>
      <c r="V158" s="2452"/>
    </row>
    <row r="159" spans="1:23" ht="52.5">
      <c r="A159" s="1144" t="s">
        <v>1024</v>
      </c>
      <c r="B159" s="956" t="s">
        <v>775</v>
      </c>
      <c r="C159" s="874">
        <f t="shared" si="17"/>
        <v>20200</v>
      </c>
      <c r="D159" s="1085">
        <v>18988</v>
      </c>
      <c r="E159" s="1085">
        <v>1212</v>
      </c>
      <c r="F159" s="874">
        <f t="shared" si="18"/>
        <v>20200</v>
      </c>
      <c r="G159" s="1085">
        <v>18988</v>
      </c>
      <c r="H159" s="1085">
        <v>1212</v>
      </c>
      <c r="I159" s="874">
        <f t="shared" si="19"/>
        <v>0</v>
      </c>
      <c r="J159" s="2421"/>
      <c r="K159" s="2421"/>
      <c r="L159" s="2426"/>
      <c r="M159" s="2428"/>
      <c r="N159" s="2428"/>
      <c r="O159" s="1065">
        <f t="shared" si="20"/>
        <v>0</v>
      </c>
      <c r="P159" s="1065">
        <f t="shared" si="20"/>
        <v>0</v>
      </c>
      <c r="Q159" s="1065">
        <f t="shared" si="20"/>
        <v>0</v>
      </c>
      <c r="R159" s="2521"/>
      <c r="S159" s="2521"/>
      <c r="T159" s="2521"/>
      <c r="U159" s="2521"/>
      <c r="V159" s="2452"/>
    </row>
    <row r="160" spans="1:23" ht="52.5">
      <c r="A160" s="1144" t="s">
        <v>1025</v>
      </c>
      <c r="B160" s="956" t="s">
        <v>774</v>
      </c>
      <c r="C160" s="874">
        <f t="shared" si="17"/>
        <v>20500</v>
      </c>
      <c r="D160" s="1085">
        <v>19270</v>
      </c>
      <c r="E160" s="1085">
        <v>1230</v>
      </c>
      <c r="F160" s="874">
        <f t="shared" si="18"/>
        <v>20500</v>
      </c>
      <c r="G160" s="1085">
        <v>19270</v>
      </c>
      <c r="H160" s="1085">
        <v>1230</v>
      </c>
      <c r="I160" s="874">
        <f t="shared" si="19"/>
        <v>0</v>
      </c>
      <c r="J160" s="2422"/>
      <c r="K160" s="2422"/>
      <c r="L160" s="2427"/>
      <c r="M160" s="2419"/>
      <c r="N160" s="2419"/>
      <c r="O160" s="1065">
        <f t="shared" si="20"/>
        <v>0</v>
      </c>
      <c r="P160" s="1065">
        <f t="shared" si="20"/>
        <v>0</v>
      </c>
      <c r="Q160" s="1065">
        <f t="shared" si="20"/>
        <v>0</v>
      </c>
      <c r="R160" s="2521"/>
      <c r="S160" s="2521"/>
      <c r="T160" s="2521"/>
      <c r="U160" s="2521"/>
      <c r="V160" s="2452"/>
    </row>
    <row r="161" spans="1:23" ht="78.75">
      <c r="A161" s="1144" t="s">
        <v>755</v>
      </c>
      <c r="B161" s="901" t="s">
        <v>465</v>
      </c>
      <c r="C161" s="874">
        <f t="shared" si="17"/>
        <v>7870.7</v>
      </c>
      <c r="D161" s="1085">
        <v>7398.4</v>
      </c>
      <c r="E161" s="1085">
        <v>472.3</v>
      </c>
      <c r="F161" s="874">
        <f t="shared" si="18"/>
        <v>7870.7</v>
      </c>
      <c r="G161" s="1085">
        <v>7398.4</v>
      </c>
      <c r="H161" s="1085">
        <v>472.3</v>
      </c>
      <c r="I161" s="874">
        <f t="shared" si="19"/>
        <v>0</v>
      </c>
      <c r="J161" s="1085">
        <v>0</v>
      </c>
      <c r="K161" s="1085">
        <v>0</v>
      </c>
      <c r="L161" s="876">
        <f t="shared" ref="L161:N180" si="22">IF(I161=0,0,I161/F161*100)</f>
        <v>0</v>
      </c>
      <c r="M161" s="877">
        <f t="shared" si="22"/>
        <v>0</v>
      </c>
      <c r="N161" s="877">
        <f t="shared" si="22"/>
        <v>0</v>
      </c>
      <c r="O161" s="1065">
        <f t="shared" si="20"/>
        <v>0</v>
      </c>
      <c r="P161" s="1065">
        <f t="shared" si="20"/>
        <v>0</v>
      </c>
      <c r="Q161" s="1065">
        <f t="shared" si="20"/>
        <v>0</v>
      </c>
      <c r="R161" s="1148" t="s">
        <v>886</v>
      </c>
      <c r="S161" s="1149" t="s">
        <v>901</v>
      </c>
      <c r="T161" s="1148">
        <v>414</v>
      </c>
      <c r="U161" s="1148" t="s">
        <v>890</v>
      </c>
    </row>
    <row r="162" spans="1:23" ht="78.75">
      <c r="A162" s="1144" t="s">
        <v>756</v>
      </c>
      <c r="B162" s="1084" t="s">
        <v>537</v>
      </c>
      <c r="C162" s="874">
        <f t="shared" si="17"/>
        <v>9137.6</v>
      </c>
      <c r="D162" s="1085">
        <v>8589.2999999999993</v>
      </c>
      <c r="E162" s="1085">
        <v>548.29999999999995</v>
      </c>
      <c r="F162" s="874">
        <f t="shared" si="18"/>
        <v>9137.6</v>
      </c>
      <c r="G162" s="1085">
        <v>8589.2999999999993</v>
      </c>
      <c r="H162" s="1085">
        <v>548.29999999999995</v>
      </c>
      <c r="I162" s="874">
        <f t="shared" si="19"/>
        <v>0</v>
      </c>
      <c r="J162" s="1085">
        <v>0</v>
      </c>
      <c r="K162" s="1085">
        <v>0</v>
      </c>
      <c r="L162" s="876">
        <f t="shared" si="22"/>
        <v>0</v>
      </c>
      <c r="M162" s="877">
        <f t="shared" si="22"/>
        <v>0</v>
      </c>
      <c r="N162" s="877">
        <f t="shared" si="22"/>
        <v>0</v>
      </c>
      <c r="O162" s="1065">
        <f t="shared" si="20"/>
        <v>0</v>
      </c>
      <c r="P162" s="1065">
        <f t="shared" si="20"/>
        <v>0</v>
      </c>
      <c r="Q162" s="1065">
        <f t="shared" si="20"/>
        <v>0</v>
      </c>
      <c r="R162" s="1148" t="s">
        <v>886</v>
      </c>
      <c r="S162" s="1149" t="s">
        <v>907</v>
      </c>
      <c r="T162" s="1148">
        <v>414</v>
      </c>
      <c r="U162" s="1148" t="s">
        <v>890</v>
      </c>
    </row>
    <row r="163" spans="1:23" ht="78.75">
      <c r="A163" s="1144" t="s">
        <v>757</v>
      </c>
      <c r="B163" s="1084" t="s">
        <v>587</v>
      </c>
      <c r="C163" s="874">
        <f t="shared" si="17"/>
        <v>12956.3</v>
      </c>
      <c r="D163" s="1085">
        <v>12178.9</v>
      </c>
      <c r="E163" s="1085">
        <v>777.4</v>
      </c>
      <c r="F163" s="874">
        <f t="shared" si="18"/>
        <v>12956.3</v>
      </c>
      <c r="G163" s="1085">
        <v>12178.9</v>
      </c>
      <c r="H163" s="1085">
        <v>777.4</v>
      </c>
      <c r="I163" s="874">
        <f t="shared" si="19"/>
        <v>1408.6</v>
      </c>
      <c r="J163" s="1085">
        <v>1324.1</v>
      </c>
      <c r="K163" s="1085">
        <v>84.5</v>
      </c>
      <c r="L163" s="876">
        <f t="shared" si="22"/>
        <v>10.9</v>
      </c>
      <c r="M163" s="877">
        <f t="shared" si="22"/>
        <v>10.9</v>
      </c>
      <c r="N163" s="877">
        <f t="shared" si="22"/>
        <v>10.9</v>
      </c>
      <c r="O163" s="1065">
        <f t="shared" ref="O163:Q174" si="23">C163-F163</f>
        <v>0</v>
      </c>
      <c r="P163" s="1065">
        <f t="shared" si="23"/>
        <v>0</v>
      </c>
      <c r="Q163" s="1065">
        <f t="shared" si="23"/>
        <v>0</v>
      </c>
      <c r="R163" s="1148" t="s">
        <v>886</v>
      </c>
      <c r="S163" s="1149" t="s">
        <v>900</v>
      </c>
      <c r="T163" s="1148">
        <v>414</v>
      </c>
      <c r="U163" s="1148" t="s">
        <v>890</v>
      </c>
    </row>
    <row r="164" spans="1:23" ht="105">
      <c r="A164" s="1144" t="s">
        <v>758</v>
      </c>
      <c r="B164" s="955" t="s">
        <v>588</v>
      </c>
      <c r="C164" s="874">
        <f t="shared" si="17"/>
        <v>20092.400000000001</v>
      </c>
      <c r="D164" s="1085">
        <v>18886.8</v>
      </c>
      <c r="E164" s="1085">
        <v>1205.5999999999999</v>
      </c>
      <c r="F164" s="874">
        <f t="shared" si="18"/>
        <v>20092.400000000001</v>
      </c>
      <c r="G164" s="1085">
        <v>18886.8</v>
      </c>
      <c r="H164" s="1085">
        <v>1205.5999999999999</v>
      </c>
      <c r="I164" s="874">
        <f t="shared" si="19"/>
        <v>0</v>
      </c>
      <c r="J164" s="1085">
        <v>0</v>
      </c>
      <c r="K164" s="1085">
        <v>0</v>
      </c>
      <c r="L164" s="876">
        <f t="shared" si="22"/>
        <v>0</v>
      </c>
      <c r="M164" s="877">
        <f t="shared" si="22"/>
        <v>0</v>
      </c>
      <c r="N164" s="877">
        <f t="shared" si="22"/>
        <v>0</v>
      </c>
      <c r="O164" s="1065">
        <f t="shared" si="23"/>
        <v>0</v>
      </c>
      <c r="P164" s="1065">
        <f t="shared" si="23"/>
        <v>0</v>
      </c>
      <c r="Q164" s="1065">
        <f t="shared" si="23"/>
        <v>0</v>
      </c>
      <c r="R164" s="1148" t="s">
        <v>886</v>
      </c>
      <c r="S164" s="1149" t="s">
        <v>903</v>
      </c>
      <c r="T164" s="1148">
        <v>414</v>
      </c>
      <c r="U164" s="1148" t="s">
        <v>890</v>
      </c>
    </row>
    <row r="165" spans="1:23" ht="78.75" customHeight="1">
      <c r="A165" s="895">
        <v>104</v>
      </c>
      <c r="B165" s="955" t="s">
        <v>589</v>
      </c>
      <c r="C165" s="874">
        <f t="shared" si="17"/>
        <v>9194.2000000000007</v>
      </c>
      <c r="D165" s="1085">
        <v>8642.5</v>
      </c>
      <c r="E165" s="1085">
        <v>551.70000000000005</v>
      </c>
      <c r="F165" s="874">
        <f t="shared" si="18"/>
        <v>9194.2000000000007</v>
      </c>
      <c r="G165" s="1085">
        <v>8642.5</v>
      </c>
      <c r="H165" s="1085">
        <v>551.70000000000005</v>
      </c>
      <c r="I165" s="874">
        <f t="shared" si="19"/>
        <v>0</v>
      </c>
      <c r="J165" s="1085">
        <v>0</v>
      </c>
      <c r="K165" s="1085">
        <v>0</v>
      </c>
      <c r="L165" s="876">
        <f t="shared" si="22"/>
        <v>0</v>
      </c>
      <c r="M165" s="877">
        <f t="shared" si="22"/>
        <v>0</v>
      </c>
      <c r="N165" s="877">
        <f t="shared" si="22"/>
        <v>0</v>
      </c>
      <c r="O165" s="1065">
        <f t="shared" si="23"/>
        <v>0</v>
      </c>
      <c r="P165" s="1065">
        <f t="shared" si="23"/>
        <v>0</v>
      </c>
      <c r="Q165" s="1065">
        <f t="shared" si="23"/>
        <v>0</v>
      </c>
      <c r="R165" s="1148" t="s">
        <v>886</v>
      </c>
      <c r="S165" s="1149" t="s">
        <v>904</v>
      </c>
      <c r="T165" s="1148">
        <v>414</v>
      </c>
      <c r="U165" s="1148" t="s">
        <v>890</v>
      </c>
    </row>
    <row r="166" spans="1:23" ht="78.75">
      <c r="A166" s="895">
        <v>105</v>
      </c>
      <c r="B166" s="955" t="s">
        <v>616</v>
      </c>
      <c r="C166" s="874">
        <f t="shared" si="17"/>
        <v>18682.400000000001</v>
      </c>
      <c r="D166" s="1085">
        <v>17561.3</v>
      </c>
      <c r="E166" s="1085">
        <v>1121.0999999999999</v>
      </c>
      <c r="F166" s="874">
        <f t="shared" si="18"/>
        <v>18682.400000000001</v>
      </c>
      <c r="G166" s="1085">
        <v>17561.3</v>
      </c>
      <c r="H166" s="1085">
        <v>1121.0999999999999</v>
      </c>
      <c r="I166" s="874">
        <f t="shared" si="19"/>
        <v>0</v>
      </c>
      <c r="J166" s="1085">
        <v>0</v>
      </c>
      <c r="K166" s="1085">
        <v>0</v>
      </c>
      <c r="L166" s="876">
        <f t="shared" si="22"/>
        <v>0</v>
      </c>
      <c r="M166" s="877">
        <f t="shared" si="22"/>
        <v>0</v>
      </c>
      <c r="N166" s="877">
        <f t="shared" si="22"/>
        <v>0</v>
      </c>
      <c r="O166" s="1065">
        <f t="shared" si="23"/>
        <v>0</v>
      </c>
      <c r="P166" s="1065">
        <f t="shared" si="23"/>
        <v>0</v>
      </c>
      <c r="Q166" s="1065">
        <f t="shared" si="23"/>
        <v>0</v>
      </c>
      <c r="R166" s="1148" t="s">
        <v>886</v>
      </c>
      <c r="S166" s="1149" t="s">
        <v>905</v>
      </c>
      <c r="T166" s="1148">
        <v>414</v>
      </c>
      <c r="U166" s="1148" t="s">
        <v>890</v>
      </c>
    </row>
    <row r="167" spans="1:23" ht="105">
      <c r="A167" s="895">
        <v>106</v>
      </c>
      <c r="B167" s="955" t="s">
        <v>591</v>
      </c>
      <c r="C167" s="874">
        <f t="shared" si="17"/>
        <v>34409.1</v>
      </c>
      <c r="D167" s="1085">
        <v>32344.5</v>
      </c>
      <c r="E167" s="1085">
        <v>2064.6</v>
      </c>
      <c r="F167" s="874">
        <f t="shared" si="18"/>
        <v>34409.1</v>
      </c>
      <c r="G167" s="1085">
        <v>32344.5</v>
      </c>
      <c r="H167" s="1085">
        <v>2064.6</v>
      </c>
      <c r="I167" s="874">
        <f t="shared" si="19"/>
        <v>0</v>
      </c>
      <c r="J167" s="1085">
        <v>0</v>
      </c>
      <c r="K167" s="1085">
        <v>0</v>
      </c>
      <c r="L167" s="876">
        <f t="shared" si="22"/>
        <v>0</v>
      </c>
      <c r="M167" s="877">
        <f t="shared" si="22"/>
        <v>0</v>
      </c>
      <c r="N167" s="877">
        <f t="shared" si="22"/>
        <v>0</v>
      </c>
      <c r="O167" s="1065">
        <f t="shared" si="23"/>
        <v>0</v>
      </c>
      <c r="P167" s="1065">
        <f t="shared" si="23"/>
        <v>0</v>
      </c>
      <c r="Q167" s="1065">
        <f t="shared" si="23"/>
        <v>0</v>
      </c>
      <c r="R167" s="1148" t="s">
        <v>886</v>
      </c>
      <c r="S167" s="1149" t="s">
        <v>906</v>
      </c>
      <c r="T167" s="1148">
        <v>414</v>
      </c>
      <c r="U167" s="1148" t="s">
        <v>890</v>
      </c>
    </row>
    <row r="168" spans="1:23" ht="78.75">
      <c r="A168" s="895">
        <v>107</v>
      </c>
      <c r="B168" s="1084" t="s">
        <v>575</v>
      </c>
      <c r="C168" s="874">
        <f t="shared" si="17"/>
        <v>2453.8000000000002</v>
      </c>
      <c r="D168" s="1085">
        <v>2306.5</v>
      </c>
      <c r="E168" s="1085">
        <v>147.30000000000001</v>
      </c>
      <c r="F168" s="874">
        <f t="shared" si="18"/>
        <v>2453.8000000000002</v>
      </c>
      <c r="G168" s="1085">
        <v>2306.5</v>
      </c>
      <c r="H168" s="1085">
        <v>147.30000000000001</v>
      </c>
      <c r="I168" s="874">
        <f t="shared" si="19"/>
        <v>0</v>
      </c>
      <c r="J168" s="1085">
        <v>0</v>
      </c>
      <c r="K168" s="1085">
        <v>0</v>
      </c>
      <c r="L168" s="876">
        <f t="shared" si="22"/>
        <v>0</v>
      </c>
      <c r="M168" s="877">
        <f t="shared" si="22"/>
        <v>0</v>
      </c>
      <c r="N168" s="877">
        <f t="shared" si="22"/>
        <v>0</v>
      </c>
      <c r="O168" s="1065">
        <f t="shared" si="23"/>
        <v>0</v>
      </c>
      <c r="P168" s="1065">
        <f t="shared" si="23"/>
        <v>0</v>
      </c>
      <c r="Q168" s="1065">
        <f t="shared" si="23"/>
        <v>0</v>
      </c>
      <c r="R168" s="1148" t="s">
        <v>886</v>
      </c>
      <c r="S168" s="1149" t="s">
        <v>902</v>
      </c>
      <c r="T168" s="1148">
        <v>414</v>
      </c>
      <c r="U168" s="1148" t="s">
        <v>890</v>
      </c>
    </row>
    <row r="169" spans="1:23" ht="84.75" customHeight="1">
      <c r="A169" s="1144" t="s">
        <v>1062</v>
      </c>
      <c r="B169" s="1084" t="s">
        <v>660</v>
      </c>
      <c r="C169" s="874">
        <f t="shared" si="17"/>
        <v>7347.6</v>
      </c>
      <c r="D169" s="1085">
        <v>6906.5</v>
      </c>
      <c r="E169" s="1085">
        <v>441.1</v>
      </c>
      <c r="F169" s="874">
        <f t="shared" si="18"/>
        <v>7347.6</v>
      </c>
      <c r="G169" s="1085">
        <v>6906.5</v>
      </c>
      <c r="H169" s="1085">
        <v>441.1</v>
      </c>
      <c r="I169" s="874">
        <f t="shared" si="19"/>
        <v>50</v>
      </c>
      <c r="J169" s="1085">
        <v>47</v>
      </c>
      <c r="K169" s="1085">
        <v>3</v>
      </c>
      <c r="L169" s="876">
        <f t="shared" si="22"/>
        <v>0.7</v>
      </c>
      <c r="M169" s="877">
        <f t="shared" si="22"/>
        <v>0.7</v>
      </c>
      <c r="N169" s="877">
        <f t="shared" si="22"/>
        <v>0.7</v>
      </c>
      <c r="O169" s="1065">
        <f t="shared" si="23"/>
        <v>0</v>
      </c>
      <c r="P169" s="1065">
        <f t="shared" si="23"/>
        <v>0</v>
      </c>
      <c r="Q169" s="1065">
        <f t="shared" si="23"/>
        <v>0</v>
      </c>
      <c r="R169" s="1148" t="s">
        <v>886</v>
      </c>
      <c r="S169" s="1149" t="s">
        <v>908</v>
      </c>
      <c r="T169" s="1148">
        <v>414</v>
      </c>
      <c r="U169" s="1148" t="s">
        <v>890</v>
      </c>
    </row>
    <row r="170" spans="1:23" ht="52.5">
      <c r="A170" s="1144" t="s">
        <v>828</v>
      </c>
      <c r="B170" s="1084" t="s">
        <v>659</v>
      </c>
      <c r="C170" s="874">
        <f t="shared" si="17"/>
        <v>4366.3999999999996</v>
      </c>
      <c r="D170" s="1085">
        <v>4104.3</v>
      </c>
      <c r="E170" s="1085">
        <v>262.10000000000002</v>
      </c>
      <c r="F170" s="874">
        <f t="shared" si="18"/>
        <v>4366.3999999999996</v>
      </c>
      <c r="G170" s="1085">
        <v>4104.3</v>
      </c>
      <c r="H170" s="1085">
        <v>262.10000000000002</v>
      </c>
      <c r="I170" s="874">
        <f t="shared" si="19"/>
        <v>0</v>
      </c>
      <c r="J170" s="1085">
        <v>0</v>
      </c>
      <c r="K170" s="1085">
        <v>0</v>
      </c>
      <c r="L170" s="876">
        <f t="shared" si="22"/>
        <v>0</v>
      </c>
      <c r="M170" s="877">
        <f t="shared" si="22"/>
        <v>0</v>
      </c>
      <c r="N170" s="877">
        <f t="shared" si="22"/>
        <v>0</v>
      </c>
      <c r="O170" s="1065">
        <f t="shared" si="23"/>
        <v>0</v>
      </c>
      <c r="P170" s="1065">
        <f t="shared" si="23"/>
        <v>0</v>
      </c>
      <c r="Q170" s="1065">
        <f t="shared" si="23"/>
        <v>0</v>
      </c>
      <c r="R170" s="1148" t="s">
        <v>886</v>
      </c>
      <c r="S170" s="1149" t="s">
        <v>909</v>
      </c>
      <c r="T170" s="1148">
        <v>414</v>
      </c>
      <c r="U170" s="1148" t="s">
        <v>910</v>
      </c>
    </row>
    <row r="171" spans="1:23" ht="78.75">
      <c r="A171" s="1144" t="s">
        <v>829</v>
      </c>
      <c r="B171" s="1147" t="s">
        <v>459</v>
      </c>
      <c r="C171" s="874">
        <f t="shared" si="17"/>
        <v>2776.8</v>
      </c>
      <c r="D171" s="879">
        <v>2610.1</v>
      </c>
      <c r="E171" s="879">
        <v>166.7</v>
      </c>
      <c r="F171" s="874">
        <f t="shared" si="18"/>
        <v>2776.8</v>
      </c>
      <c r="G171" s="879">
        <v>2610.1</v>
      </c>
      <c r="H171" s="879">
        <v>166.7</v>
      </c>
      <c r="I171" s="874">
        <f t="shared" si="19"/>
        <v>0</v>
      </c>
      <c r="J171" s="879">
        <v>0</v>
      </c>
      <c r="K171" s="879">
        <v>0</v>
      </c>
      <c r="L171" s="876">
        <f t="shared" si="22"/>
        <v>0</v>
      </c>
      <c r="M171" s="877">
        <f t="shared" si="22"/>
        <v>0</v>
      </c>
      <c r="N171" s="877">
        <f t="shared" si="22"/>
        <v>0</v>
      </c>
      <c r="O171" s="1065">
        <f t="shared" si="23"/>
        <v>0</v>
      </c>
      <c r="P171" s="1065">
        <f t="shared" si="23"/>
        <v>0</v>
      </c>
      <c r="Q171" s="1065">
        <f t="shared" si="23"/>
        <v>0</v>
      </c>
      <c r="R171" s="1148" t="s">
        <v>886</v>
      </c>
      <c r="S171" s="1149" t="s">
        <v>889</v>
      </c>
      <c r="T171" s="1148">
        <v>414</v>
      </c>
      <c r="U171" s="1148" t="s">
        <v>890</v>
      </c>
    </row>
    <row r="172" spans="1:23" s="515" customFormat="1" ht="52.5">
      <c r="A172" s="1144" t="s">
        <v>821</v>
      </c>
      <c r="B172" s="1075" t="s">
        <v>568</v>
      </c>
      <c r="C172" s="874">
        <f t="shared" si="17"/>
        <v>3909.4</v>
      </c>
      <c r="D172" s="879">
        <v>3674.8</v>
      </c>
      <c r="E172" s="879">
        <v>234.6</v>
      </c>
      <c r="F172" s="874">
        <f t="shared" si="18"/>
        <v>3909.4</v>
      </c>
      <c r="G172" s="879">
        <v>3674.8</v>
      </c>
      <c r="H172" s="879">
        <v>234.6</v>
      </c>
      <c r="I172" s="874">
        <f t="shared" si="19"/>
        <v>0</v>
      </c>
      <c r="J172" s="879">
        <v>0</v>
      </c>
      <c r="K172" s="879">
        <v>0</v>
      </c>
      <c r="L172" s="876">
        <f t="shared" si="22"/>
        <v>0</v>
      </c>
      <c r="M172" s="877">
        <f>IF(J172=0,0,J172/G172*100)</f>
        <v>0</v>
      </c>
      <c r="N172" s="877">
        <f>IF(K172=0,0,K172/H172*100)</f>
        <v>0</v>
      </c>
      <c r="O172" s="1065">
        <f t="shared" si="23"/>
        <v>0</v>
      </c>
      <c r="P172" s="1065">
        <f t="shared" si="23"/>
        <v>0</v>
      </c>
      <c r="Q172" s="1065">
        <f t="shared" si="23"/>
        <v>0</v>
      </c>
      <c r="R172" s="1148" t="s">
        <v>886</v>
      </c>
      <c r="S172" s="1149" t="s">
        <v>891</v>
      </c>
      <c r="T172" s="1148">
        <v>414</v>
      </c>
      <c r="U172" s="1148" t="s">
        <v>890</v>
      </c>
      <c r="V172" s="1129"/>
      <c r="W172" s="783"/>
    </row>
    <row r="173" spans="1:23" s="515" customFormat="1" ht="78.75">
      <c r="A173" s="1144" t="s">
        <v>822</v>
      </c>
      <c r="B173" s="900" t="s">
        <v>693</v>
      </c>
      <c r="C173" s="874">
        <f t="shared" si="17"/>
        <v>19745.7</v>
      </c>
      <c r="D173" s="879">
        <v>18560.900000000001</v>
      </c>
      <c r="E173" s="879">
        <v>1184.8</v>
      </c>
      <c r="F173" s="874">
        <f t="shared" si="18"/>
        <v>19745.7</v>
      </c>
      <c r="G173" s="879">
        <v>18560.900000000001</v>
      </c>
      <c r="H173" s="879">
        <v>1184.8</v>
      </c>
      <c r="I173" s="874">
        <f t="shared" si="19"/>
        <v>0</v>
      </c>
      <c r="J173" s="879">
        <v>0</v>
      </c>
      <c r="K173" s="879">
        <v>0</v>
      </c>
      <c r="L173" s="876">
        <f t="shared" si="22"/>
        <v>0</v>
      </c>
      <c r="M173" s="877">
        <f t="shared" si="22"/>
        <v>0</v>
      </c>
      <c r="N173" s="877">
        <f t="shared" si="22"/>
        <v>0</v>
      </c>
      <c r="O173" s="1065">
        <f t="shared" si="23"/>
        <v>0</v>
      </c>
      <c r="P173" s="1065">
        <f t="shared" si="23"/>
        <v>0</v>
      </c>
      <c r="Q173" s="1065">
        <f t="shared" si="23"/>
        <v>0</v>
      </c>
      <c r="R173" s="1148" t="s">
        <v>866</v>
      </c>
      <c r="S173" s="1149" t="s">
        <v>884</v>
      </c>
      <c r="T173" s="1148">
        <v>414</v>
      </c>
      <c r="U173" s="1148" t="s">
        <v>885</v>
      </c>
      <c r="V173" s="1129"/>
      <c r="W173" s="783"/>
    </row>
    <row r="174" spans="1:23" s="515" customFormat="1" ht="52.5">
      <c r="A174" s="1144" t="s">
        <v>823</v>
      </c>
      <c r="B174" s="987" t="s">
        <v>794</v>
      </c>
      <c r="C174" s="874">
        <f t="shared" si="17"/>
        <v>251297.1</v>
      </c>
      <c r="D174" s="879">
        <f>160380+75158.5</f>
        <v>235538.5</v>
      </c>
      <c r="E174" s="988">
        <v>15758.6</v>
      </c>
      <c r="F174" s="874">
        <f t="shared" si="18"/>
        <v>251297.1</v>
      </c>
      <c r="G174" s="879">
        <v>235538.5</v>
      </c>
      <c r="H174" s="988">
        <v>15758.6</v>
      </c>
      <c r="I174" s="874">
        <f t="shared" si="19"/>
        <v>30</v>
      </c>
      <c r="J174" s="879">
        <v>28.1</v>
      </c>
      <c r="K174" s="879">
        <v>1.9</v>
      </c>
      <c r="L174" s="876">
        <f t="shared" si="22"/>
        <v>0</v>
      </c>
      <c r="M174" s="877">
        <f t="shared" si="22"/>
        <v>0</v>
      </c>
      <c r="N174" s="877">
        <f t="shared" si="22"/>
        <v>0</v>
      </c>
      <c r="O174" s="1065">
        <f t="shared" si="23"/>
        <v>0</v>
      </c>
      <c r="P174" s="1065">
        <f t="shared" si="23"/>
        <v>0</v>
      </c>
      <c r="Q174" s="1065">
        <f t="shared" si="23"/>
        <v>0</v>
      </c>
      <c r="R174" s="1148" t="s">
        <v>866</v>
      </c>
      <c r="S174" s="1149" t="s">
        <v>896</v>
      </c>
      <c r="T174" s="1148">
        <v>414</v>
      </c>
      <c r="U174" s="1148" t="s">
        <v>897</v>
      </c>
      <c r="V174" s="1129"/>
      <c r="W174" s="783"/>
    </row>
    <row r="175" spans="1:23" s="515" customFormat="1" ht="125.25" hidden="1" customHeight="1">
      <c r="A175" s="1137"/>
      <c r="B175" s="987"/>
      <c r="C175" s="874"/>
      <c r="D175" s="1085"/>
      <c r="E175" s="1085"/>
      <c r="F175" s="874"/>
      <c r="G175" s="1085"/>
      <c r="H175" s="1085"/>
      <c r="I175" s="874"/>
      <c r="J175" s="1085"/>
      <c r="K175" s="1085"/>
      <c r="L175" s="876"/>
      <c r="M175" s="877"/>
      <c r="N175" s="877"/>
      <c r="O175" s="1065"/>
      <c r="P175" s="1065"/>
      <c r="Q175" s="1065"/>
      <c r="R175" s="1148"/>
      <c r="S175" s="1149"/>
      <c r="T175" s="1148"/>
      <c r="U175" s="1148"/>
      <c r="V175" s="1129"/>
      <c r="W175" s="783"/>
    </row>
    <row r="176" spans="1:23" ht="78.75">
      <c r="A176" s="2404" t="s">
        <v>1063</v>
      </c>
      <c r="B176" s="1084" t="s">
        <v>644</v>
      </c>
      <c r="C176" s="874">
        <f t="shared" si="17"/>
        <v>20270</v>
      </c>
      <c r="D176" s="1085">
        <v>0</v>
      </c>
      <c r="E176" s="1085">
        <f>8390+11880</f>
        <v>20270</v>
      </c>
      <c r="F176" s="874">
        <f t="shared" si="18"/>
        <v>20270</v>
      </c>
      <c r="G176" s="1085">
        <v>0</v>
      </c>
      <c r="H176" s="1085">
        <f>8390+11880</f>
        <v>20270</v>
      </c>
      <c r="I176" s="874">
        <f t="shared" si="19"/>
        <v>12665.1</v>
      </c>
      <c r="J176" s="1085">
        <v>0</v>
      </c>
      <c r="K176" s="1085">
        <v>12665.1</v>
      </c>
      <c r="L176" s="876">
        <f t="shared" si="22"/>
        <v>62.5</v>
      </c>
      <c r="M176" s="877">
        <f t="shared" si="22"/>
        <v>0</v>
      </c>
      <c r="N176" s="877">
        <f t="shared" si="22"/>
        <v>62.5</v>
      </c>
      <c r="O176" s="1065">
        <f t="shared" ref="O176:Q191" si="24">C176-F176</f>
        <v>0</v>
      </c>
      <c r="P176" s="1065">
        <f t="shared" si="24"/>
        <v>0</v>
      </c>
      <c r="Q176" s="1065">
        <f t="shared" si="24"/>
        <v>0</v>
      </c>
      <c r="R176" s="1148" t="s">
        <v>872</v>
      </c>
      <c r="S176" s="1149">
        <v>1130390420</v>
      </c>
      <c r="T176" s="1148">
        <v>414</v>
      </c>
      <c r="U176" s="1148">
        <v>14019</v>
      </c>
    </row>
    <row r="177" spans="1:23" ht="52.5">
      <c r="A177" s="2405"/>
      <c r="B177" s="1084" t="s">
        <v>478</v>
      </c>
      <c r="C177" s="874">
        <f t="shared" si="17"/>
        <v>439000.1</v>
      </c>
      <c r="D177" s="1085">
        <v>412660</v>
      </c>
      <c r="E177" s="1068">
        <v>26340.05</v>
      </c>
      <c r="F177" s="874">
        <f t="shared" si="18"/>
        <v>439000.1</v>
      </c>
      <c r="G177" s="1085">
        <v>412660</v>
      </c>
      <c r="H177" s="1068">
        <v>26340.05</v>
      </c>
      <c r="I177" s="874">
        <f t="shared" si="19"/>
        <v>343.1</v>
      </c>
      <c r="J177" s="1085">
        <v>322.5</v>
      </c>
      <c r="K177" s="1085">
        <v>20.6</v>
      </c>
      <c r="L177" s="876">
        <f t="shared" si="22"/>
        <v>0.1</v>
      </c>
      <c r="M177" s="877">
        <f t="shared" si="22"/>
        <v>0.1</v>
      </c>
      <c r="N177" s="877">
        <f t="shared" si="22"/>
        <v>0.1</v>
      </c>
      <c r="O177" s="1065">
        <f t="shared" si="24"/>
        <v>0</v>
      </c>
      <c r="P177" s="1065">
        <f t="shared" si="24"/>
        <v>0</v>
      </c>
      <c r="Q177" s="1065">
        <f t="shared" si="24"/>
        <v>0</v>
      </c>
      <c r="R177" s="1148" t="s">
        <v>886</v>
      </c>
      <c r="S177" s="1149" t="s">
        <v>898</v>
      </c>
      <c r="T177" s="1148">
        <v>414</v>
      </c>
      <c r="U177" s="1148" t="s">
        <v>899</v>
      </c>
    </row>
    <row r="178" spans="1:23" s="515" customFormat="1" ht="52.5">
      <c r="A178" s="1144" t="s">
        <v>915</v>
      </c>
      <c r="B178" s="900" t="s">
        <v>499</v>
      </c>
      <c r="C178" s="874">
        <f t="shared" si="17"/>
        <v>9064.5</v>
      </c>
      <c r="D178" s="879">
        <v>8500</v>
      </c>
      <c r="E178" s="879">
        <v>564.5</v>
      </c>
      <c r="F178" s="874">
        <f t="shared" si="18"/>
        <v>9064.5</v>
      </c>
      <c r="G178" s="879">
        <v>8500</v>
      </c>
      <c r="H178" s="879">
        <v>564.5</v>
      </c>
      <c r="I178" s="874">
        <f t="shared" si="19"/>
        <v>16.3</v>
      </c>
      <c r="J178" s="879">
        <v>15.3</v>
      </c>
      <c r="K178" s="879">
        <v>1</v>
      </c>
      <c r="L178" s="876">
        <f t="shared" si="22"/>
        <v>0.2</v>
      </c>
      <c r="M178" s="877">
        <f t="shared" si="22"/>
        <v>0.2</v>
      </c>
      <c r="N178" s="877">
        <f t="shared" si="22"/>
        <v>0.2</v>
      </c>
      <c r="O178" s="1065">
        <f t="shared" si="24"/>
        <v>0</v>
      </c>
      <c r="P178" s="1065">
        <f t="shared" si="24"/>
        <v>0</v>
      </c>
      <c r="Q178" s="1065">
        <f t="shared" si="24"/>
        <v>0</v>
      </c>
      <c r="R178" s="1148" t="s">
        <v>871</v>
      </c>
      <c r="S178" s="1149" t="s">
        <v>870</v>
      </c>
      <c r="T178" s="1148">
        <v>414</v>
      </c>
      <c r="U178" s="1148" t="s">
        <v>873</v>
      </c>
      <c r="V178" s="1129"/>
      <c r="W178" s="783"/>
    </row>
    <row r="179" spans="1:23" ht="57" customHeight="1">
      <c r="A179" s="1141" t="s">
        <v>916</v>
      </c>
      <c r="B179" s="900" t="s">
        <v>768</v>
      </c>
      <c r="C179" s="874">
        <f t="shared" si="17"/>
        <v>8900</v>
      </c>
      <c r="D179" s="879">
        <v>0</v>
      </c>
      <c r="E179" s="879">
        <v>8900</v>
      </c>
      <c r="F179" s="874">
        <f t="shared" si="18"/>
        <v>8900</v>
      </c>
      <c r="G179" s="879">
        <v>0</v>
      </c>
      <c r="H179" s="879">
        <v>8900</v>
      </c>
      <c r="I179" s="874">
        <f t="shared" si="19"/>
        <v>0</v>
      </c>
      <c r="J179" s="879">
        <v>0</v>
      </c>
      <c r="K179" s="879">
        <v>0</v>
      </c>
      <c r="L179" s="876">
        <f t="shared" si="22"/>
        <v>0</v>
      </c>
      <c r="M179" s="877">
        <f t="shared" si="22"/>
        <v>0</v>
      </c>
      <c r="N179" s="877">
        <f t="shared" si="22"/>
        <v>0</v>
      </c>
      <c r="O179" s="1065">
        <f>C179-F179</f>
        <v>0</v>
      </c>
      <c r="P179" s="1065">
        <f t="shared" si="24"/>
        <v>0</v>
      </c>
      <c r="Q179" s="1065">
        <f t="shared" si="24"/>
        <v>0</v>
      </c>
      <c r="R179" s="1148" t="s">
        <v>872</v>
      </c>
      <c r="S179" s="1149">
        <v>1130390420</v>
      </c>
      <c r="T179" s="1148">
        <v>414</v>
      </c>
      <c r="U179" s="1148">
        <v>14009</v>
      </c>
    </row>
    <row r="180" spans="1:23" ht="52.5">
      <c r="A180" s="1144" t="s">
        <v>860</v>
      </c>
      <c r="B180" s="900" t="s">
        <v>769</v>
      </c>
      <c r="C180" s="874">
        <f t="shared" si="17"/>
        <v>21489</v>
      </c>
      <c r="D180" s="879">
        <v>0</v>
      </c>
      <c r="E180" s="879">
        <v>21489</v>
      </c>
      <c r="F180" s="874">
        <f t="shared" si="18"/>
        <v>21489</v>
      </c>
      <c r="G180" s="879">
        <v>0</v>
      </c>
      <c r="H180" s="879">
        <v>21489</v>
      </c>
      <c r="I180" s="874">
        <f t="shared" si="19"/>
        <v>0</v>
      </c>
      <c r="J180" s="879">
        <v>0</v>
      </c>
      <c r="K180" s="879">
        <v>0</v>
      </c>
      <c r="L180" s="876">
        <f t="shared" si="22"/>
        <v>0</v>
      </c>
      <c r="M180" s="877">
        <f>IF(J180=0,0,J180/G180*100)</f>
        <v>0</v>
      </c>
      <c r="N180" s="877">
        <f>IF(K180=0,0,K180/H180*100)</f>
        <v>0</v>
      </c>
      <c r="O180" s="1065">
        <f>C180-F180</f>
        <v>0</v>
      </c>
      <c r="P180" s="1065">
        <f t="shared" si="24"/>
        <v>0</v>
      </c>
      <c r="Q180" s="1065">
        <f t="shared" si="24"/>
        <v>0</v>
      </c>
      <c r="R180" s="1148" t="s">
        <v>872</v>
      </c>
      <c r="S180" s="1149">
        <v>1130390420</v>
      </c>
      <c r="T180" s="1148">
        <v>414</v>
      </c>
      <c r="U180" s="1148">
        <v>14053</v>
      </c>
    </row>
    <row r="181" spans="1:23" ht="42.75" customHeight="1">
      <c r="A181" s="1144" t="s">
        <v>1064</v>
      </c>
      <c r="B181" s="900" t="s">
        <v>692</v>
      </c>
      <c r="C181" s="874">
        <f>SUM(D181:E181)</f>
        <v>22300</v>
      </c>
      <c r="D181" s="879">
        <f>22300*0.9396914446</f>
        <v>20955.099999999999</v>
      </c>
      <c r="E181" s="879">
        <f>22300*(1-0.9396914446)</f>
        <v>1344.9</v>
      </c>
      <c r="F181" s="874">
        <f>SUM(G181:H181)</f>
        <v>22300</v>
      </c>
      <c r="G181" s="879">
        <f>22300*0.9396914446</f>
        <v>20955.099999999999</v>
      </c>
      <c r="H181" s="879">
        <f>22300*(1-0.9396914446)</f>
        <v>1344.9</v>
      </c>
      <c r="I181" s="2450">
        <f>SUM(J181:K181)</f>
        <v>0</v>
      </c>
      <c r="J181" s="2440">
        <v>0</v>
      </c>
      <c r="K181" s="2440">
        <v>0</v>
      </c>
      <c r="L181" s="2446">
        <f>IF(I181=0,0,I181/F181:F182*100)</f>
        <v>0</v>
      </c>
      <c r="M181" s="2415">
        <f>IF(J181=0,0,J181/G181:G182*100)</f>
        <v>0</v>
      </c>
      <c r="N181" s="2415">
        <f>IF(K181=0,0,K181/H181:H182*100)</f>
        <v>0</v>
      </c>
      <c r="O181" s="1065">
        <f>C181-F181</f>
        <v>0</v>
      </c>
      <c r="P181" s="1065">
        <f t="shared" si="24"/>
        <v>0</v>
      </c>
      <c r="Q181" s="1065">
        <f t="shared" si="24"/>
        <v>0</v>
      </c>
      <c r="R181" s="2519" t="s">
        <v>874</v>
      </c>
      <c r="S181" s="2520" t="s">
        <v>875</v>
      </c>
      <c r="T181" s="2519">
        <v>414</v>
      </c>
      <c r="U181" s="2519" t="s">
        <v>876</v>
      </c>
      <c r="V181" s="2452" t="s">
        <v>877</v>
      </c>
    </row>
    <row r="182" spans="1:23" ht="33" customHeight="1">
      <c r="A182" s="1144" t="s">
        <v>935</v>
      </c>
      <c r="B182" s="900" t="s">
        <v>691</v>
      </c>
      <c r="C182" s="874">
        <f t="shared" si="17"/>
        <v>49000</v>
      </c>
      <c r="D182" s="879">
        <f>49000*0.9396914446</f>
        <v>46044.9</v>
      </c>
      <c r="E182" s="879">
        <f>49000*(1-0.9396914446)</f>
        <v>2955.1</v>
      </c>
      <c r="F182" s="874">
        <f t="shared" si="18"/>
        <v>49000</v>
      </c>
      <c r="G182" s="879">
        <f>49000*0.9396914446</f>
        <v>46044.9</v>
      </c>
      <c r="H182" s="879">
        <f>49000*(1-0.9396914446)</f>
        <v>2955.1</v>
      </c>
      <c r="I182" s="2451"/>
      <c r="J182" s="2441"/>
      <c r="K182" s="2441"/>
      <c r="L182" s="2448"/>
      <c r="M182" s="2417"/>
      <c r="N182" s="2417"/>
      <c r="O182" s="1065">
        <f t="shared" si="24"/>
        <v>0</v>
      </c>
      <c r="P182" s="1065">
        <f t="shared" si="24"/>
        <v>0</v>
      </c>
      <c r="Q182" s="1065">
        <f t="shared" si="24"/>
        <v>0</v>
      </c>
      <c r="R182" s="2519"/>
      <c r="S182" s="2520"/>
      <c r="T182" s="2519"/>
      <c r="U182" s="2519"/>
      <c r="V182" s="2452"/>
    </row>
    <row r="183" spans="1:23" ht="52.5" hidden="1">
      <c r="A183" s="895"/>
      <c r="B183" s="955" t="s">
        <v>840</v>
      </c>
      <c r="C183" s="874">
        <f t="shared" si="17"/>
        <v>0</v>
      </c>
      <c r="D183" s="1085">
        <v>0</v>
      </c>
      <c r="E183" s="1085"/>
      <c r="F183" s="874">
        <f t="shared" si="18"/>
        <v>0</v>
      </c>
      <c r="G183" s="1085"/>
      <c r="H183" s="1085"/>
      <c r="I183" s="874">
        <f t="shared" si="19"/>
        <v>0</v>
      </c>
      <c r="J183" s="1085"/>
      <c r="K183" s="1085"/>
      <c r="L183" s="876">
        <f>IF(I183=0,0,I183/F183*100)</f>
        <v>0</v>
      </c>
      <c r="M183" s="877">
        <f t="shared" ref="M183:N202" si="25">IF(J183=0,0,J183/G183*100)</f>
        <v>0</v>
      </c>
      <c r="N183" s="877">
        <f t="shared" si="25"/>
        <v>0</v>
      </c>
      <c r="O183" s="1065">
        <f>C183-F183</f>
        <v>0</v>
      </c>
      <c r="P183" s="1065">
        <f t="shared" si="24"/>
        <v>0</v>
      </c>
      <c r="Q183" s="1065">
        <f t="shared" si="24"/>
        <v>0</v>
      </c>
      <c r="R183" s="1148"/>
      <c r="S183" s="1149"/>
      <c r="T183" s="1148"/>
      <c r="U183" s="1148"/>
    </row>
    <row r="184" spans="1:23" ht="52.5">
      <c r="A184" s="1144" t="s">
        <v>1026</v>
      </c>
      <c r="B184" s="955" t="s">
        <v>767</v>
      </c>
      <c r="C184" s="874">
        <f t="shared" si="17"/>
        <v>5777.1</v>
      </c>
      <c r="D184" s="1085">
        <v>0</v>
      </c>
      <c r="E184" s="1085">
        <v>5777.1</v>
      </c>
      <c r="F184" s="874">
        <f t="shared" si="18"/>
        <v>5777.1</v>
      </c>
      <c r="G184" s="1085">
        <v>0</v>
      </c>
      <c r="H184" s="1085">
        <v>5777.1</v>
      </c>
      <c r="I184" s="874">
        <f t="shared" si="19"/>
        <v>0</v>
      </c>
      <c r="J184" s="1085">
        <v>0</v>
      </c>
      <c r="K184" s="1085">
        <v>0</v>
      </c>
      <c r="L184" s="876">
        <f>IF(I184=0,0,I184/F184*100)</f>
        <v>0</v>
      </c>
      <c r="M184" s="877">
        <f>IF(J184=0,0,J184/G184*100)</f>
        <v>0</v>
      </c>
      <c r="N184" s="877">
        <f>IF(K184=0,0,K184/H184*100)</f>
        <v>0</v>
      </c>
      <c r="O184" s="1065">
        <f>C184-F184</f>
        <v>0</v>
      </c>
      <c r="P184" s="1065">
        <f t="shared" si="24"/>
        <v>0</v>
      </c>
      <c r="Q184" s="1065">
        <f t="shared" si="24"/>
        <v>0</v>
      </c>
      <c r="R184" s="1148" t="s">
        <v>872</v>
      </c>
      <c r="S184" s="1149">
        <v>1130490420</v>
      </c>
      <c r="T184" s="1148">
        <v>414</v>
      </c>
      <c r="U184" s="1148">
        <v>14007</v>
      </c>
    </row>
    <row r="185" spans="1:23" ht="26.25">
      <c r="A185" s="1144" t="s">
        <v>1027</v>
      </c>
      <c r="B185" s="955" t="s">
        <v>763</v>
      </c>
      <c r="C185" s="874">
        <f t="shared" si="17"/>
        <v>32800</v>
      </c>
      <c r="D185" s="1085">
        <v>30832</v>
      </c>
      <c r="E185" s="1085">
        <v>1968</v>
      </c>
      <c r="F185" s="874">
        <f t="shared" si="18"/>
        <v>32800</v>
      </c>
      <c r="G185" s="1085">
        <v>30832</v>
      </c>
      <c r="H185" s="1085">
        <v>1968</v>
      </c>
      <c r="I185" s="2453">
        <f>SUM(J185:K187)</f>
        <v>0</v>
      </c>
      <c r="J185" s="2420"/>
      <c r="K185" s="2420"/>
      <c r="L185" s="2446">
        <f>IF(I185=0,0,I185/F185:F187*100)</f>
        <v>0</v>
      </c>
      <c r="M185" s="2415">
        <f>IF(J185=0,0,J185/G185:G187*100)</f>
        <v>0</v>
      </c>
      <c r="N185" s="2415">
        <f>IF(K185=0,0,K185/H185:H187*100)</f>
        <v>0</v>
      </c>
      <c r="O185" s="1065">
        <f t="shared" si="24"/>
        <v>0</v>
      </c>
      <c r="P185" s="1065">
        <f t="shared" si="24"/>
        <v>0</v>
      </c>
      <c r="Q185" s="1065">
        <f t="shared" si="24"/>
        <v>0</v>
      </c>
      <c r="R185" s="2519" t="s">
        <v>872</v>
      </c>
      <c r="S185" s="2520" t="s">
        <v>878</v>
      </c>
      <c r="T185" s="2519">
        <v>414</v>
      </c>
      <c r="U185" s="2519" t="s">
        <v>879</v>
      </c>
      <c r="V185" s="2449" t="s">
        <v>877</v>
      </c>
    </row>
    <row r="186" spans="1:23" ht="26.25">
      <c r="A186" s="895">
        <v>118</v>
      </c>
      <c r="B186" s="955" t="s">
        <v>765</v>
      </c>
      <c r="C186" s="874">
        <f t="shared" si="17"/>
        <v>1200</v>
      </c>
      <c r="D186" s="1085">
        <v>1128</v>
      </c>
      <c r="E186" s="1085">
        <v>72</v>
      </c>
      <c r="F186" s="874">
        <f t="shared" si="18"/>
        <v>1200</v>
      </c>
      <c r="G186" s="1085">
        <v>1128</v>
      </c>
      <c r="H186" s="1085">
        <v>72</v>
      </c>
      <c r="I186" s="2454"/>
      <c r="J186" s="2421"/>
      <c r="K186" s="2421"/>
      <c r="L186" s="2447"/>
      <c r="M186" s="2416"/>
      <c r="N186" s="2416"/>
      <c r="O186" s="1065">
        <f t="shared" si="24"/>
        <v>0</v>
      </c>
      <c r="P186" s="1065">
        <f t="shared" si="24"/>
        <v>0</v>
      </c>
      <c r="Q186" s="1065">
        <f t="shared" si="24"/>
        <v>0</v>
      </c>
      <c r="R186" s="2519"/>
      <c r="S186" s="2520"/>
      <c r="T186" s="2519"/>
      <c r="U186" s="2519"/>
      <c r="V186" s="2449"/>
    </row>
    <row r="187" spans="1:23" ht="26.25">
      <c r="A187" s="895">
        <v>119</v>
      </c>
      <c r="B187" s="955" t="s">
        <v>766</v>
      </c>
      <c r="C187" s="874">
        <f t="shared" si="17"/>
        <v>1500</v>
      </c>
      <c r="D187" s="1085">
        <v>1410</v>
      </c>
      <c r="E187" s="1085">
        <v>90</v>
      </c>
      <c r="F187" s="874">
        <f t="shared" si="18"/>
        <v>1500</v>
      </c>
      <c r="G187" s="1085">
        <v>1410</v>
      </c>
      <c r="H187" s="1085">
        <v>90</v>
      </c>
      <c r="I187" s="2455"/>
      <c r="J187" s="2422"/>
      <c r="K187" s="2422"/>
      <c r="L187" s="2448"/>
      <c r="M187" s="2417"/>
      <c r="N187" s="2417"/>
      <c r="O187" s="1065">
        <f t="shared" si="24"/>
        <v>0</v>
      </c>
      <c r="P187" s="1065">
        <f t="shared" si="24"/>
        <v>0</v>
      </c>
      <c r="Q187" s="1065">
        <f t="shared" si="24"/>
        <v>0</v>
      </c>
      <c r="R187" s="2519"/>
      <c r="S187" s="2520"/>
      <c r="T187" s="2519"/>
      <c r="U187" s="2519"/>
      <c r="V187" s="2449"/>
    </row>
    <row r="188" spans="1:23" ht="52.5" hidden="1">
      <c r="A188" s="945"/>
      <c r="B188" s="937" t="s">
        <v>798</v>
      </c>
      <c r="C188" s="874">
        <f t="shared" si="17"/>
        <v>0</v>
      </c>
      <c r="D188" s="1085">
        <v>0</v>
      </c>
      <c r="E188" s="1085"/>
      <c r="F188" s="874">
        <f t="shared" si="18"/>
        <v>0</v>
      </c>
      <c r="G188" s="1085"/>
      <c r="H188" s="1085"/>
      <c r="I188" s="874">
        <f t="shared" ref="I188:I216" si="26">SUM(J188:K188)</f>
        <v>0</v>
      </c>
      <c r="J188" s="1085"/>
      <c r="K188" s="1085"/>
      <c r="L188" s="876">
        <f>IF(I188=0,0,I188/F188*100)</f>
        <v>0</v>
      </c>
      <c r="M188" s="877">
        <f>IF(J188=0,0,J188/G188*100)</f>
        <v>0</v>
      </c>
      <c r="N188" s="877">
        <f>IF(K188=0,0,K188/H188*100)</f>
        <v>0</v>
      </c>
      <c r="O188" s="1065">
        <f t="shared" si="24"/>
        <v>0</v>
      </c>
      <c r="P188" s="1065">
        <f t="shared" si="24"/>
        <v>0</v>
      </c>
      <c r="Q188" s="1065">
        <f t="shared" si="24"/>
        <v>0</v>
      </c>
      <c r="R188" s="1148"/>
      <c r="S188" s="1149"/>
      <c r="T188" s="1148"/>
      <c r="U188" s="1148"/>
    </row>
    <row r="189" spans="1:23" ht="60" customHeight="1">
      <c r="A189" s="1144" t="s">
        <v>104</v>
      </c>
      <c r="B189" s="900" t="s">
        <v>463</v>
      </c>
      <c r="C189" s="874">
        <f t="shared" si="17"/>
        <v>19842.5</v>
      </c>
      <c r="D189" s="879">
        <v>18651.8</v>
      </c>
      <c r="E189" s="879">
        <v>1190.7</v>
      </c>
      <c r="F189" s="874">
        <f t="shared" si="18"/>
        <v>19842.5</v>
      </c>
      <c r="G189" s="879">
        <v>18651.8</v>
      </c>
      <c r="H189" s="879">
        <v>1190.7</v>
      </c>
      <c r="I189" s="874">
        <f t="shared" si="26"/>
        <v>30</v>
      </c>
      <c r="J189" s="879">
        <v>28.2</v>
      </c>
      <c r="K189" s="879">
        <v>1.8</v>
      </c>
      <c r="L189" s="876">
        <f t="shared" ref="L189:N220" si="27">IF(I189=0,0,I189/F189*100)</f>
        <v>0.2</v>
      </c>
      <c r="M189" s="877">
        <f t="shared" si="25"/>
        <v>0.2</v>
      </c>
      <c r="N189" s="877">
        <f t="shared" si="25"/>
        <v>0.2</v>
      </c>
      <c r="O189" s="1065">
        <f t="shared" si="24"/>
        <v>0</v>
      </c>
      <c r="P189" s="1065">
        <f t="shared" si="24"/>
        <v>0</v>
      </c>
      <c r="Q189" s="1065">
        <f t="shared" si="24"/>
        <v>0</v>
      </c>
      <c r="R189" s="1148" t="s">
        <v>923</v>
      </c>
      <c r="S189" s="1149" t="s">
        <v>924</v>
      </c>
      <c r="T189" s="1148">
        <v>414</v>
      </c>
      <c r="U189" s="1148" t="s">
        <v>922</v>
      </c>
    </row>
    <row r="190" spans="1:23" ht="52.5">
      <c r="A190" s="1144" t="s">
        <v>1065</v>
      </c>
      <c r="B190" s="900" t="s">
        <v>592</v>
      </c>
      <c r="C190" s="874">
        <f t="shared" si="17"/>
        <v>12605.2</v>
      </c>
      <c r="D190" s="879">
        <v>11848.8</v>
      </c>
      <c r="E190" s="879">
        <v>756.4</v>
      </c>
      <c r="F190" s="874">
        <f t="shared" si="18"/>
        <v>12605.2</v>
      </c>
      <c r="G190" s="879">
        <v>11848.8</v>
      </c>
      <c r="H190" s="879">
        <v>756.4</v>
      </c>
      <c r="I190" s="874">
        <f t="shared" si="26"/>
        <v>0</v>
      </c>
      <c r="J190" s="879">
        <v>0</v>
      </c>
      <c r="K190" s="879">
        <v>0</v>
      </c>
      <c r="L190" s="876">
        <f t="shared" si="27"/>
        <v>0</v>
      </c>
      <c r="M190" s="877">
        <f t="shared" si="25"/>
        <v>0</v>
      </c>
      <c r="N190" s="877">
        <f t="shared" si="25"/>
        <v>0</v>
      </c>
      <c r="O190" s="1065">
        <f t="shared" si="24"/>
        <v>0</v>
      </c>
      <c r="P190" s="1065">
        <f t="shared" si="24"/>
        <v>0</v>
      </c>
      <c r="Q190" s="1065">
        <f t="shared" si="24"/>
        <v>0</v>
      </c>
      <c r="R190" s="1148" t="s">
        <v>923</v>
      </c>
      <c r="S190" s="1149" t="s">
        <v>925</v>
      </c>
      <c r="T190" s="1148">
        <v>414</v>
      </c>
      <c r="U190" s="1148" t="s">
        <v>922</v>
      </c>
    </row>
    <row r="191" spans="1:23" ht="52.5">
      <c r="A191" s="1144" t="s">
        <v>855</v>
      </c>
      <c r="B191" s="900" t="s">
        <v>776</v>
      </c>
      <c r="C191" s="874">
        <f t="shared" si="17"/>
        <v>29452.3</v>
      </c>
      <c r="D191" s="879">
        <v>27685.1</v>
      </c>
      <c r="E191" s="879">
        <v>1767.2</v>
      </c>
      <c r="F191" s="874">
        <f t="shared" si="18"/>
        <v>29452.3</v>
      </c>
      <c r="G191" s="879">
        <v>27685.1</v>
      </c>
      <c r="H191" s="879">
        <v>1767.2</v>
      </c>
      <c r="I191" s="874">
        <f t="shared" si="26"/>
        <v>0</v>
      </c>
      <c r="J191" s="879">
        <v>0</v>
      </c>
      <c r="K191" s="879">
        <v>0</v>
      </c>
      <c r="L191" s="876">
        <f t="shared" si="27"/>
        <v>0</v>
      </c>
      <c r="M191" s="877">
        <f t="shared" si="25"/>
        <v>0</v>
      </c>
      <c r="N191" s="877">
        <f t="shared" si="25"/>
        <v>0</v>
      </c>
      <c r="O191" s="1065">
        <f t="shared" si="24"/>
        <v>0</v>
      </c>
      <c r="P191" s="1065">
        <f t="shared" si="24"/>
        <v>0</v>
      </c>
      <c r="Q191" s="1065">
        <f t="shared" si="24"/>
        <v>0</v>
      </c>
      <c r="R191" s="1148" t="s">
        <v>920</v>
      </c>
      <c r="S191" s="1149" t="s">
        <v>921</v>
      </c>
      <c r="T191" s="1148">
        <v>414</v>
      </c>
      <c r="U191" s="1148" t="s">
        <v>922</v>
      </c>
    </row>
    <row r="192" spans="1:23" ht="52.5" hidden="1">
      <c r="A192" s="945"/>
      <c r="B192" s="937" t="s">
        <v>799</v>
      </c>
      <c r="C192" s="874">
        <f t="shared" si="17"/>
        <v>0</v>
      </c>
      <c r="D192" s="1085">
        <v>0</v>
      </c>
      <c r="E192" s="1085"/>
      <c r="F192" s="874">
        <f t="shared" si="18"/>
        <v>0</v>
      </c>
      <c r="G192" s="1085"/>
      <c r="H192" s="1085"/>
      <c r="I192" s="874">
        <f t="shared" si="26"/>
        <v>0</v>
      </c>
      <c r="J192" s="1085"/>
      <c r="K192" s="1085"/>
      <c r="L192" s="876">
        <f t="shared" si="27"/>
        <v>0</v>
      </c>
      <c r="M192" s="877">
        <f t="shared" si="25"/>
        <v>0</v>
      </c>
      <c r="N192" s="877">
        <f t="shared" si="25"/>
        <v>0</v>
      </c>
      <c r="O192" s="1065">
        <f t="shared" ref="O192:Q207" si="28">C192-F192</f>
        <v>0</v>
      </c>
      <c r="P192" s="1065">
        <f t="shared" si="28"/>
        <v>0</v>
      </c>
      <c r="Q192" s="1065">
        <f t="shared" si="28"/>
        <v>0</v>
      </c>
      <c r="R192" s="1148"/>
      <c r="S192" s="1149"/>
      <c r="T192" s="1148"/>
      <c r="U192" s="1148"/>
    </row>
    <row r="193" spans="1:23" ht="81.75" customHeight="1">
      <c r="A193" s="2442" t="s">
        <v>856</v>
      </c>
      <c r="B193" s="901" t="s">
        <v>638</v>
      </c>
      <c r="C193" s="874">
        <f t="shared" ref="C193:C216" si="29">SUM(D193:E193)</f>
        <v>15520</v>
      </c>
      <c r="D193" s="879">
        <v>0</v>
      </c>
      <c r="E193" s="879">
        <v>15520</v>
      </c>
      <c r="F193" s="874">
        <f t="shared" ref="F193:F216" si="30">SUM(G193:H193)</f>
        <v>15520</v>
      </c>
      <c r="G193" s="879">
        <v>0</v>
      </c>
      <c r="H193" s="879">
        <v>15520</v>
      </c>
      <c r="I193" s="874">
        <f t="shared" si="26"/>
        <v>0</v>
      </c>
      <c r="J193" s="879">
        <v>0</v>
      </c>
      <c r="K193" s="879">
        <v>0</v>
      </c>
      <c r="L193" s="876">
        <f t="shared" si="27"/>
        <v>0</v>
      </c>
      <c r="M193" s="877">
        <f t="shared" si="25"/>
        <v>0</v>
      </c>
      <c r="N193" s="877">
        <f t="shared" si="25"/>
        <v>0</v>
      </c>
      <c r="O193" s="1065">
        <f t="shared" si="28"/>
        <v>0</v>
      </c>
      <c r="P193" s="1065">
        <f t="shared" si="28"/>
        <v>0</v>
      </c>
      <c r="Q193" s="1065">
        <f t="shared" si="28"/>
        <v>0</v>
      </c>
      <c r="R193" s="1148" t="s">
        <v>928</v>
      </c>
      <c r="S193" s="1149" t="s">
        <v>929</v>
      </c>
      <c r="T193" s="1148">
        <v>414</v>
      </c>
      <c r="U193" s="1148">
        <v>14003</v>
      </c>
    </row>
    <row r="194" spans="1:23" ht="52.5">
      <c r="A194" s="2442"/>
      <c r="B194" s="990" t="s">
        <v>694</v>
      </c>
      <c r="C194" s="874">
        <f t="shared" si="29"/>
        <v>251200</v>
      </c>
      <c r="D194" s="879">
        <v>236128</v>
      </c>
      <c r="E194" s="879">
        <v>15072</v>
      </c>
      <c r="F194" s="874">
        <f t="shared" si="30"/>
        <v>251200</v>
      </c>
      <c r="G194" s="879">
        <v>236128</v>
      </c>
      <c r="H194" s="879">
        <v>15072</v>
      </c>
      <c r="I194" s="874">
        <f t="shared" si="26"/>
        <v>0</v>
      </c>
      <c r="J194" s="879">
        <v>0</v>
      </c>
      <c r="K194" s="879">
        <v>0</v>
      </c>
      <c r="L194" s="876">
        <f t="shared" si="27"/>
        <v>0</v>
      </c>
      <c r="M194" s="877">
        <f>IF(J194=0,0,J194/G194*100)</f>
        <v>0</v>
      </c>
      <c r="N194" s="877">
        <f>IF(K194=0,0,K194/H194*100)</f>
        <v>0</v>
      </c>
      <c r="O194" s="1065">
        <f t="shared" si="28"/>
        <v>0</v>
      </c>
      <c r="P194" s="1065">
        <f t="shared" si="28"/>
        <v>0</v>
      </c>
      <c r="Q194" s="1065">
        <f t="shared" si="28"/>
        <v>0</v>
      </c>
      <c r="R194" s="1148" t="s">
        <v>928</v>
      </c>
      <c r="S194" s="1149" t="s">
        <v>931</v>
      </c>
      <c r="T194" s="1148">
        <v>414</v>
      </c>
      <c r="U194" s="1148" t="s">
        <v>930</v>
      </c>
    </row>
    <row r="195" spans="1:23" ht="89.25" customHeight="1">
      <c r="A195" s="2442" t="s">
        <v>857</v>
      </c>
      <c r="B195" s="900" t="s">
        <v>646</v>
      </c>
      <c r="C195" s="874">
        <f t="shared" si="29"/>
        <v>7500</v>
      </c>
      <c r="D195" s="1085">
        <v>0</v>
      </c>
      <c r="E195" s="1085">
        <v>7500</v>
      </c>
      <c r="F195" s="874">
        <f t="shared" si="30"/>
        <v>7500</v>
      </c>
      <c r="G195" s="1085">
        <v>0</v>
      </c>
      <c r="H195" s="1085">
        <v>7500</v>
      </c>
      <c r="I195" s="874">
        <f t="shared" si="26"/>
        <v>0</v>
      </c>
      <c r="J195" s="1085">
        <v>0</v>
      </c>
      <c r="K195" s="1085">
        <v>0</v>
      </c>
      <c r="L195" s="876">
        <f t="shared" si="27"/>
        <v>0</v>
      </c>
      <c r="M195" s="877">
        <f>IF(J195=0,0,J195/G195*100)</f>
        <v>0</v>
      </c>
      <c r="N195" s="877">
        <f>IF(K195=0,0,K195/H195*100)</f>
        <v>0</v>
      </c>
      <c r="O195" s="1065">
        <f t="shared" si="28"/>
        <v>0</v>
      </c>
      <c r="P195" s="1065">
        <f t="shared" si="28"/>
        <v>0</v>
      </c>
      <c r="Q195" s="1065">
        <f t="shared" si="28"/>
        <v>0</v>
      </c>
      <c r="R195" s="1148" t="s">
        <v>928</v>
      </c>
      <c r="S195" s="1149" t="s">
        <v>929</v>
      </c>
      <c r="T195" s="1148">
        <v>414</v>
      </c>
      <c r="U195" s="1148">
        <v>14036</v>
      </c>
    </row>
    <row r="196" spans="1:23" ht="52.5">
      <c r="A196" s="2442"/>
      <c r="B196" s="990" t="s">
        <v>695</v>
      </c>
      <c r="C196" s="874">
        <f t="shared" si="29"/>
        <v>142468</v>
      </c>
      <c r="D196" s="879">
        <v>133919.9</v>
      </c>
      <c r="E196" s="879">
        <v>8548.1</v>
      </c>
      <c r="F196" s="874">
        <f t="shared" si="30"/>
        <v>142468</v>
      </c>
      <c r="G196" s="879">
        <v>133919.9</v>
      </c>
      <c r="H196" s="879">
        <v>8548.1</v>
      </c>
      <c r="I196" s="874">
        <f t="shared" si="26"/>
        <v>0</v>
      </c>
      <c r="J196" s="879">
        <v>0</v>
      </c>
      <c r="K196" s="879">
        <v>0</v>
      </c>
      <c r="L196" s="876">
        <f t="shared" si="27"/>
        <v>0</v>
      </c>
      <c r="M196" s="877">
        <f t="shared" si="25"/>
        <v>0</v>
      </c>
      <c r="N196" s="877">
        <f t="shared" si="25"/>
        <v>0</v>
      </c>
      <c r="O196" s="1065">
        <f t="shared" si="28"/>
        <v>0</v>
      </c>
      <c r="P196" s="1065">
        <f t="shared" si="28"/>
        <v>0</v>
      </c>
      <c r="Q196" s="1065">
        <f t="shared" si="28"/>
        <v>0</v>
      </c>
      <c r="R196" s="1148" t="s">
        <v>928</v>
      </c>
      <c r="S196" s="1149" t="s">
        <v>1030</v>
      </c>
      <c r="T196" s="1148">
        <v>414</v>
      </c>
      <c r="U196" s="1148" t="s">
        <v>930</v>
      </c>
    </row>
    <row r="197" spans="1:23" ht="52.5" hidden="1">
      <c r="A197" s="945"/>
      <c r="B197" s="937" t="s">
        <v>800</v>
      </c>
      <c r="C197" s="881">
        <f t="shared" si="29"/>
        <v>0</v>
      </c>
      <c r="D197" s="1068">
        <v>0</v>
      </c>
      <c r="E197" s="1085"/>
      <c r="F197" s="874">
        <f t="shared" si="30"/>
        <v>0</v>
      </c>
      <c r="G197" s="1085"/>
      <c r="H197" s="1085"/>
      <c r="I197" s="874">
        <f t="shared" si="26"/>
        <v>0</v>
      </c>
      <c r="J197" s="1085"/>
      <c r="K197" s="1085"/>
      <c r="L197" s="876">
        <f t="shared" si="27"/>
        <v>0</v>
      </c>
      <c r="M197" s="877">
        <f>IF(J197=0,0,J197/G197*100)</f>
        <v>0</v>
      </c>
      <c r="N197" s="877">
        <f>IF(K197=0,0,K197/H197*100)</f>
        <v>0</v>
      </c>
      <c r="O197" s="1065">
        <f t="shared" si="28"/>
        <v>0</v>
      </c>
      <c r="P197" s="1065">
        <f t="shared" si="28"/>
        <v>0</v>
      </c>
      <c r="Q197" s="1065">
        <f t="shared" si="28"/>
        <v>0</v>
      </c>
      <c r="R197" s="1148"/>
      <c r="S197" s="1149"/>
      <c r="T197" s="1148"/>
      <c r="U197" s="1148"/>
    </row>
    <row r="198" spans="1:23" ht="87.75" customHeight="1">
      <c r="A198" s="2442" t="s">
        <v>858</v>
      </c>
      <c r="B198" s="1078" t="s">
        <v>642</v>
      </c>
      <c r="C198" s="874">
        <f t="shared" si="29"/>
        <v>6308.4</v>
      </c>
      <c r="D198" s="879">
        <v>0</v>
      </c>
      <c r="E198" s="879">
        <v>6308.4</v>
      </c>
      <c r="F198" s="874">
        <f t="shared" si="30"/>
        <v>6308.4</v>
      </c>
      <c r="G198" s="879">
        <v>0</v>
      </c>
      <c r="H198" s="879">
        <v>6308.4</v>
      </c>
      <c r="I198" s="874">
        <f t="shared" si="26"/>
        <v>0</v>
      </c>
      <c r="J198" s="879">
        <v>0</v>
      </c>
      <c r="K198" s="879">
        <v>0</v>
      </c>
      <c r="L198" s="876">
        <f t="shared" si="27"/>
        <v>0</v>
      </c>
      <c r="M198" s="877">
        <f>IF(J198=0,0,J198/G198*100)</f>
        <v>0</v>
      </c>
      <c r="N198" s="877">
        <f>IF(K198=0,0,K198/H198*100)</f>
        <v>0</v>
      </c>
      <c r="O198" s="1065">
        <f t="shared" si="28"/>
        <v>0</v>
      </c>
      <c r="P198" s="1065">
        <f t="shared" si="28"/>
        <v>0</v>
      </c>
      <c r="Q198" s="1065">
        <f t="shared" si="28"/>
        <v>0</v>
      </c>
      <c r="R198" s="1148" t="s">
        <v>945</v>
      </c>
      <c r="S198" s="1149" t="s">
        <v>946</v>
      </c>
      <c r="T198" s="1148">
        <v>414</v>
      </c>
      <c r="U198" s="1148">
        <v>14001</v>
      </c>
    </row>
    <row r="199" spans="1:23" ht="61.5" customHeight="1">
      <c r="A199" s="2442"/>
      <c r="B199" s="990" t="s">
        <v>698</v>
      </c>
      <c r="C199" s="874">
        <f t="shared" si="29"/>
        <v>96270.7</v>
      </c>
      <c r="D199" s="879">
        <v>90460.9</v>
      </c>
      <c r="E199" s="885">
        <v>5809.75</v>
      </c>
      <c r="F199" s="874">
        <f t="shared" si="30"/>
        <v>96270.7</v>
      </c>
      <c r="G199" s="879">
        <v>90460.9</v>
      </c>
      <c r="H199" s="885">
        <v>5809.75</v>
      </c>
      <c r="I199" s="874">
        <f t="shared" si="26"/>
        <v>0</v>
      </c>
      <c r="J199" s="879">
        <v>0</v>
      </c>
      <c r="K199" s="879">
        <v>0</v>
      </c>
      <c r="L199" s="876">
        <f t="shared" si="27"/>
        <v>0</v>
      </c>
      <c r="M199" s="877">
        <f t="shared" si="25"/>
        <v>0</v>
      </c>
      <c r="N199" s="877">
        <f t="shared" si="25"/>
        <v>0</v>
      </c>
      <c r="O199" s="1065">
        <f t="shared" si="28"/>
        <v>0</v>
      </c>
      <c r="P199" s="1065">
        <f t="shared" si="28"/>
        <v>0</v>
      </c>
      <c r="Q199" s="1065">
        <f t="shared" si="28"/>
        <v>0</v>
      </c>
      <c r="R199" s="1153" t="s">
        <v>936</v>
      </c>
      <c r="S199" s="1149" t="s">
        <v>940</v>
      </c>
      <c r="T199" s="1148">
        <v>414</v>
      </c>
      <c r="U199" s="1148" t="s">
        <v>939</v>
      </c>
    </row>
    <row r="200" spans="1:23" ht="65.25" customHeight="1">
      <c r="A200" s="1144" t="s">
        <v>859</v>
      </c>
      <c r="B200" s="990" t="s">
        <v>697</v>
      </c>
      <c r="C200" s="874">
        <f t="shared" si="29"/>
        <v>150000</v>
      </c>
      <c r="D200" s="879">
        <v>140955</v>
      </c>
      <c r="E200" s="879">
        <v>9045</v>
      </c>
      <c r="F200" s="874">
        <f t="shared" si="30"/>
        <v>150000</v>
      </c>
      <c r="G200" s="879">
        <v>140955</v>
      </c>
      <c r="H200" s="879">
        <v>9045</v>
      </c>
      <c r="I200" s="874">
        <f t="shared" si="26"/>
        <v>25173.1</v>
      </c>
      <c r="J200" s="879">
        <v>23654.799999999999</v>
      </c>
      <c r="K200" s="879">
        <v>1518.3</v>
      </c>
      <c r="L200" s="876">
        <f t="shared" si="27"/>
        <v>16.8</v>
      </c>
      <c r="M200" s="877">
        <f>IF(J200=0,0,J200/G200*100)</f>
        <v>16.8</v>
      </c>
      <c r="N200" s="877">
        <f>IF(K200=0,0,K200/H200*100)</f>
        <v>16.8</v>
      </c>
      <c r="O200" s="1065">
        <f t="shared" si="28"/>
        <v>0</v>
      </c>
      <c r="P200" s="1065">
        <f t="shared" si="28"/>
        <v>0</v>
      </c>
      <c r="Q200" s="1065">
        <f t="shared" si="28"/>
        <v>0</v>
      </c>
      <c r="R200" s="1153" t="s">
        <v>936</v>
      </c>
      <c r="S200" s="1149" t="s">
        <v>941</v>
      </c>
      <c r="T200" s="1148">
        <v>414</v>
      </c>
      <c r="U200" s="1148" t="s">
        <v>939</v>
      </c>
    </row>
    <row r="201" spans="1:23" ht="78.75">
      <c r="A201" s="1144" t="s">
        <v>917</v>
      </c>
      <c r="B201" s="990" t="s">
        <v>942</v>
      </c>
      <c r="C201" s="874">
        <f t="shared" si="29"/>
        <v>34500</v>
      </c>
      <c r="D201" s="879">
        <v>32419.7</v>
      </c>
      <c r="E201" s="879">
        <v>2080.3000000000002</v>
      </c>
      <c r="F201" s="874">
        <f t="shared" si="30"/>
        <v>34500</v>
      </c>
      <c r="G201" s="879">
        <v>32419.7</v>
      </c>
      <c r="H201" s="879">
        <v>2080.3000000000002</v>
      </c>
      <c r="I201" s="874">
        <f t="shared" si="26"/>
        <v>0</v>
      </c>
      <c r="J201" s="879">
        <v>0</v>
      </c>
      <c r="K201" s="879">
        <v>0</v>
      </c>
      <c r="L201" s="876">
        <f t="shared" si="27"/>
        <v>0</v>
      </c>
      <c r="M201" s="877">
        <f t="shared" si="25"/>
        <v>0</v>
      </c>
      <c r="N201" s="877">
        <f t="shared" si="25"/>
        <v>0</v>
      </c>
      <c r="O201" s="1065">
        <f t="shared" si="28"/>
        <v>0</v>
      </c>
      <c r="P201" s="1065">
        <f t="shared" si="28"/>
        <v>0</v>
      </c>
      <c r="Q201" s="1065">
        <f t="shared" si="28"/>
        <v>0</v>
      </c>
      <c r="R201" s="1148" t="s">
        <v>936</v>
      </c>
      <c r="S201" s="1149" t="s">
        <v>943</v>
      </c>
      <c r="T201" s="1148">
        <v>414</v>
      </c>
      <c r="U201" s="1148" t="s">
        <v>939</v>
      </c>
    </row>
    <row r="202" spans="1:23" ht="78.75">
      <c r="A202" s="1144" t="s">
        <v>918</v>
      </c>
      <c r="B202" s="901" t="s">
        <v>462</v>
      </c>
      <c r="C202" s="874">
        <f t="shared" si="29"/>
        <v>14429.4</v>
      </c>
      <c r="D202" s="879">
        <v>13560</v>
      </c>
      <c r="E202" s="879">
        <v>869.4</v>
      </c>
      <c r="F202" s="874">
        <f t="shared" si="30"/>
        <v>14429.4</v>
      </c>
      <c r="G202" s="879">
        <v>13560</v>
      </c>
      <c r="H202" s="879">
        <v>869.4</v>
      </c>
      <c r="I202" s="874">
        <f t="shared" si="26"/>
        <v>1014.3</v>
      </c>
      <c r="J202" s="879">
        <v>953.1</v>
      </c>
      <c r="K202" s="879">
        <v>61.2</v>
      </c>
      <c r="L202" s="876">
        <f t="shared" si="27"/>
        <v>7</v>
      </c>
      <c r="M202" s="877">
        <f t="shared" si="25"/>
        <v>7</v>
      </c>
      <c r="N202" s="877">
        <f t="shared" si="25"/>
        <v>7</v>
      </c>
      <c r="O202" s="1065">
        <f>C202-F202</f>
        <v>0</v>
      </c>
      <c r="P202" s="1065">
        <f t="shared" si="28"/>
        <v>0</v>
      </c>
      <c r="Q202" s="1065">
        <f t="shared" si="28"/>
        <v>0</v>
      </c>
      <c r="R202" s="1148" t="s">
        <v>936</v>
      </c>
      <c r="S202" s="1149" t="s">
        <v>938</v>
      </c>
      <c r="T202" s="1148">
        <v>414</v>
      </c>
      <c r="U202" s="1148" t="s">
        <v>939</v>
      </c>
    </row>
    <row r="203" spans="1:23" s="515" customFormat="1" ht="52.5">
      <c r="A203" s="2442" t="s">
        <v>1028</v>
      </c>
      <c r="B203" s="900" t="s">
        <v>700</v>
      </c>
      <c r="C203" s="874">
        <f t="shared" si="29"/>
        <v>18000</v>
      </c>
      <c r="D203" s="879">
        <v>0</v>
      </c>
      <c r="E203" s="879">
        <v>18000</v>
      </c>
      <c r="F203" s="874">
        <f t="shared" si="30"/>
        <v>18000</v>
      </c>
      <c r="G203" s="879">
        <v>0</v>
      </c>
      <c r="H203" s="879">
        <v>18000</v>
      </c>
      <c r="I203" s="874">
        <f t="shared" si="26"/>
        <v>0</v>
      </c>
      <c r="J203" s="879">
        <v>0</v>
      </c>
      <c r="K203" s="879">
        <v>0</v>
      </c>
      <c r="L203" s="876">
        <f t="shared" si="27"/>
        <v>0</v>
      </c>
      <c r="M203" s="877">
        <f t="shared" si="27"/>
        <v>0</v>
      </c>
      <c r="N203" s="877">
        <f t="shared" si="27"/>
        <v>0</v>
      </c>
      <c r="O203" s="1065">
        <f>C203-F203</f>
        <v>0</v>
      </c>
      <c r="P203" s="1065">
        <f t="shared" si="28"/>
        <v>0</v>
      </c>
      <c r="Q203" s="1065">
        <f t="shared" si="28"/>
        <v>0</v>
      </c>
      <c r="R203" s="1148" t="s">
        <v>949</v>
      </c>
      <c r="S203" s="1149" t="s">
        <v>950</v>
      </c>
      <c r="T203" s="1148">
        <v>414</v>
      </c>
      <c r="U203" s="1148">
        <v>14052</v>
      </c>
      <c r="V203" s="1129"/>
      <c r="W203" s="783"/>
    </row>
    <row r="204" spans="1:23" s="515" customFormat="1" ht="52.5">
      <c r="A204" s="2442"/>
      <c r="B204" s="900" t="s">
        <v>699</v>
      </c>
      <c r="C204" s="874">
        <f t="shared" si="29"/>
        <v>151300</v>
      </c>
      <c r="D204" s="879">
        <v>142200</v>
      </c>
      <c r="E204" s="879">
        <v>9100</v>
      </c>
      <c r="F204" s="874">
        <f t="shared" si="30"/>
        <v>151300</v>
      </c>
      <c r="G204" s="879">
        <v>142200</v>
      </c>
      <c r="H204" s="879">
        <v>9100</v>
      </c>
      <c r="I204" s="874">
        <f t="shared" si="26"/>
        <v>0</v>
      </c>
      <c r="J204" s="879">
        <v>0</v>
      </c>
      <c r="K204" s="879">
        <v>0</v>
      </c>
      <c r="L204" s="876">
        <f t="shared" si="27"/>
        <v>0</v>
      </c>
      <c r="M204" s="877">
        <f>IF(J204=0,0,J204/G204*100)</f>
        <v>0</v>
      </c>
      <c r="N204" s="877">
        <f>IF(K204=0,0,K204/H204*100)</f>
        <v>0</v>
      </c>
      <c r="O204" s="1065">
        <f>C204-F204</f>
        <v>0</v>
      </c>
      <c r="P204" s="1065">
        <f t="shared" si="28"/>
        <v>0</v>
      </c>
      <c r="Q204" s="1065">
        <f t="shared" si="28"/>
        <v>0</v>
      </c>
      <c r="R204" s="1148" t="s">
        <v>949</v>
      </c>
      <c r="S204" s="1149" t="s">
        <v>952</v>
      </c>
      <c r="T204" s="1148">
        <v>414</v>
      </c>
      <c r="U204" s="1148" t="s">
        <v>953</v>
      </c>
      <c r="V204" s="1129"/>
      <c r="W204" s="783"/>
    </row>
    <row r="205" spans="1:23" ht="52.5">
      <c r="A205" s="1144" t="s">
        <v>1029</v>
      </c>
      <c r="B205" s="900" t="s">
        <v>461</v>
      </c>
      <c r="C205" s="874">
        <f t="shared" si="29"/>
        <v>26810</v>
      </c>
      <c r="D205" s="879">
        <v>25201.1</v>
      </c>
      <c r="E205" s="879">
        <v>1608.9</v>
      </c>
      <c r="F205" s="874">
        <f t="shared" si="30"/>
        <v>26810</v>
      </c>
      <c r="G205" s="879">
        <v>25201.1</v>
      </c>
      <c r="H205" s="879">
        <v>1608.9</v>
      </c>
      <c r="I205" s="874">
        <f t="shared" si="26"/>
        <v>158.5</v>
      </c>
      <c r="J205" s="879">
        <v>149</v>
      </c>
      <c r="K205" s="879">
        <v>9.5</v>
      </c>
      <c r="L205" s="876">
        <f t="shared" si="27"/>
        <v>0.6</v>
      </c>
      <c r="M205" s="877">
        <f t="shared" si="27"/>
        <v>0.6</v>
      </c>
      <c r="N205" s="877">
        <f t="shared" si="27"/>
        <v>0.6</v>
      </c>
      <c r="O205" s="1065">
        <f>C205-F205</f>
        <v>0</v>
      </c>
      <c r="P205" s="1065">
        <f t="shared" si="28"/>
        <v>0</v>
      </c>
      <c r="Q205" s="1065">
        <f t="shared" si="28"/>
        <v>0</v>
      </c>
      <c r="R205" s="1148" t="s">
        <v>954</v>
      </c>
      <c r="S205" s="1149" t="s">
        <v>957</v>
      </c>
      <c r="T205" s="1148">
        <v>414</v>
      </c>
      <c r="U205" s="1148" t="s">
        <v>958</v>
      </c>
    </row>
    <row r="206" spans="1:23" s="914" customFormat="1" ht="75" customHeight="1">
      <c r="A206" s="2401" t="s">
        <v>456</v>
      </c>
      <c r="B206" s="2401"/>
      <c r="C206" s="917">
        <f t="shared" si="29"/>
        <v>1216852.3999999999</v>
      </c>
      <c r="D206" s="917">
        <f>SUM(D207,D216)</f>
        <v>909500</v>
      </c>
      <c r="E206" s="917">
        <f>SUM(E207,E216)</f>
        <v>307352.40000000002</v>
      </c>
      <c r="F206" s="917">
        <f t="shared" si="30"/>
        <v>1214960.1000000001</v>
      </c>
      <c r="G206" s="917">
        <f>SUM(G207,G216)</f>
        <v>907801.2</v>
      </c>
      <c r="H206" s="917">
        <f>SUM(H207,H216)</f>
        <v>307158.90000000002</v>
      </c>
      <c r="I206" s="917">
        <f t="shared" si="26"/>
        <v>24199.599999999999</v>
      </c>
      <c r="J206" s="917">
        <f>SUM(J207,J216)</f>
        <v>9555.7999999999993</v>
      </c>
      <c r="K206" s="917">
        <f>SUM(K207,K216)</f>
        <v>14643.8</v>
      </c>
      <c r="L206" s="918">
        <f t="shared" si="27"/>
        <v>2</v>
      </c>
      <c r="M206" s="920">
        <f t="shared" si="27"/>
        <v>1.1000000000000001</v>
      </c>
      <c r="N206" s="920">
        <f t="shared" si="27"/>
        <v>4.8</v>
      </c>
      <c r="O206" s="1065">
        <f t="shared" ref="O206:Q238" si="31">C206-F206</f>
        <v>1892.3</v>
      </c>
      <c r="P206" s="1065">
        <f t="shared" si="28"/>
        <v>1698.8</v>
      </c>
      <c r="Q206" s="1065">
        <f t="shared" si="28"/>
        <v>193.5</v>
      </c>
      <c r="R206" s="2504" t="s">
        <v>1066</v>
      </c>
      <c r="S206" s="2505"/>
      <c r="T206" s="2505"/>
      <c r="U206" s="2506"/>
      <c r="V206" s="1098"/>
      <c r="W206" s="913"/>
    </row>
    <row r="207" spans="1:23" s="914" customFormat="1" ht="121.5" customHeight="1">
      <c r="A207" s="944" t="s">
        <v>6</v>
      </c>
      <c r="B207" s="925" t="s">
        <v>439</v>
      </c>
      <c r="C207" s="926">
        <f t="shared" si="29"/>
        <v>134186</v>
      </c>
      <c r="D207" s="926">
        <f>SUM(D208,D210,D212,D214)</f>
        <v>0</v>
      </c>
      <c r="E207" s="926">
        <f>SUM(E208,E210,E212,E214)</f>
        <v>134186</v>
      </c>
      <c r="F207" s="926">
        <f>SUM(G207:H207)</f>
        <v>134186</v>
      </c>
      <c r="G207" s="926">
        <f>SUM(G208,G210,G212,G214)</f>
        <v>0</v>
      </c>
      <c r="H207" s="926">
        <f>SUM(H208,H210,H212,H214)</f>
        <v>134186</v>
      </c>
      <c r="I207" s="926">
        <f t="shared" si="26"/>
        <v>0</v>
      </c>
      <c r="J207" s="926">
        <f>SUM(J208,J210,J212,J214)</f>
        <v>0</v>
      </c>
      <c r="K207" s="926">
        <f>SUM(K208,K210,K212,K214)</f>
        <v>0</v>
      </c>
      <c r="L207" s="927">
        <f t="shared" si="27"/>
        <v>0</v>
      </c>
      <c r="M207" s="928">
        <f t="shared" si="27"/>
        <v>0</v>
      </c>
      <c r="N207" s="928">
        <f t="shared" si="27"/>
        <v>0</v>
      </c>
      <c r="O207" s="1065">
        <f t="shared" si="31"/>
        <v>0</v>
      </c>
      <c r="P207" s="1065">
        <f t="shared" si="28"/>
        <v>0</v>
      </c>
      <c r="Q207" s="1065">
        <f t="shared" si="28"/>
        <v>0</v>
      </c>
      <c r="R207" s="2504" t="s">
        <v>1066</v>
      </c>
      <c r="S207" s="2505"/>
      <c r="T207" s="2505"/>
      <c r="U207" s="2506"/>
      <c r="V207" s="1098"/>
      <c r="W207" s="913"/>
    </row>
    <row r="208" spans="1:23" ht="26.25">
      <c r="A208" s="1144"/>
      <c r="B208" s="898" t="s">
        <v>283</v>
      </c>
      <c r="C208" s="874">
        <f t="shared" si="29"/>
        <v>127656</v>
      </c>
      <c r="D208" s="875">
        <f>SUM(D209)</f>
        <v>0</v>
      </c>
      <c r="E208" s="875">
        <f>SUM(E209)</f>
        <v>127656</v>
      </c>
      <c r="F208" s="874">
        <f t="shared" si="30"/>
        <v>127656</v>
      </c>
      <c r="G208" s="875">
        <f>SUM(G209)</f>
        <v>0</v>
      </c>
      <c r="H208" s="875">
        <f>SUM(H209)</f>
        <v>127656</v>
      </c>
      <c r="I208" s="874">
        <f t="shared" si="26"/>
        <v>0</v>
      </c>
      <c r="J208" s="875">
        <f>SUM(J209)</f>
        <v>0</v>
      </c>
      <c r="K208" s="875">
        <f>SUM(K209)</f>
        <v>0</v>
      </c>
      <c r="L208" s="876">
        <f t="shared" si="27"/>
        <v>0</v>
      </c>
      <c r="M208" s="877">
        <f t="shared" si="27"/>
        <v>0</v>
      </c>
      <c r="N208" s="877">
        <f t="shared" si="27"/>
        <v>0</v>
      </c>
      <c r="O208" s="1065">
        <f t="shared" si="31"/>
        <v>0</v>
      </c>
      <c r="P208" s="1065">
        <f t="shared" si="31"/>
        <v>0</v>
      </c>
      <c r="Q208" s="1065">
        <f t="shared" si="31"/>
        <v>0</v>
      </c>
      <c r="R208" s="2504" t="s">
        <v>1066</v>
      </c>
      <c r="S208" s="2505"/>
      <c r="T208" s="2505"/>
      <c r="U208" s="2506"/>
    </row>
    <row r="209" spans="1:23" ht="78.75">
      <c r="A209" s="1144" t="s">
        <v>538</v>
      </c>
      <c r="B209" s="1146" t="s">
        <v>1021</v>
      </c>
      <c r="C209" s="874">
        <f t="shared" si="29"/>
        <v>127656</v>
      </c>
      <c r="D209" s="1085">
        <v>0</v>
      </c>
      <c r="E209" s="1085">
        <v>127656</v>
      </c>
      <c r="F209" s="874">
        <f t="shared" si="30"/>
        <v>127656</v>
      </c>
      <c r="G209" s="1085">
        <v>0</v>
      </c>
      <c r="H209" s="1085">
        <v>127656</v>
      </c>
      <c r="I209" s="1083">
        <f t="shared" si="26"/>
        <v>0</v>
      </c>
      <c r="J209" s="1083">
        <v>0</v>
      </c>
      <c r="K209" s="1083">
        <v>0</v>
      </c>
      <c r="L209" s="877">
        <f t="shared" si="27"/>
        <v>0</v>
      </c>
      <c r="M209" s="877">
        <f t="shared" si="27"/>
        <v>0</v>
      </c>
      <c r="N209" s="877">
        <f t="shared" si="27"/>
        <v>0</v>
      </c>
      <c r="O209" s="1065"/>
      <c r="P209" s="1065"/>
      <c r="Q209" s="1065"/>
      <c r="R209" s="1148" t="s">
        <v>999</v>
      </c>
      <c r="S209" s="1149">
        <v>1110243180</v>
      </c>
      <c r="T209" s="1148">
        <v>522</v>
      </c>
      <c r="U209" s="1148" t="s">
        <v>1019</v>
      </c>
    </row>
    <row r="210" spans="1:23" ht="37.5" customHeight="1">
      <c r="A210" s="1144"/>
      <c r="B210" s="898" t="s">
        <v>457</v>
      </c>
      <c r="C210" s="874">
        <f t="shared" si="29"/>
        <v>1325</v>
      </c>
      <c r="D210" s="875">
        <f>SUM(D211)</f>
        <v>0</v>
      </c>
      <c r="E210" s="875">
        <f>SUM(E211)</f>
        <v>1325</v>
      </c>
      <c r="F210" s="874">
        <f t="shared" si="30"/>
        <v>1325</v>
      </c>
      <c r="G210" s="875">
        <f>SUM(G211)</f>
        <v>0</v>
      </c>
      <c r="H210" s="875">
        <f>SUM(H211)</f>
        <v>1325</v>
      </c>
      <c r="I210" s="874">
        <f t="shared" si="26"/>
        <v>0</v>
      </c>
      <c r="J210" s="875">
        <f>SUM(J211)</f>
        <v>0</v>
      </c>
      <c r="K210" s="875">
        <f>SUM(K211)</f>
        <v>0</v>
      </c>
      <c r="L210" s="882">
        <f t="shared" si="27"/>
        <v>0</v>
      </c>
      <c r="M210" s="875">
        <f t="shared" si="27"/>
        <v>0</v>
      </c>
      <c r="N210" s="875">
        <f t="shared" si="27"/>
        <v>0</v>
      </c>
      <c r="O210" s="1065">
        <f t="shared" ref="O210:Q214" si="32">C210-F210</f>
        <v>0</v>
      </c>
      <c r="P210" s="1065">
        <f t="shared" si="32"/>
        <v>0</v>
      </c>
      <c r="Q210" s="1065">
        <f t="shared" si="32"/>
        <v>0</v>
      </c>
      <c r="R210" s="2504" t="s">
        <v>1066</v>
      </c>
      <c r="S210" s="2505"/>
      <c r="T210" s="2505"/>
      <c r="U210" s="2506"/>
    </row>
    <row r="211" spans="1:23" ht="78.75">
      <c r="A211" s="1144" t="s">
        <v>539</v>
      </c>
      <c r="B211" s="1146" t="s">
        <v>1021</v>
      </c>
      <c r="C211" s="1083">
        <f t="shared" si="29"/>
        <v>1325</v>
      </c>
      <c r="D211" s="879">
        <v>0</v>
      </c>
      <c r="E211" s="879">
        <v>1325</v>
      </c>
      <c r="F211" s="1083">
        <f t="shared" si="30"/>
        <v>1325</v>
      </c>
      <c r="G211" s="879">
        <v>0</v>
      </c>
      <c r="H211" s="879">
        <v>1325</v>
      </c>
      <c r="I211" s="1083">
        <f t="shared" si="26"/>
        <v>0</v>
      </c>
      <c r="J211" s="879">
        <v>0</v>
      </c>
      <c r="K211" s="879">
        <v>0</v>
      </c>
      <c r="L211" s="877">
        <f t="shared" si="27"/>
        <v>0</v>
      </c>
      <c r="M211" s="877">
        <f t="shared" si="27"/>
        <v>0</v>
      </c>
      <c r="N211" s="877">
        <f t="shared" si="27"/>
        <v>0</v>
      </c>
      <c r="O211" s="1065">
        <f t="shared" si="32"/>
        <v>0</v>
      </c>
      <c r="P211" s="1065">
        <f t="shared" si="32"/>
        <v>0</v>
      </c>
      <c r="Q211" s="1065">
        <f t="shared" si="32"/>
        <v>0</v>
      </c>
      <c r="R211" s="1148" t="s">
        <v>999</v>
      </c>
      <c r="S211" s="1149">
        <v>1110243180</v>
      </c>
      <c r="T211" s="1148">
        <v>522</v>
      </c>
      <c r="U211" s="1148" t="s">
        <v>1019</v>
      </c>
    </row>
    <row r="212" spans="1:23" ht="34.5" customHeight="1">
      <c r="A212" s="991"/>
      <c r="B212" s="898" t="s">
        <v>68</v>
      </c>
      <c r="C212" s="874">
        <f t="shared" si="29"/>
        <v>671</v>
      </c>
      <c r="D212" s="875">
        <f>SUM(D213)</f>
        <v>0</v>
      </c>
      <c r="E212" s="875">
        <f>SUM(E213)</f>
        <v>671</v>
      </c>
      <c r="F212" s="874">
        <f t="shared" si="30"/>
        <v>671</v>
      </c>
      <c r="G212" s="875">
        <f>SUM(G213)</f>
        <v>0</v>
      </c>
      <c r="H212" s="875">
        <f>SUM(H213)</f>
        <v>671</v>
      </c>
      <c r="I212" s="874">
        <f t="shared" si="26"/>
        <v>0</v>
      </c>
      <c r="J212" s="875">
        <f>SUM(J213)</f>
        <v>0</v>
      </c>
      <c r="K212" s="875">
        <f>SUM(K213)</f>
        <v>0</v>
      </c>
      <c r="L212" s="876">
        <f t="shared" si="27"/>
        <v>0</v>
      </c>
      <c r="M212" s="877">
        <f t="shared" si="27"/>
        <v>0</v>
      </c>
      <c r="N212" s="877">
        <f t="shared" si="27"/>
        <v>0</v>
      </c>
      <c r="O212" s="1065">
        <f t="shared" si="32"/>
        <v>0</v>
      </c>
      <c r="P212" s="1065">
        <f t="shared" si="32"/>
        <v>0</v>
      </c>
      <c r="Q212" s="1065">
        <f t="shared" si="32"/>
        <v>0</v>
      </c>
      <c r="R212" s="2504" t="s">
        <v>1066</v>
      </c>
      <c r="S212" s="2505"/>
      <c r="T212" s="2505"/>
      <c r="U212" s="2506"/>
    </row>
    <row r="213" spans="1:23" ht="82.5" customHeight="1">
      <c r="A213" s="1144" t="s">
        <v>19</v>
      </c>
      <c r="B213" s="1146" t="s">
        <v>1021</v>
      </c>
      <c r="C213" s="1083">
        <f t="shared" si="29"/>
        <v>671</v>
      </c>
      <c r="D213" s="1085">
        <v>0</v>
      </c>
      <c r="E213" s="1085">
        <v>671</v>
      </c>
      <c r="F213" s="1083">
        <f t="shared" si="30"/>
        <v>671</v>
      </c>
      <c r="G213" s="1085">
        <v>0</v>
      </c>
      <c r="H213" s="1085">
        <v>671</v>
      </c>
      <c r="I213" s="1083">
        <f t="shared" si="26"/>
        <v>0</v>
      </c>
      <c r="J213" s="1083">
        <v>0</v>
      </c>
      <c r="K213" s="1083">
        <v>0</v>
      </c>
      <c r="L213" s="877">
        <f t="shared" si="27"/>
        <v>0</v>
      </c>
      <c r="M213" s="877">
        <f t="shared" si="27"/>
        <v>0</v>
      </c>
      <c r="N213" s="877">
        <f t="shared" si="27"/>
        <v>0</v>
      </c>
      <c r="O213" s="1065">
        <f t="shared" si="32"/>
        <v>0</v>
      </c>
      <c r="P213" s="1065">
        <f t="shared" si="32"/>
        <v>0</v>
      </c>
      <c r="Q213" s="1065">
        <f t="shared" si="32"/>
        <v>0</v>
      </c>
      <c r="R213" s="1148" t="s">
        <v>999</v>
      </c>
      <c r="S213" s="1149">
        <v>1110243180</v>
      </c>
      <c r="T213" s="1148">
        <v>522</v>
      </c>
      <c r="U213" s="1148" t="s">
        <v>1019</v>
      </c>
    </row>
    <row r="214" spans="1:23" ht="34.5" customHeight="1">
      <c r="A214" s="1144"/>
      <c r="B214" s="898" t="s">
        <v>431</v>
      </c>
      <c r="C214" s="874">
        <f t="shared" si="29"/>
        <v>4534</v>
      </c>
      <c r="D214" s="875">
        <f>SUM(D215)</f>
        <v>0</v>
      </c>
      <c r="E214" s="875">
        <f>SUM(E215)</f>
        <v>4534</v>
      </c>
      <c r="F214" s="874">
        <f t="shared" si="30"/>
        <v>4534</v>
      </c>
      <c r="G214" s="875">
        <f>SUM(G215)</f>
        <v>0</v>
      </c>
      <c r="H214" s="875">
        <f>SUM(H215)</f>
        <v>4534</v>
      </c>
      <c r="I214" s="874">
        <f t="shared" si="26"/>
        <v>0</v>
      </c>
      <c r="J214" s="875">
        <f>SUM(J215)</f>
        <v>0</v>
      </c>
      <c r="K214" s="875">
        <f>SUM(K215)</f>
        <v>0</v>
      </c>
      <c r="L214" s="876">
        <f t="shared" si="27"/>
        <v>0</v>
      </c>
      <c r="M214" s="877">
        <f t="shared" si="27"/>
        <v>0</v>
      </c>
      <c r="N214" s="877">
        <f t="shared" si="27"/>
        <v>0</v>
      </c>
      <c r="O214" s="1065">
        <f t="shared" si="32"/>
        <v>0</v>
      </c>
      <c r="P214" s="1065">
        <f t="shared" si="32"/>
        <v>0</v>
      </c>
      <c r="Q214" s="1065">
        <f t="shared" si="32"/>
        <v>0</v>
      </c>
      <c r="R214" s="2504" t="s">
        <v>1066</v>
      </c>
      <c r="S214" s="2505"/>
      <c r="T214" s="2505"/>
      <c r="U214" s="2506"/>
    </row>
    <row r="215" spans="1:23" ht="57" customHeight="1">
      <c r="A215" s="1144" t="s">
        <v>20</v>
      </c>
      <c r="B215" s="1146" t="s">
        <v>1021</v>
      </c>
      <c r="C215" s="1083">
        <f t="shared" si="29"/>
        <v>4534</v>
      </c>
      <c r="D215" s="1085">
        <v>0</v>
      </c>
      <c r="E215" s="1085">
        <v>4534</v>
      </c>
      <c r="F215" s="1083">
        <f t="shared" si="30"/>
        <v>4534</v>
      </c>
      <c r="G215" s="1085">
        <v>0</v>
      </c>
      <c r="H215" s="1085">
        <v>4534</v>
      </c>
      <c r="I215" s="1083">
        <f t="shared" si="26"/>
        <v>0</v>
      </c>
      <c r="J215" s="1083">
        <v>0</v>
      </c>
      <c r="K215" s="1083">
        <v>0</v>
      </c>
      <c r="L215" s="877">
        <f t="shared" si="27"/>
        <v>0</v>
      </c>
      <c r="M215" s="877">
        <f>IF(J215=0,0,J215/G215*100)</f>
        <v>0</v>
      </c>
      <c r="N215" s="877">
        <f>IF(K215=0,0,K215/H215*100)</f>
        <v>0</v>
      </c>
      <c r="O215" s="1065"/>
      <c r="P215" s="1065"/>
      <c r="Q215" s="1065"/>
      <c r="R215" s="1148" t="s">
        <v>999</v>
      </c>
      <c r="S215" s="1149">
        <v>1110243180</v>
      </c>
      <c r="T215" s="1148">
        <v>522</v>
      </c>
      <c r="U215" s="1148" t="s">
        <v>1019</v>
      </c>
    </row>
    <row r="216" spans="1:23" s="914" customFormat="1" ht="87.75" customHeight="1">
      <c r="A216" s="945" t="s">
        <v>2</v>
      </c>
      <c r="B216" s="925" t="s">
        <v>222</v>
      </c>
      <c r="C216" s="926">
        <f t="shared" si="29"/>
        <v>1082666.3999999999</v>
      </c>
      <c r="D216" s="926">
        <f>SUM(D217,D234)</f>
        <v>909500</v>
      </c>
      <c r="E216" s="926">
        <f>SUM(E217,E234)</f>
        <v>173166.4</v>
      </c>
      <c r="F216" s="926">
        <f t="shared" si="30"/>
        <v>1080774.1000000001</v>
      </c>
      <c r="G216" s="926">
        <f>SUM(G217,G234)</f>
        <v>907801.2</v>
      </c>
      <c r="H216" s="926">
        <f>SUM(H217,H234)</f>
        <v>172972.9</v>
      </c>
      <c r="I216" s="926">
        <f t="shared" si="26"/>
        <v>24199.599999999999</v>
      </c>
      <c r="J216" s="926">
        <f>SUM(J217,J234)</f>
        <v>9555.7999999999993</v>
      </c>
      <c r="K216" s="926">
        <f>SUM(K217,K234)</f>
        <v>14643.8</v>
      </c>
      <c r="L216" s="927">
        <f t="shared" si="27"/>
        <v>2.2000000000000002</v>
      </c>
      <c r="M216" s="928">
        <f t="shared" si="27"/>
        <v>1.1000000000000001</v>
      </c>
      <c r="N216" s="928">
        <f t="shared" si="27"/>
        <v>8.5</v>
      </c>
      <c r="O216" s="1065">
        <f t="shared" si="31"/>
        <v>1892.3</v>
      </c>
      <c r="P216" s="1065">
        <f t="shared" si="31"/>
        <v>1698.8</v>
      </c>
      <c r="Q216" s="1065">
        <f t="shared" si="31"/>
        <v>193.5</v>
      </c>
      <c r="R216" s="2504" t="s">
        <v>1066</v>
      </c>
      <c r="S216" s="2505"/>
      <c r="T216" s="2505"/>
      <c r="U216" s="2506"/>
      <c r="V216" s="1098"/>
      <c r="W216" s="913"/>
    </row>
    <row r="217" spans="1:23" s="914" customFormat="1" ht="63.75" customHeight="1">
      <c r="A217" s="944" t="s">
        <v>246</v>
      </c>
      <c r="B217" s="932" t="s">
        <v>41</v>
      </c>
      <c r="C217" s="933">
        <f>D217+E217</f>
        <v>967706.4</v>
      </c>
      <c r="D217" s="933">
        <f>SUM(D232,D218)</f>
        <v>909500</v>
      </c>
      <c r="E217" s="933">
        <f>SUM(E232,E218)</f>
        <v>58206.400000000001</v>
      </c>
      <c r="F217" s="933">
        <f>G217+H217</f>
        <v>965814.1</v>
      </c>
      <c r="G217" s="933">
        <f>SUM(G232,G218)</f>
        <v>907801.2</v>
      </c>
      <c r="H217" s="933">
        <f>SUM(H232,H218)</f>
        <v>58012.9</v>
      </c>
      <c r="I217" s="933">
        <f>J217+K217</f>
        <v>10166.700000000001</v>
      </c>
      <c r="J217" s="933">
        <f>SUM(J232,J218)</f>
        <v>9555.7999999999993</v>
      </c>
      <c r="K217" s="933">
        <f>SUM(K232,K218)</f>
        <v>610.9</v>
      </c>
      <c r="L217" s="935">
        <f t="shared" si="27"/>
        <v>1.1000000000000001</v>
      </c>
      <c r="M217" s="936">
        <f t="shared" si="27"/>
        <v>1.1000000000000001</v>
      </c>
      <c r="N217" s="936">
        <f t="shared" si="27"/>
        <v>1.1000000000000001</v>
      </c>
      <c r="O217" s="1065">
        <f t="shared" si="31"/>
        <v>1892.3</v>
      </c>
      <c r="P217" s="1065">
        <f t="shared" si="31"/>
        <v>1698.8</v>
      </c>
      <c r="Q217" s="1065">
        <f t="shared" si="31"/>
        <v>193.5</v>
      </c>
      <c r="R217" s="2504" t="s">
        <v>1066</v>
      </c>
      <c r="S217" s="2505"/>
      <c r="T217" s="2505"/>
      <c r="U217" s="2506"/>
      <c r="V217" s="1098"/>
      <c r="W217" s="913"/>
    </row>
    <row r="218" spans="1:23" s="959" customFormat="1" ht="59.25" customHeight="1">
      <c r="A218" s="957" t="s">
        <v>247</v>
      </c>
      <c r="B218" s="1054" t="s">
        <v>446</v>
      </c>
      <c r="C218" s="1055">
        <f>SUM(D218:E218)</f>
        <v>907600</v>
      </c>
      <c r="D218" s="1056">
        <f>SUM(D219:D231)</f>
        <v>853000</v>
      </c>
      <c r="E218" s="1056">
        <f>SUM(E219:E231)</f>
        <v>54600</v>
      </c>
      <c r="F218" s="1051">
        <f t="shared" ref="F218:F237" si="33">SUM(G218:H218)</f>
        <v>905707.7</v>
      </c>
      <c r="G218" s="1056">
        <f>SUM(G220:G231)</f>
        <v>851301.2</v>
      </c>
      <c r="H218" s="1056">
        <f>SUM(H220:H231)</f>
        <v>54406.5</v>
      </c>
      <c r="I218" s="1051">
        <f t="shared" ref="I218:I237" si="34">SUM(J218:K218)</f>
        <v>10166.700000000001</v>
      </c>
      <c r="J218" s="1056">
        <f>SUM(J220:J231)</f>
        <v>9555.7999999999993</v>
      </c>
      <c r="K218" s="1056">
        <f>SUM(K220:K231)</f>
        <v>610.9</v>
      </c>
      <c r="L218" s="1053">
        <f t="shared" si="27"/>
        <v>1.1000000000000001</v>
      </c>
      <c r="M218" s="1053">
        <f t="shared" si="27"/>
        <v>1.1000000000000001</v>
      </c>
      <c r="N218" s="1053">
        <f t="shared" si="27"/>
        <v>1.1000000000000001</v>
      </c>
      <c r="O218" s="1065">
        <f t="shared" si="31"/>
        <v>1892.3</v>
      </c>
      <c r="P218" s="1065">
        <f t="shared" si="31"/>
        <v>1698.8</v>
      </c>
      <c r="Q218" s="1065">
        <f t="shared" si="31"/>
        <v>193.5</v>
      </c>
      <c r="R218" s="2504" t="s">
        <v>1066</v>
      </c>
      <c r="S218" s="2505"/>
      <c r="T218" s="2505"/>
      <c r="U218" s="2506"/>
      <c r="V218" s="1115"/>
      <c r="W218" s="1116"/>
    </row>
    <row r="219" spans="1:23" s="959" customFormat="1">
      <c r="A219" s="895"/>
      <c r="B219" s="937" t="s">
        <v>1000</v>
      </c>
      <c r="C219" s="871">
        <f>SUM(D219:E219)</f>
        <v>1892.3</v>
      </c>
      <c r="D219" s="884">
        <v>1698.8</v>
      </c>
      <c r="E219" s="887">
        <v>193.5</v>
      </c>
      <c r="F219" s="874">
        <f>G219+H219</f>
        <v>0</v>
      </c>
      <c r="G219" s="887">
        <v>0</v>
      </c>
      <c r="H219" s="887">
        <v>0</v>
      </c>
      <c r="I219" s="874">
        <f>SUM(J219:K219)</f>
        <v>0</v>
      </c>
      <c r="J219" s="884">
        <v>0</v>
      </c>
      <c r="K219" s="887">
        <v>0</v>
      </c>
      <c r="L219" s="876">
        <f t="shared" si="27"/>
        <v>0</v>
      </c>
      <c r="M219" s="877">
        <f>IF(J219=0,0,J219/G219*100)</f>
        <v>0</v>
      </c>
      <c r="N219" s="877">
        <f>IF(K219=0,0,K219/H219*100)</f>
        <v>0</v>
      </c>
      <c r="O219" s="1065"/>
      <c r="P219" s="1065"/>
      <c r="Q219" s="1065"/>
      <c r="R219" s="1148" t="s">
        <v>999</v>
      </c>
      <c r="S219" s="1149" t="s">
        <v>1001</v>
      </c>
      <c r="T219" s="1148">
        <v>414</v>
      </c>
      <c r="U219" s="1148"/>
      <c r="V219" s="1115"/>
      <c r="W219" s="1116"/>
    </row>
    <row r="220" spans="1:23" ht="52.5" customHeight="1">
      <c r="A220" s="895">
        <v>1</v>
      </c>
      <c r="B220" s="937" t="s">
        <v>668</v>
      </c>
      <c r="C220" s="871">
        <f t="shared" ref="C220:C237" si="35">SUM(D220:E220)</f>
        <v>452152</v>
      </c>
      <c r="D220" s="884">
        <v>425019.2</v>
      </c>
      <c r="E220" s="887">
        <v>27132.799999999999</v>
      </c>
      <c r="F220" s="874">
        <f>G220+H220</f>
        <v>452152</v>
      </c>
      <c r="G220" s="887">
        <f>D220</f>
        <v>425019.2</v>
      </c>
      <c r="H220" s="887">
        <f>E220</f>
        <v>27132.799999999999</v>
      </c>
      <c r="I220" s="874">
        <f>SUM(J220:K220)</f>
        <v>0</v>
      </c>
      <c r="J220" s="884">
        <v>0</v>
      </c>
      <c r="K220" s="887">
        <v>0</v>
      </c>
      <c r="L220" s="876">
        <f t="shared" si="27"/>
        <v>0</v>
      </c>
      <c r="M220" s="877">
        <f>IF(J220=0,0,J220/G220*100)</f>
        <v>0</v>
      </c>
      <c r="N220" s="877">
        <f>IF(K220=0,0,K220/H220*100)</f>
        <v>0</v>
      </c>
      <c r="O220" s="1065">
        <f t="shared" si="31"/>
        <v>0</v>
      </c>
      <c r="P220" s="1065">
        <f t="shared" si="31"/>
        <v>0</v>
      </c>
      <c r="Q220" s="1065">
        <f t="shared" si="31"/>
        <v>0</v>
      </c>
      <c r="R220" s="1148" t="s">
        <v>999</v>
      </c>
      <c r="S220" s="1149" t="s">
        <v>1005</v>
      </c>
      <c r="T220" s="1148">
        <v>414</v>
      </c>
      <c r="U220" s="1148" t="s">
        <v>1006</v>
      </c>
    </row>
    <row r="221" spans="1:23" ht="52.5">
      <c r="A221" s="895">
        <v>2</v>
      </c>
      <c r="B221" s="1147" t="s">
        <v>470</v>
      </c>
      <c r="C221" s="871">
        <f t="shared" si="35"/>
        <v>50107.7</v>
      </c>
      <c r="D221" s="887">
        <v>47101.2</v>
      </c>
      <c r="E221" s="887">
        <v>3006.5</v>
      </c>
      <c r="F221" s="871">
        <f t="shared" si="33"/>
        <v>50107.7</v>
      </c>
      <c r="G221" s="887">
        <v>47101.2</v>
      </c>
      <c r="H221" s="887">
        <v>3006.5</v>
      </c>
      <c r="I221" s="871">
        <f t="shared" si="34"/>
        <v>4796.7</v>
      </c>
      <c r="J221" s="887">
        <v>4508.8999999999996</v>
      </c>
      <c r="K221" s="887">
        <v>287.8</v>
      </c>
      <c r="L221" s="872">
        <f t="shared" ref="L221:N237" si="36">IF(I221=0,0,I221/F221*100)</f>
        <v>9.6</v>
      </c>
      <c r="M221" s="873">
        <f t="shared" si="36"/>
        <v>9.6</v>
      </c>
      <c r="N221" s="873">
        <f t="shared" si="36"/>
        <v>9.6</v>
      </c>
      <c r="O221" s="1065">
        <f t="shared" si="31"/>
        <v>0</v>
      </c>
      <c r="P221" s="1065">
        <f t="shared" si="31"/>
        <v>0</v>
      </c>
      <c r="Q221" s="1065">
        <f t="shared" si="31"/>
        <v>0</v>
      </c>
      <c r="R221" s="1148" t="s">
        <v>999</v>
      </c>
      <c r="S221" s="1149" t="s">
        <v>1010</v>
      </c>
      <c r="T221" s="1148">
        <v>414</v>
      </c>
      <c r="U221" s="1148" t="s">
        <v>1011</v>
      </c>
    </row>
    <row r="222" spans="1:23" ht="78.75">
      <c r="A222" s="895">
        <v>3</v>
      </c>
      <c r="B222" s="1147" t="s">
        <v>622</v>
      </c>
      <c r="C222" s="871">
        <f>SUM(D222:E222)</f>
        <v>64810.2</v>
      </c>
      <c r="D222" s="887">
        <v>60910.9</v>
      </c>
      <c r="E222" s="887">
        <v>3899.3</v>
      </c>
      <c r="F222" s="871">
        <f>SUM(G222:H222)</f>
        <v>64810.2</v>
      </c>
      <c r="G222" s="887">
        <f t="shared" ref="G222:H229" si="37">D222</f>
        <v>60910.9</v>
      </c>
      <c r="H222" s="887">
        <f t="shared" si="37"/>
        <v>3899.3</v>
      </c>
      <c r="I222" s="871">
        <f>SUM(J222:K222)</f>
        <v>0</v>
      </c>
      <c r="J222" s="887"/>
      <c r="K222" s="887"/>
      <c r="L222" s="872">
        <f t="shared" si="36"/>
        <v>0</v>
      </c>
      <c r="M222" s="873">
        <f>IF(J222=0,0,J222/G222*100)</f>
        <v>0</v>
      </c>
      <c r="N222" s="873">
        <f>IF(K222=0,0,K222/H222*100)</f>
        <v>0</v>
      </c>
      <c r="O222" s="1065">
        <f t="shared" si="31"/>
        <v>0</v>
      </c>
      <c r="P222" s="1065">
        <f t="shared" si="31"/>
        <v>0</v>
      </c>
      <c r="Q222" s="1065">
        <f t="shared" si="31"/>
        <v>0</v>
      </c>
      <c r="R222" s="1148" t="s">
        <v>999</v>
      </c>
      <c r="S222" s="1149" t="s">
        <v>1016</v>
      </c>
      <c r="T222" s="1148">
        <v>414</v>
      </c>
      <c r="U222" s="1148" t="s">
        <v>1004</v>
      </c>
    </row>
    <row r="223" spans="1:23" ht="78.75">
      <c r="A223" s="895">
        <v>4</v>
      </c>
      <c r="B223" s="1147" t="s">
        <v>837</v>
      </c>
      <c r="C223" s="871">
        <f t="shared" si="35"/>
        <v>38427.4</v>
      </c>
      <c r="D223" s="887">
        <v>36115.4</v>
      </c>
      <c r="E223" s="887">
        <v>2312</v>
      </c>
      <c r="F223" s="871">
        <f t="shared" si="33"/>
        <v>38427.4</v>
      </c>
      <c r="G223" s="887">
        <f t="shared" si="37"/>
        <v>36115.4</v>
      </c>
      <c r="H223" s="887">
        <f t="shared" si="37"/>
        <v>2312</v>
      </c>
      <c r="I223" s="871">
        <f t="shared" si="34"/>
        <v>0</v>
      </c>
      <c r="J223" s="887"/>
      <c r="K223" s="887"/>
      <c r="L223" s="872">
        <f t="shared" si="36"/>
        <v>0</v>
      </c>
      <c r="M223" s="873">
        <f t="shared" si="36"/>
        <v>0</v>
      </c>
      <c r="N223" s="873">
        <f t="shared" si="36"/>
        <v>0</v>
      </c>
      <c r="O223" s="1065">
        <f t="shared" si="31"/>
        <v>0</v>
      </c>
      <c r="P223" s="1065">
        <f t="shared" si="31"/>
        <v>0</v>
      </c>
      <c r="Q223" s="1065">
        <f t="shared" si="31"/>
        <v>0</v>
      </c>
      <c r="R223" s="1148" t="s">
        <v>999</v>
      </c>
      <c r="S223" s="1149" t="s">
        <v>1015</v>
      </c>
      <c r="T223" s="1148">
        <v>414</v>
      </c>
      <c r="U223" s="1148" t="s">
        <v>1004</v>
      </c>
    </row>
    <row r="224" spans="1:23" ht="78.75">
      <c r="A224" s="895">
        <v>5</v>
      </c>
      <c r="B224" s="1147" t="s">
        <v>620</v>
      </c>
      <c r="C224" s="871">
        <f>SUM(D224:E224)</f>
        <v>115978.8</v>
      </c>
      <c r="D224" s="887">
        <v>109001</v>
      </c>
      <c r="E224" s="887">
        <v>6977.8</v>
      </c>
      <c r="F224" s="871">
        <f>SUM(G224:H224)</f>
        <v>115978.8</v>
      </c>
      <c r="G224" s="887">
        <f t="shared" si="37"/>
        <v>109001</v>
      </c>
      <c r="H224" s="887">
        <f t="shared" si="37"/>
        <v>6977.8</v>
      </c>
      <c r="I224" s="871">
        <f>SUM(J224:K224)</f>
        <v>0</v>
      </c>
      <c r="J224" s="887"/>
      <c r="K224" s="887"/>
      <c r="L224" s="872">
        <f t="shared" si="36"/>
        <v>0</v>
      </c>
      <c r="M224" s="873">
        <f>IF(J224=0,0,J224/G224*100)</f>
        <v>0</v>
      </c>
      <c r="N224" s="873">
        <f>IF(K224=0,0,K224/H224*100)</f>
        <v>0</v>
      </c>
      <c r="O224" s="1065">
        <f t="shared" si="31"/>
        <v>0</v>
      </c>
      <c r="P224" s="1065">
        <f t="shared" si="31"/>
        <v>0</v>
      </c>
      <c r="Q224" s="1065">
        <f t="shared" si="31"/>
        <v>0</v>
      </c>
      <c r="R224" s="1148" t="s">
        <v>999</v>
      </c>
      <c r="S224" s="1149" t="s">
        <v>1014</v>
      </c>
      <c r="T224" s="1148">
        <v>414</v>
      </c>
      <c r="U224" s="1148" t="s">
        <v>1004</v>
      </c>
    </row>
    <row r="225" spans="1:23" ht="52.5">
      <c r="A225" s="895">
        <v>6</v>
      </c>
      <c r="B225" s="1147" t="s">
        <v>471</v>
      </c>
      <c r="C225" s="871">
        <f t="shared" si="35"/>
        <v>9500</v>
      </c>
      <c r="D225" s="887">
        <v>8928.4</v>
      </c>
      <c r="E225" s="887">
        <v>571.6</v>
      </c>
      <c r="F225" s="871">
        <f t="shared" si="33"/>
        <v>9500</v>
      </c>
      <c r="G225" s="887">
        <f t="shared" si="37"/>
        <v>8928.4</v>
      </c>
      <c r="H225" s="887">
        <f t="shared" si="37"/>
        <v>571.6</v>
      </c>
      <c r="I225" s="871">
        <f t="shared" si="34"/>
        <v>200</v>
      </c>
      <c r="J225" s="887">
        <v>188</v>
      </c>
      <c r="K225" s="887">
        <v>12</v>
      </c>
      <c r="L225" s="872">
        <f t="shared" si="36"/>
        <v>2.1</v>
      </c>
      <c r="M225" s="873">
        <f t="shared" si="36"/>
        <v>2.1</v>
      </c>
      <c r="N225" s="873">
        <f t="shared" si="36"/>
        <v>2.1</v>
      </c>
      <c r="O225" s="1065">
        <f t="shared" si="31"/>
        <v>0</v>
      </c>
      <c r="P225" s="1065">
        <f t="shared" si="31"/>
        <v>0</v>
      </c>
      <c r="Q225" s="1065">
        <f t="shared" si="31"/>
        <v>0</v>
      </c>
      <c r="R225" s="1148" t="s">
        <v>999</v>
      </c>
      <c r="S225" s="1149" t="s">
        <v>1012</v>
      </c>
      <c r="T225" s="1148">
        <v>414</v>
      </c>
      <c r="U225" s="1148" t="s">
        <v>1004</v>
      </c>
    </row>
    <row r="226" spans="1:23" ht="61.5" customHeight="1">
      <c r="A226" s="895">
        <v>7</v>
      </c>
      <c r="B226" s="1147" t="s">
        <v>472</v>
      </c>
      <c r="C226" s="871">
        <f t="shared" si="35"/>
        <v>16500</v>
      </c>
      <c r="D226" s="887">
        <v>15507.2</v>
      </c>
      <c r="E226" s="887">
        <v>992.8</v>
      </c>
      <c r="F226" s="871">
        <f t="shared" si="33"/>
        <v>16500</v>
      </c>
      <c r="G226" s="887">
        <f t="shared" si="37"/>
        <v>15507.2</v>
      </c>
      <c r="H226" s="887">
        <f t="shared" si="37"/>
        <v>992.8</v>
      </c>
      <c r="I226" s="871">
        <f t="shared" si="34"/>
        <v>550.1</v>
      </c>
      <c r="J226" s="887">
        <v>517</v>
      </c>
      <c r="K226" s="887">
        <v>33.1</v>
      </c>
      <c r="L226" s="872">
        <f t="shared" si="36"/>
        <v>3.3</v>
      </c>
      <c r="M226" s="873">
        <f t="shared" si="36"/>
        <v>3.3</v>
      </c>
      <c r="N226" s="873">
        <f t="shared" si="36"/>
        <v>3.3</v>
      </c>
      <c r="O226" s="1065">
        <f t="shared" si="31"/>
        <v>0</v>
      </c>
      <c r="P226" s="1065">
        <f t="shared" si="31"/>
        <v>0</v>
      </c>
      <c r="Q226" s="1065">
        <f t="shared" si="31"/>
        <v>0</v>
      </c>
      <c r="R226" s="1148" t="s">
        <v>999</v>
      </c>
      <c r="S226" s="1149" t="s">
        <v>1007</v>
      </c>
      <c r="T226" s="1148">
        <v>414</v>
      </c>
      <c r="U226" s="1148" t="s">
        <v>1004</v>
      </c>
    </row>
    <row r="227" spans="1:23" ht="67.5" customHeight="1">
      <c r="A227" s="895">
        <v>8</v>
      </c>
      <c r="B227" s="1147" t="s">
        <v>473</v>
      </c>
      <c r="C227" s="871">
        <f t="shared" si="35"/>
        <v>10549.1</v>
      </c>
      <c r="D227" s="887">
        <v>9914.4</v>
      </c>
      <c r="E227" s="887">
        <v>634.70000000000005</v>
      </c>
      <c r="F227" s="871">
        <f t="shared" si="33"/>
        <v>10549.1</v>
      </c>
      <c r="G227" s="887">
        <f t="shared" si="37"/>
        <v>9914.4</v>
      </c>
      <c r="H227" s="887">
        <f t="shared" si="37"/>
        <v>634.70000000000005</v>
      </c>
      <c r="I227" s="871">
        <f t="shared" si="34"/>
        <v>880.9</v>
      </c>
      <c r="J227" s="887">
        <v>827.9</v>
      </c>
      <c r="K227" s="887">
        <v>53</v>
      </c>
      <c r="L227" s="872">
        <f t="shared" si="36"/>
        <v>8.4</v>
      </c>
      <c r="M227" s="873">
        <f t="shared" si="36"/>
        <v>8.4</v>
      </c>
      <c r="N227" s="873">
        <f t="shared" si="36"/>
        <v>8.4</v>
      </c>
      <c r="O227" s="1065">
        <f t="shared" si="31"/>
        <v>0</v>
      </c>
      <c r="P227" s="1065">
        <f t="shared" si="31"/>
        <v>0</v>
      </c>
      <c r="Q227" s="1065">
        <f t="shared" si="31"/>
        <v>0</v>
      </c>
      <c r="R227" s="1148" t="s">
        <v>999</v>
      </c>
      <c r="S227" s="1149" t="s">
        <v>1003</v>
      </c>
      <c r="T227" s="1148">
        <v>414</v>
      </c>
      <c r="U227" s="1148" t="s">
        <v>1004</v>
      </c>
    </row>
    <row r="228" spans="1:23" ht="67.5" customHeight="1">
      <c r="A228" s="895">
        <v>9</v>
      </c>
      <c r="B228" s="1147" t="s">
        <v>474</v>
      </c>
      <c r="C228" s="871">
        <f>SUM(D228:E228)</f>
        <v>26243.8</v>
      </c>
      <c r="D228" s="887">
        <v>24664.799999999999</v>
      </c>
      <c r="E228" s="887">
        <v>1579</v>
      </c>
      <c r="F228" s="871">
        <f>SUM(G228:H228)</f>
        <v>26243.8</v>
      </c>
      <c r="G228" s="887">
        <f t="shared" si="37"/>
        <v>24664.799999999999</v>
      </c>
      <c r="H228" s="887">
        <f t="shared" si="37"/>
        <v>1579</v>
      </c>
      <c r="I228" s="871">
        <f>SUM(J228:K228)</f>
        <v>3739</v>
      </c>
      <c r="J228" s="887">
        <v>3514</v>
      </c>
      <c r="K228" s="887">
        <v>225</v>
      </c>
      <c r="L228" s="872">
        <f t="shared" si="36"/>
        <v>14.2</v>
      </c>
      <c r="M228" s="873">
        <f>IF(J228=0,0,J228/G228*100)</f>
        <v>14.2</v>
      </c>
      <c r="N228" s="873">
        <f>IF(K228=0,0,K228/H228*100)</f>
        <v>14.2</v>
      </c>
      <c r="O228" s="1065">
        <f t="shared" si="31"/>
        <v>0</v>
      </c>
      <c r="P228" s="1065">
        <f t="shared" si="31"/>
        <v>0</v>
      </c>
      <c r="Q228" s="1065">
        <f t="shared" si="31"/>
        <v>0</v>
      </c>
      <c r="R228" s="1148" t="s">
        <v>999</v>
      </c>
      <c r="S228" s="1149" t="s">
        <v>1013</v>
      </c>
      <c r="T228" s="1148">
        <v>414</v>
      </c>
      <c r="U228" s="1148" t="s">
        <v>1004</v>
      </c>
    </row>
    <row r="229" spans="1:23" ht="52.5">
      <c r="A229" s="895">
        <v>10</v>
      </c>
      <c r="B229" s="1147" t="s">
        <v>617</v>
      </c>
      <c r="C229" s="871">
        <f t="shared" si="35"/>
        <v>81990.7</v>
      </c>
      <c r="D229" s="887">
        <v>77057.899999999994</v>
      </c>
      <c r="E229" s="887">
        <v>4932.8</v>
      </c>
      <c r="F229" s="871">
        <f t="shared" si="33"/>
        <v>81990.7</v>
      </c>
      <c r="G229" s="887">
        <f t="shared" si="37"/>
        <v>77057.899999999994</v>
      </c>
      <c r="H229" s="887">
        <f t="shared" si="37"/>
        <v>4932.8</v>
      </c>
      <c r="I229" s="871">
        <f t="shared" si="34"/>
        <v>0</v>
      </c>
      <c r="J229" s="887"/>
      <c r="K229" s="887"/>
      <c r="L229" s="872">
        <f t="shared" si="36"/>
        <v>0</v>
      </c>
      <c r="M229" s="873">
        <f t="shared" si="36"/>
        <v>0</v>
      </c>
      <c r="N229" s="873">
        <f t="shared" si="36"/>
        <v>0</v>
      </c>
      <c r="O229" s="1065">
        <f t="shared" si="31"/>
        <v>0</v>
      </c>
      <c r="P229" s="1065">
        <f t="shared" si="31"/>
        <v>0</v>
      </c>
      <c r="Q229" s="1065">
        <f t="shared" si="31"/>
        <v>0</v>
      </c>
      <c r="R229" s="1148" t="s">
        <v>999</v>
      </c>
      <c r="S229" s="1149" t="s">
        <v>1002</v>
      </c>
      <c r="T229" s="1148">
        <v>414</v>
      </c>
      <c r="U229" s="1148" t="s">
        <v>1004</v>
      </c>
    </row>
    <row r="230" spans="1:23" ht="52.5" hidden="1">
      <c r="A230" s="895">
        <v>12</v>
      </c>
      <c r="B230" s="1147" t="s">
        <v>618</v>
      </c>
      <c r="C230" s="871">
        <f t="shared" si="35"/>
        <v>0</v>
      </c>
      <c r="D230" s="887"/>
      <c r="E230" s="887"/>
      <c r="F230" s="871">
        <f t="shared" si="33"/>
        <v>0</v>
      </c>
      <c r="G230" s="887">
        <f>D230</f>
        <v>0</v>
      </c>
      <c r="H230" s="887">
        <f>E230</f>
        <v>0</v>
      </c>
      <c r="I230" s="871">
        <f t="shared" si="34"/>
        <v>0</v>
      </c>
      <c r="J230" s="887"/>
      <c r="K230" s="887"/>
      <c r="L230" s="872">
        <f t="shared" si="36"/>
        <v>0</v>
      </c>
      <c r="M230" s="873">
        <f t="shared" si="36"/>
        <v>0</v>
      </c>
      <c r="N230" s="873">
        <f t="shared" si="36"/>
        <v>0</v>
      </c>
      <c r="O230" s="1065">
        <f t="shared" si="31"/>
        <v>0</v>
      </c>
      <c r="P230" s="1065">
        <f t="shared" si="31"/>
        <v>0</v>
      </c>
      <c r="Q230" s="1065">
        <f t="shared" si="31"/>
        <v>0</v>
      </c>
      <c r="R230" s="1148" t="s">
        <v>999</v>
      </c>
      <c r="S230" s="1149"/>
      <c r="T230" s="1148">
        <v>414</v>
      </c>
      <c r="U230" s="1148" t="s">
        <v>1009</v>
      </c>
    </row>
    <row r="231" spans="1:23" ht="52.5">
      <c r="A231" s="895">
        <v>11</v>
      </c>
      <c r="B231" s="1147" t="s">
        <v>619</v>
      </c>
      <c r="C231" s="871">
        <f>SUM(D231:E231)</f>
        <v>39448</v>
      </c>
      <c r="D231" s="887">
        <v>37080.800000000003</v>
      </c>
      <c r="E231" s="887">
        <v>2367.1999999999998</v>
      </c>
      <c r="F231" s="871">
        <f>SUM(G231:H231)</f>
        <v>39448</v>
      </c>
      <c r="G231" s="887">
        <f>D231</f>
        <v>37080.800000000003</v>
      </c>
      <c r="H231" s="887">
        <f>E231</f>
        <v>2367.1999999999998</v>
      </c>
      <c r="I231" s="871">
        <f>SUM(J231:K231)</f>
        <v>0</v>
      </c>
      <c r="J231" s="887"/>
      <c r="K231" s="887"/>
      <c r="L231" s="872">
        <f t="shared" si="36"/>
        <v>0</v>
      </c>
      <c r="M231" s="873">
        <f t="shared" si="36"/>
        <v>0</v>
      </c>
      <c r="N231" s="873">
        <f t="shared" si="36"/>
        <v>0</v>
      </c>
      <c r="O231" s="1065">
        <f t="shared" si="31"/>
        <v>0</v>
      </c>
      <c r="P231" s="1065">
        <f t="shared" si="31"/>
        <v>0</v>
      </c>
      <c r="Q231" s="1065">
        <f t="shared" si="31"/>
        <v>0</v>
      </c>
      <c r="R231" s="1148" t="s">
        <v>999</v>
      </c>
      <c r="S231" s="1149" t="s">
        <v>1008</v>
      </c>
      <c r="T231" s="1148">
        <v>414</v>
      </c>
      <c r="U231" s="1148" t="s">
        <v>1006</v>
      </c>
    </row>
    <row r="232" spans="1:23" s="914" customFormat="1" ht="81">
      <c r="A232" s="944" t="s">
        <v>248</v>
      </c>
      <c r="B232" s="947" t="s">
        <v>656</v>
      </c>
      <c r="C232" s="948">
        <f>SUM(D232:E232)</f>
        <v>60106.400000000001</v>
      </c>
      <c r="D232" s="949">
        <f>D233</f>
        <v>56500</v>
      </c>
      <c r="E232" s="949">
        <f>E233</f>
        <v>3606.4</v>
      </c>
      <c r="F232" s="950">
        <f>SUM(G232:H232)</f>
        <v>60106.400000000001</v>
      </c>
      <c r="G232" s="949">
        <f>G233</f>
        <v>56500</v>
      </c>
      <c r="H232" s="949">
        <f>H233</f>
        <v>3606.4</v>
      </c>
      <c r="I232" s="950">
        <f>SUM(J232:K232)</f>
        <v>0</v>
      </c>
      <c r="J232" s="949">
        <f>J233</f>
        <v>0</v>
      </c>
      <c r="K232" s="949">
        <f>K233</f>
        <v>0</v>
      </c>
      <c r="L232" s="951">
        <f t="shared" si="36"/>
        <v>0</v>
      </c>
      <c r="M232" s="952">
        <f t="shared" si="36"/>
        <v>0</v>
      </c>
      <c r="N232" s="952">
        <f t="shared" si="36"/>
        <v>0</v>
      </c>
      <c r="O232" s="1065">
        <f t="shared" si="31"/>
        <v>0</v>
      </c>
      <c r="P232" s="1065">
        <f t="shared" si="31"/>
        <v>0</v>
      </c>
      <c r="Q232" s="1065">
        <f t="shared" si="31"/>
        <v>0</v>
      </c>
      <c r="R232" s="2504" t="s">
        <v>1066</v>
      </c>
      <c r="S232" s="2505"/>
      <c r="T232" s="2505"/>
      <c r="U232" s="2506"/>
      <c r="V232" s="1098"/>
      <c r="W232" s="913"/>
    </row>
    <row r="233" spans="1:23" ht="67.5" customHeight="1">
      <c r="A233" s="895">
        <v>12</v>
      </c>
      <c r="B233" s="937" t="s">
        <v>623</v>
      </c>
      <c r="C233" s="871">
        <f>SUM(D233:E233)</f>
        <v>60106.400000000001</v>
      </c>
      <c r="D233" s="884">
        <v>56500</v>
      </c>
      <c r="E233" s="887">
        <v>3606.4</v>
      </c>
      <c r="F233" s="871">
        <f>SUM(G233:H233)</f>
        <v>60106.400000000001</v>
      </c>
      <c r="G233" s="884">
        <v>56500</v>
      </c>
      <c r="H233" s="887">
        <v>3606.4</v>
      </c>
      <c r="I233" s="874">
        <f>SUM(J233:K233)</f>
        <v>0</v>
      </c>
      <c r="J233" s="884">
        <v>0</v>
      </c>
      <c r="K233" s="887">
        <v>0</v>
      </c>
      <c r="L233" s="876">
        <f t="shared" si="36"/>
        <v>0</v>
      </c>
      <c r="M233" s="877">
        <f t="shared" si="36"/>
        <v>0</v>
      </c>
      <c r="N233" s="877">
        <f t="shared" si="36"/>
        <v>0</v>
      </c>
      <c r="O233" s="1065">
        <f t="shared" si="31"/>
        <v>0</v>
      </c>
      <c r="P233" s="1065">
        <f t="shared" si="31"/>
        <v>0</v>
      </c>
      <c r="Q233" s="1065">
        <f t="shared" si="31"/>
        <v>0</v>
      </c>
      <c r="R233" s="1148" t="s">
        <v>999</v>
      </c>
      <c r="S233" s="1149" t="s">
        <v>1017</v>
      </c>
      <c r="T233" s="1148">
        <v>414</v>
      </c>
      <c r="U233" s="1148" t="s">
        <v>1018</v>
      </c>
    </row>
    <row r="234" spans="1:23" s="914" customFormat="1" ht="69" customHeight="1">
      <c r="A234" s="944" t="s">
        <v>249</v>
      </c>
      <c r="B234" s="932" t="s">
        <v>39</v>
      </c>
      <c r="C234" s="933">
        <f t="shared" si="35"/>
        <v>114960</v>
      </c>
      <c r="D234" s="933">
        <f>SUM(D235:D237)</f>
        <v>0</v>
      </c>
      <c r="E234" s="933">
        <f>SUM(E235:E237)</f>
        <v>114960</v>
      </c>
      <c r="F234" s="933">
        <f t="shared" si="33"/>
        <v>114960</v>
      </c>
      <c r="G234" s="933">
        <f>SUM(G235:G237)</f>
        <v>0</v>
      </c>
      <c r="H234" s="933">
        <f>SUM(H235:H237)</f>
        <v>114960</v>
      </c>
      <c r="I234" s="933">
        <f t="shared" si="34"/>
        <v>14032.9</v>
      </c>
      <c r="J234" s="933">
        <f>SUM(J235:J237)</f>
        <v>0</v>
      </c>
      <c r="K234" s="933">
        <f>SUM(K235:K237)</f>
        <v>14032.9</v>
      </c>
      <c r="L234" s="935">
        <f t="shared" si="36"/>
        <v>12.2</v>
      </c>
      <c r="M234" s="936">
        <f t="shared" si="36"/>
        <v>0</v>
      </c>
      <c r="N234" s="936">
        <f t="shared" si="36"/>
        <v>12.2</v>
      </c>
      <c r="O234" s="1065">
        <f t="shared" si="31"/>
        <v>0</v>
      </c>
      <c r="P234" s="1065">
        <f t="shared" si="31"/>
        <v>0</v>
      </c>
      <c r="Q234" s="1065">
        <f t="shared" si="31"/>
        <v>0</v>
      </c>
      <c r="R234" s="2504" t="s">
        <v>1066</v>
      </c>
      <c r="S234" s="2505"/>
      <c r="T234" s="2505"/>
      <c r="U234" s="2506"/>
      <c r="V234" s="1098"/>
      <c r="W234" s="913"/>
    </row>
    <row r="235" spans="1:23" s="736" customFormat="1" ht="78.75">
      <c r="A235" s="895">
        <v>13</v>
      </c>
      <c r="B235" s="903" t="s">
        <v>706</v>
      </c>
      <c r="C235" s="871">
        <f>SUM(D235:E235)</f>
        <v>2760</v>
      </c>
      <c r="D235" s="887">
        <v>0</v>
      </c>
      <c r="E235" s="887">
        <v>2760</v>
      </c>
      <c r="F235" s="871">
        <f>SUM(G235:H235)</f>
        <v>2760</v>
      </c>
      <c r="G235" s="887">
        <v>0</v>
      </c>
      <c r="H235" s="887">
        <v>2760</v>
      </c>
      <c r="I235" s="871">
        <f>SUM(J235:K235)</f>
        <v>0</v>
      </c>
      <c r="J235" s="887">
        <v>0</v>
      </c>
      <c r="K235" s="887">
        <v>0</v>
      </c>
      <c r="L235" s="872">
        <f t="shared" si="36"/>
        <v>0</v>
      </c>
      <c r="M235" s="873">
        <f t="shared" si="36"/>
        <v>0</v>
      </c>
      <c r="N235" s="873">
        <f t="shared" si="36"/>
        <v>0</v>
      </c>
      <c r="O235" s="1065">
        <f t="shared" si="31"/>
        <v>0</v>
      </c>
      <c r="P235" s="1065">
        <f t="shared" si="31"/>
        <v>0</v>
      </c>
      <c r="Q235" s="1065">
        <f t="shared" si="31"/>
        <v>0</v>
      </c>
      <c r="R235" s="1148" t="s">
        <v>999</v>
      </c>
      <c r="S235" s="1149">
        <v>1110290400</v>
      </c>
      <c r="T235" s="1148">
        <v>414</v>
      </c>
      <c r="U235" s="1148">
        <v>10119</v>
      </c>
      <c r="V235" s="1098"/>
    </row>
    <row r="236" spans="1:23" s="736" customFormat="1" ht="52.5">
      <c r="A236" s="895"/>
      <c r="B236" s="903" t="s">
        <v>268</v>
      </c>
      <c r="C236" s="871">
        <f>SUM(D236:E236)</f>
        <v>700</v>
      </c>
      <c r="D236" s="887">
        <v>0</v>
      </c>
      <c r="E236" s="887">
        <v>700</v>
      </c>
      <c r="F236" s="871">
        <f>SUM(G236:H236)</f>
        <v>700</v>
      </c>
      <c r="G236" s="887">
        <v>0</v>
      </c>
      <c r="H236" s="887">
        <v>700</v>
      </c>
      <c r="I236" s="871">
        <f>SUM(J236:K236)</f>
        <v>0</v>
      </c>
      <c r="J236" s="887">
        <v>0</v>
      </c>
      <c r="K236" s="887">
        <v>0</v>
      </c>
      <c r="L236" s="872">
        <f t="shared" si="36"/>
        <v>0</v>
      </c>
      <c r="M236" s="873">
        <f>IF(J236=0,0,J236/G236*100)</f>
        <v>0</v>
      </c>
      <c r="N236" s="873">
        <f>IF(K236=0,0,K236/H236*100)</f>
        <v>0</v>
      </c>
      <c r="O236" s="1065">
        <f>C236-F236</f>
        <v>0</v>
      </c>
      <c r="P236" s="1065">
        <f t="shared" si="31"/>
        <v>0</v>
      </c>
      <c r="Q236" s="1065">
        <f t="shared" si="31"/>
        <v>0</v>
      </c>
      <c r="R236" s="1148" t="s">
        <v>999</v>
      </c>
      <c r="S236" s="1149">
        <v>1110290400</v>
      </c>
      <c r="T236" s="1148">
        <v>414</v>
      </c>
      <c r="U236" s="1148">
        <v>10044</v>
      </c>
      <c r="V236" s="1098"/>
    </row>
    <row r="237" spans="1:23" s="736" customFormat="1" ht="42.75" customHeight="1">
      <c r="A237" s="895"/>
      <c r="B237" s="903" t="s">
        <v>263</v>
      </c>
      <c r="C237" s="871">
        <f t="shared" si="35"/>
        <v>111500</v>
      </c>
      <c r="D237" s="887">
        <v>0</v>
      </c>
      <c r="E237" s="887">
        <v>111500</v>
      </c>
      <c r="F237" s="871">
        <f t="shared" si="33"/>
        <v>111500</v>
      </c>
      <c r="G237" s="887">
        <v>0</v>
      </c>
      <c r="H237" s="887">
        <v>111500</v>
      </c>
      <c r="I237" s="871">
        <f t="shared" si="34"/>
        <v>14032.9</v>
      </c>
      <c r="J237" s="887"/>
      <c r="K237" s="887">
        <v>14032.9</v>
      </c>
      <c r="L237" s="872">
        <f t="shared" si="36"/>
        <v>12.6</v>
      </c>
      <c r="M237" s="873">
        <f t="shared" si="36"/>
        <v>0</v>
      </c>
      <c r="N237" s="873">
        <f t="shared" si="36"/>
        <v>12.6</v>
      </c>
      <c r="O237" s="1065">
        <f t="shared" si="31"/>
        <v>0</v>
      </c>
      <c r="P237" s="1065">
        <f t="shared" si="31"/>
        <v>0</v>
      </c>
      <c r="Q237" s="1065">
        <f t="shared" si="31"/>
        <v>0</v>
      </c>
      <c r="R237" s="1148" t="s">
        <v>999</v>
      </c>
      <c r="S237" s="1149">
        <v>1110290400</v>
      </c>
      <c r="T237" s="1148">
        <v>414</v>
      </c>
      <c r="U237" s="1148">
        <v>10001</v>
      </c>
      <c r="V237" s="1098"/>
    </row>
    <row r="238" spans="1:23">
      <c r="A238" s="1102"/>
      <c r="B238" s="1079" t="s">
        <v>432</v>
      </c>
      <c r="C238" s="1080"/>
      <c r="D238" s="1079"/>
      <c r="E238" s="1079"/>
      <c r="F238" s="1080"/>
      <c r="G238" s="1079"/>
      <c r="H238" s="1079"/>
      <c r="I238" s="1081"/>
      <c r="J238" s="1082"/>
      <c r="K238" s="1082"/>
      <c r="L238" s="1081"/>
      <c r="M238" s="1082"/>
      <c r="N238" s="1082"/>
      <c r="O238" s="1065">
        <f t="shared" si="31"/>
        <v>0</v>
      </c>
      <c r="P238" s="1065">
        <f t="shared" si="31"/>
        <v>0</v>
      </c>
      <c r="Q238" s="1065">
        <f t="shared" si="31"/>
        <v>0</v>
      </c>
      <c r="R238" s="2507"/>
      <c r="S238" s="2508"/>
      <c r="T238" s="2508"/>
      <c r="U238" s="2509"/>
    </row>
    <row r="239" spans="1:23" ht="175.5" customHeight="1">
      <c r="A239" s="2439" t="s">
        <v>836</v>
      </c>
      <c r="B239" s="2443"/>
      <c r="C239" s="893">
        <f>SUM(D239:E239)</f>
        <v>865629.1</v>
      </c>
      <c r="D239" s="894">
        <f>SUM(D91,D20:D21)</f>
        <v>853456.8</v>
      </c>
      <c r="E239" s="894">
        <f>SUM(E91,E20:E21)</f>
        <v>12172.3</v>
      </c>
      <c r="F239" s="893">
        <f>SUM(G239:H239)</f>
        <v>865629.1</v>
      </c>
      <c r="G239" s="894">
        <f>SUM(G91,G20:G21)</f>
        <v>853456.8</v>
      </c>
      <c r="H239" s="894">
        <f>SUM(H91,H20:H21)</f>
        <v>12172.3</v>
      </c>
      <c r="I239" s="893">
        <f>SUM(J239:K239)</f>
        <v>14456.5</v>
      </c>
      <c r="J239" s="894">
        <f>SUM(J91,J20:J21)</f>
        <v>9709.4</v>
      </c>
      <c r="K239" s="894">
        <f>SUM(K91,K20:K21)</f>
        <v>4747.1000000000004</v>
      </c>
      <c r="L239" s="893">
        <f t="shared" ref="L239:L244" si="38">SUM(M239:N239)</f>
        <v>2.2000000000000002</v>
      </c>
      <c r="M239" s="894">
        <f>SUM(M217,M126,M70)</f>
        <v>1.1000000000000001</v>
      </c>
      <c r="N239" s="894">
        <f>SUM(N217,N126,N70)</f>
        <v>1.1000000000000001</v>
      </c>
      <c r="O239" s="1065">
        <f t="shared" ref="O239:Q244" si="39">C239-F239</f>
        <v>0</v>
      </c>
      <c r="P239" s="1065">
        <f t="shared" si="39"/>
        <v>0</v>
      </c>
      <c r="Q239" s="1065">
        <f t="shared" si="39"/>
        <v>0</v>
      </c>
      <c r="R239" s="2504" t="s">
        <v>1066</v>
      </c>
      <c r="S239" s="2505"/>
      <c r="T239" s="2505"/>
      <c r="U239" s="2506"/>
    </row>
    <row r="240" spans="1:23" ht="79.5" customHeight="1">
      <c r="A240" s="2439" t="s">
        <v>780</v>
      </c>
      <c r="B240" s="2443"/>
      <c r="C240" s="893">
        <f>SUM(D240:E240)</f>
        <v>3272182.7</v>
      </c>
      <c r="D240" s="894">
        <f>D145+D71+D218-D242</f>
        <v>3074865.8</v>
      </c>
      <c r="E240" s="894">
        <f>E145+E71+E218-E242</f>
        <v>197316.9</v>
      </c>
      <c r="F240" s="893">
        <f>SUM(G240:H240)</f>
        <v>3270290.4</v>
      </c>
      <c r="G240" s="894">
        <f>G145+G71+G218-G242</f>
        <v>3073167</v>
      </c>
      <c r="H240" s="894">
        <f>H145+H71+H218-H242</f>
        <v>197123.4</v>
      </c>
      <c r="I240" s="893">
        <f>SUM(J240:K240)</f>
        <v>42253.4</v>
      </c>
      <c r="J240" s="894">
        <f>J145+J71+J218-J242</f>
        <v>39708.9</v>
      </c>
      <c r="K240" s="894">
        <f>K145+K71+K218-K242</f>
        <v>2544.5</v>
      </c>
      <c r="L240" s="893">
        <f t="shared" si="38"/>
        <v>12.6</v>
      </c>
      <c r="M240" s="894">
        <f>SUM(M218,M145,M71)</f>
        <v>4</v>
      </c>
      <c r="N240" s="894">
        <f>SUM(N218,N145,N71)</f>
        <v>8.6</v>
      </c>
      <c r="O240" s="1065">
        <f t="shared" si="39"/>
        <v>1892.3</v>
      </c>
      <c r="P240" s="1065">
        <f t="shared" si="39"/>
        <v>1698.8</v>
      </c>
      <c r="Q240" s="1065">
        <f t="shared" si="39"/>
        <v>193.5</v>
      </c>
      <c r="R240" s="2504" t="s">
        <v>1066</v>
      </c>
      <c r="S240" s="2505"/>
      <c r="T240" s="2505"/>
      <c r="U240" s="2506"/>
    </row>
    <row r="241" spans="1:23" ht="65.25" customHeight="1">
      <c r="A241" s="2439" t="s">
        <v>1031</v>
      </c>
      <c r="B241" s="2439"/>
      <c r="C241" s="893">
        <f>SUM(D241:E241)</f>
        <v>376114.8</v>
      </c>
      <c r="D241" s="894">
        <f>SUM(D242:D243)</f>
        <v>0</v>
      </c>
      <c r="E241" s="894">
        <f>SUM(E242:E243)</f>
        <v>376114.8</v>
      </c>
      <c r="F241" s="893">
        <f>SUM(G241:H241)</f>
        <v>376114.8</v>
      </c>
      <c r="G241" s="894">
        <f>SUM(G242:G243)</f>
        <v>0</v>
      </c>
      <c r="H241" s="894">
        <f>SUM(H242:H243)</f>
        <v>376114.8</v>
      </c>
      <c r="I241" s="893">
        <f>SUM(J241:K241)</f>
        <v>34804.300000000003</v>
      </c>
      <c r="J241" s="894">
        <f>SUM(J242:J243)</f>
        <v>0</v>
      </c>
      <c r="K241" s="894">
        <f>SUM(K242:K243)</f>
        <v>34804.300000000003</v>
      </c>
      <c r="L241" s="893">
        <f t="shared" si="38"/>
        <v>0</v>
      </c>
      <c r="M241" s="894">
        <f t="shared" ref="M241:N244" si="40">SUM(M220,M154,M72)</f>
        <v>0</v>
      </c>
      <c r="N241" s="894">
        <f t="shared" si="40"/>
        <v>0</v>
      </c>
      <c r="O241" s="1065">
        <f t="shared" si="39"/>
        <v>0</v>
      </c>
      <c r="P241" s="1065">
        <f t="shared" si="39"/>
        <v>0</v>
      </c>
      <c r="Q241" s="1065">
        <f t="shared" si="39"/>
        <v>0</v>
      </c>
      <c r="R241" s="2504" t="s">
        <v>1066</v>
      </c>
      <c r="S241" s="2505"/>
      <c r="T241" s="2505"/>
      <c r="U241" s="2506"/>
    </row>
    <row r="242" spans="1:23" ht="31.5" customHeight="1">
      <c r="A242" s="895"/>
      <c r="B242" s="1147" t="s">
        <v>778</v>
      </c>
      <c r="C242" s="893">
        <f>SUM(D242:E242)</f>
        <v>114364.5</v>
      </c>
      <c r="D242" s="873">
        <f>SUM(D147,D148,D149,D152,D179,D180,D184,D193,D195,D198,D203,D153,D150,D176,D151)</f>
        <v>0</v>
      </c>
      <c r="E242" s="873">
        <f>SUM(E147,E148,E149,E150,E151,E153,E152,E176,E180,E184,E193,E195,E198,E203,E179)</f>
        <v>114364.5</v>
      </c>
      <c r="F242" s="893">
        <f>SUM(G242:H242)</f>
        <v>114364.5</v>
      </c>
      <c r="G242" s="873">
        <f>SUM(G147,G148,G149,G152,G179,G180,G184,G193,G195,G198,G203,G153,G150,G176,G151)</f>
        <v>0</v>
      </c>
      <c r="H242" s="873">
        <f>SUM(H147,H148,H149,H150,H151,H153,H152,H176,H180,H184,H193,H195,H198,H203,H179)</f>
        <v>114364.5</v>
      </c>
      <c r="I242" s="893">
        <f>SUM(J242:K242)</f>
        <v>12665.1</v>
      </c>
      <c r="J242" s="873">
        <f>SUM(J147,J148,J149,J152,J179,J180,J184,J193,J195,J198,J203,J153,J150,J176,J151)</f>
        <v>0</v>
      </c>
      <c r="K242" s="873">
        <f>SUM(K147,K148,K149,K150,K151,K153,K152,K176,K180,K184,K193,K195,K198,K203,K179)</f>
        <v>12665.1</v>
      </c>
      <c r="L242" s="893">
        <f t="shared" si="38"/>
        <v>19.2</v>
      </c>
      <c r="M242" s="894">
        <f t="shared" si="40"/>
        <v>9.6</v>
      </c>
      <c r="N242" s="894">
        <f t="shared" si="40"/>
        <v>9.6</v>
      </c>
      <c r="O242" s="1065">
        <f t="shared" si="39"/>
        <v>0</v>
      </c>
      <c r="P242" s="1065">
        <f t="shared" si="39"/>
        <v>0</v>
      </c>
      <c r="Q242" s="1065">
        <f t="shared" si="39"/>
        <v>0</v>
      </c>
      <c r="R242" s="2504" t="s">
        <v>1066</v>
      </c>
      <c r="S242" s="2505"/>
      <c r="T242" s="2505"/>
      <c r="U242" s="2506"/>
    </row>
    <row r="243" spans="1:23" ht="31.5" customHeight="1">
      <c r="A243" s="895"/>
      <c r="B243" s="1147" t="s">
        <v>779</v>
      </c>
      <c r="C243" s="893">
        <f>SUM(D243:E243)</f>
        <v>261750.3</v>
      </c>
      <c r="D243" s="873">
        <f>SUM(D106:D118,D93:D100,D119:D123,D124:D127,D104,D129:D141)</f>
        <v>0</v>
      </c>
      <c r="E243" s="873">
        <f>SUM(E106:E118,E93:E100,E119:E123,E124:E127,E104,E129:E141)</f>
        <v>261750.3</v>
      </c>
      <c r="F243" s="893">
        <f>SUM(G243:H243)</f>
        <v>261750.3</v>
      </c>
      <c r="G243" s="873">
        <f>SUM(G106:G118,G93:G100,G119:G123,G124:G127,G104,G129:G141)</f>
        <v>0</v>
      </c>
      <c r="H243" s="873">
        <f>SUM(H106:H118,H93:H100,H119:H123,H124:H127,H104,H129:H141)</f>
        <v>261750.3</v>
      </c>
      <c r="I243" s="893">
        <f>SUM(J243:K243)</f>
        <v>22139.200000000001</v>
      </c>
      <c r="J243" s="873">
        <f>SUM(J106:J118,J93:J100,J119:J123,J124:J127,J104,J129:J141)</f>
        <v>0</v>
      </c>
      <c r="K243" s="873">
        <f>SUM(K106:K118,K93:K100,K119:K123,K124:K127,K104,K129:K141)</f>
        <v>22139.200000000001</v>
      </c>
      <c r="L243" s="893">
        <f t="shared" si="38"/>
        <v>0</v>
      </c>
      <c r="M243" s="894">
        <f t="shared" si="40"/>
        <v>0</v>
      </c>
      <c r="N243" s="894">
        <f t="shared" si="40"/>
        <v>0</v>
      </c>
      <c r="O243" s="1065">
        <f t="shared" si="39"/>
        <v>0</v>
      </c>
      <c r="P243" s="1065">
        <f t="shared" si="39"/>
        <v>0</v>
      </c>
      <c r="Q243" s="1065">
        <f t="shared" si="39"/>
        <v>0</v>
      </c>
      <c r="R243" s="2504" t="s">
        <v>1066</v>
      </c>
      <c r="S243" s="2505"/>
      <c r="T243" s="2505"/>
      <c r="U243" s="2506"/>
    </row>
    <row r="244" spans="1:23" ht="63.75" customHeight="1">
      <c r="A244" s="2444" t="s">
        <v>1032</v>
      </c>
      <c r="B244" s="2444"/>
      <c r="C244" s="876">
        <f>D244+E244</f>
        <v>1621351.8</v>
      </c>
      <c r="D244" s="879">
        <f>D13-D240-D241-D239</f>
        <v>765297.4</v>
      </c>
      <c r="E244" s="879">
        <f>E13-E240-E241-E239</f>
        <v>856054.4</v>
      </c>
      <c r="F244" s="876">
        <f>G244+H244</f>
        <v>1486214.4</v>
      </c>
      <c r="G244" s="879">
        <f>G13-G240-G241-G239</f>
        <v>722263.7</v>
      </c>
      <c r="H244" s="879">
        <f>H13-H240-H241-H239</f>
        <v>763950.7</v>
      </c>
      <c r="I244" s="876">
        <f>J244+K244</f>
        <v>14375.4</v>
      </c>
      <c r="J244" s="879">
        <f>J13-J240-J241-J239</f>
        <v>15.5</v>
      </c>
      <c r="K244" s="879">
        <f>K13-K240-K241-K239</f>
        <v>14359.9</v>
      </c>
      <c r="L244" s="893">
        <f t="shared" si="38"/>
        <v>0</v>
      </c>
      <c r="M244" s="894">
        <f t="shared" si="40"/>
        <v>0</v>
      </c>
      <c r="N244" s="894">
        <f t="shared" si="40"/>
        <v>0</v>
      </c>
      <c r="O244" s="1065">
        <f t="shared" si="39"/>
        <v>135137.4</v>
      </c>
      <c r="P244" s="1065">
        <f t="shared" si="39"/>
        <v>43033.7</v>
      </c>
      <c r="Q244" s="1065">
        <f t="shared" si="39"/>
        <v>92103.7</v>
      </c>
      <c r="R244" s="2504" t="s">
        <v>1066</v>
      </c>
      <c r="S244" s="2505"/>
      <c r="T244" s="2505"/>
      <c r="U244" s="2506"/>
    </row>
    <row r="245" spans="1:23" ht="38.25" customHeight="1">
      <c r="A245" s="1103"/>
      <c r="B245" s="797"/>
      <c r="C245" s="799"/>
      <c r="D245" s="799"/>
      <c r="E245" s="799"/>
      <c r="F245" s="799"/>
      <c r="G245" s="799"/>
      <c r="H245" s="799"/>
      <c r="I245" s="799"/>
      <c r="J245" s="799"/>
      <c r="K245" s="799"/>
      <c r="L245" s="799"/>
      <c r="M245" s="799"/>
      <c r="N245" s="799"/>
      <c r="O245" s="807" t="s">
        <v>813</v>
      </c>
      <c r="P245" s="1070" t="s">
        <v>814</v>
      </c>
      <c r="Q245" s="1070" t="s">
        <v>815</v>
      </c>
    </row>
    <row r="246" spans="1:23" s="939" customFormat="1" ht="33">
      <c r="A246" s="1104"/>
      <c r="B246" s="939" t="s">
        <v>310</v>
      </c>
      <c r="C246" s="940"/>
      <c r="D246" s="941"/>
      <c r="E246" s="941"/>
      <c r="F246" s="941"/>
      <c r="G246" s="942"/>
      <c r="H246" s="942"/>
      <c r="I246" s="940"/>
      <c r="J246" s="942"/>
      <c r="K246" s="2399" t="s">
        <v>613</v>
      </c>
      <c r="L246" s="2400"/>
      <c r="M246" s="943"/>
      <c r="N246" s="943"/>
      <c r="O246" s="807"/>
      <c r="P246" s="778"/>
      <c r="Q246" s="778">
        <f>Q143+Q144</f>
        <v>91669</v>
      </c>
      <c r="R246" s="1154"/>
      <c r="S246" s="1150"/>
      <c r="T246" s="1142"/>
      <c r="U246" s="1142"/>
      <c r="V246" s="1098"/>
      <c r="W246" s="1117"/>
    </row>
    <row r="247" spans="1:23">
      <c r="A247" s="1105"/>
      <c r="B247" s="791" t="s">
        <v>1067</v>
      </c>
      <c r="C247" s="793"/>
      <c r="E247" s="2372"/>
      <c r="F247" s="2373"/>
      <c r="G247" s="756"/>
      <c r="O247" s="807"/>
      <c r="P247" s="778">
        <f>P216</f>
        <v>1698.8</v>
      </c>
      <c r="Q247" s="778">
        <f>Q216</f>
        <v>193.5</v>
      </c>
      <c r="R247" s="1154"/>
    </row>
    <row r="248" spans="1:23">
      <c r="A248" s="1105"/>
      <c r="B248" s="791"/>
      <c r="C248" s="793"/>
      <c r="E248" s="1140"/>
      <c r="F248" s="1014"/>
      <c r="G248" s="756"/>
      <c r="O248" s="807"/>
      <c r="P248" s="1071"/>
      <c r="Q248" s="1071"/>
      <c r="R248" s="1154"/>
    </row>
    <row r="249" spans="1:23">
      <c r="E249" s="742"/>
      <c r="O249" s="1071"/>
      <c r="P249" s="778">
        <f>P19</f>
        <v>43033.7</v>
      </c>
      <c r="Q249" s="778">
        <f>Q19</f>
        <v>434.7</v>
      </c>
      <c r="R249" s="1154"/>
    </row>
    <row r="250" spans="1:23">
      <c r="E250" s="742"/>
      <c r="O250" s="778"/>
      <c r="P250" s="778"/>
      <c r="Q250" s="778"/>
      <c r="R250" s="1154"/>
    </row>
    <row r="251" spans="1:23">
      <c r="O251" s="1071"/>
      <c r="P251" s="1071"/>
      <c r="Q251" s="778"/>
      <c r="R251" s="1154"/>
    </row>
    <row r="252" spans="1:23">
      <c r="P252" s="756">
        <f>P13-P246-P247-P248-P249-P250-P251</f>
        <v>0</v>
      </c>
      <c r="Q252" s="756">
        <f>Q13-Q246-Q247-Q248-Q249-Q250-Q251</f>
        <v>0</v>
      </c>
    </row>
    <row r="253" spans="1:23">
      <c r="P253" s="1067"/>
      <c r="Q253" s="1067"/>
    </row>
  </sheetData>
  <mergeCells count="147">
    <mergeCell ref="A1:B1"/>
    <mergeCell ref="K1:N1"/>
    <mergeCell ref="I3:L3"/>
    <mergeCell ref="A5:N5"/>
    <mergeCell ref="A6:N6"/>
    <mergeCell ref="A7:N7"/>
    <mergeCell ref="J9:K9"/>
    <mergeCell ref="L9:M9"/>
    <mergeCell ref="A10:A11"/>
    <mergeCell ref="B10:B11"/>
    <mergeCell ref="C10:C11"/>
    <mergeCell ref="D10:E10"/>
    <mergeCell ref="F10:F11"/>
    <mergeCell ref="G10:H10"/>
    <mergeCell ref="I10:I11"/>
    <mergeCell ref="J10:K10"/>
    <mergeCell ref="L10:L11"/>
    <mergeCell ref="M10:N10"/>
    <mergeCell ref="A14:B14"/>
    <mergeCell ref="I39:I40"/>
    <mergeCell ref="J39:J40"/>
    <mergeCell ref="K39:K40"/>
    <mergeCell ref="L39:L40"/>
    <mergeCell ref="M39:M40"/>
    <mergeCell ref="N39:N40"/>
    <mergeCell ref="I66:I70"/>
    <mergeCell ref="J66:J70"/>
    <mergeCell ref="K66:K70"/>
    <mergeCell ref="L66:L70"/>
    <mergeCell ref="M66:M70"/>
    <mergeCell ref="N66:N70"/>
    <mergeCell ref="R72:U72"/>
    <mergeCell ref="R71:U71"/>
    <mergeCell ref="R75:U75"/>
    <mergeCell ref="R78:U78"/>
    <mergeCell ref="V66:V70"/>
    <mergeCell ref="R39:R40"/>
    <mergeCell ref="S39:S40"/>
    <mergeCell ref="T39:T40"/>
    <mergeCell ref="U39:U40"/>
    <mergeCell ref="V39:V40"/>
    <mergeCell ref="R45:U45"/>
    <mergeCell ref="R48:U48"/>
    <mergeCell ref="R50:U50"/>
    <mergeCell ref="R54:U54"/>
    <mergeCell ref="R66:R70"/>
    <mergeCell ref="S66:S70"/>
    <mergeCell ref="T66:T70"/>
    <mergeCell ref="U66:U70"/>
    <mergeCell ref="R57:U57"/>
    <mergeCell ref="R59:U59"/>
    <mergeCell ref="R61:U61"/>
    <mergeCell ref="R63:U63"/>
    <mergeCell ref="R65:U65"/>
    <mergeCell ref="R80:U80"/>
    <mergeCell ref="R82:U82"/>
    <mergeCell ref="R84:U84"/>
    <mergeCell ref="R87:U87"/>
    <mergeCell ref="N154:N160"/>
    <mergeCell ref="R154:R160"/>
    <mergeCell ref="U101:U102"/>
    <mergeCell ref="R90:U90"/>
    <mergeCell ref="V101:V102"/>
    <mergeCell ref="R89:U89"/>
    <mergeCell ref="A104:A105"/>
    <mergeCell ref="I101:I102"/>
    <mergeCell ref="J101:J102"/>
    <mergeCell ref="K101:K102"/>
    <mergeCell ref="L101:L102"/>
    <mergeCell ref="V154:V160"/>
    <mergeCell ref="R145:U145"/>
    <mergeCell ref="M101:M102"/>
    <mergeCell ref="N101:N102"/>
    <mergeCell ref="S154:S160"/>
    <mergeCell ref="T154:T160"/>
    <mergeCell ref="U154:U160"/>
    <mergeCell ref="R101:R102"/>
    <mergeCell ref="S101:S102"/>
    <mergeCell ref="T101:T102"/>
    <mergeCell ref="A176:A177"/>
    <mergeCell ref="I181:I182"/>
    <mergeCell ref="J181:J182"/>
    <mergeCell ref="K181:K182"/>
    <mergeCell ref="L181:L182"/>
    <mergeCell ref="M181:M182"/>
    <mergeCell ref="J154:J160"/>
    <mergeCell ref="K154:K160"/>
    <mergeCell ref="L154:L160"/>
    <mergeCell ref="M154:M160"/>
    <mergeCell ref="N181:N182"/>
    <mergeCell ref="R181:R182"/>
    <mergeCell ref="S181:S182"/>
    <mergeCell ref="T181:T182"/>
    <mergeCell ref="U181:U182"/>
    <mergeCell ref="V181:V182"/>
    <mergeCell ref="V185:V187"/>
    <mergeCell ref="A193:A194"/>
    <mergeCell ref="I185:I187"/>
    <mergeCell ref="J185:J187"/>
    <mergeCell ref="K185:K187"/>
    <mergeCell ref="L185:L187"/>
    <mergeCell ref="M185:M187"/>
    <mergeCell ref="N185:N187"/>
    <mergeCell ref="U185:U187"/>
    <mergeCell ref="A195:A196"/>
    <mergeCell ref="A198:A199"/>
    <mergeCell ref="A203:A204"/>
    <mergeCell ref="A206:B206"/>
    <mergeCell ref="A239:B239"/>
    <mergeCell ref="A240:B240"/>
    <mergeCell ref="A241:B241"/>
    <mergeCell ref="A244:B244"/>
    <mergeCell ref="K246:L246"/>
    <mergeCell ref="E247:F247"/>
    <mergeCell ref="R239:U239"/>
    <mergeCell ref="R240:U240"/>
    <mergeCell ref="R241:U241"/>
    <mergeCell ref="R242:U242"/>
    <mergeCell ref="R243:U243"/>
    <mergeCell ref="R244:U244"/>
    <mergeCell ref="R10:U12"/>
    <mergeCell ref="R13:U13"/>
    <mergeCell ref="R14:U14"/>
    <mergeCell ref="R16:U16"/>
    <mergeCell ref="R17:U17"/>
    <mergeCell ref="R22:U22"/>
    <mergeCell ref="R26:U26"/>
    <mergeCell ref="R28:U28"/>
    <mergeCell ref="R31:U31"/>
    <mergeCell ref="R34:U34"/>
    <mergeCell ref="R36:U36"/>
    <mergeCell ref="R41:U41"/>
    <mergeCell ref="R208:U208"/>
    <mergeCell ref="R210:U210"/>
    <mergeCell ref="R185:R187"/>
    <mergeCell ref="S185:S187"/>
    <mergeCell ref="T185:T187"/>
    <mergeCell ref="R206:U206"/>
    <mergeCell ref="R207:U207"/>
    <mergeCell ref="R234:U234"/>
    <mergeCell ref="R238:U238"/>
    <mergeCell ref="R212:U212"/>
    <mergeCell ref="R214:U214"/>
    <mergeCell ref="R216:U216"/>
    <mergeCell ref="R217:U217"/>
    <mergeCell ref="R218:U218"/>
    <mergeCell ref="R232:U232"/>
  </mergeCells>
  <pageMargins left="0.19685039370078741" right="0.19685039370078741" top="0.23622047244094491" bottom="0.23622047244094491" header="0.15748031496062992" footer="0.19685039370078741"/>
  <pageSetup paperSize="9" scale="27" fitToHeight="11" orientation="landscape" r:id="rId1"/>
  <customProperties>
    <customPr name="krista_fm_consts" r:id="rId2"/>
  </customProperties>
</worksheet>
</file>

<file path=xl/worksheets/sheet31.xml><?xml version="1.0" encoding="utf-8"?>
<worksheet xmlns="http://schemas.openxmlformats.org/spreadsheetml/2006/main" xmlns:r="http://schemas.openxmlformats.org/officeDocument/2006/relationships">
  <dimension ref="B1:AB20"/>
  <sheetViews>
    <sheetView zoomScale="60" zoomScaleNormal="60" zoomScaleSheetLayoutView="50" workbookViewId="0">
      <selection activeCell="C12" sqref="C12"/>
    </sheetView>
  </sheetViews>
  <sheetFormatPr defaultColWidth="9.140625" defaultRowHeight="15.75"/>
  <cols>
    <col min="1" max="1" width="9.140625" style="497"/>
    <col min="2" max="2" width="51.7109375" style="497" customWidth="1"/>
    <col min="3" max="3" width="24.140625" style="700" customWidth="1"/>
    <col min="4" max="4" width="24.28515625" style="1027" customWidth="1"/>
    <col min="5" max="5" width="18.5703125" style="1027" bestFit="1" customWidth="1"/>
    <col min="6" max="6" width="20.140625" style="1027" customWidth="1"/>
    <col min="7" max="7" width="16.28515625" style="1027" bestFit="1" customWidth="1"/>
    <col min="8" max="8" width="24.140625" style="700" customWidth="1"/>
    <col min="9" max="9" width="24.28515625" style="497" customWidth="1"/>
    <col min="10" max="10" width="18.5703125" style="497" bestFit="1" customWidth="1"/>
    <col min="11" max="11" width="20.140625" style="497" customWidth="1"/>
    <col min="12" max="12" width="20.85546875" style="497" customWidth="1"/>
    <col min="13" max="13" width="24.140625" style="700" customWidth="1"/>
    <col min="14" max="14" width="18.42578125" style="497" bestFit="1" customWidth="1"/>
    <col min="15" max="15" width="16.28515625" style="497" bestFit="1" customWidth="1"/>
    <col min="16" max="16" width="23.28515625" style="700" customWidth="1"/>
    <col min="17" max="17" width="26" style="497" customWidth="1"/>
    <col min="18" max="18" width="18.42578125" style="497" bestFit="1" customWidth="1"/>
    <col min="19" max="19" width="25.7109375" style="497" bestFit="1" customWidth="1"/>
    <col min="20" max="20" width="14.28515625" style="497" bestFit="1" customWidth="1"/>
    <col min="21" max="21" width="24.140625" style="700" customWidth="1"/>
    <col min="22" max="22" width="27.7109375" style="1035" customWidth="1"/>
    <col min="23" max="23" width="18.42578125" style="497" bestFit="1" customWidth="1"/>
    <col min="24" max="24" width="24.42578125" style="1035" customWidth="1"/>
    <col min="25" max="25" width="20.85546875" style="497" customWidth="1"/>
    <col min="26" max="26" width="24.140625" style="700" customWidth="1"/>
    <col min="27" max="27" width="18.28515625" style="497" bestFit="1" customWidth="1"/>
    <col min="28" max="28" width="16.140625" style="497" bestFit="1" customWidth="1"/>
    <col min="29" max="16384" width="9.140625" style="497"/>
  </cols>
  <sheetData>
    <row r="1" spans="2:28">
      <c r="B1" s="1013"/>
      <c r="C1" s="817"/>
      <c r="D1" s="1020"/>
      <c r="E1" s="1020"/>
      <c r="F1" s="1020"/>
      <c r="G1" s="1020"/>
      <c r="H1" s="817"/>
      <c r="I1" s="817"/>
      <c r="J1" s="817"/>
      <c r="K1" s="817"/>
      <c r="L1" s="817"/>
      <c r="M1" s="817"/>
      <c r="N1" s="817"/>
      <c r="O1" s="817"/>
      <c r="P1" s="817"/>
      <c r="Q1" s="817"/>
      <c r="R1" s="817"/>
      <c r="S1" s="817"/>
      <c r="T1" s="817"/>
      <c r="U1" s="817"/>
      <c r="V1" s="1030"/>
      <c r="W1" s="817"/>
      <c r="X1" s="1030"/>
      <c r="Y1" s="817"/>
      <c r="Z1" s="817"/>
      <c r="AA1" s="817"/>
      <c r="AB1" s="817"/>
    </row>
    <row r="2" spans="2:28" hidden="1">
      <c r="B2" s="1013"/>
      <c r="C2" s="714"/>
      <c r="D2" s="1021"/>
      <c r="E2" s="1021"/>
      <c r="F2" s="1021"/>
      <c r="G2" s="1021"/>
      <c r="H2" s="714"/>
      <c r="I2" s="1013"/>
      <c r="J2" s="1013"/>
      <c r="K2" s="1013"/>
      <c r="L2" s="1013"/>
      <c r="M2" s="714"/>
      <c r="N2" s="1013"/>
      <c r="O2" s="1013"/>
      <c r="R2" s="1013"/>
      <c r="T2" s="1013"/>
      <c r="U2" s="714"/>
      <c r="V2" s="1031"/>
      <c r="W2" s="1013"/>
      <c r="X2" s="1031"/>
      <c r="Y2" s="1013"/>
      <c r="Z2" s="714"/>
      <c r="AA2" s="1013"/>
      <c r="AB2" s="1013"/>
    </row>
    <row r="3" spans="2:28" s="467" customFormat="1" ht="15.75" hidden="1" customHeight="1">
      <c r="C3" s="715"/>
      <c r="D3" s="1022"/>
      <c r="E3" s="1022"/>
      <c r="F3" s="1022"/>
      <c r="G3" s="1022"/>
      <c r="H3" s="715"/>
      <c r="I3" s="716"/>
      <c r="J3" s="716"/>
      <c r="K3" s="716"/>
      <c r="L3" s="716"/>
      <c r="M3" s="715"/>
      <c r="N3" s="716"/>
      <c r="O3" s="716"/>
      <c r="P3" s="715"/>
      <c r="Q3" s="716"/>
      <c r="R3" s="716"/>
      <c r="S3" s="716"/>
      <c r="T3" s="716"/>
      <c r="U3" s="715"/>
      <c r="V3" s="1032"/>
      <c r="W3" s="716"/>
      <c r="X3" s="1032"/>
      <c r="Y3" s="716"/>
      <c r="Z3" s="715"/>
      <c r="AA3" s="716"/>
      <c r="AB3" s="716"/>
    </row>
    <row r="4" spans="2:28" s="467" customFormat="1" ht="43.5" hidden="1" customHeight="1">
      <c r="C4" s="815">
        <f>6162009.6</f>
        <v>6162009.5999999996</v>
      </c>
      <c r="D4" s="1022"/>
      <c r="E4" s="1022"/>
      <c r="F4" s="1022"/>
      <c r="G4" s="1022"/>
      <c r="H4" s="815">
        <f>6162009.6</f>
        <v>6162009.5999999996</v>
      </c>
      <c r="I4" s="716"/>
      <c r="J4" s="716"/>
      <c r="K4" s="716"/>
      <c r="L4" s="716"/>
      <c r="M4" s="815">
        <f>6162009.6</f>
        <v>6162009.5999999996</v>
      </c>
      <c r="N4" s="716"/>
      <c r="O4" s="716"/>
      <c r="P4" s="815">
        <v>5873905</v>
      </c>
      <c r="Q4" s="469"/>
      <c r="R4" s="716"/>
      <c r="S4" s="469"/>
      <c r="T4" s="716"/>
      <c r="U4" s="815">
        <f>6162009.6</f>
        <v>6162009.5999999996</v>
      </c>
      <c r="V4" s="1032"/>
      <c r="W4" s="716"/>
      <c r="X4" s="1032"/>
      <c r="Y4" s="716"/>
      <c r="Z4" s="815">
        <f>6162009.6</f>
        <v>6162009.5999999996</v>
      </c>
      <c r="AA4" s="716"/>
      <c r="AB4" s="716"/>
    </row>
    <row r="5" spans="2:28" s="467" customFormat="1" ht="30.75" customHeight="1">
      <c r="B5" s="1045"/>
      <c r="C5" s="1045"/>
      <c r="D5" s="1045"/>
      <c r="E5" s="1045"/>
      <c r="F5" s="1045"/>
      <c r="G5" s="1045"/>
      <c r="H5" s="1045"/>
      <c r="I5" s="1045"/>
      <c r="J5" s="1045"/>
      <c r="K5" s="1045"/>
      <c r="L5" s="1045"/>
      <c r="M5" s="1045"/>
      <c r="N5" s="1045"/>
      <c r="O5" s="1045"/>
      <c r="P5" s="1045"/>
      <c r="Q5" s="1045"/>
      <c r="R5" s="1045"/>
      <c r="S5" s="1045"/>
      <c r="V5" s="1032"/>
      <c r="X5" s="1032"/>
    </row>
    <row r="6" spans="2:28" s="467" customFormat="1" ht="20.25" customHeight="1">
      <c r="B6" s="474"/>
      <c r="C6" s="471"/>
      <c r="D6" s="1023"/>
      <c r="E6" s="1023"/>
      <c r="F6" s="1023"/>
      <c r="G6" s="1023"/>
      <c r="H6" s="471"/>
      <c r="I6" s="474"/>
      <c r="J6" s="474"/>
      <c r="K6" s="474"/>
      <c r="L6" s="474"/>
      <c r="M6" s="471"/>
      <c r="N6" s="474"/>
      <c r="O6" s="474"/>
      <c r="P6" s="471"/>
      <c r="Q6" s="474"/>
      <c r="R6" s="474"/>
      <c r="S6" s="800"/>
      <c r="T6" s="474"/>
      <c r="U6" s="471"/>
      <c r="V6" s="1033"/>
      <c r="W6" s="474"/>
      <c r="X6" s="1033"/>
      <c r="Y6" s="474"/>
      <c r="Z6" s="471"/>
      <c r="AA6" s="474"/>
      <c r="AB6" s="474"/>
    </row>
    <row r="7" spans="2:28" s="791" customFormat="1" ht="70.5" customHeight="1">
      <c r="B7" s="2395" t="s">
        <v>0</v>
      </c>
      <c r="C7" s="2523" t="s">
        <v>789</v>
      </c>
      <c r="D7" s="2526" t="s">
        <v>257</v>
      </c>
      <c r="E7" s="2527"/>
      <c r="F7" s="2527"/>
      <c r="G7" s="2528"/>
      <c r="H7" s="2523" t="s">
        <v>786</v>
      </c>
      <c r="I7" s="2529" t="s">
        <v>257</v>
      </c>
      <c r="J7" s="2530"/>
      <c r="K7" s="2530"/>
      <c r="L7" s="2531"/>
      <c r="M7" s="2523" t="s">
        <v>785</v>
      </c>
      <c r="N7" s="2529" t="s">
        <v>257</v>
      </c>
      <c r="O7" s="2530"/>
      <c r="P7" s="2524" t="s">
        <v>783</v>
      </c>
      <c r="Q7" s="2424" t="s">
        <v>257</v>
      </c>
      <c r="R7" s="2424"/>
      <c r="S7" s="2424"/>
      <c r="T7" s="2424"/>
      <c r="U7" s="2522" t="s">
        <v>790</v>
      </c>
      <c r="V7" s="2529" t="s">
        <v>257</v>
      </c>
      <c r="W7" s="2530"/>
      <c r="X7" s="2530"/>
      <c r="Y7" s="2531"/>
      <c r="Z7" s="2522" t="s">
        <v>785</v>
      </c>
      <c r="AA7" s="2424" t="s">
        <v>257</v>
      </c>
      <c r="AB7" s="2424"/>
    </row>
    <row r="8" spans="2:28" s="791" customFormat="1" ht="150" customHeight="1">
      <c r="B8" s="2395"/>
      <c r="C8" s="2523"/>
      <c r="D8" s="1024" t="s">
        <v>259</v>
      </c>
      <c r="E8" s="1024" t="s">
        <v>784</v>
      </c>
      <c r="F8" s="1024" t="s">
        <v>258</v>
      </c>
      <c r="G8" s="1024" t="s">
        <v>784</v>
      </c>
      <c r="H8" s="2523"/>
      <c r="I8" s="905" t="s">
        <v>259</v>
      </c>
      <c r="J8" s="905" t="s">
        <v>784</v>
      </c>
      <c r="K8" s="905" t="s">
        <v>258</v>
      </c>
      <c r="L8" s="905" t="s">
        <v>784</v>
      </c>
      <c r="M8" s="2523"/>
      <c r="N8" s="905" t="s">
        <v>259</v>
      </c>
      <c r="O8" s="905" t="s">
        <v>258</v>
      </c>
      <c r="P8" s="2525"/>
      <c r="Q8" s="1015" t="s">
        <v>259</v>
      </c>
      <c r="R8" s="1015" t="s">
        <v>784</v>
      </c>
      <c r="S8" s="1015" t="s">
        <v>258</v>
      </c>
      <c r="T8" s="1015" t="s">
        <v>784</v>
      </c>
      <c r="U8" s="2522"/>
      <c r="V8" s="1034" t="s">
        <v>259</v>
      </c>
      <c r="W8" s="905" t="s">
        <v>784</v>
      </c>
      <c r="X8" s="1034" t="s">
        <v>258</v>
      </c>
      <c r="Y8" s="905" t="s">
        <v>784</v>
      </c>
      <c r="Z8" s="2522"/>
      <c r="AA8" s="905" t="s">
        <v>259</v>
      </c>
      <c r="AB8" s="905" t="s">
        <v>258</v>
      </c>
    </row>
    <row r="9" spans="2:28" ht="167.25" customHeight="1">
      <c r="B9" s="989" t="s">
        <v>694</v>
      </c>
      <c r="C9" s="1019">
        <f>SUM(D9,F9)</f>
        <v>251200</v>
      </c>
      <c r="D9" s="1025">
        <f>251200*0.94004262474</f>
        <v>236138.7</v>
      </c>
      <c r="E9" s="1026">
        <f>D9/C9</f>
        <v>0.94004299999999996</v>
      </c>
      <c r="F9" s="1025">
        <f>251200*(1-0.94004262474)</f>
        <v>15061.3</v>
      </c>
      <c r="G9" s="1026">
        <f>F9/D9</f>
        <v>6.3782000000000005E-2</v>
      </c>
      <c r="H9" s="1019">
        <f>SUM(I9,K9)</f>
        <v>251200</v>
      </c>
      <c r="I9" s="879">
        <v>236128</v>
      </c>
      <c r="J9" s="1017">
        <f>I9/H9</f>
        <v>0.94</v>
      </c>
      <c r="K9" s="879">
        <v>15072</v>
      </c>
      <c r="L9" s="1017">
        <f>K9/I9</f>
        <v>6.3829999999999998E-2</v>
      </c>
      <c r="M9" s="1019">
        <f>H9-C9</f>
        <v>0</v>
      </c>
      <c r="N9" s="879">
        <f>D9-I9</f>
        <v>10.7</v>
      </c>
      <c r="O9" s="879">
        <f>F9-K9</f>
        <v>-10.7</v>
      </c>
      <c r="P9" s="1018">
        <f>SUM(Q9,S9)</f>
        <v>115500000</v>
      </c>
      <c r="Q9" s="879">
        <v>108552000</v>
      </c>
      <c r="R9" s="1017">
        <f>Q9/P9</f>
        <v>0.93984400000000001</v>
      </c>
      <c r="S9" s="879">
        <v>6948000</v>
      </c>
      <c r="T9" s="1016">
        <f>S9/Q9</f>
        <v>6.4009999999999997E-2</v>
      </c>
      <c r="U9" s="1018">
        <f>SUM(V9,X9)</f>
        <v>115500000</v>
      </c>
      <c r="V9" s="885">
        <v>108552000</v>
      </c>
      <c r="W9" s="1017">
        <f>V9/U9</f>
        <v>0.93984400000000001</v>
      </c>
      <c r="X9" s="885">
        <v>6948000</v>
      </c>
      <c r="Y9" s="1016">
        <f>X9/V9</f>
        <v>6.4009999999999997E-2</v>
      </c>
      <c r="Z9" s="1018">
        <f>U9-P9</f>
        <v>0</v>
      </c>
      <c r="AA9" s="879">
        <f>Q9-V9</f>
        <v>0</v>
      </c>
      <c r="AB9" s="879">
        <f>S9-X9</f>
        <v>0</v>
      </c>
    </row>
    <row r="10" spans="2:28" ht="176.25" customHeight="1">
      <c r="B10" s="989" t="s">
        <v>695</v>
      </c>
      <c r="C10" s="1019">
        <f>SUM(D10,F10)</f>
        <v>142468</v>
      </c>
      <c r="D10" s="1025">
        <f>142468*0.94004262474</f>
        <v>133926</v>
      </c>
      <c r="E10" s="1026">
        <f t="shared" ref="E10:E17" si="0">D10/C10</f>
        <v>0.94004299999999996</v>
      </c>
      <c r="F10" s="1025">
        <f>142468*(1-0.94004262474)</f>
        <v>8542</v>
      </c>
      <c r="G10" s="1026">
        <f>F10/D10</f>
        <v>6.3781000000000004E-2</v>
      </c>
      <c r="H10" s="1019">
        <f>SUM(I10,K10)</f>
        <v>142468</v>
      </c>
      <c r="I10" s="879">
        <v>133919.9</v>
      </c>
      <c r="J10" s="1017">
        <f t="shared" ref="J10:J17" si="1">I10/H10</f>
        <v>0.94</v>
      </c>
      <c r="K10" s="879">
        <v>8548.1</v>
      </c>
      <c r="L10" s="1017">
        <f t="shared" ref="L10:L17" si="2">K10/I10</f>
        <v>6.3829999999999998E-2</v>
      </c>
      <c r="M10" s="1019">
        <f>SUM(N10,O10)</f>
        <v>0</v>
      </c>
      <c r="N10" s="879">
        <f>D10-I10</f>
        <v>6.1</v>
      </c>
      <c r="O10" s="879">
        <f>F10-K10</f>
        <v>-6.1</v>
      </c>
      <c r="P10" s="1018">
        <f>SUM(Q10,S10)</f>
        <v>110500000</v>
      </c>
      <c r="Q10" s="879">
        <v>103848000</v>
      </c>
      <c r="R10" s="1017">
        <f t="shared" ref="R10:R16" si="3">Q10/P10</f>
        <v>0.939801</v>
      </c>
      <c r="S10" s="879">
        <v>6652000</v>
      </c>
      <c r="T10" s="1016">
        <f t="shared" ref="T10:T16" si="4">S10/Q10</f>
        <v>6.4060000000000006E-2</v>
      </c>
      <c r="U10" s="1018">
        <f>SUM(V10,X10)</f>
        <v>110500000</v>
      </c>
      <c r="V10" s="885">
        <v>103848000</v>
      </c>
      <c r="W10" s="1017">
        <f>V10/U10</f>
        <v>0.939801</v>
      </c>
      <c r="X10" s="885">
        <v>6652000</v>
      </c>
      <c r="Y10" s="1016">
        <f>X10/V10</f>
        <v>6.4060000000000006E-2</v>
      </c>
      <c r="Z10" s="1018">
        <f>SUM(AA10,AB10)</f>
        <v>0</v>
      </c>
      <c r="AA10" s="879">
        <f>Q10-V10</f>
        <v>0</v>
      </c>
      <c r="AB10" s="879">
        <f>S10-X10</f>
        <v>0</v>
      </c>
    </row>
    <row r="11" spans="2:28" ht="63" customHeight="1">
      <c r="B11" s="989"/>
      <c r="C11" s="1019">
        <f>SUM(D11,F11)</f>
        <v>393668</v>
      </c>
      <c r="D11" s="1001">
        <f>SUM(D9:D10)</f>
        <v>370064.7</v>
      </c>
      <c r="E11" s="1026">
        <f t="shared" si="0"/>
        <v>0.94004299999999996</v>
      </c>
      <c r="F11" s="1001">
        <f>SUM(F9:F10)</f>
        <v>23603.3</v>
      </c>
      <c r="G11" s="1026">
        <f>F11/D11</f>
        <v>6.3782000000000005E-2</v>
      </c>
      <c r="H11" s="1019">
        <f>SUM(I11,K11)</f>
        <v>393668</v>
      </c>
      <c r="I11" s="874">
        <f>SUM(I9:I10)</f>
        <v>370047.9</v>
      </c>
      <c r="J11" s="1017">
        <f t="shared" si="1"/>
        <v>0.94</v>
      </c>
      <c r="K11" s="874">
        <f>SUM(K9:K10)</f>
        <v>23620.1</v>
      </c>
      <c r="L11" s="1017">
        <f t="shared" si="2"/>
        <v>6.3829999999999998E-2</v>
      </c>
      <c r="M11" s="1019">
        <f>SUM(N11,O11)</f>
        <v>0</v>
      </c>
      <c r="N11" s="1029">
        <f>D11-I11</f>
        <v>16.8</v>
      </c>
      <c r="O11" s="1029">
        <f>F11-K11</f>
        <v>-16.8</v>
      </c>
      <c r="P11" s="1018">
        <f>SUM(Q11,S11)</f>
        <v>226000000</v>
      </c>
      <c r="Q11" s="874">
        <f>SUM(Q9:Q10)</f>
        <v>212400000</v>
      </c>
      <c r="R11" s="1017">
        <f t="shared" si="3"/>
        <v>0.93982299999999996</v>
      </c>
      <c r="S11" s="874">
        <f>SUM(S9:S10)</f>
        <v>13600000</v>
      </c>
      <c r="T11" s="1016">
        <f t="shared" si="4"/>
        <v>6.4030000000000004E-2</v>
      </c>
      <c r="U11" s="1018">
        <f>SUM(V11,X11)</f>
        <v>226000000</v>
      </c>
      <c r="V11" s="881">
        <f>SUM(V9:V10)</f>
        <v>212400000</v>
      </c>
      <c r="W11" s="1017">
        <f>V11/U11</f>
        <v>0.93982299999999996</v>
      </c>
      <c r="X11" s="881">
        <f>SUM(X9:X10)</f>
        <v>13600000</v>
      </c>
      <c r="Y11" s="1016">
        <f>X11/V11</f>
        <v>6.4030000000000004E-2</v>
      </c>
      <c r="Z11" s="1018">
        <f>SUM(AA11,AB11)</f>
        <v>0</v>
      </c>
      <c r="AA11" s="1028">
        <f>Q11-V11</f>
        <v>0</v>
      </c>
      <c r="AB11" s="1028">
        <f>S11-X11</f>
        <v>0</v>
      </c>
    </row>
    <row r="12" spans="2:28" ht="63" customHeight="1">
      <c r="B12" s="989"/>
      <c r="C12" s="1019"/>
      <c r="D12" s="1001"/>
      <c r="E12" s="1026"/>
      <c r="F12" s="1001"/>
      <c r="G12" s="1026"/>
      <c r="H12" s="1019"/>
      <c r="I12" s="874"/>
      <c r="J12" s="1017"/>
      <c r="K12" s="874"/>
      <c r="L12" s="1017"/>
      <c r="M12" s="1019"/>
      <c r="N12" s="1029" t="s">
        <v>787</v>
      </c>
      <c r="O12" s="1029" t="s">
        <v>788</v>
      </c>
      <c r="P12" s="1018"/>
      <c r="Q12" s="874"/>
      <c r="R12" s="1017"/>
      <c r="S12" s="874"/>
      <c r="T12" s="1016"/>
      <c r="U12" s="1018"/>
      <c r="V12" s="881"/>
      <c r="W12" s="1017"/>
      <c r="X12" s="881"/>
      <c r="Y12" s="1017"/>
      <c r="Z12" s="1018"/>
      <c r="AA12" s="1029" t="s">
        <v>787</v>
      </c>
      <c r="AB12" s="1029" t="s">
        <v>788</v>
      </c>
    </row>
    <row r="13" spans="2:28" ht="24" customHeight="1">
      <c r="B13" s="989"/>
      <c r="C13" s="1019"/>
      <c r="D13" s="1025"/>
      <c r="E13" s="1026"/>
      <c r="F13" s="1025"/>
      <c r="G13" s="1026"/>
      <c r="H13" s="1019"/>
      <c r="I13" s="879"/>
      <c r="J13" s="1017"/>
      <c r="K13" s="879"/>
      <c r="L13" s="1017"/>
      <c r="M13" s="1019"/>
      <c r="N13" s="879"/>
      <c r="O13" s="879"/>
      <c r="P13" s="1018"/>
      <c r="Q13" s="879"/>
      <c r="R13" s="1017"/>
      <c r="S13" s="879"/>
      <c r="T13" s="1016"/>
      <c r="U13" s="1018"/>
      <c r="V13" s="885"/>
      <c r="W13" s="1017"/>
      <c r="X13" s="885"/>
      <c r="Y13" s="1017"/>
      <c r="Z13" s="1018"/>
      <c r="AA13" s="879"/>
      <c r="AB13" s="879"/>
    </row>
    <row r="14" spans="2:28" ht="129.75" customHeight="1">
      <c r="B14" s="990" t="s">
        <v>698</v>
      </c>
      <c r="C14" s="1019">
        <f>D14+F14</f>
        <v>96270.6</v>
      </c>
      <c r="D14" s="1043">
        <f>96270.6*0.94005568959</f>
        <v>90499.73</v>
      </c>
      <c r="E14" s="1026">
        <f t="shared" si="0"/>
        <v>0.940056</v>
      </c>
      <c r="F14" s="1043">
        <f>96270.6*(1-0.94005568959)</f>
        <v>5770.87</v>
      </c>
      <c r="G14" s="1026">
        <f>F14/D14</f>
        <v>6.3767000000000004E-2</v>
      </c>
      <c r="H14" s="1019">
        <f>I14+K14</f>
        <v>96271</v>
      </c>
      <c r="I14" s="885">
        <v>90461</v>
      </c>
      <c r="J14" s="1017">
        <f t="shared" si="1"/>
        <v>0.93964999999999999</v>
      </c>
      <c r="K14" s="885">
        <v>5810</v>
      </c>
      <c r="L14" s="1017">
        <f t="shared" si="2"/>
        <v>6.4227000000000006E-2</v>
      </c>
      <c r="M14" s="1019">
        <f>SUM(N14:O14)</f>
        <v>-0.4</v>
      </c>
      <c r="N14" s="879">
        <f>D14-I14</f>
        <v>38.700000000000003</v>
      </c>
      <c r="O14" s="879">
        <f>F14-K14</f>
        <v>-39.1</v>
      </c>
      <c r="P14" s="1041">
        <v>320800.09999999998</v>
      </c>
      <c r="Q14" s="885">
        <f>P14*Q20</f>
        <v>301530.43</v>
      </c>
      <c r="R14" s="1017">
        <f t="shared" si="3"/>
        <v>0.93993199999999999</v>
      </c>
      <c r="S14" s="885">
        <f>S20*P14</f>
        <v>19269.669999999998</v>
      </c>
      <c r="T14" s="1016">
        <f t="shared" si="4"/>
        <v>6.3909999999999995E-2</v>
      </c>
      <c r="U14" s="1018">
        <f>V14+X14</f>
        <v>320800.09999999998</v>
      </c>
      <c r="V14" s="885">
        <v>301455.90000000002</v>
      </c>
      <c r="W14" s="1017">
        <f>V14/U14</f>
        <v>0.93969999999999998</v>
      </c>
      <c r="X14" s="885">
        <v>19344.2</v>
      </c>
      <c r="Y14" s="1042">
        <f>X14/V14</f>
        <v>0.1</v>
      </c>
      <c r="Z14" s="1041">
        <f>SUM(AA14:AB14)</f>
        <v>0</v>
      </c>
      <c r="AA14" s="885">
        <f>Q14-V14</f>
        <v>74.53</v>
      </c>
      <c r="AB14" s="885">
        <f>S14-X14</f>
        <v>-74.53</v>
      </c>
    </row>
    <row r="15" spans="2:28" ht="129.75" customHeight="1">
      <c r="B15" s="990" t="s">
        <v>697</v>
      </c>
      <c r="C15" s="1019">
        <f>D15+F15</f>
        <v>150000</v>
      </c>
      <c r="D15" s="1043">
        <f>150000*0.94005568959</f>
        <v>141008.35</v>
      </c>
      <c r="E15" s="1026">
        <f t="shared" si="0"/>
        <v>0.940056</v>
      </c>
      <c r="F15" s="1043">
        <f>150000*(1-0.94005568959)</f>
        <v>8991.65</v>
      </c>
      <c r="G15" s="1026">
        <f>F15/D15</f>
        <v>6.3767000000000004E-2</v>
      </c>
      <c r="H15" s="1019">
        <f>I15+K15</f>
        <v>150000</v>
      </c>
      <c r="I15" s="885">
        <v>140955</v>
      </c>
      <c r="J15" s="1017">
        <f t="shared" si="1"/>
        <v>0.93969999999999998</v>
      </c>
      <c r="K15" s="885">
        <v>9045</v>
      </c>
      <c r="L15" s="1017">
        <f t="shared" si="2"/>
        <v>6.4169000000000004E-2</v>
      </c>
      <c r="M15" s="1019">
        <f>SUM(N15:O15)</f>
        <v>0</v>
      </c>
      <c r="N15" s="879">
        <f>D15-I15</f>
        <v>53.4</v>
      </c>
      <c r="O15" s="879">
        <f>F15-K15</f>
        <v>-53.4</v>
      </c>
      <c r="P15" s="1041">
        <v>37499.9</v>
      </c>
      <c r="Q15" s="885">
        <f>P15*Q20</f>
        <v>35247.370000000003</v>
      </c>
      <c r="R15" s="1017">
        <f t="shared" si="3"/>
        <v>0.93993199999999999</v>
      </c>
      <c r="S15" s="885">
        <f>P15*S20</f>
        <v>2252.5300000000002</v>
      </c>
      <c r="T15" s="1016">
        <f t="shared" si="4"/>
        <v>6.3909999999999995E-2</v>
      </c>
      <c r="U15" s="1018">
        <f>V15+X15</f>
        <v>37499.9</v>
      </c>
      <c r="V15" s="885">
        <v>35238.65</v>
      </c>
      <c r="W15" s="1017">
        <f>V15/U15</f>
        <v>0.93969999999999998</v>
      </c>
      <c r="X15" s="885">
        <v>2261.2399999999998</v>
      </c>
      <c r="Y15" s="1017">
        <f>X15/V15</f>
        <v>6.4169000000000004E-2</v>
      </c>
      <c r="Z15" s="1041">
        <f>SUM(AA15:AB15)</f>
        <v>0.01</v>
      </c>
      <c r="AA15" s="885">
        <f>Q15-V15</f>
        <v>8.7200000000000006</v>
      </c>
      <c r="AB15" s="885">
        <f>S15-X15</f>
        <v>-8.7100000000000009</v>
      </c>
    </row>
    <row r="16" spans="2:28" ht="129.75" customHeight="1">
      <c r="B16" s="990" t="s">
        <v>696</v>
      </c>
      <c r="C16" s="1019">
        <f>D16+F16</f>
        <v>34500</v>
      </c>
      <c r="D16" s="1043">
        <f>34500*0.94005568959</f>
        <v>32431.919999999998</v>
      </c>
      <c r="E16" s="1026">
        <f t="shared" si="0"/>
        <v>0.940056</v>
      </c>
      <c r="F16" s="1043">
        <f>34500*(1-0.94005568959)</f>
        <v>2068.08</v>
      </c>
      <c r="G16" s="1026">
        <f>F16/D16</f>
        <v>6.3767000000000004E-2</v>
      </c>
      <c r="H16" s="1019">
        <f>I16+K16</f>
        <v>34500</v>
      </c>
      <c r="I16" s="885">
        <v>32420</v>
      </c>
      <c r="J16" s="1017">
        <f t="shared" si="1"/>
        <v>0.93971000000000005</v>
      </c>
      <c r="K16" s="885">
        <v>2080</v>
      </c>
      <c r="L16" s="1017">
        <f t="shared" si="2"/>
        <v>6.4158000000000007E-2</v>
      </c>
      <c r="M16" s="1019">
        <f>SUM(N16:O16)</f>
        <v>0</v>
      </c>
      <c r="N16" s="879">
        <f>D16-I16</f>
        <v>11.9</v>
      </c>
      <c r="O16" s="879">
        <f>F16-K16</f>
        <v>-11.9</v>
      </c>
      <c r="P16" s="1041">
        <v>204400</v>
      </c>
      <c r="Q16" s="885">
        <f>P16*Q20</f>
        <v>192122.2</v>
      </c>
      <c r="R16" s="1017">
        <f t="shared" si="3"/>
        <v>0.93993199999999999</v>
      </c>
      <c r="S16" s="885">
        <f>P16*S20</f>
        <v>12277.8</v>
      </c>
      <c r="T16" s="1016">
        <f t="shared" si="4"/>
        <v>6.3909999999999995E-2</v>
      </c>
      <c r="U16" s="1018">
        <f>V16+X16</f>
        <v>204400</v>
      </c>
      <c r="V16" s="885">
        <v>192074.6</v>
      </c>
      <c r="W16" s="1017">
        <f>V16/U16</f>
        <v>0.93969999999999998</v>
      </c>
      <c r="X16" s="885">
        <v>12325.4</v>
      </c>
      <c r="Y16" s="1017">
        <f>X16/V16</f>
        <v>6.4170000000000005E-2</v>
      </c>
      <c r="Z16" s="1041">
        <f>SUM(AA16:AB16)</f>
        <v>0</v>
      </c>
      <c r="AA16" s="885">
        <f>Q16-V16</f>
        <v>47.6</v>
      </c>
      <c r="AB16" s="885">
        <f>S16-X16</f>
        <v>-47.6</v>
      </c>
    </row>
    <row r="17" spans="2:28" ht="63" customHeight="1">
      <c r="B17" s="989"/>
      <c r="C17" s="1019">
        <f>SUM(C14:C16)</f>
        <v>280770.59999999998</v>
      </c>
      <c r="D17" s="1044">
        <f>SUM(D14:D16)</f>
        <v>263940</v>
      </c>
      <c r="E17" s="1026">
        <f t="shared" si="0"/>
        <v>0.940056</v>
      </c>
      <c r="F17" s="1044">
        <f>SUM(F14:F16)</f>
        <v>16830.599999999999</v>
      </c>
      <c r="G17" s="1026">
        <f>F17/D17</f>
        <v>6.3767000000000004E-2</v>
      </c>
      <c r="H17" s="1019">
        <f>SUM(H14:H16)</f>
        <v>280771</v>
      </c>
      <c r="I17" s="881">
        <f>SUM(I14:I16)</f>
        <v>263836</v>
      </c>
      <c r="J17" s="1017">
        <f t="shared" si="1"/>
        <v>0.93968399999999996</v>
      </c>
      <c r="K17" s="881">
        <f>SUM(K14:K16)</f>
        <v>16935</v>
      </c>
      <c r="L17" s="1017">
        <f t="shared" si="2"/>
        <v>6.4187999999999995E-2</v>
      </c>
      <c r="M17" s="1019">
        <f>SUM(M14:M16)</f>
        <v>-0.4</v>
      </c>
      <c r="N17" s="874">
        <f>SUM(N14:N16)</f>
        <v>104</v>
      </c>
      <c r="O17" s="874">
        <f>SUM(O14:O16)</f>
        <v>-104.4</v>
      </c>
      <c r="P17" s="1041">
        <f>SUM(P14:P16)</f>
        <v>562700</v>
      </c>
      <c r="Q17" s="881">
        <f>SUM(Q14:Q16)</f>
        <v>528900</v>
      </c>
      <c r="R17" s="881"/>
      <c r="S17" s="881">
        <f>SUM(S14:S16)</f>
        <v>33800</v>
      </c>
      <c r="T17" s="874"/>
      <c r="U17" s="1018">
        <f>SUM(U14:U16)</f>
        <v>562700</v>
      </c>
      <c r="V17" s="881">
        <f>SUM(V14:V16)</f>
        <v>528769.15</v>
      </c>
      <c r="W17" s="1017">
        <f>V17/U17</f>
        <v>0.93969999999999998</v>
      </c>
      <c r="X17" s="881">
        <f>SUM(X14:X16)</f>
        <v>33930.839999999997</v>
      </c>
      <c r="Y17" s="1017">
        <f>X17/V17</f>
        <v>6.4169000000000004E-2</v>
      </c>
      <c r="Z17" s="1041">
        <f>SUM(AA17:AB17)</f>
        <v>0.01</v>
      </c>
      <c r="AA17" s="881">
        <f>SUM(AA14:AA16)</f>
        <v>130.85</v>
      </c>
      <c r="AB17" s="881">
        <f>SUM(AB14:AB16)</f>
        <v>-130.84</v>
      </c>
    </row>
    <row r="18" spans="2:28" ht="63.75" customHeight="1">
      <c r="N18" s="1029" t="s">
        <v>787</v>
      </c>
      <c r="O18" s="1029" t="s">
        <v>788</v>
      </c>
      <c r="P18" s="1037">
        <v>562700</v>
      </c>
      <c r="Q18" s="1038">
        <v>528900</v>
      </c>
      <c r="R18" s="1038"/>
      <c r="S18" s="1038">
        <v>33800</v>
      </c>
      <c r="AA18" s="1029" t="s">
        <v>787</v>
      </c>
      <c r="AB18" s="1029" t="s">
        <v>788</v>
      </c>
    </row>
    <row r="19" spans="2:28" ht="26.25">
      <c r="Q19" s="1036">
        <f>Q17-Q18</f>
        <v>0</v>
      </c>
      <c r="R19" s="1036"/>
      <c r="S19" s="1036">
        <f>S17-S18</f>
        <v>0</v>
      </c>
    </row>
    <row r="20" spans="2:28" ht="26.25">
      <c r="Q20" s="1039">
        <f>Q18/P18</f>
        <v>0.93993246850000001</v>
      </c>
      <c r="R20" s="1039"/>
      <c r="S20" s="1039">
        <f>1-Q20</f>
        <v>6.00675315E-2</v>
      </c>
      <c r="T20" s="1040"/>
    </row>
  </sheetData>
  <mergeCells count="13">
    <mergeCell ref="Z7:Z8"/>
    <mergeCell ref="AA7:AB7"/>
    <mergeCell ref="B7:B8"/>
    <mergeCell ref="C7:C8"/>
    <mergeCell ref="P7:P8"/>
    <mergeCell ref="D7:G7"/>
    <mergeCell ref="Q7:T7"/>
    <mergeCell ref="H7:H8"/>
    <mergeCell ref="I7:L7"/>
    <mergeCell ref="M7:M8"/>
    <mergeCell ref="N7:O7"/>
    <mergeCell ref="U7:U8"/>
    <mergeCell ref="V7:Y7"/>
  </mergeCells>
  <pageMargins left="0.70866141732283472" right="0.19685039370078741" top="0.23622047244094491" bottom="0.23622047244094491" header="0.15748031496062992" footer="0.19685039370078741"/>
  <pageSetup paperSize="9" scale="40" fitToWidth="2" orientation="landscape" r:id="rId1"/>
  <customProperties>
    <customPr name="krista_fm_consts" r:id="rId2"/>
  </customProperties>
</worksheet>
</file>

<file path=xl/worksheets/sheet32.xml><?xml version="1.0" encoding="utf-8"?>
<worksheet xmlns="http://schemas.openxmlformats.org/spreadsheetml/2006/main" xmlns:r="http://schemas.openxmlformats.org/officeDocument/2006/relationships">
  <sheetPr>
    <pageSetUpPr fitToPage="1"/>
  </sheetPr>
  <dimension ref="A1:R189"/>
  <sheetViews>
    <sheetView zoomScale="60" zoomScaleNormal="60" zoomScaleSheetLayoutView="50" workbookViewId="0">
      <pane xSplit="2" ySplit="11" topLeftCell="C12" activePane="bottomRight" state="frozen"/>
      <selection pane="topRight" activeCell="C1" sqref="C1"/>
      <selection pane="bottomLeft" activeCell="A12" sqref="A12"/>
      <selection pane="bottomRight" activeCell="D174" sqref="D174"/>
    </sheetView>
  </sheetViews>
  <sheetFormatPr defaultColWidth="9.140625" defaultRowHeight="15.75"/>
  <cols>
    <col min="1" max="1" width="12.7109375" style="497" customWidth="1"/>
    <col min="2" max="2" width="94.7109375" style="497" customWidth="1"/>
    <col min="3" max="3" width="24.140625" style="700" customWidth="1"/>
    <col min="4" max="4" width="24.28515625" style="497" customWidth="1"/>
    <col min="5" max="5" width="20.140625" style="497" customWidth="1"/>
    <col min="6" max="6" width="23.28515625" style="700" customWidth="1"/>
    <col min="7" max="7" width="22.42578125" style="497" customWidth="1"/>
    <col min="8" max="8" width="19.5703125" style="497" customWidth="1"/>
    <col min="9" max="9" width="20.28515625" style="700" customWidth="1"/>
    <col min="10" max="10" width="20" style="497" customWidth="1"/>
    <col min="11" max="11" width="19.42578125" style="497" customWidth="1"/>
    <col min="12" max="12" width="20.7109375" style="700" bestFit="1" customWidth="1"/>
    <col min="13" max="14" width="16" style="497" customWidth="1"/>
    <col min="15" max="15" width="15.7109375" style="497" hidden="1" customWidth="1"/>
    <col min="16" max="16" width="16.7109375" style="497" hidden="1" customWidth="1"/>
    <col min="17" max="17" width="34.28515625" style="497" customWidth="1"/>
    <col min="18" max="18" width="16.5703125" style="497" customWidth="1"/>
    <col min="19" max="16384" width="9.140625" style="497"/>
  </cols>
  <sheetData>
    <row r="1" spans="1:17" ht="20.25">
      <c r="A1" s="2359"/>
      <c r="B1" s="2359"/>
      <c r="C1" s="817"/>
      <c r="D1" s="817"/>
      <c r="E1" s="817"/>
      <c r="F1" s="817"/>
      <c r="G1" s="817"/>
      <c r="H1" s="817"/>
      <c r="I1" s="817"/>
      <c r="K1" s="2384" t="s">
        <v>513</v>
      </c>
      <c r="L1" s="2384"/>
      <c r="M1" s="2384"/>
      <c r="N1" s="2384"/>
      <c r="O1" s="2384"/>
      <c r="P1" s="2384"/>
    </row>
    <row r="2" spans="1:17" hidden="1">
      <c r="A2" s="1002"/>
      <c r="B2" s="1002"/>
      <c r="C2" s="714"/>
      <c r="D2" s="1002"/>
      <c r="E2" s="1002"/>
      <c r="L2" s="714"/>
    </row>
    <row r="3" spans="1:17" s="467" customFormat="1" hidden="1">
      <c r="A3" s="859"/>
      <c r="C3" s="715"/>
      <c r="D3" s="716"/>
      <c r="E3" s="716"/>
      <c r="F3" s="715"/>
      <c r="G3" s="716"/>
      <c r="H3" s="716"/>
      <c r="I3" s="2312"/>
      <c r="J3" s="2312"/>
      <c r="K3" s="2312"/>
      <c r="L3" s="2312"/>
      <c r="N3" s="717"/>
    </row>
    <row r="4" spans="1:17" s="467" customFormat="1" ht="43.5" hidden="1" customHeight="1">
      <c r="A4" s="859"/>
      <c r="C4" s="815">
        <f>6162009.6</f>
        <v>6162009.5999999996</v>
      </c>
      <c r="D4" s="716"/>
      <c r="E4" s="716"/>
      <c r="F4" s="815">
        <v>5873905</v>
      </c>
      <c r="G4" s="469"/>
      <c r="H4" s="469"/>
      <c r="I4" s="816">
        <v>2407625.6</v>
      </c>
      <c r="J4" s="469"/>
      <c r="K4" s="469"/>
      <c r="L4" s="718"/>
      <c r="N4" s="717"/>
    </row>
    <row r="5" spans="1:17" s="467" customFormat="1" ht="30.75" customHeight="1">
      <c r="A5" s="2389" t="s">
        <v>5</v>
      </c>
      <c r="B5" s="2389"/>
      <c r="C5" s="2389"/>
      <c r="D5" s="2389"/>
      <c r="E5" s="2389"/>
      <c r="F5" s="2389"/>
      <c r="G5" s="2389"/>
      <c r="H5" s="2389"/>
      <c r="I5" s="2389"/>
      <c r="J5" s="2389"/>
      <c r="K5" s="2389"/>
      <c r="L5" s="2389"/>
      <c r="M5" s="2389"/>
      <c r="N5" s="2389"/>
    </row>
    <row r="6" spans="1:17" s="467" customFormat="1" ht="30.75" customHeight="1">
      <c r="A6" s="2389" t="s">
        <v>236</v>
      </c>
      <c r="B6" s="2389"/>
      <c r="C6" s="2389"/>
      <c r="D6" s="2389"/>
      <c r="E6" s="2389"/>
      <c r="F6" s="2389"/>
      <c r="G6" s="2389"/>
      <c r="H6" s="2389"/>
      <c r="I6" s="2389"/>
      <c r="J6" s="2389"/>
      <c r="K6" s="2389"/>
      <c r="L6" s="2389"/>
      <c r="M6" s="2389"/>
      <c r="N6" s="2389"/>
    </row>
    <row r="7" spans="1:17" s="467" customFormat="1" ht="30.75">
      <c r="A7" s="2389" t="s">
        <v>671</v>
      </c>
      <c r="B7" s="2389"/>
      <c r="C7" s="2389"/>
      <c r="D7" s="2389"/>
      <c r="E7" s="2389"/>
      <c r="F7" s="2389"/>
      <c r="G7" s="2389"/>
      <c r="H7" s="2389"/>
      <c r="I7" s="2389"/>
      <c r="J7" s="2389"/>
      <c r="K7" s="2389"/>
      <c r="L7" s="2389"/>
      <c r="M7" s="2389"/>
      <c r="N7" s="2389"/>
      <c r="Q7" s="858"/>
    </row>
    <row r="8" spans="1:17" s="467" customFormat="1" ht="20.25" customHeight="1">
      <c r="A8" s="860"/>
      <c r="B8" s="474"/>
      <c r="C8" s="471"/>
      <c r="D8" s="474"/>
      <c r="E8" s="474"/>
      <c r="F8" s="471"/>
      <c r="G8" s="474"/>
      <c r="H8" s="800"/>
      <c r="I8" s="719"/>
      <c r="J8" s="2385"/>
      <c r="K8" s="2385"/>
      <c r="L8" s="2385" t="s">
        <v>377</v>
      </c>
      <c r="M8" s="2385"/>
      <c r="N8" s="906"/>
    </row>
    <row r="9" spans="1:17" s="791" customFormat="1" ht="70.5" customHeight="1">
      <c r="A9" s="2394" t="s">
        <v>18</v>
      </c>
      <c r="B9" s="2395" t="s">
        <v>0</v>
      </c>
      <c r="C9" s="2396" t="s">
        <v>614</v>
      </c>
      <c r="D9" s="2390" t="s">
        <v>257</v>
      </c>
      <c r="E9" s="2391"/>
      <c r="F9" s="2407" t="s">
        <v>442</v>
      </c>
      <c r="G9" s="2390" t="s">
        <v>257</v>
      </c>
      <c r="H9" s="2391"/>
      <c r="I9" s="2396" t="s">
        <v>237</v>
      </c>
      <c r="J9" s="2390" t="s">
        <v>257</v>
      </c>
      <c r="K9" s="2391"/>
      <c r="L9" s="2396" t="s">
        <v>574</v>
      </c>
      <c r="M9" s="2390" t="s">
        <v>448</v>
      </c>
      <c r="N9" s="2391"/>
    </row>
    <row r="10" spans="1:17" s="791" customFormat="1" ht="150" customHeight="1">
      <c r="A10" s="2394"/>
      <c r="B10" s="2395"/>
      <c r="C10" s="2396"/>
      <c r="D10" s="905" t="s">
        <v>259</v>
      </c>
      <c r="E10" s="905" t="s">
        <v>258</v>
      </c>
      <c r="F10" s="2408"/>
      <c r="G10" s="905" t="s">
        <v>259</v>
      </c>
      <c r="H10" s="905" t="s">
        <v>258</v>
      </c>
      <c r="I10" s="2396"/>
      <c r="J10" s="905" t="s">
        <v>259</v>
      </c>
      <c r="K10" s="905" t="s">
        <v>258</v>
      </c>
      <c r="L10" s="2396"/>
      <c r="M10" s="905" t="s">
        <v>259</v>
      </c>
      <c r="N10" s="905" t="s">
        <v>258</v>
      </c>
    </row>
    <row r="11" spans="1:17" s="720" customFormat="1" ht="26.25">
      <c r="A11" s="895">
        <v>1</v>
      </c>
      <c r="B11" s="895">
        <v>2</v>
      </c>
      <c r="C11" s="263">
        <v>3</v>
      </c>
      <c r="D11" s="263">
        <v>4</v>
      </c>
      <c r="E11" s="263">
        <v>5</v>
      </c>
      <c r="F11" s="721">
        <v>6</v>
      </c>
      <c r="G11" s="721">
        <v>7</v>
      </c>
      <c r="H11" s="721">
        <v>8</v>
      </c>
      <c r="I11" s="721">
        <v>9</v>
      </c>
      <c r="J11" s="721">
        <v>10</v>
      </c>
      <c r="K11" s="721">
        <v>11</v>
      </c>
      <c r="L11" s="721">
        <v>12</v>
      </c>
      <c r="M11" s="721">
        <v>13</v>
      </c>
      <c r="N11" s="721">
        <v>14</v>
      </c>
    </row>
    <row r="12" spans="1:17" s="914" customFormat="1" ht="48.75" hidden="1" customHeight="1">
      <c r="A12" s="915"/>
      <c r="B12" s="916" t="s">
        <v>10</v>
      </c>
      <c r="C12" s="917">
        <f>SUM(D12:E12)</f>
        <v>4727440.3</v>
      </c>
      <c r="D12" s="917">
        <f>SUM(D13,D155)</f>
        <v>3732997.1</v>
      </c>
      <c r="E12" s="917">
        <f>SUM(E13,E155)</f>
        <v>994443.2</v>
      </c>
      <c r="F12" s="917">
        <f>G12+H12</f>
        <v>4393045.4000000004</v>
      </c>
      <c r="G12" s="917">
        <f>SUM(G13,G155)</f>
        <v>3469143</v>
      </c>
      <c r="H12" s="917">
        <f>SUM(H13,H155)</f>
        <v>923902.4</v>
      </c>
      <c r="I12" s="917">
        <f>SUM(J12:K12)</f>
        <v>0</v>
      </c>
      <c r="J12" s="917">
        <f>SUM(J13,J155)</f>
        <v>0</v>
      </c>
      <c r="K12" s="917">
        <f>SUM(K13,K155)</f>
        <v>0</v>
      </c>
      <c r="L12" s="918">
        <f t="shared" ref="L12:N13" si="0">IF(I12=0,0,I12/F12*100)</f>
        <v>0</v>
      </c>
      <c r="M12" s="918">
        <f t="shared" si="0"/>
        <v>0</v>
      </c>
      <c r="N12" s="918">
        <f t="shared" si="0"/>
        <v>0</v>
      </c>
      <c r="O12" s="919"/>
      <c r="Q12" s="913"/>
    </row>
    <row r="13" spans="1:17" s="914" customFormat="1" ht="81" hidden="1" customHeight="1">
      <c r="A13" s="2401" t="s">
        <v>453</v>
      </c>
      <c r="B13" s="2401"/>
      <c r="C13" s="917">
        <f>D13+E13</f>
        <v>3509917.9</v>
      </c>
      <c r="D13" s="917">
        <f>SUM(D15,D77)</f>
        <v>2823497.1</v>
      </c>
      <c r="E13" s="917">
        <f>SUM(E15,E77)</f>
        <v>686420.8</v>
      </c>
      <c r="F13" s="917">
        <f>G13+H13</f>
        <v>3178283</v>
      </c>
      <c r="G13" s="917">
        <f>SUM(G15,G77)</f>
        <v>2559643</v>
      </c>
      <c r="H13" s="917">
        <f>SUM(H15,H77)</f>
        <v>618640</v>
      </c>
      <c r="I13" s="917">
        <f>SUM(J13:K13)</f>
        <v>0</v>
      </c>
      <c r="J13" s="917">
        <f>SUM(J14,J78)</f>
        <v>0</v>
      </c>
      <c r="K13" s="917">
        <f>SUM(K14,K78)</f>
        <v>0</v>
      </c>
      <c r="L13" s="918">
        <f t="shared" si="0"/>
        <v>0</v>
      </c>
      <c r="M13" s="920">
        <f t="shared" si="0"/>
        <v>0</v>
      </c>
      <c r="N13" s="920">
        <f t="shared" si="0"/>
        <v>0</v>
      </c>
      <c r="O13" s="912">
        <f t="shared" ref="O13:P16" si="1">D13-G13</f>
        <v>263854.09999999998</v>
      </c>
      <c r="P13" s="912">
        <f t="shared" si="1"/>
        <v>67780.800000000003</v>
      </c>
      <c r="Q13" s="913"/>
    </row>
    <row r="14" spans="1:17" s="914" customFormat="1" ht="72.75" hidden="1" customHeight="1">
      <c r="A14" s="944" t="s">
        <v>6</v>
      </c>
      <c r="B14" s="921" t="s">
        <v>437</v>
      </c>
      <c r="C14" s="922"/>
      <c r="D14" s="922"/>
      <c r="E14" s="922"/>
      <c r="F14" s="922"/>
      <c r="G14" s="922"/>
      <c r="H14" s="922"/>
      <c r="I14" s="922"/>
      <c r="J14" s="922"/>
      <c r="K14" s="922"/>
      <c r="L14" s="923"/>
      <c r="M14" s="924"/>
      <c r="N14" s="924"/>
      <c r="O14" s="912">
        <f t="shared" si="1"/>
        <v>0</v>
      </c>
      <c r="P14" s="912">
        <f t="shared" si="1"/>
        <v>0</v>
      </c>
      <c r="Q14" s="913"/>
    </row>
    <row r="15" spans="1:17" s="914" customFormat="1" ht="121.5" hidden="1" customHeight="1">
      <c r="A15" s="944" t="s">
        <v>6</v>
      </c>
      <c r="B15" s="925" t="s">
        <v>439</v>
      </c>
      <c r="C15" s="926">
        <f t="shared" ref="C15:C58" si="2">SUM(D15:E15)</f>
        <v>442074.9</v>
      </c>
      <c r="D15" s="926">
        <f>SUM(D16)</f>
        <v>263854.09999999998</v>
      </c>
      <c r="E15" s="926">
        <f>SUM(E16)</f>
        <v>178220.79999999999</v>
      </c>
      <c r="F15" s="926">
        <f t="shared" ref="F15:F58" si="3">SUM(G15:H15)</f>
        <v>140440</v>
      </c>
      <c r="G15" s="926">
        <f>SUM(G16)</f>
        <v>0</v>
      </c>
      <c r="H15" s="926">
        <f>SUM(H16)</f>
        <v>140440</v>
      </c>
      <c r="I15" s="926">
        <f>SUM(J15:K15)</f>
        <v>0</v>
      </c>
      <c r="J15" s="926">
        <f>SUM(J16)</f>
        <v>0</v>
      </c>
      <c r="K15" s="926">
        <f>SUM(K16)</f>
        <v>0</v>
      </c>
      <c r="L15" s="927">
        <f t="shared" ref="L15:N30" si="4">IF(I15=0,0,I15/F15*100)</f>
        <v>0</v>
      </c>
      <c r="M15" s="928">
        <f t="shared" si="4"/>
        <v>0</v>
      </c>
      <c r="N15" s="928">
        <f t="shared" si="4"/>
        <v>0</v>
      </c>
      <c r="O15" s="912">
        <f t="shared" si="1"/>
        <v>263854.09999999998</v>
      </c>
      <c r="P15" s="912">
        <f t="shared" si="1"/>
        <v>37780.800000000003</v>
      </c>
      <c r="Q15" s="913"/>
    </row>
    <row r="16" spans="1:17" s="914" customFormat="1" ht="51" hidden="1" customHeight="1">
      <c r="A16" s="944" t="s">
        <v>253</v>
      </c>
      <c r="B16" s="962" t="s">
        <v>41</v>
      </c>
      <c r="C16" s="929">
        <f t="shared" si="2"/>
        <v>442074.9</v>
      </c>
      <c r="D16" s="929">
        <f>SUM(D17:D18,D19,D21,D25,D27,D30,D32,D36,D39,D41,D43,D45,D47,D49,D51,D59,D53)</f>
        <v>263854.09999999998</v>
      </c>
      <c r="E16" s="929">
        <f>SUM(E17:E18,E19,E21,E25,E27,E30,E32,E36,E39,E41,E43,E45,E47,E49,E51,E59,E53)</f>
        <v>178220.79999999999</v>
      </c>
      <c r="F16" s="929">
        <f t="shared" si="3"/>
        <v>140440</v>
      </c>
      <c r="G16" s="929">
        <f>SUM(G17:G18,G19,G21,G25,G27,G30,G32,G36,G39,G41,G43,G45,G47,G49,G51,G59,G53)</f>
        <v>0</v>
      </c>
      <c r="H16" s="929">
        <f>SUM(H17:H18,H19,H21,H25,H27,H30,H32,H36,H39,H41,H43,H45,H47,H49,H51,H59,H53)</f>
        <v>140440</v>
      </c>
      <c r="I16" s="929">
        <f>SUM(J16:K16)</f>
        <v>0</v>
      </c>
      <c r="J16" s="929">
        <f>SUM(J17:J18,J19,J21,J25,J27,J30,J32,J36,J39,J41,J43,J45,J47,J49,J51,J59,J53)</f>
        <v>0</v>
      </c>
      <c r="K16" s="929">
        <f>SUM(K17:K18,K19,K21,K25,K27,K30,K32,K36,K39,K41,K43,K45,K47,K49,K51,K59,K53)</f>
        <v>0</v>
      </c>
      <c r="L16" s="930">
        <f t="shared" si="4"/>
        <v>0</v>
      </c>
      <c r="M16" s="931">
        <f t="shared" si="4"/>
        <v>0</v>
      </c>
      <c r="N16" s="931">
        <f t="shared" si="4"/>
        <v>0</v>
      </c>
      <c r="O16" s="912">
        <f t="shared" si="1"/>
        <v>263854.09999999998</v>
      </c>
      <c r="P16" s="912">
        <f t="shared" si="1"/>
        <v>37780.800000000003</v>
      </c>
      <c r="Q16" s="913"/>
    </row>
    <row r="17" spans="1:17" s="736" customFormat="1" ht="131.25" hidden="1">
      <c r="A17" s="897" t="s">
        <v>538</v>
      </c>
      <c r="B17" s="971" t="s">
        <v>434</v>
      </c>
      <c r="C17" s="871">
        <f t="shared" si="2"/>
        <v>0</v>
      </c>
      <c r="D17" s="972"/>
      <c r="E17" s="972"/>
      <c r="F17" s="871">
        <f t="shared" si="3"/>
        <v>0</v>
      </c>
      <c r="G17" s="972"/>
      <c r="H17" s="972"/>
      <c r="I17" s="871">
        <f>SUM(J17:K17)</f>
        <v>0</v>
      </c>
      <c r="J17" s="972"/>
      <c r="K17" s="972"/>
      <c r="L17" s="872">
        <f t="shared" si="4"/>
        <v>0</v>
      </c>
      <c r="M17" s="873">
        <f t="shared" si="4"/>
        <v>0</v>
      </c>
      <c r="N17" s="873">
        <f t="shared" si="4"/>
        <v>0</v>
      </c>
      <c r="O17" s="735">
        <f>D17-G17</f>
        <v>0</v>
      </c>
      <c r="P17" s="735">
        <f>E17-H17</f>
        <v>0</v>
      </c>
    </row>
    <row r="18" spans="1:17" s="736" customFormat="1" ht="52.5" hidden="1">
      <c r="A18" s="897" t="s">
        <v>538</v>
      </c>
      <c r="B18" s="971" t="s">
        <v>672</v>
      </c>
      <c r="C18" s="871">
        <f t="shared" si="2"/>
        <v>43468.4</v>
      </c>
      <c r="D18" s="972">
        <v>43033.7</v>
      </c>
      <c r="E18" s="972">
        <v>434.7</v>
      </c>
      <c r="F18" s="871">
        <f t="shared" si="3"/>
        <v>0</v>
      </c>
      <c r="G18" s="972"/>
      <c r="H18" s="972"/>
      <c r="I18" s="871">
        <f>SUM(J18:K18)</f>
        <v>0</v>
      </c>
      <c r="J18" s="972"/>
      <c r="K18" s="972"/>
      <c r="L18" s="872">
        <f t="shared" si="4"/>
        <v>0</v>
      </c>
      <c r="M18" s="873">
        <f t="shared" si="4"/>
        <v>0</v>
      </c>
      <c r="N18" s="873">
        <f t="shared" si="4"/>
        <v>0</v>
      </c>
      <c r="O18" s="735">
        <f>D18-G18</f>
        <v>43033.7</v>
      </c>
      <c r="P18" s="735">
        <f>E18-H18</f>
        <v>434.7</v>
      </c>
    </row>
    <row r="19" spans="1:17" ht="26.25" hidden="1">
      <c r="A19" s="897"/>
      <c r="B19" s="898" t="s">
        <v>283</v>
      </c>
      <c r="C19" s="874">
        <f t="shared" si="2"/>
        <v>8886.4</v>
      </c>
      <c r="D19" s="875">
        <f>D20</f>
        <v>0</v>
      </c>
      <c r="E19" s="875">
        <f>E20</f>
        <v>8886.4</v>
      </c>
      <c r="F19" s="874">
        <f t="shared" si="3"/>
        <v>0</v>
      </c>
      <c r="G19" s="875">
        <f>G20</f>
        <v>0</v>
      </c>
      <c r="H19" s="875">
        <f>H20</f>
        <v>0</v>
      </c>
      <c r="I19" s="874">
        <f t="shared" ref="I19:I40" si="5">SUM(J19:K19)</f>
        <v>0</v>
      </c>
      <c r="J19" s="875">
        <f>J20</f>
        <v>0</v>
      </c>
      <c r="K19" s="875">
        <f>K20</f>
        <v>0</v>
      </c>
      <c r="L19" s="876">
        <f t="shared" si="4"/>
        <v>0</v>
      </c>
      <c r="M19" s="877">
        <f t="shared" si="4"/>
        <v>0</v>
      </c>
      <c r="N19" s="877">
        <f t="shared" si="4"/>
        <v>0</v>
      </c>
      <c r="O19" s="725"/>
      <c r="P19" s="725"/>
      <c r="Q19" s="736"/>
    </row>
    <row r="20" spans="1:17" ht="105" hidden="1">
      <c r="A20" s="897" t="s">
        <v>539</v>
      </c>
      <c r="B20" s="963" t="s">
        <v>770</v>
      </c>
      <c r="C20" s="874">
        <f t="shared" si="2"/>
        <v>8886.4</v>
      </c>
      <c r="D20" s="878">
        <v>0</v>
      </c>
      <c r="E20" s="878">
        <v>8886.4</v>
      </c>
      <c r="F20" s="874">
        <f t="shared" si="3"/>
        <v>0</v>
      </c>
      <c r="G20" s="878">
        <v>0</v>
      </c>
      <c r="H20" s="878">
        <v>0</v>
      </c>
      <c r="I20" s="964">
        <f t="shared" si="5"/>
        <v>0</v>
      </c>
      <c r="J20" s="964">
        <v>0</v>
      </c>
      <c r="K20" s="964">
        <v>0</v>
      </c>
      <c r="L20" s="877">
        <f t="shared" si="4"/>
        <v>0</v>
      </c>
      <c r="M20" s="877">
        <f t="shared" si="4"/>
        <v>0</v>
      </c>
      <c r="N20" s="877">
        <f t="shared" si="4"/>
        <v>0</v>
      </c>
      <c r="O20" s="725"/>
      <c r="P20" s="725"/>
      <c r="Q20" s="736"/>
    </row>
    <row r="21" spans="1:17" ht="34.5" hidden="1" customHeight="1">
      <c r="A21" s="897"/>
      <c r="B21" s="898" t="s">
        <v>724</v>
      </c>
      <c r="C21" s="874">
        <f t="shared" si="2"/>
        <v>8700</v>
      </c>
      <c r="D21" s="875">
        <f>SUM(D22:D24)</f>
        <v>0</v>
      </c>
      <c r="E21" s="875">
        <f>SUM(E22:E24)</f>
        <v>8700</v>
      </c>
      <c r="F21" s="874">
        <f t="shared" si="3"/>
        <v>8700</v>
      </c>
      <c r="G21" s="875">
        <f>SUM(G22:G24)</f>
        <v>0</v>
      </c>
      <c r="H21" s="875">
        <f>SUM(H22:H24)</f>
        <v>8700</v>
      </c>
      <c r="I21" s="874">
        <f t="shared" si="5"/>
        <v>0</v>
      </c>
      <c r="J21" s="875">
        <f>J22</f>
        <v>0</v>
      </c>
      <c r="K21" s="875">
        <f>K22</f>
        <v>0</v>
      </c>
      <c r="L21" s="876">
        <f t="shared" si="4"/>
        <v>0</v>
      </c>
      <c r="M21" s="877">
        <f t="shared" si="4"/>
        <v>0</v>
      </c>
      <c r="N21" s="877">
        <f t="shared" si="4"/>
        <v>0</v>
      </c>
      <c r="O21" s="725"/>
      <c r="P21" s="725"/>
      <c r="Q21" s="736"/>
    </row>
    <row r="22" spans="1:17" ht="183.75" hidden="1">
      <c r="A22" s="897" t="s">
        <v>19</v>
      </c>
      <c r="B22" s="963" t="s">
        <v>725</v>
      </c>
      <c r="C22" s="964">
        <f t="shared" si="2"/>
        <v>3600</v>
      </c>
      <c r="D22" s="878">
        <v>0</v>
      </c>
      <c r="E22" s="878">
        <v>3600</v>
      </c>
      <c r="F22" s="964">
        <f t="shared" si="3"/>
        <v>3600</v>
      </c>
      <c r="G22" s="878">
        <v>0</v>
      </c>
      <c r="H22" s="878">
        <v>3600</v>
      </c>
      <c r="I22" s="964"/>
      <c r="J22" s="964">
        <v>0</v>
      </c>
      <c r="K22" s="964">
        <v>0</v>
      </c>
      <c r="L22" s="877">
        <f t="shared" si="4"/>
        <v>0</v>
      </c>
      <c r="M22" s="877">
        <f t="shared" si="4"/>
        <v>0</v>
      </c>
      <c r="N22" s="877">
        <f t="shared" si="4"/>
        <v>0</v>
      </c>
      <c r="O22" s="725"/>
      <c r="P22" s="725"/>
      <c r="Q22" s="736"/>
    </row>
    <row r="23" spans="1:17" ht="183.75" hidden="1">
      <c r="A23" s="897" t="s">
        <v>20</v>
      </c>
      <c r="B23" s="963" t="s">
        <v>726</v>
      </c>
      <c r="C23" s="964">
        <f t="shared" si="2"/>
        <v>3600</v>
      </c>
      <c r="D23" s="878">
        <v>0</v>
      </c>
      <c r="E23" s="878">
        <v>3600</v>
      </c>
      <c r="F23" s="964">
        <f t="shared" si="3"/>
        <v>3600</v>
      </c>
      <c r="G23" s="878">
        <v>0</v>
      </c>
      <c r="H23" s="878">
        <v>3600</v>
      </c>
      <c r="I23" s="964"/>
      <c r="J23" s="964">
        <v>0</v>
      </c>
      <c r="K23" s="964">
        <v>0</v>
      </c>
      <c r="L23" s="877">
        <f t="shared" si="4"/>
        <v>0</v>
      </c>
      <c r="M23" s="877">
        <f t="shared" si="4"/>
        <v>0</v>
      </c>
      <c r="N23" s="877">
        <f t="shared" si="4"/>
        <v>0</v>
      </c>
      <c r="O23" s="725"/>
      <c r="P23" s="725"/>
      <c r="Q23" s="736"/>
    </row>
    <row r="24" spans="1:17" ht="183.75" hidden="1">
      <c r="A24" s="897" t="s">
        <v>467</v>
      </c>
      <c r="B24" s="963" t="s">
        <v>727</v>
      </c>
      <c r="C24" s="964">
        <f t="shared" si="2"/>
        <v>1500</v>
      </c>
      <c r="D24" s="878">
        <v>0</v>
      </c>
      <c r="E24" s="878">
        <v>1500</v>
      </c>
      <c r="F24" s="964">
        <f t="shared" si="3"/>
        <v>1500</v>
      </c>
      <c r="G24" s="878">
        <v>0</v>
      </c>
      <c r="H24" s="878">
        <v>1500</v>
      </c>
      <c r="I24" s="964"/>
      <c r="J24" s="964">
        <v>0</v>
      </c>
      <c r="K24" s="964">
        <v>0</v>
      </c>
      <c r="L24" s="877">
        <f t="shared" si="4"/>
        <v>0</v>
      </c>
      <c r="M24" s="877">
        <f t="shared" si="4"/>
        <v>0</v>
      </c>
      <c r="N24" s="877">
        <f t="shared" si="4"/>
        <v>0</v>
      </c>
      <c r="O24" s="725"/>
      <c r="P24" s="725"/>
      <c r="Q24" s="736"/>
    </row>
    <row r="25" spans="1:17" s="700" customFormat="1" ht="25.5" hidden="1">
      <c r="A25" s="991"/>
      <c r="B25" s="965" t="s">
        <v>12</v>
      </c>
      <c r="C25" s="874">
        <f t="shared" si="2"/>
        <v>7000</v>
      </c>
      <c r="D25" s="880">
        <f>D26</f>
        <v>0</v>
      </c>
      <c r="E25" s="880">
        <f>E26</f>
        <v>7000</v>
      </c>
      <c r="F25" s="874">
        <f t="shared" si="3"/>
        <v>7000</v>
      </c>
      <c r="G25" s="880">
        <f>G26</f>
        <v>0</v>
      </c>
      <c r="H25" s="880">
        <f>H26</f>
        <v>7000</v>
      </c>
      <c r="I25" s="874">
        <f>SUM(J25:K25)</f>
        <v>0</v>
      </c>
      <c r="J25" s="880">
        <f>J26</f>
        <v>0</v>
      </c>
      <c r="K25" s="880">
        <f>K26</f>
        <v>0</v>
      </c>
      <c r="L25" s="876">
        <f t="shared" si="4"/>
        <v>0</v>
      </c>
      <c r="M25" s="876">
        <f t="shared" si="4"/>
        <v>0</v>
      </c>
      <c r="N25" s="876">
        <f t="shared" si="4"/>
        <v>0</v>
      </c>
      <c r="O25" s="992"/>
      <c r="P25" s="992"/>
      <c r="Q25" s="993"/>
    </row>
    <row r="26" spans="1:17" ht="63.75" hidden="1" customHeight="1">
      <c r="A26" s="897" t="s">
        <v>468</v>
      </c>
      <c r="B26" s="966" t="s">
        <v>728</v>
      </c>
      <c r="C26" s="874">
        <f t="shared" si="2"/>
        <v>7000</v>
      </c>
      <c r="D26" s="879">
        <v>0</v>
      </c>
      <c r="E26" s="879">
        <v>7000</v>
      </c>
      <c r="F26" s="874">
        <f t="shared" si="3"/>
        <v>7000</v>
      </c>
      <c r="G26" s="879">
        <v>0</v>
      </c>
      <c r="H26" s="879">
        <v>7000</v>
      </c>
      <c r="I26" s="874">
        <f>SUM(J26:K26)</f>
        <v>0</v>
      </c>
      <c r="J26" s="879">
        <v>0</v>
      </c>
      <c r="K26" s="879">
        <v>0</v>
      </c>
      <c r="L26" s="876">
        <f t="shared" si="4"/>
        <v>0</v>
      </c>
      <c r="M26" s="877">
        <f t="shared" si="4"/>
        <v>0</v>
      </c>
      <c r="N26" s="877">
        <f t="shared" si="4"/>
        <v>0</v>
      </c>
      <c r="O26" s="725"/>
      <c r="P26" s="725"/>
      <c r="Q26" s="736"/>
    </row>
    <row r="27" spans="1:17" s="700" customFormat="1" ht="25.5" hidden="1">
      <c r="A27" s="991"/>
      <c r="B27" s="965" t="s">
        <v>729</v>
      </c>
      <c r="C27" s="874">
        <f t="shared" si="2"/>
        <v>8500</v>
      </c>
      <c r="D27" s="880">
        <f>SUM(D28:D29)</f>
        <v>0</v>
      </c>
      <c r="E27" s="880">
        <f>SUM(E28:E29)</f>
        <v>8500</v>
      </c>
      <c r="F27" s="874">
        <f t="shared" si="3"/>
        <v>8500</v>
      </c>
      <c r="G27" s="880">
        <f>SUM(G28:G29)</f>
        <v>0</v>
      </c>
      <c r="H27" s="880">
        <f>SUM(H28:H29)</f>
        <v>8500</v>
      </c>
      <c r="I27" s="874">
        <f>SUM(J27:K27)</f>
        <v>0</v>
      </c>
      <c r="J27" s="880">
        <f>SUM(J28:J29)</f>
        <v>0</v>
      </c>
      <c r="K27" s="880">
        <f>SUM(K28:K29)</f>
        <v>0</v>
      </c>
      <c r="L27" s="876">
        <f t="shared" si="4"/>
        <v>0</v>
      </c>
      <c r="M27" s="876">
        <f t="shared" si="4"/>
        <v>0</v>
      </c>
      <c r="N27" s="876">
        <f t="shared" si="4"/>
        <v>0</v>
      </c>
      <c r="O27" s="992"/>
      <c r="P27" s="992"/>
      <c r="Q27" s="993"/>
    </row>
    <row r="28" spans="1:17" ht="63.75" hidden="1" customHeight="1">
      <c r="A28" s="897" t="s">
        <v>685</v>
      </c>
      <c r="B28" s="966" t="s">
        <v>730</v>
      </c>
      <c r="C28" s="874">
        <f t="shared" si="2"/>
        <v>7000</v>
      </c>
      <c r="D28" s="879">
        <v>0</v>
      </c>
      <c r="E28" s="879">
        <v>7000</v>
      </c>
      <c r="F28" s="874">
        <f t="shared" si="3"/>
        <v>7000</v>
      </c>
      <c r="G28" s="879">
        <v>0</v>
      </c>
      <c r="H28" s="879">
        <v>7000</v>
      </c>
      <c r="I28" s="874">
        <f>SUM(J28:K28)</f>
        <v>0</v>
      </c>
      <c r="J28" s="879">
        <v>0</v>
      </c>
      <c r="K28" s="879">
        <v>0</v>
      </c>
      <c r="L28" s="876">
        <f t="shared" si="4"/>
        <v>0</v>
      </c>
      <c r="M28" s="877">
        <f t="shared" si="4"/>
        <v>0</v>
      </c>
      <c r="N28" s="877">
        <f t="shared" si="4"/>
        <v>0</v>
      </c>
      <c r="O28" s="725"/>
      <c r="P28" s="725"/>
      <c r="Q28" s="736"/>
    </row>
    <row r="29" spans="1:17" ht="63.75" hidden="1" customHeight="1">
      <c r="A29" s="897" t="s">
        <v>687</v>
      </c>
      <c r="B29" s="966" t="s">
        <v>731</v>
      </c>
      <c r="C29" s="874">
        <f t="shared" si="2"/>
        <v>1500</v>
      </c>
      <c r="D29" s="879">
        <v>0</v>
      </c>
      <c r="E29" s="879">
        <v>1500</v>
      </c>
      <c r="F29" s="874">
        <f t="shared" si="3"/>
        <v>1500</v>
      </c>
      <c r="G29" s="879">
        <v>0</v>
      </c>
      <c r="H29" s="879">
        <v>1500</v>
      </c>
      <c r="I29" s="874">
        <f>SUM(J29:K29)</f>
        <v>0</v>
      </c>
      <c r="J29" s="879">
        <v>0</v>
      </c>
      <c r="K29" s="879">
        <v>0</v>
      </c>
      <c r="L29" s="876">
        <f t="shared" si="4"/>
        <v>0</v>
      </c>
      <c r="M29" s="877">
        <f t="shared" si="4"/>
        <v>0</v>
      </c>
      <c r="N29" s="877">
        <f t="shared" si="4"/>
        <v>0</v>
      </c>
      <c r="O29" s="725"/>
      <c r="P29" s="725"/>
      <c r="Q29" s="736"/>
    </row>
    <row r="30" spans="1:17" s="700" customFormat="1" ht="25.5" hidden="1">
      <c r="A30" s="991"/>
      <c r="B30" s="965" t="s">
        <v>615</v>
      </c>
      <c r="C30" s="874">
        <f t="shared" si="2"/>
        <v>10156</v>
      </c>
      <c r="D30" s="880">
        <f>D31</f>
        <v>0</v>
      </c>
      <c r="E30" s="880">
        <f>E31</f>
        <v>10156</v>
      </c>
      <c r="F30" s="874">
        <f t="shared" si="3"/>
        <v>0</v>
      </c>
      <c r="G30" s="880">
        <f>G31</f>
        <v>0</v>
      </c>
      <c r="H30" s="880">
        <f>H31</f>
        <v>0</v>
      </c>
      <c r="I30" s="874">
        <f t="shared" si="5"/>
        <v>0</v>
      </c>
      <c r="J30" s="880">
        <f>J31</f>
        <v>0</v>
      </c>
      <c r="K30" s="880">
        <f>K31</f>
        <v>0</v>
      </c>
      <c r="L30" s="876">
        <f t="shared" si="4"/>
        <v>0</v>
      </c>
      <c r="M30" s="876">
        <f t="shared" si="4"/>
        <v>0</v>
      </c>
      <c r="N30" s="876">
        <f t="shared" si="4"/>
        <v>0</v>
      </c>
      <c r="O30" s="992"/>
      <c r="P30" s="992"/>
      <c r="Q30" s="993"/>
    </row>
    <row r="31" spans="1:17" ht="63.75" hidden="1" customHeight="1">
      <c r="A31" s="897" t="s">
        <v>686</v>
      </c>
      <c r="B31" s="966" t="s">
        <v>673</v>
      </c>
      <c r="C31" s="874">
        <f t="shared" si="2"/>
        <v>10156</v>
      </c>
      <c r="D31" s="879">
        <v>0</v>
      </c>
      <c r="E31" s="879">
        <v>10156</v>
      </c>
      <c r="F31" s="874">
        <f t="shared" si="3"/>
        <v>0</v>
      </c>
      <c r="G31" s="879">
        <v>0</v>
      </c>
      <c r="H31" s="879">
        <v>0</v>
      </c>
      <c r="I31" s="874">
        <f t="shared" si="5"/>
        <v>0</v>
      </c>
      <c r="J31" s="879">
        <v>0</v>
      </c>
      <c r="K31" s="879">
        <v>0</v>
      </c>
      <c r="L31" s="876">
        <f t="shared" ref="L31:N46" si="6">IF(I31=0,0,I31/F31*100)</f>
        <v>0</v>
      </c>
      <c r="M31" s="877">
        <f t="shared" si="6"/>
        <v>0</v>
      </c>
      <c r="N31" s="877">
        <f t="shared" si="6"/>
        <v>0</v>
      </c>
      <c r="O31" s="725"/>
      <c r="P31" s="725"/>
      <c r="Q31" s="736"/>
    </row>
    <row r="32" spans="1:17" ht="34.5" hidden="1" customHeight="1">
      <c r="A32" s="897"/>
      <c r="B32" s="898" t="s">
        <v>68</v>
      </c>
      <c r="C32" s="874">
        <f t="shared" si="2"/>
        <v>17240</v>
      </c>
      <c r="D32" s="875">
        <f>SUM(D33:D35)</f>
        <v>0</v>
      </c>
      <c r="E32" s="875">
        <f>SUM(E33:E35)</f>
        <v>17240</v>
      </c>
      <c r="F32" s="874">
        <f t="shared" si="3"/>
        <v>17240</v>
      </c>
      <c r="G32" s="875">
        <f>SUM(G33:G35)</f>
        <v>0</v>
      </c>
      <c r="H32" s="875">
        <f>SUM(H33:H35)</f>
        <v>17240</v>
      </c>
      <c r="I32" s="874">
        <f t="shared" si="5"/>
        <v>0</v>
      </c>
      <c r="J32" s="875">
        <f>SUM(J33:J35)</f>
        <v>0</v>
      </c>
      <c r="K32" s="875">
        <f>SUM(K33:K35)</f>
        <v>0</v>
      </c>
      <c r="L32" s="876">
        <f t="shared" si="6"/>
        <v>0</v>
      </c>
      <c r="M32" s="877">
        <f t="shared" si="6"/>
        <v>0</v>
      </c>
      <c r="N32" s="877">
        <f t="shared" si="6"/>
        <v>0</v>
      </c>
      <c r="O32" s="725"/>
      <c r="P32" s="725"/>
      <c r="Q32" s="736"/>
    </row>
    <row r="33" spans="1:17" ht="82.5" hidden="1" customHeight="1">
      <c r="A33" s="897" t="s">
        <v>688</v>
      </c>
      <c r="B33" s="963" t="s">
        <v>674</v>
      </c>
      <c r="C33" s="964">
        <f t="shared" si="2"/>
        <v>1240</v>
      </c>
      <c r="D33" s="878">
        <v>0</v>
      </c>
      <c r="E33" s="878">
        <v>1240</v>
      </c>
      <c r="F33" s="964">
        <f t="shared" si="3"/>
        <v>1240</v>
      </c>
      <c r="G33" s="878">
        <v>0</v>
      </c>
      <c r="H33" s="878">
        <v>1240</v>
      </c>
      <c r="I33" s="964">
        <f t="shared" si="5"/>
        <v>0</v>
      </c>
      <c r="J33" s="964">
        <v>0</v>
      </c>
      <c r="K33" s="964">
        <v>0</v>
      </c>
      <c r="L33" s="877">
        <f t="shared" si="6"/>
        <v>0</v>
      </c>
      <c r="M33" s="877">
        <f t="shared" si="6"/>
        <v>0</v>
      </c>
      <c r="N33" s="877">
        <f t="shared" si="6"/>
        <v>0</v>
      </c>
      <c r="O33" s="725"/>
      <c r="P33" s="725"/>
      <c r="Q33" s="736"/>
    </row>
    <row r="34" spans="1:17" ht="210" hidden="1">
      <c r="A34" s="897" t="s">
        <v>98</v>
      </c>
      <c r="B34" s="963" t="s">
        <v>721</v>
      </c>
      <c r="C34" s="964">
        <f t="shared" si="2"/>
        <v>6000</v>
      </c>
      <c r="D34" s="878">
        <v>0</v>
      </c>
      <c r="E34" s="878">
        <v>6000</v>
      </c>
      <c r="F34" s="964">
        <f t="shared" si="3"/>
        <v>6000</v>
      </c>
      <c r="G34" s="878">
        <v>0</v>
      </c>
      <c r="H34" s="878">
        <v>6000</v>
      </c>
      <c r="I34" s="964">
        <f t="shared" si="5"/>
        <v>0</v>
      </c>
      <c r="J34" s="964">
        <v>0</v>
      </c>
      <c r="K34" s="964">
        <v>0</v>
      </c>
      <c r="L34" s="877">
        <f t="shared" si="6"/>
        <v>0</v>
      </c>
      <c r="M34" s="877">
        <f t="shared" si="6"/>
        <v>0</v>
      </c>
      <c r="N34" s="877">
        <f t="shared" si="6"/>
        <v>0</v>
      </c>
      <c r="O34" s="725"/>
      <c r="P34" s="725"/>
      <c r="Q34" s="736"/>
    </row>
    <row r="35" spans="1:17" ht="236.25" hidden="1">
      <c r="A35" s="897" t="s">
        <v>99</v>
      </c>
      <c r="B35" s="963" t="s">
        <v>722</v>
      </c>
      <c r="C35" s="964">
        <f t="shared" si="2"/>
        <v>10000</v>
      </c>
      <c r="D35" s="878">
        <v>0</v>
      </c>
      <c r="E35" s="878">
        <v>10000</v>
      </c>
      <c r="F35" s="964">
        <f t="shared" si="3"/>
        <v>10000</v>
      </c>
      <c r="G35" s="878">
        <v>0</v>
      </c>
      <c r="H35" s="878">
        <v>10000</v>
      </c>
      <c r="I35" s="964">
        <f>SUM(J35:K35)</f>
        <v>0</v>
      </c>
      <c r="J35" s="964">
        <v>0</v>
      </c>
      <c r="K35" s="964">
        <v>0</v>
      </c>
      <c r="L35" s="877">
        <f t="shared" si="6"/>
        <v>0</v>
      </c>
      <c r="M35" s="877">
        <f t="shared" si="6"/>
        <v>0</v>
      </c>
      <c r="N35" s="877">
        <f t="shared" si="6"/>
        <v>0</v>
      </c>
      <c r="O35" s="725"/>
      <c r="P35" s="725"/>
      <c r="Q35" s="736"/>
    </row>
    <row r="36" spans="1:17" ht="34.5" hidden="1" customHeight="1">
      <c r="A36" s="897"/>
      <c r="B36" s="898" t="s">
        <v>281</v>
      </c>
      <c r="C36" s="874">
        <f t="shared" si="2"/>
        <v>17000</v>
      </c>
      <c r="D36" s="875">
        <f>SUM(D37:D38)</f>
        <v>0</v>
      </c>
      <c r="E36" s="875">
        <f>SUM(E37:E38)</f>
        <v>17000</v>
      </c>
      <c r="F36" s="874">
        <f t="shared" si="3"/>
        <v>17000</v>
      </c>
      <c r="G36" s="875">
        <f>SUM(G37:G38)</f>
        <v>0</v>
      </c>
      <c r="H36" s="875">
        <f>SUM(H37:H38)</f>
        <v>17000</v>
      </c>
      <c r="I36" s="874">
        <f t="shared" si="5"/>
        <v>0</v>
      </c>
      <c r="J36" s="875">
        <f>SUM(J37:J38)</f>
        <v>0</v>
      </c>
      <c r="K36" s="875">
        <f>SUM(K37:K38)</f>
        <v>0</v>
      </c>
      <c r="L36" s="876">
        <f t="shared" si="6"/>
        <v>0</v>
      </c>
      <c r="M36" s="877">
        <f t="shared" si="6"/>
        <v>0</v>
      </c>
      <c r="N36" s="877">
        <f t="shared" si="6"/>
        <v>0</v>
      </c>
      <c r="O36" s="725"/>
      <c r="P36" s="725"/>
      <c r="Q36" s="736"/>
    </row>
    <row r="37" spans="1:17" ht="52.5" hidden="1">
      <c r="A37" s="897" t="s">
        <v>100</v>
      </c>
      <c r="B37" s="963" t="s">
        <v>675</v>
      </c>
      <c r="C37" s="964">
        <f t="shared" si="2"/>
        <v>13000</v>
      </c>
      <c r="D37" s="878">
        <v>0</v>
      </c>
      <c r="E37" s="878">
        <v>13000</v>
      </c>
      <c r="F37" s="964">
        <f t="shared" si="3"/>
        <v>13000</v>
      </c>
      <c r="G37" s="878">
        <v>0</v>
      </c>
      <c r="H37" s="878">
        <v>13000</v>
      </c>
      <c r="I37" s="964">
        <f>SUM(J37:K37)</f>
        <v>0</v>
      </c>
      <c r="J37" s="964">
        <v>0</v>
      </c>
      <c r="K37" s="964">
        <v>0</v>
      </c>
      <c r="L37" s="877">
        <f>IF(I37=0,0,I37/F37*100)</f>
        <v>0</v>
      </c>
      <c r="M37" s="877">
        <f>IF(J37=0,0,J37/G37*100)</f>
        <v>0</v>
      </c>
      <c r="N37" s="877">
        <f>IF(K37=0,0,K37/H37*100)</f>
        <v>0</v>
      </c>
      <c r="O37" s="725"/>
      <c r="P37" s="725"/>
      <c r="Q37" s="736"/>
    </row>
    <row r="38" spans="1:17" ht="131.25" hidden="1">
      <c r="A38" s="897" t="s">
        <v>101</v>
      </c>
      <c r="B38" s="963" t="s">
        <v>723</v>
      </c>
      <c r="C38" s="964">
        <f t="shared" si="2"/>
        <v>4000</v>
      </c>
      <c r="D38" s="878">
        <v>0</v>
      </c>
      <c r="E38" s="878">
        <v>4000</v>
      </c>
      <c r="F38" s="964">
        <f t="shared" si="3"/>
        <v>4000</v>
      </c>
      <c r="G38" s="878">
        <v>0</v>
      </c>
      <c r="H38" s="878">
        <v>4000</v>
      </c>
      <c r="I38" s="964">
        <f t="shared" si="5"/>
        <v>0</v>
      </c>
      <c r="J38" s="964">
        <v>0</v>
      </c>
      <c r="K38" s="964">
        <v>0</v>
      </c>
      <c r="L38" s="877">
        <f t="shared" si="6"/>
        <v>0</v>
      </c>
      <c r="M38" s="877">
        <f t="shared" si="6"/>
        <v>0</v>
      </c>
      <c r="N38" s="877">
        <f t="shared" si="6"/>
        <v>0</v>
      </c>
      <c r="O38" s="725"/>
      <c r="P38" s="725"/>
      <c r="Q38" s="736"/>
    </row>
    <row r="39" spans="1:17" ht="34.5" hidden="1" customHeight="1">
      <c r="A39" s="897"/>
      <c r="B39" s="898" t="s">
        <v>431</v>
      </c>
      <c r="C39" s="874">
        <f t="shared" si="2"/>
        <v>4400</v>
      </c>
      <c r="D39" s="875">
        <f>D40</f>
        <v>0</v>
      </c>
      <c r="E39" s="875">
        <f>E40</f>
        <v>4400</v>
      </c>
      <c r="F39" s="874">
        <f t="shared" si="3"/>
        <v>4400</v>
      </c>
      <c r="G39" s="875">
        <f>G40</f>
        <v>0</v>
      </c>
      <c r="H39" s="875">
        <f>H40</f>
        <v>4400</v>
      </c>
      <c r="I39" s="874">
        <f t="shared" si="5"/>
        <v>0</v>
      </c>
      <c r="J39" s="875">
        <f>J40</f>
        <v>0</v>
      </c>
      <c r="K39" s="875">
        <f>K40</f>
        <v>0</v>
      </c>
      <c r="L39" s="876">
        <f t="shared" si="6"/>
        <v>0</v>
      </c>
      <c r="M39" s="877">
        <f t="shared" si="6"/>
        <v>0</v>
      </c>
      <c r="N39" s="877">
        <f t="shared" si="6"/>
        <v>0</v>
      </c>
      <c r="O39" s="725"/>
      <c r="P39" s="725"/>
      <c r="Q39" s="736"/>
    </row>
    <row r="40" spans="1:17" ht="105" hidden="1">
      <c r="A40" s="897" t="s">
        <v>102</v>
      </c>
      <c r="B40" s="963" t="s">
        <v>676</v>
      </c>
      <c r="C40" s="964">
        <f t="shared" si="2"/>
        <v>4400</v>
      </c>
      <c r="D40" s="878">
        <v>0</v>
      </c>
      <c r="E40" s="878">
        <v>4400</v>
      </c>
      <c r="F40" s="964">
        <f t="shared" si="3"/>
        <v>4400</v>
      </c>
      <c r="G40" s="878">
        <v>0</v>
      </c>
      <c r="H40" s="878">
        <v>4400</v>
      </c>
      <c r="I40" s="964">
        <f t="shared" si="5"/>
        <v>0</v>
      </c>
      <c r="J40" s="964">
        <v>0</v>
      </c>
      <c r="K40" s="964">
        <v>0</v>
      </c>
      <c r="L40" s="877">
        <f t="shared" si="6"/>
        <v>0</v>
      </c>
      <c r="M40" s="877">
        <f t="shared" si="6"/>
        <v>0</v>
      </c>
      <c r="N40" s="877">
        <f t="shared" si="6"/>
        <v>0</v>
      </c>
      <c r="O40" s="725"/>
      <c r="P40" s="725"/>
      <c r="Q40" s="736"/>
    </row>
    <row r="41" spans="1:17" ht="34.5" hidden="1" customHeight="1">
      <c r="A41" s="897"/>
      <c r="B41" s="898" t="s">
        <v>583</v>
      </c>
      <c r="C41" s="874">
        <f t="shared" si="2"/>
        <v>2500</v>
      </c>
      <c r="D41" s="875">
        <f>D42</f>
        <v>0</v>
      </c>
      <c r="E41" s="875">
        <f>E42</f>
        <v>2500</v>
      </c>
      <c r="F41" s="874">
        <f t="shared" si="3"/>
        <v>2500</v>
      </c>
      <c r="G41" s="875">
        <f>G42</f>
        <v>0</v>
      </c>
      <c r="H41" s="875">
        <f>H42</f>
        <v>2500</v>
      </c>
      <c r="I41" s="874">
        <f>SUM(J41:K41)</f>
        <v>0</v>
      </c>
      <c r="J41" s="875">
        <f>J42</f>
        <v>0</v>
      </c>
      <c r="K41" s="875">
        <f>K42</f>
        <v>0</v>
      </c>
      <c r="L41" s="876">
        <f t="shared" si="6"/>
        <v>0</v>
      </c>
      <c r="M41" s="877">
        <f t="shared" si="6"/>
        <v>0</v>
      </c>
      <c r="N41" s="877">
        <f t="shared" si="6"/>
        <v>0</v>
      </c>
      <c r="O41" s="725"/>
      <c r="P41" s="725"/>
      <c r="Q41" s="736"/>
    </row>
    <row r="42" spans="1:17" ht="131.25" hidden="1">
      <c r="A42" s="897" t="s">
        <v>103</v>
      </c>
      <c r="B42" s="963" t="s">
        <v>708</v>
      </c>
      <c r="C42" s="964">
        <f t="shared" si="2"/>
        <v>2500</v>
      </c>
      <c r="D42" s="878">
        <v>0</v>
      </c>
      <c r="E42" s="878">
        <v>2500</v>
      </c>
      <c r="F42" s="964">
        <f t="shared" si="3"/>
        <v>2500</v>
      </c>
      <c r="G42" s="878">
        <v>0</v>
      </c>
      <c r="H42" s="878">
        <v>2500</v>
      </c>
      <c r="I42" s="964"/>
      <c r="J42" s="964">
        <v>0</v>
      </c>
      <c r="K42" s="964">
        <v>0</v>
      </c>
      <c r="L42" s="877">
        <f t="shared" si="6"/>
        <v>0</v>
      </c>
      <c r="M42" s="877">
        <f t="shared" si="6"/>
        <v>0</v>
      </c>
      <c r="N42" s="877">
        <f t="shared" si="6"/>
        <v>0</v>
      </c>
      <c r="O42" s="725"/>
      <c r="P42" s="725"/>
      <c r="Q42" s="736"/>
    </row>
    <row r="43" spans="1:17" ht="34.5" hidden="1" customHeight="1">
      <c r="A43" s="897"/>
      <c r="B43" s="898" t="s">
        <v>709</v>
      </c>
      <c r="C43" s="874">
        <f t="shared" si="2"/>
        <v>15000</v>
      </c>
      <c r="D43" s="875">
        <f>D44</f>
        <v>0</v>
      </c>
      <c r="E43" s="875">
        <f>E44</f>
        <v>15000</v>
      </c>
      <c r="F43" s="874">
        <f t="shared" si="3"/>
        <v>15000</v>
      </c>
      <c r="G43" s="875">
        <f>G44</f>
        <v>0</v>
      </c>
      <c r="H43" s="875">
        <f>H44</f>
        <v>15000</v>
      </c>
      <c r="I43" s="874">
        <f>SUM(J43:K43)</f>
        <v>0</v>
      </c>
      <c r="J43" s="875">
        <f>J44</f>
        <v>0</v>
      </c>
      <c r="K43" s="875">
        <f>K44</f>
        <v>0</v>
      </c>
      <c r="L43" s="876">
        <f t="shared" si="6"/>
        <v>0</v>
      </c>
      <c r="M43" s="877">
        <f t="shared" si="6"/>
        <v>0</v>
      </c>
      <c r="N43" s="877">
        <f t="shared" si="6"/>
        <v>0</v>
      </c>
      <c r="O43" s="725"/>
      <c r="P43" s="725"/>
      <c r="Q43" s="736"/>
    </row>
    <row r="44" spans="1:17" ht="78.75" hidden="1">
      <c r="A44" s="897" t="s">
        <v>107</v>
      </c>
      <c r="B44" s="963" t="s">
        <v>710</v>
      </c>
      <c r="C44" s="964">
        <f t="shared" si="2"/>
        <v>15000</v>
      </c>
      <c r="D44" s="878">
        <v>0</v>
      </c>
      <c r="E44" s="878">
        <v>15000</v>
      </c>
      <c r="F44" s="964">
        <f t="shared" si="3"/>
        <v>15000</v>
      </c>
      <c r="G44" s="878">
        <v>0</v>
      </c>
      <c r="H44" s="878">
        <v>15000</v>
      </c>
      <c r="I44" s="964"/>
      <c r="J44" s="964">
        <v>0</v>
      </c>
      <c r="K44" s="964">
        <v>0</v>
      </c>
      <c r="L44" s="877">
        <f t="shared" si="6"/>
        <v>0</v>
      </c>
      <c r="M44" s="877">
        <f t="shared" si="6"/>
        <v>0</v>
      </c>
      <c r="N44" s="877">
        <f t="shared" si="6"/>
        <v>0</v>
      </c>
      <c r="O44" s="725"/>
      <c r="P44" s="725"/>
      <c r="Q44" s="736"/>
    </row>
    <row r="45" spans="1:17" ht="34.5" hidden="1" customHeight="1">
      <c r="A45" s="897"/>
      <c r="B45" s="898" t="s">
        <v>333</v>
      </c>
      <c r="C45" s="874">
        <f t="shared" si="2"/>
        <v>10000</v>
      </c>
      <c r="D45" s="875">
        <f>D46</f>
        <v>0</v>
      </c>
      <c r="E45" s="875">
        <f>E46</f>
        <v>10000</v>
      </c>
      <c r="F45" s="874">
        <f t="shared" si="3"/>
        <v>10000</v>
      </c>
      <c r="G45" s="875">
        <f>G46</f>
        <v>0</v>
      </c>
      <c r="H45" s="875">
        <f>H46</f>
        <v>10000</v>
      </c>
      <c r="I45" s="874">
        <f>SUM(J45:K45)</f>
        <v>0</v>
      </c>
      <c r="J45" s="875">
        <f>J46</f>
        <v>0</v>
      </c>
      <c r="K45" s="875">
        <f>K46</f>
        <v>0</v>
      </c>
      <c r="L45" s="876">
        <f t="shared" si="6"/>
        <v>0</v>
      </c>
      <c r="M45" s="877">
        <f t="shared" si="6"/>
        <v>0</v>
      </c>
      <c r="N45" s="877">
        <f t="shared" si="6"/>
        <v>0</v>
      </c>
      <c r="O45" s="725"/>
      <c r="P45" s="725"/>
      <c r="Q45" s="736"/>
    </row>
    <row r="46" spans="1:17" ht="52.5" hidden="1">
      <c r="A46" s="897" t="s">
        <v>108</v>
      </c>
      <c r="B46" s="963" t="s">
        <v>711</v>
      </c>
      <c r="C46" s="964">
        <f t="shared" si="2"/>
        <v>10000</v>
      </c>
      <c r="D46" s="878">
        <v>0</v>
      </c>
      <c r="E46" s="878">
        <v>10000</v>
      </c>
      <c r="F46" s="964">
        <f t="shared" si="3"/>
        <v>10000</v>
      </c>
      <c r="G46" s="878">
        <v>0</v>
      </c>
      <c r="H46" s="878">
        <v>10000</v>
      </c>
      <c r="I46" s="964"/>
      <c r="J46" s="964">
        <v>0</v>
      </c>
      <c r="K46" s="964">
        <v>0</v>
      </c>
      <c r="L46" s="877">
        <f t="shared" si="6"/>
        <v>0</v>
      </c>
      <c r="M46" s="877">
        <f t="shared" si="6"/>
        <v>0</v>
      </c>
      <c r="N46" s="877">
        <f t="shared" si="6"/>
        <v>0</v>
      </c>
      <c r="O46" s="725"/>
      <c r="P46" s="725"/>
      <c r="Q46" s="736"/>
    </row>
    <row r="47" spans="1:17" ht="34.5" hidden="1" customHeight="1">
      <c r="A47" s="897"/>
      <c r="B47" s="898" t="s">
        <v>90</v>
      </c>
      <c r="C47" s="874">
        <f t="shared" si="2"/>
        <v>1300</v>
      </c>
      <c r="D47" s="875">
        <f>D48</f>
        <v>0</v>
      </c>
      <c r="E47" s="875">
        <f>E48</f>
        <v>1300</v>
      </c>
      <c r="F47" s="874">
        <f t="shared" si="3"/>
        <v>1300</v>
      </c>
      <c r="G47" s="875">
        <f>G48</f>
        <v>0</v>
      </c>
      <c r="H47" s="875">
        <f>H48</f>
        <v>1300</v>
      </c>
      <c r="I47" s="874">
        <f>SUM(J47:K47)</f>
        <v>0</v>
      </c>
      <c r="J47" s="875">
        <f>J48</f>
        <v>0</v>
      </c>
      <c r="K47" s="875">
        <f>K48</f>
        <v>0</v>
      </c>
      <c r="L47" s="876">
        <f t="shared" ref="L47:N77" si="7">IF(I47=0,0,I47/F47*100)</f>
        <v>0</v>
      </c>
      <c r="M47" s="877">
        <f t="shared" si="7"/>
        <v>0</v>
      </c>
      <c r="N47" s="877">
        <f t="shared" si="7"/>
        <v>0</v>
      </c>
      <c r="O47" s="725"/>
      <c r="P47" s="725"/>
      <c r="Q47" s="736"/>
    </row>
    <row r="48" spans="1:17" ht="26.25" hidden="1">
      <c r="A48" s="897" t="s">
        <v>109</v>
      </c>
      <c r="B48" s="963" t="s">
        <v>714</v>
      </c>
      <c r="C48" s="964">
        <f t="shared" si="2"/>
        <v>1300</v>
      </c>
      <c r="D48" s="878">
        <v>0</v>
      </c>
      <c r="E48" s="878">
        <v>1300</v>
      </c>
      <c r="F48" s="964">
        <f t="shared" si="3"/>
        <v>1300</v>
      </c>
      <c r="G48" s="878">
        <v>0</v>
      </c>
      <c r="H48" s="878">
        <v>1300</v>
      </c>
      <c r="I48" s="964"/>
      <c r="J48" s="964">
        <v>0</v>
      </c>
      <c r="K48" s="964">
        <v>0</v>
      </c>
      <c r="L48" s="877">
        <f t="shared" si="7"/>
        <v>0</v>
      </c>
      <c r="M48" s="877">
        <f t="shared" si="7"/>
        <v>0</v>
      </c>
      <c r="N48" s="877">
        <f t="shared" si="7"/>
        <v>0</v>
      </c>
      <c r="O48" s="725"/>
      <c r="P48" s="725"/>
      <c r="Q48" s="736"/>
    </row>
    <row r="49" spans="1:18" ht="34.5" hidden="1" customHeight="1">
      <c r="A49" s="897"/>
      <c r="B49" s="898" t="s">
        <v>712</v>
      </c>
      <c r="C49" s="874">
        <f t="shared" si="2"/>
        <v>2300</v>
      </c>
      <c r="D49" s="875">
        <f>D50</f>
        <v>0</v>
      </c>
      <c r="E49" s="875">
        <f>E50</f>
        <v>2300</v>
      </c>
      <c r="F49" s="874">
        <f t="shared" si="3"/>
        <v>2300</v>
      </c>
      <c r="G49" s="875">
        <f>G50</f>
        <v>0</v>
      </c>
      <c r="H49" s="875">
        <f>H50</f>
        <v>2300</v>
      </c>
      <c r="I49" s="874">
        <f>SUM(J49:K49)</f>
        <v>0</v>
      </c>
      <c r="J49" s="875">
        <f>J50</f>
        <v>0</v>
      </c>
      <c r="K49" s="875">
        <f>K50</f>
        <v>0</v>
      </c>
      <c r="L49" s="876">
        <f t="shared" si="7"/>
        <v>0</v>
      </c>
      <c r="M49" s="877">
        <f t="shared" si="7"/>
        <v>0</v>
      </c>
      <c r="N49" s="877">
        <f t="shared" si="7"/>
        <v>0</v>
      </c>
      <c r="O49" s="725"/>
      <c r="P49" s="725"/>
      <c r="Q49" s="736"/>
    </row>
    <row r="50" spans="1:18" ht="52.5" hidden="1">
      <c r="A50" s="897" t="s">
        <v>117</v>
      </c>
      <c r="B50" s="963" t="s">
        <v>713</v>
      </c>
      <c r="C50" s="964">
        <f t="shared" si="2"/>
        <v>2300</v>
      </c>
      <c r="D50" s="878">
        <v>0</v>
      </c>
      <c r="E50" s="878">
        <v>2300</v>
      </c>
      <c r="F50" s="964">
        <f t="shared" si="3"/>
        <v>2300</v>
      </c>
      <c r="G50" s="878">
        <v>0</v>
      </c>
      <c r="H50" s="878">
        <v>2300</v>
      </c>
      <c r="I50" s="964"/>
      <c r="J50" s="964">
        <v>0</v>
      </c>
      <c r="K50" s="964">
        <v>0</v>
      </c>
      <c r="L50" s="877">
        <f t="shared" si="7"/>
        <v>0</v>
      </c>
      <c r="M50" s="877">
        <f t="shared" si="7"/>
        <v>0</v>
      </c>
      <c r="N50" s="877">
        <f t="shared" si="7"/>
        <v>0</v>
      </c>
      <c r="O50" s="725"/>
      <c r="P50" s="725"/>
      <c r="Q50" s="736"/>
    </row>
    <row r="51" spans="1:18" ht="34.5" hidden="1" customHeight="1">
      <c r="A51" s="897"/>
      <c r="B51" s="898" t="s">
        <v>46</v>
      </c>
      <c r="C51" s="874">
        <f t="shared" si="2"/>
        <v>12500</v>
      </c>
      <c r="D51" s="875">
        <f>D52</f>
        <v>0</v>
      </c>
      <c r="E51" s="875">
        <f>E52</f>
        <v>12500</v>
      </c>
      <c r="F51" s="874">
        <f t="shared" si="3"/>
        <v>12500</v>
      </c>
      <c r="G51" s="875">
        <f>G52</f>
        <v>0</v>
      </c>
      <c r="H51" s="875">
        <f>H52</f>
        <v>12500</v>
      </c>
      <c r="I51" s="874">
        <f>SUM(J51:K51)</f>
        <v>0</v>
      </c>
      <c r="J51" s="875">
        <f>J52</f>
        <v>0</v>
      </c>
      <c r="K51" s="875">
        <f>K52</f>
        <v>0</v>
      </c>
      <c r="L51" s="876">
        <f t="shared" si="7"/>
        <v>0</v>
      </c>
      <c r="M51" s="877">
        <f t="shared" si="7"/>
        <v>0</v>
      </c>
      <c r="N51" s="877">
        <f t="shared" si="7"/>
        <v>0</v>
      </c>
      <c r="O51" s="725"/>
      <c r="P51" s="725"/>
      <c r="Q51" s="736"/>
    </row>
    <row r="52" spans="1:18" ht="131.25" hidden="1">
      <c r="A52" s="897" t="s">
        <v>118</v>
      </c>
      <c r="B52" s="963" t="s">
        <v>715</v>
      </c>
      <c r="C52" s="964">
        <f t="shared" si="2"/>
        <v>12500</v>
      </c>
      <c r="D52" s="878">
        <v>0</v>
      </c>
      <c r="E52" s="878">
        <v>12500</v>
      </c>
      <c r="F52" s="964">
        <f t="shared" si="3"/>
        <v>12500</v>
      </c>
      <c r="G52" s="878">
        <v>0</v>
      </c>
      <c r="H52" s="878">
        <v>12500</v>
      </c>
      <c r="I52" s="964"/>
      <c r="J52" s="964">
        <v>0</v>
      </c>
      <c r="K52" s="964">
        <v>0</v>
      </c>
      <c r="L52" s="877">
        <f t="shared" si="7"/>
        <v>0</v>
      </c>
      <c r="M52" s="877">
        <f t="shared" si="7"/>
        <v>0</v>
      </c>
      <c r="N52" s="877">
        <f t="shared" si="7"/>
        <v>0</v>
      </c>
      <c r="O52" s="725"/>
      <c r="P52" s="725"/>
      <c r="Q52" s="736"/>
    </row>
    <row r="53" spans="1:18" ht="34.5" hidden="1" customHeight="1">
      <c r="A53" s="897"/>
      <c r="B53" s="898" t="s">
        <v>457</v>
      </c>
      <c r="C53" s="874">
        <f t="shared" si="2"/>
        <v>34000</v>
      </c>
      <c r="D53" s="875">
        <f>SUM(D54:D58)</f>
        <v>0</v>
      </c>
      <c r="E53" s="875">
        <f>SUM(E54:E58)</f>
        <v>34000</v>
      </c>
      <c r="F53" s="874">
        <f t="shared" si="3"/>
        <v>34000</v>
      </c>
      <c r="G53" s="875">
        <f>SUM(G54:G58)</f>
        <v>0</v>
      </c>
      <c r="H53" s="875">
        <f>SUM(H54:H58)</f>
        <v>34000</v>
      </c>
      <c r="I53" s="874">
        <f>SUM(J53:K53)</f>
        <v>0</v>
      </c>
      <c r="J53" s="875">
        <f>SUM(J54:J58)</f>
        <v>0</v>
      </c>
      <c r="K53" s="875">
        <f>SUM(K54:K58)</f>
        <v>0</v>
      </c>
      <c r="L53" s="876">
        <f t="shared" si="7"/>
        <v>0</v>
      </c>
      <c r="M53" s="877">
        <f t="shared" si="7"/>
        <v>0</v>
      </c>
      <c r="N53" s="877">
        <f t="shared" si="7"/>
        <v>0</v>
      </c>
      <c r="O53" s="725"/>
      <c r="P53" s="725"/>
      <c r="Q53" s="736"/>
    </row>
    <row r="54" spans="1:18" ht="105" hidden="1">
      <c r="A54" s="897" t="s">
        <v>154</v>
      </c>
      <c r="B54" s="963" t="s">
        <v>716</v>
      </c>
      <c r="C54" s="964">
        <f t="shared" si="2"/>
        <v>10000</v>
      </c>
      <c r="D54" s="878">
        <v>0</v>
      </c>
      <c r="E54" s="878">
        <v>10000</v>
      </c>
      <c r="F54" s="964">
        <f t="shared" si="3"/>
        <v>10000</v>
      </c>
      <c r="G54" s="878">
        <v>0</v>
      </c>
      <c r="H54" s="878">
        <v>10000</v>
      </c>
      <c r="I54" s="964"/>
      <c r="J54" s="964">
        <v>0</v>
      </c>
      <c r="K54" s="964">
        <v>0</v>
      </c>
      <c r="L54" s="877">
        <f t="shared" si="7"/>
        <v>0</v>
      </c>
      <c r="M54" s="877">
        <f t="shared" si="7"/>
        <v>0</v>
      </c>
      <c r="N54" s="877">
        <f t="shared" si="7"/>
        <v>0</v>
      </c>
      <c r="O54" s="725"/>
      <c r="P54" s="725"/>
      <c r="Q54" s="736"/>
    </row>
    <row r="55" spans="1:18" ht="183.75" hidden="1">
      <c r="A55" s="897" t="s">
        <v>155</v>
      </c>
      <c r="B55" s="963" t="s">
        <v>717</v>
      </c>
      <c r="C55" s="964">
        <f t="shared" si="2"/>
        <v>6400</v>
      </c>
      <c r="D55" s="878">
        <v>0</v>
      </c>
      <c r="E55" s="878">
        <v>6400</v>
      </c>
      <c r="F55" s="964">
        <f t="shared" si="3"/>
        <v>6400</v>
      </c>
      <c r="G55" s="878">
        <v>0</v>
      </c>
      <c r="H55" s="878">
        <v>6400</v>
      </c>
      <c r="I55" s="964"/>
      <c r="J55" s="964">
        <v>0</v>
      </c>
      <c r="K55" s="964">
        <v>0</v>
      </c>
      <c r="L55" s="877">
        <f t="shared" si="7"/>
        <v>0</v>
      </c>
      <c r="M55" s="877">
        <f t="shared" si="7"/>
        <v>0</v>
      </c>
      <c r="N55" s="877">
        <f t="shared" si="7"/>
        <v>0</v>
      </c>
      <c r="O55" s="725"/>
      <c r="P55" s="725"/>
      <c r="Q55" s="736"/>
    </row>
    <row r="56" spans="1:18" ht="183.75" hidden="1">
      <c r="A56" s="897" t="s">
        <v>156</v>
      </c>
      <c r="B56" s="963" t="s">
        <v>718</v>
      </c>
      <c r="C56" s="964">
        <f t="shared" si="2"/>
        <v>4600</v>
      </c>
      <c r="D56" s="878">
        <v>0</v>
      </c>
      <c r="E56" s="878">
        <v>4600</v>
      </c>
      <c r="F56" s="964">
        <f t="shared" si="3"/>
        <v>4600</v>
      </c>
      <c r="G56" s="878">
        <v>0</v>
      </c>
      <c r="H56" s="878">
        <v>4600</v>
      </c>
      <c r="I56" s="964"/>
      <c r="J56" s="964">
        <v>0</v>
      </c>
      <c r="K56" s="964">
        <v>0</v>
      </c>
      <c r="L56" s="877">
        <f t="shared" si="7"/>
        <v>0</v>
      </c>
      <c r="M56" s="877">
        <f t="shared" si="7"/>
        <v>0</v>
      </c>
      <c r="N56" s="877">
        <f t="shared" si="7"/>
        <v>0</v>
      </c>
      <c r="O56" s="725"/>
      <c r="P56" s="725"/>
      <c r="Q56" s="736"/>
    </row>
    <row r="57" spans="1:18" ht="131.25" hidden="1">
      <c r="A57" s="897" t="s">
        <v>122</v>
      </c>
      <c r="B57" s="963" t="s">
        <v>719</v>
      </c>
      <c r="C57" s="964">
        <f t="shared" si="2"/>
        <v>10000</v>
      </c>
      <c r="D57" s="878">
        <v>0</v>
      </c>
      <c r="E57" s="878">
        <v>10000</v>
      </c>
      <c r="F57" s="964">
        <f t="shared" si="3"/>
        <v>10000</v>
      </c>
      <c r="G57" s="878">
        <v>0</v>
      </c>
      <c r="H57" s="878">
        <v>10000</v>
      </c>
      <c r="I57" s="964"/>
      <c r="J57" s="964">
        <v>0</v>
      </c>
      <c r="K57" s="964">
        <v>0</v>
      </c>
      <c r="L57" s="877">
        <f t="shared" si="7"/>
        <v>0</v>
      </c>
      <c r="M57" s="877">
        <f t="shared" si="7"/>
        <v>0</v>
      </c>
      <c r="N57" s="877">
        <f t="shared" si="7"/>
        <v>0</v>
      </c>
      <c r="O57" s="725"/>
      <c r="P57" s="725"/>
      <c r="Q57" s="736"/>
    </row>
    <row r="58" spans="1:18" ht="157.5" hidden="1">
      <c r="A58" s="897" t="s">
        <v>123</v>
      </c>
      <c r="B58" s="963" t="s">
        <v>720</v>
      </c>
      <c r="C58" s="964">
        <f t="shared" si="2"/>
        <v>3000</v>
      </c>
      <c r="D58" s="878">
        <v>0</v>
      </c>
      <c r="E58" s="878">
        <v>3000</v>
      </c>
      <c r="F58" s="964">
        <f t="shared" si="3"/>
        <v>3000</v>
      </c>
      <c r="G58" s="878">
        <v>0</v>
      </c>
      <c r="H58" s="878">
        <v>3000</v>
      </c>
      <c r="I58" s="964"/>
      <c r="J58" s="964">
        <v>0</v>
      </c>
      <c r="K58" s="964">
        <v>0</v>
      </c>
      <c r="L58" s="877">
        <f t="shared" si="7"/>
        <v>0</v>
      </c>
      <c r="M58" s="877">
        <f t="shared" si="7"/>
        <v>0</v>
      </c>
      <c r="N58" s="877">
        <f t="shared" si="7"/>
        <v>0</v>
      </c>
      <c r="O58" s="725"/>
      <c r="P58" s="725"/>
      <c r="Q58" s="736"/>
    </row>
    <row r="59" spans="1:18" s="914" customFormat="1" ht="60" hidden="1" customHeight="1">
      <c r="A59" s="944"/>
      <c r="B59" s="907" t="s">
        <v>444</v>
      </c>
      <c r="C59" s="908">
        <f>D59+E59</f>
        <v>239124.1</v>
      </c>
      <c r="D59" s="909">
        <f>SUM(D60,D63,D66,D68,D70,D72,D75)</f>
        <v>220820.4</v>
      </c>
      <c r="E59" s="909">
        <f>SUM(E60,E63,E66,E70,E68,E72,E75)</f>
        <v>18303.7</v>
      </c>
      <c r="F59" s="908">
        <f>G59+H59</f>
        <v>0</v>
      </c>
      <c r="G59" s="909">
        <f>SUM(G60,G63,G66,G68,G70,G72,G75)</f>
        <v>0</v>
      </c>
      <c r="H59" s="909">
        <f>SUM(H60,H63,H66,H70,H68,H72,H75)</f>
        <v>0</v>
      </c>
      <c r="I59" s="908">
        <f>J59+K59</f>
        <v>0</v>
      </c>
      <c r="J59" s="909">
        <f>SUM(J60,J63,J66,J68,J70,J72,J75)</f>
        <v>0</v>
      </c>
      <c r="K59" s="909">
        <f>SUM(K60,K63,K66,K70,K68,K72,K75)</f>
        <v>0</v>
      </c>
      <c r="L59" s="910">
        <f t="shared" si="7"/>
        <v>0</v>
      </c>
      <c r="M59" s="911">
        <f t="shared" si="7"/>
        <v>0</v>
      </c>
      <c r="N59" s="911">
        <f t="shared" si="7"/>
        <v>0</v>
      </c>
      <c r="O59" s="912"/>
      <c r="P59" s="912"/>
      <c r="Q59" s="913"/>
    </row>
    <row r="60" spans="1:18" ht="38.25" hidden="1" customHeight="1">
      <c r="A60" s="897"/>
      <c r="B60" s="899" t="s">
        <v>431</v>
      </c>
      <c r="C60" s="874">
        <f t="shared" ref="C60:C123" si="8">SUM(D60:E60)</f>
        <v>19433</v>
      </c>
      <c r="D60" s="880">
        <f>D61+D62</f>
        <v>18266.8</v>
      </c>
      <c r="E60" s="880">
        <f>E61+E62</f>
        <v>1166.2</v>
      </c>
      <c r="F60" s="874">
        <f t="shared" ref="F60:F85" si="9">SUM(G60:H60)</f>
        <v>0</v>
      </c>
      <c r="G60" s="880">
        <f>G61+G62</f>
        <v>0</v>
      </c>
      <c r="H60" s="880">
        <f>H61+H62</f>
        <v>0</v>
      </c>
      <c r="I60" s="874">
        <f t="shared" ref="I60:I123" si="10">SUM(J60:K60)</f>
        <v>0</v>
      </c>
      <c r="J60" s="880">
        <f>J61+J62</f>
        <v>0</v>
      </c>
      <c r="K60" s="880">
        <f>K61+K62</f>
        <v>0</v>
      </c>
      <c r="L60" s="877">
        <f t="shared" si="7"/>
        <v>0</v>
      </c>
      <c r="M60" s="877">
        <f t="shared" si="7"/>
        <v>0</v>
      </c>
      <c r="N60" s="877">
        <f t="shared" si="7"/>
        <v>0</v>
      </c>
      <c r="O60" s="725"/>
      <c r="P60" s="725"/>
      <c r="Q60" s="736"/>
    </row>
    <row r="61" spans="1:18" ht="52.5" hidden="1">
      <c r="A61" s="897" t="s">
        <v>124</v>
      </c>
      <c r="B61" s="967" t="s">
        <v>690</v>
      </c>
      <c r="C61" s="964">
        <f t="shared" si="8"/>
        <v>10977.6</v>
      </c>
      <c r="D61" s="879">
        <v>10318.799999999999</v>
      </c>
      <c r="E61" s="879">
        <v>658.8</v>
      </c>
      <c r="F61" s="964">
        <f t="shared" si="9"/>
        <v>0</v>
      </c>
      <c r="G61" s="879">
        <v>0</v>
      </c>
      <c r="H61" s="879">
        <v>0</v>
      </c>
      <c r="I61" s="964">
        <f t="shared" si="10"/>
        <v>0</v>
      </c>
      <c r="J61" s="879">
        <v>0</v>
      </c>
      <c r="K61" s="879">
        <v>0</v>
      </c>
      <c r="L61" s="877">
        <f t="shared" si="7"/>
        <v>0</v>
      </c>
      <c r="M61" s="877">
        <f t="shared" si="7"/>
        <v>0</v>
      </c>
      <c r="N61" s="877">
        <f t="shared" si="7"/>
        <v>0</v>
      </c>
      <c r="O61" s="725"/>
      <c r="P61" s="725"/>
      <c r="Q61" s="736"/>
    </row>
    <row r="62" spans="1:18" ht="26.25" hidden="1">
      <c r="A62" s="897" t="s">
        <v>125</v>
      </c>
      <c r="B62" s="967" t="s">
        <v>689</v>
      </c>
      <c r="C62" s="964">
        <f t="shared" si="8"/>
        <v>8455.4</v>
      </c>
      <c r="D62" s="879">
        <v>7948</v>
      </c>
      <c r="E62" s="879">
        <v>507.4</v>
      </c>
      <c r="F62" s="964">
        <f t="shared" si="9"/>
        <v>0</v>
      </c>
      <c r="G62" s="879">
        <v>0</v>
      </c>
      <c r="H62" s="879">
        <v>0</v>
      </c>
      <c r="I62" s="964">
        <f t="shared" si="10"/>
        <v>0</v>
      </c>
      <c r="J62" s="879">
        <v>0</v>
      </c>
      <c r="K62" s="879">
        <v>0</v>
      </c>
      <c r="L62" s="877">
        <f t="shared" si="7"/>
        <v>0</v>
      </c>
      <c r="M62" s="877">
        <f t="shared" si="7"/>
        <v>0</v>
      </c>
      <c r="N62" s="877">
        <f t="shared" si="7"/>
        <v>0</v>
      </c>
      <c r="O62" s="725"/>
      <c r="P62" s="725"/>
      <c r="Q62" s="736"/>
      <c r="R62" s="736"/>
    </row>
    <row r="63" spans="1:18" ht="37.5" hidden="1" customHeight="1">
      <c r="A63" s="895"/>
      <c r="B63" s="898" t="s">
        <v>457</v>
      </c>
      <c r="C63" s="874">
        <f t="shared" si="8"/>
        <v>14332.1</v>
      </c>
      <c r="D63" s="881">
        <f>SUM(D64:D65)</f>
        <v>13472</v>
      </c>
      <c r="E63" s="881">
        <f>SUM(E64:E65)</f>
        <v>860.1</v>
      </c>
      <c r="F63" s="874">
        <f t="shared" si="9"/>
        <v>0</v>
      </c>
      <c r="G63" s="881">
        <f>SUM(G64:G65)</f>
        <v>0</v>
      </c>
      <c r="H63" s="881">
        <f>SUM(H64:H65)</f>
        <v>0</v>
      </c>
      <c r="I63" s="874">
        <f t="shared" si="10"/>
        <v>0</v>
      </c>
      <c r="J63" s="881">
        <f>SUM(J64:J65)</f>
        <v>0</v>
      </c>
      <c r="K63" s="881">
        <f>SUM(K64:K65)</f>
        <v>0</v>
      </c>
      <c r="L63" s="882">
        <f t="shared" si="7"/>
        <v>0</v>
      </c>
      <c r="M63" s="875">
        <f t="shared" si="7"/>
        <v>0</v>
      </c>
      <c r="N63" s="875">
        <f t="shared" si="7"/>
        <v>0</v>
      </c>
      <c r="O63" s="725">
        <f t="shared" ref="O63:P69" si="11">D63-G63</f>
        <v>13472</v>
      </c>
      <c r="P63" s="725">
        <f t="shared" si="11"/>
        <v>860.1</v>
      </c>
      <c r="Q63" s="736"/>
    </row>
    <row r="64" spans="1:18" ht="131.25" hidden="1">
      <c r="A64" s="897" t="s">
        <v>126</v>
      </c>
      <c r="B64" s="896" t="s">
        <v>677</v>
      </c>
      <c r="C64" s="964">
        <f t="shared" si="8"/>
        <v>8056.3</v>
      </c>
      <c r="D64" s="879">
        <v>7572.8</v>
      </c>
      <c r="E64" s="879">
        <v>483.5</v>
      </c>
      <c r="F64" s="964">
        <f t="shared" si="9"/>
        <v>0</v>
      </c>
      <c r="G64" s="879">
        <v>0</v>
      </c>
      <c r="H64" s="879">
        <v>0</v>
      </c>
      <c r="I64" s="964">
        <f t="shared" si="10"/>
        <v>0</v>
      </c>
      <c r="J64" s="879">
        <v>0</v>
      </c>
      <c r="K64" s="879">
        <v>0</v>
      </c>
      <c r="L64" s="877">
        <f t="shared" si="7"/>
        <v>0</v>
      </c>
      <c r="M64" s="877">
        <f t="shared" si="7"/>
        <v>0</v>
      </c>
      <c r="N64" s="877">
        <f t="shared" si="7"/>
        <v>0</v>
      </c>
      <c r="O64" s="725">
        <f t="shared" si="11"/>
        <v>7572.8</v>
      </c>
      <c r="P64" s="725">
        <f t="shared" si="11"/>
        <v>483.5</v>
      </c>
      <c r="Q64" s="736"/>
    </row>
    <row r="65" spans="1:17" ht="26.25" hidden="1">
      <c r="A65" s="897" t="s">
        <v>127</v>
      </c>
      <c r="B65" s="968" t="s">
        <v>678</v>
      </c>
      <c r="C65" s="964">
        <f t="shared" si="8"/>
        <v>6275.8</v>
      </c>
      <c r="D65" s="879">
        <v>5899.2</v>
      </c>
      <c r="E65" s="879">
        <v>376.6</v>
      </c>
      <c r="F65" s="964">
        <f t="shared" si="9"/>
        <v>0</v>
      </c>
      <c r="G65" s="879">
        <v>0</v>
      </c>
      <c r="H65" s="879">
        <v>0</v>
      </c>
      <c r="I65" s="964">
        <f t="shared" si="10"/>
        <v>0</v>
      </c>
      <c r="J65" s="879">
        <v>0</v>
      </c>
      <c r="K65" s="879">
        <v>0</v>
      </c>
      <c r="L65" s="877">
        <f t="shared" si="7"/>
        <v>0</v>
      </c>
      <c r="M65" s="877">
        <f t="shared" si="7"/>
        <v>0</v>
      </c>
      <c r="N65" s="877">
        <f t="shared" si="7"/>
        <v>0</v>
      </c>
      <c r="O65" s="725"/>
      <c r="P65" s="725"/>
    </row>
    <row r="66" spans="1:17" ht="33" hidden="1" customHeight="1">
      <c r="A66" s="895"/>
      <c r="B66" s="898" t="s">
        <v>433</v>
      </c>
      <c r="C66" s="874">
        <f t="shared" si="8"/>
        <v>14049.3</v>
      </c>
      <c r="D66" s="875">
        <f>D67</f>
        <v>13206.2</v>
      </c>
      <c r="E66" s="875">
        <f>E67</f>
        <v>843.1</v>
      </c>
      <c r="F66" s="874">
        <f t="shared" si="9"/>
        <v>0</v>
      </c>
      <c r="G66" s="875">
        <f>G67</f>
        <v>0</v>
      </c>
      <c r="H66" s="875">
        <f>H67</f>
        <v>0</v>
      </c>
      <c r="I66" s="874">
        <f t="shared" si="10"/>
        <v>0</v>
      </c>
      <c r="J66" s="875">
        <f>J67</f>
        <v>0</v>
      </c>
      <c r="K66" s="875">
        <f>K67</f>
        <v>0</v>
      </c>
      <c r="L66" s="882">
        <f t="shared" si="7"/>
        <v>0</v>
      </c>
      <c r="M66" s="883">
        <f t="shared" si="7"/>
        <v>0</v>
      </c>
      <c r="N66" s="883">
        <f t="shared" si="7"/>
        <v>0</v>
      </c>
      <c r="O66" s="725">
        <f t="shared" si="11"/>
        <v>13206.2</v>
      </c>
      <c r="P66" s="725">
        <f t="shared" si="11"/>
        <v>843.1</v>
      </c>
      <c r="Q66" s="736"/>
    </row>
    <row r="67" spans="1:17" ht="52.5" hidden="1">
      <c r="A67" s="897" t="s">
        <v>128</v>
      </c>
      <c r="B67" s="969" t="s">
        <v>679</v>
      </c>
      <c r="C67" s="964">
        <f t="shared" si="8"/>
        <v>14049.3</v>
      </c>
      <c r="D67" s="878">
        <v>13206.2</v>
      </c>
      <c r="E67" s="878">
        <v>843.1</v>
      </c>
      <c r="F67" s="964">
        <f t="shared" si="9"/>
        <v>0</v>
      </c>
      <c r="G67" s="878">
        <v>0</v>
      </c>
      <c r="H67" s="878">
        <v>0</v>
      </c>
      <c r="I67" s="964">
        <f t="shared" si="10"/>
        <v>0</v>
      </c>
      <c r="J67" s="878">
        <v>0</v>
      </c>
      <c r="K67" s="878">
        <v>0</v>
      </c>
      <c r="L67" s="877">
        <f t="shared" si="7"/>
        <v>0</v>
      </c>
      <c r="M67" s="877">
        <f t="shared" si="7"/>
        <v>0</v>
      </c>
      <c r="N67" s="877">
        <f t="shared" si="7"/>
        <v>0</v>
      </c>
      <c r="O67" s="725">
        <f t="shared" si="11"/>
        <v>13206.2</v>
      </c>
      <c r="P67" s="725">
        <f t="shared" si="11"/>
        <v>843.1</v>
      </c>
      <c r="Q67" s="736"/>
    </row>
    <row r="68" spans="1:17" ht="33.75" hidden="1" customHeight="1">
      <c r="A68" s="895"/>
      <c r="B68" s="898" t="s">
        <v>458</v>
      </c>
      <c r="C68" s="874">
        <f t="shared" si="8"/>
        <v>11408.6</v>
      </c>
      <c r="D68" s="875">
        <f>D69</f>
        <v>10724</v>
      </c>
      <c r="E68" s="875">
        <f>E69</f>
        <v>684.6</v>
      </c>
      <c r="F68" s="874">
        <f t="shared" si="9"/>
        <v>0</v>
      </c>
      <c r="G68" s="875">
        <f>G69</f>
        <v>0</v>
      </c>
      <c r="H68" s="875">
        <f>H69</f>
        <v>0</v>
      </c>
      <c r="I68" s="874">
        <f t="shared" si="10"/>
        <v>0</v>
      </c>
      <c r="J68" s="875">
        <f>J69</f>
        <v>0</v>
      </c>
      <c r="K68" s="875">
        <f>K69</f>
        <v>0</v>
      </c>
      <c r="L68" s="882">
        <f t="shared" si="7"/>
        <v>0</v>
      </c>
      <c r="M68" s="883">
        <f t="shared" si="7"/>
        <v>0</v>
      </c>
      <c r="N68" s="883">
        <f t="shared" si="7"/>
        <v>0</v>
      </c>
      <c r="O68" s="725">
        <f t="shared" si="11"/>
        <v>10724</v>
      </c>
      <c r="P68" s="725">
        <f t="shared" si="11"/>
        <v>684.6</v>
      </c>
      <c r="Q68" s="736"/>
    </row>
    <row r="69" spans="1:17" ht="60" hidden="1" customHeight="1">
      <c r="A69" s="897" t="s">
        <v>158</v>
      </c>
      <c r="B69" s="969" t="s">
        <v>680</v>
      </c>
      <c r="C69" s="964">
        <f t="shared" si="8"/>
        <v>11408.6</v>
      </c>
      <c r="D69" s="878">
        <v>10724</v>
      </c>
      <c r="E69" s="878">
        <v>684.6</v>
      </c>
      <c r="F69" s="964">
        <f t="shared" si="9"/>
        <v>0</v>
      </c>
      <c r="G69" s="878">
        <v>0</v>
      </c>
      <c r="H69" s="878">
        <v>0</v>
      </c>
      <c r="I69" s="964">
        <f t="shared" si="10"/>
        <v>0</v>
      </c>
      <c r="J69" s="964">
        <v>0</v>
      </c>
      <c r="K69" s="964">
        <v>0</v>
      </c>
      <c r="L69" s="877">
        <f t="shared" si="7"/>
        <v>0</v>
      </c>
      <c r="M69" s="877">
        <f t="shared" si="7"/>
        <v>0</v>
      </c>
      <c r="N69" s="877">
        <f t="shared" si="7"/>
        <v>0</v>
      </c>
      <c r="O69" s="725">
        <f t="shared" si="11"/>
        <v>10724</v>
      </c>
      <c r="P69" s="725">
        <f t="shared" si="11"/>
        <v>684.6</v>
      </c>
      <c r="Q69" s="736"/>
    </row>
    <row r="70" spans="1:17" ht="36" hidden="1" customHeight="1">
      <c r="A70" s="895"/>
      <c r="B70" s="898" t="s">
        <v>443</v>
      </c>
      <c r="C70" s="874">
        <f t="shared" si="8"/>
        <v>55844.9</v>
      </c>
      <c r="D70" s="875">
        <f>D71</f>
        <v>52494.2</v>
      </c>
      <c r="E70" s="875">
        <f>E71</f>
        <v>3350.7</v>
      </c>
      <c r="F70" s="874">
        <f t="shared" si="9"/>
        <v>0</v>
      </c>
      <c r="G70" s="875">
        <f>G71</f>
        <v>0</v>
      </c>
      <c r="H70" s="875">
        <f>H71</f>
        <v>0</v>
      </c>
      <c r="I70" s="874">
        <f t="shared" si="10"/>
        <v>0</v>
      </c>
      <c r="J70" s="875">
        <f>J71</f>
        <v>0</v>
      </c>
      <c r="K70" s="875">
        <f>K71</f>
        <v>0</v>
      </c>
      <c r="L70" s="876">
        <f t="shared" si="7"/>
        <v>0</v>
      </c>
      <c r="M70" s="877">
        <f t="shared" si="7"/>
        <v>0</v>
      </c>
      <c r="N70" s="877">
        <f t="shared" si="7"/>
        <v>0</v>
      </c>
      <c r="O70" s="725"/>
      <c r="P70" s="725"/>
      <c r="Q70" s="736"/>
    </row>
    <row r="71" spans="1:17" ht="78.75" hidden="1">
      <c r="A71" s="897" t="s">
        <v>129</v>
      </c>
      <c r="B71" s="969" t="s">
        <v>681</v>
      </c>
      <c r="C71" s="964">
        <f t="shared" si="8"/>
        <v>55844.9</v>
      </c>
      <c r="D71" s="878">
        <v>52494.2</v>
      </c>
      <c r="E71" s="878">
        <v>3350.7</v>
      </c>
      <c r="F71" s="964">
        <f t="shared" si="9"/>
        <v>0</v>
      </c>
      <c r="G71" s="878">
        <v>0</v>
      </c>
      <c r="H71" s="878">
        <v>0</v>
      </c>
      <c r="I71" s="964">
        <f t="shared" si="10"/>
        <v>0</v>
      </c>
      <c r="J71" s="964">
        <v>0</v>
      </c>
      <c r="K71" s="970">
        <v>0</v>
      </c>
      <c r="L71" s="877">
        <f t="shared" si="7"/>
        <v>0</v>
      </c>
      <c r="M71" s="877">
        <f t="shared" si="7"/>
        <v>0</v>
      </c>
      <c r="N71" s="877">
        <f t="shared" si="7"/>
        <v>0</v>
      </c>
      <c r="O71" s="725"/>
      <c r="P71" s="725"/>
    </row>
    <row r="72" spans="1:17" ht="31.5" hidden="1" customHeight="1">
      <c r="A72" s="897"/>
      <c r="B72" s="898" t="s">
        <v>281</v>
      </c>
      <c r="C72" s="874">
        <f t="shared" si="8"/>
        <v>115027.3</v>
      </c>
      <c r="D72" s="875">
        <f>SUM(D73:D74)</f>
        <v>104170.1</v>
      </c>
      <c r="E72" s="875">
        <f>SUM(E73:E74)</f>
        <v>10857.2</v>
      </c>
      <c r="F72" s="874">
        <f t="shared" si="9"/>
        <v>0</v>
      </c>
      <c r="G72" s="875">
        <f>SUM(G73:G74)</f>
        <v>0</v>
      </c>
      <c r="H72" s="875">
        <f>SUM(H73:H74)</f>
        <v>0</v>
      </c>
      <c r="I72" s="874">
        <f t="shared" si="10"/>
        <v>0</v>
      </c>
      <c r="J72" s="875">
        <f>SUM(J73:J74)</f>
        <v>0</v>
      </c>
      <c r="K72" s="875">
        <f>SUM(K73:K74)</f>
        <v>0</v>
      </c>
      <c r="L72" s="876">
        <f t="shared" si="7"/>
        <v>0</v>
      </c>
      <c r="M72" s="877">
        <f t="shared" si="7"/>
        <v>0</v>
      </c>
      <c r="N72" s="877">
        <f t="shared" si="7"/>
        <v>0</v>
      </c>
      <c r="O72" s="725"/>
      <c r="P72" s="725"/>
      <c r="Q72" s="736"/>
    </row>
    <row r="73" spans="1:17" ht="78.75" hidden="1">
      <c r="A73" s="897" t="s">
        <v>159</v>
      </c>
      <c r="B73" s="969" t="s">
        <v>682</v>
      </c>
      <c r="C73" s="964">
        <f t="shared" si="8"/>
        <v>84139</v>
      </c>
      <c r="D73" s="878">
        <f>69176.7+5958.6</f>
        <v>75135.3</v>
      </c>
      <c r="E73" s="878">
        <v>9003.7000000000007</v>
      </c>
      <c r="F73" s="964">
        <f t="shared" si="9"/>
        <v>0</v>
      </c>
      <c r="G73" s="878">
        <v>0</v>
      </c>
      <c r="H73" s="878">
        <v>0</v>
      </c>
      <c r="I73" s="964">
        <f t="shared" si="10"/>
        <v>0</v>
      </c>
      <c r="J73" s="964">
        <v>0</v>
      </c>
      <c r="K73" s="970">
        <v>0</v>
      </c>
      <c r="L73" s="877">
        <f t="shared" si="7"/>
        <v>0</v>
      </c>
      <c r="M73" s="877">
        <f t="shared" si="7"/>
        <v>0</v>
      </c>
      <c r="N73" s="877">
        <f t="shared" si="7"/>
        <v>0</v>
      </c>
      <c r="O73" s="725"/>
      <c r="P73" s="725"/>
      <c r="Q73" s="736"/>
    </row>
    <row r="74" spans="1:17" ht="26.25" hidden="1">
      <c r="A74" s="897" t="s">
        <v>130</v>
      </c>
      <c r="B74" s="963" t="s">
        <v>683</v>
      </c>
      <c r="C74" s="964">
        <f t="shared" si="8"/>
        <v>30888.3</v>
      </c>
      <c r="D74" s="878">
        <v>29034.799999999999</v>
      </c>
      <c r="E74" s="878">
        <v>1853.5</v>
      </c>
      <c r="F74" s="964">
        <f t="shared" si="9"/>
        <v>0</v>
      </c>
      <c r="G74" s="878">
        <v>0</v>
      </c>
      <c r="H74" s="878">
        <v>0</v>
      </c>
      <c r="I74" s="964">
        <f t="shared" si="10"/>
        <v>0</v>
      </c>
      <c r="J74" s="964">
        <v>0</v>
      </c>
      <c r="K74" s="964">
        <v>0</v>
      </c>
      <c r="L74" s="877">
        <f t="shared" si="7"/>
        <v>0</v>
      </c>
      <c r="M74" s="877">
        <f t="shared" si="7"/>
        <v>0</v>
      </c>
      <c r="N74" s="877">
        <f t="shared" si="7"/>
        <v>0</v>
      </c>
      <c r="O74" s="725"/>
      <c r="P74" s="725"/>
      <c r="Q74" s="736"/>
    </row>
    <row r="75" spans="1:17" ht="31.5" hidden="1" customHeight="1">
      <c r="A75" s="897"/>
      <c r="B75" s="898" t="s">
        <v>583</v>
      </c>
      <c r="C75" s="874">
        <f t="shared" si="8"/>
        <v>9028.9</v>
      </c>
      <c r="D75" s="875">
        <f>SUM(D76:D76)</f>
        <v>8487.1</v>
      </c>
      <c r="E75" s="875">
        <f>SUM(E76:E76)</f>
        <v>541.79999999999995</v>
      </c>
      <c r="F75" s="874">
        <f t="shared" si="9"/>
        <v>0</v>
      </c>
      <c r="G75" s="875">
        <f>SUM(G76:G76)</f>
        <v>0</v>
      </c>
      <c r="H75" s="875">
        <f>SUM(H76:H76)</f>
        <v>0</v>
      </c>
      <c r="I75" s="874">
        <f t="shared" si="10"/>
        <v>0</v>
      </c>
      <c r="J75" s="875">
        <f>SUM(J76:J76)</f>
        <v>0</v>
      </c>
      <c r="K75" s="875">
        <f>SUM(K76:K76)</f>
        <v>0</v>
      </c>
      <c r="L75" s="876">
        <f t="shared" si="7"/>
        <v>0</v>
      </c>
      <c r="M75" s="877">
        <f t="shared" si="7"/>
        <v>0</v>
      </c>
      <c r="N75" s="877">
        <f t="shared" si="7"/>
        <v>0</v>
      </c>
      <c r="O75" s="725"/>
      <c r="P75" s="725"/>
      <c r="Q75" s="736"/>
    </row>
    <row r="76" spans="1:17" ht="24.75" hidden="1" customHeight="1">
      <c r="A76" s="897" t="s">
        <v>160</v>
      </c>
      <c r="B76" s="967" t="s">
        <v>684</v>
      </c>
      <c r="C76" s="964">
        <f t="shared" si="8"/>
        <v>9028.9</v>
      </c>
      <c r="D76" s="878">
        <v>8487.1</v>
      </c>
      <c r="E76" s="878">
        <v>541.79999999999995</v>
      </c>
      <c r="F76" s="964">
        <f t="shared" si="9"/>
        <v>0</v>
      </c>
      <c r="G76" s="878">
        <v>0</v>
      </c>
      <c r="H76" s="878">
        <v>0</v>
      </c>
      <c r="I76" s="964">
        <f t="shared" si="10"/>
        <v>0</v>
      </c>
      <c r="J76" s="964">
        <v>0</v>
      </c>
      <c r="K76" s="970">
        <v>0</v>
      </c>
      <c r="L76" s="877">
        <f t="shared" si="7"/>
        <v>0</v>
      </c>
      <c r="M76" s="877">
        <f t="shared" si="7"/>
        <v>0</v>
      </c>
      <c r="N76" s="877">
        <f t="shared" si="7"/>
        <v>0</v>
      </c>
      <c r="O76" s="725"/>
      <c r="P76" s="725"/>
      <c r="Q76" s="736"/>
    </row>
    <row r="77" spans="1:17" s="914" customFormat="1" ht="108.75" hidden="1" customHeight="1">
      <c r="A77" s="945" t="s">
        <v>2</v>
      </c>
      <c r="B77" s="921" t="s">
        <v>313</v>
      </c>
      <c r="C77" s="922">
        <f t="shared" si="8"/>
        <v>3067843</v>
      </c>
      <c r="D77" s="922">
        <f>D78</f>
        <v>2559643</v>
      </c>
      <c r="E77" s="922">
        <f>E78</f>
        <v>508200</v>
      </c>
      <c r="F77" s="922">
        <f t="shared" si="9"/>
        <v>3037843</v>
      </c>
      <c r="G77" s="922">
        <f>G78</f>
        <v>2559643</v>
      </c>
      <c r="H77" s="922">
        <f>H78</f>
        <v>478200</v>
      </c>
      <c r="I77" s="922">
        <f>SUM(J77:K77)</f>
        <v>0</v>
      </c>
      <c r="J77" s="922">
        <f>J78</f>
        <v>0</v>
      </c>
      <c r="K77" s="922">
        <f>K78</f>
        <v>0</v>
      </c>
      <c r="L77" s="923">
        <f t="shared" si="7"/>
        <v>0</v>
      </c>
      <c r="M77" s="924">
        <f t="shared" si="7"/>
        <v>0</v>
      </c>
      <c r="N77" s="924">
        <f t="shared" si="7"/>
        <v>0</v>
      </c>
      <c r="O77" s="912">
        <f>D77-G77</f>
        <v>0</v>
      </c>
      <c r="P77" s="912">
        <f>E77-H77</f>
        <v>30000</v>
      </c>
      <c r="Q77" s="913"/>
    </row>
    <row r="78" spans="1:17" s="914" customFormat="1" ht="67.5" hidden="1" customHeight="1">
      <c r="A78" s="944" t="s">
        <v>246</v>
      </c>
      <c r="B78" s="932" t="s">
        <v>41</v>
      </c>
      <c r="C78" s="933">
        <f t="shared" si="8"/>
        <v>3067843</v>
      </c>
      <c r="D78" s="934">
        <f>SUM(D79:D108)</f>
        <v>2559643</v>
      </c>
      <c r="E78" s="934">
        <f>SUM(E79:E108)</f>
        <v>508200</v>
      </c>
      <c r="F78" s="933">
        <f t="shared" si="9"/>
        <v>3037843</v>
      </c>
      <c r="G78" s="934">
        <f>SUM(G79:G108)</f>
        <v>2559643</v>
      </c>
      <c r="H78" s="934">
        <f>SUM(H79:H108)</f>
        <v>478200</v>
      </c>
      <c r="I78" s="933">
        <f>SUM(J78:K78)</f>
        <v>0</v>
      </c>
      <c r="J78" s="934">
        <f>SUM(J79:J108)</f>
        <v>0</v>
      </c>
      <c r="K78" s="934">
        <f>SUM(K79:K108)</f>
        <v>0</v>
      </c>
      <c r="L78" s="935">
        <f t="shared" ref="L78:N93" si="12">IF(I78=0,0,I78/F78*100)</f>
        <v>0</v>
      </c>
      <c r="M78" s="936">
        <f t="shared" si="12"/>
        <v>0</v>
      </c>
      <c r="N78" s="936">
        <f t="shared" si="12"/>
        <v>0</v>
      </c>
      <c r="O78" s="912">
        <f>D78-G78</f>
        <v>0</v>
      </c>
      <c r="P78" s="912">
        <f>E78-H78</f>
        <v>30000</v>
      </c>
      <c r="Q78" s="994"/>
    </row>
    <row r="79" spans="1:17" ht="78.75" hidden="1">
      <c r="A79" s="897" t="s">
        <v>532</v>
      </c>
      <c r="B79" s="973" t="s">
        <v>661</v>
      </c>
      <c r="C79" s="874">
        <f t="shared" si="8"/>
        <v>18375</v>
      </c>
      <c r="D79" s="879">
        <v>0</v>
      </c>
      <c r="E79" s="879">
        <v>18375</v>
      </c>
      <c r="F79" s="874">
        <f t="shared" si="9"/>
        <v>18375</v>
      </c>
      <c r="G79" s="879">
        <v>0</v>
      </c>
      <c r="H79" s="879">
        <v>18375</v>
      </c>
      <c r="I79" s="874">
        <f t="shared" si="10"/>
        <v>0</v>
      </c>
      <c r="J79" s="879"/>
      <c r="K79" s="879"/>
      <c r="L79" s="876">
        <v>0</v>
      </c>
      <c r="M79" s="877">
        <f t="shared" si="12"/>
        <v>0</v>
      </c>
      <c r="N79" s="877">
        <f t="shared" si="12"/>
        <v>0</v>
      </c>
      <c r="O79" s="725"/>
      <c r="P79" s="725"/>
      <c r="Q79" s="994"/>
    </row>
    <row r="80" spans="1:17" ht="60" hidden="1" customHeight="1">
      <c r="A80" s="897" t="s">
        <v>161</v>
      </c>
      <c r="B80" s="973" t="s">
        <v>662</v>
      </c>
      <c r="C80" s="874">
        <f t="shared" si="8"/>
        <v>4200</v>
      </c>
      <c r="D80" s="879">
        <v>0</v>
      </c>
      <c r="E80" s="879">
        <v>4200</v>
      </c>
      <c r="F80" s="874">
        <f t="shared" si="9"/>
        <v>4200</v>
      </c>
      <c r="G80" s="879">
        <v>0</v>
      </c>
      <c r="H80" s="879">
        <v>4200</v>
      </c>
      <c r="I80" s="874">
        <f t="shared" si="10"/>
        <v>0</v>
      </c>
      <c r="J80" s="879"/>
      <c r="K80" s="879"/>
      <c r="L80" s="876">
        <v>0</v>
      </c>
      <c r="M80" s="877">
        <f t="shared" si="12"/>
        <v>0</v>
      </c>
      <c r="N80" s="877">
        <f t="shared" si="12"/>
        <v>0</v>
      </c>
      <c r="O80" s="725"/>
      <c r="P80" s="725"/>
      <c r="Q80" s="994"/>
    </row>
    <row r="81" spans="1:17" ht="86.25" hidden="1" customHeight="1">
      <c r="A81" s="897" t="s">
        <v>536</v>
      </c>
      <c r="B81" s="973" t="s">
        <v>663</v>
      </c>
      <c r="C81" s="874">
        <f t="shared" si="8"/>
        <v>13587</v>
      </c>
      <c r="D81" s="879">
        <v>0</v>
      </c>
      <c r="E81" s="879">
        <v>13587</v>
      </c>
      <c r="F81" s="874">
        <f t="shared" si="9"/>
        <v>13587</v>
      </c>
      <c r="G81" s="879">
        <v>0</v>
      </c>
      <c r="H81" s="879">
        <v>13587</v>
      </c>
      <c r="I81" s="874">
        <f t="shared" si="10"/>
        <v>0</v>
      </c>
      <c r="J81" s="879"/>
      <c r="K81" s="879"/>
      <c r="L81" s="876">
        <v>0</v>
      </c>
      <c r="M81" s="877">
        <f t="shared" si="12"/>
        <v>0</v>
      </c>
      <c r="N81" s="877">
        <f t="shared" si="12"/>
        <v>0</v>
      </c>
      <c r="O81" s="725"/>
      <c r="P81" s="725"/>
      <c r="Q81" s="994"/>
    </row>
    <row r="82" spans="1:17" ht="109.5" hidden="1" customHeight="1">
      <c r="A82" s="897" t="s">
        <v>131</v>
      </c>
      <c r="B82" s="973" t="s">
        <v>664</v>
      </c>
      <c r="C82" s="874">
        <f t="shared" si="8"/>
        <v>2800</v>
      </c>
      <c r="D82" s="879">
        <v>0</v>
      </c>
      <c r="E82" s="879">
        <v>2800</v>
      </c>
      <c r="F82" s="874">
        <f t="shared" si="9"/>
        <v>2800</v>
      </c>
      <c r="G82" s="879">
        <v>0</v>
      </c>
      <c r="H82" s="879">
        <v>2800</v>
      </c>
      <c r="I82" s="874">
        <f t="shared" si="10"/>
        <v>0</v>
      </c>
      <c r="J82" s="879"/>
      <c r="K82" s="879"/>
      <c r="L82" s="876">
        <v>0</v>
      </c>
      <c r="M82" s="877">
        <f t="shared" si="12"/>
        <v>0</v>
      </c>
      <c r="N82" s="877">
        <f t="shared" si="12"/>
        <v>0</v>
      </c>
      <c r="O82" s="725"/>
      <c r="P82" s="725"/>
      <c r="Q82" s="994"/>
    </row>
    <row r="83" spans="1:17" ht="117" hidden="1" customHeight="1">
      <c r="A83" s="897" t="s">
        <v>555</v>
      </c>
      <c r="B83" s="973" t="s">
        <v>665</v>
      </c>
      <c r="C83" s="874">
        <f t="shared" si="8"/>
        <v>2800</v>
      </c>
      <c r="D83" s="879">
        <v>0</v>
      </c>
      <c r="E83" s="879">
        <v>2800</v>
      </c>
      <c r="F83" s="874">
        <f t="shared" si="9"/>
        <v>2800</v>
      </c>
      <c r="G83" s="879">
        <v>0</v>
      </c>
      <c r="H83" s="879">
        <v>2800</v>
      </c>
      <c r="I83" s="874">
        <f t="shared" si="10"/>
        <v>0</v>
      </c>
      <c r="J83" s="879"/>
      <c r="K83" s="879"/>
      <c r="L83" s="876">
        <v>0</v>
      </c>
      <c r="M83" s="877">
        <f t="shared" si="12"/>
        <v>0</v>
      </c>
      <c r="N83" s="877">
        <f t="shared" si="12"/>
        <v>0</v>
      </c>
      <c r="O83" s="725"/>
      <c r="P83" s="725"/>
      <c r="Q83" s="994"/>
    </row>
    <row r="84" spans="1:17" ht="90.75" hidden="1" customHeight="1">
      <c r="A84" s="897" t="s">
        <v>556</v>
      </c>
      <c r="B84" s="973" t="s">
        <v>666</v>
      </c>
      <c r="C84" s="874">
        <f t="shared" si="8"/>
        <v>1400</v>
      </c>
      <c r="D84" s="879">
        <v>0</v>
      </c>
      <c r="E84" s="879">
        <v>1400</v>
      </c>
      <c r="F84" s="874">
        <f t="shared" si="9"/>
        <v>1400</v>
      </c>
      <c r="G84" s="879">
        <v>0</v>
      </c>
      <c r="H84" s="879">
        <v>1400</v>
      </c>
      <c r="I84" s="874">
        <f t="shared" si="10"/>
        <v>0</v>
      </c>
      <c r="J84" s="879"/>
      <c r="K84" s="879"/>
      <c r="L84" s="876">
        <v>0</v>
      </c>
      <c r="M84" s="877">
        <f t="shared" si="12"/>
        <v>0</v>
      </c>
      <c r="N84" s="877">
        <f t="shared" si="12"/>
        <v>0</v>
      </c>
      <c r="O84" s="725"/>
      <c r="P84" s="725"/>
      <c r="Q84" s="994"/>
    </row>
    <row r="85" spans="1:17" ht="118.5" hidden="1" customHeight="1">
      <c r="A85" s="897" t="s">
        <v>162</v>
      </c>
      <c r="B85" s="973" t="s">
        <v>667</v>
      </c>
      <c r="C85" s="874">
        <f t="shared" si="8"/>
        <v>28000</v>
      </c>
      <c r="D85" s="879">
        <v>0</v>
      </c>
      <c r="E85" s="879">
        <v>28000</v>
      </c>
      <c r="F85" s="874">
        <f t="shared" si="9"/>
        <v>28000</v>
      </c>
      <c r="G85" s="879">
        <v>0</v>
      </c>
      <c r="H85" s="879">
        <v>28000</v>
      </c>
      <c r="I85" s="874">
        <f t="shared" si="10"/>
        <v>0</v>
      </c>
      <c r="J85" s="879"/>
      <c r="K85" s="879"/>
      <c r="L85" s="876">
        <v>0</v>
      </c>
      <c r="M85" s="877">
        <f t="shared" si="12"/>
        <v>0</v>
      </c>
      <c r="N85" s="877">
        <f t="shared" si="12"/>
        <v>0</v>
      </c>
      <c r="O85" s="725"/>
      <c r="P85" s="725"/>
      <c r="Q85" s="994"/>
    </row>
    <row r="86" spans="1:17" ht="78.75" hidden="1">
      <c r="A86" s="897" t="s">
        <v>545</v>
      </c>
      <c r="B86" s="966" t="s">
        <v>771</v>
      </c>
      <c r="C86" s="874">
        <f>SUM(D86:E86)</f>
        <v>319980.59999999998</v>
      </c>
      <c r="D86" s="879">
        <f>319980.6*0.90202494621</f>
        <v>288630.5</v>
      </c>
      <c r="E86" s="879">
        <f>319980.6*(1-0.90202494621)</f>
        <v>31350.1</v>
      </c>
      <c r="F86" s="874">
        <f>SUM(G86:H86)</f>
        <v>319980.59999999998</v>
      </c>
      <c r="G86" s="879">
        <f>319980.6*0.90202494621</f>
        <v>288630.5</v>
      </c>
      <c r="H86" s="879">
        <f>319980.6*(1-0.90202494621)</f>
        <v>31350.1</v>
      </c>
      <c r="I86" s="874">
        <f>SUM(J86:K86)</f>
        <v>0</v>
      </c>
      <c r="J86" s="879">
        <v>0</v>
      </c>
      <c r="K86" s="879">
        <v>0</v>
      </c>
      <c r="L86" s="876">
        <f>IF(I86=0,0,I86/F86*100)</f>
        <v>0</v>
      </c>
      <c r="M86" s="877">
        <f>IF(J86=0,0,J86/G86*100)</f>
        <v>0</v>
      </c>
      <c r="N86" s="877">
        <f>IF(K86=0,0,K86/H86*100)</f>
        <v>0</v>
      </c>
      <c r="O86" s="725"/>
      <c r="P86" s="725"/>
      <c r="Q86" s="994"/>
    </row>
    <row r="87" spans="1:17" ht="131.25" hidden="1">
      <c r="A87" s="897" t="s">
        <v>557</v>
      </c>
      <c r="B87" s="966" t="s">
        <v>772</v>
      </c>
      <c r="C87" s="874">
        <f t="shared" si="8"/>
        <v>359978.2</v>
      </c>
      <c r="D87" s="879">
        <f>359978.2*0.90202494621</f>
        <v>324709.3</v>
      </c>
      <c r="E87" s="879">
        <f>359978.2*(1-0.90202494621)</f>
        <v>35268.9</v>
      </c>
      <c r="F87" s="874">
        <f t="shared" ref="F87:F133" si="13">SUM(G87:H87)</f>
        <v>359978.2</v>
      </c>
      <c r="G87" s="879">
        <f>359978.2*0.90202494621</f>
        <v>324709.3</v>
      </c>
      <c r="H87" s="879">
        <f>359978.2*(1-0.90202494621)</f>
        <v>35268.9</v>
      </c>
      <c r="I87" s="874">
        <f t="shared" si="10"/>
        <v>0</v>
      </c>
      <c r="J87" s="879">
        <v>0</v>
      </c>
      <c r="K87" s="879">
        <v>0</v>
      </c>
      <c r="L87" s="876">
        <f t="shared" ref="L87:N102" si="14">IF(I87=0,0,I87/F87*100)</f>
        <v>0</v>
      </c>
      <c r="M87" s="877">
        <f t="shared" si="12"/>
        <v>0</v>
      </c>
      <c r="N87" s="877">
        <f t="shared" si="12"/>
        <v>0</v>
      </c>
      <c r="O87" s="725"/>
      <c r="P87" s="725"/>
      <c r="Q87" s="994"/>
    </row>
    <row r="88" spans="1:17" ht="52.5" hidden="1">
      <c r="A88" s="897" t="s">
        <v>558</v>
      </c>
      <c r="B88" s="896" t="s">
        <v>460</v>
      </c>
      <c r="C88" s="874">
        <f t="shared" si="8"/>
        <v>42728.6</v>
      </c>
      <c r="D88" s="879">
        <v>20123.599999999999</v>
      </c>
      <c r="E88" s="879">
        <v>22605</v>
      </c>
      <c r="F88" s="874">
        <f t="shared" si="13"/>
        <v>42728.6</v>
      </c>
      <c r="G88" s="879">
        <v>20123.599999999999</v>
      </c>
      <c r="H88" s="879">
        <v>22605</v>
      </c>
      <c r="I88" s="874">
        <f t="shared" si="10"/>
        <v>0</v>
      </c>
      <c r="J88" s="879"/>
      <c r="K88" s="879"/>
      <c r="L88" s="876">
        <f t="shared" si="14"/>
        <v>0</v>
      </c>
      <c r="M88" s="877">
        <f t="shared" si="12"/>
        <v>0</v>
      </c>
      <c r="N88" s="877">
        <f t="shared" si="12"/>
        <v>0</v>
      </c>
      <c r="O88" s="725"/>
      <c r="P88" s="725"/>
      <c r="Q88" s="994"/>
    </row>
    <row r="89" spans="1:17" ht="105" hidden="1">
      <c r="A89" s="974" t="s">
        <v>559</v>
      </c>
      <c r="B89" s="975" t="s">
        <v>707</v>
      </c>
      <c r="C89" s="874">
        <f>SUM(D89:E89)</f>
        <v>30000</v>
      </c>
      <c r="D89" s="878">
        <v>0</v>
      </c>
      <c r="E89" s="878">
        <v>30000</v>
      </c>
      <c r="F89" s="874">
        <f t="shared" si="13"/>
        <v>0</v>
      </c>
      <c r="G89" s="878">
        <v>0</v>
      </c>
      <c r="H89" s="878">
        <v>0</v>
      </c>
      <c r="I89" s="874">
        <f>SUM(J89:K89)</f>
        <v>0</v>
      </c>
      <c r="J89" s="878"/>
      <c r="K89" s="878"/>
      <c r="L89" s="876">
        <f>IF(I89=0,0,I89/F89*100)</f>
        <v>0</v>
      </c>
      <c r="M89" s="877">
        <f t="shared" si="12"/>
        <v>0</v>
      </c>
      <c r="N89" s="877">
        <f t="shared" si="12"/>
        <v>0</v>
      </c>
      <c r="O89" s="725"/>
      <c r="P89" s="725"/>
      <c r="Q89" s="994"/>
    </row>
    <row r="90" spans="1:17" ht="131.25" hidden="1">
      <c r="A90" s="974" t="s">
        <v>560</v>
      </c>
      <c r="B90" s="975" t="s">
        <v>645</v>
      </c>
      <c r="C90" s="874">
        <f t="shared" si="8"/>
        <v>2506</v>
      </c>
      <c r="D90" s="878">
        <v>0</v>
      </c>
      <c r="E90" s="878">
        <v>2506</v>
      </c>
      <c r="F90" s="1001">
        <f t="shared" si="13"/>
        <v>2506</v>
      </c>
      <c r="G90" s="878">
        <v>0</v>
      </c>
      <c r="H90" s="878">
        <v>2506</v>
      </c>
      <c r="I90" s="874">
        <f t="shared" si="10"/>
        <v>0</v>
      </c>
      <c r="J90" s="878"/>
      <c r="K90" s="878"/>
      <c r="L90" s="876">
        <f t="shared" si="14"/>
        <v>0</v>
      </c>
      <c r="M90" s="877">
        <f t="shared" si="12"/>
        <v>0</v>
      </c>
      <c r="N90" s="877">
        <f t="shared" si="12"/>
        <v>0</v>
      </c>
      <c r="O90" s="725"/>
      <c r="P90" s="725"/>
      <c r="Q90" s="994"/>
    </row>
    <row r="91" spans="1:17" s="838" customFormat="1" ht="105" hidden="1">
      <c r="A91" s="897" t="s">
        <v>561</v>
      </c>
      <c r="B91" s="976" t="s">
        <v>773</v>
      </c>
      <c r="C91" s="874">
        <f t="shared" si="8"/>
        <v>2857.6</v>
      </c>
      <c r="D91" s="879">
        <v>0</v>
      </c>
      <c r="E91" s="879">
        <v>2857.6</v>
      </c>
      <c r="F91" s="874">
        <f t="shared" si="13"/>
        <v>2857.6</v>
      </c>
      <c r="G91" s="879">
        <v>0</v>
      </c>
      <c r="H91" s="879">
        <v>2857.6</v>
      </c>
      <c r="I91" s="874">
        <f t="shared" si="10"/>
        <v>0</v>
      </c>
      <c r="J91" s="879"/>
      <c r="K91" s="885"/>
      <c r="L91" s="876">
        <f t="shared" si="14"/>
        <v>0</v>
      </c>
      <c r="M91" s="877">
        <f t="shared" si="12"/>
        <v>0</v>
      </c>
      <c r="N91" s="877">
        <f t="shared" si="12"/>
        <v>0</v>
      </c>
      <c r="O91" s="837"/>
      <c r="P91" s="837"/>
      <c r="Q91" s="994"/>
    </row>
    <row r="92" spans="1:17" ht="105" hidden="1">
      <c r="A92" s="1005" t="s">
        <v>563</v>
      </c>
      <c r="B92" s="978" t="s">
        <v>653</v>
      </c>
      <c r="C92" s="979">
        <f t="shared" si="8"/>
        <v>2400</v>
      </c>
      <c r="D92" s="980">
        <v>0</v>
      </c>
      <c r="E92" s="980">
        <v>2400</v>
      </c>
      <c r="F92" s="979">
        <f t="shared" si="13"/>
        <v>2400</v>
      </c>
      <c r="G92" s="980">
        <v>0</v>
      </c>
      <c r="H92" s="980">
        <v>2400</v>
      </c>
      <c r="I92" s="979">
        <f t="shared" si="10"/>
        <v>0</v>
      </c>
      <c r="J92" s="980"/>
      <c r="K92" s="981"/>
      <c r="L92" s="982">
        <f t="shared" si="14"/>
        <v>0</v>
      </c>
      <c r="M92" s="983">
        <f t="shared" si="12"/>
        <v>0</v>
      </c>
      <c r="N92" s="983">
        <f t="shared" si="12"/>
        <v>0</v>
      </c>
      <c r="O92" s="756"/>
      <c r="P92" s="756"/>
      <c r="Q92" s="994"/>
    </row>
    <row r="93" spans="1:17" ht="78.75" hidden="1">
      <c r="A93" s="897" t="s">
        <v>573</v>
      </c>
      <c r="B93" s="976" t="s">
        <v>654</v>
      </c>
      <c r="C93" s="874">
        <f t="shared" si="8"/>
        <v>2450</v>
      </c>
      <c r="D93" s="879">
        <v>0</v>
      </c>
      <c r="E93" s="879">
        <v>2450</v>
      </c>
      <c r="F93" s="874">
        <f t="shared" si="13"/>
        <v>2450</v>
      </c>
      <c r="G93" s="879">
        <v>0</v>
      </c>
      <c r="H93" s="879">
        <v>2450</v>
      </c>
      <c r="I93" s="874">
        <f t="shared" si="10"/>
        <v>0</v>
      </c>
      <c r="J93" s="879"/>
      <c r="K93" s="885"/>
      <c r="L93" s="876">
        <f t="shared" si="14"/>
        <v>0</v>
      </c>
      <c r="M93" s="877">
        <f t="shared" si="12"/>
        <v>0</v>
      </c>
      <c r="N93" s="877">
        <f t="shared" si="12"/>
        <v>0</v>
      </c>
      <c r="O93" s="756"/>
      <c r="P93" s="756"/>
      <c r="Q93" s="994"/>
    </row>
    <row r="94" spans="1:17" ht="78.75" hidden="1">
      <c r="A94" s="897" t="s">
        <v>624</v>
      </c>
      <c r="B94" s="984" t="s">
        <v>641</v>
      </c>
      <c r="C94" s="874">
        <f t="shared" si="8"/>
        <v>10500</v>
      </c>
      <c r="D94" s="879">
        <v>0</v>
      </c>
      <c r="E94" s="879">
        <v>10500</v>
      </c>
      <c r="F94" s="874">
        <f t="shared" si="13"/>
        <v>10500</v>
      </c>
      <c r="G94" s="879">
        <v>0</v>
      </c>
      <c r="H94" s="879">
        <v>10500</v>
      </c>
      <c r="I94" s="874">
        <f t="shared" si="10"/>
        <v>0</v>
      </c>
      <c r="J94" s="879"/>
      <c r="K94" s="879"/>
      <c r="L94" s="876">
        <f t="shared" si="14"/>
        <v>0</v>
      </c>
      <c r="M94" s="877">
        <f t="shared" si="14"/>
        <v>0</v>
      </c>
      <c r="N94" s="877">
        <f t="shared" si="14"/>
        <v>0</v>
      </c>
      <c r="O94" s="756"/>
      <c r="P94" s="756"/>
      <c r="Q94" s="994"/>
    </row>
    <row r="95" spans="1:17" ht="78.75" hidden="1">
      <c r="A95" s="897" t="s">
        <v>625</v>
      </c>
      <c r="B95" s="976" t="s">
        <v>647</v>
      </c>
      <c r="C95" s="874">
        <f t="shared" si="8"/>
        <v>39100</v>
      </c>
      <c r="D95" s="879">
        <v>0</v>
      </c>
      <c r="E95" s="879">
        <v>39100</v>
      </c>
      <c r="F95" s="874">
        <f t="shared" si="13"/>
        <v>39100</v>
      </c>
      <c r="G95" s="879">
        <v>0</v>
      </c>
      <c r="H95" s="879">
        <v>39100</v>
      </c>
      <c r="I95" s="874">
        <f t="shared" si="10"/>
        <v>0</v>
      </c>
      <c r="J95" s="879"/>
      <c r="K95" s="885"/>
      <c r="L95" s="876">
        <f t="shared" si="14"/>
        <v>0</v>
      </c>
      <c r="M95" s="877">
        <f t="shared" si="14"/>
        <v>0</v>
      </c>
      <c r="N95" s="877">
        <f t="shared" si="14"/>
        <v>0</v>
      </c>
      <c r="O95" s="756"/>
      <c r="P95" s="756"/>
      <c r="Q95" s="994"/>
    </row>
    <row r="96" spans="1:17" ht="105" hidden="1">
      <c r="A96" s="897" t="s">
        <v>626</v>
      </c>
      <c r="B96" s="984" t="s">
        <v>637</v>
      </c>
      <c r="C96" s="874">
        <f t="shared" si="8"/>
        <v>5600</v>
      </c>
      <c r="D96" s="879">
        <v>0</v>
      </c>
      <c r="E96" s="879">
        <v>5600</v>
      </c>
      <c r="F96" s="874">
        <f t="shared" si="13"/>
        <v>5600</v>
      </c>
      <c r="G96" s="879">
        <v>0</v>
      </c>
      <c r="H96" s="879">
        <v>5600</v>
      </c>
      <c r="I96" s="874">
        <f t="shared" si="10"/>
        <v>0</v>
      </c>
      <c r="J96" s="879"/>
      <c r="K96" s="879"/>
      <c r="L96" s="876">
        <f t="shared" si="14"/>
        <v>0</v>
      </c>
      <c r="M96" s="877">
        <f t="shared" si="14"/>
        <v>0</v>
      </c>
      <c r="N96" s="877">
        <f t="shared" si="14"/>
        <v>0</v>
      </c>
      <c r="O96" s="756"/>
      <c r="P96" s="756"/>
      <c r="Q96" s="994"/>
    </row>
    <row r="97" spans="1:17" ht="78.75" hidden="1">
      <c r="A97" s="897" t="s">
        <v>627</v>
      </c>
      <c r="B97" s="901" t="s">
        <v>639</v>
      </c>
      <c r="C97" s="874">
        <f t="shared" si="8"/>
        <v>2800</v>
      </c>
      <c r="D97" s="879">
        <v>0</v>
      </c>
      <c r="E97" s="879">
        <v>2800</v>
      </c>
      <c r="F97" s="874">
        <f t="shared" si="13"/>
        <v>2800</v>
      </c>
      <c r="G97" s="879">
        <v>0</v>
      </c>
      <c r="H97" s="879">
        <v>2800</v>
      </c>
      <c r="I97" s="874">
        <f t="shared" si="10"/>
        <v>0</v>
      </c>
      <c r="J97" s="879"/>
      <c r="K97" s="879"/>
      <c r="L97" s="876">
        <f t="shared" si="14"/>
        <v>0</v>
      </c>
      <c r="M97" s="877">
        <f t="shared" si="14"/>
        <v>0</v>
      </c>
      <c r="N97" s="877">
        <f t="shared" si="14"/>
        <v>0</v>
      </c>
      <c r="O97" s="725"/>
      <c r="P97" s="725"/>
      <c r="Q97" s="994"/>
    </row>
    <row r="98" spans="1:17" ht="57.75" hidden="1" customHeight="1">
      <c r="A98" s="897" t="s">
        <v>628</v>
      </c>
      <c r="B98" s="984" t="s">
        <v>643</v>
      </c>
      <c r="C98" s="874">
        <f t="shared" si="8"/>
        <v>4550</v>
      </c>
      <c r="D98" s="879">
        <v>0</v>
      </c>
      <c r="E98" s="879">
        <v>4550</v>
      </c>
      <c r="F98" s="874">
        <f t="shared" si="13"/>
        <v>4550</v>
      </c>
      <c r="G98" s="879">
        <v>0</v>
      </c>
      <c r="H98" s="879">
        <v>4550</v>
      </c>
      <c r="I98" s="874">
        <f t="shared" si="10"/>
        <v>0</v>
      </c>
      <c r="J98" s="879"/>
      <c r="K98" s="879"/>
      <c r="L98" s="876">
        <f t="shared" si="14"/>
        <v>0</v>
      </c>
      <c r="M98" s="877">
        <f t="shared" si="14"/>
        <v>0</v>
      </c>
      <c r="N98" s="877">
        <f t="shared" si="14"/>
        <v>0</v>
      </c>
      <c r="O98" s="756"/>
      <c r="P98" s="756"/>
      <c r="Q98" s="994"/>
    </row>
    <row r="99" spans="1:17" ht="131.25" hidden="1">
      <c r="A99" s="897" t="s">
        <v>629</v>
      </c>
      <c r="B99" s="955" t="s">
        <v>648</v>
      </c>
      <c r="C99" s="874">
        <f t="shared" si="8"/>
        <v>800</v>
      </c>
      <c r="D99" s="878">
        <v>0</v>
      </c>
      <c r="E99" s="878">
        <v>800</v>
      </c>
      <c r="F99" s="874">
        <f t="shared" si="13"/>
        <v>800</v>
      </c>
      <c r="G99" s="878">
        <v>0</v>
      </c>
      <c r="H99" s="878">
        <v>800</v>
      </c>
      <c r="I99" s="874">
        <f t="shared" si="10"/>
        <v>0</v>
      </c>
      <c r="J99" s="878"/>
      <c r="K99" s="878"/>
      <c r="L99" s="876">
        <f t="shared" si="14"/>
        <v>0</v>
      </c>
      <c r="M99" s="877">
        <f t="shared" si="14"/>
        <v>0</v>
      </c>
      <c r="N99" s="877">
        <f t="shared" si="14"/>
        <v>0</v>
      </c>
      <c r="O99" s="756"/>
      <c r="P99" s="756"/>
      <c r="Q99" s="994"/>
    </row>
    <row r="100" spans="1:17" ht="131.25" hidden="1">
      <c r="A100" s="897" t="s">
        <v>630</v>
      </c>
      <c r="B100" s="956" t="s">
        <v>649</v>
      </c>
      <c r="C100" s="874">
        <f t="shared" si="8"/>
        <v>100</v>
      </c>
      <c r="D100" s="878">
        <v>0</v>
      </c>
      <c r="E100" s="878">
        <v>100</v>
      </c>
      <c r="F100" s="874">
        <f t="shared" si="13"/>
        <v>100</v>
      </c>
      <c r="G100" s="878">
        <v>0</v>
      </c>
      <c r="H100" s="878">
        <v>100</v>
      </c>
      <c r="I100" s="874">
        <f t="shared" si="10"/>
        <v>0</v>
      </c>
      <c r="J100" s="878"/>
      <c r="K100" s="878"/>
      <c r="L100" s="876">
        <f t="shared" si="14"/>
        <v>0</v>
      </c>
      <c r="M100" s="877">
        <f t="shared" si="14"/>
        <v>0</v>
      </c>
      <c r="N100" s="877">
        <f t="shared" si="14"/>
        <v>0</v>
      </c>
      <c r="O100" s="756"/>
      <c r="P100" s="756"/>
      <c r="Q100" s="994"/>
    </row>
    <row r="101" spans="1:17" ht="105" hidden="1">
      <c r="A101" s="897" t="s">
        <v>732</v>
      </c>
      <c r="B101" s="956" t="s">
        <v>650</v>
      </c>
      <c r="C101" s="874">
        <f t="shared" si="8"/>
        <v>1500</v>
      </c>
      <c r="D101" s="878">
        <v>0</v>
      </c>
      <c r="E101" s="878">
        <v>1500</v>
      </c>
      <c r="F101" s="874">
        <f t="shared" si="13"/>
        <v>1500</v>
      </c>
      <c r="G101" s="878">
        <v>0</v>
      </c>
      <c r="H101" s="878">
        <v>1500</v>
      </c>
      <c r="I101" s="874">
        <f t="shared" si="10"/>
        <v>0</v>
      </c>
      <c r="J101" s="878"/>
      <c r="K101" s="878"/>
      <c r="L101" s="876">
        <f t="shared" si="14"/>
        <v>0</v>
      </c>
      <c r="M101" s="877">
        <f t="shared" si="14"/>
        <v>0</v>
      </c>
      <c r="N101" s="877">
        <f t="shared" si="14"/>
        <v>0</v>
      </c>
      <c r="O101" s="756"/>
      <c r="P101" s="756"/>
      <c r="Q101" s="994"/>
    </row>
    <row r="102" spans="1:17" ht="131.25" hidden="1">
      <c r="A102" s="897" t="s">
        <v>733</v>
      </c>
      <c r="B102" s="956" t="s">
        <v>651</v>
      </c>
      <c r="C102" s="874">
        <f t="shared" si="8"/>
        <v>100</v>
      </c>
      <c r="D102" s="878">
        <v>0</v>
      </c>
      <c r="E102" s="878">
        <v>100</v>
      </c>
      <c r="F102" s="874">
        <f t="shared" si="13"/>
        <v>100</v>
      </c>
      <c r="G102" s="878">
        <v>0</v>
      </c>
      <c r="H102" s="878">
        <v>100</v>
      </c>
      <c r="I102" s="874">
        <f t="shared" si="10"/>
        <v>0</v>
      </c>
      <c r="J102" s="878"/>
      <c r="K102" s="878"/>
      <c r="L102" s="876">
        <f t="shared" si="14"/>
        <v>0</v>
      </c>
      <c r="M102" s="877">
        <f t="shared" si="14"/>
        <v>0</v>
      </c>
      <c r="N102" s="877">
        <f t="shared" si="14"/>
        <v>0</v>
      </c>
      <c r="O102" s="756"/>
      <c r="P102" s="756"/>
      <c r="Q102" s="994"/>
    </row>
    <row r="103" spans="1:17" ht="111" hidden="1" customHeight="1">
      <c r="A103" s="897" t="s">
        <v>631</v>
      </c>
      <c r="B103" s="956" t="s">
        <v>652</v>
      </c>
      <c r="C103" s="874">
        <f t="shared" si="8"/>
        <v>100</v>
      </c>
      <c r="D103" s="878">
        <v>0</v>
      </c>
      <c r="E103" s="878">
        <v>100</v>
      </c>
      <c r="F103" s="874">
        <f t="shared" si="13"/>
        <v>100</v>
      </c>
      <c r="G103" s="878">
        <v>0</v>
      </c>
      <c r="H103" s="878">
        <v>100</v>
      </c>
      <c r="I103" s="874">
        <f t="shared" si="10"/>
        <v>0</v>
      </c>
      <c r="J103" s="878"/>
      <c r="K103" s="878"/>
      <c r="L103" s="876">
        <f t="shared" ref="L103:N118" si="15">IF(I103=0,0,I103/F103*100)</f>
        <v>0</v>
      </c>
      <c r="M103" s="877">
        <f t="shared" si="15"/>
        <v>0</v>
      </c>
      <c r="N103" s="877">
        <f t="shared" si="15"/>
        <v>0</v>
      </c>
      <c r="O103" s="756"/>
      <c r="P103" s="756"/>
      <c r="Q103" s="994"/>
    </row>
    <row r="104" spans="1:17" ht="105" hidden="1">
      <c r="A104" s="897" t="s">
        <v>632</v>
      </c>
      <c r="B104" s="956" t="s">
        <v>658</v>
      </c>
      <c r="C104" s="874">
        <f t="shared" si="8"/>
        <v>100</v>
      </c>
      <c r="D104" s="878">
        <v>0</v>
      </c>
      <c r="E104" s="878">
        <v>100</v>
      </c>
      <c r="F104" s="874">
        <f t="shared" si="13"/>
        <v>100</v>
      </c>
      <c r="G104" s="878">
        <v>0</v>
      </c>
      <c r="H104" s="878">
        <v>100</v>
      </c>
      <c r="I104" s="874">
        <f t="shared" si="10"/>
        <v>0</v>
      </c>
      <c r="J104" s="878"/>
      <c r="K104" s="878"/>
      <c r="L104" s="876">
        <f t="shared" si="15"/>
        <v>0</v>
      </c>
      <c r="M104" s="877">
        <f t="shared" si="15"/>
        <v>0</v>
      </c>
      <c r="N104" s="877">
        <f t="shared" si="15"/>
        <v>0</v>
      </c>
      <c r="O104" s="756"/>
      <c r="P104" s="756"/>
      <c r="Q104" s="994"/>
    </row>
    <row r="105" spans="1:17" ht="81.75" hidden="1" customHeight="1">
      <c r="A105" s="897" t="s">
        <v>633</v>
      </c>
      <c r="B105" s="901" t="s">
        <v>638</v>
      </c>
      <c r="C105" s="874">
        <f t="shared" si="8"/>
        <v>16000</v>
      </c>
      <c r="D105" s="879">
        <v>0</v>
      </c>
      <c r="E105" s="879">
        <f>2500+13500</f>
        <v>16000</v>
      </c>
      <c r="F105" s="874">
        <f t="shared" si="13"/>
        <v>16000</v>
      </c>
      <c r="G105" s="879">
        <v>0</v>
      </c>
      <c r="H105" s="879">
        <f>2500+13500</f>
        <v>16000</v>
      </c>
      <c r="I105" s="874">
        <f t="shared" si="10"/>
        <v>0</v>
      </c>
      <c r="J105" s="879"/>
      <c r="K105" s="879"/>
      <c r="L105" s="876">
        <f t="shared" si="15"/>
        <v>0</v>
      </c>
      <c r="M105" s="877">
        <f t="shared" si="15"/>
        <v>0</v>
      </c>
      <c r="N105" s="877">
        <f t="shared" si="15"/>
        <v>0</v>
      </c>
      <c r="O105" s="725"/>
      <c r="P105" s="725"/>
      <c r="Q105" s="994"/>
    </row>
    <row r="106" spans="1:17" ht="89.25" hidden="1" customHeight="1">
      <c r="A106" s="897" t="s">
        <v>634</v>
      </c>
      <c r="B106" s="900" t="s">
        <v>646</v>
      </c>
      <c r="C106" s="874">
        <f t="shared" si="8"/>
        <v>10000</v>
      </c>
      <c r="D106" s="878">
        <v>0</v>
      </c>
      <c r="E106" s="878">
        <f>4428.5+5571.5</f>
        <v>10000</v>
      </c>
      <c r="F106" s="874">
        <f t="shared" si="13"/>
        <v>10000</v>
      </c>
      <c r="G106" s="878">
        <v>0</v>
      </c>
      <c r="H106" s="878">
        <f>4428.5+5571.5</f>
        <v>10000</v>
      </c>
      <c r="I106" s="874">
        <f t="shared" si="10"/>
        <v>0</v>
      </c>
      <c r="J106" s="878"/>
      <c r="K106" s="878"/>
      <c r="L106" s="876">
        <f t="shared" si="15"/>
        <v>0</v>
      </c>
      <c r="M106" s="877">
        <f t="shared" si="15"/>
        <v>0</v>
      </c>
      <c r="N106" s="877">
        <f t="shared" si="15"/>
        <v>0</v>
      </c>
      <c r="O106" s="756"/>
      <c r="P106" s="756"/>
      <c r="Q106" s="994"/>
    </row>
    <row r="107" spans="1:17" ht="87.75" hidden="1" customHeight="1">
      <c r="A107" s="897" t="s">
        <v>635</v>
      </c>
      <c r="B107" s="985" t="s">
        <v>642</v>
      </c>
      <c r="C107" s="874">
        <f t="shared" si="8"/>
        <v>8400</v>
      </c>
      <c r="D107" s="879">
        <v>0</v>
      </c>
      <c r="E107" s="879">
        <v>8400</v>
      </c>
      <c r="F107" s="874">
        <f t="shared" si="13"/>
        <v>8400</v>
      </c>
      <c r="G107" s="879">
        <v>0</v>
      </c>
      <c r="H107" s="879">
        <v>8400</v>
      </c>
      <c r="I107" s="874">
        <f t="shared" si="10"/>
        <v>0</v>
      </c>
      <c r="J107" s="879"/>
      <c r="K107" s="879"/>
      <c r="L107" s="876">
        <f t="shared" si="15"/>
        <v>0</v>
      </c>
      <c r="M107" s="877">
        <f t="shared" si="15"/>
        <v>0</v>
      </c>
      <c r="N107" s="877">
        <f t="shared" si="15"/>
        <v>0</v>
      </c>
      <c r="O107" s="756"/>
      <c r="P107" s="756"/>
      <c r="Q107" s="994"/>
    </row>
    <row r="108" spans="1:17" s="914" customFormat="1" ht="67.5" hidden="1" customHeight="1">
      <c r="A108" s="945"/>
      <c r="B108" s="907" t="s">
        <v>444</v>
      </c>
      <c r="C108" s="908">
        <f>SUM(D108:E108)</f>
        <v>2134130</v>
      </c>
      <c r="D108" s="909">
        <f>SUM(D109:D154)</f>
        <v>1926179.6</v>
      </c>
      <c r="E108" s="909">
        <f>SUM(E109:E154)</f>
        <v>207950.4</v>
      </c>
      <c r="F108" s="908">
        <f t="shared" si="13"/>
        <v>2134130</v>
      </c>
      <c r="G108" s="909">
        <f>SUM(G109:G154)</f>
        <v>1926179.6</v>
      </c>
      <c r="H108" s="909">
        <f>SUM(H109:H154)</f>
        <v>207950.4</v>
      </c>
      <c r="I108" s="908">
        <f t="shared" si="10"/>
        <v>0</v>
      </c>
      <c r="J108" s="909">
        <f>SUM(J109:J154)</f>
        <v>0</v>
      </c>
      <c r="K108" s="909">
        <f>SUM(K109:K154)</f>
        <v>0</v>
      </c>
      <c r="L108" s="910">
        <f t="shared" si="15"/>
        <v>0</v>
      </c>
      <c r="M108" s="910">
        <f t="shared" si="15"/>
        <v>0</v>
      </c>
      <c r="N108" s="910">
        <f t="shared" si="15"/>
        <v>0</v>
      </c>
      <c r="O108" s="912">
        <f>D108-G108</f>
        <v>0</v>
      </c>
      <c r="P108" s="912">
        <f>E108-H108</f>
        <v>0</v>
      </c>
      <c r="Q108" s="994"/>
    </row>
    <row r="109" spans="1:17" ht="105" hidden="1">
      <c r="A109" s="897" t="s">
        <v>734</v>
      </c>
      <c r="B109" s="955" t="s">
        <v>705</v>
      </c>
      <c r="C109" s="874">
        <f>SUM(D109:E109)</f>
        <v>53700.2</v>
      </c>
      <c r="D109" s="878">
        <f>53700.2*0.93983159496</f>
        <v>50469.1</v>
      </c>
      <c r="E109" s="878">
        <f>53700.2*(1-0.93983159496)</f>
        <v>3231.1</v>
      </c>
      <c r="F109" s="874">
        <f t="shared" si="13"/>
        <v>53700.2</v>
      </c>
      <c r="G109" s="878">
        <f>53700.2*0.93983159496</f>
        <v>50469.1</v>
      </c>
      <c r="H109" s="878">
        <f>53700.2*(1-0.93983159496)</f>
        <v>3231.1</v>
      </c>
      <c r="I109" s="874">
        <f>SUM(J109:K109)</f>
        <v>0</v>
      </c>
      <c r="J109" s="878"/>
      <c r="K109" s="878"/>
      <c r="L109" s="876">
        <f t="shared" si="15"/>
        <v>0</v>
      </c>
      <c r="M109" s="877">
        <f t="shared" si="15"/>
        <v>0</v>
      </c>
      <c r="N109" s="877">
        <f t="shared" si="15"/>
        <v>0</v>
      </c>
      <c r="O109" s="725"/>
      <c r="P109" s="725"/>
      <c r="Q109" s="994">
        <f>C109-F109</f>
        <v>0</v>
      </c>
    </row>
    <row r="110" spans="1:17" ht="105" hidden="1">
      <c r="A110" s="897" t="s">
        <v>735</v>
      </c>
      <c r="B110" s="956" t="s">
        <v>704</v>
      </c>
      <c r="C110" s="874">
        <f>SUM(D110:E110)</f>
        <v>28400</v>
      </c>
      <c r="D110" s="878">
        <f>28400*0.93983159496</f>
        <v>26691.200000000001</v>
      </c>
      <c r="E110" s="878">
        <f>28400*(1-0.93983159496)</f>
        <v>1708.8</v>
      </c>
      <c r="F110" s="874">
        <f t="shared" si="13"/>
        <v>28400</v>
      </c>
      <c r="G110" s="878">
        <f>28400*0.93983159496</f>
        <v>26691.200000000001</v>
      </c>
      <c r="H110" s="878">
        <f>28400*(1-0.93983159496)</f>
        <v>1708.8</v>
      </c>
      <c r="I110" s="874">
        <f>SUM(J110:K110)</f>
        <v>0</v>
      </c>
      <c r="J110" s="878"/>
      <c r="K110" s="878"/>
      <c r="L110" s="876">
        <f t="shared" si="15"/>
        <v>0</v>
      </c>
      <c r="M110" s="877">
        <f t="shared" si="15"/>
        <v>0</v>
      </c>
      <c r="N110" s="877">
        <f t="shared" si="15"/>
        <v>0</v>
      </c>
      <c r="O110" s="725"/>
      <c r="P110" s="725"/>
      <c r="Q110" s="994">
        <f t="shared" ref="Q110:Q159" si="16">C110-F110</f>
        <v>0</v>
      </c>
    </row>
    <row r="111" spans="1:17" ht="78.75" hidden="1">
      <c r="A111" s="897" t="s">
        <v>636</v>
      </c>
      <c r="B111" s="956" t="s">
        <v>703</v>
      </c>
      <c r="C111" s="874">
        <f>SUM(D111:E111)</f>
        <v>54300</v>
      </c>
      <c r="D111" s="878">
        <f>54300*0.93983159496</f>
        <v>51032.9</v>
      </c>
      <c r="E111" s="878">
        <f>54300*(1-0.93983159496)</f>
        <v>3267.1</v>
      </c>
      <c r="F111" s="874">
        <f t="shared" si="13"/>
        <v>54300</v>
      </c>
      <c r="G111" s="878">
        <f>54300*0.93983159496</f>
        <v>51032.9</v>
      </c>
      <c r="H111" s="878">
        <f>54300*(1-0.93983159496)</f>
        <v>3267.1</v>
      </c>
      <c r="I111" s="874">
        <f>SUM(J111:K111)</f>
        <v>0</v>
      </c>
      <c r="J111" s="878"/>
      <c r="K111" s="878"/>
      <c r="L111" s="876">
        <f t="shared" si="15"/>
        <v>0</v>
      </c>
      <c r="M111" s="877">
        <f t="shared" si="15"/>
        <v>0</v>
      </c>
      <c r="N111" s="877">
        <f t="shared" si="15"/>
        <v>0</v>
      </c>
      <c r="O111" s="725"/>
      <c r="P111" s="725"/>
      <c r="Q111" s="994">
        <f t="shared" si="16"/>
        <v>0</v>
      </c>
    </row>
    <row r="112" spans="1:17" ht="105" hidden="1">
      <c r="A112" s="897" t="s">
        <v>736</v>
      </c>
      <c r="B112" s="956" t="s">
        <v>702</v>
      </c>
      <c r="C112" s="874">
        <f>SUM(D112:E112)</f>
        <v>56697.8</v>
      </c>
      <c r="D112" s="878">
        <f>56697.8*0.93983159496</f>
        <v>53286.400000000001</v>
      </c>
      <c r="E112" s="878">
        <f>56697.8*(1-0.93983159496)</f>
        <v>3411.4</v>
      </c>
      <c r="F112" s="874">
        <f t="shared" si="13"/>
        <v>56697.8</v>
      </c>
      <c r="G112" s="878">
        <f>56697.8*0.93983159496</f>
        <v>53286.400000000001</v>
      </c>
      <c r="H112" s="878">
        <f>56697.8*(1-0.93983159496)</f>
        <v>3411.4</v>
      </c>
      <c r="I112" s="874">
        <f>SUM(J112:K112)</f>
        <v>0</v>
      </c>
      <c r="J112" s="878"/>
      <c r="K112" s="878"/>
      <c r="L112" s="876">
        <f t="shared" si="15"/>
        <v>0</v>
      </c>
      <c r="M112" s="877">
        <f t="shared" si="15"/>
        <v>0</v>
      </c>
      <c r="N112" s="877">
        <f t="shared" si="15"/>
        <v>0</v>
      </c>
      <c r="O112" s="725"/>
      <c r="P112" s="725"/>
      <c r="Q112" s="994">
        <f t="shared" si="16"/>
        <v>0</v>
      </c>
    </row>
    <row r="113" spans="1:17" ht="105" hidden="1">
      <c r="A113" s="897" t="s">
        <v>737</v>
      </c>
      <c r="B113" s="956" t="s">
        <v>701</v>
      </c>
      <c r="C113" s="874">
        <f t="shared" si="8"/>
        <v>8000</v>
      </c>
      <c r="D113" s="878">
        <f>8000*0.93983159496</f>
        <v>7518.7</v>
      </c>
      <c r="E113" s="878">
        <f>8000*(1-0.93983159496)</f>
        <v>481.3</v>
      </c>
      <c r="F113" s="874">
        <f t="shared" si="13"/>
        <v>8000</v>
      </c>
      <c r="G113" s="878">
        <f>8000*0.93983159496</f>
        <v>7518.7</v>
      </c>
      <c r="H113" s="878">
        <f>8000*(1-0.93983159496)</f>
        <v>481.3</v>
      </c>
      <c r="I113" s="874">
        <f t="shared" si="10"/>
        <v>0</v>
      </c>
      <c r="J113" s="878"/>
      <c r="K113" s="878"/>
      <c r="L113" s="876">
        <f t="shared" si="15"/>
        <v>0</v>
      </c>
      <c r="M113" s="877">
        <f t="shared" si="15"/>
        <v>0</v>
      </c>
      <c r="N113" s="877">
        <f t="shared" si="15"/>
        <v>0</v>
      </c>
      <c r="O113" s="725"/>
      <c r="P113" s="725"/>
      <c r="Q113" s="994">
        <f t="shared" si="16"/>
        <v>0</v>
      </c>
    </row>
    <row r="114" spans="1:17" ht="52.5" hidden="1">
      <c r="A114" s="897" t="s">
        <v>738</v>
      </c>
      <c r="B114" s="956" t="s">
        <v>775</v>
      </c>
      <c r="C114" s="874">
        <f>SUM(D114:E114)</f>
        <v>20200</v>
      </c>
      <c r="D114" s="878">
        <f>20200*0.93983159496</f>
        <v>18984.599999999999</v>
      </c>
      <c r="E114" s="878">
        <f>20200*(1-0.93983159496)</f>
        <v>1215.4000000000001</v>
      </c>
      <c r="F114" s="874">
        <f t="shared" si="13"/>
        <v>20200</v>
      </c>
      <c r="G114" s="878">
        <f>20200*0.93983159496</f>
        <v>18984.599999999999</v>
      </c>
      <c r="H114" s="878">
        <f>20200*(1-0.93983159496)</f>
        <v>1215.4000000000001</v>
      </c>
      <c r="I114" s="874">
        <f>SUM(J114:K114)</f>
        <v>0</v>
      </c>
      <c r="J114" s="878"/>
      <c r="K114" s="878"/>
      <c r="L114" s="876">
        <f t="shared" si="15"/>
        <v>0</v>
      </c>
      <c r="M114" s="877">
        <f t="shared" si="15"/>
        <v>0</v>
      </c>
      <c r="N114" s="877">
        <f t="shared" si="15"/>
        <v>0</v>
      </c>
      <c r="O114" s="725"/>
      <c r="P114" s="725"/>
      <c r="Q114" s="994">
        <f t="shared" si="16"/>
        <v>0</v>
      </c>
    </row>
    <row r="115" spans="1:17" ht="52.5" hidden="1">
      <c r="A115" s="897" t="s">
        <v>739</v>
      </c>
      <c r="B115" s="956" t="s">
        <v>774</v>
      </c>
      <c r="C115" s="874">
        <f>SUM(D115:E115)</f>
        <v>20500</v>
      </c>
      <c r="D115" s="878">
        <f>20500*0.93983159496</f>
        <v>19266.5</v>
      </c>
      <c r="E115" s="878">
        <f>20500*(1-0.93983159496)</f>
        <v>1233.5</v>
      </c>
      <c r="F115" s="874">
        <f t="shared" si="13"/>
        <v>20500</v>
      </c>
      <c r="G115" s="878">
        <f>20500*0.93983159496</f>
        <v>19266.5</v>
      </c>
      <c r="H115" s="878">
        <f>20500*(1-0.93983159496)</f>
        <v>1233.5</v>
      </c>
      <c r="I115" s="874">
        <f>SUM(J115:K115)</f>
        <v>0</v>
      </c>
      <c r="J115" s="878"/>
      <c r="K115" s="878"/>
      <c r="L115" s="876">
        <f>IF(I115=0,0,I115/F115*100)</f>
        <v>0</v>
      </c>
      <c r="M115" s="877">
        <f>IF(J115=0,0,J115/G115*100)</f>
        <v>0</v>
      </c>
      <c r="N115" s="877">
        <f>IF(K115=0,0,K115/H115*100)</f>
        <v>0</v>
      </c>
      <c r="O115" s="725"/>
      <c r="P115" s="725"/>
      <c r="Q115" s="994">
        <f t="shared" si="16"/>
        <v>0</v>
      </c>
    </row>
    <row r="116" spans="1:17" ht="105" hidden="1">
      <c r="A116" s="1004" t="s">
        <v>740</v>
      </c>
      <c r="B116" s="901" t="s">
        <v>465</v>
      </c>
      <c r="C116" s="874">
        <f t="shared" si="8"/>
        <v>7870.7</v>
      </c>
      <c r="D116" s="878">
        <v>7398.4</v>
      </c>
      <c r="E116" s="878">
        <v>472.3</v>
      </c>
      <c r="F116" s="874">
        <f t="shared" si="13"/>
        <v>7870.7</v>
      </c>
      <c r="G116" s="878">
        <v>7398.4</v>
      </c>
      <c r="H116" s="878">
        <v>472.3</v>
      </c>
      <c r="I116" s="874">
        <f t="shared" si="10"/>
        <v>0</v>
      </c>
      <c r="J116" s="878"/>
      <c r="K116" s="878"/>
      <c r="L116" s="876">
        <f t="shared" si="15"/>
        <v>0</v>
      </c>
      <c r="M116" s="877">
        <f t="shared" si="15"/>
        <v>0</v>
      </c>
      <c r="N116" s="877">
        <f t="shared" si="15"/>
        <v>0</v>
      </c>
      <c r="O116" s="725"/>
      <c r="P116" s="725"/>
      <c r="Q116" s="994">
        <f t="shared" si="16"/>
        <v>0</v>
      </c>
    </row>
    <row r="117" spans="1:17" ht="105" hidden="1">
      <c r="A117" s="897" t="s">
        <v>741</v>
      </c>
      <c r="B117" s="969" t="s">
        <v>537</v>
      </c>
      <c r="C117" s="874">
        <f t="shared" si="8"/>
        <v>9137.6</v>
      </c>
      <c r="D117" s="878">
        <v>8589.2999999999993</v>
      </c>
      <c r="E117" s="878">
        <v>548.29999999999995</v>
      </c>
      <c r="F117" s="874">
        <f t="shared" si="13"/>
        <v>9137.6</v>
      </c>
      <c r="G117" s="878">
        <v>8589.2999999999993</v>
      </c>
      <c r="H117" s="878">
        <v>548.29999999999995</v>
      </c>
      <c r="I117" s="874">
        <f t="shared" si="10"/>
        <v>0</v>
      </c>
      <c r="J117" s="878"/>
      <c r="K117" s="878"/>
      <c r="L117" s="876">
        <f t="shared" si="15"/>
        <v>0</v>
      </c>
      <c r="M117" s="877">
        <f t="shared" si="15"/>
        <v>0</v>
      </c>
      <c r="N117" s="877">
        <f t="shared" si="15"/>
        <v>0</v>
      </c>
      <c r="O117" s="725"/>
      <c r="P117" s="725"/>
      <c r="Q117" s="994">
        <f t="shared" si="16"/>
        <v>0</v>
      </c>
    </row>
    <row r="118" spans="1:17" ht="105" hidden="1">
      <c r="A118" s="897" t="s">
        <v>742</v>
      </c>
      <c r="B118" s="969" t="s">
        <v>587</v>
      </c>
      <c r="C118" s="874">
        <f t="shared" si="8"/>
        <v>12956.3</v>
      </c>
      <c r="D118" s="878">
        <v>12178.9</v>
      </c>
      <c r="E118" s="878">
        <v>777.4</v>
      </c>
      <c r="F118" s="874">
        <f t="shared" si="13"/>
        <v>12956.3</v>
      </c>
      <c r="G118" s="878">
        <v>12178.9</v>
      </c>
      <c r="H118" s="878">
        <v>777.4</v>
      </c>
      <c r="I118" s="874">
        <f t="shared" si="10"/>
        <v>0</v>
      </c>
      <c r="J118" s="878"/>
      <c r="K118" s="878"/>
      <c r="L118" s="876">
        <f t="shared" si="15"/>
        <v>0</v>
      </c>
      <c r="M118" s="877">
        <f t="shared" si="15"/>
        <v>0</v>
      </c>
      <c r="N118" s="877">
        <f t="shared" si="15"/>
        <v>0</v>
      </c>
      <c r="O118" s="725"/>
      <c r="P118" s="725"/>
      <c r="Q118" s="994">
        <f t="shared" si="16"/>
        <v>0</v>
      </c>
    </row>
    <row r="119" spans="1:17" ht="131.25" hidden="1">
      <c r="A119" s="895">
        <v>77</v>
      </c>
      <c r="B119" s="955" t="s">
        <v>588</v>
      </c>
      <c r="C119" s="874">
        <f t="shared" si="8"/>
        <v>20092.400000000001</v>
      </c>
      <c r="D119" s="878">
        <v>18886.8</v>
      </c>
      <c r="E119" s="878">
        <v>1205.5999999999999</v>
      </c>
      <c r="F119" s="874">
        <f t="shared" si="13"/>
        <v>20092.400000000001</v>
      </c>
      <c r="G119" s="878">
        <v>18886.8</v>
      </c>
      <c r="H119" s="878">
        <v>1205.5999999999999</v>
      </c>
      <c r="I119" s="874">
        <f t="shared" si="10"/>
        <v>0</v>
      </c>
      <c r="J119" s="878"/>
      <c r="K119" s="878"/>
      <c r="L119" s="876">
        <f t="shared" ref="L119:N134" si="17">IF(I119=0,0,I119/F119*100)</f>
        <v>0</v>
      </c>
      <c r="M119" s="877">
        <f t="shared" si="17"/>
        <v>0</v>
      </c>
      <c r="N119" s="877">
        <f t="shared" si="17"/>
        <v>0</v>
      </c>
      <c r="O119" s="725"/>
      <c r="P119" s="725"/>
      <c r="Q119" s="994">
        <f t="shared" si="16"/>
        <v>0</v>
      </c>
    </row>
    <row r="120" spans="1:17" ht="105" hidden="1">
      <c r="A120" s="895">
        <v>78</v>
      </c>
      <c r="B120" s="955" t="s">
        <v>589</v>
      </c>
      <c r="C120" s="874">
        <f t="shared" si="8"/>
        <v>9194.2000000000007</v>
      </c>
      <c r="D120" s="878">
        <v>8642.5</v>
      </c>
      <c r="E120" s="878">
        <v>551.70000000000005</v>
      </c>
      <c r="F120" s="874">
        <f t="shared" si="13"/>
        <v>9194.2000000000007</v>
      </c>
      <c r="G120" s="878">
        <v>8642.5</v>
      </c>
      <c r="H120" s="878">
        <v>551.70000000000005</v>
      </c>
      <c r="I120" s="874">
        <f t="shared" si="10"/>
        <v>0</v>
      </c>
      <c r="J120" s="878"/>
      <c r="K120" s="878"/>
      <c r="L120" s="876">
        <f t="shared" si="17"/>
        <v>0</v>
      </c>
      <c r="M120" s="877">
        <f t="shared" si="17"/>
        <v>0</v>
      </c>
      <c r="N120" s="877">
        <f t="shared" si="17"/>
        <v>0</v>
      </c>
      <c r="O120" s="725"/>
      <c r="P120" s="725"/>
      <c r="Q120" s="994">
        <f t="shared" si="16"/>
        <v>0</v>
      </c>
    </row>
    <row r="121" spans="1:17" ht="105" hidden="1">
      <c r="A121" s="895">
        <v>79</v>
      </c>
      <c r="B121" s="955" t="s">
        <v>616</v>
      </c>
      <c r="C121" s="874">
        <f t="shared" si="8"/>
        <v>18682.400000000001</v>
      </c>
      <c r="D121" s="878">
        <v>17561.3</v>
      </c>
      <c r="E121" s="878">
        <v>1121.0999999999999</v>
      </c>
      <c r="F121" s="874">
        <f t="shared" si="13"/>
        <v>18682.400000000001</v>
      </c>
      <c r="G121" s="878">
        <v>17561.3</v>
      </c>
      <c r="H121" s="878">
        <v>1121.0999999999999</v>
      </c>
      <c r="I121" s="874">
        <f t="shared" si="10"/>
        <v>0</v>
      </c>
      <c r="J121" s="878"/>
      <c r="K121" s="878"/>
      <c r="L121" s="876">
        <f t="shared" si="17"/>
        <v>0</v>
      </c>
      <c r="M121" s="877">
        <f t="shared" si="17"/>
        <v>0</v>
      </c>
      <c r="N121" s="877">
        <f t="shared" si="17"/>
        <v>0</v>
      </c>
      <c r="O121" s="725"/>
      <c r="P121" s="725"/>
      <c r="Q121" s="994">
        <f t="shared" si="16"/>
        <v>0</v>
      </c>
    </row>
    <row r="122" spans="1:17" ht="131.25" hidden="1">
      <c r="A122" s="895">
        <v>80</v>
      </c>
      <c r="B122" s="955" t="s">
        <v>591</v>
      </c>
      <c r="C122" s="874">
        <f t="shared" si="8"/>
        <v>34409.1</v>
      </c>
      <c r="D122" s="878">
        <v>32344.5</v>
      </c>
      <c r="E122" s="878">
        <v>2064.6</v>
      </c>
      <c r="F122" s="874">
        <f t="shared" si="13"/>
        <v>34409.1</v>
      </c>
      <c r="G122" s="878">
        <v>32344.5</v>
      </c>
      <c r="H122" s="878">
        <v>2064.6</v>
      </c>
      <c r="I122" s="874">
        <f t="shared" si="10"/>
        <v>0</v>
      </c>
      <c r="J122" s="878"/>
      <c r="K122" s="878"/>
      <c r="L122" s="876">
        <f t="shared" si="17"/>
        <v>0</v>
      </c>
      <c r="M122" s="877">
        <f t="shared" si="17"/>
        <v>0</v>
      </c>
      <c r="N122" s="877">
        <f t="shared" si="17"/>
        <v>0</v>
      </c>
      <c r="O122" s="725"/>
      <c r="P122" s="725"/>
      <c r="Q122" s="994">
        <f t="shared" si="16"/>
        <v>0</v>
      </c>
    </row>
    <row r="123" spans="1:17" ht="105" hidden="1">
      <c r="A123" s="897" t="s">
        <v>762</v>
      </c>
      <c r="B123" s="969" t="s">
        <v>575</v>
      </c>
      <c r="C123" s="874">
        <f t="shared" si="8"/>
        <v>2453.8000000000002</v>
      </c>
      <c r="D123" s="878">
        <v>2306.5</v>
      </c>
      <c r="E123" s="878">
        <v>147.30000000000001</v>
      </c>
      <c r="F123" s="874">
        <f t="shared" si="13"/>
        <v>2453.8000000000002</v>
      </c>
      <c r="G123" s="878">
        <v>2306.5</v>
      </c>
      <c r="H123" s="878">
        <v>147.30000000000001</v>
      </c>
      <c r="I123" s="874">
        <f t="shared" si="10"/>
        <v>0</v>
      </c>
      <c r="J123" s="878"/>
      <c r="K123" s="878"/>
      <c r="L123" s="876">
        <f t="shared" si="17"/>
        <v>0</v>
      </c>
      <c r="M123" s="877">
        <f t="shared" si="17"/>
        <v>0</v>
      </c>
      <c r="N123" s="877">
        <f t="shared" si="17"/>
        <v>0</v>
      </c>
      <c r="O123" s="756"/>
      <c r="P123" s="756"/>
      <c r="Q123" s="994">
        <f t="shared" si="16"/>
        <v>0</v>
      </c>
    </row>
    <row r="124" spans="1:17" ht="84.75" hidden="1" customHeight="1">
      <c r="A124" s="897" t="s">
        <v>743</v>
      </c>
      <c r="B124" s="969" t="s">
        <v>660</v>
      </c>
      <c r="C124" s="874">
        <f t="shared" ref="C124:C158" si="18">SUM(D124:E124)</f>
        <v>7347.6</v>
      </c>
      <c r="D124" s="878">
        <v>6906.1</v>
      </c>
      <c r="E124" s="878">
        <v>441.5</v>
      </c>
      <c r="F124" s="874">
        <f t="shared" si="13"/>
        <v>7347.6</v>
      </c>
      <c r="G124" s="878">
        <v>6906.1</v>
      </c>
      <c r="H124" s="878">
        <v>441.5</v>
      </c>
      <c r="I124" s="874">
        <f t="shared" ref="I124:I158" si="19">SUM(J124:K124)</f>
        <v>0</v>
      </c>
      <c r="J124" s="878"/>
      <c r="K124" s="878"/>
      <c r="L124" s="876">
        <f t="shared" si="17"/>
        <v>0</v>
      </c>
      <c r="M124" s="877">
        <f t="shared" si="17"/>
        <v>0</v>
      </c>
      <c r="N124" s="877">
        <f t="shared" si="17"/>
        <v>0</v>
      </c>
      <c r="O124" s="725"/>
      <c r="P124" s="725"/>
      <c r="Q124" s="994">
        <f t="shared" si="16"/>
        <v>0</v>
      </c>
    </row>
    <row r="125" spans="1:17" ht="52.5" hidden="1">
      <c r="A125" s="897" t="s">
        <v>744</v>
      </c>
      <c r="B125" s="969" t="s">
        <v>659</v>
      </c>
      <c r="C125" s="874">
        <f t="shared" si="18"/>
        <v>4366.3999999999996</v>
      </c>
      <c r="D125" s="878">
        <v>4104.3</v>
      </c>
      <c r="E125" s="878">
        <v>262.10000000000002</v>
      </c>
      <c r="F125" s="874">
        <f t="shared" si="13"/>
        <v>4366.3999999999996</v>
      </c>
      <c r="G125" s="878">
        <v>4104.3</v>
      </c>
      <c r="H125" s="878">
        <v>262.10000000000002</v>
      </c>
      <c r="I125" s="874">
        <f t="shared" si="19"/>
        <v>0</v>
      </c>
      <c r="J125" s="878"/>
      <c r="K125" s="878"/>
      <c r="L125" s="876">
        <f t="shared" si="17"/>
        <v>0</v>
      </c>
      <c r="M125" s="877">
        <f t="shared" si="17"/>
        <v>0</v>
      </c>
      <c r="N125" s="877">
        <f t="shared" si="17"/>
        <v>0</v>
      </c>
      <c r="O125" s="725"/>
      <c r="P125" s="725"/>
      <c r="Q125" s="994">
        <f t="shared" si="16"/>
        <v>0</v>
      </c>
    </row>
    <row r="126" spans="1:17" ht="105" hidden="1">
      <c r="A126" s="897" t="s">
        <v>745</v>
      </c>
      <c r="B126" s="896" t="s">
        <v>459</v>
      </c>
      <c r="C126" s="874">
        <f t="shared" si="18"/>
        <v>2776.8</v>
      </c>
      <c r="D126" s="879">
        <v>2610.1</v>
      </c>
      <c r="E126" s="879">
        <v>166.7</v>
      </c>
      <c r="F126" s="874">
        <f t="shared" si="13"/>
        <v>2776.8</v>
      </c>
      <c r="G126" s="879">
        <v>2610.1</v>
      </c>
      <c r="H126" s="879">
        <v>166.7</v>
      </c>
      <c r="I126" s="874">
        <f t="shared" si="19"/>
        <v>0</v>
      </c>
      <c r="J126" s="879"/>
      <c r="K126" s="879"/>
      <c r="L126" s="876">
        <f t="shared" si="17"/>
        <v>0</v>
      </c>
      <c r="M126" s="877">
        <f t="shared" si="17"/>
        <v>0</v>
      </c>
      <c r="N126" s="877">
        <f t="shared" si="17"/>
        <v>0</v>
      </c>
      <c r="O126" s="725"/>
      <c r="P126" s="725"/>
      <c r="Q126" s="994">
        <f t="shared" si="16"/>
        <v>0</v>
      </c>
    </row>
    <row r="127" spans="1:17" s="515" customFormat="1" ht="52.5" hidden="1">
      <c r="A127" s="897" t="s">
        <v>746</v>
      </c>
      <c r="B127" s="968" t="s">
        <v>568</v>
      </c>
      <c r="C127" s="874">
        <f t="shared" si="18"/>
        <v>3909.4</v>
      </c>
      <c r="D127" s="879">
        <v>3674.8</v>
      </c>
      <c r="E127" s="879">
        <v>234.6</v>
      </c>
      <c r="F127" s="874">
        <f t="shared" si="13"/>
        <v>3909.4</v>
      </c>
      <c r="G127" s="879">
        <v>3674.8</v>
      </c>
      <c r="H127" s="879">
        <v>234.6</v>
      </c>
      <c r="I127" s="874">
        <f t="shared" si="19"/>
        <v>0</v>
      </c>
      <c r="J127" s="879"/>
      <c r="K127" s="879"/>
      <c r="L127" s="876">
        <f>IF(I127=0,0,I127/F127*100)</f>
        <v>0</v>
      </c>
      <c r="M127" s="877">
        <f>IF(J127=0,0,J127/G127*100)</f>
        <v>0</v>
      </c>
      <c r="N127" s="877">
        <f>IF(K127=0,0,K127/H127*100)</f>
        <v>0</v>
      </c>
      <c r="O127" s="740"/>
      <c r="P127" s="740"/>
      <c r="Q127" s="994">
        <f t="shared" si="16"/>
        <v>0</v>
      </c>
    </row>
    <row r="128" spans="1:17" s="515" customFormat="1" ht="105" hidden="1">
      <c r="A128" s="897" t="s">
        <v>747</v>
      </c>
      <c r="B128" s="900" t="s">
        <v>693</v>
      </c>
      <c r="C128" s="874">
        <f t="shared" si="18"/>
        <v>19745.7</v>
      </c>
      <c r="D128" s="879">
        <v>18560.900000000001</v>
      </c>
      <c r="E128" s="879">
        <v>1184.8</v>
      </c>
      <c r="F128" s="874">
        <f t="shared" si="13"/>
        <v>19745.7</v>
      </c>
      <c r="G128" s="879">
        <v>18560.900000000001</v>
      </c>
      <c r="H128" s="879">
        <v>1184.8</v>
      </c>
      <c r="I128" s="874">
        <f t="shared" si="19"/>
        <v>0</v>
      </c>
      <c r="J128" s="879"/>
      <c r="K128" s="879"/>
      <c r="L128" s="876">
        <f t="shared" si="17"/>
        <v>0</v>
      </c>
      <c r="M128" s="877">
        <f t="shared" si="17"/>
        <v>0</v>
      </c>
      <c r="N128" s="877">
        <f t="shared" si="17"/>
        <v>0</v>
      </c>
      <c r="O128" s="740"/>
      <c r="P128" s="740"/>
      <c r="Q128" s="994">
        <f t="shared" si="16"/>
        <v>0</v>
      </c>
    </row>
    <row r="129" spans="1:17" s="515" customFormat="1" ht="52.5" hidden="1">
      <c r="A129" s="897" t="s">
        <v>748</v>
      </c>
      <c r="B129" s="987" t="s">
        <v>655</v>
      </c>
      <c r="C129" s="874">
        <f t="shared" si="18"/>
        <v>171200</v>
      </c>
      <c r="D129" s="879">
        <v>160400</v>
      </c>
      <c r="E129" s="988">
        <v>10800</v>
      </c>
      <c r="F129" s="874">
        <f t="shared" si="13"/>
        <v>171200</v>
      </c>
      <c r="G129" s="879">
        <v>160400</v>
      </c>
      <c r="H129" s="988">
        <v>10800</v>
      </c>
      <c r="I129" s="874">
        <f t="shared" si="19"/>
        <v>0</v>
      </c>
      <c r="J129" s="879"/>
      <c r="K129" s="879"/>
      <c r="L129" s="876">
        <f t="shared" si="17"/>
        <v>0</v>
      </c>
      <c r="M129" s="877">
        <f t="shared" si="17"/>
        <v>0</v>
      </c>
      <c r="N129" s="877">
        <f t="shared" si="17"/>
        <v>0</v>
      </c>
      <c r="O129" s="740"/>
      <c r="P129" s="740"/>
      <c r="Q129" s="994">
        <f t="shared" si="16"/>
        <v>0</v>
      </c>
    </row>
    <row r="130" spans="1:17" ht="78.75" hidden="1">
      <c r="A130" s="2404" t="s">
        <v>749</v>
      </c>
      <c r="B130" s="969" t="s">
        <v>644</v>
      </c>
      <c r="C130" s="874">
        <f t="shared" si="18"/>
        <v>20270</v>
      </c>
      <c r="D130" s="878">
        <v>0</v>
      </c>
      <c r="E130" s="878">
        <f>8390+11880</f>
        <v>20270</v>
      </c>
      <c r="F130" s="874">
        <f t="shared" si="13"/>
        <v>20270</v>
      </c>
      <c r="G130" s="878">
        <v>0</v>
      </c>
      <c r="H130" s="878">
        <f>8390+11880</f>
        <v>20270</v>
      </c>
      <c r="I130" s="874">
        <f t="shared" si="19"/>
        <v>0</v>
      </c>
      <c r="J130" s="878"/>
      <c r="K130" s="878"/>
      <c r="L130" s="876">
        <f t="shared" si="17"/>
        <v>0</v>
      </c>
      <c r="M130" s="877">
        <f t="shared" si="17"/>
        <v>0</v>
      </c>
      <c r="N130" s="877">
        <f t="shared" si="17"/>
        <v>0</v>
      </c>
      <c r="O130" s="725"/>
      <c r="P130" s="725"/>
      <c r="Q130" s="994">
        <f t="shared" si="16"/>
        <v>0</v>
      </c>
    </row>
    <row r="131" spans="1:17" ht="52.5" hidden="1">
      <c r="A131" s="2405"/>
      <c r="B131" s="969" t="s">
        <v>478</v>
      </c>
      <c r="C131" s="874">
        <f t="shared" si="18"/>
        <v>439000</v>
      </c>
      <c r="D131" s="878">
        <v>412700</v>
      </c>
      <c r="E131" s="878">
        <v>26300</v>
      </c>
      <c r="F131" s="874">
        <f t="shared" si="13"/>
        <v>439000</v>
      </c>
      <c r="G131" s="878">
        <v>412700</v>
      </c>
      <c r="H131" s="878">
        <v>26300</v>
      </c>
      <c r="I131" s="874">
        <f t="shared" si="19"/>
        <v>0</v>
      </c>
      <c r="J131" s="878"/>
      <c r="K131" s="878"/>
      <c r="L131" s="876">
        <f t="shared" si="17"/>
        <v>0</v>
      </c>
      <c r="M131" s="877">
        <f t="shared" si="17"/>
        <v>0</v>
      </c>
      <c r="N131" s="877">
        <f t="shared" si="17"/>
        <v>0</v>
      </c>
      <c r="O131" s="725"/>
      <c r="P131" s="725"/>
      <c r="Q131" s="994">
        <f t="shared" si="16"/>
        <v>0</v>
      </c>
    </row>
    <row r="132" spans="1:17" s="515" customFormat="1" ht="52.5" hidden="1">
      <c r="A132" s="897" t="s">
        <v>750</v>
      </c>
      <c r="B132" s="900" t="s">
        <v>499</v>
      </c>
      <c r="C132" s="874">
        <f t="shared" si="18"/>
        <v>9064.5</v>
      </c>
      <c r="D132" s="879">
        <v>8500</v>
      </c>
      <c r="E132" s="879">
        <v>564.5</v>
      </c>
      <c r="F132" s="874">
        <f t="shared" si="13"/>
        <v>9064.5</v>
      </c>
      <c r="G132" s="879">
        <v>8500</v>
      </c>
      <c r="H132" s="879">
        <v>564.5</v>
      </c>
      <c r="I132" s="874">
        <f t="shared" si="19"/>
        <v>0</v>
      </c>
      <c r="J132" s="879"/>
      <c r="K132" s="879"/>
      <c r="L132" s="876">
        <f t="shared" si="17"/>
        <v>0</v>
      </c>
      <c r="M132" s="877">
        <f t="shared" si="17"/>
        <v>0</v>
      </c>
      <c r="N132" s="877">
        <f t="shared" si="17"/>
        <v>0</v>
      </c>
      <c r="O132" s="740"/>
      <c r="P132" s="740"/>
      <c r="Q132" s="994">
        <f t="shared" si="16"/>
        <v>0</v>
      </c>
    </row>
    <row r="133" spans="1:17" ht="95.25" hidden="1" customHeight="1">
      <c r="A133" s="897" t="s">
        <v>751</v>
      </c>
      <c r="B133" s="900" t="s">
        <v>640</v>
      </c>
      <c r="C133" s="874">
        <f t="shared" si="18"/>
        <v>1400</v>
      </c>
      <c r="D133" s="879">
        <v>0</v>
      </c>
      <c r="E133" s="879">
        <v>1400</v>
      </c>
      <c r="F133" s="874">
        <f t="shared" si="13"/>
        <v>1400</v>
      </c>
      <c r="G133" s="879">
        <v>0</v>
      </c>
      <c r="H133" s="879">
        <v>1400</v>
      </c>
      <c r="I133" s="874">
        <f t="shared" si="19"/>
        <v>0</v>
      </c>
      <c r="J133" s="879"/>
      <c r="K133" s="879"/>
      <c r="L133" s="876">
        <f t="shared" si="17"/>
        <v>0</v>
      </c>
      <c r="M133" s="877">
        <f t="shared" si="17"/>
        <v>0</v>
      </c>
      <c r="N133" s="877">
        <f t="shared" si="17"/>
        <v>0</v>
      </c>
      <c r="O133" s="756"/>
      <c r="P133" s="756"/>
      <c r="Q133" s="994">
        <f t="shared" si="16"/>
        <v>0</v>
      </c>
    </row>
    <row r="134" spans="1:17" ht="27.75" hidden="1">
      <c r="A134" s="2392">
        <v>91</v>
      </c>
      <c r="B134" s="900" t="s">
        <v>692</v>
      </c>
      <c r="C134" s="874">
        <f>SUM(D134:E134)</f>
        <v>22300</v>
      </c>
      <c r="D134" s="879">
        <f>22300*0.9396914446</f>
        <v>20955.099999999999</v>
      </c>
      <c r="E134" s="879">
        <f>22300*(1-0.9396914446)</f>
        <v>1344.9</v>
      </c>
      <c r="F134" s="874">
        <f>SUM(G134:H134)</f>
        <v>22300</v>
      </c>
      <c r="G134" s="879">
        <f>22300*0.9396914446</f>
        <v>20955.099999999999</v>
      </c>
      <c r="H134" s="879">
        <f>22300*(1-0.9396914446)</f>
        <v>1344.9</v>
      </c>
      <c r="I134" s="874">
        <f>SUM(J134:K134)</f>
        <v>0</v>
      </c>
      <c r="J134" s="879"/>
      <c r="K134" s="879"/>
      <c r="L134" s="876">
        <f t="shared" si="17"/>
        <v>0</v>
      </c>
      <c r="M134" s="877">
        <f t="shared" si="17"/>
        <v>0</v>
      </c>
      <c r="N134" s="877">
        <f t="shared" si="17"/>
        <v>0</v>
      </c>
      <c r="O134" s="725"/>
      <c r="P134" s="725"/>
      <c r="Q134" s="994">
        <f t="shared" si="16"/>
        <v>0</v>
      </c>
    </row>
    <row r="135" spans="1:17" ht="52.5" hidden="1">
      <c r="A135" s="2393"/>
      <c r="B135" s="900" t="s">
        <v>768</v>
      </c>
      <c r="C135" s="874">
        <f>SUM(D135:E135)</f>
        <v>11700</v>
      </c>
      <c r="D135" s="879">
        <v>0</v>
      </c>
      <c r="E135" s="879">
        <v>11700</v>
      </c>
      <c r="F135" s="874">
        <f>SUM(G135:H135)</f>
        <v>11700</v>
      </c>
      <c r="G135" s="879">
        <v>0</v>
      </c>
      <c r="H135" s="879">
        <v>11700</v>
      </c>
      <c r="I135" s="874">
        <f>SUM(J135:K135)</f>
        <v>0</v>
      </c>
      <c r="J135" s="879"/>
      <c r="K135" s="879"/>
      <c r="L135" s="876">
        <f t="shared" ref="L135:N150" si="20">IF(I135=0,0,I135/F135*100)</f>
        <v>0</v>
      </c>
      <c r="M135" s="877">
        <f t="shared" si="20"/>
        <v>0</v>
      </c>
      <c r="N135" s="877">
        <f t="shared" si="20"/>
        <v>0</v>
      </c>
      <c r="O135" s="725"/>
      <c r="P135" s="725"/>
      <c r="Q135" s="994">
        <f t="shared" si="16"/>
        <v>0</v>
      </c>
    </row>
    <row r="136" spans="1:17" ht="52.5" hidden="1">
      <c r="A136" s="895">
        <v>92</v>
      </c>
      <c r="B136" s="900" t="s">
        <v>691</v>
      </c>
      <c r="C136" s="874">
        <f>SUM(D136:E136)</f>
        <v>49000</v>
      </c>
      <c r="D136" s="879">
        <f>49000*0.9396914446</f>
        <v>46044.9</v>
      </c>
      <c r="E136" s="879">
        <f>49000*(1-0.9396914446)</f>
        <v>2955.1</v>
      </c>
      <c r="F136" s="874">
        <f t="shared" ref="F136:F158" si="21">SUM(G136:H136)</f>
        <v>49000</v>
      </c>
      <c r="G136" s="879">
        <f>49000*0.9396914446</f>
        <v>46044.9</v>
      </c>
      <c r="H136" s="879">
        <f>49000*(1-0.9396914446)</f>
        <v>2955.1</v>
      </c>
      <c r="I136" s="874">
        <f>SUM(J136:K136)</f>
        <v>0</v>
      </c>
      <c r="J136" s="879"/>
      <c r="K136" s="879"/>
      <c r="L136" s="876">
        <f t="shared" si="20"/>
        <v>0</v>
      </c>
      <c r="M136" s="877">
        <f t="shared" si="20"/>
        <v>0</v>
      </c>
      <c r="N136" s="877">
        <f t="shared" si="20"/>
        <v>0</v>
      </c>
      <c r="O136" s="725"/>
      <c r="P136" s="725"/>
      <c r="Q136" s="994">
        <f t="shared" si="16"/>
        <v>0</v>
      </c>
    </row>
    <row r="137" spans="1:17" ht="52.5" hidden="1">
      <c r="A137" s="895">
        <v>92</v>
      </c>
      <c r="B137" s="900" t="s">
        <v>769</v>
      </c>
      <c r="C137" s="874">
        <f t="shared" si="18"/>
        <v>27300</v>
      </c>
      <c r="D137" s="879">
        <v>0</v>
      </c>
      <c r="E137" s="879">
        <v>27300</v>
      </c>
      <c r="F137" s="874">
        <f t="shared" si="21"/>
        <v>27300</v>
      </c>
      <c r="G137" s="879">
        <v>0</v>
      </c>
      <c r="H137" s="879">
        <v>27300</v>
      </c>
      <c r="I137" s="874">
        <f t="shared" si="19"/>
        <v>0</v>
      </c>
      <c r="J137" s="879"/>
      <c r="K137" s="879"/>
      <c r="L137" s="876">
        <f t="shared" si="20"/>
        <v>0</v>
      </c>
      <c r="M137" s="877">
        <f t="shared" si="20"/>
        <v>0</v>
      </c>
      <c r="N137" s="877">
        <f t="shared" si="20"/>
        <v>0</v>
      </c>
      <c r="O137" s="725"/>
      <c r="P137" s="725"/>
      <c r="Q137" s="994">
        <f t="shared" si="16"/>
        <v>0</v>
      </c>
    </row>
    <row r="138" spans="1:17" ht="27.75" hidden="1">
      <c r="A138" s="2392">
        <v>93</v>
      </c>
      <c r="B138" s="955" t="s">
        <v>763</v>
      </c>
      <c r="C138" s="874">
        <f t="shared" si="18"/>
        <v>32800</v>
      </c>
      <c r="D138" s="878">
        <f>32800*0.94084507042</f>
        <v>30859.7</v>
      </c>
      <c r="E138" s="878">
        <f>32800*(1-0.94084507042)</f>
        <v>1940.3</v>
      </c>
      <c r="F138" s="874">
        <f t="shared" si="21"/>
        <v>32800</v>
      </c>
      <c r="G138" s="878">
        <f>32800*0.94084507042</f>
        <v>30859.7</v>
      </c>
      <c r="H138" s="878">
        <f>32800*(1-0.94084507042)</f>
        <v>1940.3</v>
      </c>
      <c r="I138" s="874">
        <f t="shared" si="19"/>
        <v>0</v>
      </c>
      <c r="J138" s="878"/>
      <c r="K138" s="878"/>
      <c r="L138" s="876">
        <f t="shared" si="20"/>
        <v>0</v>
      </c>
      <c r="M138" s="877">
        <f t="shared" si="20"/>
        <v>0</v>
      </c>
      <c r="N138" s="877">
        <f t="shared" si="20"/>
        <v>0</v>
      </c>
      <c r="O138" s="725"/>
      <c r="P138" s="725"/>
      <c r="Q138" s="994">
        <f t="shared" si="16"/>
        <v>0</v>
      </c>
    </row>
    <row r="139" spans="1:17" ht="52.5" hidden="1">
      <c r="A139" s="2393"/>
      <c r="B139" s="955" t="s">
        <v>767</v>
      </c>
      <c r="C139" s="874">
        <f t="shared" si="18"/>
        <v>5777.1</v>
      </c>
      <c r="D139" s="878"/>
      <c r="E139" s="878">
        <v>5777.1</v>
      </c>
      <c r="F139" s="874">
        <f t="shared" si="21"/>
        <v>5777.1</v>
      </c>
      <c r="G139" s="878"/>
      <c r="H139" s="878">
        <v>5777.1</v>
      </c>
      <c r="I139" s="874">
        <f t="shared" si="19"/>
        <v>0</v>
      </c>
      <c r="J139" s="878"/>
      <c r="K139" s="878"/>
      <c r="L139" s="876">
        <f t="shared" si="20"/>
        <v>0</v>
      </c>
      <c r="M139" s="877">
        <f t="shared" si="20"/>
        <v>0</v>
      </c>
      <c r="N139" s="877">
        <f t="shared" si="20"/>
        <v>0</v>
      </c>
      <c r="O139" s="725"/>
      <c r="P139" s="725"/>
      <c r="Q139" s="994">
        <f t="shared" si="16"/>
        <v>0</v>
      </c>
    </row>
    <row r="140" spans="1:17" ht="27.75" hidden="1">
      <c r="A140" s="895">
        <v>94</v>
      </c>
      <c r="B140" s="955" t="s">
        <v>765</v>
      </c>
      <c r="C140" s="874">
        <f t="shared" si="18"/>
        <v>1200</v>
      </c>
      <c r="D140" s="878">
        <f>1200*0.94084507042</f>
        <v>1129</v>
      </c>
      <c r="E140" s="878">
        <f>1200*(1-0.94084507042)</f>
        <v>71</v>
      </c>
      <c r="F140" s="874">
        <f t="shared" si="21"/>
        <v>1200</v>
      </c>
      <c r="G140" s="878">
        <f>1200*0.94084507042</f>
        <v>1129</v>
      </c>
      <c r="H140" s="878">
        <f>1200*(1-0.94084507042)</f>
        <v>71</v>
      </c>
      <c r="I140" s="874">
        <f t="shared" si="19"/>
        <v>0</v>
      </c>
      <c r="J140" s="878"/>
      <c r="K140" s="878"/>
      <c r="L140" s="876">
        <f t="shared" si="20"/>
        <v>0</v>
      </c>
      <c r="M140" s="877">
        <f t="shared" si="20"/>
        <v>0</v>
      </c>
      <c r="N140" s="877">
        <f t="shared" si="20"/>
        <v>0</v>
      </c>
      <c r="O140" s="725"/>
      <c r="P140" s="725"/>
      <c r="Q140" s="994">
        <f t="shared" si="16"/>
        <v>0</v>
      </c>
    </row>
    <row r="141" spans="1:17" ht="27.75" hidden="1">
      <c r="A141" s="895">
        <v>95</v>
      </c>
      <c r="B141" s="955" t="s">
        <v>766</v>
      </c>
      <c r="C141" s="874">
        <f t="shared" si="18"/>
        <v>1500</v>
      </c>
      <c r="D141" s="878">
        <f>1500*0.94084507042</f>
        <v>1411.3</v>
      </c>
      <c r="E141" s="878">
        <f>1500*(1-0.94084507042)</f>
        <v>88.7</v>
      </c>
      <c r="F141" s="874">
        <f t="shared" si="21"/>
        <v>1500</v>
      </c>
      <c r="G141" s="878">
        <f>1500*0.94084507042</f>
        <v>1411.3</v>
      </c>
      <c r="H141" s="878">
        <f>1500*(1-0.94084507042)</f>
        <v>88.7</v>
      </c>
      <c r="I141" s="874">
        <f t="shared" si="19"/>
        <v>0</v>
      </c>
      <c r="J141" s="878"/>
      <c r="K141" s="878"/>
      <c r="L141" s="876">
        <f t="shared" si="20"/>
        <v>0</v>
      </c>
      <c r="M141" s="877">
        <f t="shared" si="20"/>
        <v>0</v>
      </c>
      <c r="N141" s="877">
        <f t="shared" si="20"/>
        <v>0</v>
      </c>
      <c r="O141" s="725"/>
      <c r="P141" s="725"/>
      <c r="Q141" s="994">
        <f t="shared" si="16"/>
        <v>0</v>
      </c>
    </row>
    <row r="142" spans="1:17" ht="60" hidden="1" customHeight="1">
      <c r="A142" s="897" t="s">
        <v>686</v>
      </c>
      <c r="B142" s="900" t="s">
        <v>463</v>
      </c>
      <c r="C142" s="874">
        <f t="shared" si="18"/>
        <v>19842.5</v>
      </c>
      <c r="D142" s="879">
        <v>18651.8</v>
      </c>
      <c r="E142" s="879">
        <v>1190.7</v>
      </c>
      <c r="F142" s="874">
        <f t="shared" si="21"/>
        <v>19842.5</v>
      </c>
      <c r="G142" s="879">
        <v>18651.8</v>
      </c>
      <c r="H142" s="879">
        <v>1190.7</v>
      </c>
      <c r="I142" s="874">
        <f t="shared" si="19"/>
        <v>0</v>
      </c>
      <c r="J142" s="879"/>
      <c r="K142" s="879"/>
      <c r="L142" s="876">
        <f t="shared" si="20"/>
        <v>0</v>
      </c>
      <c r="M142" s="877">
        <f t="shared" si="20"/>
        <v>0</v>
      </c>
      <c r="N142" s="877">
        <f t="shared" si="20"/>
        <v>0</v>
      </c>
      <c r="O142" s="725"/>
      <c r="P142" s="725"/>
      <c r="Q142" s="994">
        <f t="shared" si="16"/>
        <v>0</v>
      </c>
    </row>
    <row r="143" spans="1:17" ht="52.5" hidden="1">
      <c r="A143" s="897" t="s">
        <v>752</v>
      </c>
      <c r="B143" s="900" t="s">
        <v>592</v>
      </c>
      <c r="C143" s="874">
        <f t="shared" si="18"/>
        <v>12605.2</v>
      </c>
      <c r="D143" s="879">
        <v>11800</v>
      </c>
      <c r="E143" s="879">
        <v>805.2</v>
      </c>
      <c r="F143" s="874">
        <f t="shared" si="21"/>
        <v>12605.2</v>
      </c>
      <c r="G143" s="879">
        <v>11800</v>
      </c>
      <c r="H143" s="879">
        <v>805.2</v>
      </c>
      <c r="I143" s="874">
        <f t="shared" si="19"/>
        <v>0</v>
      </c>
      <c r="J143" s="879"/>
      <c r="K143" s="879"/>
      <c r="L143" s="876">
        <f t="shared" si="20"/>
        <v>0</v>
      </c>
      <c r="M143" s="877">
        <f t="shared" si="20"/>
        <v>0</v>
      </c>
      <c r="N143" s="877">
        <f t="shared" si="20"/>
        <v>0</v>
      </c>
      <c r="O143" s="725"/>
      <c r="P143" s="725"/>
      <c r="Q143" s="994">
        <f t="shared" si="16"/>
        <v>0</v>
      </c>
    </row>
    <row r="144" spans="1:17" ht="78.75" hidden="1">
      <c r="A144" s="897" t="s">
        <v>753</v>
      </c>
      <c r="B144" s="900" t="s">
        <v>776</v>
      </c>
      <c r="C144" s="874">
        <f t="shared" si="18"/>
        <v>29452.3</v>
      </c>
      <c r="D144" s="879">
        <v>27748.2</v>
      </c>
      <c r="E144" s="879">
        <v>1704.1</v>
      </c>
      <c r="F144" s="874">
        <f t="shared" si="21"/>
        <v>29452.3</v>
      </c>
      <c r="G144" s="879">
        <v>27748.2</v>
      </c>
      <c r="H144" s="879">
        <v>1704.1</v>
      </c>
      <c r="I144" s="874">
        <f t="shared" si="19"/>
        <v>0</v>
      </c>
      <c r="J144" s="879"/>
      <c r="K144" s="879"/>
      <c r="L144" s="876">
        <f t="shared" si="20"/>
        <v>0</v>
      </c>
      <c r="M144" s="877">
        <f t="shared" si="20"/>
        <v>0</v>
      </c>
      <c r="N144" s="877">
        <f t="shared" si="20"/>
        <v>0</v>
      </c>
      <c r="O144" s="725"/>
      <c r="P144" s="725"/>
      <c r="Q144" s="994">
        <f t="shared" si="16"/>
        <v>0</v>
      </c>
    </row>
    <row r="145" spans="1:17" ht="78.75" hidden="1">
      <c r="A145" s="897" t="s">
        <v>754</v>
      </c>
      <c r="B145" s="989" t="s">
        <v>694</v>
      </c>
      <c r="C145" s="874">
        <f>SUM(D145:E145)</f>
        <v>251200</v>
      </c>
      <c r="D145" s="879">
        <f>251200*0.94004262474</f>
        <v>236138.7</v>
      </c>
      <c r="E145" s="879">
        <f>251200*(1-0.94004262474)</f>
        <v>15061.3</v>
      </c>
      <c r="F145" s="874">
        <f t="shared" si="21"/>
        <v>251200</v>
      </c>
      <c r="G145" s="879">
        <f>251200*0.94004262474</f>
        <v>236138.7</v>
      </c>
      <c r="H145" s="879">
        <f>251200*(1-0.94004262474)</f>
        <v>15061.3</v>
      </c>
      <c r="I145" s="874">
        <f>SUM(J145:K145)</f>
        <v>0</v>
      </c>
      <c r="J145" s="879"/>
      <c r="K145" s="879"/>
      <c r="L145" s="876">
        <f>IF(I145=0,0,I145/F145*100)</f>
        <v>0</v>
      </c>
      <c r="M145" s="877">
        <f>IF(J145=0,0,J145/G145*100)</f>
        <v>0</v>
      </c>
      <c r="N145" s="877">
        <f>IF(K145=0,0,K145/H145*100)</f>
        <v>0</v>
      </c>
      <c r="O145" s="756"/>
      <c r="P145" s="756"/>
      <c r="Q145" s="994">
        <f t="shared" si="16"/>
        <v>0</v>
      </c>
    </row>
    <row r="146" spans="1:17" ht="78.75" hidden="1">
      <c r="A146" s="897" t="s">
        <v>755</v>
      </c>
      <c r="B146" s="989" t="s">
        <v>695</v>
      </c>
      <c r="C146" s="874">
        <f t="shared" si="18"/>
        <v>142468</v>
      </c>
      <c r="D146" s="879">
        <f>142468*0.94004262474</f>
        <v>133926</v>
      </c>
      <c r="E146" s="879">
        <f>142468*(1-0.94004262474)</f>
        <v>8542</v>
      </c>
      <c r="F146" s="874">
        <f t="shared" si="21"/>
        <v>142468</v>
      </c>
      <c r="G146" s="879">
        <f>142468*0.94004262474</f>
        <v>133926</v>
      </c>
      <c r="H146" s="879">
        <f>142468*(1-0.94004262474)</f>
        <v>8542</v>
      </c>
      <c r="I146" s="874">
        <f t="shared" si="19"/>
        <v>0</v>
      </c>
      <c r="J146" s="879"/>
      <c r="K146" s="879"/>
      <c r="L146" s="876">
        <f t="shared" si="20"/>
        <v>0</v>
      </c>
      <c r="M146" s="877">
        <f t="shared" si="20"/>
        <v>0</v>
      </c>
      <c r="N146" s="877">
        <f t="shared" si="20"/>
        <v>0</v>
      </c>
      <c r="O146" s="756"/>
      <c r="P146" s="756"/>
      <c r="Q146" s="994">
        <f t="shared" si="16"/>
        <v>0</v>
      </c>
    </row>
    <row r="147" spans="1:17" ht="61.5" hidden="1" customHeight="1">
      <c r="A147" s="897" t="s">
        <v>756</v>
      </c>
      <c r="B147" s="990" t="s">
        <v>698</v>
      </c>
      <c r="C147" s="874">
        <f t="shared" si="18"/>
        <v>96270.6</v>
      </c>
      <c r="D147" s="879">
        <f>96270.6*0.94005568959</f>
        <v>90499.7</v>
      </c>
      <c r="E147" s="879">
        <f>96270.6*(1-0.94005568959)</f>
        <v>5770.9</v>
      </c>
      <c r="F147" s="874">
        <f t="shared" si="21"/>
        <v>96270.6</v>
      </c>
      <c r="G147" s="879">
        <f>96270.6*0.94005568959</f>
        <v>90499.7</v>
      </c>
      <c r="H147" s="879">
        <f>96270.6*(1-0.94005568959)</f>
        <v>5770.9</v>
      </c>
      <c r="I147" s="874">
        <f t="shared" si="19"/>
        <v>0</v>
      </c>
      <c r="J147" s="879"/>
      <c r="K147" s="879"/>
      <c r="L147" s="876">
        <f t="shared" si="20"/>
        <v>0</v>
      </c>
      <c r="M147" s="877">
        <f t="shared" si="20"/>
        <v>0</v>
      </c>
      <c r="N147" s="877">
        <f t="shared" si="20"/>
        <v>0</v>
      </c>
      <c r="O147" s="725"/>
      <c r="P147" s="725"/>
      <c r="Q147" s="994">
        <f t="shared" si="16"/>
        <v>0</v>
      </c>
    </row>
    <row r="148" spans="1:17" ht="78.75" hidden="1">
      <c r="A148" s="897" t="s">
        <v>757</v>
      </c>
      <c r="B148" s="990" t="s">
        <v>697</v>
      </c>
      <c r="C148" s="874">
        <f>SUM(D148:E148)</f>
        <v>150000</v>
      </c>
      <c r="D148" s="879">
        <f>150000*0.94005568959</f>
        <v>141008.4</v>
      </c>
      <c r="E148" s="879">
        <f>150000*(1-0.94005568959)</f>
        <v>8991.6</v>
      </c>
      <c r="F148" s="874">
        <f t="shared" si="21"/>
        <v>150000</v>
      </c>
      <c r="G148" s="879">
        <f>150000*0.94005568959</f>
        <v>141008.4</v>
      </c>
      <c r="H148" s="879">
        <f>150000*(1-0.94005568959)</f>
        <v>8991.6</v>
      </c>
      <c r="I148" s="874">
        <f>SUM(J148:K148)</f>
        <v>0</v>
      </c>
      <c r="J148" s="879"/>
      <c r="K148" s="879"/>
      <c r="L148" s="876">
        <f>IF(I148=0,0,I148/F148*100)</f>
        <v>0</v>
      </c>
      <c r="M148" s="877">
        <f>IF(J148=0,0,J148/G148*100)</f>
        <v>0</v>
      </c>
      <c r="N148" s="877">
        <f>IF(K148=0,0,K148/H148*100)</f>
        <v>0</v>
      </c>
      <c r="O148" s="725"/>
      <c r="P148" s="725"/>
      <c r="Q148" s="994">
        <f t="shared" si="16"/>
        <v>0</v>
      </c>
    </row>
    <row r="149" spans="1:17" ht="105" hidden="1">
      <c r="A149" s="897" t="s">
        <v>758</v>
      </c>
      <c r="B149" s="990" t="s">
        <v>696</v>
      </c>
      <c r="C149" s="874">
        <f t="shared" si="18"/>
        <v>34500</v>
      </c>
      <c r="D149" s="879">
        <f>34500*0.94005568959</f>
        <v>32431.9</v>
      </c>
      <c r="E149" s="879">
        <f>34500*(1-0.94005568959)</f>
        <v>2068.1</v>
      </c>
      <c r="F149" s="874">
        <f t="shared" si="21"/>
        <v>34500</v>
      </c>
      <c r="G149" s="879">
        <f>34500*0.94005568959</f>
        <v>32431.9</v>
      </c>
      <c r="H149" s="879">
        <f>34500*(1-0.94005568959)</f>
        <v>2068.1</v>
      </c>
      <c r="I149" s="874">
        <f t="shared" si="19"/>
        <v>0</v>
      </c>
      <c r="J149" s="879"/>
      <c r="K149" s="879"/>
      <c r="L149" s="876">
        <f t="shared" si="20"/>
        <v>0</v>
      </c>
      <c r="M149" s="877">
        <f t="shared" si="20"/>
        <v>0</v>
      </c>
      <c r="N149" s="877">
        <f t="shared" si="20"/>
        <v>0</v>
      </c>
      <c r="O149" s="725"/>
      <c r="P149" s="725"/>
      <c r="Q149" s="994">
        <f t="shared" si="16"/>
        <v>0</v>
      </c>
    </row>
    <row r="150" spans="1:17" ht="105" hidden="1">
      <c r="A150" s="897" t="s">
        <v>759</v>
      </c>
      <c r="B150" s="901" t="s">
        <v>462</v>
      </c>
      <c r="C150" s="874">
        <f t="shared" si="18"/>
        <v>14429.4</v>
      </c>
      <c r="D150" s="879">
        <v>13560</v>
      </c>
      <c r="E150" s="879">
        <v>869.4</v>
      </c>
      <c r="F150" s="874">
        <f t="shared" si="21"/>
        <v>14429.4</v>
      </c>
      <c r="G150" s="879">
        <v>13560</v>
      </c>
      <c r="H150" s="879">
        <v>869.4</v>
      </c>
      <c r="I150" s="874">
        <f t="shared" si="19"/>
        <v>0</v>
      </c>
      <c r="J150" s="879"/>
      <c r="K150" s="879"/>
      <c r="L150" s="876">
        <f t="shared" si="20"/>
        <v>0</v>
      </c>
      <c r="M150" s="877">
        <f t="shared" si="20"/>
        <v>0</v>
      </c>
      <c r="N150" s="877">
        <f t="shared" si="20"/>
        <v>0</v>
      </c>
      <c r="O150" s="725"/>
      <c r="P150" s="725"/>
      <c r="Q150" s="994">
        <f t="shared" si="16"/>
        <v>0</v>
      </c>
    </row>
    <row r="151" spans="1:17" s="515" customFormat="1" ht="78.75" hidden="1">
      <c r="A151" s="897" t="s">
        <v>760</v>
      </c>
      <c r="B151" s="900" t="s">
        <v>700</v>
      </c>
      <c r="C151" s="874">
        <f t="shared" si="18"/>
        <v>18000</v>
      </c>
      <c r="D151" s="879"/>
      <c r="E151" s="879">
        <v>18000</v>
      </c>
      <c r="F151" s="874">
        <f t="shared" si="21"/>
        <v>18000</v>
      </c>
      <c r="G151" s="879"/>
      <c r="H151" s="879">
        <v>18000</v>
      </c>
      <c r="I151" s="874">
        <f t="shared" si="19"/>
        <v>0</v>
      </c>
      <c r="J151" s="879"/>
      <c r="K151" s="879"/>
      <c r="L151" s="876">
        <f t="shared" ref="L151:N175" si="22">IF(I151=0,0,I151/F151*100)</f>
        <v>0</v>
      </c>
      <c r="M151" s="877">
        <f t="shared" si="22"/>
        <v>0</v>
      </c>
      <c r="N151" s="877">
        <f t="shared" si="22"/>
        <v>0</v>
      </c>
      <c r="O151" s="740"/>
      <c r="P151" s="740"/>
      <c r="Q151" s="994">
        <f t="shared" si="16"/>
        <v>0</v>
      </c>
    </row>
    <row r="152" spans="1:17" s="515" customFormat="1" ht="52.5" hidden="1">
      <c r="A152" s="897" t="s">
        <v>761</v>
      </c>
      <c r="B152" s="900" t="s">
        <v>699</v>
      </c>
      <c r="C152" s="874">
        <f>SUM(D152:E152)</f>
        <v>151300</v>
      </c>
      <c r="D152" s="879">
        <v>142200</v>
      </c>
      <c r="E152" s="879">
        <v>9100</v>
      </c>
      <c r="F152" s="874">
        <f t="shared" si="21"/>
        <v>151300</v>
      </c>
      <c r="G152" s="879">
        <v>142200</v>
      </c>
      <c r="H152" s="879">
        <v>9100</v>
      </c>
      <c r="I152" s="874">
        <f>SUM(J152:K152)</f>
        <v>0</v>
      </c>
      <c r="J152" s="879"/>
      <c r="K152" s="879"/>
      <c r="L152" s="876">
        <f>IF(I152=0,0,I152/F152*100)</f>
        <v>0</v>
      </c>
      <c r="M152" s="877">
        <f>IF(J152=0,0,J152/G152*100)</f>
        <v>0</v>
      </c>
      <c r="N152" s="877">
        <f>IF(K152=0,0,K152/H152*100)</f>
        <v>0</v>
      </c>
      <c r="O152" s="740"/>
      <c r="P152" s="740"/>
      <c r="Q152" s="994">
        <f t="shared" si="16"/>
        <v>0</v>
      </c>
    </row>
    <row r="153" spans="1:17" ht="78.75" hidden="1">
      <c r="A153" s="897" t="s">
        <v>764</v>
      </c>
      <c r="B153" s="900" t="s">
        <v>461</v>
      </c>
      <c r="C153" s="874">
        <f t="shared" si="18"/>
        <v>26810</v>
      </c>
      <c r="D153" s="879">
        <v>25201.1</v>
      </c>
      <c r="E153" s="879">
        <v>1608.9</v>
      </c>
      <c r="F153" s="874">
        <f t="shared" si="21"/>
        <v>26810</v>
      </c>
      <c r="G153" s="879">
        <v>25201.1</v>
      </c>
      <c r="H153" s="879">
        <v>1608.9</v>
      </c>
      <c r="I153" s="874">
        <f t="shared" si="19"/>
        <v>0</v>
      </c>
      <c r="J153" s="879"/>
      <c r="K153" s="879"/>
      <c r="L153" s="876">
        <f t="shared" si="22"/>
        <v>0</v>
      </c>
      <c r="M153" s="877">
        <f t="shared" si="22"/>
        <v>0</v>
      </c>
      <c r="N153" s="877">
        <f t="shared" si="22"/>
        <v>0</v>
      </c>
      <c r="O153" s="725"/>
      <c r="P153" s="725"/>
      <c r="Q153" s="994">
        <f t="shared" si="16"/>
        <v>0</v>
      </c>
    </row>
    <row r="154" spans="1:17" ht="52.5" hidden="1">
      <c r="A154" s="897" t="s">
        <v>636</v>
      </c>
      <c r="B154" s="900" t="s">
        <v>450</v>
      </c>
      <c r="C154" s="871">
        <f t="shared" si="18"/>
        <v>0</v>
      </c>
      <c r="D154" s="879"/>
      <c r="E154" s="879">
        <v>0</v>
      </c>
      <c r="F154" s="874">
        <f t="shared" si="21"/>
        <v>0</v>
      </c>
      <c r="G154" s="879"/>
      <c r="H154" s="879"/>
      <c r="I154" s="874">
        <f t="shared" si="19"/>
        <v>0</v>
      </c>
      <c r="J154" s="879"/>
      <c r="K154" s="885"/>
      <c r="L154" s="876">
        <f t="shared" si="22"/>
        <v>0</v>
      </c>
      <c r="M154" s="877">
        <f t="shared" si="22"/>
        <v>0</v>
      </c>
      <c r="N154" s="877">
        <f t="shared" si="22"/>
        <v>0</v>
      </c>
      <c r="O154" s="756"/>
      <c r="P154" s="756"/>
      <c r="Q154" s="994">
        <f t="shared" si="16"/>
        <v>0</v>
      </c>
    </row>
    <row r="155" spans="1:17" s="914" customFormat="1" ht="75" hidden="1" customHeight="1">
      <c r="A155" s="2401" t="s">
        <v>456</v>
      </c>
      <c r="B155" s="2401"/>
      <c r="C155" s="917">
        <f>SUM(D155:E155)</f>
        <v>1217522.3999999999</v>
      </c>
      <c r="D155" s="917">
        <f>SUM(D156,D158)</f>
        <v>909500</v>
      </c>
      <c r="E155" s="917">
        <f>SUM(E156,E158)</f>
        <v>308022.40000000002</v>
      </c>
      <c r="F155" s="917">
        <f t="shared" si="21"/>
        <v>1214762.3999999999</v>
      </c>
      <c r="G155" s="917">
        <f>SUM(G156,G158)</f>
        <v>909500</v>
      </c>
      <c r="H155" s="917">
        <f>SUM(H156,H158)</f>
        <v>305262.40000000002</v>
      </c>
      <c r="I155" s="917">
        <f t="shared" si="19"/>
        <v>0</v>
      </c>
      <c r="J155" s="917">
        <f>SUM(J156,J158)</f>
        <v>0</v>
      </c>
      <c r="K155" s="917">
        <f>SUM(K156,K158)</f>
        <v>0</v>
      </c>
      <c r="L155" s="918">
        <f t="shared" si="22"/>
        <v>0</v>
      </c>
      <c r="M155" s="920">
        <f t="shared" si="22"/>
        <v>0</v>
      </c>
      <c r="N155" s="920">
        <f t="shared" si="22"/>
        <v>0</v>
      </c>
      <c r="O155" s="912">
        <f t="shared" ref="O155:P159" si="23">D155-G155</f>
        <v>0</v>
      </c>
      <c r="P155" s="912">
        <f t="shared" si="23"/>
        <v>2760</v>
      </c>
      <c r="Q155" s="994">
        <f t="shared" si="16"/>
        <v>2760</v>
      </c>
    </row>
    <row r="156" spans="1:17" s="914" customFormat="1" ht="121.5" hidden="1" customHeight="1">
      <c r="A156" s="944" t="s">
        <v>6</v>
      </c>
      <c r="B156" s="925" t="s">
        <v>439</v>
      </c>
      <c r="C156" s="926">
        <f>SUM(D156:E156)</f>
        <v>134856</v>
      </c>
      <c r="D156" s="926">
        <f>D157</f>
        <v>0</v>
      </c>
      <c r="E156" s="926">
        <f>E157</f>
        <v>134856</v>
      </c>
      <c r="F156" s="926">
        <f t="shared" si="21"/>
        <v>134856</v>
      </c>
      <c r="G156" s="926">
        <f>G157</f>
        <v>0</v>
      </c>
      <c r="H156" s="926">
        <f>H157</f>
        <v>134856</v>
      </c>
      <c r="I156" s="926">
        <f>SUM(J156:K156)</f>
        <v>0</v>
      </c>
      <c r="J156" s="926">
        <f>J157</f>
        <v>0</v>
      </c>
      <c r="K156" s="926">
        <f>K157</f>
        <v>0</v>
      </c>
      <c r="L156" s="927">
        <f t="shared" si="22"/>
        <v>0</v>
      </c>
      <c r="M156" s="928">
        <f t="shared" si="22"/>
        <v>0</v>
      </c>
      <c r="N156" s="928">
        <f t="shared" si="22"/>
        <v>0</v>
      </c>
      <c r="O156" s="912">
        <f>D156-G156</f>
        <v>0</v>
      </c>
      <c r="P156" s="912">
        <f>E156-H156</f>
        <v>0</v>
      </c>
      <c r="Q156" s="994">
        <f t="shared" si="16"/>
        <v>0</v>
      </c>
    </row>
    <row r="157" spans="1:17" ht="115.5" hidden="1" customHeight="1">
      <c r="A157" s="895">
        <v>1</v>
      </c>
      <c r="B157" s="902" t="s">
        <v>670</v>
      </c>
      <c r="C157" s="886">
        <f>SUM(D157:E157)</f>
        <v>134856</v>
      </c>
      <c r="D157" s="884">
        <v>0</v>
      </c>
      <c r="E157" s="884">
        <f>127656+1325+1341+4534</f>
        <v>134856</v>
      </c>
      <c r="F157" s="874">
        <f t="shared" si="21"/>
        <v>134856</v>
      </c>
      <c r="G157" s="888"/>
      <c r="H157" s="884">
        <f>127656+1325+1341+4534</f>
        <v>134856</v>
      </c>
      <c r="I157" s="874">
        <f>SUM(J157:K157)</f>
        <v>0</v>
      </c>
      <c r="J157" s="884"/>
      <c r="K157" s="888"/>
      <c r="L157" s="876">
        <f t="shared" si="22"/>
        <v>0</v>
      </c>
      <c r="M157" s="877">
        <f t="shared" si="22"/>
        <v>0</v>
      </c>
      <c r="N157" s="877">
        <f t="shared" si="22"/>
        <v>0</v>
      </c>
      <c r="O157" s="725"/>
      <c r="P157" s="725"/>
      <c r="Q157" s="994">
        <f t="shared" si="16"/>
        <v>0</v>
      </c>
    </row>
    <row r="158" spans="1:17" s="914" customFormat="1" ht="87.75" hidden="1" customHeight="1">
      <c r="A158" s="945" t="s">
        <v>2</v>
      </c>
      <c r="B158" s="925" t="s">
        <v>222</v>
      </c>
      <c r="C158" s="926">
        <f t="shared" si="18"/>
        <v>1082666.3999999999</v>
      </c>
      <c r="D158" s="926">
        <f>SUM(D159,D175)</f>
        <v>909500</v>
      </c>
      <c r="E158" s="926">
        <f>SUM(E159,E175)</f>
        <v>173166.4</v>
      </c>
      <c r="F158" s="926">
        <f t="shared" si="21"/>
        <v>1079906.3999999999</v>
      </c>
      <c r="G158" s="926">
        <f>SUM(G159,G175)</f>
        <v>909500</v>
      </c>
      <c r="H158" s="926">
        <f>SUM(H159,H175)</f>
        <v>170406.39999999999</v>
      </c>
      <c r="I158" s="926">
        <f t="shared" si="19"/>
        <v>0</v>
      </c>
      <c r="J158" s="926">
        <f>SUM(J159,J175)</f>
        <v>0</v>
      </c>
      <c r="K158" s="926">
        <f>SUM(K159,K175)</f>
        <v>0</v>
      </c>
      <c r="L158" s="927">
        <f t="shared" si="22"/>
        <v>0</v>
      </c>
      <c r="M158" s="928">
        <f t="shared" si="22"/>
        <v>0</v>
      </c>
      <c r="N158" s="928">
        <f t="shared" si="22"/>
        <v>0</v>
      </c>
      <c r="O158" s="912">
        <f t="shared" si="23"/>
        <v>0</v>
      </c>
      <c r="P158" s="912">
        <f t="shared" si="23"/>
        <v>2760</v>
      </c>
      <c r="Q158" s="994">
        <f t="shared" si="16"/>
        <v>2760</v>
      </c>
    </row>
    <row r="159" spans="1:17" s="914" customFormat="1" ht="63.75" hidden="1" customHeight="1">
      <c r="A159" s="944" t="s">
        <v>246</v>
      </c>
      <c r="B159" s="932" t="s">
        <v>41</v>
      </c>
      <c r="C159" s="933">
        <f>D159+E159</f>
        <v>967706.4</v>
      </c>
      <c r="D159" s="933">
        <f>SUM(D173,D160)</f>
        <v>909500</v>
      </c>
      <c r="E159" s="933">
        <f>SUM(E173,E160)</f>
        <v>58206.400000000001</v>
      </c>
      <c r="F159" s="933">
        <f>G159+H159</f>
        <v>967706.4</v>
      </c>
      <c r="G159" s="933">
        <f>SUM(G173,G160)</f>
        <v>909500</v>
      </c>
      <c r="H159" s="933">
        <f>SUM(H173,H160)</f>
        <v>58206.400000000001</v>
      </c>
      <c r="I159" s="933">
        <f>J159+K159</f>
        <v>0</v>
      </c>
      <c r="J159" s="933">
        <f>SUM(J173,J160)</f>
        <v>0</v>
      </c>
      <c r="K159" s="933">
        <f>SUM(K173,K160)</f>
        <v>0</v>
      </c>
      <c r="L159" s="935">
        <f t="shared" si="22"/>
        <v>0</v>
      </c>
      <c r="M159" s="936">
        <f t="shared" si="22"/>
        <v>0</v>
      </c>
      <c r="N159" s="936">
        <f t="shared" si="22"/>
        <v>0</v>
      </c>
      <c r="O159" s="912">
        <f t="shared" si="23"/>
        <v>0</v>
      </c>
      <c r="P159" s="912">
        <f t="shared" si="23"/>
        <v>0</v>
      </c>
      <c r="Q159" s="994">
        <f t="shared" si="16"/>
        <v>0</v>
      </c>
    </row>
    <row r="160" spans="1:17" s="959" customFormat="1" ht="59.25" hidden="1" customHeight="1">
      <c r="A160" s="957" t="s">
        <v>247</v>
      </c>
      <c r="B160" s="946" t="s">
        <v>446</v>
      </c>
      <c r="C160" s="960">
        <f t="shared" ref="C160:C177" si="24">SUM(D160:E160)</f>
        <v>907600</v>
      </c>
      <c r="D160" s="961">
        <f>SUM(D161:D172)</f>
        <v>853000</v>
      </c>
      <c r="E160" s="961">
        <f>SUM(E161:E172)</f>
        <v>54600</v>
      </c>
      <c r="F160" s="908">
        <f t="shared" ref="F160:F177" si="25">SUM(G160:H160)</f>
        <v>907600</v>
      </c>
      <c r="G160" s="961">
        <f>SUM(G161:G172)</f>
        <v>853000</v>
      </c>
      <c r="H160" s="961">
        <f>SUM(H161:H172)</f>
        <v>54600</v>
      </c>
      <c r="I160" s="908">
        <f t="shared" ref="I160:I177" si="26">SUM(J160:K160)</f>
        <v>0</v>
      </c>
      <c r="J160" s="961">
        <f>SUM(J161:J172)</f>
        <v>0</v>
      </c>
      <c r="K160" s="961">
        <f>SUM(K161:K172)</f>
        <v>0</v>
      </c>
      <c r="L160" s="910">
        <f t="shared" si="22"/>
        <v>0</v>
      </c>
      <c r="M160" s="910">
        <f t="shared" si="22"/>
        <v>0</v>
      </c>
      <c r="N160" s="910">
        <f t="shared" si="22"/>
        <v>0</v>
      </c>
      <c r="O160" s="958"/>
      <c r="P160" s="958"/>
      <c r="Q160" s="994"/>
    </row>
    <row r="161" spans="1:17" ht="52.5" hidden="1" customHeight="1">
      <c r="A161" s="895">
        <v>2</v>
      </c>
      <c r="B161" s="937" t="s">
        <v>668</v>
      </c>
      <c r="C161" s="871">
        <f t="shared" si="24"/>
        <v>452152</v>
      </c>
      <c r="D161" s="884">
        <v>425020</v>
      </c>
      <c r="E161" s="887">
        <v>27132</v>
      </c>
      <c r="F161" s="874">
        <f>G161+H161</f>
        <v>452152</v>
      </c>
      <c r="G161" s="884">
        <v>425020</v>
      </c>
      <c r="H161" s="887">
        <v>27132</v>
      </c>
      <c r="I161" s="874">
        <f>SUM(J161:K161)</f>
        <v>0</v>
      </c>
      <c r="J161" s="884"/>
      <c r="K161" s="887"/>
      <c r="L161" s="876">
        <f>IF(I161=0,0,I161/F161*100)</f>
        <v>0</v>
      </c>
      <c r="M161" s="877">
        <f>IF(J161=0,0,J161/G161*100)</f>
        <v>0</v>
      </c>
      <c r="N161" s="877">
        <f>IF(K161=0,0,K161/H161*100)</f>
        <v>0</v>
      </c>
      <c r="O161" s="725"/>
      <c r="P161" s="725"/>
      <c r="Q161" s="994"/>
    </row>
    <row r="162" spans="1:17" ht="52.5" hidden="1">
      <c r="A162" s="895">
        <v>3</v>
      </c>
      <c r="B162" s="896" t="s">
        <v>470</v>
      </c>
      <c r="C162" s="871">
        <f t="shared" si="24"/>
        <v>52000</v>
      </c>
      <c r="D162" s="887">
        <v>48800</v>
      </c>
      <c r="E162" s="887">
        <v>3200</v>
      </c>
      <c r="F162" s="871">
        <f t="shared" si="25"/>
        <v>52000</v>
      </c>
      <c r="G162" s="887">
        <v>48800</v>
      </c>
      <c r="H162" s="887">
        <v>3200</v>
      </c>
      <c r="I162" s="871">
        <f t="shared" si="26"/>
        <v>0</v>
      </c>
      <c r="J162" s="887"/>
      <c r="K162" s="887"/>
      <c r="L162" s="872">
        <f t="shared" si="22"/>
        <v>0</v>
      </c>
      <c r="M162" s="873">
        <f t="shared" si="22"/>
        <v>0</v>
      </c>
      <c r="N162" s="873">
        <f t="shared" si="22"/>
        <v>0</v>
      </c>
      <c r="O162" s="725"/>
      <c r="P162" s="725"/>
      <c r="Q162" s="994"/>
    </row>
    <row r="163" spans="1:17" ht="105" hidden="1">
      <c r="A163" s="895">
        <v>4</v>
      </c>
      <c r="B163" s="896" t="s">
        <v>622</v>
      </c>
      <c r="C163" s="871">
        <f>SUM(D163:E163)</f>
        <v>78829</v>
      </c>
      <c r="D163" s="887">
        <v>74099</v>
      </c>
      <c r="E163" s="887">
        <v>4730</v>
      </c>
      <c r="F163" s="871">
        <f>SUM(G163:H163)</f>
        <v>78829</v>
      </c>
      <c r="G163" s="887">
        <v>74099</v>
      </c>
      <c r="H163" s="887">
        <v>4730</v>
      </c>
      <c r="I163" s="871">
        <f>SUM(J163:K163)</f>
        <v>0</v>
      </c>
      <c r="J163" s="887"/>
      <c r="K163" s="887"/>
      <c r="L163" s="872">
        <f>IF(I163=0,0,I163/F163*100)</f>
        <v>0</v>
      </c>
      <c r="M163" s="873">
        <f>IF(J163=0,0,J163/G163*100)</f>
        <v>0</v>
      </c>
      <c r="N163" s="873">
        <f>IF(K163=0,0,K163/H163*100)</f>
        <v>0</v>
      </c>
      <c r="O163" s="725"/>
      <c r="P163" s="725"/>
      <c r="Q163" s="994"/>
    </row>
    <row r="164" spans="1:17" ht="105" hidden="1">
      <c r="A164" s="895">
        <v>5</v>
      </c>
      <c r="B164" s="896" t="s">
        <v>621</v>
      </c>
      <c r="C164" s="871">
        <f t="shared" si="24"/>
        <v>86915</v>
      </c>
      <c r="D164" s="887">
        <v>81700</v>
      </c>
      <c r="E164" s="887">
        <v>5215</v>
      </c>
      <c r="F164" s="871">
        <f t="shared" si="25"/>
        <v>86915</v>
      </c>
      <c r="G164" s="887">
        <v>81700</v>
      </c>
      <c r="H164" s="887">
        <v>5215</v>
      </c>
      <c r="I164" s="871">
        <f t="shared" si="26"/>
        <v>0</v>
      </c>
      <c r="J164" s="887"/>
      <c r="K164" s="887"/>
      <c r="L164" s="872">
        <f t="shared" si="22"/>
        <v>0</v>
      </c>
      <c r="M164" s="873">
        <f t="shared" si="22"/>
        <v>0</v>
      </c>
      <c r="N164" s="873">
        <f t="shared" si="22"/>
        <v>0</v>
      </c>
      <c r="O164" s="725"/>
      <c r="P164" s="725"/>
      <c r="Q164" s="994"/>
    </row>
    <row r="165" spans="1:17" ht="78.75" hidden="1">
      <c r="A165" s="895">
        <v>6</v>
      </c>
      <c r="B165" s="896" t="s">
        <v>620</v>
      </c>
      <c r="C165" s="871">
        <f>SUM(D165:E165)</f>
        <v>117051</v>
      </c>
      <c r="D165" s="887">
        <v>110027.9</v>
      </c>
      <c r="E165" s="887">
        <v>7023.1</v>
      </c>
      <c r="F165" s="871">
        <f>SUM(G165:H165)</f>
        <v>117051</v>
      </c>
      <c r="G165" s="887">
        <v>110027.9</v>
      </c>
      <c r="H165" s="887">
        <v>7023.1</v>
      </c>
      <c r="I165" s="871">
        <f>SUM(J165:K165)</f>
        <v>0</v>
      </c>
      <c r="J165" s="887"/>
      <c r="K165" s="887"/>
      <c r="L165" s="872">
        <f>IF(I165=0,0,I165/F165*100)</f>
        <v>0</v>
      </c>
      <c r="M165" s="873">
        <f>IF(J165=0,0,J165/G165*100)</f>
        <v>0</v>
      </c>
      <c r="N165" s="873">
        <f>IF(K165=0,0,K165/H165*100)</f>
        <v>0</v>
      </c>
      <c r="O165" s="725"/>
      <c r="P165" s="725"/>
      <c r="Q165" s="994"/>
    </row>
    <row r="166" spans="1:17" ht="78.75" hidden="1">
      <c r="A166" s="895">
        <v>7</v>
      </c>
      <c r="B166" s="896" t="s">
        <v>471</v>
      </c>
      <c r="C166" s="871">
        <f t="shared" si="24"/>
        <v>9500</v>
      </c>
      <c r="D166" s="887">
        <v>8930</v>
      </c>
      <c r="E166" s="887">
        <v>570</v>
      </c>
      <c r="F166" s="871">
        <f t="shared" si="25"/>
        <v>9500</v>
      </c>
      <c r="G166" s="887">
        <v>8930</v>
      </c>
      <c r="H166" s="887">
        <v>570</v>
      </c>
      <c r="I166" s="871">
        <f t="shared" si="26"/>
        <v>0</v>
      </c>
      <c r="J166" s="887"/>
      <c r="K166" s="887"/>
      <c r="L166" s="872">
        <f t="shared" si="22"/>
        <v>0</v>
      </c>
      <c r="M166" s="873">
        <f t="shared" si="22"/>
        <v>0</v>
      </c>
      <c r="N166" s="873">
        <f t="shared" si="22"/>
        <v>0</v>
      </c>
      <c r="O166" s="725"/>
      <c r="P166" s="725"/>
      <c r="Q166" s="994"/>
    </row>
    <row r="167" spans="1:17" ht="61.5" hidden="1" customHeight="1">
      <c r="A167" s="895">
        <v>8</v>
      </c>
      <c r="B167" s="896" t="s">
        <v>472</v>
      </c>
      <c r="C167" s="871">
        <f t="shared" si="24"/>
        <v>16500</v>
      </c>
      <c r="D167" s="887">
        <v>15510</v>
      </c>
      <c r="E167" s="887">
        <v>990</v>
      </c>
      <c r="F167" s="871">
        <f t="shared" si="25"/>
        <v>16500</v>
      </c>
      <c r="G167" s="887">
        <v>15510</v>
      </c>
      <c r="H167" s="887">
        <v>990</v>
      </c>
      <c r="I167" s="871">
        <f t="shared" si="26"/>
        <v>0</v>
      </c>
      <c r="J167" s="887"/>
      <c r="K167" s="887"/>
      <c r="L167" s="872">
        <f t="shared" si="22"/>
        <v>0</v>
      </c>
      <c r="M167" s="873">
        <f t="shared" si="22"/>
        <v>0</v>
      </c>
      <c r="N167" s="873">
        <f t="shared" si="22"/>
        <v>0</v>
      </c>
      <c r="O167" s="725"/>
      <c r="P167" s="725"/>
      <c r="Q167" s="994"/>
    </row>
    <row r="168" spans="1:17" ht="67.5" hidden="1" customHeight="1">
      <c r="A168" s="895">
        <v>9</v>
      </c>
      <c r="B168" s="896" t="s">
        <v>473</v>
      </c>
      <c r="C168" s="871">
        <f t="shared" si="24"/>
        <v>10550</v>
      </c>
      <c r="D168" s="887">
        <v>9916.1</v>
      </c>
      <c r="E168" s="887">
        <v>633.9</v>
      </c>
      <c r="F168" s="871">
        <f t="shared" si="25"/>
        <v>10550</v>
      </c>
      <c r="G168" s="887">
        <v>9916.1</v>
      </c>
      <c r="H168" s="887">
        <v>633.9</v>
      </c>
      <c r="I168" s="871">
        <f t="shared" si="26"/>
        <v>0</v>
      </c>
      <c r="J168" s="887"/>
      <c r="K168" s="887"/>
      <c r="L168" s="872">
        <f t="shared" si="22"/>
        <v>0</v>
      </c>
      <c r="M168" s="873">
        <f t="shared" si="22"/>
        <v>0</v>
      </c>
      <c r="N168" s="873">
        <f t="shared" si="22"/>
        <v>0</v>
      </c>
      <c r="O168" s="725"/>
      <c r="P168" s="725"/>
      <c r="Q168" s="994"/>
    </row>
    <row r="169" spans="1:17" ht="67.5" hidden="1" customHeight="1">
      <c r="A169" s="895">
        <v>10</v>
      </c>
      <c r="B169" s="896" t="s">
        <v>474</v>
      </c>
      <c r="C169" s="871">
        <f>SUM(D169:E169)</f>
        <v>26243.8</v>
      </c>
      <c r="D169" s="887">
        <v>24669.1</v>
      </c>
      <c r="E169" s="887">
        <v>1574.7</v>
      </c>
      <c r="F169" s="871">
        <f>SUM(G169:H169)</f>
        <v>26243.8</v>
      </c>
      <c r="G169" s="887">
        <v>24669.1</v>
      </c>
      <c r="H169" s="887">
        <v>1574.7</v>
      </c>
      <c r="I169" s="871">
        <f>SUM(J169:K169)</f>
        <v>0</v>
      </c>
      <c r="J169" s="887"/>
      <c r="K169" s="887"/>
      <c r="L169" s="872">
        <f>IF(I169=0,0,I169/F169*100)</f>
        <v>0</v>
      </c>
      <c r="M169" s="873">
        <f>IF(J169=0,0,J169/G169*100)</f>
        <v>0</v>
      </c>
      <c r="N169" s="873">
        <f>IF(K169=0,0,K169/H169*100)</f>
        <v>0</v>
      </c>
      <c r="O169" s="725"/>
      <c r="P169" s="725"/>
      <c r="Q169" s="994"/>
    </row>
    <row r="170" spans="1:17" ht="78.75" hidden="1">
      <c r="A170" s="895">
        <v>11</v>
      </c>
      <c r="B170" s="896" t="s">
        <v>617</v>
      </c>
      <c r="C170" s="871">
        <f t="shared" si="24"/>
        <v>18411.2</v>
      </c>
      <c r="D170" s="887">
        <v>17247.900000000001</v>
      </c>
      <c r="E170" s="887">
        <v>1163.3</v>
      </c>
      <c r="F170" s="871">
        <f t="shared" si="25"/>
        <v>18411.2</v>
      </c>
      <c r="G170" s="887">
        <v>17247.900000000001</v>
      </c>
      <c r="H170" s="887">
        <v>1163.3</v>
      </c>
      <c r="I170" s="871">
        <f t="shared" si="26"/>
        <v>0</v>
      </c>
      <c r="J170" s="887"/>
      <c r="K170" s="887"/>
      <c r="L170" s="872">
        <f t="shared" si="22"/>
        <v>0</v>
      </c>
      <c r="M170" s="873">
        <f t="shared" si="22"/>
        <v>0</v>
      </c>
      <c r="N170" s="873">
        <f t="shared" si="22"/>
        <v>0</v>
      </c>
      <c r="O170" s="725"/>
      <c r="P170" s="725"/>
      <c r="Q170" s="994"/>
    </row>
    <row r="171" spans="1:17" ht="52.5" hidden="1">
      <c r="A171" s="895">
        <v>12</v>
      </c>
      <c r="B171" s="896" t="s">
        <v>618</v>
      </c>
      <c r="C171" s="871">
        <f t="shared" si="24"/>
        <v>31788</v>
      </c>
      <c r="D171" s="887">
        <v>29880</v>
      </c>
      <c r="E171" s="887">
        <v>1908</v>
      </c>
      <c r="F171" s="871">
        <f t="shared" si="25"/>
        <v>31788</v>
      </c>
      <c r="G171" s="887">
        <v>29880</v>
      </c>
      <c r="H171" s="887">
        <v>1908</v>
      </c>
      <c r="I171" s="871">
        <f t="shared" si="26"/>
        <v>0</v>
      </c>
      <c r="J171" s="887"/>
      <c r="K171" s="887"/>
      <c r="L171" s="872">
        <f t="shared" si="22"/>
        <v>0</v>
      </c>
      <c r="M171" s="873">
        <f t="shared" si="22"/>
        <v>0</v>
      </c>
      <c r="N171" s="873">
        <f t="shared" si="22"/>
        <v>0</v>
      </c>
      <c r="O171" s="725"/>
      <c r="P171" s="725"/>
      <c r="Q171" s="994"/>
    </row>
    <row r="172" spans="1:17" ht="52.5" hidden="1">
      <c r="A172" s="895">
        <v>13</v>
      </c>
      <c r="B172" s="896" t="s">
        <v>619</v>
      </c>
      <c r="C172" s="871">
        <f>SUM(D172:E172)</f>
        <v>7660</v>
      </c>
      <c r="D172" s="887">
        <v>7200</v>
      </c>
      <c r="E172" s="887">
        <v>460</v>
      </c>
      <c r="F172" s="871">
        <f>SUM(G172:H172)</f>
        <v>7660</v>
      </c>
      <c r="G172" s="887">
        <v>7200</v>
      </c>
      <c r="H172" s="887">
        <v>460</v>
      </c>
      <c r="I172" s="871">
        <f>SUM(J172:K172)</f>
        <v>0</v>
      </c>
      <c r="J172" s="887"/>
      <c r="K172" s="887"/>
      <c r="L172" s="872">
        <f t="shared" si="22"/>
        <v>0</v>
      </c>
      <c r="M172" s="873">
        <f t="shared" si="22"/>
        <v>0</v>
      </c>
      <c r="N172" s="873">
        <f t="shared" si="22"/>
        <v>0</v>
      </c>
      <c r="O172" s="725"/>
      <c r="P172" s="725"/>
      <c r="Q172" s="994"/>
    </row>
    <row r="173" spans="1:17" s="914" customFormat="1" ht="146.25" customHeight="1">
      <c r="A173" s="944" t="s">
        <v>248</v>
      </c>
      <c r="B173" s="947" t="s">
        <v>656</v>
      </c>
      <c r="C173" s="948">
        <f>SUM(D173:E173)</f>
        <v>60106.400000000001</v>
      </c>
      <c r="D173" s="949">
        <f>D174</f>
        <v>56500</v>
      </c>
      <c r="E173" s="949">
        <f>E174</f>
        <v>3606.4</v>
      </c>
      <c r="F173" s="950">
        <f>SUM(G173:H173)</f>
        <v>60106.400000000001</v>
      </c>
      <c r="G173" s="949">
        <f>G174</f>
        <v>56500</v>
      </c>
      <c r="H173" s="949">
        <f>H174</f>
        <v>3606.4</v>
      </c>
      <c r="I173" s="950">
        <f>SUM(J173:K173)</f>
        <v>0</v>
      </c>
      <c r="J173" s="949">
        <f>J174</f>
        <v>0</v>
      </c>
      <c r="K173" s="949">
        <f>K174</f>
        <v>0</v>
      </c>
      <c r="L173" s="951">
        <f t="shared" si="22"/>
        <v>0</v>
      </c>
      <c r="M173" s="952">
        <f t="shared" si="22"/>
        <v>0</v>
      </c>
      <c r="N173" s="952">
        <f t="shared" si="22"/>
        <v>0</v>
      </c>
      <c r="O173" s="912"/>
      <c r="P173" s="912"/>
      <c r="Q173" s="994"/>
    </row>
    <row r="174" spans="1:17" ht="156" customHeight="1">
      <c r="A174" s="895">
        <v>14</v>
      </c>
      <c r="B174" s="1012" t="s">
        <v>623</v>
      </c>
      <c r="C174" s="1006">
        <f>SUM(D174:E174)</f>
        <v>60106.400000000001</v>
      </c>
      <c r="D174" s="1007">
        <v>56500</v>
      </c>
      <c r="E174" s="1008">
        <v>3606.4</v>
      </c>
      <c r="F174" s="1006">
        <f>SUM(G174:H174)</f>
        <v>60106.400000000001</v>
      </c>
      <c r="G174" s="1007">
        <v>56500</v>
      </c>
      <c r="H174" s="1008">
        <v>3606.4</v>
      </c>
      <c r="I174" s="1009">
        <f>SUM(J174:K174)</f>
        <v>0</v>
      </c>
      <c r="J174" s="1007"/>
      <c r="K174" s="1008"/>
      <c r="L174" s="1010">
        <f t="shared" si="22"/>
        <v>0</v>
      </c>
      <c r="M174" s="1011">
        <f t="shared" si="22"/>
        <v>0</v>
      </c>
      <c r="N174" s="1011">
        <f t="shared" si="22"/>
        <v>0</v>
      </c>
      <c r="O174" s="725"/>
      <c r="P174" s="725"/>
      <c r="Q174" s="994"/>
    </row>
    <row r="175" spans="1:17" s="914" customFormat="1" ht="69" hidden="1" customHeight="1">
      <c r="A175" s="944" t="s">
        <v>249</v>
      </c>
      <c r="B175" s="932" t="s">
        <v>39</v>
      </c>
      <c r="C175" s="933">
        <f t="shared" si="24"/>
        <v>114960</v>
      </c>
      <c r="D175" s="933">
        <f>SUM(D176:D177)</f>
        <v>0</v>
      </c>
      <c r="E175" s="933">
        <f>SUM(E176:E177)</f>
        <v>114960</v>
      </c>
      <c r="F175" s="933">
        <f t="shared" si="25"/>
        <v>112200</v>
      </c>
      <c r="G175" s="933">
        <f>SUM(G176:G177)</f>
        <v>0</v>
      </c>
      <c r="H175" s="933">
        <f>SUM(H176:H177)</f>
        <v>112200</v>
      </c>
      <c r="I175" s="933">
        <f t="shared" si="26"/>
        <v>0</v>
      </c>
      <c r="J175" s="933">
        <f>J177</f>
        <v>0</v>
      </c>
      <c r="K175" s="933">
        <f>K177</f>
        <v>0</v>
      </c>
      <c r="L175" s="935">
        <f t="shared" si="22"/>
        <v>0</v>
      </c>
      <c r="M175" s="936">
        <f t="shared" si="22"/>
        <v>0</v>
      </c>
      <c r="N175" s="936">
        <f t="shared" si="22"/>
        <v>0</v>
      </c>
      <c r="O175" s="912">
        <f t="shared" ref="O175:P179" si="27">D175-G175</f>
        <v>0</v>
      </c>
      <c r="P175" s="912">
        <f t="shared" si="27"/>
        <v>2760</v>
      </c>
      <c r="Q175" s="994"/>
    </row>
    <row r="176" spans="1:17" s="736" customFormat="1" ht="78.75" hidden="1">
      <c r="A176" s="895">
        <v>15</v>
      </c>
      <c r="B176" s="903" t="s">
        <v>706</v>
      </c>
      <c r="C176" s="871">
        <f>SUM(D176:E176)</f>
        <v>2760</v>
      </c>
      <c r="D176" s="887">
        <v>0</v>
      </c>
      <c r="E176" s="887">
        <v>2760</v>
      </c>
      <c r="F176" s="871">
        <f>SUM(G176:H176)</f>
        <v>0</v>
      </c>
      <c r="G176" s="887"/>
      <c r="H176" s="887">
        <v>0</v>
      </c>
      <c r="I176" s="871">
        <f>SUM(J176:K176)</f>
        <v>0</v>
      </c>
      <c r="J176" s="887"/>
      <c r="K176" s="887"/>
      <c r="L176" s="872">
        <f t="shared" ref="L176:N177" si="28">IF(I176=0,0,I176/F176*100)</f>
        <v>0</v>
      </c>
      <c r="M176" s="873">
        <f t="shared" si="28"/>
        <v>0</v>
      </c>
      <c r="N176" s="873">
        <f t="shared" si="28"/>
        <v>0</v>
      </c>
      <c r="O176" s="735"/>
      <c r="P176" s="735"/>
    </row>
    <row r="177" spans="1:17" s="736" customFormat="1" ht="39.75" hidden="1" customHeight="1">
      <c r="A177" s="895">
        <v>16</v>
      </c>
      <c r="B177" s="903" t="s">
        <v>263</v>
      </c>
      <c r="C177" s="871">
        <f t="shared" si="24"/>
        <v>112200</v>
      </c>
      <c r="D177" s="887">
        <v>0</v>
      </c>
      <c r="E177" s="887">
        <v>112200</v>
      </c>
      <c r="F177" s="871">
        <f t="shared" si="25"/>
        <v>112200</v>
      </c>
      <c r="G177" s="887"/>
      <c r="H177" s="887">
        <v>112200</v>
      </c>
      <c r="I177" s="871">
        <f t="shared" si="26"/>
        <v>0</v>
      </c>
      <c r="J177" s="887"/>
      <c r="K177" s="887"/>
      <c r="L177" s="872">
        <f t="shared" si="28"/>
        <v>0</v>
      </c>
      <c r="M177" s="873">
        <f t="shared" si="28"/>
        <v>0</v>
      </c>
      <c r="N177" s="873">
        <f t="shared" si="28"/>
        <v>0</v>
      </c>
      <c r="O177" s="735"/>
      <c r="P177" s="735"/>
    </row>
    <row r="178" spans="1:17" ht="41.25" hidden="1" customHeight="1">
      <c r="A178" s="904"/>
      <c r="B178" s="890" t="s">
        <v>432</v>
      </c>
      <c r="C178" s="889"/>
      <c r="D178" s="890"/>
      <c r="E178" s="890"/>
      <c r="F178" s="889"/>
      <c r="G178" s="890"/>
      <c r="H178" s="890"/>
      <c r="I178" s="891"/>
      <c r="J178" s="892"/>
      <c r="K178" s="892"/>
      <c r="L178" s="891"/>
      <c r="M178" s="892"/>
      <c r="N178" s="892"/>
      <c r="O178" s="725">
        <f t="shared" si="27"/>
        <v>0</v>
      </c>
      <c r="P178" s="725">
        <f t="shared" si="27"/>
        <v>0</v>
      </c>
      <c r="Q178" s="736"/>
    </row>
    <row r="179" spans="1:17" ht="54.75" hidden="1" customHeight="1">
      <c r="A179" s="2402" t="s">
        <v>669</v>
      </c>
      <c r="B179" s="2403"/>
      <c r="C179" s="893">
        <f>SUM(D179:E179)</f>
        <v>3280854.1</v>
      </c>
      <c r="D179" s="894">
        <f>SUM(D160,D108,D59)</f>
        <v>3000000</v>
      </c>
      <c r="E179" s="894">
        <f>SUM(E160,E108,E59)</f>
        <v>280854.09999999998</v>
      </c>
      <c r="F179" s="893">
        <f>SUM(G179:H179)</f>
        <v>3041730</v>
      </c>
      <c r="G179" s="894">
        <f>SUM(G160,G108,G59)</f>
        <v>2779179.6</v>
      </c>
      <c r="H179" s="894">
        <f>SUM(H160,H108,H59)</f>
        <v>262550.40000000002</v>
      </c>
      <c r="I179" s="893">
        <f>SUM(J179:K179)</f>
        <v>0</v>
      </c>
      <c r="J179" s="894">
        <f>SUM(J160,J108,J59)</f>
        <v>0</v>
      </c>
      <c r="K179" s="894">
        <f>SUM(K160,K108,K59)</f>
        <v>0</v>
      </c>
      <c r="L179" s="893">
        <f>SUM(M179:N179)</f>
        <v>0</v>
      </c>
      <c r="M179" s="894">
        <f>SUM(M160,M108,M59)</f>
        <v>0</v>
      </c>
      <c r="N179" s="894">
        <f>SUM(N160,N108,N59)</f>
        <v>0</v>
      </c>
      <c r="O179" s="725">
        <f t="shared" si="27"/>
        <v>220820.4</v>
      </c>
      <c r="P179" s="725">
        <f t="shared" si="27"/>
        <v>18303.7</v>
      </c>
    </row>
    <row r="180" spans="1:17" ht="26.25" hidden="1">
      <c r="A180" s="2402" t="s">
        <v>777</v>
      </c>
      <c r="B180" s="2406"/>
      <c r="C180" s="893">
        <f>SUM(D180:E180)</f>
        <v>265472.7</v>
      </c>
      <c r="D180" s="894">
        <f>SUM(D181:D182)</f>
        <v>0</v>
      </c>
      <c r="E180" s="894">
        <f>SUM(E181:E182)</f>
        <v>265472.7</v>
      </c>
      <c r="F180" s="893">
        <f>SUM(G180:H180)</f>
        <v>265472.7</v>
      </c>
      <c r="G180" s="894">
        <f>SUM(G181:G182)</f>
        <v>0</v>
      </c>
      <c r="H180" s="894">
        <f>SUM(H181:H182)</f>
        <v>265472.7</v>
      </c>
      <c r="I180" s="893">
        <f>SUM(J180:K180)</f>
        <v>0</v>
      </c>
      <c r="J180" s="894">
        <f>SUM(J181:J182)</f>
        <v>0</v>
      </c>
      <c r="K180" s="894">
        <f>SUM(K181:K182)</f>
        <v>0</v>
      </c>
      <c r="L180" s="893">
        <f>SUM(M180:N180)</f>
        <v>0</v>
      </c>
      <c r="M180" s="894">
        <f>SUM(M181:M182)</f>
        <v>0</v>
      </c>
      <c r="N180" s="894">
        <f>SUM(N181:N182)</f>
        <v>0</v>
      </c>
      <c r="O180" s="725"/>
      <c r="P180" s="725"/>
    </row>
    <row r="181" spans="1:17" ht="52.5" hidden="1">
      <c r="A181" s="1003"/>
      <c r="B181" s="1003" t="s">
        <v>778</v>
      </c>
      <c r="C181" s="893">
        <f>SUM(D181:E181)</f>
        <v>121547.1</v>
      </c>
      <c r="D181" s="873"/>
      <c r="E181" s="873">
        <f>E151+E107+E106+E105+E104+E103+E102+E101+E100+E99+E139+E137+E135+E130+E133</f>
        <v>121547.1</v>
      </c>
      <c r="F181" s="893">
        <f>SUM(G181:H181)</f>
        <v>121547.1</v>
      </c>
      <c r="G181" s="873"/>
      <c r="H181" s="873">
        <f>H151+H107+H106+H105+H104+H103+H102+H101+H100+H99+H139+H137+H135+H130+H133</f>
        <v>121547.1</v>
      </c>
      <c r="I181" s="893">
        <f>SUM(J181:K181)</f>
        <v>0</v>
      </c>
      <c r="J181" s="873"/>
      <c r="K181" s="873">
        <f>K151+K107+K106+K105+K104+K103+K102+K101+K100+K99+K139+K137+K135+K130+K133</f>
        <v>0</v>
      </c>
      <c r="L181" s="893">
        <f>SUM(M181:N181)</f>
        <v>0</v>
      </c>
      <c r="M181" s="873"/>
      <c r="N181" s="873">
        <f>N151+N107+N106+N105+N104+N103+N102+N101+N100+N99+N139+N137+N135+N130+N133</f>
        <v>0</v>
      </c>
    </row>
    <row r="182" spans="1:17" ht="52.5" hidden="1">
      <c r="A182" s="1003"/>
      <c r="B182" s="1003" t="s">
        <v>779</v>
      </c>
      <c r="C182" s="893">
        <f>SUM(D182:E182)</f>
        <v>143925.6</v>
      </c>
      <c r="D182" s="873"/>
      <c r="E182" s="873">
        <f>SUM(E90:E98,E79:E85)</f>
        <v>143925.6</v>
      </c>
      <c r="F182" s="893">
        <f>SUM(G182:H182)</f>
        <v>143925.6</v>
      </c>
      <c r="G182" s="873"/>
      <c r="H182" s="873">
        <f>SUM(H90:H98,H80:H85,H79)</f>
        <v>143925.6</v>
      </c>
      <c r="I182" s="893">
        <f>SUM(J182:K182)</f>
        <v>0</v>
      </c>
      <c r="J182" s="873"/>
      <c r="K182" s="873">
        <f>SUM(K90:K98,K80:K85,K79)</f>
        <v>0</v>
      </c>
      <c r="L182" s="893">
        <f>SUM(M182:N182)</f>
        <v>0</v>
      </c>
      <c r="M182" s="873"/>
      <c r="N182" s="873">
        <f>SUM(N90:N98,N80:N85,N79)</f>
        <v>0</v>
      </c>
    </row>
    <row r="183" spans="1:17" ht="26.25" hidden="1">
      <c r="A183" s="2397" t="s">
        <v>529</v>
      </c>
      <c r="B183" s="2398"/>
      <c r="C183" s="876">
        <f>D183+E183</f>
        <v>1446586.2</v>
      </c>
      <c r="D183" s="879">
        <f>D12-D179</f>
        <v>732997.1</v>
      </c>
      <c r="E183" s="879">
        <f>E12-E179</f>
        <v>713589.1</v>
      </c>
      <c r="F183" s="876">
        <f>G183+H183</f>
        <v>1351315.4</v>
      </c>
      <c r="G183" s="879">
        <f>G12-G179</f>
        <v>689963.4</v>
      </c>
      <c r="H183" s="879">
        <f>H12-H179</f>
        <v>661352</v>
      </c>
      <c r="I183" s="876">
        <f>J183+K183</f>
        <v>0</v>
      </c>
      <c r="J183" s="879">
        <f>J12-J179</f>
        <v>0</v>
      </c>
      <c r="K183" s="879">
        <f>K12-K179</f>
        <v>0</v>
      </c>
      <c r="L183" s="876">
        <f>M183+N183</f>
        <v>0</v>
      </c>
      <c r="M183" s="879">
        <f>M12-M179</f>
        <v>0</v>
      </c>
      <c r="N183" s="879">
        <f>N12-N179</f>
        <v>0</v>
      </c>
    </row>
    <row r="184" spans="1:17" ht="38.25" hidden="1" customHeight="1">
      <c r="A184" s="797"/>
      <c r="B184" s="797"/>
      <c r="C184" s="799"/>
      <c r="D184" s="799"/>
      <c r="E184" s="799"/>
      <c r="F184" s="799"/>
      <c r="G184" s="799"/>
      <c r="H184" s="799"/>
      <c r="I184" s="799"/>
      <c r="J184" s="799"/>
      <c r="K184" s="799"/>
      <c r="L184" s="799"/>
      <c r="M184" s="799"/>
      <c r="N184" s="799"/>
      <c r="O184" s="799">
        <f>SUM(O179:O183)-O12</f>
        <v>220820.4</v>
      </c>
      <c r="P184" s="799">
        <f>SUM(P179:P183)-P12</f>
        <v>18303.7</v>
      </c>
    </row>
    <row r="185" spans="1:17" s="939" customFormat="1" ht="38.25" hidden="1" customHeight="1">
      <c r="A185" s="938"/>
      <c r="B185" s="939" t="s">
        <v>310</v>
      </c>
      <c r="C185" s="940"/>
      <c r="D185" s="941"/>
      <c r="E185" s="941"/>
      <c r="F185" s="941"/>
      <c r="G185" s="942"/>
      <c r="H185" s="942"/>
      <c r="I185" s="940"/>
      <c r="J185" s="942"/>
      <c r="K185" s="2399" t="s">
        <v>613</v>
      </c>
      <c r="L185" s="2400"/>
      <c r="M185" s="943"/>
      <c r="N185" s="943"/>
    </row>
    <row r="186" spans="1:17" ht="53.25" hidden="1" customHeight="1">
      <c r="A186" s="791"/>
      <c r="B186" s="791" t="s">
        <v>657</v>
      </c>
      <c r="C186" s="793"/>
      <c r="E186" s="2372"/>
      <c r="F186" s="2373"/>
    </row>
    <row r="187" spans="1:17" hidden="1">
      <c r="E187" s="742"/>
    </row>
    <row r="188" spans="1:17" hidden="1">
      <c r="E188" s="742"/>
    </row>
    <row r="189" spans="1:17" hidden="1"/>
  </sheetData>
  <mergeCells count="28">
    <mergeCell ref="E186:F186"/>
    <mergeCell ref="L9:L10"/>
    <mergeCell ref="M9:N9"/>
    <mergeCell ref="A13:B13"/>
    <mergeCell ref="A130:A131"/>
    <mergeCell ref="A134:A135"/>
    <mergeCell ref="A138:A139"/>
    <mergeCell ref="A155:B155"/>
    <mergeCell ref="A179:B179"/>
    <mergeCell ref="A180:B180"/>
    <mergeCell ref="A183:B183"/>
    <mergeCell ref="K185:L185"/>
    <mergeCell ref="J8:K8"/>
    <mergeCell ref="L8:M8"/>
    <mergeCell ref="A9:A10"/>
    <mergeCell ref="B9:B10"/>
    <mergeCell ref="C9:C10"/>
    <mergeCell ref="D9:E9"/>
    <mergeCell ref="F9:F10"/>
    <mergeCell ref="G9:H9"/>
    <mergeCell ref="I9:I10"/>
    <mergeCell ref="J9:K9"/>
    <mergeCell ref="A7:N7"/>
    <mergeCell ref="A1:B1"/>
    <mergeCell ref="K1:P1"/>
    <mergeCell ref="I3:L3"/>
    <mergeCell ref="A5:N5"/>
    <mergeCell ref="A6:N6"/>
  </mergeCells>
  <pageMargins left="0.19685039370078741" right="0.19685039370078741" top="0.23622047244094491" bottom="0.23622047244094491" header="0.15748031496062992" footer="0.19685039370078741"/>
  <pageSetup paperSize="9" scale="41" fitToHeight="9" orientation="landscape" r:id="rId1"/>
  <customProperties>
    <customPr name="krista_fm_consts" r:id="rId2"/>
  </customProperties>
</worksheet>
</file>

<file path=xl/worksheets/sheet33.xml><?xml version="1.0" encoding="utf-8"?>
<worksheet xmlns="http://schemas.openxmlformats.org/spreadsheetml/2006/main" xmlns:r="http://schemas.openxmlformats.org/officeDocument/2006/relationships">
  <dimension ref="A1:Z260"/>
  <sheetViews>
    <sheetView view="pageBreakPreview" topLeftCell="A11" zoomScale="60" zoomScaleNormal="50" workbookViewId="0">
      <selection activeCell="B104" sqref="B104"/>
    </sheetView>
  </sheetViews>
  <sheetFormatPr defaultColWidth="9.140625" defaultRowHeight="30"/>
  <cols>
    <col min="1" max="1" width="12.7109375" style="1101" customWidth="1"/>
    <col min="2" max="2" width="115.7109375"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0.28515625" style="714" customWidth="1"/>
    <col min="10" max="10" width="22.5703125" style="497" customWidth="1"/>
    <col min="11" max="11" width="22" style="497" customWidth="1"/>
    <col min="12" max="12" width="16.28515625" style="700" customWidth="1"/>
    <col min="13" max="14" width="22" style="497" customWidth="1"/>
    <col min="15" max="15" width="43" style="1208" hidden="1" customWidth="1"/>
    <col min="16" max="16" width="81.7109375" style="1208" hidden="1" customWidth="1"/>
    <col min="17" max="19" width="20" style="497" hidden="1"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0" style="497" hidden="1" customWidth="1"/>
    <col min="26" max="26" width="22" style="1035" hidden="1" customWidth="1"/>
    <col min="27" max="16384" width="9.140625" style="497"/>
  </cols>
  <sheetData>
    <row r="1" spans="1:26">
      <c r="A1" s="2359"/>
      <c r="B1" s="2359"/>
      <c r="C1" s="817"/>
      <c r="D1" s="817"/>
      <c r="E1" s="817"/>
      <c r="F1" s="817"/>
      <c r="G1" s="817"/>
      <c r="H1" s="817"/>
      <c r="I1" s="817"/>
      <c r="K1" s="2384"/>
      <c r="L1" s="2384"/>
      <c r="M1" s="2384"/>
      <c r="N1" s="2384"/>
    </row>
    <row r="2" spans="1:26" hidden="1">
      <c r="B2" s="1315"/>
      <c r="C2" s="714"/>
      <c r="D2" s="1315"/>
      <c r="E2" s="1315"/>
      <c r="L2" s="714"/>
    </row>
    <row r="3" spans="1:26" s="467" customFormat="1" hidden="1">
      <c r="A3" s="860"/>
      <c r="B3" s="859"/>
      <c r="C3" s="715"/>
      <c r="D3" s="716"/>
      <c r="E3" s="716"/>
      <c r="F3" s="715"/>
      <c r="G3" s="716"/>
      <c r="H3" s="716"/>
      <c r="I3" s="2312"/>
      <c r="J3" s="2312"/>
      <c r="K3" s="2312"/>
      <c r="L3" s="2312"/>
      <c r="N3" s="717"/>
      <c r="O3" s="1221"/>
      <c r="P3" s="1221"/>
      <c r="T3" s="1107"/>
      <c r="U3" s="1108"/>
      <c r="V3" s="1107"/>
      <c r="W3" s="1107"/>
      <c r="X3" s="1217"/>
      <c r="Z3" s="1032"/>
    </row>
    <row r="4" spans="1:26" s="467" customFormat="1" ht="43.5" hidden="1" customHeight="1">
      <c r="A4" s="860"/>
      <c r="B4" s="859"/>
      <c r="C4" s="815">
        <f>6162009.6</f>
        <v>6162009.5999999996</v>
      </c>
      <c r="D4" s="716"/>
      <c r="E4" s="716"/>
      <c r="F4" s="815">
        <v>5873905</v>
      </c>
      <c r="G4" s="469"/>
      <c r="H4" s="469"/>
      <c r="I4" s="1199">
        <v>2407625.6</v>
      </c>
      <c r="J4" s="469"/>
      <c r="K4" s="469"/>
      <c r="L4" s="718"/>
      <c r="N4" s="717"/>
      <c r="O4" s="1221"/>
      <c r="P4" s="1221"/>
      <c r="T4" s="1107"/>
      <c r="U4" s="1108"/>
      <c r="V4" s="1107"/>
      <c r="W4" s="1107"/>
      <c r="X4" s="1217"/>
      <c r="Z4" s="1032"/>
    </row>
    <row r="5" spans="1:26" s="467" customFormat="1" ht="38.2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row>
    <row r="6" spans="1:26"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row>
    <row r="7" spans="1:26" s="467" customFormat="1" ht="38.25" customHeight="1">
      <c r="A7" s="2473" t="s">
        <v>1330</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row>
    <row r="8" spans="1:26" s="467" customFormat="1" ht="36" customHeight="1">
      <c r="A8" s="1072"/>
      <c r="B8" s="1072"/>
      <c r="C8" s="1064"/>
      <c r="D8" s="1064"/>
      <c r="E8" s="1064"/>
      <c r="F8" s="1064"/>
      <c r="G8" s="1064"/>
      <c r="H8" s="1064"/>
      <c r="I8" s="1200"/>
      <c r="J8" s="1057"/>
      <c r="K8" s="1064"/>
      <c r="L8" s="1057"/>
      <c r="M8" s="1057"/>
      <c r="N8" s="1057"/>
      <c r="O8" s="1221"/>
      <c r="P8" s="1221"/>
      <c r="Q8" s="858"/>
      <c r="T8" s="1107"/>
      <c r="U8" s="1108"/>
      <c r="V8" s="1107"/>
      <c r="W8" s="1107"/>
      <c r="X8" s="1217"/>
      <c r="Z8" s="1032"/>
    </row>
    <row r="9" spans="1:26" s="1063" customFormat="1" ht="25.5" customHeight="1">
      <c r="A9" s="1073"/>
      <c r="B9" s="1073"/>
      <c r="C9" s="1059"/>
      <c r="D9" s="1306"/>
      <c r="E9" s="1058"/>
      <c r="F9" s="1058"/>
      <c r="G9" s="1058"/>
      <c r="H9" s="1060"/>
      <c r="I9" s="1201"/>
      <c r="J9" s="2423"/>
      <c r="K9" s="2423"/>
      <c r="N9" s="1062"/>
      <c r="O9" s="1221"/>
      <c r="P9" s="2423"/>
      <c r="Q9" s="2423"/>
      <c r="T9" s="1107"/>
      <c r="U9" s="1108"/>
      <c r="V9" s="1107"/>
      <c r="W9" s="1107"/>
      <c r="X9" s="1212"/>
      <c r="Z9" s="1309"/>
    </row>
    <row r="10" spans="1:26" s="791" customFormat="1" ht="70.5" customHeight="1">
      <c r="A10" s="2394" t="s">
        <v>18</v>
      </c>
      <c r="B10" s="2395" t="s">
        <v>0</v>
      </c>
      <c r="C10" s="2396" t="s">
        <v>614</v>
      </c>
      <c r="D10" s="2424" t="s">
        <v>257</v>
      </c>
      <c r="E10" s="2424"/>
      <c r="F10" s="2396" t="s">
        <v>442</v>
      </c>
      <c r="G10" s="2424" t="s">
        <v>257</v>
      </c>
      <c r="H10" s="2424"/>
      <c r="I10" s="2407" t="s">
        <v>237</v>
      </c>
      <c r="J10" s="2424" t="s">
        <v>257</v>
      </c>
      <c r="K10" s="2424"/>
      <c r="L10" s="2396" t="s">
        <v>1313</v>
      </c>
      <c r="M10" s="2424" t="s">
        <v>448</v>
      </c>
      <c r="N10" s="2424"/>
      <c r="O10" s="2460" t="s">
        <v>1110</v>
      </c>
      <c r="P10" s="2460" t="s">
        <v>1106</v>
      </c>
      <c r="T10" s="1099"/>
      <c r="U10" s="1100"/>
      <c r="V10" s="1099"/>
      <c r="W10" s="1099"/>
      <c r="X10" s="1216"/>
      <c r="Z10" s="1310"/>
    </row>
    <row r="11" spans="1:26" s="791" customFormat="1" ht="150" customHeight="1">
      <c r="A11" s="2394"/>
      <c r="B11" s="2395"/>
      <c r="C11" s="2396"/>
      <c r="D11" s="905" t="s">
        <v>1074</v>
      </c>
      <c r="E11" s="905" t="s">
        <v>258</v>
      </c>
      <c r="F11" s="2396"/>
      <c r="G11" s="905" t="s">
        <v>1074</v>
      </c>
      <c r="H11" s="905" t="s">
        <v>258</v>
      </c>
      <c r="I11" s="2408"/>
      <c r="J11" s="905" t="s">
        <v>1074</v>
      </c>
      <c r="K11" s="905" t="s">
        <v>258</v>
      </c>
      <c r="L11" s="2396"/>
      <c r="M11" s="905" t="s">
        <v>1074</v>
      </c>
      <c r="N11" s="905" t="s">
        <v>258</v>
      </c>
      <c r="O11" s="2461"/>
      <c r="P11" s="2461"/>
      <c r="T11" s="1099"/>
      <c r="U11" s="1100"/>
      <c r="V11" s="1099"/>
      <c r="W11" s="1099"/>
      <c r="X11" s="1216"/>
      <c r="Z11" s="1310"/>
    </row>
    <row r="12" spans="1:26" ht="26.25">
      <c r="A12" s="263">
        <v>1</v>
      </c>
      <c r="B12" s="263">
        <v>2</v>
      </c>
      <c r="C12" s="263">
        <v>3</v>
      </c>
      <c r="D12" s="263">
        <v>4</v>
      </c>
      <c r="E12" s="263">
        <v>5</v>
      </c>
      <c r="F12" s="721">
        <v>7</v>
      </c>
      <c r="G12" s="721">
        <v>8</v>
      </c>
      <c r="H12" s="721">
        <v>9</v>
      </c>
      <c r="I12" s="721">
        <v>6</v>
      </c>
      <c r="J12" s="721">
        <v>7</v>
      </c>
      <c r="K12" s="721">
        <v>8</v>
      </c>
      <c r="L12" s="721">
        <v>9</v>
      </c>
      <c r="M12" s="721">
        <v>10</v>
      </c>
      <c r="N12" s="721">
        <v>11</v>
      </c>
      <c r="O12" s="30">
        <v>10</v>
      </c>
      <c r="P12" s="30">
        <v>11</v>
      </c>
      <c r="Q12" s="497" t="s">
        <v>791</v>
      </c>
      <c r="T12" s="1206"/>
      <c r="U12" s="1207"/>
      <c r="V12" s="1206"/>
      <c r="W12" s="1206"/>
    </row>
    <row r="13" spans="1:26" s="914" customFormat="1" ht="43.5" customHeight="1">
      <c r="A13" s="1313"/>
      <c r="B13" s="916" t="s">
        <v>10</v>
      </c>
      <c r="C13" s="917">
        <f>SUM(D13:E13)</f>
        <v>6143508.5999999996</v>
      </c>
      <c r="D13" s="917">
        <f>SUM(D14,D202)</f>
        <v>4895669</v>
      </c>
      <c r="E13" s="917">
        <f>SUM(E14,E202)</f>
        <v>1247839.6000000001</v>
      </c>
      <c r="F13" s="917">
        <f>SUM(G13:H13)</f>
        <v>6081640.7000000002</v>
      </c>
      <c r="G13" s="917">
        <f>SUM(G14,G202)</f>
        <v>4838636.2</v>
      </c>
      <c r="H13" s="917">
        <f>SUM(H14,H202)</f>
        <v>1243004.5</v>
      </c>
      <c r="I13" s="917">
        <f>SUM(J13:K13)</f>
        <v>372605.3</v>
      </c>
      <c r="J13" s="917">
        <f>SUM(J14,J202)</f>
        <v>288722.3</v>
      </c>
      <c r="K13" s="917">
        <f>SUM(K14,K202)</f>
        <v>83883</v>
      </c>
      <c r="L13" s="918">
        <f t="shared" ref="L13:N14" si="0">IF(I13=0,0,I13/F13*100)</f>
        <v>6.1</v>
      </c>
      <c r="M13" s="918">
        <f t="shared" si="0"/>
        <v>6</v>
      </c>
      <c r="N13" s="918">
        <f t="shared" si="0"/>
        <v>6.7</v>
      </c>
      <c r="O13" s="1232" t="s">
        <v>353</v>
      </c>
      <c r="P13" s="1232"/>
      <c r="Q13" s="1229">
        <f t="shared" ref="Q13:S78" si="1">C13-F13</f>
        <v>61867.9</v>
      </c>
      <c r="R13" s="1229">
        <f t="shared" si="1"/>
        <v>57032.800000000003</v>
      </c>
      <c r="S13" s="1229">
        <f t="shared" si="1"/>
        <v>4835.1000000000004</v>
      </c>
      <c r="T13" s="1230"/>
      <c r="U13" s="1231"/>
      <c r="V13" s="1230"/>
      <c r="W13" s="1230"/>
      <c r="X13" s="1216"/>
      <c r="Z13" s="1311">
        <f t="shared" ref="Z13:Z76" si="2">C13-F13</f>
        <v>61867.9</v>
      </c>
    </row>
    <row r="14" spans="1:26" s="914" customFormat="1" ht="71.25" customHeight="1">
      <c r="A14" s="2401" t="s">
        <v>453</v>
      </c>
      <c r="B14" s="2401"/>
      <c r="C14" s="917">
        <f>D14+E14</f>
        <v>4943342.2</v>
      </c>
      <c r="D14" s="917">
        <f>SUM(D16,D88)</f>
        <v>3986169</v>
      </c>
      <c r="E14" s="917">
        <f>SUM(E16,E88)</f>
        <v>957173.2</v>
      </c>
      <c r="F14" s="917">
        <f>G14+H14</f>
        <v>4883366.5999999996</v>
      </c>
      <c r="G14" s="917">
        <f>SUM(G16,G88)</f>
        <v>3930835</v>
      </c>
      <c r="H14" s="917">
        <f>SUM(H16,H88)</f>
        <v>952531.6</v>
      </c>
      <c r="I14" s="917">
        <f>J14+K14</f>
        <v>184088.8</v>
      </c>
      <c r="J14" s="917">
        <f>SUM(J16,J88)</f>
        <v>127769.2</v>
      </c>
      <c r="K14" s="917">
        <f>SUM(K16,K88)</f>
        <v>56319.6</v>
      </c>
      <c r="L14" s="918">
        <f t="shared" si="0"/>
        <v>3.8</v>
      </c>
      <c r="M14" s="920">
        <f t="shared" si="0"/>
        <v>3.3</v>
      </c>
      <c r="N14" s="920">
        <f t="shared" si="0"/>
        <v>5.9</v>
      </c>
      <c r="O14" s="1232" t="s">
        <v>353</v>
      </c>
      <c r="P14" s="1232" t="s">
        <v>353</v>
      </c>
      <c r="Q14" s="1229">
        <f t="shared" si="1"/>
        <v>59975.6</v>
      </c>
      <c r="R14" s="1229">
        <f t="shared" si="1"/>
        <v>55334</v>
      </c>
      <c r="S14" s="1229">
        <f t="shared" si="1"/>
        <v>4641.6000000000004</v>
      </c>
      <c r="T14" s="1230"/>
      <c r="U14" s="1231"/>
      <c r="V14" s="1230"/>
      <c r="W14" s="1230"/>
      <c r="X14" s="1216"/>
      <c r="Z14" s="1311">
        <f t="shared" si="2"/>
        <v>59975.6</v>
      </c>
    </row>
    <row r="15" spans="1:26" s="914" customFormat="1" ht="54" hidden="1">
      <c r="A15" s="944" t="s">
        <v>6</v>
      </c>
      <c r="B15" s="1234" t="s">
        <v>437</v>
      </c>
      <c r="C15" s="922"/>
      <c r="D15" s="922"/>
      <c r="E15" s="922"/>
      <c r="F15" s="922"/>
      <c r="G15" s="922"/>
      <c r="H15" s="922"/>
      <c r="I15" s="922"/>
      <c r="J15" s="922"/>
      <c r="K15" s="922"/>
      <c r="L15" s="923"/>
      <c r="M15" s="924"/>
      <c r="N15" s="924"/>
      <c r="O15" s="1214"/>
      <c r="P15" s="1214"/>
      <c r="Q15" s="1065">
        <f t="shared" si="1"/>
        <v>0</v>
      </c>
      <c r="R15" s="1065">
        <f t="shared" si="1"/>
        <v>0</v>
      </c>
      <c r="S15" s="1065">
        <f t="shared" si="1"/>
        <v>0</v>
      </c>
      <c r="T15" s="1099"/>
      <c r="U15" s="1100"/>
      <c r="V15" s="1099"/>
      <c r="W15" s="1099"/>
      <c r="X15" s="1216"/>
      <c r="Z15" s="1311">
        <f t="shared" si="2"/>
        <v>0</v>
      </c>
    </row>
    <row r="16" spans="1:26" s="914" customFormat="1" ht="117" customHeight="1">
      <c r="A16" s="926" t="s">
        <v>6</v>
      </c>
      <c r="B16" s="1259" t="s">
        <v>439</v>
      </c>
      <c r="C16" s="926">
        <f>SUM(D16:E16)</f>
        <v>1359991.3</v>
      </c>
      <c r="D16" s="926">
        <f>SUM(D17)</f>
        <v>1097694.5</v>
      </c>
      <c r="E16" s="926">
        <f>SUM(E17)</f>
        <v>262296.8</v>
      </c>
      <c r="F16" s="926">
        <f>SUM(G16:H16)</f>
        <v>1312315.8999999999</v>
      </c>
      <c r="G16" s="926">
        <f>SUM(G17)</f>
        <v>1054660.8</v>
      </c>
      <c r="H16" s="926">
        <f>SUM(H17)</f>
        <v>257655.1</v>
      </c>
      <c r="I16" s="926">
        <f>SUM(J16:K16)</f>
        <v>46819.6</v>
      </c>
      <c r="J16" s="926">
        <f>SUM(J17)</f>
        <v>42247.1</v>
      </c>
      <c r="K16" s="926">
        <f>SUM(K17)</f>
        <v>4572.5</v>
      </c>
      <c r="L16" s="927">
        <f t="shared" ref="L16:N37" si="3">IF(I16=0,0,I16/F16*100)</f>
        <v>3.6</v>
      </c>
      <c r="M16" s="928">
        <f t="shared" si="3"/>
        <v>4</v>
      </c>
      <c r="N16" s="928">
        <f t="shared" si="3"/>
        <v>1.8</v>
      </c>
      <c r="O16" s="1233" t="s">
        <v>353</v>
      </c>
      <c r="P16" s="1233" t="s">
        <v>353</v>
      </c>
      <c r="Q16" s="1065">
        <f t="shared" si="1"/>
        <v>47675.4</v>
      </c>
      <c r="R16" s="1065">
        <f t="shared" si="1"/>
        <v>43033.7</v>
      </c>
      <c r="S16" s="1065">
        <f t="shared" si="1"/>
        <v>4641.7</v>
      </c>
      <c r="T16" s="1114"/>
      <c r="U16" s="1100"/>
      <c r="V16" s="1099"/>
      <c r="W16" s="1099"/>
      <c r="X16" s="1216"/>
      <c r="Z16" s="1311">
        <f t="shared" si="2"/>
        <v>47675.4</v>
      </c>
    </row>
    <row r="17" spans="1:26" s="914" customFormat="1" ht="63.75" customHeight="1">
      <c r="A17" s="929" t="s">
        <v>253</v>
      </c>
      <c r="B17" s="1260" t="s">
        <v>1329</v>
      </c>
      <c r="C17" s="929">
        <f>SUM(D17:E17)</f>
        <v>1359991.3</v>
      </c>
      <c r="D17" s="929">
        <f>SUM(D18:D19,D20,D22,D25,D27,D30,D33,D35,D40,D44,D47,D49,D53,D58,D60,D62,D70,D64,D21,D56)</f>
        <v>1097694.5</v>
      </c>
      <c r="E17" s="929">
        <f>SUM(E18:E19,E20,E22,E25,E27,E30,E33,E35,E40,E44,E47,E49,E53,E58,E60,E62,E70,E64,E21,E56)</f>
        <v>262296.8</v>
      </c>
      <c r="F17" s="929">
        <f>SUM(G17:H17)</f>
        <v>1312315.8999999999</v>
      </c>
      <c r="G17" s="929">
        <f>SUM(G18:G19,G20,G22,G25,G27,G30,G33,G35,G40,G44,G47,G49,G53,G58,G60,G62,G70,G64,G21,G56)</f>
        <v>1054660.8</v>
      </c>
      <c r="H17" s="929">
        <f>SUM(H18:H19,H20,H22,H25,H27,H30,H33,H35,H40,H44,H47,H49,H53,H58,H60,H62,H70,H64,H21,H56)</f>
        <v>257655.1</v>
      </c>
      <c r="I17" s="929">
        <f>SUM(J17:K17)</f>
        <v>46819.6</v>
      </c>
      <c r="J17" s="929">
        <f>SUM(J18:J19,J20,J22,J25,J27,J30,J33,J35,J40,J44,J47,J49,J53,J58,J60,J62,J70,J64,J21,J56)</f>
        <v>42247.1</v>
      </c>
      <c r="K17" s="929">
        <f>SUM(K18:K19,K20,K22,K25,K27,K30,K33,K35,K40,K44,K47,K49,K53,K58,K60,K62,K70,K64,K21,K56)</f>
        <v>4572.5</v>
      </c>
      <c r="L17" s="930">
        <f t="shared" si="3"/>
        <v>3.6</v>
      </c>
      <c r="M17" s="931">
        <f t="shared" si="3"/>
        <v>4</v>
      </c>
      <c r="N17" s="931">
        <f t="shared" si="3"/>
        <v>1.8</v>
      </c>
      <c r="O17" s="1228" t="s">
        <v>353</v>
      </c>
      <c r="P17" s="1228" t="s">
        <v>353</v>
      </c>
      <c r="Q17" s="1065">
        <f t="shared" si="1"/>
        <v>47675.4</v>
      </c>
      <c r="R17" s="1065">
        <f t="shared" si="1"/>
        <v>43033.7</v>
      </c>
      <c r="S17" s="1065">
        <f t="shared" si="1"/>
        <v>4641.7</v>
      </c>
      <c r="T17" s="1099"/>
      <c r="U17" s="1100"/>
      <c r="V17" s="1099"/>
      <c r="W17" s="1099"/>
      <c r="X17" s="1216"/>
      <c r="Z17" s="1311">
        <f t="shared" si="2"/>
        <v>47675.4</v>
      </c>
    </row>
    <row r="18" spans="1:26" s="736" customFormat="1" ht="105" hidden="1">
      <c r="A18" s="1320" t="s">
        <v>538</v>
      </c>
      <c r="B18" s="1066" t="s">
        <v>434</v>
      </c>
      <c r="C18" s="871">
        <f t="shared" ref="C18:C69" si="4">SUM(D18:E18)</f>
        <v>0</v>
      </c>
      <c r="D18" s="972"/>
      <c r="E18" s="972"/>
      <c r="F18" s="871">
        <f t="shared" ref="F18:F69" si="5">SUM(G18:H18)</f>
        <v>0</v>
      </c>
      <c r="G18" s="972"/>
      <c r="H18" s="972"/>
      <c r="I18" s="871">
        <f t="shared" ref="I18:I61" si="6">SUM(J18:K18)</f>
        <v>0</v>
      </c>
      <c r="J18" s="894"/>
      <c r="K18" s="894"/>
      <c r="L18" s="872">
        <f t="shared" si="3"/>
        <v>0</v>
      </c>
      <c r="M18" s="873">
        <f t="shared" si="3"/>
        <v>0</v>
      </c>
      <c r="N18" s="873">
        <f t="shared" si="3"/>
        <v>0</v>
      </c>
      <c r="O18" s="1214"/>
      <c r="P18" s="1214"/>
      <c r="Q18" s="1065">
        <f t="shared" si="1"/>
        <v>0</v>
      </c>
      <c r="R18" s="1065">
        <f t="shared" si="1"/>
        <v>0</v>
      </c>
      <c r="S18" s="1065">
        <f t="shared" si="1"/>
        <v>0</v>
      </c>
      <c r="T18" s="1099"/>
      <c r="U18" s="1100"/>
      <c r="V18" s="1099"/>
      <c r="W18" s="1099"/>
      <c r="X18" s="1216"/>
      <c r="Z18" s="1311">
        <f t="shared" si="2"/>
        <v>0</v>
      </c>
    </row>
    <row r="19" spans="1:26" s="736" customFormat="1" ht="80.25" hidden="1" customHeight="1">
      <c r="A19" s="1320" t="s">
        <v>538</v>
      </c>
      <c r="B19" s="1066" t="s">
        <v>1076</v>
      </c>
      <c r="C19" s="871">
        <f t="shared" si="4"/>
        <v>43468.4</v>
      </c>
      <c r="D19" s="972">
        <v>43033.7</v>
      </c>
      <c r="E19" s="972">
        <v>434.7</v>
      </c>
      <c r="F19" s="871">
        <f t="shared" si="5"/>
        <v>0</v>
      </c>
      <c r="G19" s="972">
        <v>0</v>
      </c>
      <c r="H19" s="972">
        <v>0</v>
      </c>
      <c r="I19" s="871">
        <f t="shared" si="6"/>
        <v>0</v>
      </c>
      <c r="J19" s="894">
        <v>0</v>
      </c>
      <c r="K19" s="894">
        <v>0</v>
      </c>
      <c r="L19" s="872">
        <f t="shared" si="3"/>
        <v>0</v>
      </c>
      <c r="M19" s="873">
        <f t="shared" si="3"/>
        <v>0</v>
      </c>
      <c r="N19" s="873">
        <f t="shared" si="3"/>
        <v>0</v>
      </c>
      <c r="O19" s="1214" t="s">
        <v>1171</v>
      </c>
      <c r="P19" s="1214" t="s">
        <v>1107</v>
      </c>
      <c r="Q19" s="1065">
        <f t="shared" si="1"/>
        <v>43468.4</v>
      </c>
      <c r="R19" s="1065">
        <f t="shared" si="1"/>
        <v>43033.7</v>
      </c>
      <c r="S19" s="1065">
        <f t="shared" si="1"/>
        <v>434.7</v>
      </c>
      <c r="T19" s="1099" t="s">
        <v>866</v>
      </c>
      <c r="U19" s="1100" t="s">
        <v>865</v>
      </c>
      <c r="V19" s="1099">
        <v>522</v>
      </c>
      <c r="W19" s="1099"/>
      <c r="X19" s="2474"/>
      <c r="Z19" s="1311">
        <f t="shared" si="2"/>
        <v>43468.4</v>
      </c>
    </row>
    <row r="20" spans="1:26" s="892" customFormat="1" ht="117" hidden="1" customHeight="1">
      <c r="A20" s="1320" t="s">
        <v>539</v>
      </c>
      <c r="B20" s="1066" t="s">
        <v>434</v>
      </c>
      <c r="C20" s="1325">
        <f>SUM(D20:E20)</f>
        <v>14736.7</v>
      </c>
      <c r="D20" s="877">
        <v>14736.7</v>
      </c>
      <c r="E20" s="877">
        <v>0</v>
      </c>
      <c r="F20" s="1328">
        <f>SUM(G20:H20)</f>
        <v>14736.7</v>
      </c>
      <c r="G20" s="877">
        <v>14736.7</v>
      </c>
      <c r="H20" s="877">
        <v>0</v>
      </c>
      <c r="I20" s="1328">
        <f t="shared" si="6"/>
        <v>11326.4</v>
      </c>
      <c r="J20" s="1324">
        <v>11326.4</v>
      </c>
      <c r="K20" s="1324">
        <v>0</v>
      </c>
      <c r="L20" s="876">
        <f t="shared" si="3"/>
        <v>76.900000000000006</v>
      </c>
      <c r="M20" s="877">
        <f t="shared" si="3"/>
        <v>76.900000000000006</v>
      </c>
      <c r="N20" s="877">
        <f t="shared" si="3"/>
        <v>0</v>
      </c>
      <c r="O20" s="1317" t="s">
        <v>1172</v>
      </c>
      <c r="P20" s="1214" t="s">
        <v>1108</v>
      </c>
      <c r="Q20" s="1065">
        <f t="shared" si="1"/>
        <v>0</v>
      </c>
      <c r="R20" s="1065">
        <f t="shared" si="1"/>
        <v>0</v>
      </c>
      <c r="S20" s="1065">
        <f t="shared" si="1"/>
        <v>0</v>
      </c>
      <c r="T20" s="1099" t="s">
        <v>961</v>
      </c>
      <c r="U20" s="1100" t="s">
        <v>962</v>
      </c>
      <c r="V20" s="1099">
        <v>522</v>
      </c>
      <c r="W20" s="1099"/>
      <c r="X20" s="2475"/>
      <c r="Z20" s="1311">
        <f t="shared" si="2"/>
        <v>0</v>
      </c>
    </row>
    <row r="21" spans="1:26" s="892" customFormat="1" ht="118.5" hidden="1" customHeight="1">
      <c r="A21" s="1320" t="s">
        <v>19</v>
      </c>
      <c r="B21" s="1066" t="s">
        <v>792</v>
      </c>
      <c r="C21" s="1325">
        <f t="shared" si="4"/>
        <v>741029.8</v>
      </c>
      <c r="D21" s="877">
        <v>733604.7</v>
      </c>
      <c r="E21" s="877">
        <v>7425.1</v>
      </c>
      <c r="F21" s="1328">
        <f t="shared" si="5"/>
        <v>741029.8</v>
      </c>
      <c r="G21" s="877">
        <v>733604.7</v>
      </c>
      <c r="H21" s="877">
        <v>7425.1</v>
      </c>
      <c r="I21" s="1328">
        <f t="shared" si="6"/>
        <v>0</v>
      </c>
      <c r="J21" s="1324">
        <v>0</v>
      </c>
      <c r="K21" s="1324">
        <v>0</v>
      </c>
      <c r="L21" s="876">
        <f t="shared" si="3"/>
        <v>0</v>
      </c>
      <c r="M21" s="877">
        <f t="shared" si="3"/>
        <v>0</v>
      </c>
      <c r="N21" s="877">
        <f t="shared" si="3"/>
        <v>0</v>
      </c>
      <c r="O21" s="1214" t="s">
        <v>1171</v>
      </c>
      <c r="P21" s="1214" t="s">
        <v>1109</v>
      </c>
      <c r="Q21" s="1065">
        <f t="shared" si="1"/>
        <v>0</v>
      </c>
      <c r="R21" s="1065">
        <f t="shared" si="1"/>
        <v>0</v>
      </c>
      <c r="S21" s="1065">
        <f t="shared" si="1"/>
        <v>0</v>
      </c>
      <c r="T21" s="1099" t="s">
        <v>963</v>
      </c>
      <c r="U21" s="1100" t="s">
        <v>964</v>
      </c>
      <c r="V21" s="1099">
        <v>522</v>
      </c>
      <c r="W21" s="1099"/>
      <c r="X21" s="2476"/>
      <c r="Z21" s="1311">
        <f t="shared" si="2"/>
        <v>0</v>
      </c>
    </row>
    <row r="22" spans="1:26">
      <c r="A22" s="1320"/>
      <c r="B22" s="898" t="s">
        <v>283</v>
      </c>
      <c r="C22" s="1325">
        <f t="shared" si="4"/>
        <v>13903.1</v>
      </c>
      <c r="D22" s="875">
        <f>SUM(D24:D24)</f>
        <v>0</v>
      </c>
      <c r="E22" s="875">
        <f>SUM(E23:E24)</f>
        <v>13903.1</v>
      </c>
      <c r="F22" s="1325">
        <f t="shared" si="5"/>
        <v>13903.1</v>
      </c>
      <c r="G22" s="875">
        <f>SUM(G24:G24)</f>
        <v>0</v>
      </c>
      <c r="H22" s="875">
        <f>SUM(H23:H24)</f>
        <v>13903.1</v>
      </c>
      <c r="I22" s="1325">
        <f t="shared" si="6"/>
        <v>0</v>
      </c>
      <c r="J22" s="875">
        <f>SUM(J24:J24)</f>
        <v>0</v>
      </c>
      <c r="K22" s="875">
        <f>SUM(K24:K24)</f>
        <v>0</v>
      </c>
      <c r="L22" s="876">
        <f t="shared" si="3"/>
        <v>0</v>
      </c>
      <c r="M22" s="877">
        <f t="shared" si="3"/>
        <v>0</v>
      </c>
      <c r="N22" s="877">
        <f t="shared" si="3"/>
        <v>0</v>
      </c>
      <c r="O22" s="1214" t="s">
        <v>353</v>
      </c>
      <c r="P22" s="1214" t="s">
        <v>353</v>
      </c>
      <c r="Q22" s="1065">
        <f t="shared" si="1"/>
        <v>0</v>
      </c>
      <c r="R22" s="1065">
        <f t="shared" si="1"/>
        <v>0</v>
      </c>
      <c r="S22" s="1065">
        <f t="shared" si="1"/>
        <v>0</v>
      </c>
      <c r="Z22" s="1311">
        <f t="shared" si="2"/>
        <v>0</v>
      </c>
    </row>
    <row r="23" spans="1:26" ht="115.5" hidden="1" customHeight="1">
      <c r="A23" s="1320" t="s">
        <v>20</v>
      </c>
      <c r="B23" s="1322" t="s">
        <v>1119</v>
      </c>
      <c r="C23" s="871">
        <f>SUM(D23:E23)</f>
        <v>5016.7</v>
      </c>
      <c r="D23" s="1249">
        <v>0</v>
      </c>
      <c r="E23" s="1249">
        <v>5016.7</v>
      </c>
      <c r="F23" s="1325">
        <f>SUM(G23:H23)</f>
        <v>5016.7</v>
      </c>
      <c r="G23" s="1327">
        <v>0</v>
      </c>
      <c r="H23" s="1327">
        <v>5016.7</v>
      </c>
      <c r="I23" s="1326">
        <f>SUM(J23:K23)</f>
        <v>0</v>
      </c>
      <c r="J23" s="1326">
        <v>0</v>
      </c>
      <c r="K23" s="1326">
        <v>0</v>
      </c>
      <c r="L23" s="877">
        <f t="shared" si="3"/>
        <v>0</v>
      </c>
      <c r="M23" s="877">
        <f t="shared" si="3"/>
        <v>0</v>
      </c>
      <c r="N23" s="877">
        <f t="shared" si="3"/>
        <v>0</v>
      </c>
      <c r="O23" s="1214" t="s">
        <v>1171</v>
      </c>
      <c r="P23" s="1214" t="s">
        <v>1120</v>
      </c>
      <c r="Q23" s="1065"/>
      <c r="R23" s="1065"/>
      <c r="S23" s="1065"/>
      <c r="T23" s="1099" t="s">
        <v>954</v>
      </c>
      <c r="U23" s="1100" t="s">
        <v>976</v>
      </c>
      <c r="V23" s="1099">
        <v>522</v>
      </c>
      <c r="W23" s="1099">
        <v>24356</v>
      </c>
      <c r="Z23" s="1311">
        <f t="shared" si="2"/>
        <v>0</v>
      </c>
    </row>
    <row r="24" spans="1:26" ht="95.25" customHeight="1">
      <c r="A24" s="1320"/>
      <c r="B24" s="1084" t="s">
        <v>770</v>
      </c>
      <c r="C24" s="871">
        <f>SUM(D24:E24)</f>
        <v>8886.4</v>
      </c>
      <c r="D24" s="1249">
        <v>0</v>
      </c>
      <c r="E24" s="1249">
        <v>8886.4</v>
      </c>
      <c r="F24" s="1325">
        <f>SUM(G24:H24)</f>
        <v>8886.4</v>
      </c>
      <c r="G24" s="1327">
        <v>0</v>
      </c>
      <c r="H24" s="1327">
        <v>8886.4</v>
      </c>
      <c r="I24" s="1326">
        <f t="shared" si="6"/>
        <v>0</v>
      </c>
      <c r="J24" s="1326">
        <v>0</v>
      </c>
      <c r="K24" s="1326">
        <v>0</v>
      </c>
      <c r="L24" s="877">
        <f t="shared" si="3"/>
        <v>0</v>
      </c>
      <c r="M24" s="877">
        <f t="shared" si="3"/>
        <v>0</v>
      </c>
      <c r="N24" s="877">
        <f t="shared" si="3"/>
        <v>0</v>
      </c>
      <c r="O24" s="1214" t="s">
        <v>1124</v>
      </c>
      <c r="P24" s="1214" t="s">
        <v>1121</v>
      </c>
      <c r="Q24" s="1065">
        <f t="shared" si="1"/>
        <v>0</v>
      </c>
      <c r="R24" s="1065">
        <f t="shared" si="1"/>
        <v>0</v>
      </c>
      <c r="S24" s="1065">
        <f t="shared" si="1"/>
        <v>0</v>
      </c>
      <c r="T24" s="1099" t="s">
        <v>926</v>
      </c>
      <c r="U24" s="1100" t="s">
        <v>965</v>
      </c>
      <c r="V24" s="1099">
        <v>522</v>
      </c>
      <c r="W24" s="1099" t="s">
        <v>975</v>
      </c>
      <c r="Z24" s="1311">
        <f t="shared" si="2"/>
        <v>0</v>
      </c>
    </row>
    <row r="25" spans="1:26" hidden="1">
      <c r="A25" s="1320"/>
      <c r="B25" s="898" t="s">
        <v>724</v>
      </c>
      <c r="C25" s="871">
        <f t="shared" si="4"/>
        <v>8700</v>
      </c>
      <c r="D25" s="1250">
        <f>D26</f>
        <v>0</v>
      </c>
      <c r="E25" s="1250">
        <f>E26</f>
        <v>8700</v>
      </c>
      <c r="F25" s="1325">
        <f t="shared" si="5"/>
        <v>8700</v>
      </c>
      <c r="G25" s="875">
        <f>G26</f>
        <v>0</v>
      </c>
      <c r="H25" s="875">
        <f>H26</f>
        <v>8700</v>
      </c>
      <c r="I25" s="1325">
        <f t="shared" si="6"/>
        <v>0</v>
      </c>
      <c r="J25" s="875">
        <f>J26</f>
        <v>0</v>
      </c>
      <c r="K25" s="875">
        <f>K26</f>
        <v>0</v>
      </c>
      <c r="L25" s="876">
        <f t="shared" si="3"/>
        <v>0</v>
      </c>
      <c r="M25" s="877">
        <f t="shared" si="3"/>
        <v>0</v>
      </c>
      <c r="N25" s="877">
        <f t="shared" si="3"/>
        <v>0</v>
      </c>
      <c r="O25" s="1214" t="s">
        <v>353</v>
      </c>
      <c r="P25" s="1214" t="s">
        <v>353</v>
      </c>
      <c r="Q25" s="1065">
        <f t="shared" si="1"/>
        <v>0</v>
      </c>
      <c r="R25" s="1065">
        <f t="shared" si="1"/>
        <v>0</v>
      </c>
      <c r="S25" s="1065">
        <f t="shared" si="1"/>
        <v>0</v>
      </c>
      <c r="Z25" s="1311">
        <f t="shared" si="2"/>
        <v>0</v>
      </c>
    </row>
    <row r="26" spans="1:26" ht="150.75" hidden="1" customHeight="1">
      <c r="A26" s="1320" t="s">
        <v>468</v>
      </c>
      <c r="B26" s="1084" t="s">
        <v>861</v>
      </c>
      <c r="C26" s="894">
        <f t="shared" si="4"/>
        <v>8700</v>
      </c>
      <c r="D26" s="1249">
        <v>0</v>
      </c>
      <c r="E26" s="1249">
        <v>8700</v>
      </c>
      <c r="F26" s="1326">
        <f t="shared" si="5"/>
        <v>8700</v>
      </c>
      <c r="G26" s="1327">
        <v>0</v>
      </c>
      <c r="H26" s="1327">
        <v>8700</v>
      </c>
      <c r="I26" s="1326">
        <f t="shared" si="6"/>
        <v>0</v>
      </c>
      <c r="J26" s="1326">
        <v>0</v>
      </c>
      <c r="K26" s="1326">
        <v>0</v>
      </c>
      <c r="L26" s="877">
        <f t="shared" si="3"/>
        <v>0</v>
      </c>
      <c r="M26" s="877">
        <f t="shared" si="3"/>
        <v>0</v>
      </c>
      <c r="N26" s="877">
        <f t="shared" si="3"/>
        <v>0</v>
      </c>
      <c r="O26" s="1214" t="s">
        <v>1173</v>
      </c>
      <c r="P26" s="1317" t="s">
        <v>1122</v>
      </c>
      <c r="Q26" s="1065">
        <f t="shared" si="1"/>
        <v>0</v>
      </c>
      <c r="R26" s="1065">
        <f t="shared" si="1"/>
        <v>0</v>
      </c>
      <c r="S26" s="1065">
        <f t="shared" si="1"/>
        <v>0</v>
      </c>
      <c r="T26" s="1099" t="s">
        <v>886</v>
      </c>
      <c r="U26" s="1100" t="s">
        <v>966</v>
      </c>
      <c r="V26" s="1099">
        <v>522</v>
      </c>
      <c r="W26" s="1099" t="s">
        <v>977</v>
      </c>
      <c r="Z26" s="1311">
        <f t="shared" si="2"/>
        <v>0</v>
      </c>
    </row>
    <row r="27" spans="1:26" s="700" customFormat="1" hidden="1">
      <c r="A27" s="1320"/>
      <c r="B27" s="1074" t="s">
        <v>12</v>
      </c>
      <c r="C27" s="871">
        <f t="shared" si="4"/>
        <v>13835</v>
      </c>
      <c r="D27" s="1251">
        <f>SUM(D28:D29)</f>
        <v>0</v>
      </c>
      <c r="E27" s="1251">
        <f>SUM(E28:E29)</f>
        <v>13835</v>
      </c>
      <c r="F27" s="1325">
        <f t="shared" si="5"/>
        <v>13835</v>
      </c>
      <c r="G27" s="880">
        <f>SUM(G28:G29)</f>
        <v>0</v>
      </c>
      <c r="H27" s="880">
        <f>SUM(H28:H29)</f>
        <v>13835</v>
      </c>
      <c r="I27" s="1325">
        <f t="shared" si="6"/>
        <v>0</v>
      </c>
      <c r="J27" s="1325">
        <f>SUM(J28:J29)</f>
        <v>0</v>
      </c>
      <c r="K27" s="1325">
        <f>SUM(K28:K29)</f>
        <v>0</v>
      </c>
      <c r="L27" s="876">
        <f t="shared" si="3"/>
        <v>0</v>
      </c>
      <c r="M27" s="876">
        <f t="shared" si="3"/>
        <v>0</v>
      </c>
      <c r="N27" s="876">
        <f t="shared" si="3"/>
        <v>0</v>
      </c>
      <c r="O27" s="1214" t="s">
        <v>353</v>
      </c>
      <c r="P27" s="1215" t="s">
        <v>353</v>
      </c>
      <c r="Q27" s="1065">
        <f t="shared" si="1"/>
        <v>0</v>
      </c>
      <c r="R27" s="1065">
        <f t="shared" si="1"/>
        <v>0</v>
      </c>
      <c r="S27" s="1065">
        <f t="shared" si="1"/>
        <v>0</v>
      </c>
      <c r="T27" s="1099"/>
      <c r="U27" s="1100"/>
      <c r="V27" s="1099"/>
      <c r="W27" s="1099"/>
      <c r="X27" s="1218"/>
      <c r="Z27" s="1311">
        <f t="shared" si="2"/>
        <v>0</v>
      </c>
    </row>
    <row r="28" spans="1:26" ht="84" hidden="1" customHeight="1">
      <c r="A28" s="1320" t="s">
        <v>685</v>
      </c>
      <c r="B28" s="1075" t="s">
        <v>1037</v>
      </c>
      <c r="C28" s="871">
        <f t="shared" si="4"/>
        <v>7000</v>
      </c>
      <c r="D28" s="972">
        <v>0</v>
      </c>
      <c r="E28" s="972">
        <v>7000</v>
      </c>
      <c r="F28" s="1325">
        <f t="shared" si="5"/>
        <v>7000</v>
      </c>
      <c r="G28" s="879">
        <v>0</v>
      </c>
      <c r="H28" s="879">
        <v>7000</v>
      </c>
      <c r="I28" s="1325">
        <f t="shared" si="6"/>
        <v>0</v>
      </c>
      <c r="J28" s="1326">
        <v>0</v>
      </c>
      <c r="K28" s="1326">
        <v>0</v>
      </c>
      <c r="L28" s="876">
        <f t="shared" si="3"/>
        <v>0</v>
      </c>
      <c r="M28" s="877">
        <f t="shared" si="3"/>
        <v>0</v>
      </c>
      <c r="N28" s="877">
        <f t="shared" si="3"/>
        <v>0</v>
      </c>
      <c r="O28" s="1214" t="s">
        <v>1171</v>
      </c>
      <c r="P28" s="1214" t="s">
        <v>1111</v>
      </c>
      <c r="Q28" s="1065">
        <f t="shared" si="1"/>
        <v>0</v>
      </c>
      <c r="R28" s="1065">
        <f t="shared" si="1"/>
        <v>0</v>
      </c>
      <c r="S28" s="1065">
        <f t="shared" si="1"/>
        <v>0</v>
      </c>
      <c r="T28" s="1099" t="s">
        <v>886</v>
      </c>
      <c r="U28" s="1100" t="s">
        <v>970</v>
      </c>
      <c r="V28" s="1099">
        <v>522</v>
      </c>
      <c r="W28" s="1099">
        <v>24351</v>
      </c>
      <c r="Z28" s="1311">
        <f t="shared" si="2"/>
        <v>0</v>
      </c>
    </row>
    <row r="29" spans="1:26" ht="54" hidden="1" customHeight="1">
      <c r="A29" s="1320" t="s">
        <v>687</v>
      </c>
      <c r="B29" s="1075" t="s">
        <v>1038</v>
      </c>
      <c r="C29" s="871">
        <f>SUM(D29:E29)</f>
        <v>6835</v>
      </c>
      <c r="D29" s="972">
        <v>0</v>
      </c>
      <c r="E29" s="972">
        <v>6835</v>
      </c>
      <c r="F29" s="1325">
        <f>SUM(G29:H29)</f>
        <v>6835</v>
      </c>
      <c r="G29" s="879">
        <v>0</v>
      </c>
      <c r="H29" s="879">
        <v>6835</v>
      </c>
      <c r="I29" s="1325">
        <f t="shared" si="6"/>
        <v>0</v>
      </c>
      <c r="J29" s="1326">
        <v>0</v>
      </c>
      <c r="K29" s="1326">
        <v>0</v>
      </c>
      <c r="L29" s="876">
        <f t="shared" si="3"/>
        <v>0</v>
      </c>
      <c r="M29" s="877">
        <f t="shared" si="3"/>
        <v>0</v>
      </c>
      <c r="N29" s="877">
        <f t="shared" si="3"/>
        <v>0</v>
      </c>
      <c r="O29" s="1214" t="s">
        <v>1171</v>
      </c>
      <c r="P29" s="1214" t="s">
        <v>1123</v>
      </c>
      <c r="Q29" s="1065">
        <f t="shared" si="1"/>
        <v>0</v>
      </c>
      <c r="R29" s="1065">
        <f t="shared" si="1"/>
        <v>0</v>
      </c>
      <c r="S29" s="1065">
        <f t="shared" si="1"/>
        <v>0</v>
      </c>
      <c r="T29" s="1099" t="s">
        <v>886</v>
      </c>
      <c r="U29" s="1100" t="s">
        <v>968</v>
      </c>
      <c r="V29" s="1099">
        <v>522</v>
      </c>
      <c r="W29" s="1099" t="s">
        <v>969</v>
      </c>
      <c r="Z29" s="1311">
        <f t="shared" si="2"/>
        <v>0</v>
      </c>
    </row>
    <row r="30" spans="1:26" s="700" customFormat="1" hidden="1">
      <c r="A30" s="991"/>
      <c r="B30" s="1074" t="s">
        <v>729</v>
      </c>
      <c r="C30" s="871">
        <f t="shared" si="4"/>
        <v>8500</v>
      </c>
      <c r="D30" s="1251">
        <f>SUM(D31:D32)</f>
        <v>0</v>
      </c>
      <c r="E30" s="1251">
        <f>SUM(E31:E32)</f>
        <v>8500</v>
      </c>
      <c r="F30" s="1325">
        <f t="shared" si="5"/>
        <v>8500</v>
      </c>
      <c r="G30" s="880">
        <f>SUM(G31:G32)</f>
        <v>0</v>
      </c>
      <c r="H30" s="880">
        <f>SUM(H31:H32)</f>
        <v>8500</v>
      </c>
      <c r="I30" s="1325">
        <f t="shared" si="6"/>
        <v>0</v>
      </c>
      <c r="J30" s="1325">
        <f>SUM(J31:J32)</f>
        <v>0</v>
      </c>
      <c r="K30" s="1325">
        <f>SUM(K31:K32)</f>
        <v>0</v>
      </c>
      <c r="L30" s="876">
        <f t="shared" si="3"/>
        <v>0</v>
      </c>
      <c r="M30" s="876">
        <f t="shared" si="3"/>
        <v>0</v>
      </c>
      <c r="N30" s="876">
        <f t="shared" si="3"/>
        <v>0</v>
      </c>
      <c r="O30" s="1214" t="s">
        <v>353</v>
      </c>
      <c r="P30" s="1215" t="s">
        <v>353</v>
      </c>
      <c r="Q30" s="1065">
        <f t="shared" si="1"/>
        <v>0</v>
      </c>
      <c r="R30" s="1065">
        <f t="shared" si="1"/>
        <v>0</v>
      </c>
      <c r="S30" s="1065">
        <f t="shared" si="1"/>
        <v>0</v>
      </c>
      <c r="T30" s="1099"/>
      <c r="U30" s="1100"/>
      <c r="V30" s="1099"/>
      <c r="W30" s="1099"/>
      <c r="X30" s="1218"/>
      <c r="Z30" s="1311">
        <f t="shared" si="2"/>
        <v>0</v>
      </c>
    </row>
    <row r="31" spans="1:26" ht="67.5" hidden="1" customHeight="1">
      <c r="A31" s="1320" t="s">
        <v>686</v>
      </c>
      <c r="B31" s="1075" t="s">
        <v>1039</v>
      </c>
      <c r="C31" s="871">
        <f t="shared" si="4"/>
        <v>7000</v>
      </c>
      <c r="D31" s="972">
        <v>0</v>
      </c>
      <c r="E31" s="972">
        <v>7000</v>
      </c>
      <c r="F31" s="1325">
        <f t="shared" si="5"/>
        <v>7000</v>
      </c>
      <c r="G31" s="879">
        <v>0</v>
      </c>
      <c r="H31" s="879">
        <v>7000</v>
      </c>
      <c r="I31" s="1325">
        <f t="shared" si="6"/>
        <v>0</v>
      </c>
      <c r="J31" s="1326">
        <v>0</v>
      </c>
      <c r="K31" s="1326">
        <v>0</v>
      </c>
      <c r="L31" s="876">
        <f t="shared" si="3"/>
        <v>0</v>
      </c>
      <c r="M31" s="877">
        <f t="shared" si="3"/>
        <v>0</v>
      </c>
      <c r="N31" s="877">
        <f t="shared" si="3"/>
        <v>0</v>
      </c>
      <c r="O31" s="1214" t="s">
        <v>1174</v>
      </c>
      <c r="P31" s="1214" t="s">
        <v>1112</v>
      </c>
      <c r="Q31" s="1065">
        <f t="shared" si="1"/>
        <v>0</v>
      </c>
      <c r="R31" s="1065">
        <f t="shared" si="1"/>
        <v>0</v>
      </c>
      <c r="S31" s="1065">
        <f t="shared" si="1"/>
        <v>0</v>
      </c>
      <c r="T31" s="1099" t="s">
        <v>926</v>
      </c>
      <c r="U31" s="1100" t="s">
        <v>970</v>
      </c>
      <c r="V31" s="1099">
        <v>522</v>
      </c>
      <c r="W31" s="1099" t="s">
        <v>993</v>
      </c>
      <c r="Z31" s="1311">
        <f t="shared" si="2"/>
        <v>0</v>
      </c>
    </row>
    <row r="32" spans="1:26" ht="66" hidden="1" customHeight="1">
      <c r="A32" s="1320" t="s">
        <v>688</v>
      </c>
      <c r="B32" s="1075" t="s">
        <v>1040</v>
      </c>
      <c r="C32" s="871">
        <f t="shared" si="4"/>
        <v>1500</v>
      </c>
      <c r="D32" s="972">
        <v>0</v>
      </c>
      <c r="E32" s="972">
        <v>1500</v>
      </c>
      <c r="F32" s="1325">
        <f t="shared" si="5"/>
        <v>1500</v>
      </c>
      <c r="G32" s="879">
        <v>0</v>
      </c>
      <c r="H32" s="879">
        <v>1500</v>
      </c>
      <c r="I32" s="1325">
        <f t="shared" si="6"/>
        <v>0</v>
      </c>
      <c r="J32" s="1326">
        <v>0</v>
      </c>
      <c r="K32" s="1326">
        <v>0</v>
      </c>
      <c r="L32" s="876">
        <f t="shared" si="3"/>
        <v>0</v>
      </c>
      <c r="M32" s="877">
        <f t="shared" si="3"/>
        <v>0</v>
      </c>
      <c r="N32" s="877">
        <f t="shared" si="3"/>
        <v>0</v>
      </c>
      <c r="O32" s="1214" t="s">
        <v>1171</v>
      </c>
      <c r="P32" s="1214"/>
      <c r="Q32" s="1065">
        <f t="shared" si="1"/>
        <v>0</v>
      </c>
      <c r="R32" s="1065">
        <f t="shared" si="1"/>
        <v>0</v>
      </c>
      <c r="S32" s="1065">
        <f t="shared" si="1"/>
        <v>0</v>
      </c>
      <c r="T32" s="1099" t="s">
        <v>923</v>
      </c>
      <c r="U32" s="1100" t="s">
        <v>970</v>
      </c>
      <c r="V32" s="1099">
        <v>522</v>
      </c>
      <c r="W32" s="1099" t="s">
        <v>992</v>
      </c>
      <c r="Z32" s="1311">
        <f t="shared" si="2"/>
        <v>0</v>
      </c>
    </row>
    <row r="33" spans="1:26" s="700" customFormat="1">
      <c r="A33" s="1320"/>
      <c r="B33" s="1074" t="s">
        <v>615</v>
      </c>
      <c r="C33" s="871">
        <f t="shared" si="4"/>
        <v>10156</v>
      </c>
      <c r="D33" s="1251">
        <f>D34</f>
        <v>0</v>
      </c>
      <c r="E33" s="1251">
        <f>E34</f>
        <v>10156</v>
      </c>
      <c r="F33" s="1325">
        <f t="shared" si="5"/>
        <v>10156</v>
      </c>
      <c r="G33" s="880">
        <f>G34</f>
        <v>0</v>
      </c>
      <c r="H33" s="880">
        <f>H34</f>
        <v>10156</v>
      </c>
      <c r="I33" s="1325">
        <f t="shared" si="6"/>
        <v>0</v>
      </c>
      <c r="J33" s="1325">
        <f>J34</f>
        <v>0</v>
      </c>
      <c r="K33" s="1325">
        <f>K34</f>
        <v>0</v>
      </c>
      <c r="L33" s="876">
        <f t="shared" si="3"/>
        <v>0</v>
      </c>
      <c r="M33" s="876">
        <f t="shared" si="3"/>
        <v>0</v>
      </c>
      <c r="N33" s="876">
        <f t="shared" si="3"/>
        <v>0</v>
      </c>
      <c r="O33" s="1214" t="s">
        <v>353</v>
      </c>
      <c r="P33" s="1215" t="s">
        <v>353</v>
      </c>
      <c r="Q33" s="1065">
        <f t="shared" si="1"/>
        <v>0</v>
      </c>
      <c r="R33" s="1065">
        <f t="shared" si="1"/>
        <v>0</v>
      </c>
      <c r="S33" s="1065">
        <f t="shared" si="1"/>
        <v>0</v>
      </c>
      <c r="T33" s="1099"/>
      <c r="U33" s="1100"/>
      <c r="V33" s="1099"/>
      <c r="W33" s="1099"/>
      <c r="X33" s="1218"/>
      <c r="Z33" s="1311">
        <f t="shared" si="2"/>
        <v>0</v>
      </c>
    </row>
    <row r="34" spans="1:26" ht="55.5" customHeight="1">
      <c r="A34" s="1320"/>
      <c r="B34" s="1075" t="s">
        <v>673</v>
      </c>
      <c r="C34" s="871">
        <f t="shared" si="4"/>
        <v>10156</v>
      </c>
      <c r="D34" s="972">
        <v>0</v>
      </c>
      <c r="E34" s="972">
        <v>10156</v>
      </c>
      <c r="F34" s="1325">
        <f t="shared" si="5"/>
        <v>10156</v>
      </c>
      <c r="G34" s="879">
        <v>0</v>
      </c>
      <c r="H34" s="879">
        <v>10156</v>
      </c>
      <c r="I34" s="1325">
        <f t="shared" si="6"/>
        <v>0</v>
      </c>
      <c r="J34" s="1326">
        <v>0</v>
      </c>
      <c r="K34" s="1326">
        <v>0</v>
      </c>
      <c r="L34" s="876">
        <f t="shared" si="3"/>
        <v>0</v>
      </c>
      <c r="M34" s="877">
        <f t="shared" si="3"/>
        <v>0</v>
      </c>
      <c r="N34" s="877">
        <f t="shared" si="3"/>
        <v>0</v>
      </c>
      <c r="O34" s="1214" t="s">
        <v>1175</v>
      </c>
      <c r="P34" s="1214" t="s">
        <v>1113</v>
      </c>
      <c r="Q34" s="1065">
        <f t="shared" si="1"/>
        <v>0</v>
      </c>
      <c r="R34" s="1065">
        <f t="shared" si="1"/>
        <v>0</v>
      </c>
      <c r="S34" s="1065">
        <f t="shared" si="1"/>
        <v>0</v>
      </c>
      <c r="T34" s="1099" t="s">
        <v>926</v>
      </c>
      <c r="U34" s="1100" t="s">
        <v>965</v>
      </c>
      <c r="V34" s="1099">
        <v>522</v>
      </c>
      <c r="W34" s="1099">
        <v>24345</v>
      </c>
      <c r="Z34" s="1311">
        <f t="shared" si="2"/>
        <v>0</v>
      </c>
    </row>
    <row r="35" spans="1:26" hidden="1">
      <c r="A35" s="991"/>
      <c r="B35" s="898" t="s">
        <v>68</v>
      </c>
      <c r="C35" s="871">
        <f t="shared" si="4"/>
        <v>23520</v>
      </c>
      <c r="D35" s="1250">
        <f>SUM(D36:D39)</f>
        <v>0</v>
      </c>
      <c r="E35" s="1250">
        <f>SUM(E36:E39)</f>
        <v>23520</v>
      </c>
      <c r="F35" s="1325">
        <f t="shared" si="5"/>
        <v>23520</v>
      </c>
      <c r="G35" s="875">
        <f>SUM(G36:G39)</f>
        <v>0</v>
      </c>
      <c r="H35" s="875">
        <f>SUM(H36:H39)</f>
        <v>23520</v>
      </c>
      <c r="I35" s="1325">
        <f t="shared" si="6"/>
        <v>312.5</v>
      </c>
      <c r="J35" s="875">
        <f>SUM(J36:J39)</f>
        <v>0</v>
      </c>
      <c r="K35" s="875">
        <f>SUM(K36:K39)</f>
        <v>312.5</v>
      </c>
      <c r="L35" s="876">
        <f t="shared" si="3"/>
        <v>1.3</v>
      </c>
      <c r="M35" s="877">
        <f t="shared" si="3"/>
        <v>0</v>
      </c>
      <c r="N35" s="877">
        <f t="shared" si="3"/>
        <v>1.3</v>
      </c>
      <c r="O35" s="1214" t="s">
        <v>353</v>
      </c>
      <c r="P35" s="1214" t="s">
        <v>353</v>
      </c>
      <c r="Q35" s="1065">
        <f t="shared" si="1"/>
        <v>0</v>
      </c>
      <c r="R35" s="1065">
        <f t="shared" si="1"/>
        <v>0</v>
      </c>
      <c r="S35" s="1065">
        <f t="shared" si="1"/>
        <v>0</v>
      </c>
      <c r="Z35" s="1311">
        <f t="shared" si="2"/>
        <v>0</v>
      </c>
    </row>
    <row r="36" spans="1:26" ht="90" hidden="1" customHeight="1">
      <c r="A36" s="1320" t="s">
        <v>99</v>
      </c>
      <c r="B36" s="1084" t="s">
        <v>1041</v>
      </c>
      <c r="C36" s="894">
        <f t="shared" si="4"/>
        <v>1240</v>
      </c>
      <c r="D36" s="1249">
        <v>0</v>
      </c>
      <c r="E36" s="1249">
        <v>1240</v>
      </c>
      <c r="F36" s="1326">
        <f t="shared" si="5"/>
        <v>1240</v>
      </c>
      <c r="G36" s="1327">
        <v>0</v>
      </c>
      <c r="H36" s="1327">
        <v>1240</v>
      </c>
      <c r="I36" s="1326">
        <f t="shared" si="6"/>
        <v>312.5</v>
      </c>
      <c r="J36" s="1326">
        <v>0</v>
      </c>
      <c r="K36" s="1326">
        <v>312.5</v>
      </c>
      <c r="L36" s="877">
        <f t="shared" si="3"/>
        <v>25.2</v>
      </c>
      <c r="M36" s="877">
        <f t="shared" si="3"/>
        <v>0</v>
      </c>
      <c r="N36" s="877">
        <f t="shared" si="3"/>
        <v>25.2</v>
      </c>
      <c r="O36" s="1214" t="s">
        <v>1176</v>
      </c>
      <c r="P36" s="1214" t="s">
        <v>1125</v>
      </c>
      <c r="Q36" s="1065">
        <f t="shared" si="1"/>
        <v>0</v>
      </c>
      <c r="R36" s="1065">
        <f t="shared" si="1"/>
        <v>0</v>
      </c>
      <c r="S36" s="1065">
        <f t="shared" si="1"/>
        <v>0</v>
      </c>
      <c r="T36" s="1099" t="s">
        <v>886</v>
      </c>
      <c r="U36" s="1100" t="s">
        <v>967</v>
      </c>
      <c r="V36" s="1099">
        <v>522</v>
      </c>
      <c r="W36" s="1099" t="s">
        <v>969</v>
      </c>
      <c r="Z36" s="1311">
        <f t="shared" si="2"/>
        <v>0</v>
      </c>
    </row>
    <row r="37" spans="1:26" ht="89.25" hidden="1" customHeight="1">
      <c r="A37" s="1320" t="s">
        <v>100</v>
      </c>
      <c r="B37" s="1084" t="s">
        <v>1095</v>
      </c>
      <c r="C37" s="894">
        <f>SUM(D37:E37)</f>
        <v>6280</v>
      </c>
      <c r="D37" s="1249">
        <v>0</v>
      </c>
      <c r="E37" s="1249">
        <v>6280</v>
      </c>
      <c r="F37" s="1326">
        <f>SUM(G37:H37)</f>
        <v>6280</v>
      </c>
      <c r="G37" s="1327">
        <v>0</v>
      </c>
      <c r="H37" s="1327">
        <v>6280</v>
      </c>
      <c r="I37" s="1326">
        <f>SUM(J37:K37)</f>
        <v>0</v>
      </c>
      <c r="J37" s="1326">
        <v>0</v>
      </c>
      <c r="K37" s="1326">
        <v>0</v>
      </c>
      <c r="L37" s="877">
        <f t="shared" si="3"/>
        <v>0</v>
      </c>
      <c r="M37" s="877">
        <f t="shared" si="3"/>
        <v>0</v>
      </c>
      <c r="N37" s="877">
        <f t="shared" si="3"/>
        <v>0</v>
      </c>
      <c r="O37" s="1214" t="s">
        <v>1171</v>
      </c>
      <c r="P37" s="1214" t="s">
        <v>1128</v>
      </c>
      <c r="Q37" s="1065"/>
      <c r="R37" s="1065"/>
      <c r="S37" s="1065"/>
      <c r="T37" s="1099" t="s">
        <v>961</v>
      </c>
      <c r="U37" s="1100">
        <v>1240343280</v>
      </c>
      <c r="V37" s="1099">
        <v>522</v>
      </c>
      <c r="W37" s="1099" t="s">
        <v>971</v>
      </c>
      <c r="Z37" s="1311">
        <f t="shared" si="2"/>
        <v>0</v>
      </c>
    </row>
    <row r="38" spans="1:26" ht="166.5" hidden="1" customHeight="1">
      <c r="A38" s="1320" t="s">
        <v>101</v>
      </c>
      <c r="B38" s="1084" t="s">
        <v>1043</v>
      </c>
      <c r="C38" s="894">
        <f t="shared" si="4"/>
        <v>6000</v>
      </c>
      <c r="D38" s="1249">
        <v>0</v>
      </c>
      <c r="E38" s="1249">
        <v>6000</v>
      </c>
      <c r="F38" s="1326">
        <f t="shared" si="5"/>
        <v>6000</v>
      </c>
      <c r="G38" s="1327">
        <v>0</v>
      </c>
      <c r="H38" s="1327">
        <v>6000</v>
      </c>
      <c r="I38" s="2440">
        <f t="shared" si="6"/>
        <v>0</v>
      </c>
      <c r="J38" s="2440">
        <v>0</v>
      </c>
      <c r="K38" s="2440">
        <v>0</v>
      </c>
      <c r="L38" s="2418">
        <f>IF(I38=0,0,I38/F38:F39*100)</f>
        <v>0</v>
      </c>
      <c r="M38" s="2418">
        <f>IF(J38=0,0,J38/G38:G39*100)</f>
        <v>0</v>
      </c>
      <c r="N38" s="2418">
        <f>IF(K38=0,0,K38/H38:H39*100)</f>
        <v>0</v>
      </c>
      <c r="O38" s="1213" t="s">
        <v>1177</v>
      </c>
      <c r="P38" s="1213" t="s">
        <v>1126</v>
      </c>
      <c r="Q38" s="1065">
        <f t="shared" si="1"/>
        <v>0</v>
      </c>
      <c r="R38" s="1065">
        <f t="shared" si="1"/>
        <v>0</v>
      </c>
      <c r="S38" s="1065">
        <f t="shared" si="1"/>
        <v>0</v>
      </c>
      <c r="T38" s="2409" t="s">
        <v>886</v>
      </c>
      <c r="U38" s="2409" t="s">
        <v>966</v>
      </c>
      <c r="V38" s="2409">
        <v>522</v>
      </c>
      <c r="W38" s="2409" t="s">
        <v>977</v>
      </c>
      <c r="X38" s="2471"/>
      <c r="Z38" s="1311">
        <f t="shared" si="2"/>
        <v>0</v>
      </c>
    </row>
    <row r="39" spans="1:26" ht="198.75" hidden="1" customHeight="1">
      <c r="A39" s="1320" t="s">
        <v>102</v>
      </c>
      <c r="B39" s="1084" t="s">
        <v>1044</v>
      </c>
      <c r="C39" s="894">
        <f t="shared" si="4"/>
        <v>10000</v>
      </c>
      <c r="D39" s="1249">
        <v>0</v>
      </c>
      <c r="E39" s="1249">
        <v>10000</v>
      </c>
      <c r="F39" s="1326">
        <f t="shared" si="5"/>
        <v>10000</v>
      </c>
      <c r="G39" s="1327">
        <v>0</v>
      </c>
      <c r="H39" s="1327">
        <v>10000</v>
      </c>
      <c r="I39" s="2441"/>
      <c r="J39" s="2441"/>
      <c r="K39" s="2441"/>
      <c r="L39" s="2419"/>
      <c r="M39" s="2419"/>
      <c r="N39" s="2419"/>
      <c r="O39" s="1213" t="s">
        <v>1178</v>
      </c>
      <c r="P39" s="1213" t="s">
        <v>1127</v>
      </c>
      <c r="Q39" s="1065">
        <f t="shared" si="1"/>
        <v>0</v>
      </c>
      <c r="R39" s="1065">
        <f t="shared" si="1"/>
        <v>0</v>
      </c>
      <c r="S39" s="1065">
        <f t="shared" si="1"/>
        <v>0</v>
      </c>
      <c r="T39" s="2409"/>
      <c r="U39" s="2409"/>
      <c r="V39" s="2409"/>
      <c r="W39" s="2409"/>
      <c r="X39" s="2471"/>
      <c r="Z39" s="1311">
        <f t="shared" si="2"/>
        <v>0</v>
      </c>
    </row>
    <row r="40" spans="1:26" hidden="1">
      <c r="A40" s="1320"/>
      <c r="B40" s="898" t="s">
        <v>281</v>
      </c>
      <c r="C40" s="871">
        <f t="shared" si="4"/>
        <v>21207</v>
      </c>
      <c r="D40" s="1250">
        <f>SUM(D42:D43)</f>
        <v>0</v>
      </c>
      <c r="E40" s="1250">
        <f>SUM(E41:E43)</f>
        <v>21207</v>
      </c>
      <c r="F40" s="1325">
        <f t="shared" si="5"/>
        <v>17000</v>
      </c>
      <c r="G40" s="875">
        <f>SUM(G42:G43)</f>
        <v>0</v>
      </c>
      <c r="H40" s="875">
        <f>SUM(H41:H43)</f>
        <v>17000</v>
      </c>
      <c r="I40" s="1325">
        <f t="shared" si="6"/>
        <v>0</v>
      </c>
      <c r="J40" s="875">
        <f>SUM(J42:J43)</f>
        <v>0</v>
      </c>
      <c r="K40" s="875">
        <f>SUM(K42:K43)</f>
        <v>0</v>
      </c>
      <c r="L40" s="876">
        <f t="shared" ref="L40:N64" si="7">IF(I40=0,0,I40/F40*100)</f>
        <v>0</v>
      </c>
      <c r="M40" s="877">
        <f t="shared" si="7"/>
        <v>0</v>
      </c>
      <c r="N40" s="877">
        <f t="shared" si="7"/>
        <v>0</v>
      </c>
      <c r="O40" s="1214" t="s">
        <v>353</v>
      </c>
      <c r="P40" s="1214" t="s">
        <v>353</v>
      </c>
      <c r="Q40" s="1065">
        <f t="shared" si="1"/>
        <v>4207</v>
      </c>
      <c r="R40" s="1065">
        <f t="shared" si="1"/>
        <v>0</v>
      </c>
      <c r="S40" s="1065">
        <f t="shared" si="1"/>
        <v>4207</v>
      </c>
      <c r="Z40" s="1311">
        <f t="shared" si="2"/>
        <v>4207</v>
      </c>
    </row>
    <row r="41" spans="1:26" ht="69.75" hidden="1">
      <c r="A41" s="1320" t="s">
        <v>103</v>
      </c>
      <c r="B41" s="1322" t="s">
        <v>682</v>
      </c>
      <c r="C41" s="894">
        <f>SUM(D41:E41)</f>
        <v>4207</v>
      </c>
      <c r="D41" s="1249">
        <v>0</v>
      </c>
      <c r="E41" s="1249">
        <v>4207</v>
      </c>
      <c r="F41" s="1326">
        <f>SUM(G41:H41)</f>
        <v>0</v>
      </c>
      <c r="G41" s="1327">
        <v>0</v>
      </c>
      <c r="H41" s="1327">
        <v>0</v>
      </c>
      <c r="I41" s="1326">
        <f>SUM(J41:K41)</f>
        <v>0</v>
      </c>
      <c r="J41" s="1326">
        <v>0</v>
      </c>
      <c r="K41" s="1326">
        <v>0</v>
      </c>
      <c r="L41" s="877">
        <f t="shared" si="7"/>
        <v>0</v>
      </c>
      <c r="M41" s="877">
        <f t="shared" si="7"/>
        <v>0</v>
      </c>
      <c r="N41" s="877">
        <f t="shared" si="7"/>
        <v>0</v>
      </c>
      <c r="O41" s="1214" t="s">
        <v>353</v>
      </c>
      <c r="P41" s="1214" t="s">
        <v>1114</v>
      </c>
      <c r="Q41" s="1065"/>
      <c r="R41" s="1065"/>
      <c r="S41" s="1065"/>
      <c r="T41" s="1099" t="s">
        <v>928</v>
      </c>
      <c r="U41" s="1100" t="s">
        <v>988</v>
      </c>
      <c r="V41" s="1099">
        <v>522</v>
      </c>
      <c r="W41" s="1099" t="s">
        <v>989</v>
      </c>
      <c r="Z41" s="1311">
        <f t="shared" si="2"/>
        <v>4207</v>
      </c>
    </row>
    <row r="42" spans="1:26" ht="101.25" hidden="1" customHeight="1">
      <c r="A42" s="1320" t="s">
        <v>107</v>
      </c>
      <c r="B42" s="1084" t="s">
        <v>675</v>
      </c>
      <c r="C42" s="894">
        <f t="shared" si="4"/>
        <v>13000</v>
      </c>
      <c r="D42" s="1249">
        <v>0</v>
      </c>
      <c r="E42" s="1249">
        <v>13000</v>
      </c>
      <c r="F42" s="1326">
        <f t="shared" si="5"/>
        <v>13000</v>
      </c>
      <c r="G42" s="1327">
        <v>0</v>
      </c>
      <c r="H42" s="1327">
        <v>13000</v>
      </c>
      <c r="I42" s="1326">
        <f t="shared" si="6"/>
        <v>0</v>
      </c>
      <c r="J42" s="1326">
        <v>0</v>
      </c>
      <c r="K42" s="1326">
        <v>0</v>
      </c>
      <c r="L42" s="877">
        <f t="shared" si="7"/>
        <v>0</v>
      </c>
      <c r="M42" s="877">
        <f t="shared" si="7"/>
        <v>0</v>
      </c>
      <c r="N42" s="877">
        <f t="shared" si="7"/>
        <v>0</v>
      </c>
      <c r="O42" s="1317" t="s">
        <v>1179</v>
      </c>
      <c r="P42" s="1317" t="s">
        <v>1130</v>
      </c>
      <c r="Q42" s="1067">
        <f t="shared" si="1"/>
        <v>0</v>
      </c>
      <c r="R42" s="1067">
        <f t="shared" si="1"/>
        <v>0</v>
      </c>
      <c r="S42" s="1067">
        <f t="shared" si="1"/>
        <v>0</v>
      </c>
      <c r="T42" s="1222" t="s">
        <v>886</v>
      </c>
      <c r="U42" s="1223" t="s">
        <v>967</v>
      </c>
      <c r="V42" s="1222">
        <v>522</v>
      </c>
      <c r="W42" s="1222" t="s">
        <v>983</v>
      </c>
      <c r="Z42" s="1311">
        <f t="shared" si="2"/>
        <v>0</v>
      </c>
    </row>
    <row r="43" spans="1:26" ht="131.25" hidden="1">
      <c r="A43" s="1320" t="s">
        <v>108</v>
      </c>
      <c r="B43" s="1084" t="s">
        <v>1045</v>
      </c>
      <c r="C43" s="894">
        <f t="shared" si="4"/>
        <v>4000</v>
      </c>
      <c r="D43" s="1249">
        <v>0</v>
      </c>
      <c r="E43" s="1249">
        <v>4000</v>
      </c>
      <c r="F43" s="1326">
        <f t="shared" si="5"/>
        <v>4000</v>
      </c>
      <c r="G43" s="1327">
        <v>0</v>
      </c>
      <c r="H43" s="1327">
        <v>4000</v>
      </c>
      <c r="I43" s="1326">
        <f t="shared" si="6"/>
        <v>0</v>
      </c>
      <c r="J43" s="1326">
        <v>0</v>
      </c>
      <c r="K43" s="1326">
        <v>0</v>
      </c>
      <c r="L43" s="877">
        <f t="shared" si="7"/>
        <v>0</v>
      </c>
      <c r="M43" s="877">
        <f t="shared" si="7"/>
        <v>0</v>
      </c>
      <c r="N43" s="877">
        <f t="shared" si="7"/>
        <v>0</v>
      </c>
      <c r="O43" s="1214" t="s">
        <v>1115</v>
      </c>
      <c r="P43" s="1214" t="s">
        <v>1129</v>
      </c>
      <c r="Q43" s="1065">
        <f t="shared" si="1"/>
        <v>0</v>
      </c>
      <c r="R43" s="1065">
        <f t="shared" si="1"/>
        <v>0</v>
      </c>
      <c r="S43" s="1065">
        <f t="shared" si="1"/>
        <v>0</v>
      </c>
      <c r="T43" s="1099" t="s">
        <v>886</v>
      </c>
      <c r="U43" s="1100">
        <v>510243220</v>
      </c>
      <c r="V43" s="1099">
        <v>522</v>
      </c>
      <c r="W43" s="1099" t="s">
        <v>979</v>
      </c>
      <c r="Z43" s="1311">
        <f t="shared" si="2"/>
        <v>0</v>
      </c>
    </row>
    <row r="44" spans="1:26" hidden="1">
      <c r="A44" s="1320"/>
      <c r="B44" s="898" t="s">
        <v>431</v>
      </c>
      <c r="C44" s="871">
        <f t="shared" si="4"/>
        <v>10900</v>
      </c>
      <c r="D44" s="1250">
        <f>D46</f>
        <v>0</v>
      </c>
      <c r="E44" s="1250">
        <f>SUM(E45:E46)</f>
        <v>10900</v>
      </c>
      <c r="F44" s="1325">
        <f t="shared" si="5"/>
        <v>10900</v>
      </c>
      <c r="G44" s="875">
        <f>G46</f>
        <v>0</v>
      </c>
      <c r="H44" s="875">
        <f>SUM(H45:H46)</f>
        <v>10900</v>
      </c>
      <c r="I44" s="1325">
        <f t="shared" si="6"/>
        <v>2286.1999999999998</v>
      </c>
      <c r="J44" s="875">
        <f>J46</f>
        <v>0</v>
      </c>
      <c r="K44" s="875">
        <f>K46</f>
        <v>2286.1999999999998</v>
      </c>
      <c r="L44" s="876">
        <f t="shared" si="7"/>
        <v>21</v>
      </c>
      <c r="M44" s="877">
        <f t="shared" si="7"/>
        <v>0</v>
      </c>
      <c r="N44" s="877">
        <f t="shared" si="7"/>
        <v>21</v>
      </c>
      <c r="O44" s="1214" t="s">
        <v>353</v>
      </c>
      <c r="P44" s="1214" t="s">
        <v>353</v>
      </c>
      <c r="Q44" s="1065">
        <f t="shared" si="1"/>
        <v>0</v>
      </c>
      <c r="R44" s="1065">
        <f t="shared" si="1"/>
        <v>0</v>
      </c>
      <c r="S44" s="1065">
        <f t="shared" si="1"/>
        <v>0</v>
      </c>
      <c r="Z44" s="1311">
        <f t="shared" si="2"/>
        <v>0</v>
      </c>
    </row>
    <row r="45" spans="1:26" ht="86.25" hidden="1" customHeight="1">
      <c r="A45" s="1320" t="s">
        <v>106</v>
      </c>
      <c r="B45" s="1322" t="s">
        <v>1096</v>
      </c>
      <c r="C45" s="894">
        <f t="shared" si="4"/>
        <v>6500</v>
      </c>
      <c r="D45" s="1249">
        <v>0</v>
      </c>
      <c r="E45" s="1249">
        <v>6500</v>
      </c>
      <c r="F45" s="1326">
        <f>SUM(G45:H45)</f>
        <v>6500</v>
      </c>
      <c r="G45" s="1327">
        <v>0</v>
      </c>
      <c r="H45" s="1327">
        <v>6500</v>
      </c>
      <c r="I45" s="1326">
        <f>SUM(J45:K45)</f>
        <v>0</v>
      </c>
      <c r="J45" s="1326">
        <v>0</v>
      </c>
      <c r="K45" s="1326">
        <v>0</v>
      </c>
      <c r="L45" s="877">
        <f t="shared" si="7"/>
        <v>0</v>
      </c>
      <c r="M45" s="877">
        <f t="shared" si="7"/>
        <v>0</v>
      </c>
      <c r="N45" s="877">
        <f t="shared" si="7"/>
        <v>0</v>
      </c>
      <c r="O45" s="1214" t="s">
        <v>1171</v>
      </c>
      <c r="P45" s="1214" t="s">
        <v>1128</v>
      </c>
      <c r="Q45" s="1065"/>
      <c r="R45" s="1065"/>
      <c r="S45" s="1065"/>
      <c r="T45" s="1099" t="s">
        <v>961</v>
      </c>
      <c r="U45" s="1100">
        <v>1240343280</v>
      </c>
      <c r="V45" s="1099">
        <v>522</v>
      </c>
      <c r="W45" s="1099" t="s">
        <v>971</v>
      </c>
      <c r="Z45" s="1311">
        <f t="shared" si="2"/>
        <v>0</v>
      </c>
    </row>
    <row r="46" spans="1:26" ht="111" hidden="1" customHeight="1">
      <c r="A46" s="1320" t="s">
        <v>109</v>
      </c>
      <c r="B46" s="1084" t="s">
        <v>676</v>
      </c>
      <c r="C46" s="894">
        <f t="shared" si="4"/>
        <v>4400</v>
      </c>
      <c r="D46" s="1249">
        <v>0</v>
      </c>
      <c r="E46" s="1249">
        <v>4400</v>
      </c>
      <c r="F46" s="1326">
        <f t="shared" si="5"/>
        <v>4400</v>
      </c>
      <c r="G46" s="1327">
        <v>0</v>
      </c>
      <c r="H46" s="1327">
        <v>4400</v>
      </c>
      <c r="I46" s="1326">
        <f t="shared" si="6"/>
        <v>2286.1999999999998</v>
      </c>
      <c r="J46" s="1326">
        <v>0</v>
      </c>
      <c r="K46" s="1326">
        <v>2286.1999999999998</v>
      </c>
      <c r="L46" s="877">
        <f t="shared" si="7"/>
        <v>52</v>
      </c>
      <c r="M46" s="877">
        <f t="shared" si="7"/>
        <v>0</v>
      </c>
      <c r="N46" s="877">
        <f t="shared" si="7"/>
        <v>52</v>
      </c>
      <c r="O46" s="1214" t="s">
        <v>1180</v>
      </c>
      <c r="P46" s="1214" t="s">
        <v>1131</v>
      </c>
      <c r="Q46" s="1065">
        <f t="shared" si="1"/>
        <v>0</v>
      </c>
      <c r="R46" s="1065">
        <f t="shared" si="1"/>
        <v>0</v>
      </c>
      <c r="S46" s="1065">
        <f t="shared" si="1"/>
        <v>0</v>
      </c>
      <c r="T46" s="1099" t="s">
        <v>886</v>
      </c>
      <c r="U46" s="1100" t="s">
        <v>972</v>
      </c>
      <c r="V46" s="1099">
        <v>522</v>
      </c>
      <c r="W46" s="1099" t="s">
        <v>978</v>
      </c>
      <c r="Z46" s="1311">
        <f t="shared" si="2"/>
        <v>0</v>
      </c>
    </row>
    <row r="47" spans="1:26" hidden="1">
      <c r="A47" s="1320"/>
      <c r="B47" s="898" t="s">
        <v>583</v>
      </c>
      <c r="C47" s="871">
        <f t="shared" si="4"/>
        <v>2500</v>
      </c>
      <c r="D47" s="1250">
        <f>D48</f>
        <v>0</v>
      </c>
      <c r="E47" s="1250">
        <f>E48</f>
        <v>2500</v>
      </c>
      <c r="F47" s="1325">
        <f t="shared" si="5"/>
        <v>2500</v>
      </c>
      <c r="G47" s="875">
        <f>G48</f>
        <v>0</v>
      </c>
      <c r="H47" s="875">
        <f>H48</f>
        <v>2500</v>
      </c>
      <c r="I47" s="1325">
        <f t="shared" si="6"/>
        <v>0</v>
      </c>
      <c r="J47" s="875">
        <f>J48</f>
        <v>0</v>
      </c>
      <c r="K47" s="875">
        <f>K48</f>
        <v>0</v>
      </c>
      <c r="L47" s="876">
        <f t="shared" si="7"/>
        <v>0</v>
      </c>
      <c r="M47" s="877">
        <f t="shared" si="7"/>
        <v>0</v>
      </c>
      <c r="N47" s="877">
        <f t="shared" si="7"/>
        <v>0</v>
      </c>
      <c r="O47" s="1214" t="s">
        <v>353</v>
      </c>
      <c r="P47" s="1214" t="s">
        <v>353</v>
      </c>
      <c r="Q47" s="1065">
        <f t="shared" si="1"/>
        <v>0</v>
      </c>
      <c r="R47" s="1065">
        <f t="shared" si="1"/>
        <v>0</v>
      </c>
      <c r="S47" s="1065">
        <f t="shared" si="1"/>
        <v>0</v>
      </c>
      <c r="Z47" s="1311">
        <f t="shared" si="2"/>
        <v>0</v>
      </c>
    </row>
    <row r="48" spans="1:26" s="1216" customFormat="1" ht="78.75" hidden="1">
      <c r="A48" s="1320" t="s">
        <v>117</v>
      </c>
      <c r="B48" s="1084" t="s">
        <v>1046</v>
      </c>
      <c r="C48" s="894">
        <f t="shared" si="4"/>
        <v>2500</v>
      </c>
      <c r="D48" s="1249">
        <v>0</v>
      </c>
      <c r="E48" s="1249">
        <v>2500</v>
      </c>
      <c r="F48" s="1326">
        <f t="shared" si="5"/>
        <v>2500</v>
      </c>
      <c r="G48" s="1327">
        <v>0</v>
      </c>
      <c r="H48" s="1327">
        <v>2500</v>
      </c>
      <c r="I48" s="1326">
        <f t="shared" si="6"/>
        <v>0</v>
      </c>
      <c r="J48" s="1326">
        <v>0</v>
      </c>
      <c r="K48" s="1326">
        <v>0</v>
      </c>
      <c r="L48" s="877">
        <f t="shared" si="7"/>
        <v>0</v>
      </c>
      <c r="M48" s="877">
        <f t="shared" si="7"/>
        <v>0</v>
      </c>
      <c r="N48" s="877">
        <f t="shared" si="7"/>
        <v>0</v>
      </c>
      <c r="O48" s="1214" t="s">
        <v>1181</v>
      </c>
      <c r="P48" s="1214" t="s">
        <v>1132</v>
      </c>
      <c r="Q48" s="1065">
        <f t="shared" si="1"/>
        <v>0</v>
      </c>
      <c r="R48" s="1065">
        <f t="shared" si="1"/>
        <v>0</v>
      </c>
      <c r="S48" s="1065">
        <f t="shared" si="1"/>
        <v>0</v>
      </c>
      <c r="T48" s="1099" t="s">
        <v>886</v>
      </c>
      <c r="U48" s="1100" t="s">
        <v>967</v>
      </c>
      <c r="V48" s="1099">
        <v>522</v>
      </c>
      <c r="W48" s="1099" t="s">
        <v>969</v>
      </c>
      <c r="Z48" s="1311">
        <f t="shared" si="2"/>
        <v>0</v>
      </c>
    </row>
    <row r="49" spans="1:26" s="1216" customFormat="1" hidden="1">
      <c r="A49" s="1320"/>
      <c r="B49" s="898" t="s">
        <v>709</v>
      </c>
      <c r="C49" s="871">
        <f>SUM(D49:E49)</f>
        <v>57350</v>
      </c>
      <c r="D49" s="1250">
        <f>SUM(D51:D52)</f>
        <v>0</v>
      </c>
      <c r="E49" s="1250">
        <f>SUM(E50:E52)</f>
        <v>57350</v>
      </c>
      <c r="F49" s="1325">
        <f>SUM(G49:H49)</f>
        <v>57350</v>
      </c>
      <c r="G49" s="875">
        <f>SUM(G51:G52)</f>
        <v>0</v>
      </c>
      <c r="H49" s="875">
        <f>SUM(H50:H52)</f>
        <v>57350</v>
      </c>
      <c r="I49" s="1325">
        <f>SUM(J49:K49)</f>
        <v>0</v>
      </c>
      <c r="J49" s="875">
        <f>SUM(J51:J52)</f>
        <v>0</v>
      </c>
      <c r="K49" s="875">
        <f>SUM(K51:K52)</f>
        <v>0</v>
      </c>
      <c r="L49" s="876">
        <f t="shared" si="7"/>
        <v>0</v>
      </c>
      <c r="M49" s="877">
        <f t="shared" si="7"/>
        <v>0</v>
      </c>
      <c r="N49" s="877">
        <f t="shared" si="7"/>
        <v>0</v>
      </c>
      <c r="O49" s="1214" t="s">
        <v>353</v>
      </c>
      <c r="P49" s="1214" t="s">
        <v>353</v>
      </c>
      <c r="Q49" s="1065">
        <f t="shared" si="1"/>
        <v>0</v>
      </c>
      <c r="R49" s="1065">
        <f t="shared" si="1"/>
        <v>0</v>
      </c>
      <c r="S49" s="1065">
        <f t="shared" si="1"/>
        <v>0</v>
      </c>
      <c r="T49" s="1099"/>
      <c r="U49" s="1100"/>
      <c r="V49" s="1099"/>
      <c r="W49" s="1099"/>
      <c r="Z49" s="1311">
        <f t="shared" si="2"/>
        <v>0</v>
      </c>
    </row>
    <row r="50" spans="1:26" s="1216" customFormat="1" ht="78.75" hidden="1">
      <c r="A50" s="1320" t="s">
        <v>118</v>
      </c>
      <c r="B50" s="1322" t="s">
        <v>1047</v>
      </c>
      <c r="C50" s="894">
        <f>SUM(D50:E50)</f>
        <v>35000</v>
      </c>
      <c r="D50" s="1249">
        <v>0</v>
      </c>
      <c r="E50" s="1249">
        <v>35000</v>
      </c>
      <c r="F50" s="1326">
        <f>SUM(G50:H50)</f>
        <v>35000</v>
      </c>
      <c r="G50" s="1327">
        <v>0</v>
      </c>
      <c r="H50" s="1327">
        <v>35000</v>
      </c>
      <c r="I50" s="1326">
        <f t="shared" si="6"/>
        <v>0</v>
      </c>
      <c r="J50" s="1326">
        <v>0</v>
      </c>
      <c r="K50" s="1326">
        <v>0</v>
      </c>
      <c r="L50" s="877">
        <f t="shared" si="7"/>
        <v>0</v>
      </c>
      <c r="M50" s="877">
        <f t="shared" si="7"/>
        <v>0</v>
      </c>
      <c r="N50" s="877">
        <f t="shared" si="7"/>
        <v>0</v>
      </c>
      <c r="O50" s="1214" t="s">
        <v>1171</v>
      </c>
      <c r="P50" s="1214" t="s">
        <v>1133</v>
      </c>
      <c r="Q50" s="1065"/>
      <c r="R50" s="1065"/>
      <c r="S50" s="1065"/>
      <c r="T50" s="1099" t="s">
        <v>961</v>
      </c>
      <c r="U50" s="1100" t="s">
        <v>990</v>
      </c>
      <c r="V50" s="1099">
        <v>522</v>
      </c>
      <c r="W50" s="1099">
        <v>24357</v>
      </c>
      <c r="Z50" s="1311">
        <f t="shared" si="2"/>
        <v>0</v>
      </c>
    </row>
    <row r="51" spans="1:26" s="1216" customFormat="1" ht="78.75" hidden="1">
      <c r="A51" s="1320" t="s">
        <v>154</v>
      </c>
      <c r="B51" s="1084" t="s">
        <v>1048</v>
      </c>
      <c r="C51" s="894">
        <f>SUM(D51:E51)</f>
        <v>4500</v>
      </c>
      <c r="D51" s="1249">
        <v>0</v>
      </c>
      <c r="E51" s="1249">
        <v>4500</v>
      </c>
      <c r="F51" s="1326">
        <f>SUM(G51:H51)</f>
        <v>4500</v>
      </c>
      <c r="G51" s="1327">
        <v>0</v>
      </c>
      <c r="H51" s="1327">
        <v>4500</v>
      </c>
      <c r="I51" s="1326">
        <f t="shared" si="6"/>
        <v>0</v>
      </c>
      <c r="J51" s="1326">
        <v>0</v>
      </c>
      <c r="K51" s="1326">
        <v>0</v>
      </c>
      <c r="L51" s="877">
        <f t="shared" si="7"/>
        <v>0</v>
      </c>
      <c r="M51" s="877">
        <f t="shared" si="7"/>
        <v>0</v>
      </c>
      <c r="N51" s="877">
        <f t="shared" si="7"/>
        <v>0</v>
      </c>
      <c r="O51" s="1214" t="s">
        <v>1171</v>
      </c>
      <c r="P51" s="1214" t="s">
        <v>1116</v>
      </c>
      <c r="Q51" s="1065">
        <f t="shared" si="1"/>
        <v>0</v>
      </c>
      <c r="R51" s="1065">
        <f t="shared" si="1"/>
        <v>0</v>
      </c>
      <c r="S51" s="1065">
        <f t="shared" si="1"/>
        <v>0</v>
      </c>
      <c r="T51" s="1099" t="s">
        <v>886</v>
      </c>
      <c r="U51" s="1100" t="s">
        <v>967</v>
      </c>
      <c r="V51" s="1099">
        <v>522</v>
      </c>
      <c r="W51" s="1099" t="s">
        <v>991</v>
      </c>
      <c r="Z51" s="1311">
        <f t="shared" si="2"/>
        <v>0</v>
      </c>
    </row>
    <row r="52" spans="1:26" s="1216" customFormat="1" ht="78.75" hidden="1">
      <c r="A52" s="1320" t="s">
        <v>155</v>
      </c>
      <c r="B52" s="1084" t="s">
        <v>1049</v>
      </c>
      <c r="C52" s="894">
        <f t="shared" si="4"/>
        <v>17850</v>
      </c>
      <c r="D52" s="1249">
        <v>0</v>
      </c>
      <c r="E52" s="1249">
        <v>17850</v>
      </c>
      <c r="F52" s="1326">
        <f t="shared" si="5"/>
        <v>17850</v>
      </c>
      <c r="G52" s="1327">
        <v>0</v>
      </c>
      <c r="H52" s="1327">
        <v>17850</v>
      </c>
      <c r="I52" s="1326">
        <f t="shared" si="6"/>
        <v>0</v>
      </c>
      <c r="J52" s="1326">
        <v>0</v>
      </c>
      <c r="K52" s="1326">
        <v>0</v>
      </c>
      <c r="L52" s="877">
        <f t="shared" si="7"/>
        <v>0</v>
      </c>
      <c r="M52" s="877">
        <f t="shared" si="7"/>
        <v>0</v>
      </c>
      <c r="N52" s="877">
        <f t="shared" si="7"/>
        <v>0</v>
      </c>
      <c r="O52" s="1214" t="s">
        <v>1171</v>
      </c>
      <c r="P52" s="1214" t="s">
        <v>1116</v>
      </c>
      <c r="Q52" s="1065">
        <f t="shared" si="1"/>
        <v>0</v>
      </c>
      <c r="R52" s="1065">
        <f t="shared" si="1"/>
        <v>0</v>
      </c>
      <c r="S52" s="1065">
        <f t="shared" si="1"/>
        <v>0</v>
      </c>
      <c r="T52" s="1099" t="s">
        <v>886</v>
      </c>
      <c r="U52" s="1100" t="s">
        <v>967</v>
      </c>
      <c r="V52" s="1099">
        <v>522</v>
      </c>
      <c r="W52" s="1099" t="s">
        <v>969</v>
      </c>
      <c r="Z52" s="1311">
        <f t="shared" si="2"/>
        <v>0</v>
      </c>
    </row>
    <row r="53" spans="1:26" s="1216" customFormat="1" hidden="1">
      <c r="A53" s="1320"/>
      <c r="B53" s="898" t="s">
        <v>333</v>
      </c>
      <c r="C53" s="871">
        <f t="shared" si="4"/>
        <v>9843</v>
      </c>
      <c r="D53" s="1250">
        <f>SUM(D54:D55)</f>
        <v>0</v>
      </c>
      <c r="E53" s="1250">
        <f>SUM(E54:E55)</f>
        <v>9843</v>
      </c>
      <c r="F53" s="1325">
        <f t="shared" si="5"/>
        <v>9843</v>
      </c>
      <c r="G53" s="875">
        <f>SUM(G54:G55)</f>
        <v>0</v>
      </c>
      <c r="H53" s="875">
        <f>SUM(H54:H55)</f>
        <v>9843</v>
      </c>
      <c r="I53" s="1325">
        <f>SUM(J53:K53)</f>
        <v>0</v>
      </c>
      <c r="J53" s="875">
        <f>SUM(J54:J55)</f>
        <v>0</v>
      </c>
      <c r="K53" s="875">
        <f>SUM(K54:K55)</f>
        <v>0</v>
      </c>
      <c r="L53" s="876">
        <f t="shared" si="7"/>
        <v>0</v>
      </c>
      <c r="M53" s="877">
        <f t="shared" si="7"/>
        <v>0</v>
      </c>
      <c r="N53" s="877">
        <f t="shared" si="7"/>
        <v>0</v>
      </c>
      <c r="O53" s="1214" t="s">
        <v>353</v>
      </c>
      <c r="P53" s="1214" t="s">
        <v>353</v>
      </c>
      <c r="Q53" s="1065">
        <f t="shared" si="1"/>
        <v>0</v>
      </c>
      <c r="R53" s="1065">
        <f t="shared" si="1"/>
        <v>0</v>
      </c>
      <c r="S53" s="1065">
        <f t="shared" si="1"/>
        <v>0</v>
      </c>
      <c r="T53" s="1099"/>
      <c r="U53" s="1100"/>
      <c r="V53" s="1099"/>
      <c r="W53" s="1099"/>
      <c r="Z53" s="1311">
        <f t="shared" si="2"/>
        <v>0</v>
      </c>
    </row>
    <row r="54" spans="1:26" s="1216" customFormat="1" ht="52.5" hidden="1">
      <c r="A54" s="1320" t="s">
        <v>156</v>
      </c>
      <c r="B54" s="1084" t="s">
        <v>1051</v>
      </c>
      <c r="C54" s="894">
        <f>SUM(D54:E54)</f>
        <v>3000</v>
      </c>
      <c r="D54" s="1249">
        <v>0</v>
      </c>
      <c r="E54" s="1249">
        <v>3000</v>
      </c>
      <c r="F54" s="1326">
        <f>SUM(G54:H54)</f>
        <v>3000</v>
      </c>
      <c r="G54" s="1327">
        <v>0</v>
      </c>
      <c r="H54" s="1327">
        <v>3000</v>
      </c>
      <c r="I54" s="1326">
        <f t="shared" si="6"/>
        <v>0</v>
      </c>
      <c r="J54" s="1326">
        <v>0</v>
      </c>
      <c r="K54" s="1326">
        <v>0</v>
      </c>
      <c r="L54" s="877">
        <f t="shared" si="7"/>
        <v>0</v>
      </c>
      <c r="M54" s="877">
        <f t="shared" si="7"/>
        <v>0</v>
      </c>
      <c r="N54" s="877">
        <f t="shared" si="7"/>
        <v>0</v>
      </c>
      <c r="O54" s="1214" t="s">
        <v>1171</v>
      </c>
      <c r="P54" s="1214" t="s">
        <v>1116</v>
      </c>
      <c r="Q54" s="1065">
        <f t="shared" si="1"/>
        <v>0</v>
      </c>
      <c r="R54" s="1065">
        <f t="shared" si="1"/>
        <v>0</v>
      </c>
      <c r="S54" s="1065">
        <f t="shared" si="1"/>
        <v>0</v>
      </c>
      <c r="T54" s="1099" t="s">
        <v>886</v>
      </c>
      <c r="U54" s="1100" t="s">
        <v>967</v>
      </c>
      <c r="V54" s="1099">
        <v>522</v>
      </c>
      <c r="W54" s="1099" t="s">
        <v>994</v>
      </c>
      <c r="Z54" s="1311">
        <f t="shared" si="2"/>
        <v>0</v>
      </c>
    </row>
    <row r="55" spans="1:26" s="1216" customFormat="1" ht="52.5" hidden="1">
      <c r="A55" s="1320" t="s">
        <v>122</v>
      </c>
      <c r="B55" s="1084" t="s">
        <v>1050</v>
      </c>
      <c r="C55" s="894">
        <f t="shared" si="4"/>
        <v>6843</v>
      </c>
      <c r="D55" s="1249">
        <v>0</v>
      </c>
      <c r="E55" s="1249">
        <v>6843</v>
      </c>
      <c r="F55" s="1326">
        <f t="shared" si="5"/>
        <v>6843</v>
      </c>
      <c r="G55" s="1327">
        <v>0</v>
      </c>
      <c r="H55" s="1327">
        <v>6843</v>
      </c>
      <c r="I55" s="1326">
        <f t="shared" si="6"/>
        <v>0</v>
      </c>
      <c r="J55" s="1326">
        <v>0</v>
      </c>
      <c r="K55" s="1326">
        <v>0</v>
      </c>
      <c r="L55" s="877">
        <f t="shared" si="7"/>
        <v>0</v>
      </c>
      <c r="M55" s="877">
        <f t="shared" si="7"/>
        <v>0</v>
      </c>
      <c r="N55" s="877">
        <f t="shared" si="7"/>
        <v>0</v>
      </c>
      <c r="O55" s="1214" t="s">
        <v>1171</v>
      </c>
      <c r="P55" s="1214" t="s">
        <v>1116</v>
      </c>
      <c r="Q55" s="1065">
        <f t="shared" si="1"/>
        <v>0</v>
      </c>
      <c r="R55" s="1065">
        <f t="shared" si="1"/>
        <v>0</v>
      </c>
      <c r="S55" s="1065">
        <f t="shared" si="1"/>
        <v>0</v>
      </c>
      <c r="T55" s="1099" t="s">
        <v>886</v>
      </c>
      <c r="U55" s="1100" t="s">
        <v>967</v>
      </c>
      <c r="V55" s="1099">
        <v>522</v>
      </c>
      <c r="W55" s="1099" t="s">
        <v>995</v>
      </c>
      <c r="Z55" s="1311">
        <f t="shared" si="2"/>
        <v>0</v>
      </c>
    </row>
    <row r="56" spans="1:26" s="1216" customFormat="1" hidden="1">
      <c r="A56" s="1320"/>
      <c r="B56" s="898" t="s">
        <v>443</v>
      </c>
      <c r="C56" s="871">
        <f>SUM(D56:E56)</f>
        <v>4368</v>
      </c>
      <c r="D56" s="1250">
        <f>D57</f>
        <v>0</v>
      </c>
      <c r="E56" s="1250">
        <f>E57</f>
        <v>4368</v>
      </c>
      <c r="F56" s="1325">
        <f>SUM(G56:H56)</f>
        <v>4368</v>
      </c>
      <c r="G56" s="875">
        <f>G57</f>
        <v>0</v>
      </c>
      <c r="H56" s="875">
        <f>H57</f>
        <v>4368</v>
      </c>
      <c r="I56" s="1325">
        <f>SUM(J56:K56)</f>
        <v>0</v>
      </c>
      <c r="J56" s="875">
        <f>J57</f>
        <v>0</v>
      </c>
      <c r="K56" s="875">
        <f>K57</f>
        <v>0</v>
      </c>
      <c r="L56" s="876">
        <f t="shared" si="7"/>
        <v>0</v>
      </c>
      <c r="M56" s="877">
        <f t="shared" si="7"/>
        <v>0</v>
      </c>
      <c r="N56" s="877">
        <f t="shared" si="7"/>
        <v>0</v>
      </c>
      <c r="O56" s="1214" t="s">
        <v>353</v>
      </c>
      <c r="P56" s="1214" t="s">
        <v>353</v>
      </c>
      <c r="Q56" s="1065">
        <f t="shared" si="1"/>
        <v>0</v>
      </c>
      <c r="R56" s="1065">
        <f t="shared" si="1"/>
        <v>0</v>
      </c>
      <c r="S56" s="1065">
        <f t="shared" si="1"/>
        <v>0</v>
      </c>
      <c r="T56" s="1099"/>
      <c r="U56" s="1100"/>
      <c r="V56" s="1099"/>
      <c r="W56" s="1099"/>
      <c r="Z56" s="1311">
        <f t="shared" si="2"/>
        <v>0</v>
      </c>
    </row>
    <row r="57" spans="1:26" s="1216" customFormat="1" ht="52.5" hidden="1">
      <c r="A57" s="1320" t="s">
        <v>123</v>
      </c>
      <c r="B57" s="1084" t="s">
        <v>1052</v>
      </c>
      <c r="C57" s="894">
        <f>SUM(D57:E57)</f>
        <v>4368</v>
      </c>
      <c r="D57" s="1249">
        <v>0</v>
      </c>
      <c r="E57" s="1249">
        <v>4368</v>
      </c>
      <c r="F57" s="1326">
        <f>SUM(G57:H57)</f>
        <v>4368</v>
      </c>
      <c r="G57" s="1327">
        <v>0</v>
      </c>
      <c r="H57" s="1327">
        <v>4368</v>
      </c>
      <c r="I57" s="1326">
        <f t="shared" si="6"/>
        <v>0</v>
      </c>
      <c r="J57" s="1326">
        <v>0</v>
      </c>
      <c r="K57" s="1326">
        <v>0</v>
      </c>
      <c r="L57" s="877">
        <f t="shared" si="7"/>
        <v>0</v>
      </c>
      <c r="M57" s="877">
        <f t="shared" si="7"/>
        <v>0</v>
      </c>
      <c r="N57" s="877">
        <f t="shared" si="7"/>
        <v>0</v>
      </c>
      <c r="O57" s="1214" t="s">
        <v>1171</v>
      </c>
      <c r="P57" s="1214" t="s">
        <v>1116</v>
      </c>
      <c r="Q57" s="1065">
        <f t="shared" si="1"/>
        <v>0</v>
      </c>
      <c r="R57" s="1065">
        <f t="shared" si="1"/>
        <v>0</v>
      </c>
      <c r="S57" s="1065">
        <f t="shared" si="1"/>
        <v>0</v>
      </c>
      <c r="T57" s="1099" t="s">
        <v>886</v>
      </c>
      <c r="U57" s="1100" t="s">
        <v>967</v>
      </c>
      <c r="V57" s="1099">
        <v>522</v>
      </c>
      <c r="W57" s="1099" t="s">
        <v>986</v>
      </c>
      <c r="Z57" s="1311">
        <f t="shared" si="2"/>
        <v>0</v>
      </c>
    </row>
    <row r="58" spans="1:26" s="1216" customFormat="1" hidden="1">
      <c r="A58" s="1320"/>
      <c r="B58" s="898" t="s">
        <v>90</v>
      </c>
      <c r="C58" s="871">
        <f t="shared" si="4"/>
        <v>1300</v>
      </c>
      <c r="D58" s="1250">
        <f>D59</f>
        <v>0</v>
      </c>
      <c r="E58" s="1250">
        <f>E59</f>
        <v>1300</v>
      </c>
      <c r="F58" s="1325">
        <f t="shared" si="5"/>
        <v>1300</v>
      </c>
      <c r="G58" s="875">
        <f>G59</f>
        <v>0</v>
      </c>
      <c r="H58" s="875">
        <f>H59</f>
        <v>1300</v>
      </c>
      <c r="I58" s="1325">
        <f>SUM(J58:K58)</f>
        <v>0</v>
      </c>
      <c r="J58" s="875">
        <f>J59</f>
        <v>0</v>
      </c>
      <c r="K58" s="875">
        <f>K59</f>
        <v>0</v>
      </c>
      <c r="L58" s="876">
        <f t="shared" si="7"/>
        <v>0</v>
      </c>
      <c r="M58" s="877">
        <f t="shared" si="7"/>
        <v>0</v>
      </c>
      <c r="N58" s="877">
        <f t="shared" si="7"/>
        <v>0</v>
      </c>
      <c r="O58" s="1214" t="s">
        <v>353</v>
      </c>
      <c r="P58" s="1214" t="s">
        <v>353</v>
      </c>
      <c r="Q58" s="1065">
        <f t="shared" si="1"/>
        <v>0</v>
      </c>
      <c r="R58" s="1065">
        <f t="shared" si="1"/>
        <v>0</v>
      </c>
      <c r="S58" s="1065">
        <f t="shared" si="1"/>
        <v>0</v>
      </c>
      <c r="T58" s="1099"/>
      <c r="U58" s="1100"/>
      <c r="V58" s="1099"/>
      <c r="W58" s="1099"/>
      <c r="Z58" s="1311">
        <f t="shared" si="2"/>
        <v>0</v>
      </c>
    </row>
    <row r="59" spans="1:26" s="1216" customFormat="1" ht="60" hidden="1" customHeight="1">
      <c r="A59" s="1320" t="s">
        <v>124</v>
      </c>
      <c r="B59" s="1084" t="s">
        <v>1053</v>
      </c>
      <c r="C59" s="894">
        <f t="shared" si="4"/>
        <v>1300</v>
      </c>
      <c r="D59" s="1249">
        <v>0</v>
      </c>
      <c r="E59" s="1249">
        <v>1300</v>
      </c>
      <c r="F59" s="1326">
        <f t="shared" si="5"/>
        <v>1300</v>
      </c>
      <c r="G59" s="1327">
        <v>0</v>
      </c>
      <c r="H59" s="1327">
        <v>1300</v>
      </c>
      <c r="I59" s="1326">
        <f t="shared" si="6"/>
        <v>0</v>
      </c>
      <c r="J59" s="1326">
        <v>0</v>
      </c>
      <c r="K59" s="1326">
        <v>0</v>
      </c>
      <c r="L59" s="877">
        <f t="shared" si="7"/>
        <v>0</v>
      </c>
      <c r="M59" s="877">
        <f t="shared" si="7"/>
        <v>0</v>
      </c>
      <c r="N59" s="877">
        <f t="shared" si="7"/>
        <v>0</v>
      </c>
      <c r="O59" s="1214" t="s">
        <v>1182</v>
      </c>
      <c r="P59" s="1214" t="s">
        <v>1134</v>
      </c>
      <c r="Q59" s="1065">
        <f t="shared" si="1"/>
        <v>0</v>
      </c>
      <c r="R59" s="1065">
        <f t="shared" si="1"/>
        <v>0</v>
      </c>
      <c r="S59" s="1065">
        <f t="shared" si="1"/>
        <v>0</v>
      </c>
      <c r="T59" s="1099" t="s">
        <v>886</v>
      </c>
      <c r="U59" s="1100">
        <v>520343220</v>
      </c>
      <c r="V59" s="1099">
        <v>522</v>
      </c>
      <c r="W59" s="1099" t="s">
        <v>994</v>
      </c>
      <c r="Z59" s="1311">
        <f t="shared" si="2"/>
        <v>0</v>
      </c>
    </row>
    <row r="60" spans="1:26" s="1216" customFormat="1" hidden="1">
      <c r="A60" s="1320"/>
      <c r="B60" s="898" t="s">
        <v>712</v>
      </c>
      <c r="C60" s="871">
        <f t="shared" si="4"/>
        <v>2300</v>
      </c>
      <c r="D60" s="1250">
        <f>D61</f>
        <v>0</v>
      </c>
      <c r="E60" s="1250">
        <f>E61</f>
        <v>2300</v>
      </c>
      <c r="F60" s="1325">
        <f t="shared" si="5"/>
        <v>2300</v>
      </c>
      <c r="G60" s="875">
        <f>G61</f>
        <v>0</v>
      </c>
      <c r="H60" s="875">
        <f>H61</f>
        <v>2300</v>
      </c>
      <c r="I60" s="1325">
        <f>SUM(J60:K60)</f>
        <v>0</v>
      </c>
      <c r="J60" s="875">
        <f>J61</f>
        <v>0</v>
      </c>
      <c r="K60" s="875">
        <f>K61</f>
        <v>0</v>
      </c>
      <c r="L60" s="876">
        <f t="shared" si="7"/>
        <v>0</v>
      </c>
      <c r="M60" s="877">
        <f t="shared" si="7"/>
        <v>0</v>
      </c>
      <c r="N60" s="877">
        <f t="shared" si="7"/>
        <v>0</v>
      </c>
      <c r="O60" s="1214" t="s">
        <v>353</v>
      </c>
      <c r="P60" s="1214" t="s">
        <v>353</v>
      </c>
      <c r="Q60" s="1065">
        <f t="shared" si="1"/>
        <v>0</v>
      </c>
      <c r="R60" s="1065">
        <f t="shared" si="1"/>
        <v>0</v>
      </c>
      <c r="S60" s="1065">
        <f t="shared" si="1"/>
        <v>0</v>
      </c>
      <c r="T60" s="1099"/>
      <c r="U60" s="1100"/>
      <c r="V60" s="1099"/>
      <c r="W60" s="1099"/>
      <c r="Z60" s="1311">
        <f t="shared" si="2"/>
        <v>0</v>
      </c>
    </row>
    <row r="61" spans="1:26" s="1216" customFormat="1" ht="55.5" hidden="1" customHeight="1">
      <c r="A61" s="1320" t="s">
        <v>125</v>
      </c>
      <c r="B61" s="1084" t="s">
        <v>1054</v>
      </c>
      <c r="C61" s="894">
        <f t="shared" si="4"/>
        <v>2300</v>
      </c>
      <c r="D61" s="1249">
        <v>0</v>
      </c>
      <c r="E61" s="1249">
        <v>2300</v>
      </c>
      <c r="F61" s="1326">
        <f t="shared" si="5"/>
        <v>2300</v>
      </c>
      <c r="G61" s="1327">
        <v>0</v>
      </c>
      <c r="H61" s="1327">
        <v>2300</v>
      </c>
      <c r="I61" s="1326">
        <f t="shared" si="6"/>
        <v>0</v>
      </c>
      <c r="J61" s="1326">
        <v>0</v>
      </c>
      <c r="K61" s="1326">
        <v>0</v>
      </c>
      <c r="L61" s="877">
        <f t="shared" si="7"/>
        <v>0</v>
      </c>
      <c r="M61" s="877">
        <f t="shared" si="7"/>
        <v>0</v>
      </c>
      <c r="N61" s="877">
        <f t="shared" si="7"/>
        <v>0</v>
      </c>
      <c r="O61" s="1214" t="s">
        <v>1183</v>
      </c>
      <c r="P61" s="1214" t="s">
        <v>1135</v>
      </c>
      <c r="Q61" s="1065">
        <f t="shared" si="1"/>
        <v>0</v>
      </c>
      <c r="R61" s="1065">
        <f t="shared" si="1"/>
        <v>0</v>
      </c>
      <c r="S61" s="1065">
        <f t="shared" si="1"/>
        <v>0</v>
      </c>
      <c r="T61" s="1099" t="s">
        <v>886</v>
      </c>
      <c r="U61" s="1100" t="s">
        <v>967</v>
      </c>
      <c r="V61" s="1099">
        <v>522</v>
      </c>
      <c r="W61" s="1099" t="s">
        <v>983</v>
      </c>
      <c r="Z61" s="1311">
        <f t="shared" si="2"/>
        <v>0</v>
      </c>
    </row>
    <row r="62" spans="1:26" s="1216" customFormat="1" hidden="1">
      <c r="A62" s="1320"/>
      <c r="B62" s="898" t="s">
        <v>46</v>
      </c>
      <c r="C62" s="871">
        <f t="shared" si="4"/>
        <v>12500</v>
      </c>
      <c r="D62" s="1250">
        <f>D63</f>
        <v>0</v>
      </c>
      <c r="E62" s="1250">
        <f>E63</f>
        <v>12500</v>
      </c>
      <c r="F62" s="1325">
        <f t="shared" si="5"/>
        <v>12500</v>
      </c>
      <c r="G62" s="875">
        <f>G63</f>
        <v>0</v>
      </c>
      <c r="H62" s="875">
        <f>H63</f>
        <v>12500</v>
      </c>
      <c r="I62" s="1325">
        <f>SUM(J62:K62)</f>
        <v>0</v>
      </c>
      <c r="J62" s="875">
        <f>J63</f>
        <v>0</v>
      </c>
      <c r="K62" s="875">
        <f>K63</f>
        <v>0</v>
      </c>
      <c r="L62" s="876">
        <f t="shared" si="7"/>
        <v>0</v>
      </c>
      <c r="M62" s="877">
        <f t="shared" si="7"/>
        <v>0</v>
      </c>
      <c r="N62" s="877">
        <f t="shared" si="7"/>
        <v>0</v>
      </c>
      <c r="O62" s="1214" t="s">
        <v>353</v>
      </c>
      <c r="P62" s="1214" t="s">
        <v>353</v>
      </c>
      <c r="Q62" s="1065">
        <f t="shared" si="1"/>
        <v>0</v>
      </c>
      <c r="R62" s="1065">
        <f t="shared" si="1"/>
        <v>0</v>
      </c>
      <c r="S62" s="1065">
        <f t="shared" si="1"/>
        <v>0</v>
      </c>
      <c r="T62" s="1099"/>
      <c r="U62" s="1100"/>
      <c r="V62" s="1099"/>
      <c r="W62" s="1099"/>
      <c r="Z62" s="1311">
        <f t="shared" si="2"/>
        <v>0</v>
      </c>
    </row>
    <row r="63" spans="1:26" s="1216" customFormat="1" ht="120" hidden="1" customHeight="1">
      <c r="A63" s="1320" t="s">
        <v>126</v>
      </c>
      <c r="B63" s="1084" t="s">
        <v>1055</v>
      </c>
      <c r="C63" s="894">
        <f t="shared" si="4"/>
        <v>12500</v>
      </c>
      <c r="D63" s="1249">
        <v>0</v>
      </c>
      <c r="E63" s="1249">
        <v>12500</v>
      </c>
      <c r="F63" s="1326">
        <f t="shared" si="5"/>
        <v>12500</v>
      </c>
      <c r="G63" s="1327">
        <v>0</v>
      </c>
      <c r="H63" s="1327">
        <v>12500</v>
      </c>
      <c r="I63" s="1326"/>
      <c r="J63" s="1326">
        <v>0</v>
      </c>
      <c r="K63" s="1326">
        <v>0</v>
      </c>
      <c r="L63" s="877">
        <f t="shared" si="7"/>
        <v>0</v>
      </c>
      <c r="M63" s="877">
        <f t="shared" si="7"/>
        <v>0</v>
      </c>
      <c r="N63" s="877">
        <f t="shared" si="7"/>
        <v>0</v>
      </c>
      <c r="O63" s="1214" t="s">
        <v>1184</v>
      </c>
      <c r="P63" s="1214" t="s">
        <v>1136</v>
      </c>
      <c r="Q63" s="1065">
        <f t="shared" si="1"/>
        <v>0</v>
      </c>
      <c r="R63" s="1065">
        <f t="shared" si="1"/>
        <v>0</v>
      </c>
      <c r="S63" s="1065">
        <f t="shared" si="1"/>
        <v>0</v>
      </c>
      <c r="T63" s="1099" t="s">
        <v>886</v>
      </c>
      <c r="U63" s="1100" t="s">
        <v>966</v>
      </c>
      <c r="V63" s="1099">
        <v>522</v>
      </c>
      <c r="W63" s="1099" t="s">
        <v>977</v>
      </c>
      <c r="Z63" s="1311">
        <f t="shared" si="2"/>
        <v>0</v>
      </c>
    </row>
    <row r="64" spans="1:26" hidden="1">
      <c r="A64" s="1320"/>
      <c r="B64" s="898" t="s">
        <v>457</v>
      </c>
      <c r="C64" s="871">
        <f t="shared" si="4"/>
        <v>34000</v>
      </c>
      <c r="D64" s="1250">
        <f>SUM(D65:D69)</f>
        <v>0</v>
      </c>
      <c r="E64" s="1250">
        <f>SUM(E65:E69)</f>
        <v>34000</v>
      </c>
      <c r="F64" s="1325">
        <f t="shared" si="5"/>
        <v>34000</v>
      </c>
      <c r="G64" s="875">
        <f>SUM(G65:G69)</f>
        <v>0</v>
      </c>
      <c r="H64" s="875">
        <f>SUM(H65:H69)</f>
        <v>34000</v>
      </c>
      <c r="I64" s="1325">
        <f>SUM(J64:K64)</f>
        <v>0</v>
      </c>
      <c r="J64" s="875">
        <f>SUM(J65:J69)</f>
        <v>0</v>
      </c>
      <c r="K64" s="875">
        <f>SUM(K65:K69)</f>
        <v>0</v>
      </c>
      <c r="L64" s="876">
        <f t="shared" si="7"/>
        <v>0</v>
      </c>
      <c r="M64" s="877">
        <f t="shared" si="7"/>
        <v>0</v>
      </c>
      <c r="N64" s="877">
        <f t="shared" si="7"/>
        <v>0</v>
      </c>
      <c r="O64" s="1214" t="s">
        <v>353</v>
      </c>
      <c r="P64" s="1214" t="s">
        <v>353</v>
      </c>
      <c r="Q64" s="1065">
        <f t="shared" si="1"/>
        <v>0</v>
      </c>
      <c r="R64" s="1065">
        <f t="shared" si="1"/>
        <v>0</v>
      </c>
      <c r="S64" s="1065">
        <f t="shared" si="1"/>
        <v>0</v>
      </c>
      <c r="Z64" s="1311">
        <f t="shared" si="2"/>
        <v>0</v>
      </c>
    </row>
    <row r="65" spans="1:26" ht="105" hidden="1">
      <c r="A65" s="1320" t="s">
        <v>127</v>
      </c>
      <c r="B65" s="1084" t="s">
        <v>1056</v>
      </c>
      <c r="C65" s="894">
        <f t="shared" si="4"/>
        <v>10000</v>
      </c>
      <c r="D65" s="1249">
        <v>0</v>
      </c>
      <c r="E65" s="1249">
        <v>10000</v>
      </c>
      <c r="F65" s="1326">
        <f t="shared" si="5"/>
        <v>10000</v>
      </c>
      <c r="G65" s="1327">
        <v>0</v>
      </c>
      <c r="H65" s="1327">
        <v>10000</v>
      </c>
      <c r="I65" s="2440">
        <f>SUM(J65:K69)</f>
        <v>0</v>
      </c>
      <c r="J65" s="2440">
        <v>0</v>
      </c>
      <c r="K65" s="2440">
        <v>0</v>
      </c>
      <c r="L65" s="2415">
        <f>IF(I65=0,0,I65/F65:F69*100)</f>
        <v>0</v>
      </c>
      <c r="M65" s="2415">
        <f>IF(J65=0,0,J65/G65:G69*100)</f>
        <v>0</v>
      </c>
      <c r="N65" s="2415">
        <f>IF(K65=0,0,K65/H65:H69*100)</f>
        <v>0</v>
      </c>
      <c r="O65" s="1214" t="s">
        <v>1171</v>
      </c>
      <c r="P65" s="1213" t="s">
        <v>1137</v>
      </c>
      <c r="Q65" s="1065">
        <f t="shared" si="1"/>
        <v>0</v>
      </c>
      <c r="R65" s="1065">
        <f t="shared" si="1"/>
        <v>0</v>
      </c>
      <c r="S65" s="1065">
        <f t="shared" si="1"/>
        <v>0</v>
      </c>
      <c r="T65" s="2410" t="s">
        <v>886</v>
      </c>
      <c r="U65" s="2410" t="s">
        <v>966</v>
      </c>
      <c r="V65" s="2410">
        <v>522</v>
      </c>
      <c r="W65" s="2410" t="s">
        <v>979</v>
      </c>
      <c r="X65" s="2465"/>
      <c r="Z65" s="1311">
        <f t="shared" si="2"/>
        <v>0</v>
      </c>
    </row>
    <row r="66" spans="1:26" ht="164.25" hidden="1" customHeight="1">
      <c r="A66" s="1320" t="s">
        <v>128</v>
      </c>
      <c r="B66" s="1084" t="s">
        <v>1057</v>
      </c>
      <c r="C66" s="894">
        <f t="shared" si="4"/>
        <v>6400</v>
      </c>
      <c r="D66" s="1249">
        <v>0</v>
      </c>
      <c r="E66" s="1249">
        <v>6400</v>
      </c>
      <c r="F66" s="1326">
        <f t="shared" si="5"/>
        <v>6400</v>
      </c>
      <c r="G66" s="1327">
        <v>0</v>
      </c>
      <c r="H66" s="1327">
        <v>6400</v>
      </c>
      <c r="I66" s="2458"/>
      <c r="J66" s="2458"/>
      <c r="K66" s="2458"/>
      <c r="L66" s="2416"/>
      <c r="M66" s="2416"/>
      <c r="N66" s="2416"/>
      <c r="O66" s="1214" t="s">
        <v>1171</v>
      </c>
      <c r="P66" s="2472" t="s">
        <v>1138</v>
      </c>
      <c r="Q66" s="1065">
        <f t="shared" si="1"/>
        <v>0</v>
      </c>
      <c r="R66" s="1065">
        <f t="shared" si="1"/>
        <v>0</v>
      </c>
      <c r="S66" s="1065">
        <f t="shared" si="1"/>
        <v>0</v>
      </c>
      <c r="T66" s="2410"/>
      <c r="U66" s="2410"/>
      <c r="V66" s="2410"/>
      <c r="W66" s="2410"/>
      <c r="X66" s="2465"/>
      <c r="Z66" s="1311">
        <f t="shared" si="2"/>
        <v>0</v>
      </c>
    </row>
    <row r="67" spans="1:26" ht="157.5" hidden="1">
      <c r="A67" s="1320" t="s">
        <v>158</v>
      </c>
      <c r="B67" s="1084" t="s">
        <v>1058</v>
      </c>
      <c r="C67" s="894">
        <f t="shared" si="4"/>
        <v>4600</v>
      </c>
      <c r="D67" s="1249">
        <v>0</v>
      </c>
      <c r="E67" s="1249">
        <v>4600</v>
      </c>
      <c r="F67" s="1326">
        <f t="shared" si="5"/>
        <v>4600</v>
      </c>
      <c r="G67" s="1327">
        <v>0</v>
      </c>
      <c r="H67" s="1327">
        <v>4600</v>
      </c>
      <c r="I67" s="2458"/>
      <c r="J67" s="2458"/>
      <c r="K67" s="2458"/>
      <c r="L67" s="2416"/>
      <c r="M67" s="2416"/>
      <c r="N67" s="2416"/>
      <c r="O67" s="1214" t="s">
        <v>1171</v>
      </c>
      <c r="P67" s="2472"/>
      <c r="Q67" s="1065">
        <f t="shared" si="1"/>
        <v>0</v>
      </c>
      <c r="R67" s="1065">
        <f t="shared" si="1"/>
        <v>0</v>
      </c>
      <c r="S67" s="1065">
        <f t="shared" si="1"/>
        <v>0</v>
      </c>
      <c r="T67" s="2410"/>
      <c r="U67" s="2410"/>
      <c r="V67" s="2410"/>
      <c r="W67" s="2410"/>
      <c r="X67" s="2465"/>
      <c r="Z67" s="1311">
        <f t="shared" si="2"/>
        <v>0</v>
      </c>
    </row>
    <row r="68" spans="1:26" ht="141" hidden="1" customHeight="1">
      <c r="A68" s="1320" t="s">
        <v>129</v>
      </c>
      <c r="B68" s="1084" t="s">
        <v>1059</v>
      </c>
      <c r="C68" s="894">
        <f t="shared" si="4"/>
        <v>10000</v>
      </c>
      <c r="D68" s="1249">
        <v>0</v>
      </c>
      <c r="E68" s="1249">
        <v>10000</v>
      </c>
      <c r="F68" s="1326">
        <f t="shared" si="5"/>
        <v>10000</v>
      </c>
      <c r="G68" s="1327">
        <v>0</v>
      </c>
      <c r="H68" s="1327">
        <v>10000</v>
      </c>
      <c r="I68" s="2458"/>
      <c r="J68" s="2458"/>
      <c r="K68" s="2458"/>
      <c r="L68" s="2416"/>
      <c r="M68" s="2416"/>
      <c r="N68" s="2416"/>
      <c r="O68" s="1214" t="s">
        <v>1171</v>
      </c>
      <c r="P68" s="1213" t="s">
        <v>1137</v>
      </c>
      <c r="Q68" s="1065">
        <f t="shared" si="1"/>
        <v>0</v>
      </c>
      <c r="R68" s="1065">
        <f t="shared" si="1"/>
        <v>0</v>
      </c>
      <c r="S68" s="1065">
        <f t="shared" si="1"/>
        <v>0</v>
      </c>
      <c r="T68" s="2410"/>
      <c r="U68" s="2410"/>
      <c r="V68" s="2410"/>
      <c r="W68" s="2410"/>
      <c r="X68" s="2465"/>
      <c r="Z68" s="1311">
        <f t="shared" si="2"/>
        <v>0</v>
      </c>
    </row>
    <row r="69" spans="1:26" ht="150" hidden="1" customHeight="1">
      <c r="A69" s="1320" t="s">
        <v>159</v>
      </c>
      <c r="B69" s="1084" t="s">
        <v>1060</v>
      </c>
      <c r="C69" s="894">
        <f t="shared" si="4"/>
        <v>3000</v>
      </c>
      <c r="D69" s="1249">
        <v>0</v>
      </c>
      <c r="E69" s="1249">
        <v>3000</v>
      </c>
      <c r="F69" s="1326">
        <f t="shared" si="5"/>
        <v>3000</v>
      </c>
      <c r="G69" s="1327">
        <v>0</v>
      </c>
      <c r="H69" s="1327">
        <v>3000</v>
      </c>
      <c r="I69" s="2441"/>
      <c r="J69" s="2441"/>
      <c r="K69" s="2441"/>
      <c r="L69" s="2417"/>
      <c r="M69" s="2417"/>
      <c r="N69" s="2417"/>
      <c r="O69" s="1214" t="s">
        <v>1171</v>
      </c>
      <c r="P69" s="1213" t="s">
        <v>1137</v>
      </c>
      <c r="Q69" s="1065">
        <f t="shared" si="1"/>
        <v>0</v>
      </c>
      <c r="R69" s="1065">
        <f t="shared" si="1"/>
        <v>0</v>
      </c>
      <c r="S69" s="1065">
        <f t="shared" si="1"/>
        <v>0</v>
      </c>
      <c r="T69" s="2410"/>
      <c r="U69" s="2410"/>
      <c r="V69" s="2410"/>
      <c r="W69" s="2410"/>
      <c r="X69" s="2465"/>
      <c r="Z69" s="1311">
        <f t="shared" si="2"/>
        <v>0</v>
      </c>
    </row>
    <row r="70" spans="1:26" s="914" customFormat="1" ht="92.25" hidden="1" customHeight="1">
      <c r="A70" s="1090"/>
      <c r="B70" s="1277" t="s">
        <v>444</v>
      </c>
      <c r="C70" s="1090">
        <f>D70+E70</f>
        <v>325874.3</v>
      </c>
      <c r="D70" s="1090">
        <f>SUM(D71,D74,D77,D79,D81,D83,D86)</f>
        <v>306319.40000000002</v>
      </c>
      <c r="E70" s="1090">
        <f>SUM(E71,E74,E77,E79,E81,E83,E86)</f>
        <v>19554.900000000001</v>
      </c>
      <c r="F70" s="1090">
        <f>G70+H70</f>
        <v>325874.3</v>
      </c>
      <c r="G70" s="1091">
        <f>SUM(G71,G74,G77,G79,G81,G83,G86)</f>
        <v>306319.40000000002</v>
      </c>
      <c r="H70" s="1091">
        <f>SUM(H71,H74,H77,H81,H79,H83,H86)</f>
        <v>19554.900000000001</v>
      </c>
      <c r="I70" s="1090">
        <f>J70+K70</f>
        <v>32894.5</v>
      </c>
      <c r="J70" s="1090">
        <f>SUM(J71,J74,J77,J79,J81,J83,J86)</f>
        <v>30920.7</v>
      </c>
      <c r="K70" s="1090">
        <f>SUM(K71,K74,K77,K81,K79,K83,K86)</f>
        <v>1973.8</v>
      </c>
      <c r="L70" s="1092">
        <f t="shared" ref="L70:N90" si="8">IF(I70=0,0,I70/F70*100)</f>
        <v>10.1</v>
      </c>
      <c r="M70" s="1093">
        <f t="shared" si="8"/>
        <v>10.1</v>
      </c>
      <c r="N70" s="1093">
        <f t="shared" si="8"/>
        <v>10.1</v>
      </c>
      <c r="O70" s="1224" t="s">
        <v>1117</v>
      </c>
      <c r="P70" s="1224" t="s">
        <v>1117</v>
      </c>
      <c r="Q70" s="1065">
        <f t="shared" si="1"/>
        <v>0</v>
      </c>
      <c r="R70" s="1065">
        <f t="shared" si="1"/>
        <v>0</v>
      </c>
      <c r="S70" s="1065">
        <f t="shared" si="1"/>
        <v>0</v>
      </c>
      <c r="T70" s="1099"/>
      <c r="U70" s="1100"/>
      <c r="V70" s="1099"/>
      <c r="W70" s="1099"/>
      <c r="X70" s="1216"/>
      <c r="Z70" s="1311">
        <f t="shared" si="2"/>
        <v>0</v>
      </c>
    </row>
    <row r="71" spans="1:26" hidden="1">
      <c r="A71" s="1320"/>
      <c r="B71" s="1236" t="s">
        <v>431</v>
      </c>
      <c r="C71" s="871">
        <f t="shared" ref="C71:C120" si="9">SUM(D71:E71)</f>
        <v>53340.2</v>
      </c>
      <c r="D71" s="1251">
        <f>D72+D73</f>
        <v>50139.4</v>
      </c>
      <c r="E71" s="1251">
        <f>E72+E73</f>
        <v>3200.8</v>
      </c>
      <c r="F71" s="1325">
        <f t="shared" ref="F71:F120" si="10">SUM(G71:H71)</f>
        <v>53340.2</v>
      </c>
      <c r="G71" s="880">
        <f>G72+G73</f>
        <v>50139.4</v>
      </c>
      <c r="H71" s="880">
        <f>H72+H73</f>
        <v>3200.8</v>
      </c>
      <c r="I71" s="1325">
        <f t="shared" ref="I71:I120" si="11">SUM(J71:K71)</f>
        <v>15377.1</v>
      </c>
      <c r="J71" s="1325">
        <f>J72+J73</f>
        <v>14454.3</v>
      </c>
      <c r="K71" s="1325">
        <f>K72+K73</f>
        <v>922.8</v>
      </c>
      <c r="L71" s="877">
        <f t="shared" si="8"/>
        <v>28.8</v>
      </c>
      <c r="M71" s="877">
        <f t="shared" si="8"/>
        <v>28.8</v>
      </c>
      <c r="N71" s="877">
        <f t="shared" si="8"/>
        <v>28.8</v>
      </c>
      <c r="O71" s="1214" t="s">
        <v>1117</v>
      </c>
      <c r="P71" s="1214" t="s">
        <v>1117</v>
      </c>
      <c r="Q71" s="1065">
        <f t="shared" si="1"/>
        <v>0</v>
      </c>
      <c r="R71" s="1065">
        <f t="shared" si="1"/>
        <v>0</v>
      </c>
      <c r="S71" s="1065">
        <f t="shared" si="1"/>
        <v>0</v>
      </c>
      <c r="Z71" s="1311">
        <f t="shared" si="2"/>
        <v>0</v>
      </c>
    </row>
    <row r="72" spans="1:26" ht="36.75" hidden="1" customHeight="1">
      <c r="A72" s="895">
        <v>35</v>
      </c>
      <c r="B72" s="1075" t="s">
        <v>690</v>
      </c>
      <c r="C72" s="894">
        <f t="shared" si="9"/>
        <v>11063.4</v>
      </c>
      <c r="D72" s="972">
        <f>10318.8+80.6</f>
        <v>10399.4</v>
      </c>
      <c r="E72" s="972">
        <f>658.8+5.15</f>
        <v>664</v>
      </c>
      <c r="F72" s="1326">
        <f t="shared" si="10"/>
        <v>11063.4</v>
      </c>
      <c r="G72" s="879">
        <f>D72</f>
        <v>10399.4</v>
      </c>
      <c r="H72" s="879">
        <f>E72</f>
        <v>664</v>
      </c>
      <c r="I72" s="1326">
        <f t="shared" si="11"/>
        <v>6921.7</v>
      </c>
      <c r="J72" s="1326">
        <v>6506.3</v>
      </c>
      <c r="K72" s="1326">
        <v>415.4</v>
      </c>
      <c r="L72" s="877">
        <f t="shared" si="8"/>
        <v>62.6</v>
      </c>
      <c r="M72" s="877">
        <f t="shared" si="8"/>
        <v>62.6</v>
      </c>
      <c r="N72" s="877">
        <f t="shared" si="8"/>
        <v>62.6</v>
      </c>
      <c r="O72" s="1214" t="s">
        <v>1185</v>
      </c>
      <c r="P72" s="1214" t="s">
        <v>1143</v>
      </c>
      <c r="Q72" s="1065">
        <f t="shared" si="1"/>
        <v>0</v>
      </c>
      <c r="R72" s="1065">
        <f t="shared" si="1"/>
        <v>0</v>
      </c>
      <c r="S72" s="1065">
        <f t="shared" si="1"/>
        <v>0</v>
      </c>
      <c r="T72" s="1099" t="s">
        <v>954</v>
      </c>
      <c r="U72" s="1100" t="s">
        <v>974</v>
      </c>
      <c r="V72" s="1099">
        <v>522</v>
      </c>
      <c r="W72" s="1099" t="s">
        <v>958</v>
      </c>
      <c r="Z72" s="1311">
        <f t="shared" si="2"/>
        <v>0</v>
      </c>
    </row>
    <row r="73" spans="1:26" ht="36.75" hidden="1" customHeight="1">
      <c r="A73" s="1320" t="s">
        <v>160</v>
      </c>
      <c r="B73" s="1075" t="s">
        <v>689</v>
      </c>
      <c r="C73" s="894">
        <f t="shared" si="9"/>
        <v>42276.800000000003</v>
      </c>
      <c r="D73" s="972">
        <f>7948+31792</f>
        <v>39740</v>
      </c>
      <c r="E73" s="972">
        <f>507.4+2029.44</f>
        <v>2536.8000000000002</v>
      </c>
      <c r="F73" s="1326">
        <f t="shared" si="10"/>
        <v>42276.800000000003</v>
      </c>
      <c r="G73" s="879">
        <f>D73</f>
        <v>39740</v>
      </c>
      <c r="H73" s="879">
        <f>E73</f>
        <v>2536.8000000000002</v>
      </c>
      <c r="I73" s="1326">
        <f t="shared" si="11"/>
        <v>8455.4</v>
      </c>
      <c r="J73" s="1326">
        <v>7948</v>
      </c>
      <c r="K73" s="1326">
        <v>507.4</v>
      </c>
      <c r="L73" s="877">
        <f>I73/C73*100</f>
        <v>20</v>
      </c>
      <c r="M73" s="877">
        <f>J73/D73*100</f>
        <v>20</v>
      </c>
      <c r="N73" s="877">
        <f>K73/E73*100</f>
        <v>20</v>
      </c>
      <c r="O73" s="1214" t="s">
        <v>1186</v>
      </c>
      <c r="P73" s="1214" t="s">
        <v>1144</v>
      </c>
      <c r="Q73" s="1065">
        <f t="shared" si="1"/>
        <v>0</v>
      </c>
      <c r="R73" s="1065">
        <f t="shared" si="1"/>
        <v>0</v>
      </c>
      <c r="S73" s="1065">
        <f t="shared" si="1"/>
        <v>0</v>
      </c>
      <c r="T73" s="1099" t="s">
        <v>886</v>
      </c>
      <c r="U73" s="1100" t="s">
        <v>973</v>
      </c>
      <c r="V73" s="1099">
        <v>522</v>
      </c>
      <c r="W73" s="1099" t="s">
        <v>890</v>
      </c>
      <c r="X73" s="1225"/>
      <c r="Z73" s="1311">
        <f t="shared" si="2"/>
        <v>0</v>
      </c>
    </row>
    <row r="74" spans="1:26" hidden="1">
      <c r="A74" s="1320"/>
      <c r="B74" s="898" t="s">
        <v>457</v>
      </c>
      <c r="C74" s="871">
        <f t="shared" si="9"/>
        <v>39454.5</v>
      </c>
      <c r="D74" s="1252">
        <f>SUM(D75:D76)</f>
        <v>37086.9</v>
      </c>
      <c r="E74" s="1252">
        <f>SUM(E75:E76)</f>
        <v>2367.6</v>
      </c>
      <c r="F74" s="1325">
        <f t="shared" si="10"/>
        <v>39454.5</v>
      </c>
      <c r="G74" s="881">
        <f>SUM(G75:G76)</f>
        <v>37086.9</v>
      </c>
      <c r="H74" s="881">
        <f>SUM(H75:H76)</f>
        <v>2367.6</v>
      </c>
      <c r="I74" s="1325">
        <f t="shared" si="11"/>
        <v>0</v>
      </c>
      <c r="J74" s="881">
        <f>SUM(J75:J76)</f>
        <v>0</v>
      </c>
      <c r="K74" s="881">
        <f>SUM(K75:K76)</f>
        <v>0</v>
      </c>
      <c r="L74" s="1328">
        <f t="shared" si="8"/>
        <v>0</v>
      </c>
      <c r="M74" s="875">
        <f t="shared" si="8"/>
        <v>0</v>
      </c>
      <c r="N74" s="875">
        <f t="shared" si="8"/>
        <v>0</v>
      </c>
      <c r="O74" s="1214" t="s">
        <v>1117</v>
      </c>
      <c r="P74" s="1214" t="s">
        <v>1117</v>
      </c>
      <c r="Q74" s="1065">
        <f t="shared" si="1"/>
        <v>0</v>
      </c>
      <c r="R74" s="1065">
        <f t="shared" si="1"/>
        <v>0</v>
      </c>
      <c r="S74" s="1065">
        <f t="shared" si="1"/>
        <v>0</v>
      </c>
      <c r="Z74" s="1311">
        <f t="shared" si="2"/>
        <v>0</v>
      </c>
    </row>
    <row r="75" spans="1:26" ht="131.25" hidden="1">
      <c r="A75" s="1320" t="s">
        <v>532</v>
      </c>
      <c r="B75" s="1323" t="s">
        <v>838</v>
      </c>
      <c r="C75" s="894">
        <f t="shared" si="9"/>
        <v>8075.8</v>
      </c>
      <c r="D75" s="972">
        <f>7572.8+18.33</f>
        <v>7591.1</v>
      </c>
      <c r="E75" s="972">
        <f>483.5+1.17</f>
        <v>484.7</v>
      </c>
      <c r="F75" s="1326">
        <f t="shared" si="10"/>
        <v>8075.8</v>
      </c>
      <c r="G75" s="879">
        <f>D75</f>
        <v>7591.1</v>
      </c>
      <c r="H75" s="879">
        <f>E75</f>
        <v>484.7</v>
      </c>
      <c r="I75" s="1326">
        <f t="shared" si="11"/>
        <v>0</v>
      </c>
      <c r="J75" s="1326">
        <v>0</v>
      </c>
      <c r="K75" s="1326">
        <v>0</v>
      </c>
      <c r="L75" s="877">
        <f t="shared" si="8"/>
        <v>0</v>
      </c>
      <c r="M75" s="877">
        <f t="shared" si="8"/>
        <v>0</v>
      </c>
      <c r="N75" s="877">
        <f t="shared" si="8"/>
        <v>0</v>
      </c>
      <c r="O75" s="1317" t="s">
        <v>1187</v>
      </c>
      <c r="P75" s="1317" t="s">
        <v>1145</v>
      </c>
      <c r="Q75" s="1065">
        <f t="shared" si="1"/>
        <v>0</v>
      </c>
      <c r="R75" s="1065">
        <f t="shared" si="1"/>
        <v>0</v>
      </c>
      <c r="S75" s="1065">
        <f t="shared" si="1"/>
        <v>0</v>
      </c>
      <c r="T75" s="1099">
        <v>1102</v>
      </c>
      <c r="U75" s="1100" t="s">
        <v>981</v>
      </c>
      <c r="V75" s="1099">
        <v>522</v>
      </c>
      <c r="W75" s="1099" t="s">
        <v>958</v>
      </c>
      <c r="Z75" s="1311">
        <f t="shared" si="2"/>
        <v>0</v>
      </c>
    </row>
    <row r="76" spans="1:26" ht="47.25" hidden="1" customHeight="1">
      <c r="A76" s="895">
        <v>38</v>
      </c>
      <c r="B76" s="1075" t="s">
        <v>678</v>
      </c>
      <c r="C76" s="894">
        <f t="shared" si="9"/>
        <v>31378.7</v>
      </c>
      <c r="D76" s="972">
        <f>5899.2+23596.6</f>
        <v>29495.8</v>
      </c>
      <c r="E76" s="972">
        <f>376.6+1506.29</f>
        <v>1882.9</v>
      </c>
      <c r="F76" s="1326">
        <f t="shared" si="10"/>
        <v>31378.7</v>
      </c>
      <c r="G76" s="879">
        <f>D76</f>
        <v>29495.8</v>
      </c>
      <c r="H76" s="879">
        <f>E76</f>
        <v>1882.9</v>
      </c>
      <c r="I76" s="1326">
        <f t="shared" si="11"/>
        <v>0</v>
      </c>
      <c r="J76" s="1326">
        <v>0</v>
      </c>
      <c r="K76" s="1326">
        <v>0</v>
      </c>
      <c r="L76" s="877">
        <f t="shared" si="8"/>
        <v>0</v>
      </c>
      <c r="M76" s="877">
        <f t="shared" si="8"/>
        <v>0</v>
      </c>
      <c r="N76" s="877">
        <f t="shared" si="8"/>
        <v>0</v>
      </c>
      <c r="O76" s="1214" t="s">
        <v>1188</v>
      </c>
      <c r="P76" s="1214" t="s">
        <v>1139</v>
      </c>
      <c r="Q76" s="1065">
        <f t="shared" si="1"/>
        <v>0</v>
      </c>
      <c r="R76" s="1065">
        <f t="shared" si="1"/>
        <v>0</v>
      </c>
      <c r="S76" s="1065">
        <f t="shared" si="1"/>
        <v>0</v>
      </c>
      <c r="T76" s="1099" t="s">
        <v>886</v>
      </c>
      <c r="U76" s="1100" t="s">
        <v>980</v>
      </c>
      <c r="V76" s="1099">
        <v>522</v>
      </c>
      <c r="W76" s="1099" t="s">
        <v>890</v>
      </c>
      <c r="Z76" s="1311">
        <f t="shared" si="2"/>
        <v>0</v>
      </c>
    </row>
    <row r="77" spans="1:26" hidden="1">
      <c r="A77" s="1320"/>
      <c r="B77" s="898" t="s">
        <v>433</v>
      </c>
      <c r="C77" s="871">
        <f t="shared" si="9"/>
        <v>14049.3</v>
      </c>
      <c r="D77" s="1250">
        <f>D78</f>
        <v>13206.1</v>
      </c>
      <c r="E77" s="1250">
        <f>E78</f>
        <v>843.2</v>
      </c>
      <c r="F77" s="1325">
        <f t="shared" si="10"/>
        <v>14049.3</v>
      </c>
      <c r="G77" s="875">
        <f>G78</f>
        <v>13206.1</v>
      </c>
      <c r="H77" s="875">
        <f>H78</f>
        <v>843.2</v>
      </c>
      <c r="I77" s="1325">
        <f t="shared" si="11"/>
        <v>3862.8</v>
      </c>
      <c r="J77" s="875">
        <f>J78</f>
        <v>3631</v>
      </c>
      <c r="K77" s="875">
        <f>K78</f>
        <v>231.8</v>
      </c>
      <c r="L77" s="1328">
        <f t="shared" si="8"/>
        <v>27.5</v>
      </c>
      <c r="M77" s="1324">
        <f t="shared" si="8"/>
        <v>27.5</v>
      </c>
      <c r="N77" s="1324">
        <f t="shared" si="8"/>
        <v>27.5</v>
      </c>
      <c r="O77" s="1214" t="s">
        <v>353</v>
      </c>
      <c r="P77" s="1214" t="s">
        <v>353</v>
      </c>
      <c r="Q77" s="1065">
        <f t="shared" si="1"/>
        <v>0</v>
      </c>
      <c r="R77" s="1065">
        <f t="shared" si="1"/>
        <v>0</v>
      </c>
      <c r="S77" s="1065">
        <f t="shared" si="1"/>
        <v>0</v>
      </c>
      <c r="Z77" s="1311">
        <f t="shared" ref="Z77:Z140" si="12">C77-F77</f>
        <v>0</v>
      </c>
    </row>
    <row r="78" spans="1:26" ht="40.5" hidden="1" customHeight="1">
      <c r="A78" s="1320" t="s">
        <v>536</v>
      </c>
      <c r="B78" s="1084" t="s">
        <v>679</v>
      </c>
      <c r="C78" s="894">
        <f t="shared" si="9"/>
        <v>14049.3</v>
      </c>
      <c r="D78" s="1249">
        <v>13206.1</v>
      </c>
      <c r="E78" s="1249">
        <v>843.2</v>
      </c>
      <c r="F78" s="1326">
        <f t="shared" si="10"/>
        <v>14049.3</v>
      </c>
      <c r="G78" s="879">
        <f>D78</f>
        <v>13206.1</v>
      </c>
      <c r="H78" s="879">
        <f>E78</f>
        <v>843.2</v>
      </c>
      <c r="I78" s="1326">
        <f t="shared" si="11"/>
        <v>3862.8</v>
      </c>
      <c r="J78" s="1327">
        <v>3631</v>
      </c>
      <c r="K78" s="1327">
        <v>231.8</v>
      </c>
      <c r="L78" s="877">
        <f t="shared" si="8"/>
        <v>27.5</v>
      </c>
      <c r="M78" s="877">
        <f t="shared" si="8"/>
        <v>27.5</v>
      </c>
      <c r="N78" s="877">
        <f t="shared" si="8"/>
        <v>27.5</v>
      </c>
      <c r="O78" s="1317" t="s">
        <v>1140</v>
      </c>
      <c r="P78" s="1317" t="s">
        <v>1141</v>
      </c>
      <c r="Q78" s="1065">
        <f t="shared" si="1"/>
        <v>0</v>
      </c>
      <c r="R78" s="1065">
        <f t="shared" si="1"/>
        <v>0</v>
      </c>
      <c r="S78" s="1065">
        <f t="shared" si="1"/>
        <v>0</v>
      </c>
      <c r="T78" s="1099" t="s">
        <v>954</v>
      </c>
      <c r="U78" s="1100" t="s">
        <v>982</v>
      </c>
      <c r="V78" s="1099">
        <v>522</v>
      </c>
      <c r="W78" s="1099" t="s">
        <v>958</v>
      </c>
      <c r="Z78" s="1311">
        <f t="shared" si="12"/>
        <v>0</v>
      </c>
    </row>
    <row r="79" spans="1:26" hidden="1">
      <c r="A79" s="895"/>
      <c r="B79" s="898" t="s">
        <v>458</v>
      </c>
      <c r="C79" s="871">
        <f t="shared" si="9"/>
        <v>11408.7</v>
      </c>
      <c r="D79" s="1250">
        <f>D80</f>
        <v>10724</v>
      </c>
      <c r="E79" s="1250">
        <f>E80</f>
        <v>684.7</v>
      </c>
      <c r="F79" s="1325">
        <f t="shared" si="10"/>
        <v>11408.7</v>
      </c>
      <c r="G79" s="875">
        <f>G80</f>
        <v>10724</v>
      </c>
      <c r="H79" s="875">
        <f>H80</f>
        <v>684.7</v>
      </c>
      <c r="I79" s="1325">
        <f t="shared" si="11"/>
        <v>161.69999999999999</v>
      </c>
      <c r="J79" s="875">
        <f>J80</f>
        <v>152</v>
      </c>
      <c r="K79" s="875">
        <f>K80</f>
        <v>9.6999999999999993</v>
      </c>
      <c r="L79" s="1328">
        <f t="shared" si="8"/>
        <v>1.4</v>
      </c>
      <c r="M79" s="1324">
        <f t="shared" si="8"/>
        <v>1.4</v>
      </c>
      <c r="N79" s="1324">
        <f t="shared" si="8"/>
        <v>1.4</v>
      </c>
      <c r="O79" s="1214" t="s">
        <v>353</v>
      </c>
      <c r="P79" s="1214" t="s">
        <v>353</v>
      </c>
      <c r="Q79" s="1065">
        <f t="shared" ref="Q79:S94" si="13">C79-F79</f>
        <v>0</v>
      </c>
      <c r="R79" s="1065">
        <f t="shared" si="13"/>
        <v>0</v>
      </c>
      <c r="S79" s="1065">
        <f t="shared" si="13"/>
        <v>0</v>
      </c>
      <c r="Z79" s="1311">
        <f t="shared" si="12"/>
        <v>0</v>
      </c>
    </row>
    <row r="80" spans="1:26" ht="50.25" hidden="1" customHeight="1">
      <c r="A80" s="1320" t="s">
        <v>131</v>
      </c>
      <c r="B80" s="1084" t="s">
        <v>680</v>
      </c>
      <c r="C80" s="894">
        <f t="shared" si="9"/>
        <v>11408.7</v>
      </c>
      <c r="D80" s="1249">
        <v>10724</v>
      </c>
      <c r="E80" s="1249">
        <v>684.7</v>
      </c>
      <c r="F80" s="1326">
        <f t="shared" si="10"/>
        <v>11408.7</v>
      </c>
      <c r="G80" s="879">
        <f>D80</f>
        <v>10724</v>
      </c>
      <c r="H80" s="879">
        <f>E80</f>
        <v>684.7</v>
      </c>
      <c r="I80" s="1326">
        <f t="shared" si="11"/>
        <v>161.69999999999999</v>
      </c>
      <c r="J80" s="1326">
        <v>152</v>
      </c>
      <c r="K80" s="1326">
        <v>9.6999999999999993</v>
      </c>
      <c r="L80" s="877">
        <f t="shared" si="8"/>
        <v>1.4</v>
      </c>
      <c r="M80" s="877">
        <f t="shared" si="8"/>
        <v>1.4</v>
      </c>
      <c r="N80" s="877">
        <f t="shared" si="8"/>
        <v>1.4</v>
      </c>
      <c r="O80" s="1214" t="s">
        <v>1189</v>
      </c>
      <c r="P80" s="1317" t="s">
        <v>1142</v>
      </c>
      <c r="Q80" s="1065">
        <f t="shared" si="13"/>
        <v>0</v>
      </c>
      <c r="R80" s="1065">
        <f t="shared" si="13"/>
        <v>0</v>
      </c>
      <c r="S80" s="1065">
        <f t="shared" si="13"/>
        <v>0</v>
      </c>
      <c r="T80" s="1099" t="s">
        <v>954</v>
      </c>
      <c r="U80" s="1100" t="s">
        <v>997</v>
      </c>
      <c r="V80" s="1099">
        <v>522</v>
      </c>
      <c r="W80" s="1099" t="s">
        <v>958</v>
      </c>
      <c r="Z80" s="1311">
        <f t="shared" si="12"/>
        <v>0</v>
      </c>
    </row>
    <row r="81" spans="1:26" hidden="1">
      <c r="A81" s="895"/>
      <c r="B81" s="898" t="s">
        <v>443</v>
      </c>
      <c r="C81" s="871">
        <f t="shared" si="9"/>
        <v>55847.5</v>
      </c>
      <c r="D81" s="1250">
        <f>D82</f>
        <v>52496.6</v>
      </c>
      <c r="E81" s="1250">
        <f>E82</f>
        <v>3350.9</v>
      </c>
      <c r="F81" s="1325">
        <f t="shared" si="10"/>
        <v>55847.5</v>
      </c>
      <c r="G81" s="875">
        <f>G82</f>
        <v>52496.6</v>
      </c>
      <c r="H81" s="875">
        <f>H82</f>
        <v>3350.9</v>
      </c>
      <c r="I81" s="1325">
        <f t="shared" si="11"/>
        <v>374</v>
      </c>
      <c r="J81" s="875">
        <f>J82</f>
        <v>351.6</v>
      </c>
      <c r="K81" s="875">
        <f>K82</f>
        <v>22.4</v>
      </c>
      <c r="L81" s="876">
        <f t="shared" si="8"/>
        <v>0.7</v>
      </c>
      <c r="M81" s="877">
        <f t="shared" si="8"/>
        <v>0.7</v>
      </c>
      <c r="N81" s="877">
        <f t="shared" si="8"/>
        <v>0.7</v>
      </c>
      <c r="O81" s="1214" t="s">
        <v>353</v>
      </c>
      <c r="P81" s="1214" t="s">
        <v>353</v>
      </c>
      <c r="Q81" s="1065">
        <f t="shared" si="13"/>
        <v>0</v>
      </c>
      <c r="R81" s="1065">
        <f t="shared" si="13"/>
        <v>0</v>
      </c>
      <c r="S81" s="1065">
        <f t="shared" si="13"/>
        <v>0</v>
      </c>
      <c r="Z81" s="1311">
        <f t="shared" si="12"/>
        <v>0</v>
      </c>
    </row>
    <row r="82" spans="1:26" ht="50.25" hidden="1" customHeight="1">
      <c r="A82" s="1320" t="s">
        <v>555</v>
      </c>
      <c r="B82" s="1084" t="s">
        <v>681</v>
      </c>
      <c r="C82" s="894">
        <f t="shared" si="9"/>
        <v>55847.5</v>
      </c>
      <c r="D82" s="1249">
        <f>52494.2+2.4</f>
        <v>52496.6</v>
      </c>
      <c r="E82" s="1249">
        <f>3350.7+0.16</f>
        <v>3350.9</v>
      </c>
      <c r="F82" s="1326">
        <f t="shared" si="10"/>
        <v>55847.5</v>
      </c>
      <c r="G82" s="879">
        <f>D82</f>
        <v>52496.6</v>
      </c>
      <c r="H82" s="879">
        <f>E82</f>
        <v>3350.9</v>
      </c>
      <c r="I82" s="1326">
        <f t="shared" si="11"/>
        <v>374</v>
      </c>
      <c r="J82" s="1326">
        <v>351.6</v>
      </c>
      <c r="K82" s="1326">
        <v>22.4</v>
      </c>
      <c r="L82" s="877">
        <f t="shared" si="8"/>
        <v>0.7</v>
      </c>
      <c r="M82" s="877">
        <f t="shared" si="8"/>
        <v>0.7</v>
      </c>
      <c r="N82" s="877">
        <f t="shared" si="8"/>
        <v>0.7</v>
      </c>
      <c r="O82" s="1317" t="s">
        <v>1190</v>
      </c>
      <c r="P82" s="1214" t="s">
        <v>1146</v>
      </c>
      <c r="Q82" s="1065">
        <f t="shared" si="13"/>
        <v>0</v>
      </c>
      <c r="R82" s="1065">
        <f t="shared" si="13"/>
        <v>0</v>
      </c>
      <c r="S82" s="1065">
        <f t="shared" si="13"/>
        <v>0</v>
      </c>
      <c r="T82" s="1099" t="s">
        <v>874</v>
      </c>
      <c r="U82" s="1100" t="s">
        <v>984</v>
      </c>
      <c r="V82" s="1099">
        <v>522</v>
      </c>
      <c r="W82" s="1099" t="s">
        <v>985</v>
      </c>
      <c r="Z82" s="1311">
        <f t="shared" si="12"/>
        <v>0</v>
      </c>
    </row>
    <row r="83" spans="1:26" hidden="1">
      <c r="A83" s="895"/>
      <c r="B83" s="898" t="s">
        <v>281</v>
      </c>
      <c r="C83" s="871">
        <f t="shared" si="9"/>
        <v>115657.60000000001</v>
      </c>
      <c r="D83" s="1250">
        <f>SUM(D84:D85)</f>
        <v>108717.1</v>
      </c>
      <c r="E83" s="1250">
        <f>SUM(E84:E85)</f>
        <v>6940.5</v>
      </c>
      <c r="F83" s="1325">
        <f t="shared" si="10"/>
        <v>115657.60000000001</v>
      </c>
      <c r="G83" s="875">
        <f>SUM(G84:G85)</f>
        <v>108717.1</v>
      </c>
      <c r="H83" s="875">
        <f>SUM(H84:H85)</f>
        <v>6940.5</v>
      </c>
      <c r="I83" s="1325">
        <f t="shared" si="11"/>
        <v>12341.9</v>
      </c>
      <c r="J83" s="875">
        <f>SUM(J84:J85)</f>
        <v>11601.4</v>
      </c>
      <c r="K83" s="875">
        <f>SUM(K84:K85)</f>
        <v>740.5</v>
      </c>
      <c r="L83" s="876">
        <f t="shared" si="8"/>
        <v>10.7</v>
      </c>
      <c r="M83" s="877">
        <f t="shared" si="8"/>
        <v>10.7</v>
      </c>
      <c r="N83" s="877">
        <f t="shared" si="8"/>
        <v>10.7</v>
      </c>
      <c r="O83" s="1214" t="s">
        <v>353</v>
      </c>
      <c r="P83" s="1214" t="s">
        <v>353</v>
      </c>
      <c r="Q83" s="1065">
        <f t="shared" si="13"/>
        <v>0</v>
      </c>
      <c r="R83" s="1065">
        <f t="shared" si="13"/>
        <v>0</v>
      </c>
      <c r="S83" s="1065">
        <f t="shared" si="13"/>
        <v>0</v>
      </c>
      <c r="Z83" s="1311">
        <f t="shared" si="12"/>
        <v>0</v>
      </c>
    </row>
    <row r="84" spans="1:26" ht="66" hidden="1" customHeight="1">
      <c r="A84" s="1318" t="s">
        <v>1308</v>
      </c>
      <c r="B84" s="1086" t="s">
        <v>682</v>
      </c>
      <c r="C84" s="1253">
        <f t="shared" si="9"/>
        <v>84139</v>
      </c>
      <c r="D84" s="1254">
        <f>75135.3+3954.5</f>
        <v>79089.8</v>
      </c>
      <c r="E84" s="1249">
        <f>4796.7+252.5</f>
        <v>5049.2</v>
      </c>
      <c r="F84" s="1321">
        <f t="shared" si="10"/>
        <v>84139</v>
      </c>
      <c r="G84" s="879">
        <f>D84</f>
        <v>79089.8</v>
      </c>
      <c r="H84" s="879">
        <f>E84</f>
        <v>5049.2</v>
      </c>
      <c r="I84" s="1321">
        <f t="shared" si="11"/>
        <v>12341.9</v>
      </c>
      <c r="J84" s="1321">
        <v>11601.4</v>
      </c>
      <c r="K84" s="1326">
        <v>740.5</v>
      </c>
      <c r="L84" s="1319">
        <f t="shared" si="8"/>
        <v>14.7</v>
      </c>
      <c r="M84" s="1319">
        <f t="shared" si="8"/>
        <v>14.7</v>
      </c>
      <c r="N84" s="1324">
        <f t="shared" si="8"/>
        <v>14.7</v>
      </c>
      <c r="O84" s="1214" t="s">
        <v>1147</v>
      </c>
      <c r="P84" s="1214" t="s">
        <v>1148</v>
      </c>
      <c r="Q84" s="1065">
        <f t="shared" si="13"/>
        <v>0</v>
      </c>
      <c r="R84" s="1065">
        <f t="shared" si="13"/>
        <v>0</v>
      </c>
      <c r="S84" s="1065">
        <f t="shared" si="13"/>
        <v>0</v>
      </c>
      <c r="T84" s="1099" t="s">
        <v>928</v>
      </c>
      <c r="U84" s="1100" t="s">
        <v>987</v>
      </c>
      <c r="V84" s="1099">
        <v>522</v>
      </c>
      <c r="W84" s="1099" t="s">
        <v>930</v>
      </c>
      <c r="Z84" s="1311">
        <f t="shared" si="12"/>
        <v>0</v>
      </c>
    </row>
    <row r="85" spans="1:26" ht="45.75" hidden="1" customHeight="1">
      <c r="A85" s="1320" t="s">
        <v>556</v>
      </c>
      <c r="B85" s="1084" t="s">
        <v>683</v>
      </c>
      <c r="C85" s="894">
        <f t="shared" si="9"/>
        <v>31518.6</v>
      </c>
      <c r="D85" s="1249">
        <f>29034.8+592.5</f>
        <v>29627.3</v>
      </c>
      <c r="E85" s="1249">
        <f>1853.5+37.83</f>
        <v>1891.3</v>
      </c>
      <c r="F85" s="1326">
        <f t="shared" si="10"/>
        <v>31518.6</v>
      </c>
      <c r="G85" s="879">
        <f>D85</f>
        <v>29627.3</v>
      </c>
      <c r="H85" s="879">
        <f>E85</f>
        <v>1891.3</v>
      </c>
      <c r="I85" s="1326">
        <f t="shared" si="11"/>
        <v>0</v>
      </c>
      <c r="J85" s="1326">
        <v>0</v>
      </c>
      <c r="K85" s="1326">
        <v>0</v>
      </c>
      <c r="L85" s="877">
        <f t="shared" si="8"/>
        <v>0</v>
      </c>
      <c r="M85" s="877">
        <f t="shared" si="8"/>
        <v>0</v>
      </c>
      <c r="N85" s="877">
        <f t="shared" si="8"/>
        <v>0</v>
      </c>
      <c r="O85" s="1214" t="s">
        <v>1191</v>
      </c>
      <c r="P85" s="1214" t="s">
        <v>1118</v>
      </c>
      <c r="Q85" s="1065">
        <f t="shared" si="13"/>
        <v>0</v>
      </c>
      <c r="R85" s="1065">
        <f t="shared" si="13"/>
        <v>0</v>
      </c>
      <c r="S85" s="1065">
        <f t="shared" si="13"/>
        <v>0</v>
      </c>
      <c r="T85" s="1099" t="s">
        <v>954</v>
      </c>
      <c r="U85" s="1100" t="s">
        <v>998</v>
      </c>
      <c r="V85" s="1099">
        <v>522</v>
      </c>
      <c r="W85" s="1099" t="s">
        <v>958</v>
      </c>
      <c r="Z85" s="1311">
        <f t="shared" si="12"/>
        <v>0</v>
      </c>
    </row>
    <row r="86" spans="1:26" hidden="1">
      <c r="A86" s="1320"/>
      <c r="B86" s="898" t="s">
        <v>583</v>
      </c>
      <c r="C86" s="871">
        <f t="shared" si="9"/>
        <v>36116.5</v>
      </c>
      <c r="D86" s="1250">
        <f>SUM(D87:D87)</f>
        <v>33949.300000000003</v>
      </c>
      <c r="E86" s="1250">
        <f>SUM(E87:E87)</f>
        <v>2167.1999999999998</v>
      </c>
      <c r="F86" s="1325">
        <f t="shared" si="10"/>
        <v>36116.5</v>
      </c>
      <c r="G86" s="875">
        <f>SUM(G87:G87)</f>
        <v>33949.300000000003</v>
      </c>
      <c r="H86" s="875">
        <f>SUM(H87:H87)</f>
        <v>2167.1999999999998</v>
      </c>
      <c r="I86" s="1325">
        <f t="shared" si="11"/>
        <v>777</v>
      </c>
      <c r="J86" s="875">
        <f>SUM(J87:J87)</f>
        <v>730.4</v>
      </c>
      <c r="K86" s="875">
        <f>SUM(K87:K87)</f>
        <v>46.6</v>
      </c>
      <c r="L86" s="876">
        <f t="shared" si="8"/>
        <v>2.2000000000000002</v>
      </c>
      <c r="M86" s="877">
        <f t="shared" si="8"/>
        <v>2.2000000000000002</v>
      </c>
      <c r="N86" s="877">
        <f t="shared" si="8"/>
        <v>2.2000000000000002</v>
      </c>
      <c r="O86" s="1214" t="s">
        <v>353</v>
      </c>
      <c r="P86" s="1214" t="s">
        <v>353</v>
      </c>
      <c r="Q86" s="1065">
        <f t="shared" si="13"/>
        <v>0</v>
      </c>
      <c r="R86" s="1065">
        <f t="shared" si="13"/>
        <v>0</v>
      </c>
      <c r="S86" s="1065">
        <f t="shared" si="13"/>
        <v>0</v>
      </c>
      <c r="Z86" s="1311">
        <f t="shared" si="12"/>
        <v>0</v>
      </c>
    </row>
    <row r="87" spans="1:26" ht="39" hidden="1" customHeight="1">
      <c r="A87" s="1320" t="s">
        <v>162</v>
      </c>
      <c r="B87" s="1075" t="s">
        <v>684</v>
      </c>
      <c r="C87" s="894">
        <f t="shared" si="9"/>
        <v>36116.5</v>
      </c>
      <c r="D87" s="1249">
        <f>8487.1+25462.18</f>
        <v>33949.300000000003</v>
      </c>
      <c r="E87" s="1249">
        <f>541.8+1625.38</f>
        <v>2167.1999999999998</v>
      </c>
      <c r="F87" s="1326">
        <f t="shared" si="10"/>
        <v>36116.5</v>
      </c>
      <c r="G87" s="879">
        <f>D87</f>
        <v>33949.300000000003</v>
      </c>
      <c r="H87" s="879">
        <f>E87</f>
        <v>2167.1999999999998</v>
      </c>
      <c r="I87" s="1326">
        <f t="shared" si="11"/>
        <v>777</v>
      </c>
      <c r="J87" s="1326">
        <v>730.4</v>
      </c>
      <c r="K87" s="1326">
        <v>46.6</v>
      </c>
      <c r="L87" s="877">
        <f t="shared" si="8"/>
        <v>2.2000000000000002</v>
      </c>
      <c r="M87" s="877">
        <f t="shared" si="8"/>
        <v>2.2000000000000002</v>
      </c>
      <c r="N87" s="877">
        <f t="shared" si="8"/>
        <v>2.2000000000000002</v>
      </c>
      <c r="O87" s="1214" t="s">
        <v>1149</v>
      </c>
      <c r="P87" s="1214" t="s">
        <v>1150</v>
      </c>
      <c r="Q87" s="1065">
        <f t="shared" si="13"/>
        <v>0</v>
      </c>
      <c r="R87" s="1065">
        <f t="shared" si="13"/>
        <v>0</v>
      </c>
      <c r="S87" s="1065">
        <f t="shared" si="13"/>
        <v>0</v>
      </c>
      <c r="T87" s="1099" t="s">
        <v>886</v>
      </c>
      <c r="U87" s="1100" t="s">
        <v>996</v>
      </c>
      <c r="V87" s="1099">
        <v>522</v>
      </c>
      <c r="W87" s="1099" t="s">
        <v>890</v>
      </c>
      <c r="Z87" s="1311">
        <f t="shared" si="12"/>
        <v>0</v>
      </c>
    </row>
    <row r="88" spans="1:26" s="914" customFormat="1" ht="135" customHeight="1">
      <c r="A88" s="1047" t="s">
        <v>2</v>
      </c>
      <c r="B88" s="1275" t="s">
        <v>313</v>
      </c>
      <c r="C88" s="1047">
        <f t="shared" si="9"/>
        <v>3583350.9</v>
      </c>
      <c r="D88" s="1047">
        <f>D89</f>
        <v>2888474.5</v>
      </c>
      <c r="E88" s="1047">
        <f>E89</f>
        <v>694876.4</v>
      </c>
      <c r="F88" s="1047">
        <f t="shared" si="10"/>
        <v>3571050.7</v>
      </c>
      <c r="G88" s="1047">
        <f>G89</f>
        <v>2876174.2</v>
      </c>
      <c r="H88" s="1047">
        <f>H89</f>
        <v>694876.5</v>
      </c>
      <c r="I88" s="1047">
        <f t="shared" si="11"/>
        <v>137269.20000000001</v>
      </c>
      <c r="J88" s="1047">
        <f>J89</f>
        <v>85522.1</v>
      </c>
      <c r="K88" s="1047">
        <f>K89</f>
        <v>51747.1</v>
      </c>
      <c r="L88" s="1048">
        <f t="shared" si="8"/>
        <v>3.8</v>
      </c>
      <c r="M88" s="1049">
        <f t="shared" si="8"/>
        <v>3</v>
      </c>
      <c r="N88" s="1049">
        <f t="shared" si="8"/>
        <v>7.4</v>
      </c>
      <c r="O88" s="1227" t="s">
        <v>353</v>
      </c>
      <c r="P88" s="1227" t="s">
        <v>353</v>
      </c>
      <c r="Q88" s="1065">
        <f t="shared" si="13"/>
        <v>12300.2</v>
      </c>
      <c r="R88" s="1065">
        <f t="shared" si="13"/>
        <v>12300.3</v>
      </c>
      <c r="S88" s="1065">
        <f t="shared" si="13"/>
        <v>-0.1</v>
      </c>
      <c r="T88" s="1099"/>
      <c r="U88" s="1100"/>
      <c r="V88" s="1099"/>
      <c r="W88" s="1099"/>
      <c r="X88" s="1216"/>
      <c r="Z88" s="1311">
        <f t="shared" si="12"/>
        <v>12300.2</v>
      </c>
    </row>
    <row r="89" spans="1:26" s="914" customFormat="1" ht="63.75" customHeight="1">
      <c r="A89" s="933" t="s">
        <v>246</v>
      </c>
      <c r="B89" s="1276" t="s">
        <v>1329</v>
      </c>
      <c r="C89" s="933">
        <f t="shared" si="9"/>
        <v>3583350.9</v>
      </c>
      <c r="D89" s="933">
        <f>SUM(D90:D144)</f>
        <v>2888474.5</v>
      </c>
      <c r="E89" s="933">
        <f>SUM(E90:E144)</f>
        <v>694876.4</v>
      </c>
      <c r="F89" s="933">
        <f>SUM(G89:H89)</f>
        <v>3571050.7</v>
      </c>
      <c r="G89" s="934">
        <f>SUM(G90:G144)</f>
        <v>2876174.2</v>
      </c>
      <c r="H89" s="934">
        <f>SUM(H90:H144)</f>
        <v>694876.5</v>
      </c>
      <c r="I89" s="933">
        <f t="shared" si="11"/>
        <v>137269.20000000001</v>
      </c>
      <c r="J89" s="933">
        <f>SUM(J90:J144)</f>
        <v>85522.1</v>
      </c>
      <c r="K89" s="933">
        <f>SUM(K90:K144)</f>
        <v>51747.1</v>
      </c>
      <c r="L89" s="935">
        <f t="shared" si="8"/>
        <v>3.8</v>
      </c>
      <c r="M89" s="936">
        <f t="shared" si="8"/>
        <v>3</v>
      </c>
      <c r="N89" s="936">
        <f t="shared" si="8"/>
        <v>7.4</v>
      </c>
      <c r="O89" s="1226" t="s">
        <v>353</v>
      </c>
      <c r="P89" s="1226" t="s">
        <v>353</v>
      </c>
      <c r="Q89" s="1065">
        <f t="shared" si="13"/>
        <v>12300.2</v>
      </c>
      <c r="R89" s="1065">
        <f t="shared" si="13"/>
        <v>12300.3</v>
      </c>
      <c r="S89" s="1065">
        <f t="shared" si="13"/>
        <v>-0.1</v>
      </c>
      <c r="T89" s="1099"/>
      <c r="U89" s="1100"/>
      <c r="V89" s="1099"/>
      <c r="W89" s="1099"/>
      <c r="X89" s="1216"/>
      <c r="Z89" s="1311">
        <f t="shared" si="12"/>
        <v>12300.2</v>
      </c>
    </row>
    <row r="90" spans="1:26" s="892" customFormat="1" ht="111" hidden="1" customHeight="1">
      <c r="A90" s="1120" t="s">
        <v>824</v>
      </c>
      <c r="B90" s="1066" t="s">
        <v>434</v>
      </c>
      <c r="C90" s="871">
        <f>SUM(D90:E90)</f>
        <v>109862.6</v>
      </c>
      <c r="D90" s="873">
        <v>105115.4</v>
      </c>
      <c r="E90" s="873">
        <v>4747.2</v>
      </c>
      <c r="F90" s="1328">
        <f t="shared" si="10"/>
        <v>109862.6</v>
      </c>
      <c r="G90" s="877">
        <f>105115.4</f>
        <v>105115.4</v>
      </c>
      <c r="H90" s="877">
        <v>4747.2</v>
      </c>
      <c r="I90" s="1328">
        <f t="shared" si="11"/>
        <v>4747.1000000000004</v>
      </c>
      <c r="J90" s="1324">
        <v>0</v>
      </c>
      <c r="K90" s="1324">
        <v>4747.1000000000004</v>
      </c>
      <c r="L90" s="876">
        <f t="shared" si="8"/>
        <v>4.3</v>
      </c>
      <c r="M90" s="877">
        <f t="shared" si="8"/>
        <v>0</v>
      </c>
      <c r="N90" s="877">
        <f t="shared" si="8"/>
        <v>100</v>
      </c>
      <c r="O90" s="1214" t="s">
        <v>353</v>
      </c>
      <c r="P90" s="1214" t="s">
        <v>1099</v>
      </c>
      <c r="Q90" s="1065">
        <f t="shared" si="13"/>
        <v>0</v>
      </c>
      <c r="R90" s="1065">
        <f t="shared" si="13"/>
        <v>0</v>
      </c>
      <c r="S90" s="1065">
        <f t="shared" si="13"/>
        <v>0</v>
      </c>
      <c r="T90" s="1099" t="s">
        <v>880</v>
      </c>
      <c r="U90" s="1100" t="s">
        <v>881</v>
      </c>
      <c r="V90" s="1099" t="s">
        <v>882</v>
      </c>
      <c r="W90" s="1099"/>
      <c r="X90" s="1216"/>
      <c r="Z90" s="1311">
        <f t="shared" si="12"/>
        <v>0</v>
      </c>
    </row>
    <row r="91" spans="1:26" ht="104.25" hidden="1" customHeight="1">
      <c r="A91" s="1320" t="s">
        <v>545</v>
      </c>
      <c r="B91" s="973" t="s">
        <v>793</v>
      </c>
      <c r="C91" s="871">
        <f t="shared" si="9"/>
        <v>5176.2</v>
      </c>
      <c r="D91" s="972">
        <v>0</v>
      </c>
      <c r="E91" s="972">
        <v>5176.2</v>
      </c>
      <c r="F91" s="1325">
        <f>SUM(G91:H91)</f>
        <v>5176.2</v>
      </c>
      <c r="G91" s="879">
        <v>0</v>
      </c>
      <c r="H91" s="879">
        <v>5176.2</v>
      </c>
      <c r="I91" s="1325">
        <f t="shared" si="11"/>
        <v>0</v>
      </c>
      <c r="J91" s="1326">
        <v>0</v>
      </c>
      <c r="K91" s="1326">
        <v>0</v>
      </c>
      <c r="L91" s="876">
        <v>0</v>
      </c>
      <c r="M91" s="877">
        <f t="shared" ref="M91:N99" si="14">IF(J91=0,0,J91/G91*100)</f>
        <v>0</v>
      </c>
      <c r="N91" s="877">
        <f t="shared" si="14"/>
        <v>0</v>
      </c>
      <c r="O91" s="1214" t="s">
        <v>1192</v>
      </c>
      <c r="P91" s="1214" t="s">
        <v>1151</v>
      </c>
      <c r="Q91" s="1065">
        <f t="shared" si="13"/>
        <v>0</v>
      </c>
      <c r="R91" s="1065">
        <f t="shared" si="13"/>
        <v>0</v>
      </c>
      <c r="S91" s="1065">
        <f t="shared" si="13"/>
        <v>0</v>
      </c>
      <c r="T91" s="1099" t="s">
        <v>886</v>
      </c>
      <c r="U91" s="1100" t="s">
        <v>895</v>
      </c>
      <c r="V91" s="1099">
        <v>414</v>
      </c>
      <c r="W91" s="1099">
        <v>30131</v>
      </c>
      <c r="Z91" s="1311">
        <f t="shared" si="12"/>
        <v>0</v>
      </c>
    </row>
    <row r="92" spans="1:26" ht="65.25" hidden="1" customHeight="1">
      <c r="A92" s="1320" t="s">
        <v>557</v>
      </c>
      <c r="B92" s="973" t="s">
        <v>661</v>
      </c>
      <c r="C92" s="871">
        <f t="shared" si="9"/>
        <v>10224.4</v>
      </c>
      <c r="D92" s="972">
        <v>0</v>
      </c>
      <c r="E92" s="972">
        <v>10224.4</v>
      </c>
      <c r="F92" s="1325">
        <f t="shared" si="10"/>
        <v>10224.4</v>
      </c>
      <c r="G92" s="879">
        <v>0</v>
      </c>
      <c r="H92" s="879">
        <v>10224.4</v>
      </c>
      <c r="I92" s="1325">
        <f t="shared" si="11"/>
        <v>0</v>
      </c>
      <c r="J92" s="1326">
        <v>0</v>
      </c>
      <c r="K92" s="1326">
        <v>0</v>
      </c>
      <c r="L92" s="876">
        <v>0</v>
      </c>
      <c r="M92" s="877">
        <f t="shared" si="14"/>
        <v>0</v>
      </c>
      <c r="N92" s="877">
        <f t="shared" si="14"/>
        <v>0</v>
      </c>
      <c r="O92" s="1214" t="s">
        <v>1222</v>
      </c>
      <c r="P92" s="1214" t="s">
        <v>1152</v>
      </c>
      <c r="Q92" s="1065">
        <f t="shared" si="13"/>
        <v>0</v>
      </c>
      <c r="R92" s="1065">
        <f t="shared" si="13"/>
        <v>0</v>
      </c>
      <c r="S92" s="1065">
        <f t="shared" si="13"/>
        <v>0</v>
      </c>
      <c r="T92" s="1099" t="s">
        <v>886</v>
      </c>
      <c r="U92" s="1100" t="s">
        <v>887</v>
      </c>
      <c r="V92" s="1099">
        <v>414</v>
      </c>
      <c r="W92" s="1099">
        <v>14037</v>
      </c>
      <c r="Z92" s="1311">
        <f t="shared" si="12"/>
        <v>0</v>
      </c>
    </row>
    <row r="93" spans="1:26" ht="65.25" hidden="1" customHeight="1">
      <c r="A93" s="1320" t="s">
        <v>558</v>
      </c>
      <c r="B93" s="973" t="s">
        <v>662</v>
      </c>
      <c r="C93" s="871">
        <f t="shared" si="9"/>
        <v>2373</v>
      </c>
      <c r="D93" s="972">
        <v>0</v>
      </c>
      <c r="E93" s="972">
        <v>2373</v>
      </c>
      <c r="F93" s="1325">
        <f t="shared" si="10"/>
        <v>2373</v>
      </c>
      <c r="G93" s="879">
        <v>0</v>
      </c>
      <c r="H93" s="879">
        <v>2373</v>
      </c>
      <c r="I93" s="1325">
        <f t="shared" si="11"/>
        <v>0</v>
      </c>
      <c r="J93" s="1326">
        <v>0</v>
      </c>
      <c r="K93" s="1326">
        <v>0</v>
      </c>
      <c r="L93" s="876">
        <v>0</v>
      </c>
      <c r="M93" s="877">
        <f t="shared" si="14"/>
        <v>0</v>
      </c>
      <c r="N93" s="877">
        <f t="shared" si="14"/>
        <v>0</v>
      </c>
      <c r="O93" s="1214" t="s">
        <v>1224</v>
      </c>
      <c r="P93" s="1214" t="s">
        <v>1154</v>
      </c>
      <c r="Q93" s="1065">
        <f t="shared" si="13"/>
        <v>0</v>
      </c>
      <c r="R93" s="1065">
        <f t="shared" si="13"/>
        <v>0</v>
      </c>
      <c r="S93" s="1065">
        <f t="shared" si="13"/>
        <v>0</v>
      </c>
      <c r="T93" s="1099" t="s">
        <v>886</v>
      </c>
      <c r="U93" s="1100" t="s">
        <v>888</v>
      </c>
      <c r="V93" s="1099">
        <v>141</v>
      </c>
      <c r="W93" s="1099">
        <v>14038</v>
      </c>
      <c r="Z93" s="1311">
        <f t="shared" si="12"/>
        <v>0</v>
      </c>
    </row>
    <row r="94" spans="1:26" ht="103.5" hidden="1" customHeight="1">
      <c r="A94" s="1320" t="s">
        <v>559</v>
      </c>
      <c r="B94" s="973" t="s">
        <v>663</v>
      </c>
      <c r="C94" s="871">
        <f t="shared" si="9"/>
        <v>4074.6</v>
      </c>
      <c r="D94" s="972">
        <v>0</v>
      </c>
      <c r="E94" s="972">
        <v>4074.6</v>
      </c>
      <c r="F94" s="1325">
        <f t="shared" si="10"/>
        <v>4074.6</v>
      </c>
      <c r="G94" s="879">
        <v>0</v>
      </c>
      <c r="H94" s="879">
        <v>4074.6</v>
      </c>
      <c r="I94" s="1325">
        <f t="shared" si="11"/>
        <v>0</v>
      </c>
      <c r="J94" s="1326">
        <v>0</v>
      </c>
      <c r="K94" s="1326">
        <v>0</v>
      </c>
      <c r="L94" s="876">
        <v>0</v>
      </c>
      <c r="M94" s="877">
        <f t="shared" si="14"/>
        <v>0</v>
      </c>
      <c r="N94" s="877">
        <f t="shared" si="14"/>
        <v>0</v>
      </c>
      <c r="O94" s="1214" t="s">
        <v>1223</v>
      </c>
      <c r="P94" s="1214" t="s">
        <v>1153</v>
      </c>
      <c r="Q94" s="1065">
        <f t="shared" si="13"/>
        <v>0</v>
      </c>
      <c r="R94" s="1065">
        <f t="shared" si="13"/>
        <v>0</v>
      </c>
      <c r="S94" s="1065">
        <f t="shared" si="13"/>
        <v>0</v>
      </c>
      <c r="T94" s="1099" t="s">
        <v>886</v>
      </c>
      <c r="U94" s="1100" t="s">
        <v>888</v>
      </c>
      <c r="V94" s="1099">
        <v>414</v>
      </c>
      <c r="W94" s="1099">
        <v>14039</v>
      </c>
      <c r="Z94" s="1311">
        <f t="shared" si="12"/>
        <v>0</v>
      </c>
    </row>
    <row r="95" spans="1:26" ht="180" hidden="1" customHeight="1">
      <c r="A95" s="1320" t="s">
        <v>560</v>
      </c>
      <c r="B95" s="973" t="s">
        <v>805</v>
      </c>
      <c r="C95" s="871">
        <f t="shared" si="9"/>
        <v>10000</v>
      </c>
      <c r="D95" s="972">
        <v>0</v>
      </c>
      <c r="E95" s="972">
        <v>10000</v>
      </c>
      <c r="F95" s="1325">
        <f>SUM(G95:H95)</f>
        <v>10000</v>
      </c>
      <c r="G95" s="879">
        <v>0</v>
      </c>
      <c r="H95" s="879">
        <v>10000</v>
      </c>
      <c r="I95" s="1325">
        <f t="shared" si="11"/>
        <v>0</v>
      </c>
      <c r="J95" s="1326">
        <v>0</v>
      </c>
      <c r="K95" s="1326">
        <v>0</v>
      </c>
      <c r="L95" s="876">
        <v>0</v>
      </c>
      <c r="M95" s="877">
        <f t="shared" si="14"/>
        <v>0</v>
      </c>
      <c r="N95" s="877">
        <f t="shared" si="14"/>
        <v>0</v>
      </c>
      <c r="O95" s="1214" t="s">
        <v>1192</v>
      </c>
      <c r="P95" s="1214" t="s">
        <v>1155</v>
      </c>
      <c r="Q95" s="1065">
        <f t="shared" ref="Q95:S110" si="15">C95-F95</f>
        <v>0</v>
      </c>
      <c r="R95" s="1065">
        <f t="shared" si="15"/>
        <v>0</v>
      </c>
      <c r="S95" s="1065">
        <f t="shared" si="15"/>
        <v>0</v>
      </c>
      <c r="T95" s="1099" t="s">
        <v>866</v>
      </c>
      <c r="U95" s="1100" t="s">
        <v>883</v>
      </c>
      <c r="V95" s="1099">
        <v>414</v>
      </c>
      <c r="W95" s="1099">
        <v>14051</v>
      </c>
      <c r="Z95" s="1311">
        <f t="shared" si="12"/>
        <v>0</v>
      </c>
    </row>
    <row r="96" spans="1:26" ht="116.25" hidden="1">
      <c r="A96" s="1320" t="s">
        <v>561</v>
      </c>
      <c r="B96" s="973" t="s">
        <v>664</v>
      </c>
      <c r="C96" s="871">
        <f t="shared" si="9"/>
        <v>1519</v>
      </c>
      <c r="D96" s="972">
        <v>0</v>
      </c>
      <c r="E96" s="972">
        <v>1519</v>
      </c>
      <c r="F96" s="1325">
        <f t="shared" si="10"/>
        <v>1519</v>
      </c>
      <c r="G96" s="879">
        <v>0</v>
      </c>
      <c r="H96" s="879">
        <v>1519</v>
      </c>
      <c r="I96" s="1325">
        <f t="shared" si="11"/>
        <v>0</v>
      </c>
      <c r="J96" s="1326">
        <v>0</v>
      </c>
      <c r="K96" s="1326">
        <v>0</v>
      </c>
      <c r="L96" s="876">
        <v>0</v>
      </c>
      <c r="M96" s="877">
        <f t="shared" si="14"/>
        <v>0</v>
      </c>
      <c r="N96" s="877">
        <f t="shared" si="14"/>
        <v>0</v>
      </c>
      <c r="O96" s="1214" t="s">
        <v>1225</v>
      </c>
      <c r="P96" s="1214" t="s">
        <v>1156</v>
      </c>
      <c r="Q96" s="1065">
        <f t="shared" si="15"/>
        <v>0</v>
      </c>
      <c r="R96" s="1065">
        <f t="shared" si="15"/>
        <v>0</v>
      </c>
      <c r="S96" s="1065">
        <f t="shared" si="15"/>
        <v>0</v>
      </c>
      <c r="T96" s="1099" t="s">
        <v>886</v>
      </c>
      <c r="U96" s="1100" t="s">
        <v>892</v>
      </c>
      <c r="V96" s="1099">
        <v>414</v>
      </c>
      <c r="W96" s="1099">
        <v>14041</v>
      </c>
      <c r="Z96" s="1311">
        <f t="shared" si="12"/>
        <v>0</v>
      </c>
    </row>
    <row r="97" spans="1:26" ht="116.25" hidden="1">
      <c r="A97" s="1320" t="s">
        <v>563</v>
      </c>
      <c r="B97" s="973" t="s">
        <v>665</v>
      </c>
      <c r="C97" s="871">
        <f t="shared" si="9"/>
        <v>1519</v>
      </c>
      <c r="D97" s="972">
        <v>0</v>
      </c>
      <c r="E97" s="972">
        <v>1519</v>
      </c>
      <c r="F97" s="1325">
        <f t="shared" si="10"/>
        <v>1519</v>
      </c>
      <c r="G97" s="879">
        <v>0</v>
      </c>
      <c r="H97" s="879">
        <v>1519</v>
      </c>
      <c r="I97" s="1325">
        <f t="shared" si="11"/>
        <v>0</v>
      </c>
      <c r="J97" s="1326">
        <v>0</v>
      </c>
      <c r="K97" s="1326">
        <v>0</v>
      </c>
      <c r="L97" s="876">
        <v>0</v>
      </c>
      <c r="M97" s="877">
        <f t="shared" si="14"/>
        <v>0</v>
      </c>
      <c r="N97" s="877">
        <f t="shared" si="14"/>
        <v>0</v>
      </c>
      <c r="O97" s="1214" t="s">
        <v>1226</v>
      </c>
      <c r="P97" s="1214" t="s">
        <v>1156</v>
      </c>
      <c r="Q97" s="1065">
        <f t="shared" si="15"/>
        <v>0</v>
      </c>
      <c r="R97" s="1065">
        <f t="shared" si="15"/>
        <v>0</v>
      </c>
      <c r="S97" s="1065">
        <f t="shared" si="15"/>
        <v>0</v>
      </c>
      <c r="T97" s="1099" t="s">
        <v>886</v>
      </c>
      <c r="U97" s="1100" t="s">
        <v>892</v>
      </c>
      <c r="V97" s="1099">
        <v>414</v>
      </c>
      <c r="W97" s="1099">
        <v>14042</v>
      </c>
      <c r="Z97" s="1311">
        <f t="shared" si="12"/>
        <v>0</v>
      </c>
    </row>
    <row r="98" spans="1:26" ht="116.25" hidden="1">
      <c r="A98" s="1320" t="s">
        <v>573</v>
      </c>
      <c r="B98" s="973" t="s">
        <v>666</v>
      </c>
      <c r="C98" s="871">
        <f t="shared" si="9"/>
        <v>1400</v>
      </c>
      <c r="D98" s="972">
        <v>0</v>
      </c>
      <c r="E98" s="972">
        <v>1400</v>
      </c>
      <c r="F98" s="1325">
        <f t="shared" si="10"/>
        <v>1400</v>
      </c>
      <c r="G98" s="879">
        <v>0</v>
      </c>
      <c r="H98" s="879">
        <v>1400</v>
      </c>
      <c r="I98" s="1325">
        <f t="shared" si="11"/>
        <v>0</v>
      </c>
      <c r="J98" s="1326">
        <v>0</v>
      </c>
      <c r="K98" s="1326">
        <v>0</v>
      </c>
      <c r="L98" s="876">
        <v>0</v>
      </c>
      <c r="M98" s="877">
        <f t="shared" si="14"/>
        <v>0</v>
      </c>
      <c r="N98" s="877">
        <f t="shared" si="14"/>
        <v>0</v>
      </c>
      <c r="O98" s="1214" t="s">
        <v>1227</v>
      </c>
      <c r="P98" s="1214" t="s">
        <v>1157</v>
      </c>
      <c r="Q98" s="1065">
        <f t="shared" si="15"/>
        <v>0</v>
      </c>
      <c r="R98" s="1065">
        <f t="shared" si="15"/>
        <v>0</v>
      </c>
      <c r="S98" s="1065">
        <f t="shared" si="15"/>
        <v>0</v>
      </c>
      <c r="T98" s="1099" t="s">
        <v>886</v>
      </c>
      <c r="U98" s="1100" t="s">
        <v>892</v>
      </c>
      <c r="V98" s="1099">
        <v>414</v>
      </c>
      <c r="W98" s="1099">
        <v>14043</v>
      </c>
      <c r="Z98" s="1311">
        <f t="shared" si="12"/>
        <v>0</v>
      </c>
    </row>
    <row r="99" spans="1:26" ht="90.75" hidden="1" customHeight="1">
      <c r="A99" s="1320" t="s">
        <v>624</v>
      </c>
      <c r="B99" s="973" t="s">
        <v>1170</v>
      </c>
      <c r="C99" s="871">
        <f t="shared" si="9"/>
        <v>28000</v>
      </c>
      <c r="D99" s="972">
        <v>0</v>
      </c>
      <c r="E99" s="972">
        <v>28000</v>
      </c>
      <c r="F99" s="1325">
        <f t="shared" si="10"/>
        <v>28000</v>
      </c>
      <c r="G99" s="879">
        <v>0</v>
      </c>
      <c r="H99" s="879">
        <v>28000</v>
      </c>
      <c r="I99" s="1325">
        <f t="shared" si="11"/>
        <v>0</v>
      </c>
      <c r="J99" s="1326">
        <v>0</v>
      </c>
      <c r="K99" s="1326">
        <v>0</v>
      </c>
      <c r="L99" s="876">
        <v>0</v>
      </c>
      <c r="M99" s="877">
        <f t="shared" si="14"/>
        <v>0</v>
      </c>
      <c r="N99" s="877">
        <f t="shared" si="14"/>
        <v>0</v>
      </c>
      <c r="O99" s="1214" t="s">
        <v>1192</v>
      </c>
      <c r="P99" s="1214" t="s">
        <v>1158</v>
      </c>
      <c r="Q99" s="1065">
        <f t="shared" si="15"/>
        <v>0</v>
      </c>
      <c r="R99" s="1065">
        <f t="shared" si="15"/>
        <v>0</v>
      </c>
      <c r="S99" s="1065">
        <f t="shared" si="15"/>
        <v>0</v>
      </c>
      <c r="T99" s="1099" t="s">
        <v>886</v>
      </c>
      <c r="U99" s="1100" t="s">
        <v>893</v>
      </c>
      <c r="V99" s="1099">
        <v>414</v>
      </c>
      <c r="W99" s="1099">
        <v>14044</v>
      </c>
      <c r="Z99" s="1311">
        <f t="shared" si="12"/>
        <v>0</v>
      </c>
    </row>
    <row r="100" spans="1:26" ht="63" customHeight="1">
      <c r="A100" s="1320"/>
      <c r="B100" s="1075" t="s">
        <v>771</v>
      </c>
      <c r="C100" s="871">
        <f t="shared" si="9"/>
        <v>319980.59999999998</v>
      </c>
      <c r="D100" s="972">
        <f>319980.6*0.90202494621</f>
        <v>288630.5</v>
      </c>
      <c r="E100" s="972">
        <f>319980.6*(1-0.90202494621)</f>
        <v>31350.1</v>
      </c>
      <c r="F100" s="1325">
        <f t="shared" si="10"/>
        <v>319980.59999999998</v>
      </c>
      <c r="G100" s="879">
        <f>319980.6*0.90202494621</f>
        <v>288630.5</v>
      </c>
      <c r="H100" s="879">
        <f>319980.6*(1-0.90202494621)</f>
        <v>31350.1</v>
      </c>
      <c r="I100" s="2450">
        <f t="shared" si="11"/>
        <v>0</v>
      </c>
      <c r="J100" s="2440">
        <v>0</v>
      </c>
      <c r="K100" s="2440">
        <v>0</v>
      </c>
      <c r="L100" s="2433">
        <f>IF(I100=0,0,I100/F100:F101*_G101100)</f>
        <v>0</v>
      </c>
      <c r="M100" s="2429">
        <f>IF(J100=0,0,J100/G100:G101*100)</f>
        <v>0</v>
      </c>
      <c r="N100" s="2429">
        <f>IF(K100=0,0,K100/H100:H101*100)</f>
        <v>0</v>
      </c>
      <c r="O100" s="1214" t="s">
        <v>1192</v>
      </c>
      <c r="P100" s="1213" t="s">
        <v>1159</v>
      </c>
      <c r="Q100" s="1065">
        <f t="shared" si="15"/>
        <v>0</v>
      </c>
      <c r="R100" s="1065">
        <f t="shared" si="15"/>
        <v>0</v>
      </c>
      <c r="S100" s="1065">
        <f t="shared" si="15"/>
        <v>0</v>
      </c>
      <c r="T100" s="2409" t="s">
        <v>926</v>
      </c>
      <c r="U100" s="2445" t="s">
        <v>927</v>
      </c>
      <c r="V100" s="2409">
        <v>414</v>
      </c>
      <c r="W100" s="2409"/>
      <c r="X100" s="2471"/>
      <c r="Z100" s="1311">
        <f t="shared" si="12"/>
        <v>0</v>
      </c>
    </row>
    <row r="101" spans="1:26" ht="95.25" customHeight="1">
      <c r="A101" s="1320"/>
      <c r="B101" s="1075" t="s">
        <v>772</v>
      </c>
      <c r="C101" s="871">
        <f t="shared" si="9"/>
        <v>359978.2</v>
      </c>
      <c r="D101" s="972">
        <f>359978.2*0.90202494621</f>
        <v>324709.3</v>
      </c>
      <c r="E101" s="972">
        <f>359978.2*(1-0.90202494621)</f>
        <v>35268.9</v>
      </c>
      <c r="F101" s="1325">
        <f t="shared" si="10"/>
        <v>359978.2</v>
      </c>
      <c r="G101" s="879">
        <f>359978.2*0.90202494621</f>
        <v>324709.3</v>
      </c>
      <c r="H101" s="879">
        <f>359978.2*(1-0.90202494621)</f>
        <v>35268.9</v>
      </c>
      <c r="I101" s="2451"/>
      <c r="J101" s="2441"/>
      <c r="K101" s="2441"/>
      <c r="L101" s="2434"/>
      <c r="M101" s="2430"/>
      <c r="N101" s="2430"/>
      <c r="O101" s="1214" t="s">
        <v>1192</v>
      </c>
      <c r="P101" s="1213" t="s">
        <v>1160</v>
      </c>
      <c r="Q101" s="1065">
        <f t="shared" si="15"/>
        <v>0</v>
      </c>
      <c r="R101" s="1065">
        <f t="shared" si="15"/>
        <v>0</v>
      </c>
      <c r="S101" s="1065">
        <f t="shared" si="15"/>
        <v>0</v>
      </c>
      <c r="T101" s="2409"/>
      <c r="U101" s="2445"/>
      <c r="V101" s="2409"/>
      <c r="W101" s="2409"/>
      <c r="X101" s="2471"/>
      <c r="Z101" s="1311">
        <f t="shared" si="12"/>
        <v>0</v>
      </c>
    </row>
    <row r="102" spans="1:26" ht="66.75" hidden="1" customHeight="1">
      <c r="A102" s="1320" t="s">
        <v>625</v>
      </c>
      <c r="B102" s="1323" t="s">
        <v>460</v>
      </c>
      <c r="C102" s="871">
        <f t="shared" si="9"/>
        <v>53626.3</v>
      </c>
      <c r="D102" s="972">
        <f>20123.6+12300.3</f>
        <v>32423.9</v>
      </c>
      <c r="E102" s="972">
        <f>21202.4</f>
        <v>21202.400000000001</v>
      </c>
      <c r="F102" s="1325">
        <f t="shared" si="10"/>
        <v>41326</v>
      </c>
      <c r="G102" s="879">
        <f>32423.9-12300.3</f>
        <v>20123.599999999999</v>
      </c>
      <c r="H102" s="879">
        <v>21202.400000000001</v>
      </c>
      <c r="I102" s="1325">
        <f t="shared" si="11"/>
        <v>47.5</v>
      </c>
      <c r="J102" s="1326">
        <v>24.5</v>
      </c>
      <c r="K102" s="1326">
        <v>23</v>
      </c>
      <c r="L102" s="876">
        <f t="shared" ref="L102:N117" si="16">IF(I102=0,0,I102/F102*100)</f>
        <v>0.1</v>
      </c>
      <c r="M102" s="877">
        <f t="shared" si="16"/>
        <v>0.1</v>
      </c>
      <c r="N102" s="877">
        <f t="shared" si="16"/>
        <v>0.1</v>
      </c>
      <c r="O102" s="1214" t="s">
        <v>1228</v>
      </c>
      <c r="P102" s="1214" t="s">
        <v>1161</v>
      </c>
      <c r="Q102" s="1065">
        <f t="shared" si="15"/>
        <v>12300.3</v>
      </c>
      <c r="R102" s="1065">
        <f t="shared" si="15"/>
        <v>12300.3</v>
      </c>
      <c r="S102" s="1065">
        <f t="shared" si="15"/>
        <v>0</v>
      </c>
      <c r="T102" s="1099" t="s">
        <v>954</v>
      </c>
      <c r="V102" s="1099" t="s">
        <v>959</v>
      </c>
      <c r="W102" s="1099" t="s">
        <v>960</v>
      </c>
      <c r="Z102" s="1311">
        <f t="shared" si="12"/>
        <v>12300.3</v>
      </c>
    </row>
    <row r="103" spans="1:26" ht="80.25" hidden="1" customHeight="1">
      <c r="A103" s="2404" t="s">
        <v>626</v>
      </c>
      <c r="B103" s="975" t="s">
        <v>645</v>
      </c>
      <c r="C103" s="871">
        <f t="shared" si="9"/>
        <v>1929.7</v>
      </c>
      <c r="D103" s="1249">
        <v>0</v>
      </c>
      <c r="E103" s="1249">
        <v>1929.7</v>
      </c>
      <c r="F103" s="1325">
        <f t="shared" si="10"/>
        <v>1929.7</v>
      </c>
      <c r="G103" s="1327">
        <v>0</v>
      </c>
      <c r="H103" s="1327">
        <v>1929.7</v>
      </c>
      <c r="I103" s="1325">
        <f t="shared" si="11"/>
        <v>689.2</v>
      </c>
      <c r="J103" s="1327">
        <v>0</v>
      </c>
      <c r="K103" s="1327">
        <v>689.2</v>
      </c>
      <c r="L103" s="876">
        <f t="shared" si="16"/>
        <v>35.700000000000003</v>
      </c>
      <c r="M103" s="877">
        <f t="shared" si="16"/>
        <v>0</v>
      </c>
      <c r="N103" s="877">
        <f t="shared" si="16"/>
        <v>35.700000000000003</v>
      </c>
      <c r="O103" s="1214" t="s">
        <v>1229</v>
      </c>
      <c r="P103" s="1214" t="s">
        <v>1162</v>
      </c>
      <c r="Q103" s="1065">
        <f t="shared" si="15"/>
        <v>0</v>
      </c>
      <c r="R103" s="1065">
        <f t="shared" si="15"/>
        <v>0</v>
      </c>
      <c r="S103" s="1065">
        <f t="shared" si="15"/>
        <v>0</v>
      </c>
      <c r="T103" s="1099" t="s">
        <v>867</v>
      </c>
      <c r="U103" s="1100">
        <v>1550190400</v>
      </c>
      <c r="V103" s="1099">
        <v>414</v>
      </c>
      <c r="W103" s="1099">
        <v>14024</v>
      </c>
      <c r="Z103" s="1311">
        <f t="shared" si="12"/>
        <v>0</v>
      </c>
    </row>
    <row r="104" spans="1:26" ht="78.75" hidden="1">
      <c r="A104" s="2405"/>
      <c r="B104" s="975" t="s">
        <v>707</v>
      </c>
      <c r="C104" s="871">
        <f t="shared" si="9"/>
        <v>30000</v>
      </c>
      <c r="D104" s="1249">
        <v>0</v>
      </c>
      <c r="E104" s="1249">
        <v>30000</v>
      </c>
      <c r="F104" s="1325">
        <f t="shared" si="10"/>
        <v>30000</v>
      </c>
      <c r="G104" s="1327">
        <v>0</v>
      </c>
      <c r="H104" s="1327">
        <v>30000</v>
      </c>
      <c r="I104" s="1325">
        <f t="shared" si="11"/>
        <v>0</v>
      </c>
      <c r="J104" s="1327">
        <v>0</v>
      </c>
      <c r="K104" s="1327">
        <v>0</v>
      </c>
      <c r="L104" s="876">
        <f t="shared" si="16"/>
        <v>0</v>
      </c>
      <c r="M104" s="877">
        <f t="shared" si="16"/>
        <v>0</v>
      </c>
      <c r="N104" s="877">
        <f t="shared" si="16"/>
        <v>0</v>
      </c>
      <c r="O104" s="1214" t="s">
        <v>1192</v>
      </c>
      <c r="P104" s="1214" t="s">
        <v>1163</v>
      </c>
      <c r="Q104" s="1065">
        <f t="shared" si="15"/>
        <v>0</v>
      </c>
      <c r="R104" s="1065">
        <f t="shared" si="15"/>
        <v>0</v>
      </c>
      <c r="S104" s="1065">
        <f t="shared" si="15"/>
        <v>0</v>
      </c>
      <c r="T104" s="1099" t="s">
        <v>868</v>
      </c>
      <c r="U104" s="1100">
        <v>1550190400</v>
      </c>
      <c r="V104" s="1099">
        <v>414</v>
      </c>
      <c r="W104" s="1099">
        <v>10120</v>
      </c>
      <c r="Z104" s="1311">
        <f t="shared" si="12"/>
        <v>0</v>
      </c>
    </row>
    <row r="105" spans="1:26" s="838" customFormat="1" ht="107.25" hidden="1" customHeight="1">
      <c r="A105" s="1320" t="s">
        <v>627</v>
      </c>
      <c r="B105" s="976" t="s">
        <v>839</v>
      </c>
      <c r="C105" s="871">
        <f t="shared" si="9"/>
        <v>2714.8</v>
      </c>
      <c r="D105" s="972">
        <v>0</v>
      </c>
      <c r="E105" s="972">
        <v>2714.8</v>
      </c>
      <c r="F105" s="1325">
        <f t="shared" si="10"/>
        <v>2714.8</v>
      </c>
      <c r="G105" s="879">
        <v>0</v>
      </c>
      <c r="H105" s="879">
        <v>2714.8</v>
      </c>
      <c r="I105" s="1325">
        <f t="shared" si="11"/>
        <v>0</v>
      </c>
      <c r="J105" s="1326">
        <v>0</v>
      </c>
      <c r="K105" s="970">
        <v>0</v>
      </c>
      <c r="L105" s="876">
        <f t="shared" si="16"/>
        <v>0</v>
      </c>
      <c r="M105" s="877">
        <f t="shared" si="16"/>
        <v>0</v>
      </c>
      <c r="N105" s="877">
        <f t="shared" si="16"/>
        <v>0</v>
      </c>
      <c r="O105" s="1214" t="s">
        <v>1230</v>
      </c>
      <c r="P105" s="1214" t="s">
        <v>1164</v>
      </c>
      <c r="Q105" s="1065">
        <f t="shared" si="15"/>
        <v>0</v>
      </c>
      <c r="R105" s="1065">
        <f t="shared" si="15"/>
        <v>0</v>
      </c>
      <c r="S105" s="1065">
        <f t="shared" si="15"/>
        <v>0</v>
      </c>
      <c r="T105" s="1121" t="s">
        <v>886</v>
      </c>
      <c r="U105" s="1122" t="s">
        <v>894</v>
      </c>
      <c r="V105" s="1121">
        <v>414</v>
      </c>
      <c r="W105" s="1121">
        <v>14031</v>
      </c>
      <c r="X105" s="1219"/>
      <c r="Z105" s="1311">
        <f t="shared" si="12"/>
        <v>0</v>
      </c>
    </row>
    <row r="106" spans="1:26" ht="95.25" hidden="1" customHeight="1">
      <c r="A106" s="1320" t="s">
        <v>628</v>
      </c>
      <c r="B106" s="976" t="s">
        <v>1072</v>
      </c>
      <c r="C106" s="871">
        <f t="shared" si="9"/>
        <v>2100</v>
      </c>
      <c r="D106" s="972">
        <v>0</v>
      </c>
      <c r="E106" s="972">
        <v>2100</v>
      </c>
      <c r="F106" s="1325">
        <f t="shared" si="10"/>
        <v>2100</v>
      </c>
      <c r="G106" s="879">
        <v>0</v>
      </c>
      <c r="H106" s="879">
        <v>2100</v>
      </c>
      <c r="I106" s="1325">
        <f t="shared" si="11"/>
        <v>0</v>
      </c>
      <c r="J106" s="1326">
        <v>0</v>
      </c>
      <c r="K106" s="970">
        <v>0</v>
      </c>
      <c r="L106" s="876">
        <f t="shared" si="16"/>
        <v>0</v>
      </c>
      <c r="M106" s="877">
        <f t="shared" si="16"/>
        <v>0</v>
      </c>
      <c r="N106" s="877">
        <f t="shared" si="16"/>
        <v>0</v>
      </c>
      <c r="O106" s="1214" t="s">
        <v>1231</v>
      </c>
      <c r="P106" s="1214" t="s">
        <v>1165</v>
      </c>
      <c r="Q106" s="1065">
        <f t="shared" si="15"/>
        <v>0</v>
      </c>
      <c r="R106" s="1065">
        <f t="shared" si="15"/>
        <v>0</v>
      </c>
      <c r="S106" s="1065">
        <f t="shared" si="15"/>
        <v>0</v>
      </c>
      <c r="T106" s="1099" t="s">
        <v>886</v>
      </c>
      <c r="U106" s="1100">
        <v>1900290400</v>
      </c>
      <c r="V106" s="1099">
        <v>414</v>
      </c>
      <c r="W106" s="1099">
        <v>14020</v>
      </c>
      <c r="Z106" s="1311">
        <f t="shared" si="12"/>
        <v>0</v>
      </c>
    </row>
    <row r="107" spans="1:26" ht="66.75" hidden="1" customHeight="1">
      <c r="A107" s="1320" t="s">
        <v>629</v>
      </c>
      <c r="B107" s="900" t="s">
        <v>641</v>
      </c>
      <c r="C107" s="871">
        <f t="shared" si="9"/>
        <v>8850</v>
      </c>
      <c r="D107" s="972">
        <v>0</v>
      </c>
      <c r="E107" s="972">
        <v>8850</v>
      </c>
      <c r="F107" s="1325">
        <f t="shared" si="10"/>
        <v>8850</v>
      </c>
      <c r="G107" s="879">
        <v>0</v>
      </c>
      <c r="H107" s="879">
        <v>8850</v>
      </c>
      <c r="I107" s="1325">
        <f t="shared" si="11"/>
        <v>0</v>
      </c>
      <c r="J107" s="1326">
        <v>0</v>
      </c>
      <c r="K107" s="1326">
        <v>0</v>
      </c>
      <c r="L107" s="876">
        <f t="shared" si="16"/>
        <v>0</v>
      </c>
      <c r="M107" s="877">
        <f t="shared" si="16"/>
        <v>0</v>
      </c>
      <c r="N107" s="877">
        <f t="shared" si="16"/>
        <v>0</v>
      </c>
      <c r="O107" s="1317" t="s">
        <v>1232</v>
      </c>
      <c r="P107" s="1317" t="s">
        <v>1166</v>
      </c>
      <c r="Q107" s="1065">
        <f t="shared" si="15"/>
        <v>0</v>
      </c>
      <c r="R107" s="1065">
        <f t="shared" si="15"/>
        <v>0</v>
      </c>
      <c r="S107" s="1065">
        <f t="shared" si="15"/>
        <v>0</v>
      </c>
      <c r="T107" s="1099" t="s">
        <v>947</v>
      </c>
      <c r="U107" s="1100" t="s">
        <v>948</v>
      </c>
      <c r="V107" s="1099">
        <v>414</v>
      </c>
      <c r="W107" s="1099">
        <v>14016</v>
      </c>
      <c r="Z107" s="1311">
        <f t="shared" si="12"/>
        <v>0</v>
      </c>
    </row>
    <row r="108" spans="1:26" ht="79.5" hidden="1" customHeight="1">
      <c r="A108" s="1320" t="s">
        <v>630</v>
      </c>
      <c r="B108" s="976" t="s">
        <v>647</v>
      </c>
      <c r="C108" s="871">
        <f t="shared" si="9"/>
        <v>39000</v>
      </c>
      <c r="D108" s="972">
        <v>0</v>
      </c>
      <c r="E108" s="972">
        <v>39000</v>
      </c>
      <c r="F108" s="1325">
        <f t="shared" si="10"/>
        <v>39000</v>
      </c>
      <c r="G108" s="879">
        <v>0</v>
      </c>
      <c r="H108" s="879">
        <v>39000</v>
      </c>
      <c r="I108" s="1325">
        <f t="shared" si="11"/>
        <v>21450</v>
      </c>
      <c r="J108" s="1326">
        <v>0</v>
      </c>
      <c r="K108" s="970">
        <v>21450</v>
      </c>
      <c r="L108" s="876">
        <f t="shared" si="16"/>
        <v>55</v>
      </c>
      <c r="M108" s="877">
        <f t="shared" si="16"/>
        <v>0</v>
      </c>
      <c r="N108" s="877">
        <f t="shared" si="16"/>
        <v>55</v>
      </c>
      <c r="O108" s="1214" t="s">
        <v>1233</v>
      </c>
      <c r="P108" s="1214" t="s">
        <v>1167</v>
      </c>
      <c r="Q108" s="1065">
        <f t="shared" si="15"/>
        <v>0</v>
      </c>
      <c r="R108" s="1065">
        <f t="shared" si="15"/>
        <v>0</v>
      </c>
      <c r="S108" s="1065">
        <f t="shared" si="15"/>
        <v>0</v>
      </c>
      <c r="T108" s="1099" t="s">
        <v>936</v>
      </c>
      <c r="U108" s="1100" t="s">
        <v>944</v>
      </c>
      <c r="V108" s="1099">
        <v>414</v>
      </c>
      <c r="W108" s="1099">
        <v>14050</v>
      </c>
      <c r="Z108" s="1311">
        <f t="shared" si="12"/>
        <v>0</v>
      </c>
    </row>
    <row r="109" spans="1:26" ht="78.75" hidden="1">
      <c r="A109" s="1320" t="s">
        <v>732</v>
      </c>
      <c r="B109" s="976" t="s">
        <v>804</v>
      </c>
      <c r="C109" s="871">
        <f t="shared" si="9"/>
        <v>2244.9</v>
      </c>
      <c r="D109" s="972">
        <v>0</v>
      </c>
      <c r="E109" s="972">
        <v>2244.9</v>
      </c>
      <c r="F109" s="1325">
        <f t="shared" si="10"/>
        <v>2244.9</v>
      </c>
      <c r="G109" s="879">
        <v>0</v>
      </c>
      <c r="H109" s="879">
        <v>2244.9</v>
      </c>
      <c r="I109" s="1325">
        <f t="shared" si="11"/>
        <v>0</v>
      </c>
      <c r="J109" s="1326">
        <v>0</v>
      </c>
      <c r="K109" s="970">
        <v>0</v>
      </c>
      <c r="L109" s="876">
        <f t="shared" si="16"/>
        <v>0</v>
      </c>
      <c r="M109" s="877">
        <f t="shared" si="16"/>
        <v>0</v>
      </c>
      <c r="N109" s="877">
        <f t="shared" si="16"/>
        <v>0</v>
      </c>
      <c r="O109" s="1214" t="s">
        <v>1192</v>
      </c>
      <c r="P109" s="1214" t="s">
        <v>1193</v>
      </c>
      <c r="Q109" s="1065">
        <f t="shared" si="15"/>
        <v>0</v>
      </c>
      <c r="R109" s="1065">
        <f t="shared" si="15"/>
        <v>0</v>
      </c>
      <c r="S109" s="1065">
        <f t="shared" si="15"/>
        <v>0</v>
      </c>
      <c r="T109" s="1099" t="s">
        <v>945</v>
      </c>
      <c r="U109" s="1100" t="s">
        <v>937</v>
      </c>
      <c r="V109" s="1099">
        <v>414</v>
      </c>
      <c r="W109" s="1099">
        <v>14071</v>
      </c>
      <c r="Z109" s="1311">
        <f t="shared" si="12"/>
        <v>0</v>
      </c>
    </row>
    <row r="110" spans="1:26" ht="93" hidden="1">
      <c r="A110" s="1320" t="s">
        <v>733</v>
      </c>
      <c r="B110" s="900" t="s">
        <v>637</v>
      </c>
      <c r="C110" s="871">
        <f t="shared" si="9"/>
        <v>4496.8</v>
      </c>
      <c r="D110" s="972">
        <v>0</v>
      </c>
      <c r="E110" s="972">
        <v>4496.8</v>
      </c>
      <c r="F110" s="1325">
        <f t="shared" si="10"/>
        <v>4496.8</v>
      </c>
      <c r="G110" s="879">
        <v>0</v>
      </c>
      <c r="H110" s="879">
        <v>4496.8</v>
      </c>
      <c r="I110" s="1325">
        <f t="shared" si="11"/>
        <v>0</v>
      </c>
      <c r="J110" s="1326">
        <v>0</v>
      </c>
      <c r="K110" s="1326">
        <v>0</v>
      </c>
      <c r="L110" s="876">
        <f t="shared" si="16"/>
        <v>0</v>
      </c>
      <c r="M110" s="877">
        <f t="shared" si="16"/>
        <v>0</v>
      </c>
      <c r="N110" s="877">
        <f t="shared" si="16"/>
        <v>0</v>
      </c>
      <c r="O110" s="1214" t="s">
        <v>1234</v>
      </c>
      <c r="P110" s="1214" t="s">
        <v>1194</v>
      </c>
      <c r="Q110" s="1065">
        <f t="shared" si="15"/>
        <v>0</v>
      </c>
      <c r="R110" s="1065">
        <f t="shared" si="15"/>
        <v>0</v>
      </c>
      <c r="S110" s="1065">
        <f t="shared" si="15"/>
        <v>0</v>
      </c>
      <c r="T110" s="1099" t="s">
        <v>949</v>
      </c>
      <c r="U110" s="1100" t="s">
        <v>951</v>
      </c>
      <c r="V110" s="1099">
        <v>414</v>
      </c>
      <c r="W110" s="1099">
        <v>14057</v>
      </c>
      <c r="Z110" s="1311">
        <f t="shared" si="12"/>
        <v>0</v>
      </c>
    </row>
    <row r="111" spans="1:26" ht="63" hidden="1" customHeight="1">
      <c r="A111" s="1320" t="s">
        <v>781</v>
      </c>
      <c r="B111" s="901" t="s">
        <v>639</v>
      </c>
      <c r="C111" s="871">
        <f t="shared" si="9"/>
        <v>1946</v>
      </c>
      <c r="D111" s="972">
        <v>0</v>
      </c>
      <c r="E111" s="972">
        <v>1946</v>
      </c>
      <c r="F111" s="1325">
        <f t="shared" si="10"/>
        <v>1946</v>
      </c>
      <c r="G111" s="879">
        <v>0</v>
      </c>
      <c r="H111" s="879">
        <v>1946</v>
      </c>
      <c r="I111" s="1325">
        <f t="shared" si="11"/>
        <v>695</v>
      </c>
      <c r="J111" s="1326">
        <v>0</v>
      </c>
      <c r="K111" s="1326">
        <v>695</v>
      </c>
      <c r="L111" s="876">
        <f t="shared" si="16"/>
        <v>35.700000000000003</v>
      </c>
      <c r="M111" s="877">
        <f t="shared" si="16"/>
        <v>0</v>
      </c>
      <c r="N111" s="877">
        <f t="shared" si="16"/>
        <v>35.700000000000003</v>
      </c>
      <c r="O111" s="1214" t="s">
        <v>1235</v>
      </c>
      <c r="P111" s="1214" t="s">
        <v>1195</v>
      </c>
      <c r="Q111" s="1065">
        <f t="shared" ref="Q111:S124" si="17">C111-F111</f>
        <v>0</v>
      </c>
      <c r="R111" s="1065">
        <f t="shared" si="17"/>
        <v>0</v>
      </c>
      <c r="S111" s="1065">
        <f t="shared" si="17"/>
        <v>0</v>
      </c>
      <c r="T111" s="1099" t="s">
        <v>954</v>
      </c>
      <c r="U111" s="1100" t="s">
        <v>956</v>
      </c>
      <c r="V111" s="1099">
        <v>414</v>
      </c>
      <c r="W111" s="1099">
        <v>14015</v>
      </c>
      <c r="Z111" s="1311">
        <f t="shared" si="12"/>
        <v>0</v>
      </c>
    </row>
    <row r="112" spans="1:26" s="1216" customFormat="1" ht="63" hidden="1" customHeight="1">
      <c r="A112" s="1320" t="s">
        <v>631</v>
      </c>
      <c r="B112" s="900" t="s">
        <v>643</v>
      </c>
      <c r="C112" s="871">
        <f t="shared" si="9"/>
        <v>2752.8</v>
      </c>
      <c r="D112" s="972">
        <v>0</v>
      </c>
      <c r="E112" s="972">
        <v>2752.8</v>
      </c>
      <c r="F112" s="1325">
        <f t="shared" si="10"/>
        <v>2752.8</v>
      </c>
      <c r="G112" s="879">
        <v>0</v>
      </c>
      <c r="H112" s="879">
        <v>2752.8</v>
      </c>
      <c r="I112" s="1325">
        <f t="shared" si="11"/>
        <v>0</v>
      </c>
      <c r="J112" s="1326">
        <v>0</v>
      </c>
      <c r="K112" s="1326">
        <v>0</v>
      </c>
      <c r="L112" s="876">
        <f t="shared" si="16"/>
        <v>0</v>
      </c>
      <c r="M112" s="877">
        <f t="shared" si="16"/>
        <v>0</v>
      </c>
      <c r="N112" s="877">
        <f t="shared" si="16"/>
        <v>0</v>
      </c>
      <c r="O112" s="1214" t="s">
        <v>1236</v>
      </c>
      <c r="P112" s="1214" t="s">
        <v>1196</v>
      </c>
      <c r="Q112" s="1065">
        <f t="shared" si="17"/>
        <v>0</v>
      </c>
      <c r="R112" s="1065">
        <f t="shared" si="17"/>
        <v>0</v>
      </c>
      <c r="S112" s="1065">
        <f t="shared" si="17"/>
        <v>0</v>
      </c>
      <c r="T112" s="1099" t="s">
        <v>954</v>
      </c>
      <c r="U112" s="1100" t="s">
        <v>956</v>
      </c>
      <c r="V112" s="1099">
        <v>141</v>
      </c>
      <c r="W112" s="1099">
        <v>14018</v>
      </c>
      <c r="Z112" s="1311">
        <f t="shared" si="12"/>
        <v>0</v>
      </c>
    </row>
    <row r="113" spans="1:26" s="1216" customFormat="1" ht="69.75" hidden="1" customHeight="1">
      <c r="A113" s="1320" t="s">
        <v>632</v>
      </c>
      <c r="B113" s="900" t="s">
        <v>801</v>
      </c>
      <c r="C113" s="871">
        <f t="shared" si="9"/>
        <v>10292.6</v>
      </c>
      <c r="D113" s="972">
        <v>0</v>
      </c>
      <c r="E113" s="972">
        <v>10292.6</v>
      </c>
      <c r="F113" s="1325">
        <f t="shared" si="10"/>
        <v>10292.6</v>
      </c>
      <c r="G113" s="879">
        <v>0</v>
      </c>
      <c r="H113" s="879">
        <v>10292.6</v>
      </c>
      <c r="I113" s="1325">
        <f t="shared" si="11"/>
        <v>0</v>
      </c>
      <c r="J113" s="1326">
        <v>0</v>
      </c>
      <c r="K113" s="1326">
        <v>0</v>
      </c>
      <c r="L113" s="876">
        <f t="shared" si="16"/>
        <v>0</v>
      </c>
      <c r="M113" s="877">
        <f t="shared" si="16"/>
        <v>0</v>
      </c>
      <c r="N113" s="877">
        <f t="shared" si="16"/>
        <v>0</v>
      </c>
      <c r="O113" s="1214" t="s">
        <v>1192</v>
      </c>
      <c r="P113" s="1214" t="s">
        <v>1197</v>
      </c>
      <c r="Q113" s="1065">
        <f t="shared" si="17"/>
        <v>0</v>
      </c>
      <c r="R113" s="1065">
        <f t="shared" si="17"/>
        <v>0</v>
      </c>
      <c r="S113" s="1065">
        <f t="shared" si="17"/>
        <v>0</v>
      </c>
      <c r="T113" s="1099" t="s">
        <v>954</v>
      </c>
      <c r="U113" s="1100" t="s">
        <v>955</v>
      </c>
      <c r="V113" s="1099">
        <v>414</v>
      </c>
      <c r="W113" s="1099">
        <v>14004</v>
      </c>
      <c r="Z113" s="1311">
        <f t="shared" si="12"/>
        <v>0</v>
      </c>
    </row>
    <row r="114" spans="1:26" s="1216" customFormat="1" ht="78.75" hidden="1">
      <c r="A114" s="1320" t="s">
        <v>633</v>
      </c>
      <c r="B114" s="900" t="s">
        <v>802</v>
      </c>
      <c r="C114" s="871">
        <f t="shared" si="9"/>
        <v>5000</v>
      </c>
      <c r="D114" s="972">
        <v>0</v>
      </c>
      <c r="E114" s="972">
        <v>5000</v>
      </c>
      <c r="F114" s="1325">
        <f t="shared" si="10"/>
        <v>5000</v>
      </c>
      <c r="G114" s="879">
        <v>0</v>
      </c>
      <c r="H114" s="879">
        <v>5000</v>
      </c>
      <c r="I114" s="1325">
        <f t="shared" si="11"/>
        <v>0</v>
      </c>
      <c r="J114" s="1326">
        <v>0</v>
      </c>
      <c r="K114" s="1326">
        <v>0</v>
      </c>
      <c r="L114" s="876">
        <f t="shared" si="16"/>
        <v>0</v>
      </c>
      <c r="M114" s="877">
        <f t="shared" si="16"/>
        <v>0</v>
      </c>
      <c r="N114" s="877">
        <f t="shared" si="16"/>
        <v>0</v>
      </c>
      <c r="O114" s="1214" t="s">
        <v>1192</v>
      </c>
      <c r="P114" s="1214" t="s">
        <v>1198</v>
      </c>
      <c r="Q114" s="1065">
        <f t="shared" si="17"/>
        <v>0</v>
      </c>
      <c r="R114" s="1065">
        <f t="shared" si="17"/>
        <v>0</v>
      </c>
      <c r="S114" s="1065">
        <f t="shared" si="17"/>
        <v>0</v>
      </c>
      <c r="T114" s="1099" t="s">
        <v>954</v>
      </c>
      <c r="U114" s="1100" t="s">
        <v>956</v>
      </c>
      <c r="V114" s="1099">
        <v>414</v>
      </c>
      <c r="W114" s="1099">
        <v>14060</v>
      </c>
      <c r="Z114" s="1311">
        <f t="shared" si="12"/>
        <v>0</v>
      </c>
    </row>
    <row r="115" spans="1:26" s="1216" customFormat="1" ht="52.5" hidden="1">
      <c r="A115" s="1320" t="s">
        <v>634</v>
      </c>
      <c r="B115" s="900" t="s">
        <v>812</v>
      </c>
      <c r="C115" s="871">
        <f t="shared" si="9"/>
        <v>1350</v>
      </c>
      <c r="D115" s="972">
        <v>0</v>
      </c>
      <c r="E115" s="972">
        <v>1350</v>
      </c>
      <c r="F115" s="1325">
        <f t="shared" si="10"/>
        <v>1350</v>
      </c>
      <c r="G115" s="879">
        <v>0</v>
      </c>
      <c r="H115" s="879">
        <v>1350</v>
      </c>
      <c r="I115" s="1325">
        <f t="shared" si="11"/>
        <v>0</v>
      </c>
      <c r="J115" s="1326">
        <v>0</v>
      </c>
      <c r="K115" s="1326">
        <v>0</v>
      </c>
      <c r="L115" s="876">
        <f t="shared" si="16"/>
        <v>0</v>
      </c>
      <c r="M115" s="877">
        <f t="shared" si="16"/>
        <v>0</v>
      </c>
      <c r="N115" s="877">
        <f t="shared" si="16"/>
        <v>0</v>
      </c>
      <c r="O115" s="1214" t="s">
        <v>1192</v>
      </c>
      <c r="P115" s="1214" t="s">
        <v>1199</v>
      </c>
      <c r="Q115" s="1065">
        <f t="shared" si="17"/>
        <v>0</v>
      </c>
      <c r="R115" s="1065">
        <f t="shared" si="17"/>
        <v>0</v>
      </c>
      <c r="S115" s="1065">
        <f t="shared" si="17"/>
        <v>0</v>
      </c>
      <c r="T115" s="1099" t="s">
        <v>954</v>
      </c>
      <c r="U115" s="1100" t="s">
        <v>956</v>
      </c>
      <c r="V115" s="1099">
        <v>414</v>
      </c>
      <c r="W115" s="1099">
        <v>14074</v>
      </c>
      <c r="Z115" s="1311">
        <f t="shared" si="12"/>
        <v>0</v>
      </c>
    </row>
    <row r="116" spans="1:26" s="1216" customFormat="1" ht="90.75" hidden="1" customHeight="1">
      <c r="A116" s="1320" t="s">
        <v>635</v>
      </c>
      <c r="B116" s="1125" t="s">
        <v>795</v>
      </c>
      <c r="C116" s="871">
        <f t="shared" si="9"/>
        <v>1230</v>
      </c>
      <c r="D116" s="1249">
        <v>0</v>
      </c>
      <c r="E116" s="1249">
        <v>1230</v>
      </c>
      <c r="F116" s="1325">
        <f t="shared" si="10"/>
        <v>1230</v>
      </c>
      <c r="G116" s="1327">
        <v>0</v>
      </c>
      <c r="H116" s="1327">
        <v>1230</v>
      </c>
      <c r="I116" s="1325">
        <f t="shared" si="11"/>
        <v>0</v>
      </c>
      <c r="J116" s="1327">
        <v>0</v>
      </c>
      <c r="K116" s="1327">
        <v>0</v>
      </c>
      <c r="L116" s="876">
        <f t="shared" si="16"/>
        <v>0</v>
      </c>
      <c r="M116" s="877">
        <f t="shared" si="16"/>
        <v>0</v>
      </c>
      <c r="N116" s="877">
        <f t="shared" si="16"/>
        <v>0</v>
      </c>
      <c r="O116" s="1214" t="s">
        <v>1192</v>
      </c>
      <c r="P116" s="1214" t="s">
        <v>1198</v>
      </c>
      <c r="Q116" s="1065">
        <f t="shared" si="17"/>
        <v>0</v>
      </c>
      <c r="R116" s="1065">
        <f t="shared" si="17"/>
        <v>0</v>
      </c>
      <c r="S116" s="1065">
        <f t="shared" si="17"/>
        <v>0</v>
      </c>
      <c r="T116" s="1099" t="s">
        <v>886</v>
      </c>
      <c r="U116" s="1100">
        <v>1820190400</v>
      </c>
      <c r="V116" s="1099">
        <v>414</v>
      </c>
      <c r="W116" s="1099">
        <v>14062</v>
      </c>
      <c r="Z116" s="1311">
        <f t="shared" si="12"/>
        <v>0</v>
      </c>
    </row>
    <row r="117" spans="1:26" s="1216" customFormat="1" ht="86.25" hidden="1" customHeight="1">
      <c r="A117" s="1320" t="s">
        <v>734</v>
      </c>
      <c r="B117" s="937" t="s">
        <v>796</v>
      </c>
      <c r="C117" s="871">
        <f t="shared" si="9"/>
        <v>1020</v>
      </c>
      <c r="D117" s="1249">
        <v>0</v>
      </c>
      <c r="E117" s="1249">
        <v>1020</v>
      </c>
      <c r="F117" s="1325">
        <f t="shared" si="10"/>
        <v>1020</v>
      </c>
      <c r="G117" s="1327">
        <v>0</v>
      </c>
      <c r="H117" s="1327">
        <v>1020</v>
      </c>
      <c r="I117" s="1325">
        <f t="shared" si="11"/>
        <v>0</v>
      </c>
      <c r="J117" s="1327">
        <v>0</v>
      </c>
      <c r="K117" s="1327">
        <v>0</v>
      </c>
      <c r="L117" s="876">
        <f t="shared" si="16"/>
        <v>0</v>
      </c>
      <c r="M117" s="877">
        <f t="shared" si="16"/>
        <v>0</v>
      </c>
      <c r="N117" s="877">
        <f t="shared" si="16"/>
        <v>0</v>
      </c>
      <c r="O117" s="1214" t="s">
        <v>1192</v>
      </c>
      <c r="P117" s="1214" t="s">
        <v>1198</v>
      </c>
      <c r="Q117" s="1065">
        <f t="shared" si="17"/>
        <v>0</v>
      </c>
      <c r="R117" s="1065">
        <f t="shared" si="17"/>
        <v>0</v>
      </c>
      <c r="S117" s="1065">
        <f t="shared" si="17"/>
        <v>0</v>
      </c>
      <c r="T117" s="1099" t="s">
        <v>886</v>
      </c>
      <c r="U117" s="1100">
        <v>1820190400</v>
      </c>
      <c r="V117" s="1099">
        <v>414</v>
      </c>
      <c r="W117" s="1099">
        <v>14063</v>
      </c>
      <c r="Z117" s="1311">
        <f t="shared" si="12"/>
        <v>0</v>
      </c>
    </row>
    <row r="118" spans="1:26" s="1216" customFormat="1" ht="93" hidden="1">
      <c r="A118" s="1320" t="s">
        <v>735</v>
      </c>
      <c r="B118" s="1126" t="s">
        <v>806</v>
      </c>
      <c r="C118" s="871">
        <f t="shared" si="9"/>
        <v>2100</v>
      </c>
      <c r="D118" s="1249">
        <v>0</v>
      </c>
      <c r="E118" s="1249">
        <v>2100</v>
      </c>
      <c r="F118" s="1325">
        <f t="shared" si="10"/>
        <v>2100</v>
      </c>
      <c r="G118" s="1327">
        <v>0</v>
      </c>
      <c r="H118" s="1327">
        <v>2100</v>
      </c>
      <c r="I118" s="1325">
        <f t="shared" si="11"/>
        <v>0</v>
      </c>
      <c r="J118" s="1327">
        <v>0</v>
      </c>
      <c r="K118" s="1327">
        <v>0</v>
      </c>
      <c r="L118" s="876">
        <f t="shared" ref="L118:N151" si="18">IF(I118=0,0,I118/F118*100)</f>
        <v>0</v>
      </c>
      <c r="M118" s="877">
        <f t="shared" si="18"/>
        <v>0</v>
      </c>
      <c r="N118" s="877">
        <f t="shared" si="18"/>
        <v>0</v>
      </c>
      <c r="O118" s="1214" t="s">
        <v>1192</v>
      </c>
      <c r="P118" s="1214" t="s">
        <v>1200</v>
      </c>
      <c r="Q118" s="1065">
        <f t="shared" si="17"/>
        <v>0</v>
      </c>
      <c r="R118" s="1065">
        <f t="shared" si="17"/>
        <v>0</v>
      </c>
      <c r="S118" s="1065">
        <f t="shared" si="17"/>
        <v>0</v>
      </c>
      <c r="T118" s="1099" t="s">
        <v>886</v>
      </c>
      <c r="U118" s="1100">
        <v>1820190400</v>
      </c>
      <c r="V118" s="1099">
        <v>414</v>
      </c>
      <c r="W118" s="1099">
        <v>14064</v>
      </c>
      <c r="Z118" s="1311">
        <f t="shared" si="12"/>
        <v>0</v>
      </c>
    </row>
    <row r="119" spans="1:26" s="1216" customFormat="1" ht="93" hidden="1">
      <c r="A119" s="1320" t="s">
        <v>636</v>
      </c>
      <c r="B119" s="1125" t="s">
        <v>807</v>
      </c>
      <c r="C119" s="871">
        <f t="shared" si="9"/>
        <v>2340</v>
      </c>
      <c r="D119" s="1249">
        <v>0</v>
      </c>
      <c r="E119" s="1249">
        <v>2340</v>
      </c>
      <c r="F119" s="1325">
        <f t="shared" si="10"/>
        <v>2340</v>
      </c>
      <c r="G119" s="1327">
        <v>0</v>
      </c>
      <c r="H119" s="1327">
        <v>2340</v>
      </c>
      <c r="I119" s="1325">
        <f t="shared" si="11"/>
        <v>0</v>
      </c>
      <c r="J119" s="1327">
        <v>0</v>
      </c>
      <c r="K119" s="1327">
        <v>0</v>
      </c>
      <c r="L119" s="876">
        <f t="shared" si="18"/>
        <v>0</v>
      </c>
      <c r="M119" s="877">
        <f t="shared" si="18"/>
        <v>0</v>
      </c>
      <c r="N119" s="877">
        <f t="shared" si="18"/>
        <v>0</v>
      </c>
      <c r="O119" s="1214" t="s">
        <v>1192</v>
      </c>
      <c r="P119" s="1214" t="s">
        <v>1201</v>
      </c>
      <c r="Q119" s="1065">
        <f t="shared" si="17"/>
        <v>0</v>
      </c>
      <c r="R119" s="1065">
        <f t="shared" si="17"/>
        <v>0</v>
      </c>
      <c r="S119" s="1065">
        <f t="shared" si="17"/>
        <v>0</v>
      </c>
      <c r="T119" s="1099" t="s">
        <v>886</v>
      </c>
      <c r="U119" s="1100">
        <v>1820190400</v>
      </c>
      <c r="V119" s="1099">
        <v>414</v>
      </c>
      <c r="W119" s="1099">
        <v>14065</v>
      </c>
      <c r="Z119" s="1311">
        <f t="shared" si="12"/>
        <v>0</v>
      </c>
    </row>
    <row r="120" spans="1:26" s="1216" customFormat="1" ht="111" hidden="1" customHeight="1">
      <c r="A120" s="1320" t="s">
        <v>736</v>
      </c>
      <c r="B120" s="1125" t="s">
        <v>808</v>
      </c>
      <c r="C120" s="871">
        <f t="shared" si="9"/>
        <v>2000</v>
      </c>
      <c r="D120" s="1249">
        <v>0</v>
      </c>
      <c r="E120" s="1249">
        <v>2000</v>
      </c>
      <c r="F120" s="1325">
        <f t="shared" si="10"/>
        <v>2000</v>
      </c>
      <c r="G120" s="1327">
        <v>0</v>
      </c>
      <c r="H120" s="1327">
        <v>2000</v>
      </c>
      <c r="I120" s="1325">
        <f t="shared" si="11"/>
        <v>0</v>
      </c>
      <c r="J120" s="1327">
        <v>0</v>
      </c>
      <c r="K120" s="1327">
        <v>0</v>
      </c>
      <c r="L120" s="876">
        <f t="shared" si="18"/>
        <v>0</v>
      </c>
      <c r="M120" s="877">
        <f t="shared" si="18"/>
        <v>0</v>
      </c>
      <c r="N120" s="877">
        <f t="shared" si="18"/>
        <v>0</v>
      </c>
      <c r="O120" s="1214" t="s">
        <v>1192</v>
      </c>
      <c r="P120" s="1214" t="s">
        <v>1202</v>
      </c>
      <c r="Q120" s="1065">
        <f t="shared" si="17"/>
        <v>0</v>
      </c>
      <c r="R120" s="1065">
        <f t="shared" si="17"/>
        <v>0</v>
      </c>
      <c r="S120" s="1065">
        <f t="shared" si="17"/>
        <v>0</v>
      </c>
      <c r="T120" s="1099" t="s">
        <v>886</v>
      </c>
      <c r="U120" s="1100">
        <v>1820190400</v>
      </c>
      <c r="V120" s="1099">
        <v>414</v>
      </c>
      <c r="W120" s="1099">
        <v>14066</v>
      </c>
      <c r="Z120" s="1311">
        <f t="shared" si="12"/>
        <v>0</v>
      </c>
    </row>
    <row r="121" spans="1:26" s="1216" customFormat="1" ht="117" hidden="1" customHeight="1">
      <c r="A121" s="1320" t="s">
        <v>737</v>
      </c>
      <c r="B121" s="900" t="s">
        <v>809</v>
      </c>
      <c r="C121" s="871">
        <f>SUM(D121:E121)</f>
        <v>6000</v>
      </c>
      <c r="D121" s="1249">
        <v>0</v>
      </c>
      <c r="E121" s="1249">
        <v>6000</v>
      </c>
      <c r="F121" s="1325">
        <f>SUM(G121:H121)</f>
        <v>6000</v>
      </c>
      <c r="G121" s="1327">
        <v>0</v>
      </c>
      <c r="H121" s="1327">
        <v>6000</v>
      </c>
      <c r="I121" s="1325">
        <f>SUM(J121:K121)</f>
        <v>0</v>
      </c>
      <c r="J121" s="1327">
        <v>0</v>
      </c>
      <c r="K121" s="1327">
        <v>0</v>
      </c>
      <c r="L121" s="876">
        <f t="shared" si="18"/>
        <v>0</v>
      </c>
      <c r="M121" s="877">
        <f t="shared" si="18"/>
        <v>0</v>
      </c>
      <c r="N121" s="877">
        <f t="shared" si="18"/>
        <v>0</v>
      </c>
      <c r="O121" s="1214" t="s">
        <v>1192</v>
      </c>
      <c r="P121" s="1214" t="s">
        <v>1203</v>
      </c>
      <c r="Q121" s="1065">
        <f t="shared" si="17"/>
        <v>0</v>
      </c>
      <c r="R121" s="1065">
        <f t="shared" si="17"/>
        <v>0</v>
      </c>
      <c r="S121" s="1065">
        <f t="shared" si="17"/>
        <v>0</v>
      </c>
      <c r="T121" s="1099" t="s">
        <v>928</v>
      </c>
      <c r="U121" s="1100" t="s">
        <v>929</v>
      </c>
      <c r="V121" s="1099">
        <v>414</v>
      </c>
      <c r="W121" s="1099">
        <v>14072</v>
      </c>
      <c r="Z121" s="1311">
        <f t="shared" si="12"/>
        <v>0</v>
      </c>
    </row>
    <row r="122" spans="1:26" s="1216" customFormat="1" ht="105" hidden="1">
      <c r="A122" s="1320" t="s">
        <v>738</v>
      </c>
      <c r="B122" s="900" t="s">
        <v>810</v>
      </c>
      <c r="C122" s="871">
        <f>SUM(D122:E122)</f>
        <v>6000</v>
      </c>
      <c r="D122" s="1249">
        <v>0</v>
      </c>
      <c r="E122" s="1249">
        <v>6000</v>
      </c>
      <c r="F122" s="1325">
        <f>SUM(G122:H122)</f>
        <v>6000</v>
      </c>
      <c r="G122" s="1327">
        <v>0</v>
      </c>
      <c r="H122" s="1327">
        <v>6000</v>
      </c>
      <c r="I122" s="1325">
        <f>SUM(J122:K122)</f>
        <v>0</v>
      </c>
      <c r="J122" s="1327">
        <v>0</v>
      </c>
      <c r="K122" s="1327">
        <v>0</v>
      </c>
      <c r="L122" s="876">
        <f t="shared" si="18"/>
        <v>0</v>
      </c>
      <c r="M122" s="877">
        <f t="shared" si="18"/>
        <v>0</v>
      </c>
      <c r="N122" s="877">
        <f t="shared" si="18"/>
        <v>0</v>
      </c>
      <c r="O122" s="1214" t="s">
        <v>1192</v>
      </c>
      <c r="P122" s="1214" t="s">
        <v>1203</v>
      </c>
      <c r="Q122" s="1065">
        <f t="shared" si="17"/>
        <v>0</v>
      </c>
      <c r="R122" s="1065">
        <f t="shared" si="17"/>
        <v>0</v>
      </c>
      <c r="S122" s="1065">
        <f t="shared" si="17"/>
        <v>0</v>
      </c>
      <c r="T122" s="1099" t="s">
        <v>936</v>
      </c>
      <c r="U122" s="1100" t="s">
        <v>937</v>
      </c>
      <c r="V122" s="1099">
        <v>414</v>
      </c>
      <c r="W122" s="1099">
        <v>14058</v>
      </c>
      <c r="Z122" s="1311">
        <f t="shared" si="12"/>
        <v>0</v>
      </c>
    </row>
    <row r="123" spans="1:26" s="1216" customFormat="1" ht="139.5" hidden="1">
      <c r="A123" s="1320" t="s">
        <v>739</v>
      </c>
      <c r="B123" s="990" t="s">
        <v>811</v>
      </c>
      <c r="C123" s="871">
        <f>SUM(D123:E123)</f>
        <v>16500</v>
      </c>
      <c r="D123" s="1249">
        <v>0</v>
      </c>
      <c r="E123" s="1249">
        <v>16500</v>
      </c>
      <c r="F123" s="1325">
        <f>SUM(G123:H123)</f>
        <v>16500</v>
      </c>
      <c r="G123" s="1327">
        <v>0</v>
      </c>
      <c r="H123" s="1327">
        <v>16500</v>
      </c>
      <c r="I123" s="1325">
        <f>SUM(J123:K123)</f>
        <v>0</v>
      </c>
      <c r="J123" s="1327">
        <v>0</v>
      </c>
      <c r="K123" s="1327">
        <v>0</v>
      </c>
      <c r="L123" s="876">
        <f t="shared" si="18"/>
        <v>0</v>
      </c>
      <c r="M123" s="877">
        <f t="shared" si="18"/>
        <v>0</v>
      </c>
      <c r="N123" s="877">
        <f t="shared" si="18"/>
        <v>0</v>
      </c>
      <c r="O123" s="1214" t="s">
        <v>1192</v>
      </c>
      <c r="P123" s="1214" t="s">
        <v>1204</v>
      </c>
      <c r="Q123" s="1065">
        <f t="shared" si="17"/>
        <v>0</v>
      </c>
      <c r="R123" s="1065">
        <f t="shared" si="17"/>
        <v>0</v>
      </c>
      <c r="S123" s="1065">
        <f t="shared" si="17"/>
        <v>0</v>
      </c>
      <c r="T123" s="1099" t="s">
        <v>936</v>
      </c>
      <c r="U123" s="1100" t="s">
        <v>937</v>
      </c>
      <c r="V123" s="1099">
        <v>414</v>
      </c>
      <c r="W123" s="1099">
        <v>14059</v>
      </c>
      <c r="Z123" s="1311">
        <f t="shared" si="12"/>
        <v>0</v>
      </c>
    </row>
    <row r="124" spans="1:26" s="1216" customFormat="1" ht="108" hidden="1" customHeight="1">
      <c r="A124" s="1320" t="s">
        <v>740</v>
      </c>
      <c r="B124" s="900" t="s">
        <v>640</v>
      </c>
      <c r="C124" s="871">
        <f>SUM(D124:E124)</f>
        <v>1400</v>
      </c>
      <c r="D124" s="972">
        <v>0</v>
      </c>
      <c r="E124" s="972">
        <v>1400</v>
      </c>
      <c r="F124" s="1325">
        <f>SUM(G124:H124)</f>
        <v>1400</v>
      </c>
      <c r="G124" s="879">
        <v>0</v>
      </c>
      <c r="H124" s="879">
        <v>1400</v>
      </c>
      <c r="I124" s="1325">
        <f>SUM(J124:K124)</f>
        <v>0</v>
      </c>
      <c r="J124" s="1326">
        <v>0</v>
      </c>
      <c r="K124" s="1326">
        <v>0</v>
      </c>
      <c r="L124" s="876">
        <f t="shared" si="18"/>
        <v>0</v>
      </c>
      <c r="M124" s="877">
        <f t="shared" si="18"/>
        <v>0</v>
      </c>
      <c r="N124" s="877">
        <f t="shared" si="18"/>
        <v>0</v>
      </c>
      <c r="O124" s="1214" t="s">
        <v>1237</v>
      </c>
      <c r="P124" s="1214" t="s">
        <v>1205</v>
      </c>
      <c r="Q124" s="1065">
        <f t="shared" si="17"/>
        <v>0</v>
      </c>
      <c r="R124" s="1065">
        <f t="shared" si="17"/>
        <v>0</v>
      </c>
      <c r="S124" s="1065">
        <f t="shared" si="17"/>
        <v>0</v>
      </c>
      <c r="T124" s="1099" t="s">
        <v>869</v>
      </c>
      <c r="U124" s="1100">
        <v>1410190420</v>
      </c>
      <c r="V124" s="1099">
        <v>414</v>
      </c>
      <c r="W124" s="1099">
        <v>14022</v>
      </c>
      <c r="Z124" s="1311">
        <f t="shared" si="12"/>
        <v>0</v>
      </c>
    </row>
    <row r="125" spans="1:26" s="1216" customFormat="1" ht="78.75" hidden="1">
      <c r="A125" s="1320" t="s">
        <v>741</v>
      </c>
      <c r="B125" s="1106" t="s">
        <v>863</v>
      </c>
      <c r="C125" s="871">
        <f>SUM(D125:E125)</f>
        <v>21276.6</v>
      </c>
      <c r="D125" s="972">
        <v>20000</v>
      </c>
      <c r="E125" s="972">
        <v>1276.5999999999999</v>
      </c>
      <c r="F125" s="1325">
        <f>SUM(G125:H125)</f>
        <v>21276.6</v>
      </c>
      <c r="G125" s="879">
        <v>20000</v>
      </c>
      <c r="H125" s="879">
        <v>1276.5999999999999</v>
      </c>
      <c r="I125" s="1325">
        <f>SUM(J125:K125)</f>
        <v>14800</v>
      </c>
      <c r="J125" s="1326">
        <v>13912</v>
      </c>
      <c r="K125" s="1326">
        <v>888</v>
      </c>
      <c r="L125" s="876">
        <f t="shared" si="18"/>
        <v>69.599999999999994</v>
      </c>
      <c r="M125" s="877">
        <f t="shared" si="18"/>
        <v>69.599999999999994</v>
      </c>
      <c r="N125" s="877">
        <f t="shared" si="18"/>
        <v>69.599999999999994</v>
      </c>
      <c r="O125" s="1214" t="s">
        <v>1192</v>
      </c>
      <c r="P125" s="1214" t="s">
        <v>1206</v>
      </c>
      <c r="Q125" s="1065"/>
      <c r="R125" s="1065"/>
      <c r="S125" s="1065"/>
      <c r="T125" s="1099" t="s">
        <v>928</v>
      </c>
      <c r="U125" s="1100" t="s">
        <v>932</v>
      </c>
      <c r="V125" s="1099">
        <v>414</v>
      </c>
      <c r="W125" s="1099" t="s">
        <v>933</v>
      </c>
      <c r="Z125" s="1311">
        <f t="shared" si="12"/>
        <v>0</v>
      </c>
    </row>
    <row r="126" spans="1:26" s="1216" customFormat="1" ht="57.75" hidden="1" customHeight="1">
      <c r="A126" s="1320" t="s">
        <v>742</v>
      </c>
      <c r="B126" s="1127" t="s">
        <v>841</v>
      </c>
      <c r="C126" s="871">
        <f t="shared" ref="C126:C194" si="19">SUM(D126:E126)</f>
        <v>1026</v>
      </c>
      <c r="D126" s="972">
        <v>0</v>
      </c>
      <c r="E126" s="1255">
        <v>1026</v>
      </c>
      <c r="F126" s="1325">
        <f t="shared" ref="F126:F194" si="20">SUM(G126:H126)</f>
        <v>1026</v>
      </c>
      <c r="G126" s="1327">
        <v>0</v>
      </c>
      <c r="H126" s="970">
        <f>E126</f>
        <v>1026</v>
      </c>
      <c r="I126" s="1325">
        <f t="shared" ref="I126:I183" si="21">SUM(J126:K126)</f>
        <v>0</v>
      </c>
      <c r="J126" s="1326">
        <v>0</v>
      </c>
      <c r="K126" s="1326">
        <v>0</v>
      </c>
      <c r="L126" s="876">
        <f t="shared" si="18"/>
        <v>0</v>
      </c>
      <c r="M126" s="877">
        <f t="shared" si="18"/>
        <v>0</v>
      </c>
      <c r="N126" s="877">
        <f t="shared" si="18"/>
        <v>0</v>
      </c>
      <c r="O126" s="1214" t="s">
        <v>1192</v>
      </c>
      <c r="P126" s="1214" t="s">
        <v>1207</v>
      </c>
      <c r="Q126" s="1065">
        <f t="shared" ref="Q126:S163" si="22">C126-F126</f>
        <v>0</v>
      </c>
      <c r="R126" s="1065">
        <f t="shared" si="22"/>
        <v>0</v>
      </c>
      <c r="S126" s="1065">
        <f t="shared" si="22"/>
        <v>0</v>
      </c>
      <c r="T126" s="1099" t="s">
        <v>886</v>
      </c>
      <c r="U126" s="1100" t="s">
        <v>892</v>
      </c>
      <c r="V126" s="1099">
        <v>414</v>
      </c>
      <c r="W126" s="1099">
        <v>14076</v>
      </c>
      <c r="Z126" s="1311">
        <f t="shared" si="12"/>
        <v>0</v>
      </c>
    </row>
    <row r="127" spans="1:26" s="1216" customFormat="1" ht="67.5" hidden="1" customHeight="1">
      <c r="A127" s="1320" t="s">
        <v>782</v>
      </c>
      <c r="B127" s="1127" t="s">
        <v>842</v>
      </c>
      <c r="C127" s="871">
        <f t="shared" si="19"/>
        <v>813</v>
      </c>
      <c r="D127" s="972">
        <v>0</v>
      </c>
      <c r="E127" s="1255">
        <v>813</v>
      </c>
      <c r="F127" s="1325">
        <f t="shared" si="20"/>
        <v>813</v>
      </c>
      <c r="G127" s="1327">
        <v>0</v>
      </c>
      <c r="H127" s="970">
        <f t="shared" ref="H127:H142" si="23">E127</f>
        <v>813</v>
      </c>
      <c r="I127" s="1325">
        <f t="shared" si="21"/>
        <v>0</v>
      </c>
      <c r="J127" s="1326">
        <v>0</v>
      </c>
      <c r="K127" s="1326">
        <v>0</v>
      </c>
      <c r="L127" s="876">
        <f t="shared" si="18"/>
        <v>0</v>
      </c>
      <c r="M127" s="877">
        <f t="shared" si="18"/>
        <v>0</v>
      </c>
      <c r="N127" s="877">
        <f t="shared" si="18"/>
        <v>0</v>
      </c>
      <c r="O127" s="1214" t="s">
        <v>1192</v>
      </c>
      <c r="P127" s="1214" t="s">
        <v>1208</v>
      </c>
      <c r="Q127" s="1065">
        <f t="shared" si="22"/>
        <v>0</v>
      </c>
      <c r="R127" s="1065">
        <f t="shared" si="22"/>
        <v>0</v>
      </c>
      <c r="S127" s="1065">
        <f t="shared" si="22"/>
        <v>0</v>
      </c>
      <c r="T127" s="1099" t="s">
        <v>886</v>
      </c>
      <c r="U127" s="1100" t="s">
        <v>892</v>
      </c>
      <c r="V127" s="1099">
        <v>414</v>
      </c>
      <c r="W127" s="1099">
        <v>14077</v>
      </c>
      <c r="Z127" s="1311">
        <f t="shared" si="12"/>
        <v>0</v>
      </c>
    </row>
    <row r="128" spans="1:26" ht="90.75" hidden="1" customHeight="1">
      <c r="A128" s="1320" t="s">
        <v>817</v>
      </c>
      <c r="B128" s="1127" t="s">
        <v>843</v>
      </c>
      <c r="C128" s="871">
        <f t="shared" si="19"/>
        <v>792</v>
      </c>
      <c r="D128" s="972">
        <v>0</v>
      </c>
      <c r="E128" s="1255">
        <v>792</v>
      </c>
      <c r="F128" s="1325">
        <f t="shared" si="20"/>
        <v>792</v>
      </c>
      <c r="G128" s="1327">
        <v>0</v>
      </c>
      <c r="H128" s="970">
        <f t="shared" si="23"/>
        <v>792</v>
      </c>
      <c r="I128" s="1325">
        <f t="shared" si="21"/>
        <v>0</v>
      </c>
      <c r="J128" s="1326">
        <v>0</v>
      </c>
      <c r="K128" s="1326">
        <v>0</v>
      </c>
      <c r="L128" s="876">
        <f t="shared" si="18"/>
        <v>0</v>
      </c>
      <c r="M128" s="877">
        <f t="shared" si="18"/>
        <v>0</v>
      </c>
      <c r="N128" s="877">
        <f t="shared" si="18"/>
        <v>0</v>
      </c>
      <c r="O128" s="1214" t="s">
        <v>1192</v>
      </c>
      <c r="P128" s="1214" t="s">
        <v>1209</v>
      </c>
      <c r="Q128" s="1065">
        <f t="shared" si="22"/>
        <v>0</v>
      </c>
      <c r="R128" s="1065">
        <f t="shared" si="22"/>
        <v>0</v>
      </c>
      <c r="S128" s="1065">
        <f t="shared" si="22"/>
        <v>0</v>
      </c>
      <c r="T128" s="1099" t="s">
        <v>886</v>
      </c>
      <c r="U128" s="1100" t="s">
        <v>892</v>
      </c>
      <c r="V128" s="1099">
        <v>414</v>
      </c>
      <c r="W128" s="1099">
        <v>14078</v>
      </c>
      <c r="Z128" s="1311">
        <f t="shared" si="12"/>
        <v>0</v>
      </c>
    </row>
    <row r="129" spans="1:26" ht="93" hidden="1">
      <c r="A129" s="1320" t="s">
        <v>818</v>
      </c>
      <c r="B129" s="1127" t="s">
        <v>844</v>
      </c>
      <c r="C129" s="871">
        <f t="shared" si="19"/>
        <v>879</v>
      </c>
      <c r="D129" s="972">
        <v>0</v>
      </c>
      <c r="E129" s="1255">
        <v>879</v>
      </c>
      <c r="F129" s="1325">
        <f t="shared" si="20"/>
        <v>879</v>
      </c>
      <c r="G129" s="1327">
        <v>0</v>
      </c>
      <c r="H129" s="970">
        <f t="shared" si="23"/>
        <v>879</v>
      </c>
      <c r="I129" s="1325">
        <f t="shared" si="21"/>
        <v>0</v>
      </c>
      <c r="J129" s="1326">
        <v>0</v>
      </c>
      <c r="K129" s="1326">
        <v>0</v>
      </c>
      <c r="L129" s="876">
        <f t="shared" si="18"/>
        <v>0</v>
      </c>
      <c r="M129" s="877">
        <f t="shared" si="18"/>
        <v>0</v>
      </c>
      <c r="N129" s="877">
        <f t="shared" si="18"/>
        <v>0</v>
      </c>
      <c r="O129" s="1214" t="s">
        <v>1192</v>
      </c>
      <c r="P129" s="1214" t="s">
        <v>1210</v>
      </c>
      <c r="Q129" s="1065">
        <f t="shared" si="22"/>
        <v>0</v>
      </c>
      <c r="R129" s="1065">
        <f t="shared" si="22"/>
        <v>0</v>
      </c>
      <c r="S129" s="1065">
        <f t="shared" si="22"/>
        <v>0</v>
      </c>
      <c r="T129" s="1099" t="s">
        <v>886</v>
      </c>
      <c r="U129" s="1100" t="s">
        <v>892</v>
      </c>
      <c r="V129" s="1099">
        <v>414</v>
      </c>
      <c r="W129" s="1099">
        <v>14079</v>
      </c>
      <c r="Z129" s="1311">
        <f t="shared" si="12"/>
        <v>0</v>
      </c>
    </row>
    <row r="130" spans="1:26" ht="93" hidden="1">
      <c r="A130" s="1320" t="s">
        <v>819</v>
      </c>
      <c r="B130" s="1127" t="s">
        <v>845</v>
      </c>
      <c r="C130" s="871">
        <f t="shared" si="19"/>
        <v>1554</v>
      </c>
      <c r="D130" s="1249">
        <v>0</v>
      </c>
      <c r="E130" s="1255">
        <v>1554</v>
      </c>
      <c r="F130" s="1325">
        <f t="shared" si="20"/>
        <v>1554</v>
      </c>
      <c r="G130" s="1327">
        <v>0</v>
      </c>
      <c r="H130" s="970">
        <f t="shared" si="23"/>
        <v>1554</v>
      </c>
      <c r="I130" s="1325">
        <f t="shared" si="21"/>
        <v>0</v>
      </c>
      <c r="J130" s="1326">
        <v>0</v>
      </c>
      <c r="K130" s="1326">
        <v>0</v>
      </c>
      <c r="L130" s="876">
        <f t="shared" si="18"/>
        <v>0</v>
      </c>
      <c r="M130" s="877">
        <f t="shared" si="18"/>
        <v>0</v>
      </c>
      <c r="N130" s="877">
        <f t="shared" si="18"/>
        <v>0</v>
      </c>
      <c r="O130" s="1214" t="s">
        <v>1192</v>
      </c>
      <c r="P130" s="1214" t="s">
        <v>1211</v>
      </c>
      <c r="Q130" s="1065">
        <f t="shared" si="22"/>
        <v>0</v>
      </c>
      <c r="R130" s="1065">
        <f t="shared" si="22"/>
        <v>0</v>
      </c>
      <c r="S130" s="1065">
        <f t="shared" si="22"/>
        <v>0</v>
      </c>
      <c r="T130" s="1099" t="s">
        <v>886</v>
      </c>
      <c r="U130" s="1100" t="s">
        <v>892</v>
      </c>
      <c r="V130" s="1099">
        <v>414</v>
      </c>
      <c r="W130" s="1099">
        <v>14080</v>
      </c>
      <c r="Z130" s="1311">
        <f t="shared" si="12"/>
        <v>0</v>
      </c>
    </row>
    <row r="131" spans="1:26" ht="57.75" hidden="1" customHeight="1">
      <c r="A131" s="1320" t="s">
        <v>762</v>
      </c>
      <c r="B131" s="1127" t="s">
        <v>846</v>
      </c>
      <c r="C131" s="871">
        <f t="shared" si="19"/>
        <v>879</v>
      </c>
      <c r="D131" s="1249">
        <v>0</v>
      </c>
      <c r="E131" s="1255">
        <v>879</v>
      </c>
      <c r="F131" s="1325">
        <f t="shared" si="20"/>
        <v>879</v>
      </c>
      <c r="G131" s="1327">
        <v>0</v>
      </c>
      <c r="H131" s="970">
        <f t="shared" si="23"/>
        <v>879</v>
      </c>
      <c r="I131" s="1325">
        <f t="shared" si="21"/>
        <v>0</v>
      </c>
      <c r="J131" s="1326">
        <v>0</v>
      </c>
      <c r="K131" s="1326">
        <v>0</v>
      </c>
      <c r="L131" s="876">
        <f t="shared" si="18"/>
        <v>0</v>
      </c>
      <c r="M131" s="877">
        <f t="shared" si="18"/>
        <v>0</v>
      </c>
      <c r="N131" s="877">
        <f t="shared" si="18"/>
        <v>0</v>
      </c>
      <c r="O131" s="1214" t="s">
        <v>1192</v>
      </c>
      <c r="P131" s="1214" t="s">
        <v>1212</v>
      </c>
      <c r="Q131" s="1065">
        <f t="shared" si="22"/>
        <v>0</v>
      </c>
      <c r="R131" s="1065">
        <f t="shared" si="22"/>
        <v>0</v>
      </c>
      <c r="S131" s="1065">
        <f t="shared" si="22"/>
        <v>0</v>
      </c>
      <c r="T131" s="1099" t="s">
        <v>886</v>
      </c>
      <c r="U131" s="1100" t="s">
        <v>892</v>
      </c>
      <c r="V131" s="1099">
        <v>414</v>
      </c>
      <c r="W131" s="1099">
        <v>14081</v>
      </c>
      <c r="Z131" s="1311">
        <f t="shared" si="12"/>
        <v>0</v>
      </c>
    </row>
    <row r="132" spans="1:26" ht="93" hidden="1">
      <c r="A132" s="1320" t="s">
        <v>743</v>
      </c>
      <c r="B132" s="1127" t="s">
        <v>847</v>
      </c>
      <c r="C132" s="871">
        <f t="shared" si="19"/>
        <v>627</v>
      </c>
      <c r="D132" s="1249">
        <v>0</v>
      </c>
      <c r="E132" s="1255">
        <v>627</v>
      </c>
      <c r="F132" s="1325">
        <f t="shared" si="20"/>
        <v>627</v>
      </c>
      <c r="G132" s="1327">
        <v>0</v>
      </c>
      <c r="H132" s="970">
        <f t="shared" si="23"/>
        <v>627</v>
      </c>
      <c r="I132" s="1325">
        <f t="shared" si="21"/>
        <v>0</v>
      </c>
      <c r="J132" s="1326">
        <v>0</v>
      </c>
      <c r="K132" s="1326">
        <v>0</v>
      </c>
      <c r="L132" s="876">
        <f t="shared" si="18"/>
        <v>0</v>
      </c>
      <c r="M132" s="877">
        <f t="shared" si="18"/>
        <v>0</v>
      </c>
      <c r="N132" s="877">
        <f t="shared" si="18"/>
        <v>0</v>
      </c>
      <c r="O132" s="1214" t="s">
        <v>1192</v>
      </c>
      <c r="P132" s="1214" t="s">
        <v>1213</v>
      </c>
      <c r="Q132" s="1065">
        <f t="shared" si="22"/>
        <v>0</v>
      </c>
      <c r="R132" s="1065">
        <f t="shared" si="22"/>
        <v>0</v>
      </c>
      <c r="S132" s="1065">
        <f t="shared" si="22"/>
        <v>0</v>
      </c>
      <c r="T132" s="1099" t="s">
        <v>886</v>
      </c>
      <c r="U132" s="1100" t="s">
        <v>892</v>
      </c>
      <c r="V132" s="1099">
        <v>414</v>
      </c>
      <c r="W132" s="1099">
        <v>14082</v>
      </c>
      <c r="Z132" s="1311">
        <f t="shared" si="12"/>
        <v>0</v>
      </c>
    </row>
    <row r="133" spans="1:26" ht="89.25" hidden="1" customHeight="1">
      <c r="A133" s="1320" t="s">
        <v>744</v>
      </c>
      <c r="B133" s="1127" t="s">
        <v>848</v>
      </c>
      <c r="C133" s="871">
        <f t="shared" si="19"/>
        <v>669</v>
      </c>
      <c r="D133" s="1249">
        <v>0</v>
      </c>
      <c r="E133" s="1255">
        <v>669</v>
      </c>
      <c r="F133" s="1325">
        <f t="shared" si="20"/>
        <v>669</v>
      </c>
      <c r="G133" s="1327">
        <v>0</v>
      </c>
      <c r="H133" s="970">
        <f t="shared" si="23"/>
        <v>669</v>
      </c>
      <c r="I133" s="1325">
        <f t="shared" si="21"/>
        <v>0</v>
      </c>
      <c r="J133" s="1326">
        <v>0</v>
      </c>
      <c r="K133" s="1326">
        <v>0</v>
      </c>
      <c r="L133" s="876">
        <f t="shared" si="18"/>
        <v>0</v>
      </c>
      <c r="M133" s="877">
        <f t="shared" si="18"/>
        <v>0</v>
      </c>
      <c r="N133" s="877">
        <f t="shared" si="18"/>
        <v>0</v>
      </c>
      <c r="O133" s="1214" t="s">
        <v>1192</v>
      </c>
      <c r="P133" s="1214" t="s">
        <v>1214</v>
      </c>
      <c r="Q133" s="1065">
        <f t="shared" si="22"/>
        <v>0</v>
      </c>
      <c r="R133" s="1065">
        <f t="shared" si="22"/>
        <v>0</v>
      </c>
      <c r="S133" s="1065">
        <f t="shared" si="22"/>
        <v>0</v>
      </c>
      <c r="T133" s="1099" t="s">
        <v>886</v>
      </c>
      <c r="U133" s="1100" t="s">
        <v>892</v>
      </c>
      <c r="V133" s="1099">
        <v>414</v>
      </c>
      <c r="W133" s="1099">
        <v>14083</v>
      </c>
      <c r="Z133" s="1311">
        <f t="shared" si="12"/>
        <v>0</v>
      </c>
    </row>
    <row r="134" spans="1:26" ht="54" hidden="1" customHeight="1">
      <c r="A134" s="1320" t="s">
        <v>745</v>
      </c>
      <c r="B134" s="1127" t="s">
        <v>849</v>
      </c>
      <c r="C134" s="871">
        <f t="shared" si="19"/>
        <v>495</v>
      </c>
      <c r="D134" s="1249">
        <v>0</v>
      </c>
      <c r="E134" s="1255">
        <v>495</v>
      </c>
      <c r="F134" s="1325">
        <f t="shared" si="20"/>
        <v>495</v>
      </c>
      <c r="G134" s="1327">
        <v>0</v>
      </c>
      <c r="H134" s="970">
        <f t="shared" si="23"/>
        <v>495</v>
      </c>
      <c r="I134" s="1325">
        <f t="shared" si="21"/>
        <v>0</v>
      </c>
      <c r="J134" s="1326">
        <v>0</v>
      </c>
      <c r="K134" s="1326">
        <v>0</v>
      </c>
      <c r="L134" s="876">
        <f t="shared" si="18"/>
        <v>0</v>
      </c>
      <c r="M134" s="877">
        <f t="shared" si="18"/>
        <v>0</v>
      </c>
      <c r="N134" s="877">
        <f t="shared" si="18"/>
        <v>0</v>
      </c>
      <c r="O134" s="1214" t="s">
        <v>1192</v>
      </c>
      <c r="P134" s="1214" t="s">
        <v>1215</v>
      </c>
      <c r="Q134" s="1065">
        <f t="shared" si="22"/>
        <v>0</v>
      </c>
      <c r="R134" s="1065">
        <f t="shared" si="22"/>
        <v>0</v>
      </c>
      <c r="S134" s="1065">
        <f t="shared" si="22"/>
        <v>0</v>
      </c>
      <c r="T134" s="1099" t="s">
        <v>886</v>
      </c>
      <c r="U134" s="1100" t="s">
        <v>892</v>
      </c>
      <c r="V134" s="1099">
        <v>414</v>
      </c>
      <c r="W134" s="1099">
        <v>14084</v>
      </c>
      <c r="Z134" s="1311">
        <f t="shared" si="12"/>
        <v>0</v>
      </c>
    </row>
    <row r="135" spans="1:26" ht="54" hidden="1" customHeight="1">
      <c r="A135" s="1320" t="s">
        <v>746</v>
      </c>
      <c r="B135" s="1127" t="s">
        <v>850</v>
      </c>
      <c r="C135" s="871">
        <f t="shared" si="19"/>
        <v>792</v>
      </c>
      <c r="D135" s="1249">
        <v>0</v>
      </c>
      <c r="E135" s="1255">
        <v>792</v>
      </c>
      <c r="F135" s="1325">
        <f t="shared" si="20"/>
        <v>792</v>
      </c>
      <c r="G135" s="1327">
        <v>0</v>
      </c>
      <c r="H135" s="970">
        <f t="shared" si="23"/>
        <v>792</v>
      </c>
      <c r="I135" s="1325">
        <f t="shared" si="21"/>
        <v>0</v>
      </c>
      <c r="J135" s="1326">
        <v>0</v>
      </c>
      <c r="K135" s="1326">
        <v>0</v>
      </c>
      <c r="L135" s="876">
        <f t="shared" si="18"/>
        <v>0</v>
      </c>
      <c r="M135" s="877">
        <f t="shared" si="18"/>
        <v>0</v>
      </c>
      <c r="N135" s="877">
        <f t="shared" si="18"/>
        <v>0</v>
      </c>
      <c r="O135" s="1214" t="s">
        <v>1192</v>
      </c>
      <c r="P135" s="1214" t="s">
        <v>1216</v>
      </c>
      <c r="Q135" s="1065">
        <f t="shared" si="22"/>
        <v>0</v>
      </c>
      <c r="R135" s="1065">
        <f t="shared" si="22"/>
        <v>0</v>
      </c>
      <c r="S135" s="1065">
        <f t="shared" si="22"/>
        <v>0</v>
      </c>
      <c r="T135" s="1099" t="s">
        <v>886</v>
      </c>
      <c r="U135" s="1100" t="s">
        <v>892</v>
      </c>
      <c r="V135" s="1099">
        <v>414</v>
      </c>
      <c r="W135" s="1099">
        <v>14085</v>
      </c>
      <c r="Z135" s="1311">
        <f t="shared" si="12"/>
        <v>0</v>
      </c>
    </row>
    <row r="136" spans="1:26" ht="54" hidden="1" customHeight="1">
      <c r="A136" s="1320" t="s">
        <v>747</v>
      </c>
      <c r="B136" s="1127" t="s">
        <v>851</v>
      </c>
      <c r="C136" s="871">
        <f t="shared" si="19"/>
        <v>1026</v>
      </c>
      <c r="D136" s="1249">
        <v>0</v>
      </c>
      <c r="E136" s="1255">
        <v>1026</v>
      </c>
      <c r="F136" s="1325">
        <f t="shared" si="20"/>
        <v>1026</v>
      </c>
      <c r="G136" s="1327">
        <v>0</v>
      </c>
      <c r="H136" s="970">
        <f t="shared" si="23"/>
        <v>1026</v>
      </c>
      <c r="I136" s="1325">
        <f t="shared" si="21"/>
        <v>0</v>
      </c>
      <c r="J136" s="1326">
        <v>0</v>
      </c>
      <c r="K136" s="1326">
        <v>0</v>
      </c>
      <c r="L136" s="876">
        <f t="shared" si="18"/>
        <v>0</v>
      </c>
      <c r="M136" s="877">
        <f t="shared" si="18"/>
        <v>0</v>
      </c>
      <c r="N136" s="877">
        <f t="shared" si="18"/>
        <v>0</v>
      </c>
      <c r="O136" s="1214" t="s">
        <v>1192</v>
      </c>
      <c r="P136" s="1214" t="s">
        <v>1217</v>
      </c>
      <c r="Q136" s="1065">
        <f t="shared" si="22"/>
        <v>0</v>
      </c>
      <c r="R136" s="1065">
        <f t="shared" si="22"/>
        <v>0</v>
      </c>
      <c r="S136" s="1065">
        <f t="shared" si="22"/>
        <v>0</v>
      </c>
      <c r="T136" s="1099" t="s">
        <v>886</v>
      </c>
      <c r="U136" s="1100" t="s">
        <v>892</v>
      </c>
      <c r="V136" s="1099">
        <v>414</v>
      </c>
      <c r="W136" s="1099">
        <v>14086</v>
      </c>
      <c r="Z136" s="1311">
        <f t="shared" si="12"/>
        <v>0</v>
      </c>
    </row>
    <row r="137" spans="1:26" ht="54" hidden="1" customHeight="1">
      <c r="A137" s="1320" t="s">
        <v>748</v>
      </c>
      <c r="B137" s="1127" t="s">
        <v>852</v>
      </c>
      <c r="C137" s="871">
        <f t="shared" si="19"/>
        <v>669</v>
      </c>
      <c r="D137" s="1249">
        <v>0</v>
      </c>
      <c r="E137" s="1255">
        <v>669</v>
      </c>
      <c r="F137" s="1325">
        <f t="shared" si="20"/>
        <v>669</v>
      </c>
      <c r="G137" s="1327">
        <v>0</v>
      </c>
      <c r="H137" s="970">
        <f t="shared" si="23"/>
        <v>669</v>
      </c>
      <c r="I137" s="1325">
        <f t="shared" si="21"/>
        <v>0</v>
      </c>
      <c r="J137" s="1326">
        <v>0</v>
      </c>
      <c r="K137" s="1326">
        <v>0</v>
      </c>
      <c r="L137" s="876">
        <f t="shared" si="18"/>
        <v>0</v>
      </c>
      <c r="M137" s="877">
        <f t="shared" si="18"/>
        <v>0</v>
      </c>
      <c r="N137" s="877">
        <f t="shared" si="18"/>
        <v>0</v>
      </c>
      <c r="O137" s="1214" t="s">
        <v>1192</v>
      </c>
      <c r="P137" s="1214" t="s">
        <v>1218</v>
      </c>
      <c r="Q137" s="1065">
        <f t="shared" si="22"/>
        <v>0</v>
      </c>
      <c r="R137" s="1065">
        <f t="shared" si="22"/>
        <v>0</v>
      </c>
      <c r="S137" s="1065">
        <f t="shared" si="22"/>
        <v>0</v>
      </c>
      <c r="T137" s="1099" t="s">
        <v>886</v>
      </c>
      <c r="U137" s="1100" t="s">
        <v>892</v>
      </c>
      <c r="V137" s="1099">
        <v>414</v>
      </c>
      <c r="W137" s="1099">
        <v>14087</v>
      </c>
      <c r="Z137" s="1311">
        <f t="shared" si="12"/>
        <v>0</v>
      </c>
    </row>
    <row r="138" spans="1:26" ht="54" hidden="1" customHeight="1">
      <c r="A138" s="1320" t="s">
        <v>749</v>
      </c>
      <c r="B138" s="1127" t="s">
        <v>853</v>
      </c>
      <c r="C138" s="871">
        <f t="shared" si="19"/>
        <v>879</v>
      </c>
      <c r="D138" s="972">
        <v>0</v>
      </c>
      <c r="E138" s="1255">
        <v>879</v>
      </c>
      <c r="F138" s="1325">
        <f t="shared" si="20"/>
        <v>879</v>
      </c>
      <c r="G138" s="1327">
        <v>0</v>
      </c>
      <c r="H138" s="970">
        <f t="shared" si="23"/>
        <v>879</v>
      </c>
      <c r="I138" s="1325">
        <f t="shared" si="21"/>
        <v>0</v>
      </c>
      <c r="J138" s="1326">
        <v>0</v>
      </c>
      <c r="K138" s="1326">
        <v>0</v>
      </c>
      <c r="L138" s="876">
        <f t="shared" si="18"/>
        <v>0</v>
      </c>
      <c r="M138" s="877">
        <f t="shared" si="18"/>
        <v>0</v>
      </c>
      <c r="N138" s="877">
        <f t="shared" si="18"/>
        <v>0</v>
      </c>
      <c r="O138" s="1214" t="s">
        <v>1192</v>
      </c>
      <c r="P138" s="1214" t="s">
        <v>1212</v>
      </c>
      <c r="Q138" s="1065">
        <f t="shared" si="22"/>
        <v>0</v>
      </c>
      <c r="R138" s="1065">
        <f t="shared" si="22"/>
        <v>0</v>
      </c>
      <c r="S138" s="1065">
        <f t="shared" si="22"/>
        <v>0</v>
      </c>
      <c r="T138" s="1099" t="s">
        <v>886</v>
      </c>
      <c r="U138" s="1100" t="s">
        <v>892</v>
      </c>
      <c r="V138" s="1099">
        <v>414</v>
      </c>
      <c r="W138" s="1099">
        <v>14088</v>
      </c>
      <c r="Z138" s="1311">
        <f t="shared" si="12"/>
        <v>0</v>
      </c>
    </row>
    <row r="139" spans="1:26" s="515" customFormat="1" ht="115.5" hidden="1" customHeight="1">
      <c r="A139" s="1318" t="s">
        <v>750</v>
      </c>
      <c r="B139" s="987" t="s">
        <v>864</v>
      </c>
      <c r="C139" s="871">
        <f t="shared" si="19"/>
        <v>27147</v>
      </c>
      <c r="D139" s="1249">
        <v>0</v>
      </c>
      <c r="E139" s="1249">
        <v>27147</v>
      </c>
      <c r="F139" s="1325">
        <f>SUM(G139:H139)</f>
        <v>27147</v>
      </c>
      <c r="G139" s="1327">
        <v>0</v>
      </c>
      <c r="H139" s="970">
        <f t="shared" si="23"/>
        <v>27147</v>
      </c>
      <c r="I139" s="1325">
        <f t="shared" si="21"/>
        <v>0</v>
      </c>
      <c r="J139" s="1327">
        <v>0</v>
      </c>
      <c r="K139" s="1327">
        <v>0</v>
      </c>
      <c r="L139" s="876">
        <f t="shared" si="18"/>
        <v>0</v>
      </c>
      <c r="M139" s="877">
        <f t="shared" si="18"/>
        <v>0</v>
      </c>
      <c r="N139" s="877">
        <f t="shared" si="18"/>
        <v>0</v>
      </c>
      <c r="O139" s="1214" t="s">
        <v>1192</v>
      </c>
      <c r="P139" s="1214" t="s">
        <v>1219</v>
      </c>
      <c r="Q139" s="1065">
        <f t="shared" si="22"/>
        <v>0</v>
      </c>
      <c r="R139" s="1065">
        <f t="shared" si="22"/>
        <v>0</v>
      </c>
      <c r="S139" s="1065">
        <f t="shared" si="22"/>
        <v>0</v>
      </c>
      <c r="T139" s="1099" t="s">
        <v>872</v>
      </c>
      <c r="U139" s="1100">
        <v>1130390400</v>
      </c>
      <c r="V139" s="1099">
        <v>414</v>
      </c>
      <c r="W139" s="1099">
        <v>10122</v>
      </c>
      <c r="X139" s="1220"/>
      <c r="Z139" s="1311">
        <f t="shared" si="12"/>
        <v>0</v>
      </c>
    </row>
    <row r="140" spans="1:26" s="515" customFormat="1" ht="54" hidden="1" customHeight="1">
      <c r="A140" s="1318" t="s">
        <v>751</v>
      </c>
      <c r="B140" s="1278" t="s">
        <v>1317</v>
      </c>
      <c r="C140" s="871">
        <f>SUM(D140:E140)</f>
        <v>4800</v>
      </c>
      <c r="D140" s="1249">
        <v>0</v>
      </c>
      <c r="E140" s="1249">
        <v>4800</v>
      </c>
      <c r="F140" s="1325">
        <f>SUM(G140:H140)</f>
        <v>4800</v>
      </c>
      <c r="G140" s="1327">
        <v>0</v>
      </c>
      <c r="H140" s="970">
        <f t="shared" si="23"/>
        <v>4800</v>
      </c>
      <c r="I140" s="1325">
        <f>SUM(J140:K140)</f>
        <v>0</v>
      </c>
      <c r="J140" s="1327">
        <v>0</v>
      </c>
      <c r="K140" s="1327">
        <v>0</v>
      </c>
      <c r="L140" s="876">
        <f>IF(I140=0,0,I140/F140*100)</f>
        <v>0</v>
      </c>
      <c r="M140" s="877">
        <f>IF(J140=0,0,J140/G140*100)</f>
        <v>0</v>
      </c>
      <c r="N140" s="877">
        <f>IF(K140=0,0,K140/H140*100)</f>
        <v>0</v>
      </c>
      <c r="O140" s="1214"/>
      <c r="P140" s="1214"/>
      <c r="Q140" s="1065"/>
      <c r="R140" s="1065"/>
      <c r="S140" s="1065"/>
      <c r="T140" s="1099"/>
      <c r="U140" s="1100"/>
      <c r="V140" s="1099"/>
      <c r="W140" s="1099"/>
      <c r="X140" s="1220"/>
      <c r="Z140" s="1311">
        <f t="shared" si="12"/>
        <v>0</v>
      </c>
    </row>
    <row r="141" spans="1:26" ht="58.5" hidden="1" customHeight="1">
      <c r="A141" s="1320" t="s">
        <v>854</v>
      </c>
      <c r="B141" s="1127" t="s">
        <v>522</v>
      </c>
      <c r="C141" s="871">
        <f t="shared" si="19"/>
        <v>54207.7</v>
      </c>
      <c r="D141" s="972">
        <v>0</v>
      </c>
      <c r="E141" s="1255">
        <v>54207.7</v>
      </c>
      <c r="F141" s="1325">
        <f t="shared" si="20"/>
        <v>54207.7</v>
      </c>
      <c r="G141" s="1326">
        <v>0</v>
      </c>
      <c r="H141" s="970">
        <f t="shared" si="23"/>
        <v>54207.7</v>
      </c>
      <c r="I141" s="1325">
        <f t="shared" si="21"/>
        <v>0</v>
      </c>
      <c r="J141" s="1326">
        <v>0</v>
      </c>
      <c r="K141" s="1326">
        <v>0</v>
      </c>
      <c r="L141" s="876">
        <f t="shared" si="18"/>
        <v>0</v>
      </c>
      <c r="M141" s="877">
        <f t="shared" si="18"/>
        <v>0</v>
      </c>
      <c r="N141" s="877">
        <f t="shared" si="18"/>
        <v>0</v>
      </c>
      <c r="O141" s="1214" t="s">
        <v>1238</v>
      </c>
      <c r="P141" s="1214" t="s">
        <v>1220</v>
      </c>
      <c r="Q141" s="1065">
        <f t="shared" si="22"/>
        <v>0</v>
      </c>
      <c r="R141" s="1065">
        <f t="shared" si="22"/>
        <v>0</v>
      </c>
      <c r="S141" s="1065">
        <f t="shared" si="22"/>
        <v>0</v>
      </c>
      <c r="T141" s="1099" t="s">
        <v>886</v>
      </c>
      <c r="U141" s="1100">
        <v>1900290400</v>
      </c>
      <c r="V141" s="1099">
        <v>414</v>
      </c>
      <c r="W141" s="1099">
        <v>10123</v>
      </c>
      <c r="Z141" s="1311">
        <f t="shared" ref="Z141:Z204" si="24">C141-F141</f>
        <v>0</v>
      </c>
    </row>
    <row r="142" spans="1:26" ht="69" hidden="1" customHeight="1">
      <c r="A142" s="1320" t="s">
        <v>820</v>
      </c>
      <c r="B142" s="1127" t="s">
        <v>919</v>
      </c>
      <c r="C142" s="871">
        <f t="shared" si="19"/>
        <v>37461.300000000003</v>
      </c>
      <c r="D142" s="972">
        <v>0</v>
      </c>
      <c r="E142" s="1255">
        <v>37461.300000000003</v>
      </c>
      <c r="F142" s="1325">
        <f t="shared" si="20"/>
        <v>37461.300000000003</v>
      </c>
      <c r="G142" s="1326">
        <v>0</v>
      </c>
      <c r="H142" s="970">
        <f t="shared" si="23"/>
        <v>37461.300000000003</v>
      </c>
      <c r="I142" s="1325">
        <f t="shared" si="21"/>
        <v>0</v>
      </c>
      <c r="J142" s="1326">
        <v>0</v>
      </c>
      <c r="K142" s="1326">
        <v>0</v>
      </c>
      <c r="L142" s="876">
        <f t="shared" si="18"/>
        <v>0</v>
      </c>
      <c r="M142" s="877">
        <f t="shared" si="18"/>
        <v>0</v>
      </c>
      <c r="N142" s="877">
        <f t="shared" si="18"/>
        <v>0</v>
      </c>
      <c r="O142" s="1214" t="s">
        <v>1239</v>
      </c>
      <c r="P142" s="1214" t="s">
        <v>1221</v>
      </c>
      <c r="Q142" s="1065">
        <f t="shared" si="22"/>
        <v>0</v>
      </c>
      <c r="R142" s="1065">
        <f t="shared" si="22"/>
        <v>0</v>
      </c>
      <c r="S142" s="1065">
        <f t="shared" si="22"/>
        <v>0</v>
      </c>
      <c r="T142" s="1099" t="s">
        <v>886</v>
      </c>
      <c r="U142" s="1100">
        <v>1900290400</v>
      </c>
      <c r="V142" s="1099">
        <v>414</v>
      </c>
      <c r="W142" s="1099">
        <v>10124</v>
      </c>
      <c r="Z142" s="1311">
        <f t="shared" si="24"/>
        <v>0</v>
      </c>
    </row>
    <row r="143" spans="1:26" ht="56.25" hidden="1" customHeight="1">
      <c r="A143" s="1320" t="s">
        <v>834</v>
      </c>
      <c r="B143" s="1127" t="s">
        <v>1318</v>
      </c>
      <c r="C143" s="871">
        <f t="shared" si="19"/>
        <v>3403.5</v>
      </c>
      <c r="D143" s="972">
        <v>0</v>
      </c>
      <c r="E143" s="1255">
        <v>3403.5</v>
      </c>
      <c r="F143" s="1325">
        <f t="shared" si="20"/>
        <v>3403.5</v>
      </c>
      <c r="G143" s="1326"/>
      <c r="H143" s="970">
        <f>E143</f>
        <v>3403.5</v>
      </c>
      <c r="I143" s="1325">
        <f t="shared" si="21"/>
        <v>0</v>
      </c>
      <c r="J143" s="1326"/>
      <c r="K143" s="1326"/>
      <c r="L143" s="876">
        <f>IF(I143=0,0,I143/F143*100)</f>
        <v>0</v>
      </c>
      <c r="M143" s="877">
        <f>IF(J143=0,0,J143/G143*100)</f>
        <v>0</v>
      </c>
      <c r="N143" s="877">
        <f>IF(K143=0,0,K143/H143*100)</f>
        <v>0</v>
      </c>
      <c r="O143" s="1214"/>
      <c r="P143" s="1214"/>
      <c r="Q143" s="1065"/>
      <c r="R143" s="1065"/>
      <c r="S143" s="1065"/>
      <c r="Z143" s="1311">
        <f t="shared" si="24"/>
        <v>0</v>
      </c>
    </row>
    <row r="144" spans="1:26" s="914" customFormat="1" ht="72.75" hidden="1" customHeight="1">
      <c r="A144" s="1051"/>
      <c r="B144" s="1261" t="s">
        <v>444</v>
      </c>
      <c r="C144" s="1051">
        <f t="shared" si="19"/>
        <v>2364953.2999999998</v>
      </c>
      <c r="D144" s="1051">
        <f>SUM(D145:D201)</f>
        <v>2117595.4</v>
      </c>
      <c r="E144" s="1051">
        <f>SUM(E145:E201)</f>
        <v>247357.9</v>
      </c>
      <c r="F144" s="1051">
        <f t="shared" si="20"/>
        <v>2364953.4</v>
      </c>
      <c r="G144" s="1051">
        <f>SUM(G145:G201)</f>
        <v>2117595.4</v>
      </c>
      <c r="H144" s="1051">
        <f>SUM(H145:H201)</f>
        <v>247358</v>
      </c>
      <c r="I144" s="1051">
        <f>SUM(J144:K144)</f>
        <v>94840.4</v>
      </c>
      <c r="J144" s="1051">
        <f>SUM(J145:J201)</f>
        <v>71585.600000000006</v>
      </c>
      <c r="K144" s="1051">
        <f>SUM(K145:K201)</f>
        <v>23254.799999999999</v>
      </c>
      <c r="L144" s="1053">
        <f t="shared" si="18"/>
        <v>4</v>
      </c>
      <c r="M144" s="1053">
        <f t="shared" si="18"/>
        <v>3.4</v>
      </c>
      <c r="N144" s="1053">
        <f t="shared" si="18"/>
        <v>9.4</v>
      </c>
      <c r="O144" s="1214"/>
      <c r="P144" s="1214"/>
      <c r="Q144" s="1065">
        <f t="shared" si="22"/>
        <v>-0.1</v>
      </c>
      <c r="R144" s="1065">
        <f t="shared" si="22"/>
        <v>0</v>
      </c>
      <c r="S144" s="1065">
        <f t="shared" si="22"/>
        <v>-0.1</v>
      </c>
      <c r="T144" s="1114"/>
      <c r="U144" s="1100"/>
      <c r="V144" s="1099"/>
      <c r="W144" s="1099"/>
      <c r="X144" s="1216"/>
      <c r="Z144" s="1311">
        <f t="shared" si="24"/>
        <v>-0.1</v>
      </c>
    </row>
    <row r="145" spans="1:26" ht="120" hidden="1" customHeight="1">
      <c r="A145" s="1318" t="s">
        <v>835</v>
      </c>
      <c r="B145" s="955" t="s">
        <v>648</v>
      </c>
      <c r="C145" s="871">
        <f t="shared" si="19"/>
        <v>800</v>
      </c>
      <c r="D145" s="1249">
        <v>0</v>
      </c>
      <c r="E145" s="1249">
        <v>800</v>
      </c>
      <c r="F145" s="1325">
        <f t="shared" si="20"/>
        <v>800</v>
      </c>
      <c r="G145" s="1327">
        <f>D145</f>
        <v>0</v>
      </c>
      <c r="H145" s="1327">
        <f>E145</f>
        <v>800</v>
      </c>
      <c r="I145" s="1325">
        <f t="shared" si="21"/>
        <v>800</v>
      </c>
      <c r="J145" s="1327">
        <v>0</v>
      </c>
      <c r="K145" s="1327">
        <v>800</v>
      </c>
      <c r="L145" s="876">
        <f t="shared" si="18"/>
        <v>100</v>
      </c>
      <c r="M145" s="877">
        <f t="shared" si="18"/>
        <v>0</v>
      </c>
      <c r="N145" s="877">
        <f t="shared" si="18"/>
        <v>100</v>
      </c>
      <c r="O145" s="1214" t="s">
        <v>1290</v>
      </c>
      <c r="P145" s="1214" t="s">
        <v>1240</v>
      </c>
      <c r="Q145" s="1065">
        <f t="shared" si="22"/>
        <v>0</v>
      </c>
      <c r="R145" s="1065">
        <f t="shared" si="22"/>
        <v>0</v>
      </c>
      <c r="S145" s="1065">
        <f t="shared" si="22"/>
        <v>0</v>
      </c>
      <c r="T145" s="1099" t="s">
        <v>886</v>
      </c>
      <c r="U145" s="1100">
        <v>1820190400</v>
      </c>
      <c r="V145" s="1099">
        <v>414</v>
      </c>
      <c r="W145" s="1099">
        <v>14054</v>
      </c>
      <c r="Z145" s="1311">
        <f t="shared" si="24"/>
        <v>0</v>
      </c>
    </row>
    <row r="146" spans="1:26" s="736" customFormat="1" ht="103.5" hidden="1" customHeight="1">
      <c r="A146" s="1318" t="s">
        <v>826</v>
      </c>
      <c r="B146" s="956" t="s">
        <v>649</v>
      </c>
      <c r="C146" s="871">
        <f t="shared" si="19"/>
        <v>100</v>
      </c>
      <c r="D146" s="1249">
        <v>0</v>
      </c>
      <c r="E146" s="1249">
        <v>100</v>
      </c>
      <c r="F146" s="1325">
        <f t="shared" si="20"/>
        <v>100</v>
      </c>
      <c r="G146" s="1327">
        <f t="shared" ref="G146:H201" si="25">D146</f>
        <v>0</v>
      </c>
      <c r="H146" s="1327">
        <f t="shared" si="25"/>
        <v>100</v>
      </c>
      <c r="I146" s="1325">
        <f t="shared" si="21"/>
        <v>0</v>
      </c>
      <c r="J146" s="1327">
        <v>0</v>
      </c>
      <c r="K146" s="1327">
        <v>0</v>
      </c>
      <c r="L146" s="876">
        <f t="shared" si="18"/>
        <v>0</v>
      </c>
      <c r="M146" s="877">
        <f t="shared" si="18"/>
        <v>0</v>
      </c>
      <c r="N146" s="877">
        <f t="shared" si="18"/>
        <v>0</v>
      </c>
      <c r="O146" s="1214" t="s">
        <v>1291</v>
      </c>
      <c r="P146" s="1214" t="s">
        <v>1241</v>
      </c>
      <c r="Q146" s="1065">
        <f t="shared" si="22"/>
        <v>0</v>
      </c>
      <c r="R146" s="1065">
        <f t="shared" si="22"/>
        <v>0</v>
      </c>
      <c r="S146" s="1065">
        <f t="shared" si="22"/>
        <v>0</v>
      </c>
      <c r="T146" s="1099" t="s">
        <v>886</v>
      </c>
      <c r="U146" s="1100">
        <v>1820190400</v>
      </c>
      <c r="V146" s="1099">
        <v>414</v>
      </c>
      <c r="W146" s="1099">
        <v>14056</v>
      </c>
      <c r="X146" s="1216"/>
      <c r="Z146" s="1311">
        <f t="shared" si="24"/>
        <v>0</v>
      </c>
    </row>
    <row r="147" spans="1:26" s="736" customFormat="1" ht="78.75" hidden="1" customHeight="1">
      <c r="A147" s="1318" t="s">
        <v>827</v>
      </c>
      <c r="B147" s="956" t="s">
        <v>650</v>
      </c>
      <c r="C147" s="871">
        <f t="shared" si="19"/>
        <v>1500</v>
      </c>
      <c r="D147" s="1249">
        <v>0</v>
      </c>
      <c r="E147" s="1249">
        <v>1500</v>
      </c>
      <c r="F147" s="1325">
        <f t="shared" si="20"/>
        <v>1500</v>
      </c>
      <c r="G147" s="1327">
        <f t="shared" si="25"/>
        <v>0</v>
      </c>
      <c r="H147" s="1327">
        <f t="shared" si="25"/>
        <v>1500</v>
      </c>
      <c r="I147" s="1325">
        <f t="shared" si="21"/>
        <v>0</v>
      </c>
      <c r="J147" s="1327">
        <v>0</v>
      </c>
      <c r="K147" s="1327">
        <v>0</v>
      </c>
      <c r="L147" s="876">
        <f t="shared" si="18"/>
        <v>0</v>
      </c>
      <c r="M147" s="877">
        <f t="shared" si="18"/>
        <v>0</v>
      </c>
      <c r="N147" s="877">
        <f t="shared" si="18"/>
        <v>0</v>
      </c>
      <c r="O147" s="1214" t="s">
        <v>1292</v>
      </c>
      <c r="P147" s="1214" t="s">
        <v>1242</v>
      </c>
      <c r="Q147" s="1065">
        <f t="shared" si="22"/>
        <v>0</v>
      </c>
      <c r="R147" s="1065">
        <f t="shared" si="22"/>
        <v>0</v>
      </c>
      <c r="S147" s="1065">
        <f t="shared" si="22"/>
        <v>0</v>
      </c>
      <c r="T147" s="1099" t="s">
        <v>886</v>
      </c>
      <c r="U147" s="1100">
        <v>1820190400</v>
      </c>
      <c r="V147" s="1099">
        <v>414</v>
      </c>
      <c r="W147" s="1099">
        <v>14055</v>
      </c>
      <c r="X147" s="1216"/>
      <c r="Z147" s="1311">
        <f t="shared" si="24"/>
        <v>0</v>
      </c>
    </row>
    <row r="148" spans="1:26" s="736" customFormat="1" ht="129.75" hidden="1" customHeight="1">
      <c r="A148" s="1320" t="s">
        <v>752</v>
      </c>
      <c r="B148" s="956" t="s">
        <v>651</v>
      </c>
      <c r="C148" s="871">
        <f t="shared" si="19"/>
        <v>100</v>
      </c>
      <c r="D148" s="1249">
        <v>0</v>
      </c>
      <c r="E148" s="1249">
        <v>100</v>
      </c>
      <c r="F148" s="1325">
        <f t="shared" si="20"/>
        <v>100</v>
      </c>
      <c r="G148" s="1327">
        <f t="shared" si="25"/>
        <v>0</v>
      </c>
      <c r="H148" s="1327">
        <f t="shared" si="25"/>
        <v>100</v>
      </c>
      <c r="I148" s="1325">
        <f t="shared" si="21"/>
        <v>100</v>
      </c>
      <c r="J148" s="1327">
        <v>0</v>
      </c>
      <c r="K148" s="1327">
        <v>100</v>
      </c>
      <c r="L148" s="876">
        <f t="shared" si="18"/>
        <v>100</v>
      </c>
      <c r="M148" s="877">
        <f t="shared" si="18"/>
        <v>0</v>
      </c>
      <c r="N148" s="877">
        <f t="shared" si="18"/>
        <v>100</v>
      </c>
      <c r="O148" s="1214" t="s">
        <v>1293</v>
      </c>
      <c r="P148" s="1214" t="s">
        <v>1101</v>
      </c>
      <c r="Q148" s="1065">
        <f t="shared" si="22"/>
        <v>0</v>
      </c>
      <c r="R148" s="1065">
        <f t="shared" si="22"/>
        <v>0</v>
      </c>
      <c r="S148" s="1065">
        <f t="shared" si="22"/>
        <v>0</v>
      </c>
      <c r="T148" s="1099" t="s">
        <v>886</v>
      </c>
      <c r="U148" s="1100">
        <v>1820190400</v>
      </c>
      <c r="V148" s="1099">
        <v>414</v>
      </c>
      <c r="W148" s="1099">
        <v>14021</v>
      </c>
      <c r="X148" s="1216"/>
      <c r="Z148" s="1311">
        <f t="shared" si="24"/>
        <v>0</v>
      </c>
    </row>
    <row r="149" spans="1:26" s="736" customFormat="1" ht="92.25" hidden="1" customHeight="1">
      <c r="A149" s="1320" t="s">
        <v>753</v>
      </c>
      <c r="B149" s="956" t="s">
        <v>830</v>
      </c>
      <c r="C149" s="871">
        <f t="shared" si="19"/>
        <v>2800</v>
      </c>
      <c r="D149" s="1249">
        <v>0</v>
      </c>
      <c r="E149" s="1249">
        <f>100+2700</f>
        <v>2800</v>
      </c>
      <c r="F149" s="1325">
        <f t="shared" si="20"/>
        <v>2800</v>
      </c>
      <c r="G149" s="1327">
        <f t="shared" si="25"/>
        <v>0</v>
      </c>
      <c r="H149" s="1327">
        <f t="shared" si="25"/>
        <v>2800</v>
      </c>
      <c r="I149" s="1325">
        <f t="shared" si="21"/>
        <v>0</v>
      </c>
      <c r="J149" s="1327">
        <v>0</v>
      </c>
      <c r="K149" s="1327">
        <v>0</v>
      </c>
      <c r="L149" s="876">
        <f t="shared" si="18"/>
        <v>0</v>
      </c>
      <c r="M149" s="877">
        <f t="shared" si="18"/>
        <v>0</v>
      </c>
      <c r="N149" s="877">
        <f t="shared" si="18"/>
        <v>0</v>
      </c>
      <c r="O149" s="1214" t="s">
        <v>1192</v>
      </c>
      <c r="P149" s="1214" t="s">
        <v>1243</v>
      </c>
      <c r="Q149" s="1065">
        <f t="shared" si="22"/>
        <v>0</v>
      </c>
      <c r="R149" s="1065">
        <f t="shared" si="22"/>
        <v>0</v>
      </c>
      <c r="S149" s="1065">
        <f t="shared" si="22"/>
        <v>0</v>
      </c>
      <c r="T149" s="1099" t="s">
        <v>886</v>
      </c>
      <c r="U149" s="1100">
        <v>1820190400</v>
      </c>
      <c r="V149" s="1099">
        <v>414</v>
      </c>
      <c r="W149" s="1099">
        <v>14046</v>
      </c>
      <c r="X149" s="1216"/>
      <c r="Z149" s="1311">
        <f t="shared" si="24"/>
        <v>0</v>
      </c>
    </row>
    <row r="150" spans="1:26" s="736" customFormat="1" ht="84.75" hidden="1" customHeight="1">
      <c r="A150" s="1320" t="s">
        <v>754</v>
      </c>
      <c r="B150" s="956" t="s">
        <v>831</v>
      </c>
      <c r="C150" s="871">
        <f t="shared" si="19"/>
        <v>3100</v>
      </c>
      <c r="D150" s="1249">
        <v>0</v>
      </c>
      <c r="E150" s="1249">
        <f>100+3000</f>
        <v>3100</v>
      </c>
      <c r="F150" s="1325">
        <f t="shared" si="20"/>
        <v>3100</v>
      </c>
      <c r="G150" s="1327">
        <f t="shared" si="25"/>
        <v>0</v>
      </c>
      <c r="H150" s="1327">
        <f t="shared" si="25"/>
        <v>3100</v>
      </c>
      <c r="I150" s="1325">
        <f t="shared" si="21"/>
        <v>0</v>
      </c>
      <c r="J150" s="1327">
        <v>0</v>
      </c>
      <c r="K150" s="1327">
        <v>0</v>
      </c>
      <c r="L150" s="876">
        <f t="shared" si="18"/>
        <v>0</v>
      </c>
      <c r="M150" s="877">
        <f t="shared" si="18"/>
        <v>0</v>
      </c>
      <c r="N150" s="877">
        <f t="shared" si="18"/>
        <v>0</v>
      </c>
      <c r="O150" s="1214" t="s">
        <v>1294</v>
      </c>
      <c r="P150" s="1214" t="s">
        <v>1244</v>
      </c>
      <c r="Q150" s="1065">
        <f t="shared" si="22"/>
        <v>0</v>
      </c>
      <c r="R150" s="1065">
        <f t="shared" si="22"/>
        <v>0</v>
      </c>
      <c r="S150" s="1065">
        <f t="shared" si="22"/>
        <v>0</v>
      </c>
      <c r="T150" s="1099" t="s">
        <v>886</v>
      </c>
      <c r="U150" s="1100">
        <v>1820190400</v>
      </c>
      <c r="V150" s="1099">
        <v>414</v>
      </c>
      <c r="W150" s="1099">
        <v>14048</v>
      </c>
      <c r="X150" s="1216"/>
      <c r="Z150" s="1311">
        <f t="shared" si="24"/>
        <v>0</v>
      </c>
    </row>
    <row r="151" spans="1:26" s="736" customFormat="1" ht="84.75" hidden="1" customHeight="1">
      <c r="A151" s="1320" t="s">
        <v>755</v>
      </c>
      <c r="B151" s="956" t="s">
        <v>833</v>
      </c>
      <c r="C151" s="871">
        <f t="shared" si="19"/>
        <v>2200</v>
      </c>
      <c r="D151" s="1249">
        <v>0</v>
      </c>
      <c r="E151" s="1249">
        <v>2200</v>
      </c>
      <c r="F151" s="1325">
        <f t="shared" si="20"/>
        <v>2200</v>
      </c>
      <c r="G151" s="1327">
        <f t="shared" si="25"/>
        <v>0</v>
      </c>
      <c r="H151" s="1327">
        <f t="shared" si="25"/>
        <v>2200</v>
      </c>
      <c r="I151" s="1325">
        <f t="shared" si="21"/>
        <v>0</v>
      </c>
      <c r="J151" s="1327">
        <v>0</v>
      </c>
      <c r="K151" s="1327">
        <v>0</v>
      </c>
      <c r="L151" s="876">
        <f t="shared" si="18"/>
        <v>0</v>
      </c>
      <c r="M151" s="877">
        <f t="shared" si="18"/>
        <v>0</v>
      </c>
      <c r="N151" s="877">
        <f t="shared" si="18"/>
        <v>0</v>
      </c>
      <c r="O151" s="1214" t="s">
        <v>1295</v>
      </c>
      <c r="P151" s="1214" t="s">
        <v>1245</v>
      </c>
      <c r="Q151" s="1065">
        <f t="shared" si="22"/>
        <v>0</v>
      </c>
      <c r="R151" s="1065">
        <f t="shared" si="22"/>
        <v>0</v>
      </c>
      <c r="S151" s="1065">
        <f t="shared" si="22"/>
        <v>0</v>
      </c>
      <c r="T151" s="1099" t="s">
        <v>886</v>
      </c>
      <c r="U151" s="1100">
        <v>1820190400</v>
      </c>
      <c r="V151" s="1099">
        <v>414</v>
      </c>
      <c r="W151" s="1099">
        <v>14047</v>
      </c>
      <c r="X151" s="1216"/>
      <c r="Z151" s="1311">
        <f t="shared" si="24"/>
        <v>0</v>
      </c>
    </row>
    <row r="152" spans="1:26" s="736" customFormat="1" ht="78.75" hidden="1">
      <c r="A152" s="1320" t="s">
        <v>911</v>
      </c>
      <c r="B152" s="955" t="s">
        <v>705</v>
      </c>
      <c r="C152" s="871">
        <f t="shared" si="19"/>
        <v>53585.7</v>
      </c>
      <c r="D152" s="1249">
        <v>50369.9</v>
      </c>
      <c r="E152" s="1249">
        <v>3215.8</v>
      </c>
      <c r="F152" s="1325">
        <f t="shared" si="20"/>
        <v>53585.7</v>
      </c>
      <c r="G152" s="1327">
        <f t="shared" si="25"/>
        <v>50369.9</v>
      </c>
      <c r="H152" s="1327">
        <f t="shared" si="25"/>
        <v>3215.8</v>
      </c>
      <c r="I152" s="1325">
        <f t="shared" si="21"/>
        <v>0</v>
      </c>
      <c r="J152" s="2466">
        <v>0</v>
      </c>
      <c r="K152" s="2466">
        <v>0</v>
      </c>
      <c r="L152" s="2469">
        <f>IF(I152=0,0,I152/F152:F158*100)</f>
        <v>0</v>
      </c>
      <c r="M152" s="2470">
        <f>IF(J152=0,0,J152/G152:G158*100)</f>
        <v>0</v>
      </c>
      <c r="N152" s="2470">
        <f>IF(K152=0,0,K152/H152:H158*100)</f>
        <v>0</v>
      </c>
      <c r="O152" s="1214" t="s">
        <v>1192</v>
      </c>
      <c r="P152" s="1214" t="s">
        <v>1219</v>
      </c>
      <c r="Q152" s="1065">
        <f t="shared" si="22"/>
        <v>0</v>
      </c>
      <c r="R152" s="1065">
        <f t="shared" si="22"/>
        <v>0</v>
      </c>
      <c r="S152" s="1065">
        <f t="shared" si="22"/>
        <v>0</v>
      </c>
      <c r="T152" s="2456" t="s">
        <v>886</v>
      </c>
      <c r="U152" s="2456" t="s">
        <v>912</v>
      </c>
      <c r="V152" s="2456">
        <v>414</v>
      </c>
      <c r="W152" s="2456" t="s">
        <v>890</v>
      </c>
      <c r="X152" s="2468"/>
      <c r="Z152" s="1311">
        <f t="shared" si="24"/>
        <v>0</v>
      </c>
    </row>
    <row r="153" spans="1:26" s="736" customFormat="1" ht="93" hidden="1">
      <c r="A153" s="1320" t="s">
        <v>913</v>
      </c>
      <c r="B153" s="956" t="s">
        <v>704</v>
      </c>
      <c r="C153" s="871">
        <f t="shared" si="19"/>
        <v>28400</v>
      </c>
      <c r="D153" s="1249">
        <v>26696</v>
      </c>
      <c r="E153" s="1249">
        <v>1704</v>
      </c>
      <c r="F153" s="1325">
        <f t="shared" si="20"/>
        <v>28400</v>
      </c>
      <c r="G153" s="1327">
        <f t="shared" si="25"/>
        <v>26696</v>
      </c>
      <c r="H153" s="1327">
        <f t="shared" si="25"/>
        <v>1704</v>
      </c>
      <c r="I153" s="1325">
        <f t="shared" si="21"/>
        <v>0</v>
      </c>
      <c r="J153" s="2466"/>
      <c r="K153" s="2466"/>
      <c r="L153" s="2469"/>
      <c r="M153" s="2470"/>
      <c r="N153" s="2470"/>
      <c r="O153" s="1214" t="s">
        <v>1192</v>
      </c>
      <c r="P153" s="1214" t="s">
        <v>1246</v>
      </c>
      <c r="Q153" s="1065">
        <f t="shared" si="22"/>
        <v>0</v>
      </c>
      <c r="R153" s="1065">
        <f t="shared" si="22"/>
        <v>0</v>
      </c>
      <c r="S153" s="1065">
        <f t="shared" si="22"/>
        <v>0</v>
      </c>
      <c r="T153" s="2456"/>
      <c r="U153" s="2456"/>
      <c r="V153" s="2456"/>
      <c r="W153" s="2456"/>
      <c r="X153" s="2468"/>
      <c r="Z153" s="1311">
        <f t="shared" si="24"/>
        <v>0</v>
      </c>
    </row>
    <row r="154" spans="1:26" s="736" customFormat="1" ht="83.25" hidden="1" customHeight="1">
      <c r="A154" s="1320" t="s">
        <v>914</v>
      </c>
      <c r="B154" s="956" t="s">
        <v>703</v>
      </c>
      <c r="C154" s="871">
        <f t="shared" si="19"/>
        <v>54300</v>
      </c>
      <c r="D154" s="1249">
        <v>51042</v>
      </c>
      <c r="E154" s="1249">
        <v>3258</v>
      </c>
      <c r="F154" s="1325">
        <f t="shared" si="20"/>
        <v>54300</v>
      </c>
      <c r="G154" s="1327">
        <f t="shared" si="25"/>
        <v>51042</v>
      </c>
      <c r="H154" s="1327">
        <f t="shared" si="25"/>
        <v>3258</v>
      </c>
      <c r="I154" s="1325">
        <f t="shared" si="21"/>
        <v>0</v>
      </c>
      <c r="J154" s="2466"/>
      <c r="K154" s="2466"/>
      <c r="L154" s="2469"/>
      <c r="M154" s="2470"/>
      <c r="N154" s="2470"/>
      <c r="O154" s="1214" t="s">
        <v>1192</v>
      </c>
      <c r="P154" s="1214" t="s">
        <v>1247</v>
      </c>
      <c r="Q154" s="1065">
        <f t="shared" si="22"/>
        <v>0</v>
      </c>
      <c r="R154" s="1065">
        <f t="shared" si="22"/>
        <v>0</v>
      </c>
      <c r="S154" s="1065">
        <f t="shared" si="22"/>
        <v>0</v>
      </c>
      <c r="T154" s="2456"/>
      <c r="U154" s="2456"/>
      <c r="V154" s="2456"/>
      <c r="W154" s="2456"/>
      <c r="X154" s="2468"/>
      <c r="Z154" s="1311">
        <f t="shared" si="24"/>
        <v>0</v>
      </c>
    </row>
    <row r="155" spans="1:26" s="736" customFormat="1" ht="86.25" hidden="1" customHeight="1">
      <c r="A155" s="1320" t="s">
        <v>934</v>
      </c>
      <c r="B155" s="956" t="s">
        <v>702</v>
      </c>
      <c r="C155" s="871">
        <f t="shared" si="19"/>
        <v>56697.8</v>
      </c>
      <c r="D155" s="1249">
        <v>53295.9</v>
      </c>
      <c r="E155" s="1249">
        <v>3401.9</v>
      </c>
      <c r="F155" s="1325">
        <f t="shared" si="20"/>
        <v>56697.8</v>
      </c>
      <c r="G155" s="1327">
        <f t="shared" si="25"/>
        <v>53295.9</v>
      </c>
      <c r="H155" s="1327">
        <f t="shared" si="25"/>
        <v>3401.9</v>
      </c>
      <c r="I155" s="1325">
        <f t="shared" si="21"/>
        <v>0</v>
      </c>
      <c r="J155" s="2466"/>
      <c r="K155" s="2466"/>
      <c r="L155" s="2469"/>
      <c r="M155" s="2470"/>
      <c r="N155" s="2470"/>
      <c r="O155" s="1214" t="s">
        <v>1192</v>
      </c>
      <c r="P155" s="1214" t="s">
        <v>1219</v>
      </c>
      <c r="Q155" s="1065">
        <f t="shared" si="22"/>
        <v>0</v>
      </c>
      <c r="R155" s="1065">
        <f t="shared" si="22"/>
        <v>0</v>
      </c>
      <c r="S155" s="1065">
        <f t="shared" si="22"/>
        <v>0</v>
      </c>
      <c r="T155" s="2456"/>
      <c r="U155" s="2456"/>
      <c r="V155" s="2456"/>
      <c r="W155" s="2456"/>
      <c r="X155" s="2468"/>
      <c r="Z155" s="1311">
        <f t="shared" si="24"/>
        <v>0</v>
      </c>
    </row>
    <row r="156" spans="1:26" s="736" customFormat="1" ht="58.5" hidden="1" customHeight="1">
      <c r="A156" s="1320" t="s">
        <v>1024</v>
      </c>
      <c r="B156" s="956" t="s">
        <v>832</v>
      </c>
      <c r="C156" s="871">
        <f t="shared" si="19"/>
        <v>8000</v>
      </c>
      <c r="D156" s="1249">
        <v>7520</v>
      </c>
      <c r="E156" s="1249">
        <v>480</v>
      </c>
      <c r="F156" s="1325">
        <f t="shared" si="20"/>
        <v>8000</v>
      </c>
      <c r="G156" s="1327">
        <f t="shared" si="25"/>
        <v>7520</v>
      </c>
      <c r="H156" s="1327">
        <f t="shared" si="25"/>
        <v>480</v>
      </c>
      <c r="I156" s="1325">
        <f t="shared" si="21"/>
        <v>0</v>
      </c>
      <c r="J156" s="2466"/>
      <c r="K156" s="2466"/>
      <c r="L156" s="2469"/>
      <c r="M156" s="2470"/>
      <c r="N156" s="2470"/>
      <c r="O156" s="1214" t="s">
        <v>1192</v>
      </c>
      <c r="P156" s="1214" t="s">
        <v>1219</v>
      </c>
      <c r="Q156" s="1065">
        <f t="shared" si="22"/>
        <v>0</v>
      </c>
      <c r="R156" s="1065">
        <f t="shared" si="22"/>
        <v>0</v>
      </c>
      <c r="S156" s="1065">
        <f t="shared" si="22"/>
        <v>0</v>
      </c>
      <c r="T156" s="2456"/>
      <c r="U156" s="2456"/>
      <c r="V156" s="2456"/>
      <c r="W156" s="2456"/>
      <c r="X156" s="2468"/>
      <c r="Z156" s="1311">
        <f t="shared" si="24"/>
        <v>0</v>
      </c>
    </row>
    <row r="157" spans="1:26" s="736" customFormat="1" ht="60" hidden="1" customHeight="1">
      <c r="A157" s="1320" t="s">
        <v>1025</v>
      </c>
      <c r="B157" s="956" t="s">
        <v>775</v>
      </c>
      <c r="C157" s="871">
        <f t="shared" si="19"/>
        <v>20200</v>
      </c>
      <c r="D157" s="1249">
        <v>18988</v>
      </c>
      <c r="E157" s="1249">
        <v>1212</v>
      </c>
      <c r="F157" s="1325">
        <f t="shared" si="20"/>
        <v>20200</v>
      </c>
      <c r="G157" s="1327">
        <f t="shared" si="25"/>
        <v>18988</v>
      </c>
      <c r="H157" s="1327">
        <f t="shared" si="25"/>
        <v>1212</v>
      </c>
      <c r="I157" s="1325">
        <f t="shared" si="21"/>
        <v>0</v>
      </c>
      <c r="J157" s="2466"/>
      <c r="K157" s="2466"/>
      <c r="L157" s="2469"/>
      <c r="M157" s="2470"/>
      <c r="N157" s="2470"/>
      <c r="O157" s="1214" t="s">
        <v>1192</v>
      </c>
      <c r="P157" s="1214" t="s">
        <v>1219</v>
      </c>
      <c r="Q157" s="1065">
        <f t="shared" si="22"/>
        <v>0</v>
      </c>
      <c r="R157" s="1065">
        <f t="shared" si="22"/>
        <v>0</v>
      </c>
      <c r="S157" s="1065">
        <f t="shared" si="22"/>
        <v>0</v>
      </c>
      <c r="T157" s="2456"/>
      <c r="U157" s="2456"/>
      <c r="V157" s="2456"/>
      <c r="W157" s="2456"/>
      <c r="X157" s="2468"/>
      <c r="Z157" s="1311">
        <f t="shared" si="24"/>
        <v>0</v>
      </c>
    </row>
    <row r="158" spans="1:26" s="736" customFormat="1" ht="60" hidden="1" customHeight="1">
      <c r="A158" s="1320" t="s">
        <v>1319</v>
      </c>
      <c r="B158" s="956" t="s">
        <v>774</v>
      </c>
      <c r="C158" s="871">
        <f t="shared" si="19"/>
        <v>20500</v>
      </c>
      <c r="D158" s="1249">
        <v>19270</v>
      </c>
      <c r="E158" s="1249">
        <v>1230</v>
      </c>
      <c r="F158" s="1325">
        <f t="shared" si="20"/>
        <v>20500</v>
      </c>
      <c r="G158" s="1327">
        <f t="shared" si="25"/>
        <v>19270</v>
      </c>
      <c r="H158" s="1327">
        <f t="shared" si="25"/>
        <v>1230</v>
      </c>
      <c r="I158" s="1325">
        <f t="shared" si="21"/>
        <v>0</v>
      </c>
      <c r="J158" s="2466"/>
      <c r="K158" s="2466"/>
      <c r="L158" s="2469"/>
      <c r="M158" s="2470"/>
      <c r="N158" s="2470"/>
      <c r="O158" s="1214" t="s">
        <v>1192</v>
      </c>
      <c r="P158" s="1214" t="s">
        <v>1219</v>
      </c>
      <c r="Q158" s="1065">
        <f t="shared" si="22"/>
        <v>0</v>
      </c>
      <c r="R158" s="1065">
        <f t="shared" si="22"/>
        <v>0</v>
      </c>
      <c r="S158" s="1065">
        <f t="shared" si="22"/>
        <v>0</v>
      </c>
      <c r="T158" s="2456"/>
      <c r="U158" s="2456"/>
      <c r="V158" s="2456"/>
      <c r="W158" s="2456"/>
      <c r="X158" s="2468"/>
      <c r="Z158" s="1311">
        <f t="shared" si="24"/>
        <v>0</v>
      </c>
    </row>
    <row r="159" spans="1:26" ht="105.75" hidden="1" customHeight="1">
      <c r="A159" s="1320" t="s">
        <v>756</v>
      </c>
      <c r="B159" s="955" t="s">
        <v>588</v>
      </c>
      <c r="C159" s="871">
        <f>SUM(D159:E159)</f>
        <v>100</v>
      </c>
      <c r="D159" s="1249">
        <v>0</v>
      </c>
      <c r="E159" s="1249">
        <v>100</v>
      </c>
      <c r="F159" s="1325">
        <f>SUM(G159:H159)</f>
        <v>100</v>
      </c>
      <c r="G159" s="1327">
        <f t="shared" si="25"/>
        <v>0</v>
      </c>
      <c r="H159" s="1327">
        <f t="shared" si="25"/>
        <v>100</v>
      </c>
      <c r="I159" s="1325">
        <f>SUM(J159:K159)</f>
        <v>29.5</v>
      </c>
      <c r="J159" s="1327">
        <v>0</v>
      </c>
      <c r="K159" s="1327">
        <v>29.5</v>
      </c>
      <c r="L159" s="876">
        <f t="shared" ref="L159:N174" si="26">IF(I159=0,0,I159/F159*100)</f>
        <v>29.5</v>
      </c>
      <c r="M159" s="877">
        <f t="shared" si="26"/>
        <v>0</v>
      </c>
      <c r="N159" s="877">
        <f t="shared" si="26"/>
        <v>29.5</v>
      </c>
      <c r="O159" s="1214" t="s">
        <v>1192</v>
      </c>
      <c r="P159" s="1214" t="s">
        <v>1251</v>
      </c>
      <c r="Q159" s="1065">
        <f t="shared" si="22"/>
        <v>0</v>
      </c>
      <c r="R159" s="1065">
        <f t="shared" si="22"/>
        <v>0</v>
      </c>
      <c r="S159" s="1065">
        <f t="shared" si="22"/>
        <v>0</v>
      </c>
      <c r="T159" s="1099" t="s">
        <v>886</v>
      </c>
      <c r="U159" s="1100" t="s">
        <v>903</v>
      </c>
      <c r="V159" s="1099">
        <v>414</v>
      </c>
      <c r="W159" s="1099" t="s">
        <v>890</v>
      </c>
      <c r="Z159" s="1311">
        <f t="shared" si="24"/>
        <v>0</v>
      </c>
    </row>
    <row r="160" spans="1:26" ht="105.75" hidden="1" customHeight="1">
      <c r="A160" s="895">
        <v>102</v>
      </c>
      <c r="B160" s="955" t="s">
        <v>589</v>
      </c>
      <c r="C160" s="871">
        <f>SUM(D160:E160)</f>
        <v>100</v>
      </c>
      <c r="D160" s="1249">
        <v>0</v>
      </c>
      <c r="E160" s="1249">
        <v>100</v>
      </c>
      <c r="F160" s="1325">
        <f>SUM(G160:H160)</f>
        <v>100</v>
      </c>
      <c r="G160" s="1327">
        <f t="shared" si="25"/>
        <v>0</v>
      </c>
      <c r="H160" s="1327">
        <f t="shared" si="25"/>
        <v>100</v>
      </c>
      <c r="I160" s="1325">
        <f>SUM(J160:K160)</f>
        <v>29.6</v>
      </c>
      <c r="J160" s="1327">
        <v>0</v>
      </c>
      <c r="K160" s="1327">
        <v>29.6</v>
      </c>
      <c r="L160" s="876">
        <f t="shared" si="26"/>
        <v>29.6</v>
      </c>
      <c r="M160" s="877">
        <f t="shared" si="26"/>
        <v>0</v>
      </c>
      <c r="N160" s="877">
        <f t="shared" si="26"/>
        <v>29.6</v>
      </c>
      <c r="O160" s="1214" t="s">
        <v>1285</v>
      </c>
      <c r="P160" s="1214" t="s">
        <v>1252</v>
      </c>
      <c r="Q160" s="1065">
        <f t="shared" si="22"/>
        <v>0</v>
      </c>
      <c r="R160" s="1065">
        <f t="shared" si="22"/>
        <v>0</v>
      </c>
      <c r="S160" s="1065">
        <f t="shared" si="22"/>
        <v>0</v>
      </c>
      <c r="T160" s="1099" t="s">
        <v>886</v>
      </c>
      <c r="U160" s="1100" t="s">
        <v>904</v>
      </c>
      <c r="V160" s="1099">
        <v>414</v>
      </c>
      <c r="W160" s="1099" t="s">
        <v>890</v>
      </c>
      <c r="Z160" s="1311">
        <f t="shared" si="24"/>
        <v>0</v>
      </c>
    </row>
    <row r="161" spans="1:26" ht="105.75" hidden="1" customHeight="1">
      <c r="A161" s="895">
        <v>103</v>
      </c>
      <c r="B161" s="955" t="s">
        <v>591</v>
      </c>
      <c r="C161" s="871">
        <f>SUM(D161:E161)</f>
        <v>100</v>
      </c>
      <c r="D161" s="1249">
        <v>0</v>
      </c>
      <c r="E161" s="1249">
        <v>100</v>
      </c>
      <c r="F161" s="1325">
        <f>SUM(G161:H161)</f>
        <v>100</v>
      </c>
      <c r="G161" s="1327">
        <f t="shared" si="25"/>
        <v>0</v>
      </c>
      <c r="H161" s="1327">
        <f t="shared" si="25"/>
        <v>100</v>
      </c>
      <c r="I161" s="1325">
        <f>SUM(J161:K161)</f>
        <v>29.6</v>
      </c>
      <c r="J161" s="1327">
        <v>0</v>
      </c>
      <c r="K161" s="1327">
        <v>29.6</v>
      </c>
      <c r="L161" s="876">
        <f t="shared" si="26"/>
        <v>29.6</v>
      </c>
      <c r="M161" s="877">
        <f t="shared" si="26"/>
        <v>0</v>
      </c>
      <c r="N161" s="877">
        <f t="shared" si="26"/>
        <v>29.6</v>
      </c>
      <c r="O161" s="1214" t="s">
        <v>1192</v>
      </c>
      <c r="P161" s="1214" t="s">
        <v>1254</v>
      </c>
      <c r="Q161" s="1065">
        <f t="shared" si="22"/>
        <v>0</v>
      </c>
      <c r="R161" s="1065">
        <f t="shared" si="22"/>
        <v>0</v>
      </c>
      <c r="S161" s="1065">
        <f t="shared" si="22"/>
        <v>0</v>
      </c>
      <c r="T161" s="1099" t="s">
        <v>886</v>
      </c>
      <c r="U161" s="1100" t="s">
        <v>906</v>
      </c>
      <c r="V161" s="1099">
        <v>414</v>
      </c>
      <c r="W161" s="1099" t="s">
        <v>890</v>
      </c>
      <c r="Z161" s="1311">
        <f t="shared" si="24"/>
        <v>0</v>
      </c>
    </row>
    <row r="162" spans="1:26" s="736" customFormat="1" ht="96.75" hidden="1" customHeight="1">
      <c r="A162" s="1320" t="s">
        <v>759</v>
      </c>
      <c r="B162" s="901" t="s">
        <v>465</v>
      </c>
      <c r="C162" s="871">
        <f t="shared" si="19"/>
        <v>18259.5</v>
      </c>
      <c r="D162" s="1249">
        <f>7398.4+9765.43</f>
        <v>17163.8</v>
      </c>
      <c r="E162" s="1249">
        <f>472.3+623.38</f>
        <v>1095.7</v>
      </c>
      <c r="F162" s="1325">
        <f t="shared" si="20"/>
        <v>18259.5</v>
      </c>
      <c r="G162" s="1327">
        <f t="shared" si="25"/>
        <v>17163.8</v>
      </c>
      <c r="H162" s="1327">
        <f t="shared" si="25"/>
        <v>1095.7</v>
      </c>
      <c r="I162" s="1325">
        <f t="shared" si="21"/>
        <v>0</v>
      </c>
      <c r="J162" s="1327">
        <v>0</v>
      </c>
      <c r="K162" s="1327">
        <v>0</v>
      </c>
      <c r="L162" s="876">
        <f t="shared" si="26"/>
        <v>0</v>
      </c>
      <c r="M162" s="877">
        <f t="shared" si="26"/>
        <v>0</v>
      </c>
      <c r="N162" s="877">
        <f t="shared" si="26"/>
        <v>0</v>
      </c>
      <c r="O162" s="1214" t="s">
        <v>1282</v>
      </c>
      <c r="P162" s="1214" t="s">
        <v>1248</v>
      </c>
      <c r="Q162" s="1065">
        <f t="shared" si="22"/>
        <v>0</v>
      </c>
      <c r="R162" s="1065">
        <f t="shared" si="22"/>
        <v>0</v>
      </c>
      <c r="S162" s="1065">
        <f t="shared" si="22"/>
        <v>0</v>
      </c>
      <c r="T162" s="1099" t="s">
        <v>886</v>
      </c>
      <c r="U162" s="1100" t="s">
        <v>901</v>
      </c>
      <c r="V162" s="1099">
        <v>414</v>
      </c>
      <c r="W162" s="1099" t="s">
        <v>890</v>
      </c>
      <c r="X162" s="1216"/>
      <c r="Z162" s="1311">
        <f t="shared" si="24"/>
        <v>0</v>
      </c>
    </row>
    <row r="163" spans="1:26" s="736" customFormat="1" ht="90.75" hidden="1" customHeight="1">
      <c r="A163" s="1320" t="s">
        <v>760</v>
      </c>
      <c r="B163" s="1084" t="s">
        <v>537</v>
      </c>
      <c r="C163" s="871">
        <f t="shared" si="19"/>
        <v>10370</v>
      </c>
      <c r="D163" s="1249">
        <f>8589.3+1158.49</f>
        <v>9747.7999999999993</v>
      </c>
      <c r="E163" s="1249">
        <f>548.3+73.9</f>
        <v>622.20000000000005</v>
      </c>
      <c r="F163" s="1325">
        <f t="shared" si="20"/>
        <v>10370</v>
      </c>
      <c r="G163" s="1327">
        <f t="shared" si="25"/>
        <v>9747.7999999999993</v>
      </c>
      <c r="H163" s="1327">
        <f t="shared" si="25"/>
        <v>622.20000000000005</v>
      </c>
      <c r="I163" s="871">
        <f t="shared" si="21"/>
        <v>2384.8000000000002</v>
      </c>
      <c r="J163" s="1249">
        <v>2241.6999999999998</v>
      </c>
      <c r="K163" s="1249">
        <v>143.1</v>
      </c>
      <c r="L163" s="876">
        <f t="shared" si="26"/>
        <v>23</v>
      </c>
      <c r="M163" s="877">
        <f t="shared" si="26"/>
        <v>23</v>
      </c>
      <c r="N163" s="877">
        <f t="shared" si="26"/>
        <v>23</v>
      </c>
      <c r="O163" s="1214" t="s">
        <v>1283</v>
      </c>
      <c r="P163" s="1214" t="s">
        <v>1249</v>
      </c>
      <c r="Q163" s="1065">
        <f t="shared" si="22"/>
        <v>0</v>
      </c>
      <c r="R163" s="1065">
        <f t="shared" si="22"/>
        <v>0</v>
      </c>
      <c r="S163" s="1065">
        <f t="shared" si="22"/>
        <v>0</v>
      </c>
      <c r="T163" s="1099" t="s">
        <v>886</v>
      </c>
      <c r="U163" s="1100" t="s">
        <v>907</v>
      </c>
      <c r="V163" s="1099">
        <v>414</v>
      </c>
      <c r="W163" s="1099" t="s">
        <v>890</v>
      </c>
      <c r="X163" s="1216"/>
      <c r="Z163" s="1311">
        <f t="shared" si="24"/>
        <v>0</v>
      </c>
    </row>
    <row r="164" spans="1:26" s="736" customFormat="1" ht="93" hidden="1">
      <c r="A164" s="1320" t="s">
        <v>761</v>
      </c>
      <c r="B164" s="1084" t="s">
        <v>587</v>
      </c>
      <c r="C164" s="871">
        <f t="shared" si="19"/>
        <v>16203.2</v>
      </c>
      <c r="D164" s="1249">
        <f>12178.9+3052.05</f>
        <v>15231</v>
      </c>
      <c r="E164" s="1249">
        <f>777.4+194.83</f>
        <v>972.2</v>
      </c>
      <c r="F164" s="1325">
        <f t="shared" si="20"/>
        <v>16203.2</v>
      </c>
      <c r="G164" s="1327">
        <f t="shared" si="25"/>
        <v>15231</v>
      </c>
      <c r="H164" s="1327">
        <f t="shared" si="25"/>
        <v>972.2</v>
      </c>
      <c r="I164" s="1325">
        <f t="shared" si="21"/>
        <v>2383.3000000000002</v>
      </c>
      <c r="J164" s="1327">
        <v>2240.3000000000002</v>
      </c>
      <c r="K164" s="1327">
        <v>143</v>
      </c>
      <c r="L164" s="876">
        <f t="shared" si="26"/>
        <v>14.7</v>
      </c>
      <c r="M164" s="877">
        <f t="shared" si="26"/>
        <v>14.7</v>
      </c>
      <c r="N164" s="877">
        <f t="shared" si="26"/>
        <v>14.7</v>
      </c>
      <c r="O164" s="1214" t="s">
        <v>1284</v>
      </c>
      <c r="P164" s="1214" t="s">
        <v>1250</v>
      </c>
      <c r="Q164" s="1065">
        <f t="shared" ref="Q164:S179" si="27">C164-F164</f>
        <v>0</v>
      </c>
      <c r="R164" s="1065">
        <f t="shared" si="27"/>
        <v>0</v>
      </c>
      <c r="S164" s="1065">
        <f t="shared" si="27"/>
        <v>0</v>
      </c>
      <c r="T164" s="1099" t="s">
        <v>886</v>
      </c>
      <c r="U164" s="1100" t="s">
        <v>900</v>
      </c>
      <c r="V164" s="1099">
        <v>414</v>
      </c>
      <c r="W164" s="1099" t="s">
        <v>890</v>
      </c>
      <c r="X164" s="1216"/>
      <c r="Z164" s="1311">
        <f t="shared" si="24"/>
        <v>0</v>
      </c>
    </row>
    <row r="165" spans="1:26" ht="136.5" hidden="1" customHeight="1">
      <c r="A165" s="1320" t="s">
        <v>1325</v>
      </c>
      <c r="B165" s="955" t="s">
        <v>588</v>
      </c>
      <c r="C165" s="871">
        <f t="shared" si="19"/>
        <v>22869.1</v>
      </c>
      <c r="D165" s="1249">
        <f>18886.8+2610.06</f>
        <v>21496.9</v>
      </c>
      <c r="E165" s="1249">
        <f>1205.6+166.61</f>
        <v>1372.2</v>
      </c>
      <c r="F165" s="1325">
        <f t="shared" si="20"/>
        <v>22869.1</v>
      </c>
      <c r="G165" s="1327">
        <f t="shared" si="25"/>
        <v>21496.9</v>
      </c>
      <c r="H165" s="1327">
        <f t="shared" si="25"/>
        <v>1372.2</v>
      </c>
      <c r="I165" s="1325">
        <f t="shared" si="21"/>
        <v>0</v>
      </c>
      <c r="J165" s="1327">
        <v>0</v>
      </c>
      <c r="K165" s="1327">
        <v>0</v>
      </c>
      <c r="L165" s="876">
        <f t="shared" si="26"/>
        <v>0</v>
      </c>
      <c r="M165" s="877">
        <f t="shared" si="26"/>
        <v>0</v>
      </c>
      <c r="N165" s="877">
        <f t="shared" si="26"/>
        <v>0</v>
      </c>
      <c r="O165" s="1214" t="s">
        <v>1192</v>
      </c>
      <c r="P165" s="1214" t="s">
        <v>1251</v>
      </c>
      <c r="Q165" s="1065">
        <f t="shared" si="27"/>
        <v>0</v>
      </c>
      <c r="R165" s="1065">
        <f t="shared" si="27"/>
        <v>0</v>
      </c>
      <c r="S165" s="1065">
        <f t="shared" si="27"/>
        <v>0</v>
      </c>
      <c r="T165" s="1099" t="s">
        <v>886</v>
      </c>
      <c r="U165" s="1100" t="s">
        <v>903</v>
      </c>
      <c r="V165" s="1099">
        <v>414</v>
      </c>
      <c r="W165" s="1099" t="s">
        <v>890</v>
      </c>
      <c r="Z165" s="1311">
        <f t="shared" si="24"/>
        <v>0</v>
      </c>
    </row>
    <row r="166" spans="1:26" ht="105" hidden="1" customHeight="1">
      <c r="A166" s="895" t="s">
        <v>1326</v>
      </c>
      <c r="B166" s="955" t="s">
        <v>589</v>
      </c>
      <c r="C166" s="871">
        <f t="shared" si="19"/>
        <v>10547.8</v>
      </c>
      <c r="D166" s="1249">
        <f>8642.5+1272.44</f>
        <v>9914.9</v>
      </c>
      <c r="E166" s="1249">
        <f>551.7+81.23</f>
        <v>632.9</v>
      </c>
      <c r="F166" s="1325">
        <f t="shared" si="20"/>
        <v>10547.8</v>
      </c>
      <c r="G166" s="1327">
        <f t="shared" si="25"/>
        <v>9914.9</v>
      </c>
      <c r="H166" s="1327">
        <f t="shared" si="25"/>
        <v>632.9</v>
      </c>
      <c r="I166" s="1325">
        <f t="shared" si="21"/>
        <v>0</v>
      </c>
      <c r="J166" s="1327">
        <v>0</v>
      </c>
      <c r="K166" s="1327">
        <v>0</v>
      </c>
      <c r="L166" s="876">
        <f t="shared" si="26"/>
        <v>0</v>
      </c>
      <c r="M166" s="877">
        <f t="shared" si="26"/>
        <v>0</v>
      </c>
      <c r="N166" s="877">
        <f t="shared" si="26"/>
        <v>0</v>
      </c>
      <c r="O166" s="1214" t="s">
        <v>1285</v>
      </c>
      <c r="P166" s="1214" t="s">
        <v>1252</v>
      </c>
      <c r="Q166" s="1065">
        <f t="shared" si="27"/>
        <v>0</v>
      </c>
      <c r="R166" s="1065">
        <f t="shared" si="27"/>
        <v>0</v>
      </c>
      <c r="S166" s="1065">
        <f t="shared" si="27"/>
        <v>0</v>
      </c>
      <c r="T166" s="1099" t="s">
        <v>886</v>
      </c>
      <c r="U166" s="1100" t="s">
        <v>904</v>
      </c>
      <c r="V166" s="1099">
        <v>414</v>
      </c>
      <c r="W166" s="1099" t="s">
        <v>890</v>
      </c>
      <c r="Z166" s="1311">
        <f t="shared" si="24"/>
        <v>0</v>
      </c>
    </row>
    <row r="167" spans="1:26" ht="88.5" hidden="1" customHeight="1">
      <c r="A167" s="895">
        <v>107</v>
      </c>
      <c r="B167" s="955" t="s">
        <v>616</v>
      </c>
      <c r="C167" s="871">
        <f t="shared" si="19"/>
        <v>64593.7</v>
      </c>
      <c r="D167" s="1249">
        <f>17561.3+43156.37</f>
        <v>60717.7</v>
      </c>
      <c r="E167" s="1249">
        <f>1121.1+2754.89</f>
        <v>3876</v>
      </c>
      <c r="F167" s="1325">
        <f t="shared" si="20"/>
        <v>64593.7</v>
      </c>
      <c r="G167" s="1327">
        <f t="shared" si="25"/>
        <v>60717.7</v>
      </c>
      <c r="H167" s="1327">
        <f t="shared" si="25"/>
        <v>3876</v>
      </c>
      <c r="I167" s="1325">
        <f t="shared" si="21"/>
        <v>0</v>
      </c>
      <c r="J167" s="1327">
        <v>0</v>
      </c>
      <c r="K167" s="1327">
        <v>0</v>
      </c>
      <c r="L167" s="876">
        <f t="shared" si="26"/>
        <v>0</v>
      </c>
      <c r="M167" s="877">
        <f t="shared" si="26"/>
        <v>0</v>
      </c>
      <c r="N167" s="877">
        <f t="shared" si="26"/>
        <v>0</v>
      </c>
      <c r="O167" s="1214" t="s">
        <v>1192</v>
      </c>
      <c r="P167" s="1214" t="s">
        <v>1253</v>
      </c>
      <c r="Q167" s="1065">
        <f t="shared" si="27"/>
        <v>0</v>
      </c>
      <c r="R167" s="1065">
        <f t="shared" si="27"/>
        <v>0</v>
      </c>
      <c r="S167" s="1065">
        <f t="shared" si="27"/>
        <v>0</v>
      </c>
      <c r="T167" s="1099" t="s">
        <v>886</v>
      </c>
      <c r="U167" s="1100" t="s">
        <v>905</v>
      </c>
      <c r="V167" s="1099">
        <v>414</v>
      </c>
      <c r="W167" s="1099" t="s">
        <v>890</v>
      </c>
      <c r="Z167" s="1311">
        <f t="shared" si="24"/>
        <v>0</v>
      </c>
    </row>
    <row r="168" spans="1:26" ht="118.5" hidden="1" customHeight="1">
      <c r="A168" s="895" t="s">
        <v>1327</v>
      </c>
      <c r="B168" s="955" t="s">
        <v>591</v>
      </c>
      <c r="C168" s="871">
        <f t="shared" si="19"/>
        <v>36681.5</v>
      </c>
      <c r="D168" s="1249">
        <f>32344.5+2136.03</f>
        <v>34480.5</v>
      </c>
      <c r="E168" s="1249">
        <f>2064.6+136.35</f>
        <v>2201</v>
      </c>
      <c r="F168" s="1325">
        <f t="shared" si="20"/>
        <v>36681.5</v>
      </c>
      <c r="G168" s="1327">
        <f t="shared" si="25"/>
        <v>34480.5</v>
      </c>
      <c r="H168" s="1327">
        <f t="shared" si="25"/>
        <v>2201</v>
      </c>
      <c r="I168" s="1325">
        <f t="shared" si="21"/>
        <v>0</v>
      </c>
      <c r="J168" s="1327">
        <v>0</v>
      </c>
      <c r="K168" s="1327">
        <v>0</v>
      </c>
      <c r="L168" s="876">
        <f t="shared" si="26"/>
        <v>0</v>
      </c>
      <c r="M168" s="877">
        <f t="shared" si="26"/>
        <v>0</v>
      </c>
      <c r="N168" s="877">
        <f t="shared" si="26"/>
        <v>0</v>
      </c>
      <c r="O168" s="1214" t="s">
        <v>1192</v>
      </c>
      <c r="P168" s="1214" t="s">
        <v>1254</v>
      </c>
      <c r="Q168" s="1065">
        <f t="shared" si="27"/>
        <v>0</v>
      </c>
      <c r="R168" s="1065">
        <f t="shared" si="27"/>
        <v>0</v>
      </c>
      <c r="S168" s="1065">
        <f t="shared" si="27"/>
        <v>0</v>
      </c>
      <c r="T168" s="1099" t="s">
        <v>886</v>
      </c>
      <c r="U168" s="1100" t="s">
        <v>906</v>
      </c>
      <c r="V168" s="1099">
        <v>414</v>
      </c>
      <c r="W168" s="1099" t="s">
        <v>890</v>
      </c>
      <c r="Z168" s="1311">
        <f t="shared" si="24"/>
        <v>0</v>
      </c>
    </row>
    <row r="169" spans="1:26" ht="93" hidden="1">
      <c r="A169" s="895">
        <v>108</v>
      </c>
      <c r="B169" s="1084" t="s">
        <v>575</v>
      </c>
      <c r="C169" s="871">
        <f t="shared" si="19"/>
        <v>5568.4</v>
      </c>
      <c r="D169" s="1249">
        <f>2306.5+2927.68</f>
        <v>5234.2</v>
      </c>
      <c r="E169" s="1249">
        <f>147.3+186.89</f>
        <v>334.2</v>
      </c>
      <c r="F169" s="1325">
        <f t="shared" si="20"/>
        <v>5568.4</v>
      </c>
      <c r="G169" s="1327">
        <f t="shared" si="25"/>
        <v>5234.2</v>
      </c>
      <c r="H169" s="1327">
        <f t="shared" si="25"/>
        <v>334.2</v>
      </c>
      <c r="I169" s="1325">
        <f t="shared" si="21"/>
        <v>0</v>
      </c>
      <c r="J169" s="1327">
        <v>0</v>
      </c>
      <c r="K169" s="1327">
        <v>0</v>
      </c>
      <c r="L169" s="876">
        <f t="shared" si="26"/>
        <v>0</v>
      </c>
      <c r="M169" s="877">
        <f t="shared" si="26"/>
        <v>0</v>
      </c>
      <c r="N169" s="877">
        <f t="shared" si="26"/>
        <v>0</v>
      </c>
      <c r="O169" s="1214" t="s">
        <v>1192</v>
      </c>
      <c r="P169" s="1214" t="s">
        <v>1102</v>
      </c>
      <c r="Q169" s="1065">
        <f t="shared" si="27"/>
        <v>0</v>
      </c>
      <c r="R169" s="1065">
        <f t="shared" si="27"/>
        <v>0</v>
      </c>
      <c r="S169" s="1065">
        <f t="shared" si="27"/>
        <v>0</v>
      </c>
      <c r="T169" s="1099" t="s">
        <v>886</v>
      </c>
      <c r="U169" s="1100" t="s">
        <v>902</v>
      </c>
      <c r="V169" s="1099">
        <v>414</v>
      </c>
      <c r="W169" s="1099" t="s">
        <v>890</v>
      </c>
      <c r="Z169" s="1311">
        <f t="shared" si="24"/>
        <v>0</v>
      </c>
    </row>
    <row r="170" spans="1:26" ht="63" hidden="1" customHeight="1">
      <c r="A170" s="1320" t="s">
        <v>828</v>
      </c>
      <c r="B170" s="1084" t="s">
        <v>660</v>
      </c>
      <c r="C170" s="871">
        <f t="shared" si="19"/>
        <v>14883.1</v>
      </c>
      <c r="D170" s="1249">
        <f>6906.5+7083.4</f>
        <v>13989.9</v>
      </c>
      <c r="E170" s="1249">
        <f>441.1+452.1</f>
        <v>893.2</v>
      </c>
      <c r="F170" s="1325">
        <f t="shared" si="20"/>
        <v>14883.1</v>
      </c>
      <c r="G170" s="1327">
        <f t="shared" si="25"/>
        <v>13989.9</v>
      </c>
      <c r="H170" s="1327">
        <f t="shared" si="25"/>
        <v>893.2</v>
      </c>
      <c r="I170" s="1325">
        <f t="shared" si="21"/>
        <v>3366.4</v>
      </c>
      <c r="J170" s="1327">
        <v>3164.4</v>
      </c>
      <c r="K170" s="1327">
        <v>202</v>
      </c>
      <c r="L170" s="876">
        <f t="shared" si="26"/>
        <v>22.6</v>
      </c>
      <c r="M170" s="877">
        <f t="shared" si="26"/>
        <v>22.6</v>
      </c>
      <c r="N170" s="877">
        <f t="shared" si="26"/>
        <v>22.6</v>
      </c>
      <c r="O170" s="1214" t="s">
        <v>1286</v>
      </c>
      <c r="P170" s="1214" t="s">
        <v>1255</v>
      </c>
      <c r="Q170" s="1065">
        <f t="shared" si="27"/>
        <v>0</v>
      </c>
      <c r="R170" s="1065">
        <f t="shared" si="27"/>
        <v>0</v>
      </c>
      <c r="S170" s="1065">
        <f t="shared" si="27"/>
        <v>0</v>
      </c>
      <c r="T170" s="1099" t="s">
        <v>886</v>
      </c>
      <c r="U170" s="1100" t="s">
        <v>908</v>
      </c>
      <c r="V170" s="1099">
        <v>414</v>
      </c>
      <c r="W170" s="1099" t="s">
        <v>890</v>
      </c>
      <c r="Z170" s="1311">
        <f t="shared" si="24"/>
        <v>0</v>
      </c>
    </row>
    <row r="171" spans="1:26" ht="63" hidden="1" customHeight="1">
      <c r="A171" s="1320" t="s">
        <v>829</v>
      </c>
      <c r="B171" s="1084" t="s">
        <v>659</v>
      </c>
      <c r="C171" s="871">
        <f t="shared" si="19"/>
        <v>5350.5</v>
      </c>
      <c r="D171" s="1249">
        <f>4104.3+925.11</f>
        <v>5029.3999999999996</v>
      </c>
      <c r="E171" s="1249">
        <f>262.1+59</f>
        <v>321.10000000000002</v>
      </c>
      <c r="F171" s="1325">
        <f t="shared" si="20"/>
        <v>5350.5</v>
      </c>
      <c r="G171" s="1327">
        <f t="shared" si="25"/>
        <v>5029.3999999999996</v>
      </c>
      <c r="H171" s="1327">
        <f t="shared" si="25"/>
        <v>321.10000000000002</v>
      </c>
      <c r="I171" s="1325">
        <f t="shared" si="21"/>
        <v>0</v>
      </c>
      <c r="J171" s="1327">
        <v>0</v>
      </c>
      <c r="K171" s="1327">
        <v>0</v>
      </c>
      <c r="L171" s="876">
        <f t="shared" si="26"/>
        <v>0</v>
      </c>
      <c r="M171" s="877">
        <f t="shared" si="26"/>
        <v>0</v>
      </c>
      <c r="N171" s="877">
        <f t="shared" si="26"/>
        <v>0</v>
      </c>
      <c r="O171" s="1214" t="s">
        <v>1287</v>
      </c>
      <c r="P171" s="1214" t="s">
        <v>1256</v>
      </c>
      <c r="Q171" s="1065">
        <f t="shared" si="27"/>
        <v>0</v>
      </c>
      <c r="R171" s="1065">
        <f t="shared" si="27"/>
        <v>0</v>
      </c>
      <c r="S171" s="1065">
        <f t="shared" si="27"/>
        <v>0</v>
      </c>
      <c r="T171" s="1099" t="s">
        <v>886</v>
      </c>
      <c r="U171" s="1100" t="s">
        <v>909</v>
      </c>
      <c r="V171" s="1099">
        <v>414</v>
      </c>
      <c r="W171" s="1099" t="s">
        <v>910</v>
      </c>
      <c r="Z171" s="1311">
        <f t="shared" si="24"/>
        <v>0</v>
      </c>
    </row>
    <row r="172" spans="1:26" ht="86.25" hidden="1" customHeight="1">
      <c r="A172" s="1320" t="s">
        <v>821</v>
      </c>
      <c r="B172" s="1323" t="s">
        <v>459</v>
      </c>
      <c r="C172" s="871">
        <f t="shared" si="19"/>
        <v>3006.6</v>
      </c>
      <c r="D172" s="972">
        <f>2610.1+215.98</f>
        <v>2826.1</v>
      </c>
      <c r="E172" s="972">
        <f>166.7+13.79</f>
        <v>180.5</v>
      </c>
      <c r="F172" s="1325">
        <f t="shared" si="20"/>
        <v>3006.6</v>
      </c>
      <c r="G172" s="1327">
        <f t="shared" si="25"/>
        <v>2826.1</v>
      </c>
      <c r="H172" s="1327">
        <f t="shared" si="25"/>
        <v>180.5</v>
      </c>
      <c r="I172" s="1325">
        <f t="shared" si="21"/>
        <v>0</v>
      </c>
      <c r="J172" s="1326">
        <v>0</v>
      </c>
      <c r="K172" s="1326">
        <v>0</v>
      </c>
      <c r="L172" s="876">
        <f t="shared" si="26"/>
        <v>0</v>
      </c>
      <c r="M172" s="877">
        <f t="shared" si="26"/>
        <v>0</v>
      </c>
      <c r="N172" s="877">
        <f t="shared" si="26"/>
        <v>0</v>
      </c>
      <c r="O172" s="1214" t="s">
        <v>1288</v>
      </c>
      <c r="P172" s="1214" t="s">
        <v>1257</v>
      </c>
      <c r="Q172" s="1065">
        <f t="shared" si="27"/>
        <v>0</v>
      </c>
      <c r="R172" s="1065">
        <f t="shared" si="27"/>
        <v>0</v>
      </c>
      <c r="S172" s="1065">
        <f t="shared" si="27"/>
        <v>0</v>
      </c>
      <c r="T172" s="1099" t="s">
        <v>886</v>
      </c>
      <c r="U172" s="1100" t="s">
        <v>889</v>
      </c>
      <c r="V172" s="1099">
        <v>414</v>
      </c>
      <c r="W172" s="1099" t="s">
        <v>890</v>
      </c>
      <c r="Z172" s="1311">
        <f t="shared" si="24"/>
        <v>0</v>
      </c>
    </row>
    <row r="173" spans="1:26" s="515" customFormat="1" ht="72.75" hidden="1" customHeight="1">
      <c r="A173" s="1320" t="s">
        <v>822</v>
      </c>
      <c r="B173" s="1075" t="s">
        <v>568</v>
      </c>
      <c r="C173" s="871">
        <f t="shared" si="19"/>
        <v>4391.5</v>
      </c>
      <c r="D173" s="972">
        <f>3674.8+453.18</f>
        <v>4128</v>
      </c>
      <c r="E173" s="972">
        <f>234.6+28.93</f>
        <v>263.5</v>
      </c>
      <c r="F173" s="1325">
        <f t="shared" si="20"/>
        <v>4391.5</v>
      </c>
      <c r="G173" s="1327">
        <f t="shared" si="25"/>
        <v>4128</v>
      </c>
      <c r="H173" s="1327">
        <f t="shared" si="25"/>
        <v>263.5</v>
      </c>
      <c r="I173" s="1325">
        <f t="shared" si="21"/>
        <v>0</v>
      </c>
      <c r="J173" s="1326">
        <v>0</v>
      </c>
      <c r="K173" s="1326">
        <v>0</v>
      </c>
      <c r="L173" s="876">
        <f t="shared" si="26"/>
        <v>0</v>
      </c>
      <c r="M173" s="877">
        <f t="shared" si="26"/>
        <v>0</v>
      </c>
      <c r="N173" s="877">
        <f t="shared" si="26"/>
        <v>0</v>
      </c>
      <c r="O173" s="1214" t="s">
        <v>1289</v>
      </c>
      <c r="P173" s="1214" t="s">
        <v>1258</v>
      </c>
      <c r="Q173" s="1065">
        <f t="shared" si="27"/>
        <v>0</v>
      </c>
      <c r="R173" s="1065">
        <f t="shared" si="27"/>
        <v>0</v>
      </c>
      <c r="S173" s="1065">
        <f t="shared" si="27"/>
        <v>0</v>
      </c>
      <c r="T173" s="1099" t="s">
        <v>886</v>
      </c>
      <c r="U173" s="1100" t="s">
        <v>891</v>
      </c>
      <c r="V173" s="1099">
        <v>414</v>
      </c>
      <c r="W173" s="1099" t="s">
        <v>890</v>
      </c>
      <c r="X173" s="1220"/>
      <c r="Z173" s="1311">
        <f t="shared" si="24"/>
        <v>0</v>
      </c>
    </row>
    <row r="174" spans="1:26" s="515" customFormat="1" ht="81.75" hidden="1" customHeight="1">
      <c r="A174" s="1320" t="s">
        <v>823</v>
      </c>
      <c r="B174" s="900" t="s">
        <v>693</v>
      </c>
      <c r="C174" s="871">
        <f t="shared" si="19"/>
        <v>23921.1</v>
      </c>
      <c r="D174" s="972">
        <f>18560.9+3924.8</f>
        <v>22485.7</v>
      </c>
      <c r="E174" s="972">
        <f>1184.8+250.55</f>
        <v>1435.4</v>
      </c>
      <c r="F174" s="1325">
        <f t="shared" si="20"/>
        <v>23921.1</v>
      </c>
      <c r="G174" s="1327">
        <f t="shared" si="25"/>
        <v>22485.7</v>
      </c>
      <c r="H174" s="1327">
        <f t="shared" si="25"/>
        <v>1435.4</v>
      </c>
      <c r="I174" s="1325">
        <f t="shared" si="21"/>
        <v>0</v>
      </c>
      <c r="J174" s="1326">
        <v>0</v>
      </c>
      <c r="K174" s="1326">
        <v>0</v>
      </c>
      <c r="L174" s="876">
        <f t="shared" si="26"/>
        <v>0</v>
      </c>
      <c r="M174" s="877">
        <f t="shared" si="26"/>
        <v>0</v>
      </c>
      <c r="N174" s="877">
        <f t="shared" si="26"/>
        <v>0</v>
      </c>
      <c r="O174" s="1214" t="s">
        <v>1192</v>
      </c>
      <c r="P174" s="1214" t="s">
        <v>1251</v>
      </c>
      <c r="Q174" s="1065">
        <f t="shared" si="27"/>
        <v>0</v>
      </c>
      <c r="R174" s="1065">
        <f t="shared" si="27"/>
        <v>0</v>
      </c>
      <c r="S174" s="1065">
        <f t="shared" si="27"/>
        <v>0</v>
      </c>
      <c r="T174" s="1099" t="s">
        <v>866</v>
      </c>
      <c r="U174" s="1100" t="s">
        <v>884</v>
      </c>
      <c r="V174" s="1099">
        <v>414</v>
      </c>
      <c r="W174" s="1099" t="s">
        <v>885</v>
      </c>
      <c r="X174" s="1220"/>
      <c r="Z174" s="1311">
        <f t="shared" si="24"/>
        <v>0</v>
      </c>
    </row>
    <row r="175" spans="1:26" s="515" customFormat="1" ht="63" hidden="1" customHeight="1">
      <c r="A175" s="1320" t="s">
        <v>915</v>
      </c>
      <c r="B175" s="987" t="s">
        <v>794</v>
      </c>
      <c r="C175" s="871">
        <f t="shared" si="19"/>
        <v>264888.5</v>
      </c>
      <c r="D175" s="972">
        <f>160380+75158.5+12733.8</f>
        <v>248272.3</v>
      </c>
      <c r="E175" s="1256">
        <f>15758.6+857.6</f>
        <v>16616.2</v>
      </c>
      <c r="F175" s="1325">
        <f t="shared" si="20"/>
        <v>264888.5</v>
      </c>
      <c r="G175" s="1327">
        <f t="shared" si="25"/>
        <v>248272.3</v>
      </c>
      <c r="H175" s="1327">
        <f t="shared" si="25"/>
        <v>16616.2</v>
      </c>
      <c r="I175" s="1325">
        <f t="shared" si="21"/>
        <v>28675.8</v>
      </c>
      <c r="J175" s="1326">
        <v>26866.6</v>
      </c>
      <c r="K175" s="1326">
        <v>1809.2</v>
      </c>
      <c r="L175" s="876">
        <f t="shared" ref="L175:N180" si="28">IF(I175=0,0,I175/F175*100)</f>
        <v>10.8</v>
      </c>
      <c r="M175" s="877">
        <f t="shared" si="28"/>
        <v>10.8</v>
      </c>
      <c r="N175" s="877">
        <f t="shared" si="28"/>
        <v>10.9</v>
      </c>
      <c r="O175" s="1214" t="s">
        <v>1296</v>
      </c>
      <c r="P175" s="1214" t="s">
        <v>1259</v>
      </c>
      <c r="Q175" s="1065">
        <f t="shared" si="27"/>
        <v>0</v>
      </c>
      <c r="R175" s="1065">
        <f t="shared" si="27"/>
        <v>0</v>
      </c>
      <c r="S175" s="1065">
        <f t="shared" si="27"/>
        <v>0</v>
      </c>
      <c r="T175" s="1099" t="s">
        <v>866</v>
      </c>
      <c r="U175" s="1100" t="s">
        <v>896</v>
      </c>
      <c r="V175" s="1099">
        <v>414</v>
      </c>
      <c r="W175" s="1099" t="s">
        <v>897</v>
      </c>
      <c r="X175" s="1220"/>
      <c r="Z175" s="1311">
        <f t="shared" si="24"/>
        <v>0</v>
      </c>
    </row>
    <row r="176" spans="1:26" ht="63" hidden="1" customHeight="1">
      <c r="A176" s="2404" t="s">
        <v>1322</v>
      </c>
      <c r="B176" s="1084" t="s">
        <v>644</v>
      </c>
      <c r="C176" s="871">
        <f t="shared" si="19"/>
        <v>16855.900000000001</v>
      </c>
      <c r="D176" s="1249">
        <v>0</v>
      </c>
      <c r="E176" s="1249">
        <v>16855.900000000001</v>
      </c>
      <c r="F176" s="1325">
        <f t="shared" si="20"/>
        <v>16855.900000000001</v>
      </c>
      <c r="G176" s="1327">
        <f t="shared" si="25"/>
        <v>0</v>
      </c>
      <c r="H176" s="1327">
        <f t="shared" si="25"/>
        <v>16855.900000000001</v>
      </c>
      <c r="I176" s="1325">
        <f t="shared" si="21"/>
        <v>15355.9</v>
      </c>
      <c r="J176" s="1327">
        <v>0</v>
      </c>
      <c r="K176" s="1327">
        <v>15355.9</v>
      </c>
      <c r="L176" s="876">
        <f t="shared" si="28"/>
        <v>91.1</v>
      </c>
      <c r="M176" s="877">
        <f t="shared" si="28"/>
        <v>0</v>
      </c>
      <c r="N176" s="877">
        <f t="shared" si="28"/>
        <v>91.1</v>
      </c>
      <c r="O176" s="1214" t="s">
        <v>1297</v>
      </c>
      <c r="P176" s="1214" t="s">
        <v>1260</v>
      </c>
      <c r="Q176" s="1065">
        <f t="shared" si="27"/>
        <v>0</v>
      </c>
      <c r="R176" s="1065">
        <f t="shared" si="27"/>
        <v>0</v>
      </c>
      <c r="S176" s="1065">
        <f t="shared" si="27"/>
        <v>0</v>
      </c>
      <c r="T176" s="1099" t="s">
        <v>872</v>
      </c>
      <c r="U176" s="1100">
        <v>1130390420</v>
      </c>
      <c r="V176" s="1099">
        <v>414</v>
      </c>
      <c r="W176" s="1099">
        <v>14019</v>
      </c>
      <c r="Z176" s="1311">
        <f t="shared" si="24"/>
        <v>0</v>
      </c>
    </row>
    <row r="177" spans="1:26" ht="63" hidden="1" customHeight="1">
      <c r="A177" s="2405"/>
      <c r="B177" s="1084" t="s">
        <v>478</v>
      </c>
      <c r="C177" s="871">
        <f t="shared" si="19"/>
        <v>444195.7</v>
      </c>
      <c r="D177" s="1249">
        <f>412659.9+4883.9</f>
        <v>417543.8</v>
      </c>
      <c r="E177" s="1257">
        <f>26340.05+311.8</f>
        <v>26651.85</v>
      </c>
      <c r="F177" s="1325">
        <f t="shared" si="20"/>
        <v>444195.7</v>
      </c>
      <c r="G177" s="1327">
        <f t="shared" si="25"/>
        <v>417543.8</v>
      </c>
      <c r="H177" s="1327">
        <f t="shared" si="25"/>
        <v>26651.9</v>
      </c>
      <c r="I177" s="1325">
        <f t="shared" si="21"/>
        <v>10686.1</v>
      </c>
      <c r="J177" s="1327">
        <v>10044.9</v>
      </c>
      <c r="K177" s="1327">
        <v>641.20000000000005</v>
      </c>
      <c r="L177" s="876">
        <f t="shared" si="28"/>
        <v>2.4</v>
      </c>
      <c r="M177" s="877">
        <f t="shared" si="28"/>
        <v>2.4</v>
      </c>
      <c r="N177" s="877">
        <f t="shared" si="28"/>
        <v>2.4</v>
      </c>
      <c r="O177" s="1214" t="s">
        <v>1298</v>
      </c>
      <c r="P177" s="1214" t="s">
        <v>1261</v>
      </c>
      <c r="Q177" s="1065">
        <f t="shared" si="27"/>
        <v>0</v>
      </c>
      <c r="R177" s="1065">
        <f t="shared" si="27"/>
        <v>0</v>
      </c>
      <c r="S177" s="1065">
        <f t="shared" si="27"/>
        <v>-0.1</v>
      </c>
      <c r="T177" s="1099" t="s">
        <v>886</v>
      </c>
      <c r="U177" s="1100" t="s">
        <v>898</v>
      </c>
      <c r="V177" s="1099">
        <v>414</v>
      </c>
      <c r="W177" s="1099" t="s">
        <v>899</v>
      </c>
      <c r="Z177" s="1311">
        <f t="shared" si="24"/>
        <v>0</v>
      </c>
    </row>
    <row r="178" spans="1:26" s="515" customFormat="1" ht="47.25" hidden="1" customHeight="1">
      <c r="A178" s="1320" t="s">
        <v>916</v>
      </c>
      <c r="B178" s="900" t="s">
        <v>499</v>
      </c>
      <c r="C178" s="871">
        <f t="shared" si="19"/>
        <v>9981.4</v>
      </c>
      <c r="D178" s="972">
        <f>8500+859.8</f>
        <v>9359.7999999999993</v>
      </c>
      <c r="E178" s="972">
        <f>564.5+57.1</f>
        <v>621.6</v>
      </c>
      <c r="F178" s="1325">
        <f t="shared" si="20"/>
        <v>9981.4</v>
      </c>
      <c r="G178" s="1327">
        <f t="shared" si="25"/>
        <v>9359.7999999999993</v>
      </c>
      <c r="H178" s="1327">
        <f t="shared" si="25"/>
        <v>621.6</v>
      </c>
      <c r="I178" s="1325">
        <f t="shared" si="21"/>
        <v>969.3</v>
      </c>
      <c r="J178" s="1326">
        <v>908.9</v>
      </c>
      <c r="K178" s="1326">
        <v>60.4</v>
      </c>
      <c r="L178" s="876">
        <f t="shared" si="28"/>
        <v>9.6999999999999993</v>
      </c>
      <c r="M178" s="877">
        <f t="shared" si="28"/>
        <v>9.6999999999999993</v>
      </c>
      <c r="N178" s="877">
        <f t="shared" si="28"/>
        <v>9.6999999999999993</v>
      </c>
      <c r="O178" s="1214" t="s">
        <v>1299</v>
      </c>
      <c r="P178" s="1214" t="s">
        <v>1262</v>
      </c>
      <c r="Q178" s="1065">
        <f t="shared" si="27"/>
        <v>0</v>
      </c>
      <c r="R178" s="1065">
        <f t="shared" si="27"/>
        <v>0</v>
      </c>
      <c r="S178" s="1065">
        <f t="shared" si="27"/>
        <v>0</v>
      </c>
      <c r="T178" s="1099" t="s">
        <v>871</v>
      </c>
      <c r="U178" s="1100" t="s">
        <v>870</v>
      </c>
      <c r="V178" s="1099">
        <v>414</v>
      </c>
      <c r="W178" s="1099" t="s">
        <v>873</v>
      </c>
      <c r="X178" s="1220"/>
      <c r="Z178" s="1311">
        <f t="shared" si="24"/>
        <v>0</v>
      </c>
    </row>
    <row r="179" spans="1:26" ht="54.75" hidden="1" customHeight="1">
      <c r="A179" s="1318" t="s">
        <v>860</v>
      </c>
      <c r="B179" s="900" t="s">
        <v>768</v>
      </c>
      <c r="C179" s="871">
        <f t="shared" si="19"/>
        <v>8900</v>
      </c>
      <c r="D179" s="972">
        <v>0</v>
      </c>
      <c r="E179" s="972">
        <v>8900</v>
      </c>
      <c r="F179" s="1325">
        <f t="shared" si="20"/>
        <v>8900</v>
      </c>
      <c r="G179" s="1327">
        <f t="shared" si="25"/>
        <v>0</v>
      </c>
      <c r="H179" s="1327">
        <f t="shared" si="25"/>
        <v>8900</v>
      </c>
      <c r="I179" s="1325">
        <f t="shared" si="21"/>
        <v>0</v>
      </c>
      <c r="J179" s="1326">
        <v>0</v>
      </c>
      <c r="K179" s="1326">
        <v>0</v>
      </c>
      <c r="L179" s="876">
        <f t="shared" si="28"/>
        <v>0</v>
      </c>
      <c r="M179" s="877">
        <f t="shared" si="28"/>
        <v>0</v>
      </c>
      <c r="N179" s="877">
        <f t="shared" si="28"/>
        <v>0</v>
      </c>
      <c r="O179" s="1214" t="s">
        <v>1300</v>
      </c>
      <c r="P179" s="1214" t="s">
        <v>1263</v>
      </c>
      <c r="Q179" s="1065">
        <f>C179-F179</f>
        <v>0</v>
      </c>
      <c r="R179" s="1065">
        <f t="shared" si="27"/>
        <v>0</v>
      </c>
      <c r="S179" s="1065">
        <f t="shared" si="27"/>
        <v>0</v>
      </c>
      <c r="T179" s="1099" t="s">
        <v>872</v>
      </c>
      <c r="U179" s="1100">
        <v>1130390420</v>
      </c>
      <c r="V179" s="1099">
        <v>414</v>
      </c>
      <c r="W179" s="1099">
        <v>14009</v>
      </c>
      <c r="Z179" s="1311">
        <f t="shared" si="24"/>
        <v>0</v>
      </c>
    </row>
    <row r="180" spans="1:26" ht="74.25" hidden="1" customHeight="1">
      <c r="A180" s="1320" t="s">
        <v>1026</v>
      </c>
      <c r="B180" s="900" t="s">
        <v>769</v>
      </c>
      <c r="C180" s="871">
        <f t="shared" si="19"/>
        <v>21489</v>
      </c>
      <c r="D180" s="972">
        <v>0</v>
      </c>
      <c r="E180" s="972">
        <v>21489</v>
      </c>
      <c r="F180" s="1325">
        <f t="shared" si="20"/>
        <v>21489</v>
      </c>
      <c r="G180" s="1327">
        <f t="shared" si="25"/>
        <v>0</v>
      </c>
      <c r="H180" s="1327">
        <f t="shared" si="25"/>
        <v>21489</v>
      </c>
      <c r="I180" s="1325">
        <f t="shared" si="21"/>
        <v>0</v>
      </c>
      <c r="J180" s="1326">
        <v>0</v>
      </c>
      <c r="K180" s="1326">
        <v>0</v>
      </c>
      <c r="L180" s="876">
        <f t="shared" si="28"/>
        <v>0</v>
      </c>
      <c r="M180" s="877">
        <f t="shared" si="28"/>
        <v>0</v>
      </c>
      <c r="N180" s="877">
        <f t="shared" si="28"/>
        <v>0</v>
      </c>
      <c r="O180" s="1214" t="s">
        <v>1301</v>
      </c>
      <c r="P180" s="1214" t="s">
        <v>1264</v>
      </c>
      <c r="Q180" s="1065">
        <f>C180-F180</f>
        <v>0</v>
      </c>
      <c r="R180" s="1065">
        <f t="shared" ref="Q180:S195" si="29">D180-G180</f>
        <v>0</v>
      </c>
      <c r="S180" s="1065">
        <f t="shared" si="29"/>
        <v>0</v>
      </c>
      <c r="T180" s="1099" t="s">
        <v>872</v>
      </c>
      <c r="U180" s="1100">
        <v>1130390420</v>
      </c>
      <c r="V180" s="1099">
        <v>414</v>
      </c>
      <c r="W180" s="1099">
        <v>14053</v>
      </c>
      <c r="Z180" s="1311">
        <f t="shared" si="24"/>
        <v>0</v>
      </c>
    </row>
    <row r="181" spans="1:26" s="736" customFormat="1" ht="27.75" hidden="1">
      <c r="A181" s="1320" t="s">
        <v>935</v>
      </c>
      <c r="B181" s="900" t="s">
        <v>692</v>
      </c>
      <c r="C181" s="871">
        <f>SUM(D181:E181)</f>
        <v>22300</v>
      </c>
      <c r="D181" s="972">
        <f>22300*0.9396914446</f>
        <v>20955.099999999999</v>
      </c>
      <c r="E181" s="972">
        <f>22300*(1-0.9396914446)</f>
        <v>1344.9</v>
      </c>
      <c r="F181" s="1325">
        <f>SUM(G181:H181)</f>
        <v>22300</v>
      </c>
      <c r="G181" s="1327">
        <f t="shared" si="25"/>
        <v>20955.099999999999</v>
      </c>
      <c r="H181" s="1327">
        <f t="shared" si="25"/>
        <v>1344.9</v>
      </c>
      <c r="I181" s="2463">
        <f>SUM(J181:K181)</f>
        <v>0</v>
      </c>
      <c r="J181" s="2464">
        <v>0</v>
      </c>
      <c r="K181" s="2464">
        <v>0</v>
      </c>
      <c r="L181" s="2467">
        <f>IF(I181=0,0,I181/F181:F182*100)</f>
        <v>0</v>
      </c>
      <c r="M181" s="2462">
        <f>IF(J181=0,0,J181/G181:G182*100)</f>
        <v>0</v>
      </c>
      <c r="N181" s="2462">
        <f>IF(K181=0,0,K181/H181:H182*100)</f>
        <v>0</v>
      </c>
      <c r="O181" s="2460" t="s">
        <v>1192</v>
      </c>
      <c r="P181" s="2460" t="s">
        <v>1265</v>
      </c>
      <c r="Q181" s="1065">
        <f>C181-F181</f>
        <v>0</v>
      </c>
      <c r="R181" s="1065">
        <f t="shared" si="29"/>
        <v>0</v>
      </c>
      <c r="S181" s="1065">
        <f t="shared" si="29"/>
        <v>0</v>
      </c>
      <c r="T181" s="2409" t="s">
        <v>874</v>
      </c>
      <c r="U181" s="2445" t="s">
        <v>875</v>
      </c>
      <c r="V181" s="2409">
        <v>414</v>
      </c>
      <c r="W181" s="2409" t="s">
        <v>876</v>
      </c>
      <c r="X181" s="2468"/>
      <c r="Z181" s="1311">
        <f t="shared" si="24"/>
        <v>0</v>
      </c>
    </row>
    <row r="182" spans="1:26" s="736" customFormat="1" ht="27.75" hidden="1">
      <c r="A182" s="1320" t="s">
        <v>1027</v>
      </c>
      <c r="B182" s="900" t="s">
        <v>691</v>
      </c>
      <c r="C182" s="871">
        <f t="shared" si="19"/>
        <v>49000</v>
      </c>
      <c r="D182" s="972">
        <f>49000*0.9396914446</f>
        <v>46044.9</v>
      </c>
      <c r="E182" s="972">
        <f>49000*(1-0.9396914446)</f>
        <v>2955.1</v>
      </c>
      <c r="F182" s="1325">
        <f t="shared" si="20"/>
        <v>49000</v>
      </c>
      <c r="G182" s="1327">
        <f t="shared" si="25"/>
        <v>46044.9</v>
      </c>
      <c r="H182" s="1327">
        <f t="shared" si="25"/>
        <v>2955.1</v>
      </c>
      <c r="I182" s="2463"/>
      <c r="J182" s="2464"/>
      <c r="K182" s="2464"/>
      <c r="L182" s="2467"/>
      <c r="M182" s="2462"/>
      <c r="N182" s="2462"/>
      <c r="O182" s="2461"/>
      <c r="P182" s="2461"/>
      <c r="Q182" s="1065">
        <f t="shared" si="29"/>
        <v>0</v>
      </c>
      <c r="R182" s="1065">
        <f t="shared" si="29"/>
        <v>0</v>
      </c>
      <c r="S182" s="1065">
        <f t="shared" si="29"/>
        <v>0</v>
      </c>
      <c r="T182" s="2409"/>
      <c r="U182" s="2445"/>
      <c r="V182" s="2409"/>
      <c r="W182" s="2409"/>
      <c r="X182" s="2468"/>
      <c r="Z182" s="1311">
        <f t="shared" si="24"/>
        <v>0</v>
      </c>
    </row>
    <row r="183" spans="1:26" s="736" customFormat="1" ht="70.5" hidden="1" customHeight="1">
      <c r="A183" s="1320" t="s">
        <v>1320</v>
      </c>
      <c r="B183" s="955" t="s">
        <v>767</v>
      </c>
      <c r="C183" s="871">
        <f t="shared" si="19"/>
        <v>5777.1</v>
      </c>
      <c r="D183" s="1249">
        <v>0</v>
      </c>
      <c r="E183" s="1249">
        <v>5777.1</v>
      </c>
      <c r="F183" s="1325">
        <f t="shared" si="20"/>
        <v>5777.1</v>
      </c>
      <c r="G183" s="1327">
        <f t="shared" si="25"/>
        <v>0</v>
      </c>
      <c r="H183" s="1327">
        <f t="shared" si="25"/>
        <v>5777.1</v>
      </c>
      <c r="I183" s="1325">
        <f t="shared" si="21"/>
        <v>0</v>
      </c>
      <c r="J183" s="1327">
        <v>0</v>
      </c>
      <c r="K183" s="1327">
        <v>0</v>
      </c>
      <c r="L183" s="876">
        <f>IF(I183=0,0,I183/F183*100)</f>
        <v>0</v>
      </c>
      <c r="M183" s="877">
        <f>IF(J183=0,0,J183/G183*100)</f>
        <v>0</v>
      </c>
      <c r="N183" s="877">
        <f>IF(K183=0,0,K183/H183*100)</f>
        <v>0</v>
      </c>
      <c r="O183" s="1214" t="s">
        <v>1302</v>
      </c>
      <c r="P183" s="1214" t="s">
        <v>1266</v>
      </c>
      <c r="Q183" s="1065">
        <f>C183-F183</f>
        <v>0</v>
      </c>
      <c r="R183" s="1065">
        <f t="shared" si="29"/>
        <v>0</v>
      </c>
      <c r="S183" s="1065">
        <f t="shared" si="29"/>
        <v>0</v>
      </c>
      <c r="T183" s="1099" t="s">
        <v>872</v>
      </c>
      <c r="U183" s="1100">
        <v>1130490420</v>
      </c>
      <c r="V183" s="1099">
        <v>414</v>
      </c>
      <c r="W183" s="1099">
        <v>14007</v>
      </c>
      <c r="X183" s="1216"/>
      <c r="Z183" s="1311">
        <f t="shared" si="24"/>
        <v>0</v>
      </c>
    </row>
    <row r="184" spans="1:26" s="736" customFormat="1" ht="37.5" hidden="1" customHeight="1">
      <c r="A184" s="1320" t="s">
        <v>1321</v>
      </c>
      <c r="B184" s="955" t="s">
        <v>763</v>
      </c>
      <c r="C184" s="871">
        <f t="shared" si="19"/>
        <v>32800</v>
      </c>
      <c r="D184" s="1249">
        <v>30832</v>
      </c>
      <c r="E184" s="1249">
        <v>1968</v>
      </c>
      <c r="F184" s="1325">
        <f t="shared" si="20"/>
        <v>32800</v>
      </c>
      <c r="G184" s="1327">
        <f t="shared" si="25"/>
        <v>30832</v>
      </c>
      <c r="H184" s="1327">
        <f t="shared" si="25"/>
        <v>1968</v>
      </c>
      <c r="I184" s="2463">
        <f>SUM(J184:K186)</f>
        <v>0</v>
      </c>
      <c r="J184" s="2466">
        <v>0</v>
      </c>
      <c r="K184" s="2466">
        <v>0</v>
      </c>
      <c r="L184" s="2467">
        <f>IF(I184=0,0,I184/F184:F186*100)</f>
        <v>0</v>
      </c>
      <c r="M184" s="2462">
        <f>IF(J184=0,0,J184/G184:G186*100)</f>
        <v>0</v>
      </c>
      <c r="N184" s="2462">
        <f>IF(K184=0,0,K184/H184:H186*100)</f>
        <v>0</v>
      </c>
      <c r="O184" s="1214" t="s">
        <v>1267</v>
      </c>
      <c r="P184" s="1214" t="s">
        <v>1219</v>
      </c>
      <c r="Q184" s="1065">
        <f t="shared" si="29"/>
        <v>0</v>
      </c>
      <c r="R184" s="1065">
        <f t="shared" si="29"/>
        <v>0</v>
      </c>
      <c r="S184" s="1065">
        <f t="shared" si="29"/>
        <v>0</v>
      </c>
      <c r="T184" s="2409" t="s">
        <v>872</v>
      </c>
      <c r="U184" s="2445" t="s">
        <v>878</v>
      </c>
      <c r="V184" s="2409">
        <v>414</v>
      </c>
      <c r="W184" s="2409" t="s">
        <v>879</v>
      </c>
      <c r="X184" s="2465"/>
      <c r="Z184" s="1311">
        <f t="shared" si="24"/>
        <v>0</v>
      </c>
    </row>
    <row r="185" spans="1:26" s="736" customFormat="1" ht="37.5" hidden="1" customHeight="1">
      <c r="A185" s="895">
        <v>119</v>
      </c>
      <c r="B185" s="955" t="s">
        <v>765</v>
      </c>
      <c r="C185" s="871">
        <f t="shared" si="19"/>
        <v>1200</v>
      </c>
      <c r="D185" s="1249">
        <v>1128</v>
      </c>
      <c r="E185" s="1249">
        <v>72</v>
      </c>
      <c r="F185" s="1325">
        <f t="shared" si="20"/>
        <v>1200</v>
      </c>
      <c r="G185" s="1327">
        <f t="shared" si="25"/>
        <v>1128</v>
      </c>
      <c r="H185" s="1327">
        <f t="shared" si="25"/>
        <v>72</v>
      </c>
      <c r="I185" s="2463"/>
      <c r="J185" s="2466"/>
      <c r="K185" s="2466"/>
      <c r="L185" s="2467"/>
      <c r="M185" s="2462"/>
      <c r="N185" s="2462"/>
      <c r="O185" s="1214" t="s">
        <v>1192</v>
      </c>
      <c r="P185" s="1214" t="s">
        <v>1219</v>
      </c>
      <c r="Q185" s="1065">
        <f t="shared" si="29"/>
        <v>0</v>
      </c>
      <c r="R185" s="1065">
        <f t="shared" si="29"/>
        <v>0</v>
      </c>
      <c r="S185" s="1065">
        <f t="shared" si="29"/>
        <v>0</v>
      </c>
      <c r="T185" s="2409"/>
      <c r="U185" s="2445"/>
      <c r="V185" s="2409"/>
      <c r="W185" s="2409"/>
      <c r="X185" s="2465"/>
      <c r="Z185" s="1311">
        <f t="shared" si="24"/>
        <v>0</v>
      </c>
    </row>
    <row r="186" spans="1:26" s="736" customFormat="1" ht="37.5" hidden="1" customHeight="1">
      <c r="A186" s="895">
        <v>120</v>
      </c>
      <c r="B186" s="955" t="s">
        <v>766</v>
      </c>
      <c r="C186" s="871">
        <f t="shared" si="19"/>
        <v>1500</v>
      </c>
      <c r="D186" s="1249">
        <v>1410</v>
      </c>
      <c r="E186" s="1249">
        <v>90</v>
      </c>
      <c r="F186" s="1325">
        <f t="shared" si="20"/>
        <v>1500</v>
      </c>
      <c r="G186" s="1327">
        <f t="shared" si="25"/>
        <v>1410</v>
      </c>
      <c r="H186" s="1327">
        <f t="shared" si="25"/>
        <v>90</v>
      </c>
      <c r="I186" s="2463"/>
      <c r="J186" s="2466"/>
      <c r="K186" s="2466"/>
      <c r="L186" s="2467"/>
      <c r="M186" s="2462"/>
      <c r="N186" s="2462"/>
      <c r="O186" s="1214" t="s">
        <v>1267</v>
      </c>
      <c r="P186" s="1214" t="s">
        <v>1219</v>
      </c>
      <c r="Q186" s="1065">
        <f t="shared" si="29"/>
        <v>0</v>
      </c>
      <c r="R186" s="1065">
        <f t="shared" si="29"/>
        <v>0</v>
      </c>
      <c r="S186" s="1065">
        <f t="shared" si="29"/>
        <v>0</v>
      </c>
      <c r="T186" s="2409"/>
      <c r="U186" s="2445"/>
      <c r="V186" s="2409"/>
      <c r="W186" s="2409"/>
      <c r="X186" s="2465"/>
      <c r="Z186" s="1311">
        <f t="shared" si="24"/>
        <v>0</v>
      </c>
    </row>
    <row r="187" spans="1:26" s="736" customFormat="1" ht="54.75" hidden="1" customHeight="1">
      <c r="A187" s="1320" t="s">
        <v>1323</v>
      </c>
      <c r="B187" s="900" t="s">
        <v>463</v>
      </c>
      <c r="C187" s="871">
        <f t="shared" si="19"/>
        <v>19846.5</v>
      </c>
      <c r="D187" s="972">
        <f>18651.8+3.79</f>
        <v>18655.599999999999</v>
      </c>
      <c r="E187" s="972">
        <f>1190.7+0.2</f>
        <v>1190.9000000000001</v>
      </c>
      <c r="F187" s="1325">
        <f t="shared" si="20"/>
        <v>19846.5</v>
      </c>
      <c r="G187" s="1327">
        <f t="shared" si="25"/>
        <v>18655.599999999999</v>
      </c>
      <c r="H187" s="1327">
        <f t="shared" si="25"/>
        <v>1190.9000000000001</v>
      </c>
      <c r="I187" s="1325">
        <f t="shared" ref="I187:I222" si="30">SUM(J187:K187)</f>
        <v>30</v>
      </c>
      <c r="J187" s="1326">
        <v>28.2</v>
      </c>
      <c r="K187" s="1326">
        <v>1.8</v>
      </c>
      <c r="L187" s="876">
        <f t="shared" ref="L187:N225" si="31">IF(I187=0,0,I187/F187*100)</f>
        <v>0.2</v>
      </c>
      <c r="M187" s="877">
        <f t="shared" si="31"/>
        <v>0.2</v>
      </c>
      <c r="N187" s="877">
        <f t="shared" si="31"/>
        <v>0.2</v>
      </c>
      <c r="O187" s="1214" t="s">
        <v>1303</v>
      </c>
      <c r="P187" s="1214" t="s">
        <v>1268</v>
      </c>
      <c r="Q187" s="1065">
        <f t="shared" si="29"/>
        <v>0</v>
      </c>
      <c r="R187" s="1065">
        <f t="shared" si="29"/>
        <v>0</v>
      </c>
      <c r="S187" s="1065">
        <f t="shared" si="29"/>
        <v>0</v>
      </c>
      <c r="T187" s="1099" t="s">
        <v>923</v>
      </c>
      <c r="U187" s="1100" t="s">
        <v>924</v>
      </c>
      <c r="V187" s="1099">
        <v>414</v>
      </c>
      <c r="W187" s="1099" t="s">
        <v>922</v>
      </c>
      <c r="X187" s="1216"/>
      <c r="Z187" s="1311">
        <f t="shared" si="24"/>
        <v>0</v>
      </c>
    </row>
    <row r="188" spans="1:26" s="736" customFormat="1" ht="60" hidden="1" customHeight="1">
      <c r="A188" s="1320" t="s">
        <v>855</v>
      </c>
      <c r="B188" s="900" t="s">
        <v>592</v>
      </c>
      <c r="C188" s="871">
        <f t="shared" si="19"/>
        <v>28317.1</v>
      </c>
      <c r="D188" s="972">
        <f>11848.8+14769.21</f>
        <v>26618</v>
      </c>
      <c r="E188" s="972">
        <f>756.4+942.7</f>
        <v>1699.1</v>
      </c>
      <c r="F188" s="1325">
        <f t="shared" si="20"/>
        <v>28317.1</v>
      </c>
      <c r="G188" s="1327">
        <f t="shared" si="25"/>
        <v>26618</v>
      </c>
      <c r="H188" s="1327">
        <f t="shared" si="25"/>
        <v>1699.1</v>
      </c>
      <c r="I188" s="1325">
        <f t="shared" si="30"/>
        <v>0</v>
      </c>
      <c r="J188" s="1326">
        <v>0</v>
      </c>
      <c r="K188" s="1326">
        <v>0</v>
      </c>
      <c r="L188" s="876">
        <f t="shared" si="31"/>
        <v>0</v>
      </c>
      <c r="M188" s="877">
        <f t="shared" si="31"/>
        <v>0</v>
      </c>
      <c r="N188" s="877">
        <f t="shared" si="31"/>
        <v>0</v>
      </c>
      <c r="O188" s="1214" t="s">
        <v>1192</v>
      </c>
      <c r="P188" s="1214" t="s">
        <v>1253</v>
      </c>
      <c r="Q188" s="1065">
        <f t="shared" si="29"/>
        <v>0</v>
      </c>
      <c r="R188" s="1065">
        <f t="shared" si="29"/>
        <v>0</v>
      </c>
      <c r="S188" s="1065">
        <f t="shared" si="29"/>
        <v>0</v>
      </c>
      <c r="T188" s="1099" t="s">
        <v>923</v>
      </c>
      <c r="U188" s="1100" t="s">
        <v>925</v>
      </c>
      <c r="V188" s="1099">
        <v>414</v>
      </c>
      <c r="W188" s="1099" t="s">
        <v>922</v>
      </c>
      <c r="X188" s="1216"/>
      <c r="Z188" s="1311">
        <f t="shared" si="24"/>
        <v>0</v>
      </c>
    </row>
    <row r="189" spans="1:26" s="736" customFormat="1" ht="69.75" hidden="1">
      <c r="A189" s="1320" t="s">
        <v>856</v>
      </c>
      <c r="B189" s="900" t="s">
        <v>776</v>
      </c>
      <c r="C189" s="871">
        <f t="shared" si="19"/>
        <v>29452.3</v>
      </c>
      <c r="D189" s="972">
        <v>27685.1</v>
      </c>
      <c r="E189" s="972">
        <v>1767.2</v>
      </c>
      <c r="F189" s="1325">
        <f t="shared" si="20"/>
        <v>29452.3</v>
      </c>
      <c r="G189" s="1327">
        <f t="shared" si="25"/>
        <v>27685.1</v>
      </c>
      <c r="H189" s="1327">
        <f t="shared" si="25"/>
        <v>1767.2</v>
      </c>
      <c r="I189" s="1325">
        <f t="shared" si="30"/>
        <v>0</v>
      </c>
      <c r="J189" s="1326">
        <v>0</v>
      </c>
      <c r="K189" s="1326">
        <v>0</v>
      </c>
      <c r="L189" s="876">
        <f t="shared" si="31"/>
        <v>0</v>
      </c>
      <c r="M189" s="877">
        <f t="shared" si="31"/>
        <v>0</v>
      </c>
      <c r="N189" s="877">
        <f t="shared" si="31"/>
        <v>0</v>
      </c>
      <c r="O189" s="1214" t="s">
        <v>1192</v>
      </c>
      <c r="P189" s="1214" t="s">
        <v>1269</v>
      </c>
      <c r="Q189" s="1065">
        <f t="shared" si="29"/>
        <v>0</v>
      </c>
      <c r="R189" s="1065">
        <f t="shared" si="29"/>
        <v>0</v>
      </c>
      <c r="S189" s="1065">
        <f t="shared" si="29"/>
        <v>0</v>
      </c>
      <c r="T189" s="1099" t="s">
        <v>920</v>
      </c>
      <c r="U189" s="1100" t="s">
        <v>921</v>
      </c>
      <c r="V189" s="1099">
        <v>414</v>
      </c>
      <c r="W189" s="1099" t="s">
        <v>922</v>
      </c>
      <c r="X189" s="1216"/>
      <c r="Z189" s="1311">
        <f t="shared" si="24"/>
        <v>0</v>
      </c>
    </row>
    <row r="190" spans="1:26" s="736" customFormat="1" ht="78.75" hidden="1">
      <c r="A190" s="2442" t="s">
        <v>857</v>
      </c>
      <c r="B190" s="901" t="s">
        <v>638</v>
      </c>
      <c r="C190" s="871">
        <f t="shared" si="19"/>
        <v>15520</v>
      </c>
      <c r="D190" s="972">
        <v>0</v>
      </c>
      <c r="E190" s="972">
        <v>15520</v>
      </c>
      <c r="F190" s="1325">
        <f t="shared" si="20"/>
        <v>15520</v>
      </c>
      <c r="G190" s="1327">
        <f t="shared" si="25"/>
        <v>0</v>
      </c>
      <c r="H190" s="1327">
        <f t="shared" si="25"/>
        <v>15520</v>
      </c>
      <c r="I190" s="1325">
        <f t="shared" si="30"/>
        <v>0</v>
      </c>
      <c r="J190" s="1326">
        <v>0</v>
      </c>
      <c r="K190" s="1326">
        <v>0</v>
      </c>
      <c r="L190" s="876">
        <f t="shared" si="31"/>
        <v>0</v>
      </c>
      <c r="M190" s="877">
        <f t="shared" si="31"/>
        <v>0</v>
      </c>
      <c r="N190" s="877">
        <f t="shared" si="31"/>
        <v>0</v>
      </c>
      <c r="O190" s="1214" t="s">
        <v>1304</v>
      </c>
      <c r="P190" s="1214" t="s">
        <v>1270</v>
      </c>
      <c r="Q190" s="1065">
        <f t="shared" si="29"/>
        <v>0</v>
      </c>
      <c r="R190" s="1065">
        <f t="shared" si="29"/>
        <v>0</v>
      </c>
      <c r="S190" s="1065">
        <f t="shared" si="29"/>
        <v>0</v>
      </c>
      <c r="T190" s="1099" t="s">
        <v>928</v>
      </c>
      <c r="U190" s="1100" t="s">
        <v>929</v>
      </c>
      <c r="V190" s="1099">
        <v>414</v>
      </c>
      <c r="W190" s="1099">
        <v>14003</v>
      </c>
      <c r="X190" s="1216"/>
      <c r="Z190" s="1311">
        <f t="shared" si="24"/>
        <v>0</v>
      </c>
    </row>
    <row r="191" spans="1:26" s="736" customFormat="1" ht="67.5" hidden="1" customHeight="1">
      <c r="A191" s="2442"/>
      <c r="B191" s="990" t="s">
        <v>694</v>
      </c>
      <c r="C191" s="871">
        <f t="shared" si="19"/>
        <v>251200</v>
      </c>
      <c r="D191" s="972">
        <v>236128</v>
      </c>
      <c r="E191" s="972">
        <v>15072</v>
      </c>
      <c r="F191" s="1325">
        <f t="shared" si="20"/>
        <v>251200</v>
      </c>
      <c r="G191" s="1327">
        <f t="shared" si="25"/>
        <v>236128</v>
      </c>
      <c r="H191" s="1327">
        <f t="shared" si="25"/>
        <v>15072</v>
      </c>
      <c r="I191" s="1325">
        <f t="shared" si="30"/>
        <v>0</v>
      </c>
      <c r="J191" s="1326">
        <v>0</v>
      </c>
      <c r="K191" s="1326">
        <v>0</v>
      </c>
      <c r="L191" s="876">
        <f t="shared" si="31"/>
        <v>0</v>
      </c>
      <c r="M191" s="877">
        <f t="shared" si="31"/>
        <v>0</v>
      </c>
      <c r="N191" s="877">
        <f t="shared" si="31"/>
        <v>0</v>
      </c>
      <c r="O191" s="1214" t="s">
        <v>1192</v>
      </c>
      <c r="P191" s="1214" t="s">
        <v>1271</v>
      </c>
      <c r="Q191" s="1065">
        <f t="shared" si="29"/>
        <v>0</v>
      </c>
      <c r="R191" s="1065">
        <f t="shared" si="29"/>
        <v>0</v>
      </c>
      <c r="S191" s="1065">
        <f t="shared" si="29"/>
        <v>0</v>
      </c>
      <c r="T191" s="1099" t="s">
        <v>928</v>
      </c>
      <c r="U191" s="1100" t="s">
        <v>931</v>
      </c>
      <c r="V191" s="1099">
        <v>414</v>
      </c>
      <c r="W191" s="1099" t="s">
        <v>930</v>
      </c>
      <c r="X191" s="1216"/>
      <c r="Z191" s="1311">
        <f t="shared" si="24"/>
        <v>0</v>
      </c>
    </row>
    <row r="192" spans="1:26" s="736" customFormat="1" ht="87.75" hidden="1" customHeight="1">
      <c r="A192" s="2442" t="s">
        <v>858</v>
      </c>
      <c r="B192" s="900" t="s">
        <v>646</v>
      </c>
      <c r="C192" s="871">
        <f t="shared" si="19"/>
        <v>7500</v>
      </c>
      <c r="D192" s="1249">
        <v>0</v>
      </c>
      <c r="E192" s="1249">
        <v>7500</v>
      </c>
      <c r="F192" s="1325">
        <f t="shared" si="20"/>
        <v>7500</v>
      </c>
      <c r="G192" s="1327">
        <f t="shared" si="25"/>
        <v>0</v>
      </c>
      <c r="H192" s="1327">
        <f t="shared" si="25"/>
        <v>7500</v>
      </c>
      <c r="I192" s="1325">
        <f t="shared" si="30"/>
        <v>2235</v>
      </c>
      <c r="J192" s="1327">
        <v>0</v>
      </c>
      <c r="K192" s="1327">
        <v>2235</v>
      </c>
      <c r="L192" s="876">
        <f t="shared" si="31"/>
        <v>29.8</v>
      </c>
      <c r="M192" s="877">
        <f t="shared" si="31"/>
        <v>0</v>
      </c>
      <c r="N192" s="877">
        <f t="shared" si="31"/>
        <v>29.8</v>
      </c>
      <c r="O192" s="1214" t="s">
        <v>1272</v>
      </c>
      <c r="P192" s="1214" t="s">
        <v>1273</v>
      </c>
      <c r="Q192" s="1065">
        <f t="shared" si="29"/>
        <v>0</v>
      </c>
      <c r="R192" s="1065">
        <f t="shared" si="29"/>
        <v>0</v>
      </c>
      <c r="S192" s="1065">
        <f t="shared" si="29"/>
        <v>0</v>
      </c>
      <c r="T192" s="1099" t="s">
        <v>928</v>
      </c>
      <c r="U192" s="1100" t="s">
        <v>929</v>
      </c>
      <c r="V192" s="1099">
        <v>414</v>
      </c>
      <c r="W192" s="1099">
        <v>14036</v>
      </c>
      <c r="X192" s="1216"/>
      <c r="Z192" s="1311">
        <f t="shared" si="24"/>
        <v>0</v>
      </c>
    </row>
    <row r="193" spans="1:26" s="736" customFormat="1" ht="61.5" hidden="1" customHeight="1">
      <c r="A193" s="2442"/>
      <c r="B193" s="990" t="s">
        <v>695</v>
      </c>
      <c r="C193" s="871">
        <f t="shared" si="19"/>
        <v>142468</v>
      </c>
      <c r="D193" s="972">
        <v>133919.9</v>
      </c>
      <c r="E193" s="972">
        <v>8548.1</v>
      </c>
      <c r="F193" s="1325">
        <f t="shared" si="20"/>
        <v>142468</v>
      </c>
      <c r="G193" s="1327">
        <f t="shared" si="25"/>
        <v>133919.9</v>
      </c>
      <c r="H193" s="1327">
        <f t="shared" si="25"/>
        <v>8548.1</v>
      </c>
      <c r="I193" s="1325">
        <f t="shared" si="30"/>
        <v>0</v>
      </c>
      <c r="J193" s="1326">
        <v>0</v>
      </c>
      <c r="K193" s="1326">
        <v>0</v>
      </c>
      <c r="L193" s="876">
        <f t="shared" si="31"/>
        <v>0</v>
      </c>
      <c r="M193" s="877">
        <f t="shared" si="31"/>
        <v>0</v>
      </c>
      <c r="N193" s="877">
        <f t="shared" si="31"/>
        <v>0</v>
      </c>
      <c r="O193" s="1214" t="s">
        <v>1192</v>
      </c>
      <c r="P193" s="1214" t="s">
        <v>1274</v>
      </c>
      <c r="Q193" s="1065">
        <f t="shared" si="29"/>
        <v>0</v>
      </c>
      <c r="R193" s="1065">
        <f t="shared" si="29"/>
        <v>0</v>
      </c>
      <c r="S193" s="1065">
        <f t="shared" si="29"/>
        <v>0</v>
      </c>
      <c r="T193" s="1099" t="s">
        <v>928</v>
      </c>
      <c r="U193" s="1100" t="s">
        <v>1030</v>
      </c>
      <c r="V193" s="1099">
        <v>414</v>
      </c>
      <c r="W193" s="1099" t="s">
        <v>930</v>
      </c>
      <c r="X193" s="1216"/>
      <c r="Z193" s="1311">
        <f t="shared" si="24"/>
        <v>0</v>
      </c>
    </row>
    <row r="194" spans="1:26" s="736" customFormat="1" ht="93" hidden="1">
      <c r="A194" s="2442" t="s">
        <v>859</v>
      </c>
      <c r="B194" s="1078" t="s">
        <v>642</v>
      </c>
      <c r="C194" s="871">
        <f t="shared" si="19"/>
        <v>6308.4</v>
      </c>
      <c r="D194" s="972">
        <v>0</v>
      </c>
      <c r="E194" s="972">
        <v>6308.4</v>
      </c>
      <c r="F194" s="1325">
        <f t="shared" si="20"/>
        <v>6308.4</v>
      </c>
      <c r="G194" s="1327">
        <f t="shared" si="25"/>
        <v>0</v>
      </c>
      <c r="H194" s="1327">
        <f t="shared" si="25"/>
        <v>6308.4</v>
      </c>
      <c r="I194" s="1325">
        <f t="shared" si="30"/>
        <v>0</v>
      </c>
      <c r="J194" s="1326">
        <v>0</v>
      </c>
      <c r="K194" s="1326">
        <v>0</v>
      </c>
      <c r="L194" s="876">
        <f t="shared" si="31"/>
        <v>0</v>
      </c>
      <c r="M194" s="877">
        <f t="shared" si="31"/>
        <v>0</v>
      </c>
      <c r="N194" s="877">
        <f t="shared" si="31"/>
        <v>0</v>
      </c>
      <c r="O194" s="1214" t="s">
        <v>1305</v>
      </c>
      <c r="P194" s="1214" t="s">
        <v>1275</v>
      </c>
      <c r="Q194" s="1065">
        <f t="shared" si="29"/>
        <v>0</v>
      </c>
      <c r="R194" s="1065">
        <f t="shared" si="29"/>
        <v>0</v>
      </c>
      <c r="S194" s="1065">
        <f t="shared" si="29"/>
        <v>0</v>
      </c>
      <c r="T194" s="1099" t="s">
        <v>945</v>
      </c>
      <c r="U194" s="1100" t="s">
        <v>946</v>
      </c>
      <c r="V194" s="1099">
        <v>414</v>
      </c>
      <c r="W194" s="1099">
        <v>14001</v>
      </c>
      <c r="X194" s="1216"/>
      <c r="Z194" s="1311">
        <f t="shared" si="24"/>
        <v>0</v>
      </c>
    </row>
    <row r="195" spans="1:26" s="736" customFormat="1" ht="64.5" hidden="1" customHeight="1">
      <c r="A195" s="2442"/>
      <c r="B195" s="990" t="s">
        <v>698</v>
      </c>
      <c r="C195" s="871">
        <f t="shared" ref="C195:C222" si="32">SUM(D195:E195)</f>
        <v>96270.7</v>
      </c>
      <c r="D195" s="972">
        <v>90460.9</v>
      </c>
      <c r="E195" s="1258">
        <v>5809.75</v>
      </c>
      <c r="F195" s="1325">
        <f t="shared" ref="F195:F222" si="33">SUM(G195:H195)</f>
        <v>96270.7</v>
      </c>
      <c r="G195" s="1327">
        <f t="shared" si="25"/>
        <v>90460.9</v>
      </c>
      <c r="H195" s="1327">
        <f t="shared" si="25"/>
        <v>5809.8</v>
      </c>
      <c r="I195" s="1325">
        <f t="shared" si="30"/>
        <v>0</v>
      </c>
      <c r="J195" s="1326">
        <v>0</v>
      </c>
      <c r="K195" s="1326">
        <v>0</v>
      </c>
      <c r="L195" s="876">
        <f t="shared" si="31"/>
        <v>0</v>
      </c>
      <c r="M195" s="877">
        <f t="shared" si="31"/>
        <v>0</v>
      </c>
      <c r="N195" s="877">
        <f t="shared" si="31"/>
        <v>0</v>
      </c>
      <c r="O195" s="1214" t="s">
        <v>1192</v>
      </c>
      <c r="P195" s="1214" t="s">
        <v>1276</v>
      </c>
      <c r="Q195" s="1065">
        <f t="shared" si="29"/>
        <v>0</v>
      </c>
      <c r="R195" s="1065">
        <f t="shared" si="29"/>
        <v>0</v>
      </c>
      <c r="S195" s="1065">
        <f t="shared" si="29"/>
        <v>-0.1</v>
      </c>
      <c r="T195" s="1130" t="s">
        <v>936</v>
      </c>
      <c r="U195" s="1100" t="s">
        <v>940</v>
      </c>
      <c r="V195" s="1099">
        <v>414</v>
      </c>
      <c r="W195" s="1099" t="s">
        <v>939</v>
      </c>
      <c r="X195" s="1216"/>
      <c r="Z195" s="1311">
        <f t="shared" si="24"/>
        <v>0</v>
      </c>
    </row>
    <row r="196" spans="1:26" s="736" customFormat="1" ht="52.5" hidden="1" customHeight="1">
      <c r="A196" s="1320" t="s">
        <v>917</v>
      </c>
      <c r="B196" s="990" t="s">
        <v>697</v>
      </c>
      <c r="C196" s="871">
        <f t="shared" si="32"/>
        <v>150000</v>
      </c>
      <c r="D196" s="972">
        <v>140955</v>
      </c>
      <c r="E196" s="972">
        <v>9045</v>
      </c>
      <c r="F196" s="1325">
        <f t="shared" si="33"/>
        <v>150000</v>
      </c>
      <c r="G196" s="1327">
        <f t="shared" si="25"/>
        <v>140955</v>
      </c>
      <c r="H196" s="1327">
        <f t="shared" si="25"/>
        <v>9045</v>
      </c>
      <c r="I196" s="1325">
        <f t="shared" si="30"/>
        <v>26308</v>
      </c>
      <c r="J196" s="1326">
        <v>24721.3</v>
      </c>
      <c r="K196" s="1326">
        <v>1586.7</v>
      </c>
      <c r="L196" s="876">
        <f t="shared" si="31"/>
        <v>17.5</v>
      </c>
      <c r="M196" s="877">
        <f t="shared" si="31"/>
        <v>17.5</v>
      </c>
      <c r="N196" s="877">
        <f t="shared" si="31"/>
        <v>17.5</v>
      </c>
      <c r="O196" s="1214" t="s">
        <v>1306</v>
      </c>
      <c r="P196" s="1214" t="s">
        <v>1277</v>
      </c>
      <c r="Q196" s="1065">
        <f t="shared" ref="Q196:S204" si="34">C196-F196</f>
        <v>0</v>
      </c>
      <c r="R196" s="1065">
        <f t="shared" si="34"/>
        <v>0</v>
      </c>
      <c r="S196" s="1065">
        <f t="shared" si="34"/>
        <v>0</v>
      </c>
      <c r="T196" s="1130" t="s">
        <v>936</v>
      </c>
      <c r="U196" s="1100" t="s">
        <v>941</v>
      </c>
      <c r="V196" s="1099">
        <v>414</v>
      </c>
      <c r="W196" s="1099" t="s">
        <v>939</v>
      </c>
      <c r="X196" s="1216"/>
      <c r="Z196" s="1311">
        <f t="shared" si="24"/>
        <v>0</v>
      </c>
    </row>
    <row r="197" spans="1:26" ht="105" hidden="1">
      <c r="A197" s="1320" t="s">
        <v>918</v>
      </c>
      <c r="B197" s="990" t="s">
        <v>942</v>
      </c>
      <c r="C197" s="871">
        <f t="shared" si="32"/>
        <v>34500</v>
      </c>
      <c r="D197" s="972">
        <v>32419.7</v>
      </c>
      <c r="E197" s="972">
        <v>2080.3000000000002</v>
      </c>
      <c r="F197" s="1325">
        <f t="shared" si="33"/>
        <v>34500</v>
      </c>
      <c r="G197" s="1327">
        <f t="shared" si="25"/>
        <v>32419.7</v>
      </c>
      <c r="H197" s="1327">
        <f t="shared" si="25"/>
        <v>2080.3000000000002</v>
      </c>
      <c r="I197" s="1325">
        <f t="shared" si="30"/>
        <v>0</v>
      </c>
      <c r="J197" s="1326">
        <v>0</v>
      </c>
      <c r="K197" s="1326">
        <v>0</v>
      </c>
      <c r="L197" s="876">
        <f t="shared" si="31"/>
        <v>0</v>
      </c>
      <c r="M197" s="877">
        <f t="shared" si="31"/>
        <v>0</v>
      </c>
      <c r="N197" s="877">
        <f t="shared" si="31"/>
        <v>0</v>
      </c>
      <c r="O197" s="1214" t="s">
        <v>1192</v>
      </c>
      <c r="P197" s="1214" t="s">
        <v>1278</v>
      </c>
      <c r="Q197" s="1065">
        <f t="shared" si="34"/>
        <v>0</v>
      </c>
      <c r="R197" s="1065">
        <f t="shared" si="34"/>
        <v>0</v>
      </c>
      <c r="S197" s="1065">
        <f t="shared" si="34"/>
        <v>0</v>
      </c>
      <c r="T197" s="1099" t="s">
        <v>936</v>
      </c>
      <c r="U197" s="1100" t="s">
        <v>943</v>
      </c>
      <c r="V197" s="1099">
        <v>414</v>
      </c>
      <c r="W197" s="1099" t="s">
        <v>939</v>
      </c>
      <c r="Z197" s="1311">
        <f t="shared" si="24"/>
        <v>0</v>
      </c>
    </row>
    <row r="198" spans="1:26" ht="90.75" hidden="1" customHeight="1">
      <c r="A198" s="1320" t="s">
        <v>1028</v>
      </c>
      <c r="B198" s="901" t="s">
        <v>462</v>
      </c>
      <c r="C198" s="871">
        <f t="shared" si="32"/>
        <v>16153.6</v>
      </c>
      <c r="D198" s="972">
        <f>13560+1620.2</f>
        <v>15180.2</v>
      </c>
      <c r="E198" s="972">
        <f>869.4+104</f>
        <v>973.4</v>
      </c>
      <c r="F198" s="1325">
        <f t="shared" si="33"/>
        <v>16153.6</v>
      </c>
      <c r="G198" s="1327">
        <f t="shared" si="25"/>
        <v>15180.2</v>
      </c>
      <c r="H198" s="1327">
        <f t="shared" si="25"/>
        <v>973.4</v>
      </c>
      <c r="I198" s="1325">
        <f t="shared" si="30"/>
        <v>1014.3</v>
      </c>
      <c r="J198" s="1326">
        <v>953.1</v>
      </c>
      <c r="K198" s="1326">
        <v>61.2</v>
      </c>
      <c r="L198" s="876">
        <f t="shared" si="31"/>
        <v>6.3</v>
      </c>
      <c r="M198" s="877">
        <f t="shared" si="31"/>
        <v>6.3</v>
      </c>
      <c r="N198" s="877">
        <f t="shared" si="31"/>
        <v>6.3</v>
      </c>
      <c r="O198" s="1214" t="s">
        <v>1192</v>
      </c>
      <c r="P198" s="1214" t="s">
        <v>1279</v>
      </c>
      <c r="Q198" s="1065">
        <f t="shared" si="34"/>
        <v>0</v>
      </c>
      <c r="R198" s="1065">
        <f t="shared" si="34"/>
        <v>0</v>
      </c>
      <c r="S198" s="1065">
        <f t="shared" si="34"/>
        <v>0</v>
      </c>
      <c r="T198" s="1099" t="s">
        <v>936</v>
      </c>
      <c r="U198" s="1100" t="s">
        <v>938</v>
      </c>
      <c r="V198" s="1099">
        <v>414</v>
      </c>
      <c r="W198" s="1099" t="s">
        <v>939</v>
      </c>
      <c r="Z198" s="1311">
        <f t="shared" si="24"/>
        <v>0</v>
      </c>
    </row>
    <row r="199" spans="1:26" s="515" customFormat="1" ht="60.75" hidden="1" customHeight="1">
      <c r="A199" s="2442" t="s">
        <v>1029</v>
      </c>
      <c r="B199" s="900" t="s">
        <v>700</v>
      </c>
      <c r="C199" s="871">
        <f t="shared" si="32"/>
        <v>18000</v>
      </c>
      <c r="D199" s="972">
        <v>0</v>
      </c>
      <c r="E199" s="972">
        <v>18000</v>
      </c>
      <c r="F199" s="1325">
        <f t="shared" si="33"/>
        <v>18000</v>
      </c>
      <c r="G199" s="1327">
        <f t="shared" si="25"/>
        <v>0</v>
      </c>
      <c r="H199" s="1327">
        <f t="shared" si="25"/>
        <v>18000</v>
      </c>
      <c r="I199" s="1325">
        <f t="shared" si="30"/>
        <v>0</v>
      </c>
      <c r="J199" s="1326">
        <v>0</v>
      </c>
      <c r="K199" s="1326">
        <v>0</v>
      </c>
      <c r="L199" s="876">
        <f t="shared" si="31"/>
        <v>0</v>
      </c>
      <c r="M199" s="877">
        <f t="shared" si="31"/>
        <v>0</v>
      </c>
      <c r="N199" s="877">
        <f t="shared" si="31"/>
        <v>0</v>
      </c>
      <c r="O199" s="1214" t="s">
        <v>1307</v>
      </c>
      <c r="P199" s="1214" t="s">
        <v>1280</v>
      </c>
      <c r="Q199" s="1065">
        <f t="shared" si="34"/>
        <v>0</v>
      </c>
      <c r="R199" s="1065">
        <f t="shared" si="34"/>
        <v>0</v>
      </c>
      <c r="S199" s="1065">
        <f t="shared" si="34"/>
        <v>0</v>
      </c>
      <c r="T199" s="1099" t="s">
        <v>949</v>
      </c>
      <c r="U199" s="1100" t="s">
        <v>950</v>
      </c>
      <c r="V199" s="1099">
        <v>414</v>
      </c>
      <c r="W199" s="1099">
        <v>14052</v>
      </c>
      <c r="X199" s="1220"/>
      <c r="Z199" s="1311">
        <f t="shared" si="24"/>
        <v>0</v>
      </c>
    </row>
    <row r="200" spans="1:26" s="515" customFormat="1" ht="52.5" hidden="1">
      <c r="A200" s="2442"/>
      <c r="B200" s="900" t="s">
        <v>699</v>
      </c>
      <c r="C200" s="871">
        <f t="shared" si="32"/>
        <v>151300</v>
      </c>
      <c r="D200" s="972">
        <v>142200</v>
      </c>
      <c r="E200" s="972">
        <v>9100</v>
      </c>
      <c r="F200" s="1325">
        <f t="shared" si="33"/>
        <v>151300</v>
      </c>
      <c r="G200" s="1327">
        <f t="shared" si="25"/>
        <v>142200</v>
      </c>
      <c r="H200" s="1327">
        <f t="shared" si="25"/>
        <v>9100</v>
      </c>
      <c r="I200" s="1325">
        <f t="shared" si="30"/>
        <v>0</v>
      </c>
      <c r="J200" s="1326">
        <v>0</v>
      </c>
      <c r="K200" s="1326">
        <v>0</v>
      </c>
      <c r="L200" s="876">
        <f t="shared" si="31"/>
        <v>0</v>
      </c>
      <c r="M200" s="877">
        <f t="shared" si="31"/>
        <v>0</v>
      </c>
      <c r="N200" s="877">
        <f t="shared" si="31"/>
        <v>0</v>
      </c>
      <c r="O200" s="1214" t="s">
        <v>1192</v>
      </c>
      <c r="P200" s="1214" t="s">
        <v>1219</v>
      </c>
      <c r="Q200" s="1065">
        <f t="shared" si="34"/>
        <v>0</v>
      </c>
      <c r="R200" s="1065">
        <f t="shared" si="34"/>
        <v>0</v>
      </c>
      <c r="S200" s="1065">
        <f t="shared" si="34"/>
        <v>0</v>
      </c>
      <c r="T200" s="1099" t="s">
        <v>949</v>
      </c>
      <c r="U200" s="1100" t="s">
        <v>952</v>
      </c>
      <c r="V200" s="1099">
        <v>414</v>
      </c>
      <c r="W200" s="1099" t="s">
        <v>953</v>
      </c>
      <c r="X200" s="1220"/>
      <c r="Z200" s="1311">
        <f t="shared" si="24"/>
        <v>0</v>
      </c>
    </row>
    <row r="201" spans="1:26" ht="67.5" hidden="1" customHeight="1">
      <c r="A201" s="1320" t="s">
        <v>1324</v>
      </c>
      <c r="B201" s="900" t="s">
        <v>461</v>
      </c>
      <c r="C201" s="871">
        <f t="shared" si="32"/>
        <v>29999.7</v>
      </c>
      <c r="D201" s="972">
        <f>25201.1+2998.27</f>
        <v>28199.4</v>
      </c>
      <c r="E201" s="972">
        <f>1608.9+191.41</f>
        <v>1800.3</v>
      </c>
      <c r="F201" s="1325">
        <f t="shared" si="33"/>
        <v>29999.7</v>
      </c>
      <c r="G201" s="1327">
        <f t="shared" si="25"/>
        <v>28199.4</v>
      </c>
      <c r="H201" s="1327">
        <f t="shared" si="25"/>
        <v>1800.3</v>
      </c>
      <c r="I201" s="1325">
        <f t="shared" si="30"/>
        <v>442.8</v>
      </c>
      <c r="J201" s="1326">
        <v>416.2</v>
      </c>
      <c r="K201" s="1326">
        <v>26.6</v>
      </c>
      <c r="L201" s="876">
        <f t="shared" si="31"/>
        <v>1.5</v>
      </c>
      <c r="M201" s="877">
        <f t="shared" si="31"/>
        <v>1.5</v>
      </c>
      <c r="N201" s="877">
        <f t="shared" si="31"/>
        <v>1.5</v>
      </c>
      <c r="O201" s="1213" t="s">
        <v>1192</v>
      </c>
      <c r="P201" s="1214" t="s">
        <v>1281</v>
      </c>
      <c r="Q201" s="1065">
        <f t="shared" si="34"/>
        <v>0</v>
      </c>
      <c r="R201" s="1065">
        <f t="shared" si="34"/>
        <v>0</v>
      </c>
      <c r="S201" s="1065">
        <f t="shared" si="34"/>
        <v>0</v>
      </c>
      <c r="T201" s="1099" t="s">
        <v>954</v>
      </c>
      <c r="U201" s="1100" t="s">
        <v>957</v>
      </c>
      <c r="V201" s="1099">
        <v>414</v>
      </c>
      <c r="W201" s="1099" t="s">
        <v>958</v>
      </c>
      <c r="Z201" s="1311">
        <f t="shared" si="24"/>
        <v>0</v>
      </c>
    </row>
    <row r="202" spans="1:26" s="914" customFormat="1" ht="69.75" hidden="1" customHeight="1">
      <c r="A202" s="2401" t="s">
        <v>456</v>
      </c>
      <c r="B202" s="2401"/>
      <c r="C202" s="917">
        <f t="shared" si="32"/>
        <v>1200166.3999999999</v>
      </c>
      <c r="D202" s="917">
        <f>SUM(D203,D222)</f>
        <v>909500</v>
      </c>
      <c r="E202" s="917">
        <f>SUM(E203,E222)</f>
        <v>290666.40000000002</v>
      </c>
      <c r="F202" s="917">
        <f t="shared" si="33"/>
        <v>1198274.1000000001</v>
      </c>
      <c r="G202" s="917">
        <f>SUM(G203,G222)</f>
        <v>907801.2</v>
      </c>
      <c r="H202" s="917">
        <f>SUM(H203,H222)</f>
        <v>290472.90000000002</v>
      </c>
      <c r="I202" s="917">
        <f t="shared" si="30"/>
        <v>188516.5</v>
      </c>
      <c r="J202" s="917">
        <f>SUM(J203,J222)</f>
        <v>160953.1</v>
      </c>
      <c r="K202" s="917">
        <f>SUM(K203,K222)</f>
        <v>27563.4</v>
      </c>
      <c r="L202" s="918">
        <f t="shared" si="31"/>
        <v>15.7</v>
      </c>
      <c r="M202" s="920">
        <f t="shared" si="31"/>
        <v>17.7</v>
      </c>
      <c r="N202" s="920">
        <f t="shared" si="31"/>
        <v>9.5</v>
      </c>
      <c r="O202" s="1282"/>
      <c r="P202" s="1281" t="s">
        <v>1103</v>
      </c>
      <c r="Q202" s="1065">
        <f t="shared" si="34"/>
        <v>1892.3</v>
      </c>
      <c r="R202" s="1065">
        <f>D202-G202</f>
        <v>1698.8</v>
      </c>
      <c r="S202" s="1065">
        <f>E202-H202</f>
        <v>193.5</v>
      </c>
      <c r="T202" s="1099"/>
      <c r="U202" s="1100"/>
      <c r="V202" s="1099"/>
      <c r="W202" s="1099"/>
      <c r="X202" s="1216"/>
      <c r="Z202" s="1311">
        <f t="shared" si="24"/>
        <v>1892.3</v>
      </c>
    </row>
    <row r="203" spans="1:26" s="914" customFormat="1" ht="120.75" hidden="1" customHeight="1">
      <c r="A203" s="1280" t="s">
        <v>6</v>
      </c>
      <c r="B203" s="925" t="s">
        <v>439</v>
      </c>
      <c r="C203" s="926">
        <f t="shared" si="32"/>
        <v>117500</v>
      </c>
      <c r="D203" s="926">
        <f>SUM(D204,D216,D218,D220)</f>
        <v>0</v>
      </c>
      <c r="E203" s="926">
        <f>SUM(E204,E216,E218,E220)</f>
        <v>117500</v>
      </c>
      <c r="F203" s="926">
        <f>SUM(G203:H203)</f>
        <v>117500</v>
      </c>
      <c r="G203" s="926">
        <f>SUM(G204,G216,G218,G220)</f>
        <v>0</v>
      </c>
      <c r="H203" s="926">
        <f>SUM(H204,H216,H218,H220)</f>
        <v>117500</v>
      </c>
      <c r="I203" s="926">
        <f t="shared" si="30"/>
        <v>0</v>
      </c>
      <c r="J203" s="926">
        <f>SUM(J204,J216,J218,J220)</f>
        <v>0</v>
      </c>
      <c r="K203" s="926">
        <f>SUM(K204,K216,K218,K220)</f>
        <v>0</v>
      </c>
      <c r="L203" s="927">
        <f t="shared" si="31"/>
        <v>0</v>
      </c>
      <c r="M203" s="928">
        <f t="shared" si="31"/>
        <v>0</v>
      </c>
      <c r="N203" s="928">
        <f t="shared" si="31"/>
        <v>0</v>
      </c>
      <c r="O203" s="1282"/>
      <c r="P203" s="1281" t="s">
        <v>1104</v>
      </c>
      <c r="Q203" s="1065">
        <f t="shared" si="34"/>
        <v>0</v>
      </c>
      <c r="R203" s="1065">
        <f>D203-G203</f>
        <v>0</v>
      </c>
      <c r="S203" s="1065">
        <f>E203-H203</f>
        <v>0</v>
      </c>
      <c r="T203" s="1099"/>
      <c r="U203" s="1100"/>
      <c r="V203" s="1099"/>
      <c r="W203" s="1099"/>
      <c r="X203" s="1216"/>
      <c r="Z203" s="1311">
        <f t="shared" si="24"/>
        <v>0</v>
      </c>
    </row>
    <row r="204" spans="1:26" hidden="1">
      <c r="A204" s="1320"/>
      <c r="B204" s="898" t="s">
        <v>283</v>
      </c>
      <c r="C204" s="1325">
        <f t="shared" si="32"/>
        <v>112656</v>
      </c>
      <c r="D204" s="875">
        <f>SUM(D205:D215)</f>
        <v>0</v>
      </c>
      <c r="E204" s="875">
        <f>SUM(E205:E215)</f>
        <v>112656</v>
      </c>
      <c r="F204" s="1325">
        <f>SUM(G204:H204)</f>
        <v>112656</v>
      </c>
      <c r="G204" s="875">
        <f>SUM(G205:G215)</f>
        <v>0</v>
      </c>
      <c r="H204" s="875">
        <f>SUM(H205:H215)</f>
        <v>112656</v>
      </c>
      <c r="I204" s="1325">
        <f t="shared" si="30"/>
        <v>0</v>
      </c>
      <c r="J204" s="875">
        <f>SUM(J205:J215)</f>
        <v>0</v>
      </c>
      <c r="K204" s="875">
        <f>SUM(K205:K215)</f>
        <v>0</v>
      </c>
      <c r="L204" s="876">
        <f t="shared" si="31"/>
        <v>0</v>
      </c>
      <c r="M204" s="877">
        <f t="shared" si="31"/>
        <v>0</v>
      </c>
      <c r="N204" s="877">
        <f t="shared" si="31"/>
        <v>0</v>
      </c>
      <c r="O204" s="1282"/>
      <c r="P204" s="1281" t="s">
        <v>1100</v>
      </c>
      <c r="Q204" s="1065">
        <f t="shared" si="34"/>
        <v>0</v>
      </c>
      <c r="R204" s="1065">
        <f t="shared" si="34"/>
        <v>0</v>
      </c>
      <c r="S204" s="1065">
        <f t="shared" si="34"/>
        <v>0</v>
      </c>
      <c r="Z204" s="1311">
        <f t="shared" si="24"/>
        <v>0</v>
      </c>
    </row>
    <row r="205" spans="1:26" ht="73.5" hidden="1" customHeight="1">
      <c r="A205" s="1320" t="s">
        <v>538</v>
      </c>
      <c r="B205" s="1322" t="s">
        <v>1080</v>
      </c>
      <c r="C205" s="1325">
        <f t="shared" si="32"/>
        <v>19450</v>
      </c>
      <c r="D205" s="1327">
        <v>0</v>
      </c>
      <c r="E205" s="1327">
        <v>19450</v>
      </c>
      <c r="F205" s="1325">
        <f t="shared" si="33"/>
        <v>19450</v>
      </c>
      <c r="G205" s="1327">
        <v>0</v>
      </c>
      <c r="H205" s="1327">
        <v>19450</v>
      </c>
      <c r="I205" s="1326">
        <f t="shared" si="30"/>
        <v>0</v>
      </c>
      <c r="J205" s="1326">
        <v>0</v>
      </c>
      <c r="K205" s="1326">
        <v>0</v>
      </c>
      <c r="L205" s="877">
        <f t="shared" si="31"/>
        <v>0</v>
      </c>
      <c r="M205" s="877">
        <f t="shared" si="31"/>
        <v>0</v>
      </c>
      <c r="N205" s="877">
        <f t="shared" si="31"/>
        <v>0</v>
      </c>
      <c r="O205" s="1282"/>
      <c r="P205" s="1281" t="s">
        <v>1105</v>
      </c>
      <c r="Q205" s="1065"/>
      <c r="R205" s="1065"/>
      <c r="S205" s="1065"/>
      <c r="T205" s="1099" t="s">
        <v>999</v>
      </c>
      <c r="U205" s="1100">
        <v>1110243180</v>
      </c>
      <c r="V205" s="1099">
        <v>522</v>
      </c>
      <c r="W205" s="1099" t="s">
        <v>1019</v>
      </c>
      <c r="Z205" s="1311">
        <f t="shared" ref="Z205:Z250" si="35">C205-F205</f>
        <v>0</v>
      </c>
    </row>
    <row r="206" spans="1:26" ht="78.75" hidden="1">
      <c r="A206" s="1320" t="s">
        <v>539</v>
      </c>
      <c r="B206" s="1322" t="s">
        <v>1081</v>
      </c>
      <c r="C206" s="1325">
        <f t="shared" si="32"/>
        <v>3235</v>
      </c>
      <c r="D206" s="1327">
        <v>0</v>
      </c>
      <c r="E206" s="1327">
        <v>3235</v>
      </c>
      <c r="F206" s="1325">
        <f t="shared" si="33"/>
        <v>3235</v>
      </c>
      <c r="G206" s="1327">
        <v>0</v>
      </c>
      <c r="H206" s="1327">
        <v>3235</v>
      </c>
      <c r="I206" s="1326">
        <f t="shared" si="30"/>
        <v>0</v>
      </c>
      <c r="J206" s="1326">
        <v>0</v>
      </c>
      <c r="K206" s="1326">
        <v>0</v>
      </c>
      <c r="L206" s="877">
        <f t="shared" si="31"/>
        <v>0</v>
      </c>
      <c r="M206" s="877">
        <f t="shared" si="31"/>
        <v>0</v>
      </c>
      <c r="N206" s="877">
        <f t="shared" si="31"/>
        <v>0</v>
      </c>
      <c r="O206" s="1282"/>
      <c r="Q206" s="1065"/>
      <c r="R206" s="1065"/>
      <c r="S206" s="1065"/>
      <c r="T206" s="1099" t="s">
        <v>999</v>
      </c>
      <c r="U206" s="1100">
        <v>1110243180</v>
      </c>
      <c r="V206" s="1099">
        <v>522</v>
      </c>
      <c r="W206" s="1099" t="s">
        <v>1019</v>
      </c>
      <c r="Z206" s="1311">
        <f t="shared" si="35"/>
        <v>0</v>
      </c>
    </row>
    <row r="207" spans="1:26" ht="61.5" hidden="1" customHeight="1">
      <c r="A207" s="1320" t="s">
        <v>19</v>
      </c>
      <c r="B207" s="1322" t="s">
        <v>1082</v>
      </c>
      <c r="C207" s="1325">
        <f t="shared" si="32"/>
        <v>4116</v>
      </c>
      <c r="D207" s="1327">
        <v>0</v>
      </c>
      <c r="E207" s="1327">
        <v>4116</v>
      </c>
      <c r="F207" s="1325">
        <f t="shared" si="33"/>
        <v>4116</v>
      </c>
      <c r="G207" s="1327">
        <v>0</v>
      </c>
      <c r="H207" s="1327">
        <v>4116</v>
      </c>
      <c r="I207" s="1326">
        <f t="shared" si="30"/>
        <v>0</v>
      </c>
      <c r="J207" s="1326">
        <v>0</v>
      </c>
      <c r="K207" s="1326">
        <v>0</v>
      </c>
      <c r="L207" s="877">
        <f t="shared" si="31"/>
        <v>0</v>
      </c>
      <c r="M207" s="877">
        <f t="shared" si="31"/>
        <v>0</v>
      </c>
      <c r="N207" s="877">
        <f t="shared" si="31"/>
        <v>0</v>
      </c>
      <c r="O207" s="1282"/>
      <c r="Q207" s="1065"/>
      <c r="R207" s="1065"/>
      <c r="S207" s="1065"/>
      <c r="T207" s="1099" t="s">
        <v>999</v>
      </c>
      <c r="U207" s="1100">
        <v>1110243180</v>
      </c>
      <c r="V207" s="1099">
        <v>522</v>
      </c>
      <c r="W207" s="1099" t="s">
        <v>1019</v>
      </c>
      <c r="Z207" s="1311">
        <f t="shared" si="35"/>
        <v>0</v>
      </c>
    </row>
    <row r="208" spans="1:26" ht="87.75" hidden="1" customHeight="1">
      <c r="A208" s="1320" t="s">
        <v>20</v>
      </c>
      <c r="B208" s="1322" t="s">
        <v>1083</v>
      </c>
      <c r="C208" s="1325">
        <f t="shared" si="32"/>
        <v>10687</v>
      </c>
      <c r="D208" s="1327">
        <v>0</v>
      </c>
      <c r="E208" s="1327">
        <v>10687</v>
      </c>
      <c r="F208" s="1325">
        <f t="shared" si="33"/>
        <v>10687</v>
      </c>
      <c r="G208" s="1327">
        <v>0</v>
      </c>
      <c r="H208" s="1327">
        <v>10687</v>
      </c>
      <c r="I208" s="1326">
        <f t="shared" si="30"/>
        <v>0</v>
      </c>
      <c r="J208" s="1326">
        <v>0</v>
      </c>
      <c r="K208" s="1326">
        <v>0</v>
      </c>
      <c r="L208" s="877">
        <f t="shared" si="31"/>
        <v>0</v>
      </c>
      <c r="M208" s="877">
        <f t="shared" si="31"/>
        <v>0</v>
      </c>
      <c r="N208" s="877">
        <f t="shared" si="31"/>
        <v>0</v>
      </c>
      <c r="O208" s="1282"/>
      <c r="Q208" s="1065"/>
      <c r="R208" s="1065"/>
      <c r="S208" s="1065"/>
      <c r="T208" s="1099" t="s">
        <v>999</v>
      </c>
      <c r="U208" s="1100">
        <v>1110243180</v>
      </c>
      <c r="V208" s="1099">
        <v>522</v>
      </c>
      <c r="W208" s="1099" t="s">
        <v>1019</v>
      </c>
      <c r="Z208" s="1311">
        <f t="shared" si="35"/>
        <v>0</v>
      </c>
    </row>
    <row r="209" spans="1:26" ht="95.25" hidden="1" customHeight="1">
      <c r="A209" s="1320" t="s">
        <v>467</v>
      </c>
      <c r="B209" s="1322" t="s">
        <v>1084</v>
      </c>
      <c r="C209" s="1325">
        <f t="shared" si="32"/>
        <v>3822</v>
      </c>
      <c r="D209" s="1327">
        <v>0</v>
      </c>
      <c r="E209" s="1327">
        <v>3822</v>
      </c>
      <c r="F209" s="1325">
        <f t="shared" si="33"/>
        <v>3822</v>
      </c>
      <c r="G209" s="1327">
        <v>0</v>
      </c>
      <c r="H209" s="1327">
        <v>3822</v>
      </c>
      <c r="I209" s="1326">
        <f t="shared" si="30"/>
        <v>0</v>
      </c>
      <c r="J209" s="1326">
        <v>0</v>
      </c>
      <c r="K209" s="1326">
        <v>0</v>
      </c>
      <c r="L209" s="877">
        <f t="shared" si="31"/>
        <v>0</v>
      </c>
      <c r="M209" s="877">
        <f t="shared" si="31"/>
        <v>0</v>
      </c>
      <c r="N209" s="877">
        <f t="shared" si="31"/>
        <v>0</v>
      </c>
      <c r="O209" s="1282"/>
      <c r="Q209" s="1065"/>
      <c r="R209" s="1065"/>
      <c r="S209" s="1065"/>
      <c r="T209" s="1099" t="s">
        <v>999</v>
      </c>
      <c r="U209" s="1100">
        <v>1110243180</v>
      </c>
      <c r="V209" s="1099">
        <v>522</v>
      </c>
      <c r="W209" s="1099" t="s">
        <v>1019</v>
      </c>
      <c r="Z209" s="1311">
        <f t="shared" si="35"/>
        <v>0</v>
      </c>
    </row>
    <row r="210" spans="1:26" ht="78.75" hidden="1">
      <c r="A210" s="1320" t="s">
        <v>468</v>
      </c>
      <c r="B210" s="1322" t="s">
        <v>1085</v>
      </c>
      <c r="C210" s="1325">
        <f t="shared" si="32"/>
        <v>1176</v>
      </c>
      <c r="D210" s="1327">
        <v>0</v>
      </c>
      <c r="E210" s="1327">
        <v>1176</v>
      </c>
      <c r="F210" s="1325">
        <f t="shared" si="33"/>
        <v>1176</v>
      </c>
      <c r="G210" s="1327">
        <v>0</v>
      </c>
      <c r="H210" s="1327">
        <v>1176</v>
      </c>
      <c r="I210" s="1326">
        <f t="shared" si="30"/>
        <v>0</v>
      </c>
      <c r="J210" s="1326">
        <v>0</v>
      </c>
      <c r="K210" s="1326">
        <v>0</v>
      </c>
      <c r="L210" s="877">
        <f t="shared" si="31"/>
        <v>0</v>
      </c>
      <c r="M210" s="877">
        <f t="shared" si="31"/>
        <v>0</v>
      </c>
      <c r="N210" s="877">
        <f t="shared" si="31"/>
        <v>0</v>
      </c>
      <c r="O210" s="1282"/>
      <c r="Q210" s="1065"/>
      <c r="R210" s="1065"/>
      <c r="S210" s="1065"/>
      <c r="T210" s="1099" t="s">
        <v>999</v>
      </c>
      <c r="U210" s="1100">
        <v>1110243180</v>
      </c>
      <c r="V210" s="1099">
        <v>522</v>
      </c>
      <c r="W210" s="1099" t="s">
        <v>1019</v>
      </c>
      <c r="Z210" s="1311">
        <f t="shared" si="35"/>
        <v>0</v>
      </c>
    </row>
    <row r="211" spans="1:26" ht="89.25" hidden="1" customHeight="1">
      <c r="A211" s="1320" t="s">
        <v>685</v>
      </c>
      <c r="B211" s="1322" t="s">
        <v>1086</v>
      </c>
      <c r="C211" s="1325">
        <f t="shared" si="32"/>
        <v>17670</v>
      </c>
      <c r="D211" s="1327">
        <v>0</v>
      </c>
      <c r="E211" s="1327">
        <v>17670</v>
      </c>
      <c r="F211" s="1325">
        <f t="shared" si="33"/>
        <v>17670</v>
      </c>
      <c r="G211" s="1327">
        <v>0</v>
      </c>
      <c r="H211" s="1327">
        <v>17670</v>
      </c>
      <c r="I211" s="1326">
        <f t="shared" si="30"/>
        <v>0</v>
      </c>
      <c r="J211" s="1326">
        <v>0</v>
      </c>
      <c r="K211" s="1326">
        <v>0</v>
      </c>
      <c r="L211" s="877">
        <f t="shared" si="31"/>
        <v>0</v>
      </c>
      <c r="M211" s="877">
        <f t="shared" si="31"/>
        <v>0</v>
      </c>
      <c r="N211" s="877">
        <f t="shared" si="31"/>
        <v>0</v>
      </c>
      <c r="O211" s="1282"/>
      <c r="Q211" s="1065"/>
      <c r="R211" s="1065"/>
      <c r="S211" s="1065"/>
      <c r="T211" s="1099" t="s">
        <v>999</v>
      </c>
      <c r="U211" s="1100">
        <v>1110243180</v>
      </c>
      <c r="V211" s="1099">
        <v>522</v>
      </c>
      <c r="W211" s="1099" t="s">
        <v>1019</v>
      </c>
      <c r="Z211" s="1311">
        <f t="shared" si="35"/>
        <v>0</v>
      </c>
    </row>
    <row r="212" spans="1:26" ht="115.5" hidden="1" customHeight="1">
      <c r="A212" s="1320" t="s">
        <v>687</v>
      </c>
      <c r="B212" s="1322" t="s">
        <v>1087</v>
      </c>
      <c r="C212" s="1325">
        <f t="shared" si="32"/>
        <v>20000</v>
      </c>
      <c r="D212" s="1327">
        <v>0</v>
      </c>
      <c r="E212" s="1327">
        <v>20000</v>
      </c>
      <c r="F212" s="1325">
        <f t="shared" si="33"/>
        <v>20000</v>
      </c>
      <c r="G212" s="1327">
        <v>0</v>
      </c>
      <c r="H212" s="1327">
        <v>20000</v>
      </c>
      <c r="I212" s="1326">
        <f t="shared" si="30"/>
        <v>0</v>
      </c>
      <c r="J212" s="1326">
        <v>0</v>
      </c>
      <c r="K212" s="1326">
        <v>0</v>
      </c>
      <c r="L212" s="877">
        <f t="shared" si="31"/>
        <v>0</v>
      </c>
      <c r="M212" s="877">
        <f t="shared" si="31"/>
        <v>0</v>
      </c>
      <c r="N212" s="877">
        <f t="shared" si="31"/>
        <v>0</v>
      </c>
      <c r="O212" s="1282"/>
      <c r="Q212" s="1065"/>
      <c r="R212" s="1065"/>
      <c r="S212" s="1065"/>
      <c r="T212" s="1099" t="s">
        <v>999</v>
      </c>
      <c r="U212" s="1100">
        <v>1110243180</v>
      </c>
      <c r="V212" s="1099">
        <v>522</v>
      </c>
      <c r="W212" s="1099" t="s">
        <v>1019</v>
      </c>
      <c r="Z212" s="1311">
        <f t="shared" si="35"/>
        <v>0</v>
      </c>
    </row>
    <row r="213" spans="1:26" ht="89.25" hidden="1" customHeight="1">
      <c r="A213" s="1320" t="s">
        <v>686</v>
      </c>
      <c r="B213" s="1322" t="s">
        <v>1089</v>
      </c>
      <c r="C213" s="1325">
        <f t="shared" si="32"/>
        <v>9000</v>
      </c>
      <c r="D213" s="1327">
        <v>0</v>
      </c>
      <c r="E213" s="1327">
        <v>9000</v>
      </c>
      <c r="F213" s="1325">
        <f t="shared" si="33"/>
        <v>9000</v>
      </c>
      <c r="G213" s="1327">
        <v>0</v>
      </c>
      <c r="H213" s="1327">
        <v>9000</v>
      </c>
      <c r="I213" s="1326">
        <f t="shared" si="30"/>
        <v>0</v>
      </c>
      <c r="J213" s="1326">
        <v>0</v>
      </c>
      <c r="K213" s="1326">
        <v>0</v>
      </c>
      <c r="L213" s="877">
        <f t="shared" si="31"/>
        <v>0</v>
      </c>
      <c r="M213" s="877">
        <f t="shared" si="31"/>
        <v>0</v>
      </c>
      <c r="N213" s="877">
        <f t="shared" si="31"/>
        <v>0</v>
      </c>
      <c r="O213" s="1282"/>
      <c r="Q213" s="1065"/>
      <c r="R213" s="1065"/>
      <c r="S213" s="1065"/>
      <c r="T213" s="1099" t="s">
        <v>999</v>
      </c>
      <c r="U213" s="1100">
        <v>1110243180</v>
      </c>
      <c r="V213" s="1099">
        <v>522</v>
      </c>
      <c r="W213" s="1099" t="s">
        <v>1019</v>
      </c>
      <c r="Z213" s="1311">
        <f t="shared" si="35"/>
        <v>0</v>
      </c>
    </row>
    <row r="214" spans="1:26" ht="87.75" hidden="1" customHeight="1">
      <c r="A214" s="1320" t="s">
        <v>688</v>
      </c>
      <c r="B214" s="1322" t="s">
        <v>1090</v>
      </c>
      <c r="C214" s="1325">
        <f t="shared" si="32"/>
        <v>3500</v>
      </c>
      <c r="D214" s="1327">
        <v>0</v>
      </c>
      <c r="E214" s="1327">
        <v>3500</v>
      </c>
      <c r="F214" s="1325">
        <f t="shared" si="33"/>
        <v>3500</v>
      </c>
      <c r="G214" s="1327">
        <v>0</v>
      </c>
      <c r="H214" s="1327">
        <v>3500</v>
      </c>
      <c r="I214" s="1326">
        <f t="shared" si="30"/>
        <v>0</v>
      </c>
      <c r="J214" s="1326">
        <v>0</v>
      </c>
      <c r="K214" s="1326">
        <v>0</v>
      </c>
      <c r="L214" s="877">
        <f t="shared" si="31"/>
        <v>0</v>
      </c>
      <c r="M214" s="877">
        <f t="shared" si="31"/>
        <v>0</v>
      </c>
      <c r="N214" s="877">
        <f t="shared" si="31"/>
        <v>0</v>
      </c>
      <c r="O214" s="1282"/>
      <c r="Q214" s="1065"/>
      <c r="R214" s="1065"/>
      <c r="S214" s="1065"/>
      <c r="T214" s="1099" t="s">
        <v>999</v>
      </c>
      <c r="U214" s="1100">
        <v>1110243180</v>
      </c>
      <c r="V214" s="1099">
        <v>522</v>
      </c>
      <c r="W214" s="1099" t="s">
        <v>1019</v>
      </c>
      <c r="Z214" s="1311">
        <f t="shared" si="35"/>
        <v>0</v>
      </c>
    </row>
    <row r="215" spans="1:26" ht="81.75" hidden="1" customHeight="1">
      <c r="A215" s="1320" t="s">
        <v>98</v>
      </c>
      <c r="B215" s="1322" t="s">
        <v>1090</v>
      </c>
      <c r="C215" s="1325">
        <f t="shared" si="32"/>
        <v>20000</v>
      </c>
      <c r="D215" s="1327">
        <v>0</v>
      </c>
      <c r="E215" s="1327">
        <v>20000</v>
      </c>
      <c r="F215" s="1325">
        <f t="shared" si="33"/>
        <v>20000</v>
      </c>
      <c r="G215" s="1327">
        <v>0</v>
      </c>
      <c r="H215" s="1327">
        <v>20000</v>
      </c>
      <c r="I215" s="1326">
        <f t="shared" si="30"/>
        <v>0</v>
      </c>
      <c r="J215" s="1326">
        <v>0</v>
      </c>
      <c r="K215" s="1326">
        <v>0</v>
      </c>
      <c r="L215" s="877">
        <f t="shared" si="31"/>
        <v>0</v>
      </c>
      <c r="M215" s="877">
        <f t="shared" si="31"/>
        <v>0</v>
      </c>
      <c r="N215" s="877">
        <f t="shared" si="31"/>
        <v>0</v>
      </c>
      <c r="O215" s="1282"/>
      <c r="Q215" s="1065"/>
      <c r="R215" s="1065"/>
      <c r="S215" s="1065"/>
      <c r="T215" s="1099" t="s">
        <v>999</v>
      </c>
      <c r="U215" s="1100">
        <v>1110243180</v>
      </c>
      <c r="V215" s="1099">
        <v>522</v>
      </c>
      <c r="W215" s="1099" t="s">
        <v>1019</v>
      </c>
      <c r="Z215" s="1311">
        <f t="shared" si="35"/>
        <v>0</v>
      </c>
    </row>
    <row r="216" spans="1:26" hidden="1">
      <c r="A216" s="1320"/>
      <c r="B216" s="898" t="s">
        <v>457</v>
      </c>
      <c r="C216" s="1325">
        <f t="shared" si="32"/>
        <v>1325</v>
      </c>
      <c r="D216" s="875">
        <f>SUM(D217)</f>
        <v>0</v>
      </c>
      <c r="E216" s="875">
        <f>SUM(E217)</f>
        <v>1325</v>
      </c>
      <c r="F216" s="1325">
        <f t="shared" si="33"/>
        <v>1325</v>
      </c>
      <c r="G216" s="875">
        <f>SUM(G217)</f>
        <v>0</v>
      </c>
      <c r="H216" s="875">
        <f>SUM(H217)</f>
        <v>1325</v>
      </c>
      <c r="I216" s="1325">
        <f t="shared" si="30"/>
        <v>0</v>
      </c>
      <c r="J216" s="875">
        <f>SUM(J217)</f>
        <v>0</v>
      </c>
      <c r="K216" s="875">
        <f>SUM(K217)</f>
        <v>0</v>
      </c>
      <c r="L216" s="1328">
        <f t="shared" si="31"/>
        <v>0</v>
      </c>
      <c r="M216" s="875">
        <f t="shared" si="31"/>
        <v>0</v>
      </c>
      <c r="N216" s="875">
        <f t="shared" si="31"/>
        <v>0</v>
      </c>
      <c r="O216" s="1282"/>
      <c r="Q216" s="1065">
        <f t="shared" ref="Q216:S220" si="36">C216-F216</f>
        <v>0</v>
      </c>
      <c r="R216" s="1065">
        <f t="shared" si="36"/>
        <v>0</v>
      </c>
      <c r="S216" s="1065">
        <f t="shared" si="36"/>
        <v>0</v>
      </c>
      <c r="Z216" s="1311">
        <f t="shared" si="35"/>
        <v>0</v>
      </c>
    </row>
    <row r="217" spans="1:26" ht="108" hidden="1" customHeight="1">
      <c r="A217" s="1320" t="s">
        <v>99</v>
      </c>
      <c r="B217" s="1322" t="s">
        <v>1093</v>
      </c>
      <c r="C217" s="1326">
        <f t="shared" si="32"/>
        <v>1325</v>
      </c>
      <c r="D217" s="879">
        <v>0</v>
      </c>
      <c r="E217" s="879">
        <v>1325</v>
      </c>
      <c r="F217" s="1326">
        <f t="shared" si="33"/>
        <v>1325</v>
      </c>
      <c r="G217" s="879">
        <v>0</v>
      </c>
      <c r="H217" s="879">
        <v>1325</v>
      </c>
      <c r="I217" s="1326">
        <f t="shared" si="30"/>
        <v>0</v>
      </c>
      <c r="J217" s="1326">
        <v>0</v>
      </c>
      <c r="K217" s="1326">
        <v>0</v>
      </c>
      <c r="L217" s="877">
        <f t="shared" si="31"/>
        <v>0</v>
      </c>
      <c r="M217" s="877">
        <f t="shared" si="31"/>
        <v>0</v>
      </c>
      <c r="N217" s="877">
        <f t="shared" si="31"/>
        <v>0</v>
      </c>
      <c r="O217" s="1282"/>
      <c r="Q217" s="1065">
        <f t="shared" si="36"/>
        <v>0</v>
      </c>
      <c r="R217" s="1065">
        <f t="shared" si="36"/>
        <v>0</v>
      </c>
      <c r="S217" s="1065">
        <f t="shared" si="36"/>
        <v>0</v>
      </c>
      <c r="T217" s="1099" t="s">
        <v>999</v>
      </c>
      <c r="U217" s="1100">
        <v>1110243180</v>
      </c>
      <c r="V217" s="1099">
        <v>522</v>
      </c>
      <c r="W217" s="1099" t="s">
        <v>1019</v>
      </c>
      <c r="Z217" s="1311">
        <f t="shared" si="35"/>
        <v>0</v>
      </c>
    </row>
    <row r="218" spans="1:26" hidden="1">
      <c r="A218" s="991"/>
      <c r="B218" s="898" t="s">
        <v>68</v>
      </c>
      <c r="C218" s="1325">
        <f t="shared" si="32"/>
        <v>671</v>
      </c>
      <c r="D218" s="875">
        <f>SUM(D219)</f>
        <v>0</v>
      </c>
      <c r="E218" s="875">
        <f>SUM(E219)</f>
        <v>671</v>
      </c>
      <c r="F218" s="1325">
        <f t="shared" si="33"/>
        <v>671</v>
      </c>
      <c r="G218" s="875">
        <f>SUM(G219)</f>
        <v>0</v>
      </c>
      <c r="H218" s="875">
        <f>SUM(H219)</f>
        <v>671</v>
      </c>
      <c r="I218" s="1325">
        <f t="shared" si="30"/>
        <v>0</v>
      </c>
      <c r="J218" s="875">
        <f>SUM(J219)</f>
        <v>0</v>
      </c>
      <c r="K218" s="875">
        <f>SUM(K219)</f>
        <v>0</v>
      </c>
      <c r="L218" s="876">
        <f t="shared" si="31"/>
        <v>0</v>
      </c>
      <c r="M218" s="877">
        <f t="shared" si="31"/>
        <v>0</v>
      </c>
      <c r="N218" s="877">
        <f t="shared" si="31"/>
        <v>0</v>
      </c>
      <c r="O218" s="1282"/>
      <c r="Q218" s="1065">
        <f t="shared" si="36"/>
        <v>0</v>
      </c>
      <c r="R218" s="1065">
        <f t="shared" si="36"/>
        <v>0</v>
      </c>
      <c r="S218" s="1065">
        <f t="shared" si="36"/>
        <v>0</v>
      </c>
      <c r="Z218" s="1311">
        <f t="shared" si="35"/>
        <v>0</v>
      </c>
    </row>
    <row r="219" spans="1:26" ht="120.75" hidden="1" customHeight="1">
      <c r="A219" s="1320" t="s">
        <v>100</v>
      </c>
      <c r="B219" s="1322" t="s">
        <v>1091</v>
      </c>
      <c r="C219" s="1326">
        <f t="shared" si="32"/>
        <v>671</v>
      </c>
      <c r="D219" s="1327">
        <v>0</v>
      </c>
      <c r="E219" s="1327">
        <v>671</v>
      </c>
      <c r="F219" s="1326">
        <f t="shared" si="33"/>
        <v>671</v>
      </c>
      <c r="G219" s="1327">
        <v>0</v>
      </c>
      <c r="H219" s="1327">
        <v>671</v>
      </c>
      <c r="I219" s="1326">
        <f t="shared" si="30"/>
        <v>0</v>
      </c>
      <c r="J219" s="1326">
        <v>0</v>
      </c>
      <c r="K219" s="1326">
        <v>0</v>
      </c>
      <c r="L219" s="877">
        <f t="shared" si="31"/>
        <v>0</v>
      </c>
      <c r="M219" s="877">
        <f t="shared" si="31"/>
        <v>0</v>
      </c>
      <c r="N219" s="877">
        <f t="shared" si="31"/>
        <v>0</v>
      </c>
      <c r="O219" s="1282"/>
      <c r="Q219" s="1065">
        <f t="shared" si="36"/>
        <v>0</v>
      </c>
      <c r="R219" s="1065">
        <f t="shared" si="36"/>
        <v>0</v>
      </c>
      <c r="S219" s="1065">
        <f t="shared" si="36"/>
        <v>0</v>
      </c>
      <c r="T219" s="1099" t="s">
        <v>999</v>
      </c>
      <c r="U219" s="1100">
        <v>1110243180</v>
      </c>
      <c r="V219" s="1099">
        <v>522</v>
      </c>
      <c r="W219" s="1099" t="s">
        <v>1019</v>
      </c>
      <c r="Z219" s="1311">
        <f t="shared" si="35"/>
        <v>0</v>
      </c>
    </row>
    <row r="220" spans="1:26" ht="39" hidden="1" customHeight="1">
      <c r="A220" s="1320"/>
      <c r="B220" s="898" t="s">
        <v>431</v>
      </c>
      <c r="C220" s="1325">
        <f t="shared" si="32"/>
        <v>2848</v>
      </c>
      <c r="D220" s="875">
        <f>SUM(D221)</f>
        <v>0</v>
      </c>
      <c r="E220" s="875">
        <f>SUM(E221)</f>
        <v>2848</v>
      </c>
      <c r="F220" s="1325">
        <f t="shared" si="33"/>
        <v>2848</v>
      </c>
      <c r="G220" s="875">
        <f>SUM(G221)</f>
        <v>0</v>
      </c>
      <c r="H220" s="875">
        <f>SUM(H221)</f>
        <v>2848</v>
      </c>
      <c r="I220" s="1325">
        <f t="shared" si="30"/>
        <v>0</v>
      </c>
      <c r="J220" s="875">
        <f>SUM(J221)</f>
        <v>0</v>
      </c>
      <c r="K220" s="875">
        <f>SUM(K221)</f>
        <v>0</v>
      </c>
      <c r="L220" s="876">
        <f t="shared" si="31"/>
        <v>0</v>
      </c>
      <c r="M220" s="877">
        <f t="shared" si="31"/>
        <v>0</v>
      </c>
      <c r="N220" s="877">
        <f t="shared" si="31"/>
        <v>0</v>
      </c>
      <c r="O220" s="1282"/>
      <c r="Q220" s="1065">
        <f t="shared" si="36"/>
        <v>0</v>
      </c>
      <c r="R220" s="1065">
        <f t="shared" si="36"/>
        <v>0</v>
      </c>
      <c r="S220" s="1065">
        <f t="shared" si="36"/>
        <v>0</v>
      </c>
      <c r="Z220" s="1311">
        <f t="shared" si="35"/>
        <v>0</v>
      </c>
    </row>
    <row r="221" spans="1:26" ht="130.5" hidden="1" customHeight="1">
      <c r="A221" s="1320" t="s">
        <v>101</v>
      </c>
      <c r="B221" s="1322" t="s">
        <v>1092</v>
      </c>
      <c r="C221" s="1326">
        <f t="shared" si="32"/>
        <v>2848</v>
      </c>
      <c r="D221" s="1327">
        <v>0</v>
      </c>
      <c r="E221" s="1327">
        <v>2848</v>
      </c>
      <c r="F221" s="1326">
        <f t="shared" si="33"/>
        <v>2848</v>
      </c>
      <c r="G221" s="1327">
        <v>0</v>
      </c>
      <c r="H221" s="1327">
        <f>E221</f>
        <v>2848</v>
      </c>
      <c r="I221" s="1326">
        <f t="shared" si="30"/>
        <v>0</v>
      </c>
      <c r="J221" s="1326">
        <v>0</v>
      </c>
      <c r="K221" s="1326">
        <v>0</v>
      </c>
      <c r="L221" s="877">
        <f t="shared" si="31"/>
        <v>0</v>
      </c>
      <c r="M221" s="877">
        <f t="shared" si="31"/>
        <v>0</v>
      </c>
      <c r="N221" s="877">
        <f t="shared" si="31"/>
        <v>0</v>
      </c>
      <c r="O221" s="1282"/>
      <c r="Q221" s="1065"/>
      <c r="R221" s="1065"/>
      <c r="S221" s="1065"/>
      <c r="T221" s="1099" t="s">
        <v>999</v>
      </c>
      <c r="U221" s="1100">
        <v>1110243180</v>
      </c>
      <c r="V221" s="1099">
        <v>522</v>
      </c>
      <c r="W221" s="1099" t="s">
        <v>1019</v>
      </c>
      <c r="Z221" s="1311">
        <f t="shared" si="35"/>
        <v>0</v>
      </c>
    </row>
    <row r="222" spans="1:26" s="914" customFormat="1" ht="87.75" hidden="1" customHeight="1">
      <c r="A222" s="1304" t="s">
        <v>2</v>
      </c>
      <c r="B222" s="925" t="s">
        <v>222</v>
      </c>
      <c r="C222" s="926">
        <f t="shared" si="32"/>
        <v>1082666.3999999999</v>
      </c>
      <c r="D222" s="926">
        <f>SUM(D223,D239)</f>
        <v>909500</v>
      </c>
      <c r="E222" s="926">
        <f>SUM(E223,E239)</f>
        <v>173166.4</v>
      </c>
      <c r="F222" s="926">
        <f t="shared" si="33"/>
        <v>1080774.1000000001</v>
      </c>
      <c r="G222" s="926">
        <f>SUM(G223,G239)</f>
        <v>907801.2</v>
      </c>
      <c r="H222" s="926">
        <f>SUM(H223,H239)</f>
        <v>172972.9</v>
      </c>
      <c r="I222" s="926">
        <f t="shared" si="30"/>
        <v>188516.5</v>
      </c>
      <c r="J222" s="926">
        <f>SUM(J223,J239)</f>
        <v>160953.1</v>
      </c>
      <c r="K222" s="926">
        <f>SUM(K223,K239)</f>
        <v>27563.4</v>
      </c>
      <c r="L222" s="927">
        <f t="shared" si="31"/>
        <v>17.399999999999999</v>
      </c>
      <c r="M222" s="928">
        <f t="shared" si="31"/>
        <v>17.7</v>
      </c>
      <c r="N222" s="928">
        <f t="shared" si="31"/>
        <v>15.9</v>
      </c>
      <c r="O222" s="1282"/>
      <c r="P222" s="1208"/>
      <c r="Q222" s="1065">
        <f t="shared" ref="Q222:S251" si="37">C222-F222</f>
        <v>1892.3</v>
      </c>
      <c r="R222" s="1065">
        <f t="shared" si="37"/>
        <v>1698.8</v>
      </c>
      <c r="S222" s="1065">
        <f t="shared" si="37"/>
        <v>193.5</v>
      </c>
      <c r="T222" s="1099"/>
      <c r="U222" s="1100"/>
      <c r="V222" s="1099"/>
      <c r="W222" s="1099"/>
      <c r="X222" s="1216"/>
      <c r="Z222" s="1311">
        <f t="shared" si="35"/>
        <v>1892.3</v>
      </c>
    </row>
    <row r="223" spans="1:26" s="914" customFormat="1" ht="62.25" hidden="1" customHeight="1">
      <c r="A223" s="1305" t="s">
        <v>246</v>
      </c>
      <c r="B223" s="932" t="s">
        <v>41</v>
      </c>
      <c r="C223" s="933">
        <f>D223+E223</f>
        <v>967706.4</v>
      </c>
      <c r="D223" s="933">
        <f>SUM(D237,D224)</f>
        <v>909500</v>
      </c>
      <c r="E223" s="933">
        <f>SUM(E237,E224)</f>
        <v>58206.400000000001</v>
      </c>
      <c r="F223" s="933">
        <f>G223+H223</f>
        <v>965814.1</v>
      </c>
      <c r="G223" s="933">
        <f>SUM(G237,G224)</f>
        <v>907801.2</v>
      </c>
      <c r="H223" s="933">
        <f>SUM(H237,H224)</f>
        <v>58012.9</v>
      </c>
      <c r="I223" s="933">
        <f>J223+K223</f>
        <v>171232.2</v>
      </c>
      <c r="J223" s="933">
        <f>SUM(J237,J224)</f>
        <v>160953.1</v>
      </c>
      <c r="K223" s="933">
        <f>SUM(K237,K224)</f>
        <v>10279.1</v>
      </c>
      <c r="L223" s="935">
        <f t="shared" si="31"/>
        <v>17.7</v>
      </c>
      <c r="M223" s="936">
        <f t="shared" si="31"/>
        <v>17.7</v>
      </c>
      <c r="N223" s="936">
        <f t="shared" si="31"/>
        <v>17.7</v>
      </c>
      <c r="O223" s="1282"/>
      <c r="P223" s="1208"/>
      <c r="Q223" s="1065">
        <f t="shared" si="37"/>
        <v>1892.3</v>
      </c>
      <c r="R223" s="1065">
        <f t="shared" si="37"/>
        <v>1698.8</v>
      </c>
      <c r="S223" s="1065">
        <f t="shared" si="37"/>
        <v>193.5</v>
      </c>
      <c r="T223" s="1099"/>
      <c r="U223" s="1100"/>
      <c r="V223" s="1099"/>
      <c r="W223" s="1099"/>
      <c r="X223" s="1216"/>
      <c r="Z223" s="1311">
        <f t="shared" si="35"/>
        <v>1892.3</v>
      </c>
    </row>
    <row r="224" spans="1:26" s="959" customFormat="1" ht="63.75" hidden="1" customHeight="1">
      <c r="A224" s="1189" t="s">
        <v>247</v>
      </c>
      <c r="B224" s="1054" t="s">
        <v>446</v>
      </c>
      <c r="C224" s="1055">
        <f>SUM(D224:E224)</f>
        <v>907600</v>
      </c>
      <c r="D224" s="1056">
        <f>SUM(D225:D236)</f>
        <v>853000</v>
      </c>
      <c r="E224" s="1056">
        <f>SUM(E225:E236)</f>
        <v>54600</v>
      </c>
      <c r="F224" s="1055">
        <f>SUM(G224:H224)</f>
        <v>905707.7</v>
      </c>
      <c r="G224" s="1056">
        <f>SUM(G225:G236)</f>
        <v>851301.2</v>
      </c>
      <c r="H224" s="1056">
        <f>SUM(H225:H236)</f>
        <v>54406.5</v>
      </c>
      <c r="I224" s="1055">
        <f>SUM(J224:K224)</f>
        <v>143995.5</v>
      </c>
      <c r="J224" s="1056">
        <f>SUM(J225:J236)</f>
        <v>135350.6</v>
      </c>
      <c r="K224" s="1056">
        <f>SUM(K225:K236)</f>
        <v>8644.9</v>
      </c>
      <c r="L224" s="1053">
        <f t="shared" si="31"/>
        <v>15.9</v>
      </c>
      <c r="M224" s="1053">
        <f t="shared" si="31"/>
        <v>15.9</v>
      </c>
      <c r="N224" s="1053">
        <f t="shared" si="31"/>
        <v>15.9</v>
      </c>
      <c r="O224" s="1282"/>
      <c r="P224" s="1208"/>
      <c r="Q224" s="1065">
        <f t="shared" si="37"/>
        <v>1892.3</v>
      </c>
      <c r="R224" s="1065">
        <f t="shared" si="37"/>
        <v>1698.8</v>
      </c>
      <c r="S224" s="1065">
        <f t="shared" si="37"/>
        <v>193.5</v>
      </c>
      <c r="T224" s="1099"/>
      <c r="U224" s="1100"/>
      <c r="V224" s="1099"/>
      <c r="W224" s="1099"/>
      <c r="X224" s="1218"/>
      <c r="Z224" s="1311">
        <f t="shared" si="35"/>
        <v>1892.3</v>
      </c>
    </row>
    <row r="225" spans="1:26" s="959" customFormat="1" ht="39" hidden="1" customHeight="1">
      <c r="A225" s="895"/>
      <c r="B225" s="937" t="s">
        <v>1000</v>
      </c>
      <c r="C225" s="871">
        <f>SUM(D225:E225)</f>
        <v>1892.3</v>
      </c>
      <c r="D225" s="884">
        <v>1698.8</v>
      </c>
      <c r="E225" s="887">
        <v>193.5</v>
      </c>
      <c r="F225" s="1325">
        <f>G225+H225</f>
        <v>0</v>
      </c>
      <c r="G225" s="887">
        <v>0</v>
      </c>
      <c r="H225" s="887">
        <v>0</v>
      </c>
      <c r="I225" s="1325">
        <f t="shared" ref="I225:I243" si="38">SUM(J225:K225)</f>
        <v>0</v>
      </c>
      <c r="J225" s="884">
        <v>0</v>
      </c>
      <c r="K225" s="887">
        <v>0</v>
      </c>
      <c r="L225" s="876">
        <f t="shared" si="31"/>
        <v>0</v>
      </c>
      <c r="M225" s="877">
        <f t="shared" si="31"/>
        <v>0</v>
      </c>
      <c r="N225" s="877">
        <f t="shared" si="31"/>
        <v>0</v>
      </c>
      <c r="O225" s="1282"/>
      <c r="P225" s="1208"/>
      <c r="Q225" s="1065"/>
      <c r="R225" s="1065"/>
      <c r="S225" s="1065"/>
      <c r="T225" s="1099" t="s">
        <v>999</v>
      </c>
      <c r="U225" s="1100" t="s">
        <v>1001</v>
      </c>
      <c r="V225" s="1099">
        <v>414</v>
      </c>
      <c r="W225" s="1099"/>
      <c r="X225" s="1218"/>
      <c r="Z225" s="1311">
        <f t="shared" si="35"/>
        <v>1892.3</v>
      </c>
    </row>
    <row r="226" spans="1:26" ht="61.5" hidden="1" customHeight="1">
      <c r="A226" s="895">
        <v>1</v>
      </c>
      <c r="B226" s="937" t="s">
        <v>668</v>
      </c>
      <c r="C226" s="871">
        <f t="shared" ref="C226:C243" si="39">SUM(D226:E226)</f>
        <v>452152</v>
      </c>
      <c r="D226" s="884">
        <v>425019.2</v>
      </c>
      <c r="E226" s="887">
        <v>27132.799999999999</v>
      </c>
      <c r="F226" s="1325">
        <f>G226+H226</f>
        <v>452152</v>
      </c>
      <c r="G226" s="887">
        <f>D226</f>
        <v>425019.2</v>
      </c>
      <c r="H226" s="887">
        <f>E226</f>
        <v>27132.799999999999</v>
      </c>
      <c r="I226" s="1325">
        <f t="shared" si="38"/>
        <v>103870.2</v>
      </c>
      <c r="J226" s="884">
        <v>97637.1</v>
      </c>
      <c r="K226" s="887">
        <v>6233.1</v>
      </c>
      <c r="L226" s="876">
        <f t="shared" ref="L226:N243" si="40">IF(I226=0,0,I226/F226*100)</f>
        <v>23</v>
      </c>
      <c r="M226" s="877">
        <f t="shared" si="40"/>
        <v>23</v>
      </c>
      <c r="N226" s="877">
        <f t="shared" si="40"/>
        <v>23</v>
      </c>
      <c r="O226" s="1282"/>
      <c r="Q226" s="1065">
        <f t="shared" si="37"/>
        <v>0</v>
      </c>
      <c r="R226" s="1065">
        <f t="shared" si="37"/>
        <v>0</v>
      </c>
      <c r="S226" s="1065">
        <f t="shared" si="37"/>
        <v>0</v>
      </c>
      <c r="T226" s="1099" t="s">
        <v>999</v>
      </c>
      <c r="U226" s="1100" t="s">
        <v>1005</v>
      </c>
      <c r="V226" s="1099">
        <v>414</v>
      </c>
      <c r="W226" s="1099" t="s">
        <v>1006</v>
      </c>
      <c r="Z226" s="1311">
        <f t="shared" si="35"/>
        <v>0</v>
      </c>
    </row>
    <row r="227" spans="1:26" ht="75" hidden="1" customHeight="1">
      <c r="A227" s="895">
        <v>2</v>
      </c>
      <c r="B227" s="1323" t="s">
        <v>470</v>
      </c>
      <c r="C227" s="871">
        <f t="shared" si="39"/>
        <v>50107.7</v>
      </c>
      <c r="D227" s="887">
        <v>47101.2</v>
      </c>
      <c r="E227" s="887">
        <v>3006.5</v>
      </c>
      <c r="F227" s="871">
        <f t="shared" ref="F227:F243" si="41">SUM(G227:H227)</f>
        <v>50107.7</v>
      </c>
      <c r="G227" s="887">
        <f t="shared" ref="G227:H236" si="42">D227</f>
        <v>47101.2</v>
      </c>
      <c r="H227" s="887">
        <f t="shared" si="42"/>
        <v>3006.5</v>
      </c>
      <c r="I227" s="871">
        <f t="shared" si="38"/>
        <v>14029.6</v>
      </c>
      <c r="J227" s="887">
        <v>13187.8</v>
      </c>
      <c r="K227" s="887">
        <v>841.8</v>
      </c>
      <c r="L227" s="872">
        <f t="shared" si="40"/>
        <v>28</v>
      </c>
      <c r="M227" s="873">
        <f t="shared" si="40"/>
        <v>28</v>
      </c>
      <c r="N227" s="873">
        <f t="shared" si="40"/>
        <v>28</v>
      </c>
      <c r="O227" s="1282"/>
      <c r="Q227" s="1065">
        <f t="shared" si="37"/>
        <v>0</v>
      </c>
      <c r="R227" s="1065">
        <f t="shared" si="37"/>
        <v>0</v>
      </c>
      <c r="S227" s="1065">
        <f t="shared" si="37"/>
        <v>0</v>
      </c>
      <c r="T227" s="1099" t="s">
        <v>999</v>
      </c>
      <c r="U227" s="1100" t="s">
        <v>1010</v>
      </c>
      <c r="V227" s="1099">
        <v>414</v>
      </c>
      <c r="W227" s="1099" t="s">
        <v>1011</v>
      </c>
      <c r="Z227" s="1311">
        <f t="shared" si="35"/>
        <v>0</v>
      </c>
    </row>
    <row r="228" spans="1:26" ht="90" hidden="1" customHeight="1">
      <c r="A228" s="895">
        <v>3</v>
      </c>
      <c r="B228" s="1323" t="s">
        <v>622</v>
      </c>
      <c r="C228" s="871">
        <f>SUM(D228:E228)</f>
        <v>64810.2</v>
      </c>
      <c r="D228" s="887">
        <v>60910.9</v>
      </c>
      <c r="E228" s="887">
        <v>3899.3</v>
      </c>
      <c r="F228" s="871">
        <f t="shared" si="41"/>
        <v>64810.2</v>
      </c>
      <c r="G228" s="887">
        <f t="shared" si="42"/>
        <v>60910.9</v>
      </c>
      <c r="H228" s="887">
        <f t="shared" si="42"/>
        <v>3899.3</v>
      </c>
      <c r="I228" s="871">
        <f t="shared" si="38"/>
        <v>0</v>
      </c>
      <c r="J228" s="887">
        <v>0</v>
      </c>
      <c r="K228" s="887">
        <v>0</v>
      </c>
      <c r="L228" s="872">
        <f t="shared" si="40"/>
        <v>0</v>
      </c>
      <c r="M228" s="873">
        <f t="shared" si="40"/>
        <v>0</v>
      </c>
      <c r="N228" s="873">
        <f t="shared" si="40"/>
        <v>0</v>
      </c>
      <c r="O228" s="1282"/>
      <c r="Q228" s="1065">
        <f t="shared" si="37"/>
        <v>0</v>
      </c>
      <c r="R228" s="1065">
        <f t="shared" si="37"/>
        <v>0</v>
      </c>
      <c r="S228" s="1065">
        <f t="shared" si="37"/>
        <v>0</v>
      </c>
      <c r="T228" s="1099" t="s">
        <v>999</v>
      </c>
      <c r="U228" s="1100" t="s">
        <v>1016</v>
      </c>
      <c r="V228" s="1099">
        <v>414</v>
      </c>
      <c r="W228" s="1099" t="s">
        <v>1004</v>
      </c>
      <c r="Z228" s="1311">
        <f t="shared" si="35"/>
        <v>0</v>
      </c>
    </row>
    <row r="229" spans="1:26" ht="90" hidden="1" customHeight="1">
      <c r="A229" s="895">
        <v>4</v>
      </c>
      <c r="B229" s="1323" t="s">
        <v>837</v>
      </c>
      <c r="C229" s="871">
        <f t="shared" si="39"/>
        <v>38427.4</v>
      </c>
      <c r="D229" s="887">
        <v>36115.4</v>
      </c>
      <c r="E229" s="887">
        <v>2312</v>
      </c>
      <c r="F229" s="871">
        <f t="shared" si="41"/>
        <v>38427.4</v>
      </c>
      <c r="G229" s="887">
        <f t="shared" si="42"/>
        <v>36115.4</v>
      </c>
      <c r="H229" s="887">
        <f t="shared" si="42"/>
        <v>2312</v>
      </c>
      <c r="I229" s="871">
        <f t="shared" si="38"/>
        <v>9300</v>
      </c>
      <c r="J229" s="887">
        <v>8740.5</v>
      </c>
      <c r="K229" s="887">
        <v>559.5</v>
      </c>
      <c r="L229" s="872">
        <f t="shared" si="40"/>
        <v>24.2</v>
      </c>
      <c r="M229" s="873">
        <f t="shared" si="40"/>
        <v>24.2</v>
      </c>
      <c r="N229" s="873">
        <f t="shared" si="40"/>
        <v>24.2</v>
      </c>
      <c r="O229" s="1282"/>
      <c r="Q229" s="1065">
        <f t="shared" si="37"/>
        <v>0</v>
      </c>
      <c r="R229" s="1065">
        <f t="shared" si="37"/>
        <v>0</v>
      </c>
      <c r="S229" s="1065">
        <f t="shared" si="37"/>
        <v>0</v>
      </c>
      <c r="T229" s="1099" t="s">
        <v>999</v>
      </c>
      <c r="U229" s="1100" t="s">
        <v>1015</v>
      </c>
      <c r="V229" s="1099">
        <v>414</v>
      </c>
      <c r="W229" s="1099" t="s">
        <v>1004</v>
      </c>
      <c r="Z229" s="1311">
        <f t="shared" si="35"/>
        <v>0</v>
      </c>
    </row>
    <row r="230" spans="1:26" ht="90" hidden="1" customHeight="1">
      <c r="A230" s="895">
        <v>5</v>
      </c>
      <c r="B230" s="1323" t="s">
        <v>620</v>
      </c>
      <c r="C230" s="871">
        <f>SUM(D230:E230)</f>
        <v>115978.8</v>
      </c>
      <c r="D230" s="887">
        <v>109001</v>
      </c>
      <c r="E230" s="887">
        <v>6977.8</v>
      </c>
      <c r="F230" s="871">
        <f t="shared" si="41"/>
        <v>115978.8</v>
      </c>
      <c r="G230" s="887">
        <f t="shared" si="42"/>
        <v>109001</v>
      </c>
      <c r="H230" s="887">
        <f t="shared" si="42"/>
        <v>6977.8</v>
      </c>
      <c r="I230" s="871">
        <f t="shared" si="38"/>
        <v>0</v>
      </c>
      <c r="J230" s="887">
        <v>0</v>
      </c>
      <c r="K230" s="887">
        <v>0</v>
      </c>
      <c r="L230" s="872">
        <f t="shared" si="40"/>
        <v>0</v>
      </c>
      <c r="M230" s="873">
        <f t="shared" si="40"/>
        <v>0</v>
      </c>
      <c r="N230" s="873">
        <f t="shared" si="40"/>
        <v>0</v>
      </c>
      <c r="O230" s="1282"/>
      <c r="Q230" s="1065">
        <f t="shared" si="37"/>
        <v>0</v>
      </c>
      <c r="R230" s="1065">
        <f t="shared" si="37"/>
        <v>0</v>
      </c>
      <c r="S230" s="1065">
        <f t="shared" si="37"/>
        <v>0</v>
      </c>
      <c r="T230" s="1099" t="s">
        <v>999</v>
      </c>
      <c r="U230" s="1100" t="s">
        <v>1014</v>
      </c>
      <c r="V230" s="1099">
        <v>414</v>
      </c>
      <c r="W230" s="1099" t="s">
        <v>1004</v>
      </c>
      <c r="Z230" s="1311">
        <f t="shared" si="35"/>
        <v>0</v>
      </c>
    </row>
    <row r="231" spans="1:26" ht="75" hidden="1" customHeight="1">
      <c r="A231" s="895">
        <v>6</v>
      </c>
      <c r="B231" s="1323" t="s">
        <v>471</v>
      </c>
      <c r="C231" s="871">
        <f t="shared" si="39"/>
        <v>9500</v>
      </c>
      <c r="D231" s="887">
        <v>8928.4</v>
      </c>
      <c r="E231" s="887">
        <v>571.6</v>
      </c>
      <c r="F231" s="871">
        <f t="shared" si="41"/>
        <v>9500</v>
      </c>
      <c r="G231" s="887">
        <f t="shared" si="42"/>
        <v>8928.4</v>
      </c>
      <c r="H231" s="887">
        <f t="shared" si="42"/>
        <v>571.6</v>
      </c>
      <c r="I231" s="871">
        <f t="shared" si="38"/>
        <v>614.6</v>
      </c>
      <c r="J231" s="887">
        <v>577.6</v>
      </c>
      <c r="K231" s="887">
        <v>37</v>
      </c>
      <c r="L231" s="872">
        <f t="shared" si="40"/>
        <v>6.5</v>
      </c>
      <c r="M231" s="873">
        <f t="shared" si="40"/>
        <v>6.5</v>
      </c>
      <c r="N231" s="873">
        <f t="shared" si="40"/>
        <v>6.5</v>
      </c>
      <c r="O231" s="1282"/>
      <c r="Q231" s="1065">
        <f t="shared" si="37"/>
        <v>0</v>
      </c>
      <c r="R231" s="1065">
        <f t="shared" si="37"/>
        <v>0</v>
      </c>
      <c r="S231" s="1065">
        <f t="shared" si="37"/>
        <v>0</v>
      </c>
      <c r="T231" s="1099" t="s">
        <v>999</v>
      </c>
      <c r="U231" s="1100" t="s">
        <v>1012</v>
      </c>
      <c r="V231" s="1099">
        <v>414</v>
      </c>
      <c r="W231" s="1099" t="s">
        <v>1004</v>
      </c>
      <c r="Z231" s="1311">
        <f t="shared" si="35"/>
        <v>0</v>
      </c>
    </row>
    <row r="232" spans="1:26" ht="75" hidden="1" customHeight="1">
      <c r="A232" s="895">
        <v>7</v>
      </c>
      <c r="B232" s="1323" t="s">
        <v>472</v>
      </c>
      <c r="C232" s="871">
        <f t="shared" si="39"/>
        <v>16500</v>
      </c>
      <c r="D232" s="887">
        <v>15507.2</v>
      </c>
      <c r="E232" s="887">
        <v>992.8</v>
      </c>
      <c r="F232" s="871">
        <f t="shared" si="41"/>
        <v>16500</v>
      </c>
      <c r="G232" s="887">
        <f t="shared" si="42"/>
        <v>15507.2</v>
      </c>
      <c r="H232" s="887">
        <f t="shared" si="42"/>
        <v>992.8</v>
      </c>
      <c r="I232" s="871">
        <f t="shared" si="38"/>
        <v>550.1</v>
      </c>
      <c r="J232" s="887">
        <v>517</v>
      </c>
      <c r="K232" s="887">
        <v>33.1</v>
      </c>
      <c r="L232" s="872">
        <f t="shared" si="40"/>
        <v>3.3</v>
      </c>
      <c r="M232" s="873">
        <f t="shared" si="40"/>
        <v>3.3</v>
      </c>
      <c r="N232" s="873">
        <f t="shared" si="40"/>
        <v>3.3</v>
      </c>
      <c r="O232" s="1282"/>
      <c r="Q232" s="1065">
        <f t="shared" si="37"/>
        <v>0</v>
      </c>
      <c r="R232" s="1065">
        <f t="shared" si="37"/>
        <v>0</v>
      </c>
      <c r="S232" s="1065">
        <f t="shared" si="37"/>
        <v>0</v>
      </c>
      <c r="T232" s="1099" t="s">
        <v>999</v>
      </c>
      <c r="U232" s="1100" t="s">
        <v>1007</v>
      </c>
      <c r="V232" s="1099">
        <v>414</v>
      </c>
      <c r="W232" s="1099" t="s">
        <v>1004</v>
      </c>
      <c r="Z232" s="1311">
        <f t="shared" si="35"/>
        <v>0</v>
      </c>
    </row>
    <row r="233" spans="1:26" ht="75" hidden="1" customHeight="1">
      <c r="A233" s="895">
        <v>8</v>
      </c>
      <c r="B233" s="1323" t="s">
        <v>473</v>
      </c>
      <c r="C233" s="871">
        <f t="shared" si="39"/>
        <v>10549.1</v>
      </c>
      <c r="D233" s="887">
        <v>9914.4</v>
      </c>
      <c r="E233" s="887">
        <v>634.70000000000005</v>
      </c>
      <c r="F233" s="871">
        <f t="shared" si="41"/>
        <v>10549.1</v>
      </c>
      <c r="G233" s="887">
        <f t="shared" si="42"/>
        <v>9914.4</v>
      </c>
      <c r="H233" s="887">
        <f t="shared" si="42"/>
        <v>634.70000000000005</v>
      </c>
      <c r="I233" s="871">
        <f t="shared" si="38"/>
        <v>4705.6000000000004</v>
      </c>
      <c r="J233" s="887">
        <v>4422.5</v>
      </c>
      <c r="K233" s="887">
        <v>283.10000000000002</v>
      </c>
      <c r="L233" s="872">
        <f t="shared" si="40"/>
        <v>44.6</v>
      </c>
      <c r="M233" s="873">
        <f t="shared" si="40"/>
        <v>44.6</v>
      </c>
      <c r="N233" s="873">
        <f t="shared" si="40"/>
        <v>44.6</v>
      </c>
      <c r="O233" s="1282"/>
      <c r="Q233" s="1065">
        <f t="shared" si="37"/>
        <v>0</v>
      </c>
      <c r="R233" s="1065">
        <f t="shared" si="37"/>
        <v>0</v>
      </c>
      <c r="S233" s="1065">
        <f t="shared" si="37"/>
        <v>0</v>
      </c>
      <c r="T233" s="1099" t="s">
        <v>999</v>
      </c>
      <c r="U233" s="1100" t="s">
        <v>1003</v>
      </c>
      <c r="V233" s="1099">
        <v>414</v>
      </c>
      <c r="W233" s="1099" t="s">
        <v>1004</v>
      </c>
      <c r="Z233" s="1311">
        <f t="shared" si="35"/>
        <v>0</v>
      </c>
    </row>
    <row r="234" spans="1:26" ht="75" hidden="1" customHeight="1">
      <c r="A234" s="895">
        <v>9</v>
      </c>
      <c r="B234" s="1323" t="s">
        <v>474</v>
      </c>
      <c r="C234" s="871">
        <f>SUM(D234:E234)</f>
        <v>26243.8</v>
      </c>
      <c r="D234" s="887">
        <v>24664.799999999999</v>
      </c>
      <c r="E234" s="887">
        <v>1579</v>
      </c>
      <c r="F234" s="871">
        <f t="shared" si="41"/>
        <v>26243.8</v>
      </c>
      <c r="G234" s="887">
        <f t="shared" si="42"/>
        <v>24664.799999999999</v>
      </c>
      <c r="H234" s="887">
        <f t="shared" si="42"/>
        <v>1579</v>
      </c>
      <c r="I234" s="871">
        <f t="shared" si="38"/>
        <v>10925.4</v>
      </c>
      <c r="J234" s="887">
        <v>10268.1</v>
      </c>
      <c r="K234" s="887">
        <v>657.3</v>
      </c>
      <c r="L234" s="872">
        <f t="shared" si="40"/>
        <v>41.6</v>
      </c>
      <c r="M234" s="873">
        <f t="shared" si="40"/>
        <v>41.6</v>
      </c>
      <c r="N234" s="873">
        <f t="shared" si="40"/>
        <v>41.6</v>
      </c>
      <c r="O234" s="1282"/>
      <c r="Q234" s="1065">
        <f t="shared" si="37"/>
        <v>0</v>
      </c>
      <c r="R234" s="1065">
        <f t="shared" si="37"/>
        <v>0</v>
      </c>
      <c r="S234" s="1065">
        <f t="shared" si="37"/>
        <v>0</v>
      </c>
      <c r="T234" s="1099" t="s">
        <v>999</v>
      </c>
      <c r="U234" s="1100" t="s">
        <v>1013</v>
      </c>
      <c r="V234" s="1099">
        <v>414</v>
      </c>
      <c r="W234" s="1099" t="s">
        <v>1004</v>
      </c>
      <c r="Z234" s="1311">
        <f t="shared" si="35"/>
        <v>0</v>
      </c>
    </row>
    <row r="235" spans="1:26" ht="75" hidden="1" customHeight="1">
      <c r="A235" s="895">
        <v>10</v>
      </c>
      <c r="B235" s="1323" t="s">
        <v>617</v>
      </c>
      <c r="C235" s="871">
        <f t="shared" si="39"/>
        <v>81990.7</v>
      </c>
      <c r="D235" s="887">
        <v>77057.899999999994</v>
      </c>
      <c r="E235" s="887">
        <v>4932.8</v>
      </c>
      <c r="F235" s="871">
        <f t="shared" si="41"/>
        <v>81990.7</v>
      </c>
      <c r="G235" s="887">
        <f t="shared" si="42"/>
        <v>77057.899999999994</v>
      </c>
      <c r="H235" s="887">
        <f t="shared" si="42"/>
        <v>4932.8</v>
      </c>
      <c r="I235" s="871">
        <f t="shared" si="38"/>
        <v>0</v>
      </c>
      <c r="J235" s="887">
        <v>0</v>
      </c>
      <c r="K235" s="887">
        <v>0</v>
      </c>
      <c r="L235" s="872">
        <f t="shared" si="40"/>
        <v>0</v>
      </c>
      <c r="M235" s="873">
        <f t="shared" si="40"/>
        <v>0</v>
      </c>
      <c r="N235" s="873">
        <f t="shared" si="40"/>
        <v>0</v>
      </c>
      <c r="O235" s="1282"/>
      <c r="Q235" s="1065">
        <f t="shared" si="37"/>
        <v>0</v>
      </c>
      <c r="R235" s="1065">
        <f t="shared" si="37"/>
        <v>0</v>
      </c>
      <c r="S235" s="1065">
        <f t="shared" si="37"/>
        <v>0</v>
      </c>
      <c r="T235" s="1099" t="s">
        <v>999</v>
      </c>
      <c r="U235" s="1100" t="s">
        <v>1002</v>
      </c>
      <c r="V235" s="1099">
        <v>414</v>
      </c>
      <c r="W235" s="1099" t="s">
        <v>1004</v>
      </c>
      <c r="Z235" s="1311">
        <f t="shared" si="35"/>
        <v>0</v>
      </c>
    </row>
    <row r="236" spans="1:26" ht="75" hidden="1" customHeight="1">
      <c r="A236" s="895">
        <v>12</v>
      </c>
      <c r="B236" s="1323" t="s">
        <v>619</v>
      </c>
      <c r="C236" s="871">
        <f>SUM(D236:E236)</f>
        <v>39448</v>
      </c>
      <c r="D236" s="887">
        <v>37080.800000000003</v>
      </c>
      <c r="E236" s="887">
        <v>2367.1999999999998</v>
      </c>
      <c r="F236" s="871">
        <f t="shared" si="41"/>
        <v>39448</v>
      </c>
      <c r="G236" s="887">
        <f t="shared" si="42"/>
        <v>37080.800000000003</v>
      </c>
      <c r="H236" s="887">
        <f t="shared" si="42"/>
        <v>2367.1999999999998</v>
      </c>
      <c r="I236" s="871">
        <f t="shared" si="38"/>
        <v>0</v>
      </c>
      <c r="J236" s="887">
        <v>0</v>
      </c>
      <c r="K236" s="887">
        <v>0</v>
      </c>
      <c r="L236" s="872">
        <f t="shared" si="40"/>
        <v>0</v>
      </c>
      <c r="M236" s="873">
        <f t="shared" si="40"/>
        <v>0</v>
      </c>
      <c r="N236" s="873">
        <f t="shared" si="40"/>
        <v>0</v>
      </c>
      <c r="O236" s="1282"/>
      <c r="Q236" s="1065">
        <f t="shared" si="37"/>
        <v>0</v>
      </c>
      <c r="R236" s="1065">
        <f t="shared" si="37"/>
        <v>0</v>
      </c>
      <c r="S236" s="1065">
        <f t="shared" si="37"/>
        <v>0</v>
      </c>
      <c r="T236" s="1099" t="s">
        <v>999</v>
      </c>
      <c r="U236" s="1100" t="s">
        <v>1008</v>
      </c>
      <c r="V236" s="1099">
        <v>414</v>
      </c>
      <c r="W236" s="1099" t="s">
        <v>1006</v>
      </c>
      <c r="Z236" s="1311">
        <f t="shared" si="35"/>
        <v>0</v>
      </c>
    </row>
    <row r="237" spans="1:26" s="914" customFormat="1" ht="110.25" hidden="1" customHeight="1">
      <c r="A237" s="1314" t="s">
        <v>248</v>
      </c>
      <c r="B237" s="947" t="s">
        <v>656</v>
      </c>
      <c r="C237" s="948">
        <f>SUM(D237:E237)</f>
        <v>60106.400000000001</v>
      </c>
      <c r="D237" s="949">
        <f>D238</f>
        <v>56500</v>
      </c>
      <c r="E237" s="949">
        <f>E238</f>
        <v>3606.4</v>
      </c>
      <c r="F237" s="950">
        <f t="shared" si="41"/>
        <v>60106.400000000001</v>
      </c>
      <c r="G237" s="949">
        <f>G238</f>
        <v>56500</v>
      </c>
      <c r="H237" s="949">
        <f>H238</f>
        <v>3606.4</v>
      </c>
      <c r="I237" s="950">
        <f t="shared" si="38"/>
        <v>27236.7</v>
      </c>
      <c r="J237" s="949">
        <f>J238</f>
        <v>25602.5</v>
      </c>
      <c r="K237" s="949">
        <f>K238</f>
        <v>1634.2</v>
      </c>
      <c r="L237" s="951">
        <f t="shared" si="40"/>
        <v>45.3</v>
      </c>
      <c r="M237" s="952">
        <f t="shared" si="40"/>
        <v>45.3</v>
      </c>
      <c r="N237" s="952">
        <f t="shared" si="40"/>
        <v>45.3</v>
      </c>
      <c r="O237" s="1282"/>
      <c r="P237" s="1208"/>
      <c r="Q237" s="1065">
        <f t="shared" si="37"/>
        <v>0</v>
      </c>
      <c r="R237" s="1065">
        <f t="shared" si="37"/>
        <v>0</v>
      </c>
      <c r="S237" s="1065">
        <f t="shared" si="37"/>
        <v>0</v>
      </c>
      <c r="T237" s="1099"/>
      <c r="U237" s="1100"/>
      <c r="V237" s="1099"/>
      <c r="W237" s="1099"/>
      <c r="X237" s="1216"/>
      <c r="Z237" s="1311">
        <f t="shared" si="35"/>
        <v>0</v>
      </c>
    </row>
    <row r="238" spans="1:26" ht="58.5" hidden="1" customHeight="1">
      <c r="A238" s="895">
        <v>13</v>
      </c>
      <c r="B238" s="937" t="s">
        <v>623</v>
      </c>
      <c r="C238" s="871">
        <f>SUM(D238:E238)</f>
        <v>60106.400000000001</v>
      </c>
      <c r="D238" s="884">
        <v>56500</v>
      </c>
      <c r="E238" s="887">
        <v>3606.4</v>
      </c>
      <c r="F238" s="871">
        <f t="shared" si="41"/>
        <v>60106.400000000001</v>
      </c>
      <c r="G238" s="884">
        <f>D238</f>
        <v>56500</v>
      </c>
      <c r="H238" s="884">
        <f>E238</f>
        <v>3606.4</v>
      </c>
      <c r="I238" s="1325">
        <f t="shared" si="38"/>
        <v>27236.7</v>
      </c>
      <c r="J238" s="884">
        <v>25602.5</v>
      </c>
      <c r="K238" s="887">
        <v>1634.2</v>
      </c>
      <c r="L238" s="876">
        <f t="shared" si="40"/>
        <v>45.3</v>
      </c>
      <c r="M238" s="877">
        <f t="shared" si="40"/>
        <v>45.3</v>
      </c>
      <c r="N238" s="877">
        <f t="shared" si="40"/>
        <v>45.3</v>
      </c>
      <c r="O238" s="1282"/>
      <c r="Q238" s="1065">
        <f t="shared" si="37"/>
        <v>0</v>
      </c>
      <c r="R238" s="1065">
        <f t="shared" si="37"/>
        <v>0</v>
      </c>
      <c r="S238" s="1065">
        <f t="shared" si="37"/>
        <v>0</v>
      </c>
      <c r="T238" s="1099" t="s">
        <v>999</v>
      </c>
      <c r="U238" s="1100" t="s">
        <v>1017</v>
      </c>
      <c r="V238" s="1099">
        <v>414</v>
      </c>
      <c r="W238" s="1099" t="s">
        <v>1018</v>
      </c>
      <c r="Z238" s="1311">
        <f t="shared" si="35"/>
        <v>0</v>
      </c>
    </row>
    <row r="239" spans="1:26" s="914" customFormat="1" ht="56.25" hidden="1" customHeight="1">
      <c r="A239" s="1305" t="s">
        <v>249</v>
      </c>
      <c r="B239" s="932" t="s">
        <v>39</v>
      </c>
      <c r="C239" s="933">
        <f t="shared" si="39"/>
        <v>114960</v>
      </c>
      <c r="D239" s="933">
        <f>SUM(D240:D243)</f>
        <v>0</v>
      </c>
      <c r="E239" s="933">
        <f>SUM(E240:E243)</f>
        <v>114960</v>
      </c>
      <c r="F239" s="933">
        <f t="shared" si="41"/>
        <v>114960</v>
      </c>
      <c r="G239" s="933">
        <f>SUM(G240:G243)</f>
        <v>0</v>
      </c>
      <c r="H239" s="933">
        <f>SUM(H240:H243)</f>
        <v>114960</v>
      </c>
      <c r="I239" s="933">
        <f t="shared" si="38"/>
        <v>17284.3</v>
      </c>
      <c r="J239" s="933">
        <f>SUM(J240:J243)</f>
        <v>0</v>
      </c>
      <c r="K239" s="933">
        <f>SUM(K240:K243)</f>
        <v>17284.3</v>
      </c>
      <c r="L239" s="935">
        <f t="shared" si="40"/>
        <v>15</v>
      </c>
      <c r="M239" s="936">
        <f t="shared" si="40"/>
        <v>0</v>
      </c>
      <c r="N239" s="936">
        <f t="shared" si="40"/>
        <v>15</v>
      </c>
      <c r="O239" s="1282"/>
      <c r="P239" s="1208"/>
      <c r="Q239" s="1065">
        <f t="shared" si="37"/>
        <v>0</v>
      </c>
      <c r="R239" s="1065">
        <f t="shared" si="37"/>
        <v>0</v>
      </c>
      <c r="S239" s="1065">
        <f t="shared" si="37"/>
        <v>0</v>
      </c>
      <c r="T239" s="1099"/>
      <c r="U239" s="1100"/>
      <c r="V239" s="1099"/>
      <c r="W239" s="1099"/>
      <c r="X239" s="1216"/>
      <c r="Z239" s="1311">
        <f t="shared" si="35"/>
        <v>0</v>
      </c>
    </row>
    <row r="240" spans="1:26" s="736" customFormat="1" ht="58.5" hidden="1" customHeight="1">
      <c r="A240" s="895">
        <v>14</v>
      </c>
      <c r="B240" s="1238" t="s">
        <v>706</v>
      </c>
      <c r="C240" s="871">
        <f>SUM(D240:E240)</f>
        <v>2760</v>
      </c>
      <c r="D240" s="887">
        <v>0</v>
      </c>
      <c r="E240" s="887">
        <v>2760</v>
      </c>
      <c r="F240" s="871">
        <f t="shared" si="41"/>
        <v>2760</v>
      </c>
      <c r="G240" s="887">
        <f t="shared" ref="G240:H243" si="43">D240</f>
        <v>0</v>
      </c>
      <c r="H240" s="887">
        <f t="shared" si="43"/>
        <v>2760</v>
      </c>
      <c r="I240" s="871">
        <f t="shared" si="38"/>
        <v>0</v>
      </c>
      <c r="J240" s="887">
        <v>0</v>
      </c>
      <c r="K240" s="887">
        <v>0</v>
      </c>
      <c r="L240" s="872">
        <f t="shared" si="40"/>
        <v>0</v>
      </c>
      <c r="M240" s="873">
        <f t="shared" si="40"/>
        <v>0</v>
      </c>
      <c r="N240" s="873">
        <f t="shared" si="40"/>
        <v>0</v>
      </c>
      <c r="O240" s="1282"/>
      <c r="P240" s="1208"/>
      <c r="Q240" s="1065">
        <f t="shared" si="37"/>
        <v>0</v>
      </c>
      <c r="R240" s="1065">
        <f t="shared" si="37"/>
        <v>0</v>
      </c>
      <c r="S240" s="1065">
        <f t="shared" si="37"/>
        <v>0</v>
      </c>
      <c r="T240" s="1099" t="s">
        <v>999</v>
      </c>
      <c r="U240" s="1100">
        <v>1110290400</v>
      </c>
      <c r="V240" s="1099">
        <v>414</v>
      </c>
      <c r="W240" s="1099">
        <v>10119</v>
      </c>
      <c r="X240" s="1216"/>
      <c r="Z240" s="1311">
        <f t="shared" si="35"/>
        <v>0</v>
      </c>
    </row>
    <row r="241" spans="1:26" s="736" customFormat="1" ht="59.25" hidden="1" customHeight="1">
      <c r="A241" s="895"/>
      <c r="B241" s="1238" t="s">
        <v>1169</v>
      </c>
      <c r="C241" s="871">
        <f>SUM(D241:E241)</f>
        <v>12000</v>
      </c>
      <c r="D241" s="887">
        <v>0</v>
      </c>
      <c r="E241" s="887">
        <v>12000</v>
      </c>
      <c r="F241" s="871">
        <f t="shared" si="41"/>
        <v>12000</v>
      </c>
      <c r="G241" s="887">
        <f t="shared" si="43"/>
        <v>0</v>
      </c>
      <c r="H241" s="887">
        <f t="shared" si="43"/>
        <v>12000</v>
      </c>
      <c r="I241" s="871">
        <f t="shared" si="38"/>
        <v>0</v>
      </c>
      <c r="J241" s="887">
        <v>0</v>
      </c>
      <c r="K241" s="887">
        <v>0</v>
      </c>
      <c r="L241" s="872"/>
      <c r="M241" s="873"/>
      <c r="N241" s="873"/>
      <c r="O241" s="1282"/>
      <c r="P241" s="1208"/>
      <c r="Q241" s="1065"/>
      <c r="R241" s="1065"/>
      <c r="S241" s="1065"/>
      <c r="T241" s="1099"/>
      <c r="U241" s="1100"/>
      <c r="V241" s="1099"/>
      <c r="W241" s="1099"/>
      <c r="X241" s="1216"/>
      <c r="Z241" s="1311">
        <f t="shared" si="35"/>
        <v>0</v>
      </c>
    </row>
    <row r="242" spans="1:26" s="736" customFormat="1" ht="58.5" hidden="1" customHeight="1">
      <c r="A242" s="895"/>
      <c r="B242" s="1238" t="s">
        <v>268</v>
      </c>
      <c r="C242" s="871">
        <f>SUM(D242:E242)</f>
        <v>700</v>
      </c>
      <c r="D242" s="887">
        <v>0</v>
      </c>
      <c r="E242" s="887">
        <v>700</v>
      </c>
      <c r="F242" s="871">
        <f t="shared" si="41"/>
        <v>700</v>
      </c>
      <c r="G242" s="887">
        <f t="shared" si="43"/>
        <v>0</v>
      </c>
      <c r="H242" s="887">
        <f t="shared" si="43"/>
        <v>700</v>
      </c>
      <c r="I242" s="871">
        <f t="shared" si="38"/>
        <v>274.89999999999998</v>
      </c>
      <c r="J242" s="887">
        <v>0</v>
      </c>
      <c r="K242" s="887">
        <v>274.89999999999998</v>
      </c>
      <c r="L242" s="872">
        <f t="shared" si="40"/>
        <v>39.299999999999997</v>
      </c>
      <c r="M242" s="873">
        <f t="shared" si="40"/>
        <v>0</v>
      </c>
      <c r="N242" s="873">
        <f t="shared" si="40"/>
        <v>39.299999999999997</v>
      </c>
      <c r="O242" s="1282"/>
      <c r="P242" s="1208"/>
      <c r="Q242" s="1065">
        <f>C242-F242</f>
        <v>0</v>
      </c>
      <c r="R242" s="1065">
        <f t="shared" si="37"/>
        <v>0</v>
      </c>
      <c r="S242" s="1065">
        <f t="shared" si="37"/>
        <v>0</v>
      </c>
      <c r="T242" s="1099" t="s">
        <v>999</v>
      </c>
      <c r="U242" s="1100">
        <v>1110290400</v>
      </c>
      <c r="V242" s="1099">
        <v>414</v>
      </c>
      <c r="W242" s="1099">
        <v>10044</v>
      </c>
      <c r="X242" s="1216"/>
      <c r="Z242" s="1311">
        <f t="shared" si="35"/>
        <v>0</v>
      </c>
    </row>
    <row r="243" spans="1:26" s="736" customFormat="1" ht="29.25" hidden="1" customHeight="1">
      <c r="A243" s="895"/>
      <c r="B243" s="1238" t="s">
        <v>263</v>
      </c>
      <c r="C243" s="871">
        <f t="shared" si="39"/>
        <v>99500</v>
      </c>
      <c r="D243" s="887">
        <v>0</v>
      </c>
      <c r="E243" s="887">
        <v>99500</v>
      </c>
      <c r="F243" s="871">
        <f t="shared" si="41"/>
        <v>99500</v>
      </c>
      <c r="G243" s="887">
        <f t="shared" si="43"/>
        <v>0</v>
      </c>
      <c r="H243" s="887">
        <f t="shared" si="43"/>
        <v>99500</v>
      </c>
      <c r="I243" s="871">
        <f t="shared" si="38"/>
        <v>17009.400000000001</v>
      </c>
      <c r="J243" s="887">
        <v>0</v>
      </c>
      <c r="K243" s="887">
        <v>17009.400000000001</v>
      </c>
      <c r="L243" s="872">
        <f t="shared" si="40"/>
        <v>17.100000000000001</v>
      </c>
      <c r="M243" s="873">
        <f t="shared" si="40"/>
        <v>0</v>
      </c>
      <c r="N243" s="873">
        <f t="shared" si="40"/>
        <v>17.100000000000001</v>
      </c>
      <c r="O243" s="1282"/>
      <c r="P243" s="1208"/>
      <c r="Q243" s="1065">
        <f t="shared" si="37"/>
        <v>0</v>
      </c>
      <c r="R243" s="1065">
        <f t="shared" si="37"/>
        <v>0</v>
      </c>
      <c r="S243" s="1065">
        <f t="shared" si="37"/>
        <v>0</v>
      </c>
      <c r="T243" s="1099" t="s">
        <v>999</v>
      </c>
      <c r="U243" s="1100">
        <v>1110290400</v>
      </c>
      <c r="V243" s="1099">
        <v>414</v>
      </c>
      <c r="W243" s="1099">
        <v>10001</v>
      </c>
      <c r="X243" s="1216"/>
      <c r="Z243" s="1311">
        <f t="shared" si="35"/>
        <v>0</v>
      </c>
    </row>
    <row r="244" spans="1:26" ht="35.25" hidden="1" customHeight="1">
      <c r="A244" s="1102"/>
      <c r="B244" s="1079" t="s">
        <v>432</v>
      </c>
      <c r="C244" s="1080"/>
      <c r="D244" s="1079"/>
      <c r="E244" s="1079"/>
      <c r="F244" s="1080"/>
      <c r="G244" s="1079"/>
      <c r="H244" s="1079"/>
      <c r="I244" s="1203"/>
      <c r="J244" s="1210"/>
      <c r="K244" s="1210"/>
      <c r="L244" s="1081"/>
      <c r="M244" s="1082"/>
      <c r="N244" s="1082"/>
      <c r="O244" s="1282"/>
      <c r="Q244" s="1065">
        <f t="shared" si="37"/>
        <v>0</v>
      </c>
      <c r="R244" s="1065">
        <f t="shared" si="37"/>
        <v>0</v>
      </c>
      <c r="S244" s="1065">
        <f t="shared" si="37"/>
        <v>0</v>
      </c>
      <c r="Z244" s="1311">
        <f t="shared" si="35"/>
        <v>0</v>
      </c>
    </row>
    <row r="245" spans="1:26" ht="169.5" hidden="1" customHeight="1">
      <c r="A245" s="2402" t="s">
        <v>836</v>
      </c>
      <c r="B245" s="2406"/>
      <c r="C245" s="893">
        <f t="shared" ref="C245:C250" si="44">SUM(D245:E245)</f>
        <v>865629.1</v>
      </c>
      <c r="D245" s="894">
        <f>SUM(D90,D20:D21)</f>
        <v>853456.8</v>
      </c>
      <c r="E245" s="894">
        <f>SUM(E90,E20:E21)</f>
        <v>12172.3</v>
      </c>
      <c r="F245" s="893">
        <f t="shared" ref="F245:F250" si="45">SUM(G245:H245)</f>
        <v>865629.1</v>
      </c>
      <c r="G245" s="894">
        <f>SUM(G90,G20:G21)</f>
        <v>853456.8</v>
      </c>
      <c r="H245" s="894">
        <f>SUM(H90,H20:H21)</f>
        <v>12172.3</v>
      </c>
      <c r="I245" s="893">
        <f t="shared" ref="I245:I250" si="46">SUM(J245:K245)</f>
        <v>16073.5</v>
      </c>
      <c r="J245" s="894">
        <f>SUM(J90,J20:J21)</f>
        <v>11326.4</v>
      </c>
      <c r="K245" s="894">
        <f>SUM(K90,K20:K21)</f>
        <v>4747.1000000000004</v>
      </c>
      <c r="L245" s="893">
        <f t="shared" ref="L245:L251" si="47">SUM(M245:N245)</f>
        <v>35.4</v>
      </c>
      <c r="M245" s="894">
        <f>SUM(M223,M123,M69)</f>
        <v>17.7</v>
      </c>
      <c r="N245" s="894">
        <f>SUM(N223,N123,N69)</f>
        <v>17.7</v>
      </c>
      <c r="O245" s="1282"/>
      <c r="Q245" s="1065">
        <f t="shared" si="37"/>
        <v>0</v>
      </c>
      <c r="R245" s="1065">
        <f t="shared" si="37"/>
        <v>0</v>
      </c>
      <c r="S245" s="1065">
        <f t="shared" si="37"/>
        <v>0</v>
      </c>
      <c r="Z245" s="1311">
        <f t="shared" si="35"/>
        <v>0</v>
      </c>
    </row>
    <row r="246" spans="1:26" ht="63.75" hidden="1" customHeight="1">
      <c r="A246" s="2402" t="s">
        <v>1098</v>
      </c>
      <c r="B246" s="2406"/>
      <c r="C246" s="893">
        <f t="shared" si="44"/>
        <v>798330.1</v>
      </c>
      <c r="D246" s="894">
        <f>SUM(D19,D102,D100,D101,D125)</f>
        <v>708797.4</v>
      </c>
      <c r="E246" s="894">
        <f>SUM(E19,E102,E100,E101,E125)</f>
        <v>89532.7</v>
      </c>
      <c r="F246" s="893">
        <f>SUM(G246:H246)</f>
        <v>742561.4</v>
      </c>
      <c r="G246" s="894">
        <f>SUM(G19,G102,G100,G101,G125)</f>
        <v>653463.4</v>
      </c>
      <c r="H246" s="894">
        <f>SUM(H19,H102,H100,H101,H125)</f>
        <v>89098</v>
      </c>
      <c r="I246" s="893">
        <f>SUM(J246:K246)</f>
        <v>14847.5</v>
      </c>
      <c r="J246" s="894">
        <f>SUM(J19,J102,J100,J101,J125)</f>
        <v>13936.5</v>
      </c>
      <c r="K246" s="894">
        <f>SUM(K19,K102,K100,K101,K125)</f>
        <v>911</v>
      </c>
      <c r="L246" s="893">
        <f t="shared" si="47"/>
        <v>52</v>
      </c>
      <c r="M246" s="894">
        <f>SUM(M224,M124,M70)</f>
        <v>26</v>
      </c>
      <c r="N246" s="894">
        <f>SUM(N224,N124,N70)</f>
        <v>26</v>
      </c>
      <c r="O246" s="1282"/>
      <c r="Q246" s="1065"/>
      <c r="R246" s="1065"/>
      <c r="S246" s="1065"/>
      <c r="Z246" s="1311">
        <f t="shared" si="35"/>
        <v>55768.7</v>
      </c>
    </row>
    <row r="247" spans="1:26" ht="65.25" hidden="1" customHeight="1">
      <c r="A247" s="2402" t="s">
        <v>780</v>
      </c>
      <c r="B247" s="2406"/>
      <c r="C247" s="893">
        <f t="shared" si="44"/>
        <v>3487177.2</v>
      </c>
      <c r="D247" s="894">
        <f>D144+D70+D224-D249</f>
        <v>3276914.8</v>
      </c>
      <c r="E247" s="894">
        <f>E144+E70+E224-E249</f>
        <v>210262.39999999999</v>
      </c>
      <c r="F247" s="893">
        <f>SUM(G247:H247)</f>
        <v>3485285</v>
      </c>
      <c r="G247" s="894">
        <f>G144+G70+G224-G249</f>
        <v>3275216</v>
      </c>
      <c r="H247" s="894">
        <f>H144+H70+H224-H249</f>
        <v>210069</v>
      </c>
      <c r="I247" s="893">
        <f t="shared" si="46"/>
        <v>253150.8</v>
      </c>
      <c r="J247" s="894">
        <f>J144+J70+J224-J249</f>
        <v>237856.9</v>
      </c>
      <c r="K247" s="894">
        <f>K144+K70+K224-K249</f>
        <v>15293.9</v>
      </c>
      <c r="L247" s="893">
        <f t="shared" si="47"/>
        <v>64.8</v>
      </c>
      <c r="M247" s="894">
        <f>SUM(M224,M144,M70)</f>
        <v>29.4</v>
      </c>
      <c r="N247" s="894">
        <f>SUM(N224,N144,N70)</f>
        <v>35.4</v>
      </c>
      <c r="O247" s="1282"/>
      <c r="Q247" s="1065">
        <f t="shared" si="37"/>
        <v>1892.2</v>
      </c>
      <c r="R247" s="1065">
        <f t="shared" si="37"/>
        <v>1698.8</v>
      </c>
      <c r="S247" s="1065">
        <f t="shared" si="37"/>
        <v>193.4</v>
      </c>
      <c r="Z247" s="1311">
        <f t="shared" si="35"/>
        <v>1892.2</v>
      </c>
    </row>
    <row r="248" spans="1:26" ht="62.25" hidden="1" customHeight="1">
      <c r="A248" s="2402" t="s">
        <v>1031</v>
      </c>
      <c r="B248" s="2406"/>
      <c r="C248" s="893">
        <f t="shared" si="44"/>
        <v>310931.5</v>
      </c>
      <c r="D248" s="894">
        <f>SUM(D249:D250)</f>
        <v>0</v>
      </c>
      <c r="E248" s="894">
        <f>SUM(E249:E250)</f>
        <v>310931.5</v>
      </c>
      <c r="F248" s="893">
        <f t="shared" si="45"/>
        <v>310931.5</v>
      </c>
      <c r="G248" s="894">
        <f>SUM(G249:G250)</f>
        <v>0</v>
      </c>
      <c r="H248" s="894">
        <f>SUM(H249:H250)</f>
        <v>310931.5</v>
      </c>
      <c r="I248" s="893">
        <f t="shared" si="46"/>
        <v>41413.800000000003</v>
      </c>
      <c r="J248" s="894">
        <f>SUM(J249:J250)</f>
        <v>0</v>
      </c>
      <c r="K248" s="894">
        <f>SUM(K249:K250)</f>
        <v>41413.800000000003</v>
      </c>
      <c r="L248" s="893">
        <f t="shared" si="47"/>
        <v>103.6</v>
      </c>
      <c r="M248" s="894">
        <f t="shared" ref="M248:N251" si="48">SUM(M226,M152,M71)</f>
        <v>51.8</v>
      </c>
      <c r="N248" s="894">
        <f t="shared" si="48"/>
        <v>51.8</v>
      </c>
      <c r="O248" s="1282"/>
      <c r="Q248" s="1065">
        <f t="shared" si="37"/>
        <v>0</v>
      </c>
      <c r="R248" s="1065">
        <f t="shared" si="37"/>
        <v>0</v>
      </c>
      <c r="S248" s="1065">
        <f t="shared" si="37"/>
        <v>0</v>
      </c>
      <c r="Z248" s="1311">
        <f t="shared" si="35"/>
        <v>0</v>
      </c>
    </row>
    <row r="249" spans="1:26" ht="36" hidden="1" customHeight="1">
      <c r="A249" s="895"/>
      <c r="B249" s="1323" t="s">
        <v>778</v>
      </c>
      <c r="C249" s="893">
        <f t="shared" si="44"/>
        <v>111250.4</v>
      </c>
      <c r="D249" s="873">
        <f>SUM(D145,D146,D147,D148,D149,D151,D150,D176,D180,D183,D190,D192,D194,D199,D179,D159:D161)</f>
        <v>0</v>
      </c>
      <c r="E249" s="873">
        <f>SUM(E145,E146,E147,E148,E149,E151,E150,E176,E180,E183,E190,E192,E194,E199,E179,E159:E161)</f>
        <v>111250.4</v>
      </c>
      <c r="F249" s="893">
        <f t="shared" si="45"/>
        <v>111250.4</v>
      </c>
      <c r="G249" s="873">
        <f>SUM(G145,G146,G147,G148,G149,G151,G150,G176,G180,G183,G190,G192,G194,G199,G179,G159:G161)</f>
        <v>0</v>
      </c>
      <c r="H249" s="873">
        <f>SUM(H145,H146,H147,H148,H149,H151,H150,H176,H180,H183,H190,H192,H194,H199,H179,H159:H161)</f>
        <v>111250.4</v>
      </c>
      <c r="I249" s="893">
        <f t="shared" si="46"/>
        <v>18579.599999999999</v>
      </c>
      <c r="J249" s="873">
        <f>SUM(J145,J146,J147,J148,J149,J151,J150,J176,J180,J183,J190,J192,J194,J199,J179,J159:J161)</f>
        <v>0</v>
      </c>
      <c r="K249" s="873">
        <f>SUM(K145,K146,K147,K148,K149,K151,K150,K176,K180,K183,K190,K192,K194,K199,K179,K159:K161)</f>
        <v>18579.599999999999</v>
      </c>
      <c r="L249" s="893">
        <f t="shared" si="47"/>
        <v>181.2</v>
      </c>
      <c r="M249" s="894">
        <f t="shared" si="48"/>
        <v>90.6</v>
      </c>
      <c r="N249" s="894">
        <f t="shared" si="48"/>
        <v>90.6</v>
      </c>
      <c r="O249" s="1282"/>
      <c r="Q249" s="1065">
        <f t="shared" si="37"/>
        <v>0</v>
      </c>
      <c r="R249" s="1065">
        <f t="shared" si="37"/>
        <v>0</v>
      </c>
      <c r="S249" s="1065">
        <f t="shared" si="37"/>
        <v>0</v>
      </c>
      <c r="T249" s="1114"/>
      <c r="Z249" s="1311">
        <f t="shared" si="35"/>
        <v>0</v>
      </c>
    </row>
    <row r="250" spans="1:26" ht="36" hidden="1" customHeight="1">
      <c r="A250" s="895"/>
      <c r="B250" s="1323" t="s">
        <v>779</v>
      </c>
      <c r="C250" s="893">
        <f t="shared" si="44"/>
        <v>199681.1</v>
      </c>
      <c r="D250" s="873">
        <f>SUM(D105:D115,D92:D99,D116:D120,D121:D124,D103,D126:D138)</f>
        <v>0</v>
      </c>
      <c r="E250" s="873">
        <f>SUM(E105:E115,E92:E99,E116:E120,E121:E124,E103,E126:E138,E140,E143)</f>
        <v>199681.1</v>
      </c>
      <c r="F250" s="893">
        <f t="shared" si="45"/>
        <v>199681.1</v>
      </c>
      <c r="G250" s="873">
        <f>SUM(G105:G115,G92:G99,G116:G120,G121:G124,G103,G126:G138)</f>
        <v>0</v>
      </c>
      <c r="H250" s="873">
        <f>SUM(H105:H115,H92:H99,H116:H120,H121:H124,H103,H126:H138,H140,H143)</f>
        <v>199681.1</v>
      </c>
      <c r="I250" s="893">
        <f t="shared" si="46"/>
        <v>22834.2</v>
      </c>
      <c r="J250" s="873">
        <f>SUM(J105:J115,J92:J99,J116:J120,J121:J124,J103,J126:J138)</f>
        <v>0</v>
      </c>
      <c r="K250" s="873">
        <f>SUM(K105:K115,K92:K99,K116:K120,K121:K124,K103,K126:K138,K140,K143)</f>
        <v>22834.2</v>
      </c>
      <c r="L250" s="893">
        <f t="shared" si="47"/>
        <v>40</v>
      </c>
      <c r="M250" s="894">
        <f t="shared" si="48"/>
        <v>20</v>
      </c>
      <c r="N250" s="894">
        <f t="shared" si="48"/>
        <v>20</v>
      </c>
      <c r="O250" s="1282"/>
      <c r="Q250" s="1065">
        <f t="shared" si="37"/>
        <v>0</v>
      </c>
      <c r="R250" s="1065">
        <f t="shared" si="37"/>
        <v>0</v>
      </c>
      <c r="S250" s="1065">
        <f t="shared" si="37"/>
        <v>0</v>
      </c>
      <c r="Z250" s="1311">
        <f t="shared" si="35"/>
        <v>0</v>
      </c>
    </row>
    <row r="251" spans="1:26" ht="70.5" hidden="1" customHeight="1">
      <c r="A251" s="2397" t="s">
        <v>1316</v>
      </c>
      <c r="B251" s="2398"/>
      <c r="C251" s="876">
        <f>D251+E251</f>
        <v>681440.7</v>
      </c>
      <c r="D251" s="879">
        <f>D13-D245-D246-D247-D248</f>
        <v>56500</v>
      </c>
      <c r="E251" s="879">
        <f>E13-E245-E246-E247-E248</f>
        <v>624940.69999999995</v>
      </c>
      <c r="F251" s="876">
        <f>G251+H251</f>
        <v>677233.7</v>
      </c>
      <c r="G251" s="879">
        <f>G13-G245-G246-G247-G248</f>
        <v>56500</v>
      </c>
      <c r="H251" s="879">
        <f>H13-H245-H246-H247-H248</f>
        <v>620733.69999999995</v>
      </c>
      <c r="I251" s="876">
        <f>J251+K251</f>
        <v>47119.7</v>
      </c>
      <c r="J251" s="879">
        <f>J13-J245-J246-J247-J248</f>
        <v>25602.5</v>
      </c>
      <c r="K251" s="879">
        <f>K13-K245-K246-K247-K248</f>
        <v>21517.200000000001</v>
      </c>
      <c r="L251" s="893">
        <f t="shared" si="47"/>
        <v>48.4</v>
      </c>
      <c r="M251" s="894">
        <f t="shared" si="48"/>
        <v>24.2</v>
      </c>
      <c r="N251" s="894">
        <f t="shared" si="48"/>
        <v>24.2</v>
      </c>
      <c r="O251" s="1282"/>
      <c r="Q251" s="1065">
        <f t="shared" si="37"/>
        <v>4207</v>
      </c>
      <c r="R251" s="1065">
        <f t="shared" si="37"/>
        <v>0</v>
      </c>
      <c r="S251" s="1065">
        <f t="shared" si="37"/>
        <v>4207</v>
      </c>
      <c r="Z251" s="1311">
        <f>C251-F251</f>
        <v>4207</v>
      </c>
    </row>
    <row r="252" spans="1:26" ht="60" hidden="1" customHeight="1">
      <c r="A252" s="1103"/>
      <c r="B252" s="797"/>
      <c r="C252" s="799"/>
      <c r="D252" s="799"/>
      <c r="E252" s="799"/>
      <c r="F252" s="799"/>
      <c r="G252" s="799"/>
      <c r="H252" s="799"/>
      <c r="I252" s="1204"/>
      <c r="J252" s="799"/>
      <c r="K252" s="799"/>
      <c r="L252" s="799"/>
      <c r="M252" s="799"/>
      <c r="N252" s="799"/>
      <c r="Q252" s="807" t="s">
        <v>813</v>
      </c>
      <c r="R252" s="1070" t="s">
        <v>814</v>
      </c>
      <c r="S252" s="1070" t="s">
        <v>815</v>
      </c>
    </row>
    <row r="253" spans="1:26" s="939" customFormat="1" ht="78.75" hidden="1" customHeight="1">
      <c r="A253" s="1104"/>
      <c r="B253" s="939" t="s">
        <v>310</v>
      </c>
      <c r="C253" s="940"/>
      <c r="D253" s="941"/>
      <c r="E253" s="1288"/>
      <c r="F253" s="941"/>
      <c r="G253" s="942"/>
      <c r="H253" s="942"/>
      <c r="I253" s="1205"/>
      <c r="J253" s="942"/>
      <c r="K253" s="2399" t="s">
        <v>613</v>
      </c>
      <c r="L253" s="2399"/>
      <c r="M253" s="943"/>
      <c r="N253" s="943"/>
      <c r="O253" s="1208"/>
      <c r="P253" s="1208"/>
      <c r="Q253" s="807"/>
      <c r="R253" s="778"/>
      <c r="S253" s="778">
        <f>S141+S142</f>
        <v>0</v>
      </c>
      <c r="T253" s="1138" t="s">
        <v>1034</v>
      </c>
      <c r="U253" s="1100"/>
      <c r="V253" s="1099"/>
      <c r="W253" s="1099"/>
      <c r="X253" s="1216"/>
      <c r="Z253" s="1312"/>
    </row>
    <row r="254" spans="1:26" ht="88.5" hidden="1" customHeight="1">
      <c r="A254" s="1105"/>
      <c r="B254" s="791"/>
      <c r="C254" s="793"/>
      <c r="E254" s="2459"/>
      <c r="F254" s="2459"/>
      <c r="G254" s="756"/>
      <c r="Q254" s="807"/>
      <c r="R254" s="778">
        <f>R222</f>
        <v>1698.8</v>
      </c>
      <c r="S254" s="778">
        <f>S222</f>
        <v>193.5</v>
      </c>
      <c r="T254" s="1138" t="s">
        <v>1033</v>
      </c>
    </row>
    <row r="255" spans="1:26" ht="45" customHeight="1">
      <c r="A255" s="1105"/>
      <c r="B255" s="791"/>
      <c r="C255" s="793"/>
      <c r="E255" s="1316"/>
      <c r="F255" s="1014"/>
      <c r="G255" s="756"/>
      <c r="Q255" s="807"/>
      <c r="R255" s="1071"/>
      <c r="S255" s="1071"/>
      <c r="T255" s="1138"/>
    </row>
    <row r="256" spans="1:26" ht="58.5" customHeight="1">
      <c r="E256" s="742"/>
      <c r="Q256" s="1071"/>
      <c r="R256" s="778">
        <f>R19</f>
        <v>43033.7</v>
      </c>
      <c r="S256" s="778">
        <f>S19</f>
        <v>434.7</v>
      </c>
      <c r="T256" s="1138" t="s">
        <v>816</v>
      </c>
    </row>
    <row r="257" spans="5:20" ht="46.5" customHeight="1">
      <c r="E257" s="742"/>
      <c r="Q257" s="778"/>
      <c r="R257" s="778"/>
      <c r="S257" s="778"/>
      <c r="T257" s="1138"/>
    </row>
    <row r="258" spans="5:20" ht="47.25" customHeight="1">
      <c r="Q258" s="1071"/>
      <c r="R258" s="1071"/>
      <c r="S258" s="778"/>
      <c r="T258" s="1138"/>
    </row>
    <row r="259" spans="5:20" ht="45" customHeight="1">
      <c r="R259" s="756">
        <f>R13-R253-R254-R255-R256-R257-R258</f>
        <v>12300.3</v>
      </c>
      <c r="S259" s="756">
        <f>S13-S253-S254-S255-S256-S257-S258</f>
        <v>4206.8999999999996</v>
      </c>
    </row>
    <row r="260" spans="5:20" ht="56.25" customHeight="1">
      <c r="R260" s="1067"/>
      <c r="S260" s="1067"/>
    </row>
  </sheetData>
  <mergeCells count="104">
    <mergeCell ref="A1:B1"/>
    <mergeCell ref="K1:N1"/>
    <mergeCell ref="I3:L3"/>
    <mergeCell ref="A5:W5"/>
    <mergeCell ref="A6:W6"/>
    <mergeCell ref="A7:W7"/>
    <mergeCell ref="J9:K9"/>
    <mergeCell ref="P9:Q9"/>
    <mergeCell ref="X19:X21"/>
    <mergeCell ref="J10:K10"/>
    <mergeCell ref="L10:L11"/>
    <mergeCell ref="M10:N10"/>
    <mergeCell ref="O10:O11"/>
    <mergeCell ref="P10:P11"/>
    <mergeCell ref="A14:B14"/>
    <mergeCell ref="B10:B11"/>
    <mergeCell ref="C10:C11"/>
    <mergeCell ref="D10:E10"/>
    <mergeCell ref="F10:F11"/>
    <mergeCell ref="G10:H10"/>
    <mergeCell ref="A10:A11"/>
    <mergeCell ref="I10:I11"/>
    <mergeCell ref="I65:I69"/>
    <mergeCell ref="J65:J69"/>
    <mergeCell ref="K65:K69"/>
    <mergeCell ref="L65:L69"/>
    <mergeCell ref="M65:M69"/>
    <mergeCell ref="I38:I39"/>
    <mergeCell ref="J38:J39"/>
    <mergeCell ref="K38:K39"/>
    <mergeCell ref="L38:L39"/>
    <mergeCell ref="M38:M39"/>
    <mergeCell ref="W65:W69"/>
    <mergeCell ref="X65:X69"/>
    <mergeCell ref="P66:P67"/>
    <mergeCell ref="T38:T39"/>
    <mergeCell ref="U38:U39"/>
    <mergeCell ref="V38:V39"/>
    <mergeCell ref="W38:W39"/>
    <mergeCell ref="X38:X39"/>
    <mergeCell ref="N65:N69"/>
    <mergeCell ref="T65:T69"/>
    <mergeCell ref="U65:U69"/>
    <mergeCell ref="V65:V69"/>
    <mergeCell ref="N38:N39"/>
    <mergeCell ref="T100:T101"/>
    <mergeCell ref="U100:U101"/>
    <mergeCell ref="V100:V101"/>
    <mergeCell ref="M181:M182"/>
    <mergeCell ref="W100:W101"/>
    <mergeCell ref="X100:X101"/>
    <mergeCell ref="A103:A104"/>
    <mergeCell ref="I100:I101"/>
    <mergeCell ref="J100:J101"/>
    <mergeCell ref="K100:K101"/>
    <mergeCell ref="L100:L101"/>
    <mergeCell ref="M100:M101"/>
    <mergeCell ref="N100:N101"/>
    <mergeCell ref="N152:N158"/>
    <mergeCell ref="X152:X158"/>
    <mergeCell ref="N181:N182"/>
    <mergeCell ref="O181:O182"/>
    <mergeCell ref="P181:P182"/>
    <mergeCell ref="A176:A177"/>
    <mergeCell ref="I181:I182"/>
    <mergeCell ref="J181:J182"/>
    <mergeCell ref="K181:K182"/>
    <mergeCell ref="L181:L182"/>
    <mergeCell ref="X184:X186"/>
    <mergeCell ref="T181:T182"/>
    <mergeCell ref="U181:U182"/>
    <mergeCell ref="V181:V182"/>
    <mergeCell ref="W181:W182"/>
    <mergeCell ref="X181:X182"/>
    <mergeCell ref="A247:B247"/>
    <mergeCell ref="T152:T158"/>
    <mergeCell ref="U152:U158"/>
    <mergeCell ref="V152:V158"/>
    <mergeCell ref="W152:W158"/>
    <mergeCell ref="W184:W186"/>
    <mergeCell ref="J152:J158"/>
    <mergeCell ref="K152:K158"/>
    <mergeCell ref="L152:L158"/>
    <mergeCell ref="M152:M158"/>
    <mergeCell ref="A190:A191"/>
    <mergeCell ref="A192:A193"/>
    <mergeCell ref="M184:M186"/>
    <mergeCell ref="N184:N186"/>
    <mergeCell ref="T184:T186"/>
    <mergeCell ref="U184:U186"/>
    <mergeCell ref="V184:V186"/>
    <mergeCell ref="I184:I186"/>
    <mergeCell ref="J184:J186"/>
    <mergeCell ref="K184:K186"/>
    <mergeCell ref="L184:L186"/>
    <mergeCell ref="A251:B251"/>
    <mergeCell ref="K253:L253"/>
    <mergeCell ref="E254:F254"/>
    <mergeCell ref="A199:A200"/>
    <mergeCell ref="A202:B202"/>
    <mergeCell ref="A245:B245"/>
    <mergeCell ref="A246:B246"/>
    <mergeCell ref="A248:B248"/>
    <mergeCell ref="A194:A195"/>
  </mergeCells>
  <pageMargins left="0.21" right="0.18" top="0.28999999999999998" bottom="0.3" header="0.17" footer="0.21"/>
  <pageSetup paperSize="9" scale="37" orientation="landscape" r:id="rId1"/>
  <customProperties>
    <customPr name="krista_fm_consts" r:id="rId2"/>
  </customProperties>
</worksheet>
</file>

<file path=xl/worksheets/sheet34.xml><?xml version="1.0" encoding="utf-8"?>
<worksheet xmlns="http://schemas.openxmlformats.org/spreadsheetml/2006/main" xmlns:r="http://schemas.openxmlformats.org/officeDocument/2006/relationships">
  <dimension ref="A1:AG262"/>
  <sheetViews>
    <sheetView topLeftCell="A129" zoomScale="60" zoomScaleNormal="60" zoomScaleSheetLayoutView="40" workbookViewId="0">
      <selection activeCell="A206" sqref="A206"/>
    </sheetView>
  </sheetViews>
  <sheetFormatPr defaultColWidth="9.140625" defaultRowHeight="30"/>
  <cols>
    <col min="1" max="1" width="14.140625" style="1101" customWidth="1"/>
    <col min="2" max="2" width="122" style="497" customWidth="1"/>
    <col min="3" max="3" width="24.140625" style="700" customWidth="1"/>
    <col min="4" max="4" width="24.28515625" style="497" customWidth="1"/>
    <col min="5" max="5" width="23.28515625" style="497" customWidth="1"/>
    <col min="6" max="6" width="23.28515625" style="700" customWidth="1"/>
    <col min="7" max="7" width="25.85546875" style="497" customWidth="1"/>
    <col min="8" max="8" width="23.42578125" style="497" customWidth="1"/>
    <col min="9" max="9" width="24.140625" style="714" customWidth="1"/>
    <col min="10" max="10" width="27.42578125" style="497" customWidth="1"/>
    <col min="11" max="11" width="22" style="497" customWidth="1"/>
    <col min="12" max="12" width="23.28515625" style="700" customWidth="1"/>
    <col min="13" max="14" width="22" style="497" customWidth="1"/>
    <col min="15" max="15" width="43" style="1208" hidden="1" customWidth="1"/>
    <col min="16" max="16" width="81.7109375" style="1208" hidden="1" customWidth="1"/>
    <col min="17" max="17" width="20" style="497" hidden="1" customWidth="1"/>
    <col min="18" max="18" width="23.140625" style="497" customWidth="1"/>
    <col min="19" max="19" width="20" style="497" customWidth="1"/>
    <col min="20" max="20" width="24.5703125" style="1099" hidden="1" customWidth="1"/>
    <col min="21" max="21" width="38.42578125" style="1100" hidden="1" customWidth="1"/>
    <col min="22" max="22" width="31.28515625" style="1099" hidden="1" customWidth="1"/>
    <col min="23" max="23" width="53.42578125" style="1099" hidden="1" customWidth="1"/>
    <col min="24" max="24" width="74.140625" style="1216" hidden="1" customWidth="1"/>
    <col min="25" max="25" width="9.140625" style="497" hidden="1" customWidth="1"/>
    <col min="26" max="26" width="22" style="1035" hidden="1" customWidth="1"/>
    <col min="27" max="27" width="38.85546875" style="497" hidden="1" customWidth="1"/>
    <col min="28" max="29" width="23.140625" style="1455" hidden="1" customWidth="1"/>
    <col min="30" max="30" width="20.85546875" style="497" hidden="1" customWidth="1"/>
    <col min="31" max="31" width="2.85546875" style="497" customWidth="1"/>
    <col min="32" max="32" width="25.85546875" style="497" customWidth="1"/>
    <col min="33" max="33" width="35.140625" style="497" customWidth="1"/>
    <col min="34" max="16384" width="9.140625" style="497"/>
  </cols>
  <sheetData>
    <row r="1" spans="1:30">
      <c r="A1" s="2359"/>
      <c r="B1" s="2359"/>
      <c r="C1" s="817"/>
      <c r="D1" s="817"/>
      <c r="E1" s="817"/>
      <c r="F1" s="817"/>
      <c r="G1" s="817"/>
      <c r="H1" s="817"/>
      <c r="I1" s="817"/>
      <c r="K1" s="2384" t="s">
        <v>513</v>
      </c>
      <c r="L1" s="2384"/>
      <c r="M1" s="2384"/>
      <c r="N1" s="2384"/>
    </row>
    <row r="2" spans="1:30" hidden="1">
      <c r="B2" s="1516"/>
      <c r="C2" s="714"/>
      <c r="D2" s="1516"/>
      <c r="E2" s="1516"/>
      <c r="L2" s="714"/>
    </row>
    <row r="3" spans="1:30" s="467" customFormat="1" hidden="1">
      <c r="A3" s="860"/>
      <c r="B3" s="859"/>
      <c r="C3" s="715"/>
      <c r="D3" s="716"/>
      <c r="E3" s="716"/>
      <c r="F3" s="715"/>
      <c r="G3" s="716"/>
      <c r="H3" s="716"/>
      <c r="I3" s="2312"/>
      <c r="J3" s="2312"/>
      <c r="K3" s="2312"/>
      <c r="L3" s="2312"/>
      <c r="N3" s="717"/>
      <c r="O3" s="1221"/>
      <c r="P3" s="1221"/>
      <c r="T3" s="1107"/>
      <c r="U3" s="1108"/>
      <c r="V3" s="1107"/>
      <c r="W3" s="1107"/>
      <c r="X3" s="1217"/>
      <c r="Z3" s="1032"/>
      <c r="AB3" s="1456"/>
      <c r="AC3" s="1456"/>
    </row>
    <row r="4" spans="1:30" s="467" customFormat="1" ht="43.5" hidden="1" customHeight="1">
      <c r="A4" s="860"/>
      <c r="B4" s="859"/>
      <c r="C4" s="815">
        <f>6162009.6</f>
        <v>6162009.5999999996</v>
      </c>
      <c r="D4" s="716"/>
      <c r="E4" s="716"/>
      <c r="F4" s="815">
        <v>5873905</v>
      </c>
      <c r="G4" s="469"/>
      <c r="H4" s="469"/>
      <c r="I4" s="1199">
        <v>2407625.6</v>
      </c>
      <c r="J4" s="469"/>
      <c r="K4" s="469"/>
      <c r="L4" s="1272"/>
      <c r="N4" s="717"/>
      <c r="O4" s="1221"/>
      <c r="P4" s="1221"/>
      <c r="T4" s="1107"/>
      <c r="U4" s="1108"/>
      <c r="V4" s="1107"/>
      <c r="W4" s="1107"/>
      <c r="X4" s="1217"/>
      <c r="Z4" s="1032"/>
      <c r="AB4" s="1456"/>
      <c r="AC4" s="1456"/>
    </row>
    <row r="5" spans="1:30" s="467" customFormat="1" ht="28.5" customHeight="1">
      <c r="A5" s="2473" t="s">
        <v>5</v>
      </c>
      <c r="B5" s="2473"/>
      <c r="C5" s="2473"/>
      <c r="D5" s="2473"/>
      <c r="E5" s="2473"/>
      <c r="F5" s="2473"/>
      <c r="G5" s="2473"/>
      <c r="H5" s="2473"/>
      <c r="I5" s="2473"/>
      <c r="J5" s="2473"/>
      <c r="K5" s="2473"/>
      <c r="L5" s="2473"/>
      <c r="M5" s="2473"/>
      <c r="N5" s="2473"/>
      <c r="O5" s="2473"/>
      <c r="P5" s="2473"/>
      <c r="Q5" s="2473"/>
      <c r="R5" s="2473"/>
      <c r="S5" s="2473"/>
      <c r="T5" s="2473"/>
      <c r="U5" s="2473"/>
      <c r="V5" s="2473"/>
      <c r="W5" s="2473"/>
      <c r="X5" s="1217"/>
      <c r="Z5" s="1032"/>
      <c r="AB5" s="1456"/>
      <c r="AC5" s="1456"/>
    </row>
    <row r="6" spans="1:30" s="467" customFormat="1" ht="38.25" customHeight="1">
      <c r="A6" s="2473" t="s">
        <v>236</v>
      </c>
      <c r="B6" s="2473"/>
      <c r="C6" s="2473"/>
      <c r="D6" s="2473"/>
      <c r="E6" s="2473"/>
      <c r="F6" s="2473"/>
      <c r="G6" s="2473"/>
      <c r="H6" s="2473"/>
      <c r="I6" s="2473"/>
      <c r="J6" s="2473"/>
      <c r="K6" s="2473"/>
      <c r="L6" s="2473"/>
      <c r="M6" s="2473"/>
      <c r="N6" s="2473"/>
      <c r="O6" s="2473"/>
      <c r="P6" s="2473"/>
      <c r="Q6" s="2473"/>
      <c r="R6" s="2473"/>
      <c r="S6" s="2473"/>
      <c r="T6" s="2473"/>
      <c r="U6" s="2473"/>
      <c r="V6" s="2473"/>
      <c r="W6" s="2473"/>
      <c r="X6" s="1217"/>
      <c r="Z6" s="1032"/>
      <c r="AB6" s="1456"/>
      <c r="AC6" s="1456"/>
    </row>
    <row r="7" spans="1:30" s="467" customFormat="1" ht="38.25" customHeight="1">
      <c r="A7" s="2473" t="s">
        <v>1383</v>
      </c>
      <c r="B7" s="2473"/>
      <c r="C7" s="2473"/>
      <c r="D7" s="2473"/>
      <c r="E7" s="2473"/>
      <c r="F7" s="2473"/>
      <c r="G7" s="2473"/>
      <c r="H7" s="2473"/>
      <c r="I7" s="2473"/>
      <c r="J7" s="2473"/>
      <c r="K7" s="2473"/>
      <c r="L7" s="2473"/>
      <c r="M7" s="2473"/>
      <c r="N7" s="2473"/>
      <c r="O7" s="2473"/>
      <c r="P7" s="2473"/>
      <c r="Q7" s="2473"/>
      <c r="R7" s="2473"/>
      <c r="S7" s="2473"/>
      <c r="T7" s="2473"/>
      <c r="U7" s="2473"/>
      <c r="V7" s="2473"/>
      <c r="W7" s="2473"/>
      <c r="X7" s="1217"/>
      <c r="Z7" s="1032"/>
      <c r="AB7" s="1456"/>
      <c r="AC7" s="1456"/>
    </row>
    <row r="8" spans="1:30" s="1063" customFormat="1" ht="25.5" customHeight="1">
      <c r="A8" s="1073"/>
      <c r="B8" s="1073"/>
      <c r="C8" s="1061"/>
      <c r="D8" s="1351"/>
      <c r="E8" s="1058"/>
      <c r="F8" s="1061"/>
      <c r="G8" s="1058"/>
      <c r="H8" s="1060"/>
      <c r="I8" s="1201"/>
      <c r="J8" s="1364"/>
      <c r="K8" s="1364"/>
      <c r="L8" s="1409"/>
      <c r="N8" s="1062"/>
      <c r="O8" s="1221"/>
      <c r="P8" s="2423"/>
      <c r="Q8" s="2423"/>
      <c r="T8" s="1107"/>
      <c r="U8" s="1108"/>
      <c r="V8" s="1107"/>
      <c r="W8" s="1107"/>
      <c r="X8" s="1212"/>
      <c r="Z8" s="1309"/>
      <c r="AB8" s="1457"/>
      <c r="AC8" s="1457"/>
    </row>
    <row r="9" spans="1:30" s="791" customFormat="1" ht="70.5" customHeight="1">
      <c r="A9" s="2394" t="s">
        <v>18</v>
      </c>
      <c r="B9" s="2395" t="s">
        <v>0</v>
      </c>
      <c r="C9" s="2396" t="s">
        <v>614</v>
      </c>
      <c r="D9" s="2424" t="s">
        <v>257</v>
      </c>
      <c r="E9" s="2424"/>
      <c r="F9" s="2396" t="s">
        <v>442</v>
      </c>
      <c r="G9" s="2424" t="s">
        <v>257</v>
      </c>
      <c r="H9" s="2424"/>
      <c r="I9" s="2407" t="s">
        <v>237</v>
      </c>
      <c r="J9" s="2424" t="s">
        <v>257</v>
      </c>
      <c r="K9" s="2424"/>
      <c r="L9" s="2396" t="s">
        <v>1313</v>
      </c>
      <c r="M9" s="2424" t="s">
        <v>448</v>
      </c>
      <c r="N9" s="2424"/>
      <c r="O9" s="2460" t="s">
        <v>1110</v>
      </c>
      <c r="P9" s="2460" t="s">
        <v>1106</v>
      </c>
      <c r="T9" s="1099"/>
      <c r="U9" s="1100"/>
      <c r="V9" s="1099"/>
      <c r="W9" s="1099"/>
      <c r="X9" s="1216"/>
      <c r="Z9" s="1310"/>
      <c r="AB9" s="1458"/>
      <c r="AC9" s="1458"/>
    </row>
    <row r="10" spans="1:30" s="791" customFormat="1" ht="150" customHeight="1">
      <c r="A10" s="2394"/>
      <c r="B10" s="2395"/>
      <c r="C10" s="2396"/>
      <c r="D10" s="905" t="s">
        <v>1074</v>
      </c>
      <c r="E10" s="905" t="s">
        <v>258</v>
      </c>
      <c r="F10" s="2396"/>
      <c r="G10" s="905" t="s">
        <v>1074</v>
      </c>
      <c r="H10" s="905" t="s">
        <v>258</v>
      </c>
      <c r="I10" s="2408"/>
      <c r="J10" s="905" t="s">
        <v>1074</v>
      </c>
      <c r="K10" s="905" t="s">
        <v>258</v>
      </c>
      <c r="L10" s="2396"/>
      <c r="M10" s="905" t="s">
        <v>1074</v>
      </c>
      <c r="N10" s="905" t="s">
        <v>258</v>
      </c>
      <c r="O10" s="2461"/>
      <c r="P10" s="2461"/>
      <c r="T10" s="1099"/>
      <c r="U10" s="1100"/>
      <c r="V10" s="1099"/>
      <c r="W10" s="1099"/>
      <c r="X10" s="1216"/>
      <c r="Z10" s="1310"/>
      <c r="AB10" s="1458"/>
      <c r="AC10" s="1458"/>
      <c r="AD10" s="1423"/>
    </row>
    <row r="11" spans="1:30" ht="26.25">
      <c r="A11" s="263">
        <v>1</v>
      </c>
      <c r="B11" s="263">
        <v>2</v>
      </c>
      <c r="C11" s="1401">
        <v>3</v>
      </c>
      <c r="D11" s="263">
        <v>4</v>
      </c>
      <c r="E11" s="263">
        <v>5</v>
      </c>
      <c r="F11" s="1404">
        <v>7</v>
      </c>
      <c r="G11" s="721">
        <v>8</v>
      </c>
      <c r="H11" s="721">
        <v>9</v>
      </c>
      <c r="I11" s="1404">
        <v>10</v>
      </c>
      <c r="J11" s="721">
        <v>11</v>
      </c>
      <c r="K11" s="721">
        <v>12</v>
      </c>
      <c r="L11" s="1404">
        <v>13</v>
      </c>
      <c r="M11" s="721">
        <v>14</v>
      </c>
      <c r="N11" s="721">
        <v>15</v>
      </c>
      <c r="O11" s="30">
        <v>10</v>
      </c>
      <c r="P11" s="30">
        <v>11</v>
      </c>
      <c r="Q11" s="497" t="s">
        <v>791</v>
      </c>
      <c r="T11" s="1206"/>
      <c r="U11" s="1207"/>
      <c r="V11" s="1206"/>
      <c r="W11" s="1206"/>
    </row>
    <row r="12" spans="1:30" s="914" customFormat="1" ht="43.5" customHeight="1">
      <c r="A12" s="1313"/>
      <c r="B12" s="916" t="s">
        <v>10</v>
      </c>
      <c r="C12" s="917">
        <f>SUM(D12:E12)</f>
        <v>6691491.4000000004</v>
      </c>
      <c r="D12" s="917">
        <f>SUM(D13,D196,D239)</f>
        <v>5580911</v>
      </c>
      <c r="E12" s="917">
        <f>SUM(E13,E196,E239)</f>
        <v>1110580.3999999999</v>
      </c>
      <c r="F12" s="917">
        <f>SUM(G12:H12)</f>
        <v>6525155.5999999996</v>
      </c>
      <c r="G12" s="917">
        <f>SUM(G13,G196,G239)</f>
        <v>5425249.4000000004</v>
      </c>
      <c r="H12" s="917">
        <f>SUM(H13,H196,H239)</f>
        <v>1099906.2</v>
      </c>
      <c r="I12" s="917">
        <f>SUM(J12:K12)</f>
        <v>1764481.5</v>
      </c>
      <c r="J12" s="917">
        <f>SUM(J13,J196,J239)</f>
        <v>1522443.4</v>
      </c>
      <c r="K12" s="917">
        <f>SUM(K13,K196,K239)</f>
        <v>242038.1</v>
      </c>
      <c r="L12" s="918">
        <f t="shared" ref="L12:N27" si="0">IF(I12=0,0,I12/F12*100)</f>
        <v>27</v>
      </c>
      <c r="M12" s="918">
        <f t="shared" si="0"/>
        <v>28.1</v>
      </c>
      <c r="N12" s="918">
        <f t="shared" si="0"/>
        <v>22</v>
      </c>
      <c r="O12" s="1232" t="s">
        <v>353</v>
      </c>
      <c r="P12" s="1232"/>
      <c r="Q12" s="1229">
        <f t="shared" ref="Q12:S69" si="1">C12-F12</f>
        <v>166335.79999999999</v>
      </c>
      <c r="R12" s="1229">
        <f t="shared" si="1"/>
        <v>155661.6</v>
      </c>
      <c r="S12" s="1229">
        <f t="shared" si="1"/>
        <v>10674.2</v>
      </c>
      <c r="T12" s="1230"/>
      <c r="U12" s="1231"/>
      <c r="V12" s="1230"/>
      <c r="W12" s="1230"/>
      <c r="X12" s="1216"/>
      <c r="Z12" s="1311">
        <f t="shared" ref="Z12:Z75" si="2">C12-F12</f>
        <v>166335.79999999999</v>
      </c>
      <c r="AA12" s="1374">
        <f>C12-F12</f>
        <v>166335.79999999999</v>
      </c>
      <c r="AB12" s="1459">
        <f t="shared" ref="AB12:AC27" si="3">D12-G12</f>
        <v>155661.6</v>
      </c>
      <c r="AC12" s="1459">
        <f t="shared" si="3"/>
        <v>10674.2</v>
      </c>
    </row>
    <row r="13" spans="1:30" s="914" customFormat="1" ht="69.75" customHeight="1">
      <c r="A13" s="2401" t="s">
        <v>453</v>
      </c>
      <c r="B13" s="2401"/>
      <c r="C13" s="917">
        <f>D13+E13</f>
        <v>4896279</v>
      </c>
      <c r="D13" s="917">
        <f>SUM(D14,D79)</f>
        <v>4071411</v>
      </c>
      <c r="E13" s="917">
        <f>SUM(E14,E79)</f>
        <v>824868</v>
      </c>
      <c r="F13" s="917">
        <f>G13+H13</f>
        <v>4882578.5999999996</v>
      </c>
      <c r="G13" s="917">
        <f>SUM(G14,G79)</f>
        <v>4059110.7</v>
      </c>
      <c r="H13" s="917">
        <f>SUM(H14,H79)</f>
        <v>823467.9</v>
      </c>
      <c r="I13" s="917">
        <f>J13+K13</f>
        <v>891480</v>
      </c>
      <c r="J13" s="917">
        <f>SUM(J14,J79)</f>
        <v>720917.1</v>
      </c>
      <c r="K13" s="917">
        <f>SUM(K14,K79)</f>
        <v>170562.9</v>
      </c>
      <c r="L13" s="918">
        <f t="shared" si="0"/>
        <v>18.3</v>
      </c>
      <c r="M13" s="920">
        <f t="shared" si="0"/>
        <v>17.8</v>
      </c>
      <c r="N13" s="920">
        <f t="shared" si="0"/>
        <v>20.7</v>
      </c>
      <c r="O13" s="1232" t="s">
        <v>353</v>
      </c>
      <c r="P13" s="1232" t="s">
        <v>353</v>
      </c>
      <c r="Q13" s="1229">
        <f t="shared" si="1"/>
        <v>13700.4</v>
      </c>
      <c r="R13" s="1229">
        <f t="shared" si="1"/>
        <v>12300.3</v>
      </c>
      <c r="S13" s="1229">
        <f t="shared" si="1"/>
        <v>1400.1</v>
      </c>
      <c r="T13" s="1230"/>
      <c r="U13" s="1231"/>
      <c r="V13" s="1230"/>
      <c r="W13" s="1230"/>
      <c r="X13" s="1216"/>
      <c r="Z13" s="1311">
        <f t="shared" si="2"/>
        <v>13700.4</v>
      </c>
      <c r="AA13" s="1374">
        <f t="shared" ref="AA13:AC68" si="4">C13-F13</f>
        <v>13700.4</v>
      </c>
      <c r="AB13" s="1459">
        <f t="shared" si="3"/>
        <v>12300.3</v>
      </c>
      <c r="AC13" s="1459">
        <f t="shared" si="3"/>
        <v>1400.1</v>
      </c>
    </row>
    <row r="14" spans="1:30" s="914" customFormat="1" ht="117" customHeight="1">
      <c r="A14" s="1447" t="s">
        <v>6</v>
      </c>
      <c r="B14" s="1259" t="s">
        <v>439</v>
      </c>
      <c r="C14" s="926">
        <f>SUM(D14:E14)</f>
        <v>1292832.8999999999</v>
      </c>
      <c r="D14" s="926">
        <f>SUM(D15)</f>
        <v>1097694.6000000001</v>
      </c>
      <c r="E14" s="926">
        <f>SUM(E15)</f>
        <v>195138.3</v>
      </c>
      <c r="F14" s="926">
        <f>SUM(G14:H14)</f>
        <v>1291432.8</v>
      </c>
      <c r="G14" s="926">
        <f>SUM(G15)</f>
        <v>1097694.6000000001</v>
      </c>
      <c r="H14" s="926">
        <f>SUM(H15)</f>
        <v>193738.2</v>
      </c>
      <c r="I14" s="926">
        <f>SUM(J14:K14)</f>
        <v>274646.59999999998</v>
      </c>
      <c r="J14" s="926">
        <f>SUM(J15)</f>
        <v>238976.4</v>
      </c>
      <c r="K14" s="926">
        <f>SUM(K15)</f>
        <v>35670.199999999997</v>
      </c>
      <c r="L14" s="927">
        <f t="shared" si="0"/>
        <v>21.3</v>
      </c>
      <c r="M14" s="928">
        <f t="shared" si="0"/>
        <v>21.8</v>
      </c>
      <c r="N14" s="928">
        <f t="shared" si="0"/>
        <v>18.399999999999999</v>
      </c>
      <c r="O14" s="1233" t="s">
        <v>353</v>
      </c>
      <c r="P14" s="1233" t="s">
        <v>353</v>
      </c>
      <c r="Q14" s="1065">
        <f t="shared" si="1"/>
        <v>1400.1</v>
      </c>
      <c r="R14" s="1065">
        <f t="shared" si="1"/>
        <v>0</v>
      </c>
      <c r="S14" s="1065">
        <f t="shared" si="1"/>
        <v>1400.1</v>
      </c>
      <c r="T14" s="1114"/>
      <c r="U14" s="1100"/>
      <c r="V14" s="1099"/>
      <c r="W14" s="1099"/>
      <c r="X14" s="1216"/>
      <c r="Z14" s="1311">
        <f t="shared" si="2"/>
        <v>1400.1</v>
      </c>
      <c r="AA14" s="1374">
        <f t="shared" si="4"/>
        <v>1400.1</v>
      </c>
      <c r="AB14" s="1459">
        <f t="shared" si="3"/>
        <v>0</v>
      </c>
      <c r="AC14" s="1459">
        <f t="shared" si="3"/>
        <v>1400.1</v>
      </c>
    </row>
    <row r="15" spans="1:30" s="914" customFormat="1" ht="63.75" customHeight="1">
      <c r="A15" s="1448" t="s">
        <v>253</v>
      </c>
      <c r="B15" s="1260" t="s">
        <v>41</v>
      </c>
      <c r="C15" s="929">
        <f>SUM(D15:E15)</f>
        <v>1292832.8999999999</v>
      </c>
      <c r="D15" s="929">
        <f>SUM(D16:D16,D17,D19,D22,D24,D27,D30,D32,D37,D40,D43,D47,D53,D61,D55,D18,D50)</f>
        <v>1097694.6000000001</v>
      </c>
      <c r="E15" s="929">
        <f>SUM(E16:E16,E17,E19,E22,E24,E27,E30,E32,E37,E40,E43,E47,E53,E61,E55,E18,E50)</f>
        <v>195138.3</v>
      </c>
      <c r="F15" s="929">
        <f>SUM(G15:H15)</f>
        <v>1291432.8</v>
      </c>
      <c r="G15" s="929">
        <f>SUM(G16:G16,G17,G19,G22,G24,G27,G30,G32,G37,G40,G43,G47,G53,G61,G55,G18,G50)</f>
        <v>1097694.6000000001</v>
      </c>
      <c r="H15" s="929">
        <f>SUM(H16:H16,H17,H19,H22,H24,H27,H30,H32,H37,H40,H43,H47,H53,H61,H55,H18,H50)</f>
        <v>193738.2</v>
      </c>
      <c r="I15" s="929">
        <f>SUM(J15:K15)</f>
        <v>274646.59999999998</v>
      </c>
      <c r="J15" s="929">
        <f>SUM(J16:J16,J17,J19,J22,J24,J27,J30,J32,J37,J40,J43,J47,J53,J61,J55,J18,J50)</f>
        <v>238976.4</v>
      </c>
      <c r="K15" s="929">
        <f>SUM(K16,K17,K19,K22,K24,K27,K30,K32,K37,K40,K43,K47,K53,K61,K55,K18,K50)</f>
        <v>35670.199999999997</v>
      </c>
      <c r="L15" s="930">
        <f t="shared" si="0"/>
        <v>21.3</v>
      </c>
      <c r="M15" s="931">
        <f t="shared" si="0"/>
        <v>21.8</v>
      </c>
      <c r="N15" s="931">
        <f t="shared" si="0"/>
        <v>18.399999999999999</v>
      </c>
      <c r="O15" s="1228" t="s">
        <v>353</v>
      </c>
      <c r="P15" s="1228" t="s">
        <v>353</v>
      </c>
      <c r="Q15" s="1065">
        <f t="shared" si="1"/>
        <v>1400.1</v>
      </c>
      <c r="R15" s="1065">
        <f t="shared" si="1"/>
        <v>0</v>
      </c>
      <c r="S15" s="1065">
        <f t="shared" si="1"/>
        <v>1400.1</v>
      </c>
      <c r="T15" s="1099"/>
      <c r="U15" s="1100"/>
      <c r="V15" s="1099"/>
      <c r="W15" s="1099"/>
      <c r="X15" s="1216"/>
      <c r="Z15" s="1311">
        <f t="shared" si="2"/>
        <v>1400.1</v>
      </c>
      <c r="AA15" s="1374">
        <f t="shared" si="4"/>
        <v>1400.1</v>
      </c>
      <c r="AB15" s="1459">
        <f t="shared" si="3"/>
        <v>0</v>
      </c>
      <c r="AC15" s="1459">
        <f t="shared" si="3"/>
        <v>1400.1</v>
      </c>
    </row>
    <row r="16" spans="1:30" s="736" customFormat="1" ht="64.5" customHeight="1">
      <c r="A16" s="1522" t="s">
        <v>538</v>
      </c>
      <c r="B16" s="1066" t="s">
        <v>1076</v>
      </c>
      <c r="C16" s="871">
        <f t="shared" ref="C16:C60" si="5">SUM(D16:E16)</f>
        <v>43468.4</v>
      </c>
      <c r="D16" s="972">
        <v>43033.7</v>
      </c>
      <c r="E16" s="972">
        <v>434.7</v>
      </c>
      <c r="F16" s="871">
        <f t="shared" ref="F16:F60" si="6">SUM(G16:H16)</f>
        <v>43468.4</v>
      </c>
      <c r="G16" s="972">
        <f>D16</f>
        <v>43033.7</v>
      </c>
      <c r="H16" s="972">
        <f>E16</f>
        <v>434.7</v>
      </c>
      <c r="I16" s="871">
        <f t="shared" ref="I16:I52" si="7">SUM(J16:K16)</f>
        <v>0</v>
      </c>
      <c r="J16" s="894">
        <v>0</v>
      </c>
      <c r="K16" s="894">
        <v>0</v>
      </c>
      <c r="L16" s="872">
        <f t="shared" si="0"/>
        <v>0</v>
      </c>
      <c r="M16" s="873">
        <f t="shared" si="0"/>
        <v>0</v>
      </c>
      <c r="N16" s="873">
        <f t="shared" si="0"/>
        <v>0</v>
      </c>
      <c r="O16" s="1214" t="s">
        <v>1171</v>
      </c>
      <c r="P16" s="1214" t="s">
        <v>1107</v>
      </c>
      <c r="Q16" s="1065">
        <f t="shared" si="1"/>
        <v>0</v>
      </c>
      <c r="R16" s="1065">
        <f t="shared" si="1"/>
        <v>0</v>
      </c>
      <c r="S16" s="1065">
        <f t="shared" si="1"/>
        <v>0</v>
      </c>
      <c r="T16" s="1099" t="s">
        <v>866</v>
      </c>
      <c r="U16" s="1100" t="s">
        <v>865</v>
      </c>
      <c r="V16" s="1099">
        <v>522</v>
      </c>
      <c r="W16" s="1099"/>
      <c r="X16" s="2480"/>
      <c r="Z16" s="1311">
        <f t="shared" si="2"/>
        <v>0</v>
      </c>
      <c r="AA16" s="1374">
        <f t="shared" si="4"/>
        <v>0</v>
      </c>
      <c r="AB16" s="1459">
        <f t="shared" si="3"/>
        <v>0</v>
      </c>
      <c r="AC16" s="1459">
        <f t="shared" si="3"/>
        <v>0</v>
      </c>
    </row>
    <row r="17" spans="1:29" s="892" customFormat="1" ht="117" customHeight="1">
      <c r="A17" s="1522" t="s">
        <v>539</v>
      </c>
      <c r="B17" s="1066" t="s">
        <v>434</v>
      </c>
      <c r="C17" s="1531">
        <f>SUM(D17:E17)</f>
        <v>14736.7</v>
      </c>
      <c r="D17" s="877">
        <v>14736.7</v>
      </c>
      <c r="E17" s="877">
        <v>0</v>
      </c>
      <c r="F17" s="1534">
        <f>SUM(G17:H17)</f>
        <v>14736.7</v>
      </c>
      <c r="G17" s="877">
        <f>D17</f>
        <v>14736.7</v>
      </c>
      <c r="H17" s="877">
        <f>E17</f>
        <v>0</v>
      </c>
      <c r="I17" s="1534">
        <f t="shared" si="7"/>
        <v>11326.4</v>
      </c>
      <c r="J17" s="1530">
        <v>11326.4</v>
      </c>
      <c r="K17" s="1530">
        <v>0</v>
      </c>
      <c r="L17" s="876">
        <f t="shared" si="0"/>
        <v>76.900000000000006</v>
      </c>
      <c r="M17" s="877">
        <f t="shared" si="0"/>
        <v>76.900000000000006</v>
      </c>
      <c r="N17" s="877">
        <f t="shared" si="0"/>
        <v>0</v>
      </c>
      <c r="O17" s="1518" t="s">
        <v>1172</v>
      </c>
      <c r="P17" s="1214" t="s">
        <v>1108</v>
      </c>
      <c r="Q17" s="1065">
        <f t="shared" si="1"/>
        <v>0</v>
      </c>
      <c r="R17" s="1065">
        <f t="shared" si="1"/>
        <v>0</v>
      </c>
      <c r="S17" s="1065">
        <f t="shared" si="1"/>
        <v>0</v>
      </c>
      <c r="T17" s="1099" t="s">
        <v>961</v>
      </c>
      <c r="U17" s="1100" t="s">
        <v>962</v>
      </c>
      <c r="V17" s="1099">
        <v>522</v>
      </c>
      <c r="W17" s="1099"/>
      <c r="X17" s="2481"/>
      <c r="Z17" s="1311">
        <f t="shared" si="2"/>
        <v>0</v>
      </c>
      <c r="AA17" s="1374">
        <f t="shared" si="4"/>
        <v>0</v>
      </c>
      <c r="AB17" s="1459">
        <f t="shared" si="3"/>
        <v>0</v>
      </c>
      <c r="AC17" s="1459">
        <f t="shared" si="3"/>
        <v>0</v>
      </c>
    </row>
    <row r="18" spans="1:29" s="892" customFormat="1" ht="118.5" customHeight="1">
      <c r="A18" s="1522" t="s">
        <v>19</v>
      </c>
      <c r="B18" s="1066" t="s">
        <v>792</v>
      </c>
      <c r="C18" s="1531">
        <f t="shared" si="5"/>
        <v>741029.8</v>
      </c>
      <c r="D18" s="877">
        <v>733604.7</v>
      </c>
      <c r="E18" s="877">
        <v>7425.1</v>
      </c>
      <c r="F18" s="1534">
        <f t="shared" si="6"/>
        <v>741029.7</v>
      </c>
      <c r="G18" s="877">
        <f>D18</f>
        <v>733604.7</v>
      </c>
      <c r="H18" s="877">
        <v>7425</v>
      </c>
      <c r="I18" s="1534">
        <f t="shared" si="7"/>
        <v>167629.29999999999</v>
      </c>
      <c r="J18" s="1530">
        <f>127786+10339.36+27821.3</f>
        <v>165946.70000000001</v>
      </c>
      <c r="K18" s="1530">
        <f>1260+140.2+282.4</f>
        <v>1682.6</v>
      </c>
      <c r="L18" s="876">
        <f t="shared" si="0"/>
        <v>22.6</v>
      </c>
      <c r="M18" s="877">
        <f t="shared" si="0"/>
        <v>22.6</v>
      </c>
      <c r="N18" s="877">
        <f t="shared" si="0"/>
        <v>22.7</v>
      </c>
      <c r="O18" s="1214" t="s">
        <v>1171</v>
      </c>
      <c r="P18" s="1214" t="s">
        <v>1109</v>
      </c>
      <c r="Q18" s="1065">
        <f t="shared" si="1"/>
        <v>0.1</v>
      </c>
      <c r="R18" s="1065">
        <f>D18-G18</f>
        <v>0</v>
      </c>
      <c r="S18" s="1065">
        <f>E18-H18</f>
        <v>0.1</v>
      </c>
      <c r="T18" s="1099" t="s">
        <v>963</v>
      </c>
      <c r="U18" s="1100" t="s">
        <v>964</v>
      </c>
      <c r="V18" s="1099">
        <v>522</v>
      </c>
      <c r="W18" s="1099"/>
      <c r="X18" s="2482"/>
      <c r="Z18" s="1311">
        <f t="shared" si="2"/>
        <v>0.1</v>
      </c>
      <c r="AA18" s="1374">
        <f t="shared" si="4"/>
        <v>0.1</v>
      </c>
      <c r="AB18" s="1459">
        <f t="shared" si="3"/>
        <v>0</v>
      </c>
      <c r="AC18" s="1459">
        <f t="shared" si="3"/>
        <v>0.1</v>
      </c>
    </row>
    <row r="19" spans="1:29">
      <c r="A19" s="1522"/>
      <c r="B19" s="898" t="s">
        <v>283</v>
      </c>
      <c r="C19" s="1531">
        <f t="shared" si="5"/>
        <v>7093</v>
      </c>
      <c r="D19" s="875">
        <v>0</v>
      </c>
      <c r="E19" s="875">
        <v>7093</v>
      </c>
      <c r="F19" s="1531">
        <f t="shared" si="6"/>
        <v>7093</v>
      </c>
      <c r="G19" s="875">
        <v>0</v>
      </c>
      <c r="H19" s="875">
        <v>7093</v>
      </c>
      <c r="I19" s="1531">
        <f t="shared" si="7"/>
        <v>4543</v>
      </c>
      <c r="J19" s="875">
        <v>0</v>
      </c>
      <c r="K19" s="875">
        <v>4543</v>
      </c>
      <c r="L19" s="876">
        <f t="shared" si="0"/>
        <v>64</v>
      </c>
      <c r="M19" s="877">
        <f t="shared" si="0"/>
        <v>0</v>
      </c>
      <c r="N19" s="877">
        <f t="shared" si="0"/>
        <v>64</v>
      </c>
      <c r="O19" s="1214" t="s">
        <v>353</v>
      </c>
      <c r="P19" s="1214" t="s">
        <v>353</v>
      </c>
      <c r="Q19" s="1065">
        <f t="shared" si="1"/>
        <v>0</v>
      </c>
      <c r="R19" s="1065">
        <f t="shared" si="1"/>
        <v>0</v>
      </c>
      <c r="S19" s="1065">
        <f t="shared" si="1"/>
        <v>0</v>
      </c>
      <c r="Z19" s="1311">
        <f t="shared" si="2"/>
        <v>0</v>
      </c>
      <c r="AA19" s="1374">
        <f t="shared" si="4"/>
        <v>0</v>
      </c>
      <c r="AB19" s="1459">
        <f t="shared" si="3"/>
        <v>0</v>
      </c>
      <c r="AC19" s="1459">
        <f t="shared" si="3"/>
        <v>0</v>
      </c>
    </row>
    <row r="20" spans="1:29" ht="115.5" customHeight="1">
      <c r="A20" s="1522" t="s">
        <v>20</v>
      </c>
      <c r="B20" s="1525" t="s">
        <v>1119</v>
      </c>
      <c r="C20" s="871">
        <f>SUM(D20:E20)</f>
        <v>2550</v>
      </c>
      <c r="D20" s="1249">
        <v>0</v>
      </c>
      <c r="E20" s="1249">
        <v>2550</v>
      </c>
      <c r="F20" s="1531">
        <f>SUM(G20:H20)</f>
        <v>2550</v>
      </c>
      <c r="G20" s="1533">
        <v>0</v>
      </c>
      <c r="H20" s="1533">
        <v>2550</v>
      </c>
      <c r="I20" s="1531">
        <f>SUM(J20:K20)</f>
        <v>0</v>
      </c>
      <c r="J20" s="1532">
        <v>0</v>
      </c>
      <c r="K20" s="1532">
        <v>0</v>
      </c>
      <c r="L20" s="876">
        <f t="shared" si="0"/>
        <v>0</v>
      </c>
      <c r="M20" s="877">
        <f t="shared" si="0"/>
        <v>0</v>
      </c>
      <c r="N20" s="877">
        <f t="shared" si="0"/>
        <v>0</v>
      </c>
      <c r="O20" s="1214" t="s">
        <v>1171</v>
      </c>
      <c r="P20" s="1214" t="s">
        <v>1120</v>
      </c>
      <c r="Q20" s="1065"/>
      <c r="R20" s="1065"/>
      <c r="S20" s="1065"/>
      <c r="T20" s="1099" t="s">
        <v>954</v>
      </c>
      <c r="U20" s="1100" t="s">
        <v>976</v>
      </c>
      <c r="V20" s="1099">
        <v>522</v>
      </c>
      <c r="W20" s="1099">
        <v>24356</v>
      </c>
      <c r="Z20" s="1311">
        <f t="shared" si="2"/>
        <v>0</v>
      </c>
      <c r="AA20" s="1374">
        <f t="shared" si="4"/>
        <v>0</v>
      </c>
      <c r="AB20" s="1459">
        <f t="shared" si="3"/>
        <v>0</v>
      </c>
      <c r="AC20" s="1459">
        <f t="shared" si="3"/>
        <v>0</v>
      </c>
    </row>
    <row r="21" spans="1:29" ht="95.25" customHeight="1">
      <c r="A21" s="1522" t="s">
        <v>467</v>
      </c>
      <c r="B21" s="1084" t="s">
        <v>770</v>
      </c>
      <c r="C21" s="871">
        <f>SUM(D21:E21)</f>
        <v>4543</v>
      </c>
      <c r="D21" s="1249">
        <v>0</v>
      </c>
      <c r="E21" s="1249">
        <v>4543</v>
      </c>
      <c r="F21" s="1531">
        <f>SUM(G21:H21)</f>
        <v>4543</v>
      </c>
      <c r="G21" s="1533">
        <v>0</v>
      </c>
      <c r="H21" s="1533">
        <v>4543</v>
      </c>
      <c r="I21" s="1531">
        <f t="shared" si="7"/>
        <v>4543</v>
      </c>
      <c r="J21" s="1532">
        <v>0</v>
      </c>
      <c r="K21" s="1532">
        <v>4543</v>
      </c>
      <c r="L21" s="876">
        <f t="shared" si="0"/>
        <v>100</v>
      </c>
      <c r="M21" s="877">
        <f t="shared" si="0"/>
        <v>0</v>
      </c>
      <c r="N21" s="877">
        <f t="shared" si="0"/>
        <v>100</v>
      </c>
      <c r="O21" s="1214" t="s">
        <v>1124</v>
      </c>
      <c r="P21" s="1214" t="s">
        <v>1121</v>
      </c>
      <c r="Q21" s="1065">
        <f t="shared" si="1"/>
        <v>0</v>
      </c>
      <c r="R21" s="1065">
        <f t="shared" si="1"/>
        <v>0</v>
      </c>
      <c r="S21" s="1065">
        <f t="shared" si="1"/>
        <v>0</v>
      </c>
      <c r="T21" s="1099" t="s">
        <v>926</v>
      </c>
      <c r="U21" s="1100" t="s">
        <v>965</v>
      </c>
      <c r="V21" s="1099">
        <v>522</v>
      </c>
      <c r="W21" s="1099" t="s">
        <v>975</v>
      </c>
      <c r="Z21" s="1311">
        <f t="shared" si="2"/>
        <v>0</v>
      </c>
      <c r="AA21" s="1374">
        <f t="shared" si="4"/>
        <v>0</v>
      </c>
      <c r="AB21" s="1459">
        <f t="shared" si="3"/>
        <v>0</v>
      </c>
      <c r="AC21" s="1459">
        <f t="shared" si="3"/>
        <v>0</v>
      </c>
    </row>
    <row r="22" spans="1:29">
      <c r="A22" s="1522"/>
      <c r="B22" s="898" t="s">
        <v>724</v>
      </c>
      <c r="C22" s="871">
        <f t="shared" si="5"/>
        <v>8700</v>
      </c>
      <c r="D22" s="1250">
        <v>0</v>
      </c>
      <c r="E22" s="1250">
        <v>8700</v>
      </c>
      <c r="F22" s="1531">
        <f t="shared" si="6"/>
        <v>8700</v>
      </c>
      <c r="G22" s="875">
        <v>0</v>
      </c>
      <c r="H22" s="875">
        <v>8700</v>
      </c>
      <c r="I22" s="1531">
        <f t="shared" si="7"/>
        <v>0</v>
      </c>
      <c r="J22" s="875">
        <v>0</v>
      </c>
      <c r="K22" s="875">
        <v>0</v>
      </c>
      <c r="L22" s="876">
        <f t="shared" si="0"/>
        <v>0</v>
      </c>
      <c r="M22" s="877">
        <f t="shared" si="0"/>
        <v>0</v>
      </c>
      <c r="N22" s="877">
        <f t="shared" si="0"/>
        <v>0</v>
      </c>
      <c r="O22" s="1214" t="s">
        <v>353</v>
      </c>
      <c r="P22" s="1214" t="s">
        <v>353</v>
      </c>
      <c r="Q22" s="1065">
        <f t="shared" si="1"/>
        <v>0</v>
      </c>
      <c r="R22" s="1065">
        <f t="shared" si="1"/>
        <v>0</v>
      </c>
      <c r="S22" s="1065">
        <f t="shared" si="1"/>
        <v>0</v>
      </c>
      <c r="Z22" s="1311">
        <f t="shared" si="2"/>
        <v>0</v>
      </c>
      <c r="AA22" s="1374">
        <f t="shared" si="4"/>
        <v>0</v>
      </c>
      <c r="AB22" s="1459">
        <f t="shared" si="3"/>
        <v>0</v>
      </c>
      <c r="AC22" s="1459">
        <f t="shared" si="3"/>
        <v>0</v>
      </c>
    </row>
    <row r="23" spans="1:29" ht="165.75" customHeight="1">
      <c r="A23" s="1522" t="s">
        <v>468</v>
      </c>
      <c r="B23" s="1084" t="s">
        <v>861</v>
      </c>
      <c r="C23" s="871">
        <f t="shared" si="5"/>
        <v>8700</v>
      </c>
      <c r="D23" s="1249">
        <v>0</v>
      </c>
      <c r="E23" s="1249">
        <v>8700</v>
      </c>
      <c r="F23" s="1531">
        <f t="shared" si="6"/>
        <v>8700</v>
      </c>
      <c r="G23" s="1533">
        <v>0</v>
      </c>
      <c r="H23" s="1533">
        <v>8700</v>
      </c>
      <c r="I23" s="1531">
        <f t="shared" si="7"/>
        <v>0</v>
      </c>
      <c r="J23" s="1532">
        <v>0</v>
      </c>
      <c r="K23" s="1532">
        <v>0</v>
      </c>
      <c r="L23" s="876">
        <f t="shared" si="0"/>
        <v>0</v>
      </c>
      <c r="M23" s="877">
        <f t="shared" si="0"/>
        <v>0</v>
      </c>
      <c r="N23" s="877">
        <f t="shared" si="0"/>
        <v>0</v>
      </c>
      <c r="O23" s="1214" t="s">
        <v>1173</v>
      </c>
      <c r="P23" s="1518" t="s">
        <v>1122</v>
      </c>
      <c r="Q23" s="1065">
        <f t="shared" si="1"/>
        <v>0</v>
      </c>
      <c r="R23" s="1065">
        <f t="shared" si="1"/>
        <v>0</v>
      </c>
      <c r="S23" s="1065">
        <f t="shared" si="1"/>
        <v>0</v>
      </c>
      <c r="T23" s="1099" t="s">
        <v>886</v>
      </c>
      <c r="U23" s="1100" t="s">
        <v>966</v>
      </c>
      <c r="V23" s="1099">
        <v>522</v>
      </c>
      <c r="W23" s="1099" t="s">
        <v>977</v>
      </c>
      <c r="Z23" s="1311">
        <f t="shared" si="2"/>
        <v>0</v>
      </c>
      <c r="AA23" s="1374">
        <f t="shared" si="4"/>
        <v>0</v>
      </c>
      <c r="AB23" s="1459">
        <f t="shared" si="3"/>
        <v>0</v>
      </c>
      <c r="AC23" s="1459">
        <f t="shared" si="3"/>
        <v>0</v>
      </c>
    </row>
    <row r="24" spans="1:29" s="700" customFormat="1">
      <c r="A24" s="1522"/>
      <c r="B24" s="1074" t="s">
        <v>12</v>
      </c>
      <c r="C24" s="871">
        <f t="shared" si="5"/>
        <v>4725.8999999999996</v>
      </c>
      <c r="D24" s="1251">
        <f>SUM(D25:D26)</f>
        <v>0</v>
      </c>
      <c r="E24" s="1251">
        <f>SUM(E25:E26)</f>
        <v>4725.8999999999996</v>
      </c>
      <c r="F24" s="1531">
        <f t="shared" si="6"/>
        <v>4725.8999999999996</v>
      </c>
      <c r="G24" s="880">
        <f>SUM(G25:G26)</f>
        <v>0</v>
      </c>
      <c r="H24" s="880">
        <f>SUM(H25:H26)</f>
        <v>4725.8999999999996</v>
      </c>
      <c r="I24" s="1531">
        <f t="shared" si="7"/>
        <v>0</v>
      </c>
      <c r="J24" s="1531">
        <f>SUM(J25:J26)</f>
        <v>0</v>
      </c>
      <c r="K24" s="1531">
        <f>SUM(K25:K26)</f>
        <v>0</v>
      </c>
      <c r="L24" s="876">
        <f t="shared" si="0"/>
        <v>0</v>
      </c>
      <c r="M24" s="876">
        <f t="shared" si="0"/>
        <v>0</v>
      </c>
      <c r="N24" s="876">
        <f t="shared" si="0"/>
        <v>0</v>
      </c>
      <c r="O24" s="1214" t="s">
        <v>353</v>
      </c>
      <c r="P24" s="1215" t="s">
        <v>353</v>
      </c>
      <c r="Q24" s="1065">
        <f t="shared" si="1"/>
        <v>0</v>
      </c>
      <c r="R24" s="1065">
        <f t="shared" si="1"/>
        <v>0</v>
      </c>
      <c r="S24" s="1065">
        <f t="shared" si="1"/>
        <v>0</v>
      </c>
      <c r="T24" s="1099"/>
      <c r="U24" s="1100"/>
      <c r="V24" s="1099"/>
      <c r="W24" s="1099"/>
      <c r="X24" s="1218"/>
      <c r="Z24" s="1311">
        <f t="shared" si="2"/>
        <v>0</v>
      </c>
      <c r="AA24" s="1374">
        <f t="shared" si="4"/>
        <v>0</v>
      </c>
      <c r="AB24" s="1459">
        <f t="shared" si="3"/>
        <v>0</v>
      </c>
      <c r="AC24" s="1459">
        <f t="shared" si="3"/>
        <v>0</v>
      </c>
    </row>
    <row r="25" spans="1:29" ht="84" customHeight="1">
      <c r="A25" s="1522" t="s">
        <v>685</v>
      </c>
      <c r="B25" s="1075" t="s">
        <v>1037</v>
      </c>
      <c r="C25" s="871">
        <f t="shared" si="5"/>
        <v>4725.8999999999996</v>
      </c>
      <c r="D25" s="972">
        <v>0</v>
      </c>
      <c r="E25" s="972">
        <v>4725.8999999999996</v>
      </c>
      <c r="F25" s="1531">
        <f t="shared" si="6"/>
        <v>4725.8999999999996</v>
      </c>
      <c r="G25" s="879">
        <v>0</v>
      </c>
      <c r="H25" s="879">
        <f>E25</f>
        <v>4725.8999999999996</v>
      </c>
      <c r="I25" s="1531">
        <f t="shared" si="7"/>
        <v>0</v>
      </c>
      <c r="J25" s="1532">
        <v>0</v>
      </c>
      <c r="K25" s="1532">
        <v>0</v>
      </c>
      <c r="L25" s="876">
        <f t="shared" si="0"/>
        <v>0</v>
      </c>
      <c r="M25" s="877">
        <f t="shared" si="0"/>
        <v>0</v>
      </c>
      <c r="N25" s="877">
        <f t="shared" si="0"/>
        <v>0</v>
      </c>
      <c r="O25" s="1214" t="s">
        <v>1171</v>
      </c>
      <c r="P25" s="1214" t="s">
        <v>1111</v>
      </c>
      <c r="Q25" s="1065">
        <f t="shared" si="1"/>
        <v>0</v>
      </c>
      <c r="R25" s="1065">
        <f t="shared" si="1"/>
        <v>0</v>
      </c>
      <c r="S25" s="1065">
        <f t="shared" si="1"/>
        <v>0</v>
      </c>
      <c r="T25" s="1099" t="s">
        <v>886</v>
      </c>
      <c r="U25" s="1100" t="s">
        <v>970</v>
      </c>
      <c r="V25" s="1099">
        <v>522</v>
      </c>
      <c r="W25" s="1099">
        <v>24351</v>
      </c>
      <c r="Z25" s="1311">
        <f t="shared" si="2"/>
        <v>0</v>
      </c>
      <c r="AA25" s="1374">
        <f t="shared" si="4"/>
        <v>0</v>
      </c>
      <c r="AB25" s="1459">
        <f t="shared" si="3"/>
        <v>0</v>
      </c>
      <c r="AC25" s="1459">
        <f t="shared" si="3"/>
        <v>0</v>
      </c>
    </row>
    <row r="26" spans="1:29" ht="57.75" hidden="1" customHeight="1">
      <c r="A26" s="1522" t="s">
        <v>687</v>
      </c>
      <c r="B26" s="1075" t="s">
        <v>1038</v>
      </c>
      <c r="C26" s="871">
        <f>SUM(D26:E26)</f>
        <v>0</v>
      </c>
      <c r="D26" s="972">
        <v>0</v>
      </c>
      <c r="E26" s="972">
        <v>0</v>
      </c>
      <c r="F26" s="1531">
        <f>SUM(G26:H26)</f>
        <v>0</v>
      </c>
      <c r="G26" s="879">
        <v>0</v>
      </c>
      <c r="H26" s="879">
        <v>0</v>
      </c>
      <c r="I26" s="1531">
        <f t="shared" si="7"/>
        <v>0</v>
      </c>
      <c r="J26" s="1532">
        <v>0</v>
      </c>
      <c r="K26" s="1532">
        <v>0</v>
      </c>
      <c r="L26" s="876">
        <f t="shared" si="0"/>
        <v>0</v>
      </c>
      <c r="M26" s="877">
        <f t="shared" si="0"/>
        <v>0</v>
      </c>
      <c r="N26" s="877">
        <f t="shared" si="0"/>
        <v>0</v>
      </c>
      <c r="O26" s="1214" t="s">
        <v>1171</v>
      </c>
      <c r="P26" s="1214" t="s">
        <v>1123</v>
      </c>
      <c r="Q26" s="1065">
        <f t="shared" si="1"/>
        <v>0</v>
      </c>
      <c r="R26" s="1065">
        <f t="shared" si="1"/>
        <v>0</v>
      </c>
      <c r="S26" s="1065">
        <f t="shared" si="1"/>
        <v>0</v>
      </c>
      <c r="T26" s="1099" t="s">
        <v>886</v>
      </c>
      <c r="U26" s="1100" t="s">
        <v>968</v>
      </c>
      <c r="V26" s="1099">
        <v>522</v>
      </c>
      <c r="W26" s="1099" t="s">
        <v>969</v>
      </c>
      <c r="Z26" s="1311">
        <f t="shared" si="2"/>
        <v>0</v>
      </c>
      <c r="AA26" s="1374">
        <f t="shared" si="4"/>
        <v>0</v>
      </c>
      <c r="AB26" s="1459">
        <f t="shared" si="3"/>
        <v>0</v>
      </c>
      <c r="AC26" s="1459">
        <f t="shared" si="3"/>
        <v>0</v>
      </c>
    </row>
    <row r="27" spans="1:29" s="700" customFormat="1">
      <c r="A27" s="991"/>
      <c r="B27" s="1074" t="s">
        <v>729</v>
      </c>
      <c r="C27" s="871">
        <f t="shared" si="5"/>
        <v>5130</v>
      </c>
      <c r="D27" s="1251">
        <f>SUM(D28:D29)</f>
        <v>0</v>
      </c>
      <c r="E27" s="1251">
        <f>SUM(E28:E29)</f>
        <v>5130</v>
      </c>
      <c r="F27" s="1531">
        <f t="shared" si="6"/>
        <v>5130</v>
      </c>
      <c r="G27" s="880">
        <f>SUM(G28:G29)</f>
        <v>0</v>
      </c>
      <c r="H27" s="880">
        <f>SUM(H28:H29)</f>
        <v>5130</v>
      </c>
      <c r="I27" s="1531">
        <f t="shared" si="7"/>
        <v>0</v>
      </c>
      <c r="J27" s="1531">
        <f>SUM(J28:J29)</f>
        <v>0</v>
      </c>
      <c r="K27" s="1531">
        <f>SUM(K28:K29)</f>
        <v>0</v>
      </c>
      <c r="L27" s="876">
        <f t="shared" si="0"/>
        <v>0</v>
      </c>
      <c r="M27" s="876">
        <f t="shared" si="0"/>
        <v>0</v>
      </c>
      <c r="N27" s="876">
        <f t="shared" si="0"/>
        <v>0</v>
      </c>
      <c r="O27" s="1214" t="s">
        <v>353</v>
      </c>
      <c r="P27" s="1215" t="s">
        <v>353</v>
      </c>
      <c r="Q27" s="1065">
        <f t="shared" si="1"/>
        <v>0</v>
      </c>
      <c r="R27" s="1065">
        <f t="shared" si="1"/>
        <v>0</v>
      </c>
      <c r="S27" s="1065">
        <f t="shared" si="1"/>
        <v>0</v>
      </c>
      <c r="T27" s="1099"/>
      <c r="U27" s="1100"/>
      <c r="V27" s="1099"/>
      <c r="W27" s="1099"/>
      <c r="X27" s="1218"/>
      <c r="Z27" s="1311">
        <f t="shared" si="2"/>
        <v>0</v>
      </c>
      <c r="AA27" s="1374">
        <f t="shared" si="4"/>
        <v>0</v>
      </c>
      <c r="AB27" s="1459">
        <f t="shared" si="3"/>
        <v>0</v>
      </c>
      <c r="AC27" s="1459">
        <f t="shared" si="3"/>
        <v>0</v>
      </c>
    </row>
    <row r="28" spans="1:29" ht="90" customHeight="1">
      <c r="A28" s="1522" t="s">
        <v>687</v>
      </c>
      <c r="B28" s="1075" t="s">
        <v>1039</v>
      </c>
      <c r="C28" s="871">
        <f t="shared" si="5"/>
        <v>3780</v>
      </c>
      <c r="D28" s="972">
        <v>0</v>
      </c>
      <c r="E28" s="972">
        <v>3780</v>
      </c>
      <c r="F28" s="1531">
        <f t="shared" si="6"/>
        <v>3780</v>
      </c>
      <c r="G28" s="879">
        <v>0</v>
      </c>
      <c r="H28" s="879">
        <f>E28</f>
        <v>3780</v>
      </c>
      <c r="I28" s="1531">
        <f t="shared" si="7"/>
        <v>0</v>
      </c>
      <c r="J28" s="1532">
        <v>0</v>
      </c>
      <c r="K28" s="1532">
        <v>0</v>
      </c>
      <c r="L28" s="876">
        <f t="shared" ref="L28:N34" si="8">IF(I28=0,0,I28/F28*100)</f>
        <v>0</v>
      </c>
      <c r="M28" s="877">
        <f t="shared" si="8"/>
        <v>0</v>
      </c>
      <c r="N28" s="877">
        <f t="shared" si="8"/>
        <v>0</v>
      </c>
      <c r="O28" s="1214" t="s">
        <v>1174</v>
      </c>
      <c r="P28" s="1214" t="s">
        <v>1112</v>
      </c>
      <c r="Q28" s="1065">
        <f t="shared" si="1"/>
        <v>0</v>
      </c>
      <c r="R28" s="1065">
        <f t="shared" si="1"/>
        <v>0</v>
      </c>
      <c r="S28" s="1065">
        <f t="shared" si="1"/>
        <v>0</v>
      </c>
      <c r="T28" s="1099" t="s">
        <v>926</v>
      </c>
      <c r="U28" s="1100" t="s">
        <v>970</v>
      </c>
      <c r="V28" s="1099">
        <v>522</v>
      </c>
      <c r="W28" s="1099" t="s">
        <v>993</v>
      </c>
      <c r="Z28" s="1311">
        <f t="shared" si="2"/>
        <v>0</v>
      </c>
      <c r="AA28" s="1374">
        <f t="shared" si="4"/>
        <v>0</v>
      </c>
      <c r="AB28" s="1459">
        <f t="shared" si="4"/>
        <v>0</v>
      </c>
      <c r="AC28" s="1459">
        <f t="shared" si="4"/>
        <v>0</v>
      </c>
    </row>
    <row r="29" spans="1:29" ht="46.5">
      <c r="A29" s="1522" t="s">
        <v>686</v>
      </c>
      <c r="B29" s="1075" t="s">
        <v>1351</v>
      </c>
      <c r="C29" s="871">
        <f t="shared" si="5"/>
        <v>1350</v>
      </c>
      <c r="D29" s="972">
        <v>0</v>
      </c>
      <c r="E29" s="972">
        <v>1350</v>
      </c>
      <c r="F29" s="1531">
        <f t="shared" si="6"/>
        <v>1350</v>
      </c>
      <c r="G29" s="879">
        <v>0</v>
      </c>
      <c r="H29" s="879">
        <v>1350</v>
      </c>
      <c r="I29" s="1531">
        <f t="shared" si="7"/>
        <v>0</v>
      </c>
      <c r="J29" s="1532">
        <v>0</v>
      </c>
      <c r="K29" s="1532">
        <v>0</v>
      </c>
      <c r="L29" s="876">
        <f t="shared" si="8"/>
        <v>0</v>
      </c>
      <c r="M29" s="877">
        <f t="shared" si="8"/>
        <v>0</v>
      </c>
      <c r="N29" s="877">
        <f t="shared" si="8"/>
        <v>0</v>
      </c>
      <c r="O29" s="1214" t="s">
        <v>1171</v>
      </c>
      <c r="P29" s="1214"/>
      <c r="Q29" s="1065">
        <f t="shared" si="1"/>
        <v>0</v>
      </c>
      <c r="R29" s="1065">
        <f t="shared" si="1"/>
        <v>0</v>
      </c>
      <c r="S29" s="1065">
        <f t="shared" si="1"/>
        <v>0</v>
      </c>
      <c r="T29" s="1099" t="s">
        <v>923</v>
      </c>
      <c r="U29" s="1100" t="s">
        <v>970</v>
      </c>
      <c r="V29" s="1099">
        <v>522</v>
      </c>
      <c r="W29" s="1099" t="s">
        <v>992</v>
      </c>
      <c r="Z29" s="1311">
        <f t="shared" si="2"/>
        <v>0</v>
      </c>
      <c r="AA29" s="1374">
        <f t="shared" si="4"/>
        <v>0</v>
      </c>
      <c r="AB29" s="1459">
        <f t="shared" si="4"/>
        <v>0</v>
      </c>
      <c r="AC29" s="1459">
        <f t="shared" si="4"/>
        <v>0</v>
      </c>
    </row>
    <row r="30" spans="1:29" s="700" customFormat="1">
      <c r="A30" s="1522"/>
      <c r="B30" s="1074" t="s">
        <v>615</v>
      </c>
      <c r="C30" s="871">
        <f t="shared" si="5"/>
        <v>7200</v>
      </c>
      <c r="D30" s="1251">
        <f>D31</f>
        <v>0</v>
      </c>
      <c r="E30" s="1251">
        <f>E31</f>
        <v>7200</v>
      </c>
      <c r="F30" s="1531">
        <f t="shared" si="6"/>
        <v>7200</v>
      </c>
      <c r="G30" s="880">
        <f>G31</f>
        <v>0</v>
      </c>
      <c r="H30" s="880">
        <f>H31</f>
        <v>7200</v>
      </c>
      <c r="I30" s="1531">
        <f t="shared" si="7"/>
        <v>0</v>
      </c>
      <c r="J30" s="1531">
        <f>J31</f>
        <v>0</v>
      </c>
      <c r="K30" s="1531">
        <f>K31</f>
        <v>0</v>
      </c>
      <c r="L30" s="876">
        <f t="shared" si="8"/>
        <v>0</v>
      </c>
      <c r="M30" s="876">
        <f t="shared" si="8"/>
        <v>0</v>
      </c>
      <c r="N30" s="876">
        <f t="shared" si="8"/>
        <v>0</v>
      </c>
      <c r="O30" s="1214" t="s">
        <v>353</v>
      </c>
      <c r="P30" s="1215" t="s">
        <v>353</v>
      </c>
      <c r="Q30" s="1065">
        <f t="shared" si="1"/>
        <v>0</v>
      </c>
      <c r="R30" s="1065">
        <f t="shared" si="1"/>
        <v>0</v>
      </c>
      <c r="S30" s="1065">
        <f t="shared" si="1"/>
        <v>0</v>
      </c>
      <c r="T30" s="1099"/>
      <c r="U30" s="1100"/>
      <c r="V30" s="1099"/>
      <c r="W30" s="1099"/>
      <c r="X30" s="1218"/>
      <c r="Z30" s="1311">
        <f t="shared" si="2"/>
        <v>0</v>
      </c>
      <c r="AA30" s="1374">
        <f t="shared" si="4"/>
        <v>0</v>
      </c>
      <c r="AB30" s="1459">
        <f t="shared" si="4"/>
        <v>0</v>
      </c>
      <c r="AC30" s="1459">
        <f t="shared" si="4"/>
        <v>0</v>
      </c>
    </row>
    <row r="31" spans="1:29" ht="55.5" customHeight="1">
      <c r="A31" s="1522" t="s">
        <v>688</v>
      </c>
      <c r="B31" s="1075" t="s">
        <v>673</v>
      </c>
      <c r="C31" s="871">
        <f t="shared" si="5"/>
        <v>7200</v>
      </c>
      <c r="D31" s="972">
        <v>0</v>
      </c>
      <c r="E31" s="972">
        <v>7200</v>
      </c>
      <c r="F31" s="1531">
        <f t="shared" si="6"/>
        <v>7200</v>
      </c>
      <c r="G31" s="879">
        <v>0</v>
      </c>
      <c r="H31" s="879">
        <v>7200</v>
      </c>
      <c r="I31" s="1531">
        <f t="shared" si="7"/>
        <v>0</v>
      </c>
      <c r="J31" s="1532">
        <v>0</v>
      </c>
      <c r="K31" s="1532">
        <v>0</v>
      </c>
      <c r="L31" s="876">
        <f t="shared" si="8"/>
        <v>0</v>
      </c>
      <c r="M31" s="877">
        <f t="shared" si="8"/>
        <v>0</v>
      </c>
      <c r="N31" s="877">
        <f t="shared" si="8"/>
        <v>0</v>
      </c>
      <c r="O31" s="1214" t="s">
        <v>1175</v>
      </c>
      <c r="P31" s="1214" t="s">
        <v>1113</v>
      </c>
      <c r="Q31" s="1065">
        <f t="shared" si="1"/>
        <v>0</v>
      </c>
      <c r="R31" s="1065">
        <f t="shared" si="1"/>
        <v>0</v>
      </c>
      <c r="S31" s="1065">
        <f t="shared" si="1"/>
        <v>0</v>
      </c>
      <c r="T31" s="1099" t="s">
        <v>926</v>
      </c>
      <c r="U31" s="1100" t="s">
        <v>965</v>
      </c>
      <c r="V31" s="1099">
        <v>522</v>
      </c>
      <c r="W31" s="1099">
        <v>24345</v>
      </c>
      <c r="Z31" s="1311">
        <f t="shared" si="2"/>
        <v>0</v>
      </c>
      <c r="AA31" s="1374">
        <f t="shared" si="4"/>
        <v>0</v>
      </c>
      <c r="AB31" s="1459">
        <f t="shared" si="4"/>
        <v>0</v>
      </c>
      <c r="AC31" s="1459">
        <f t="shared" si="4"/>
        <v>0</v>
      </c>
    </row>
    <row r="32" spans="1:29">
      <c r="A32" s="991"/>
      <c r="B32" s="898" t="s">
        <v>68</v>
      </c>
      <c r="C32" s="871">
        <f t="shared" si="5"/>
        <v>20495.7</v>
      </c>
      <c r="D32" s="1250">
        <v>0</v>
      </c>
      <c r="E32" s="1250">
        <v>20495.7</v>
      </c>
      <c r="F32" s="1531">
        <f t="shared" si="6"/>
        <v>20495.7</v>
      </c>
      <c r="G32" s="875">
        <v>0</v>
      </c>
      <c r="H32" s="875">
        <v>20495.7</v>
      </c>
      <c r="I32" s="1531">
        <f t="shared" si="7"/>
        <v>9912.5</v>
      </c>
      <c r="J32" s="875">
        <v>0</v>
      </c>
      <c r="K32" s="875">
        <v>9912.5</v>
      </c>
      <c r="L32" s="876">
        <f t="shared" si="8"/>
        <v>48.4</v>
      </c>
      <c r="M32" s="877">
        <f t="shared" si="8"/>
        <v>0</v>
      </c>
      <c r="N32" s="877">
        <f t="shared" si="8"/>
        <v>48.4</v>
      </c>
      <c r="O32" s="1214" t="s">
        <v>353</v>
      </c>
      <c r="P32" s="1214" t="s">
        <v>353</v>
      </c>
      <c r="Q32" s="1065">
        <f t="shared" si="1"/>
        <v>0</v>
      </c>
      <c r="R32" s="1065">
        <f t="shared" si="1"/>
        <v>0</v>
      </c>
      <c r="S32" s="1065">
        <f t="shared" si="1"/>
        <v>0</v>
      </c>
      <c r="Z32" s="1311">
        <f t="shared" si="2"/>
        <v>0</v>
      </c>
      <c r="AA32" s="1374">
        <f t="shared" si="4"/>
        <v>0</v>
      </c>
      <c r="AB32" s="1459">
        <f t="shared" si="4"/>
        <v>0</v>
      </c>
      <c r="AC32" s="1459">
        <f t="shared" si="4"/>
        <v>0</v>
      </c>
    </row>
    <row r="33" spans="1:29" ht="105" customHeight="1">
      <c r="A33" s="1522" t="s">
        <v>98</v>
      </c>
      <c r="B33" s="1084" t="s">
        <v>1041</v>
      </c>
      <c r="C33" s="871">
        <f t="shared" si="5"/>
        <v>1041.5999999999999</v>
      </c>
      <c r="D33" s="1249">
        <v>0</v>
      </c>
      <c r="E33" s="1249">
        <v>1041.5999999999999</v>
      </c>
      <c r="F33" s="1531">
        <f t="shared" si="6"/>
        <v>1041.5999999999999</v>
      </c>
      <c r="G33" s="1533">
        <v>0</v>
      </c>
      <c r="H33" s="1533">
        <v>1041.5999999999999</v>
      </c>
      <c r="I33" s="1531">
        <f t="shared" si="7"/>
        <v>312.5</v>
      </c>
      <c r="J33" s="1532">
        <v>0</v>
      </c>
      <c r="K33" s="1532">
        <v>312.5</v>
      </c>
      <c r="L33" s="876">
        <f t="shared" si="8"/>
        <v>30</v>
      </c>
      <c r="M33" s="877">
        <f t="shared" si="8"/>
        <v>0</v>
      </c>
      <c r="N33" s="877">
        <f t="shared" si="8"/>
        <v>30</v>
      </c>
      <c r="O33" s="1214" t="s">
        <v>1176</v>
      </c>
      <c r="P33" s="1214" t="s">
        <v>1125</v>
      </c>
      <c r="Q33" s="1065">
        <f t="shared" si="1"/>
        <v>0</v>
      </c>
      <c r="R33" s="1065">
        <f t="shared" si="1"/>
        <v>0</v>
      </c>
      <c r="S33" s="1065">
        <f t="shared" si="1"/>
        <v>0</v>
      </c>
      <c r="T33" s="1099" t="s">
        <v>886</v>
      </c>
      <c r="U33" s="1100" t="s">
        <v>967</v>
      </c>
      <c r="V33" s="1099">
        <v>522</v>
      </c>
      <c r="W33" s="1099" t="s">
        <v>969</v>
      </c>
      <c r="Z33" s="1311">
        <f t="shared" si="2"/>
        <v>0</v>
      </c>
      <c r="AA33" s="1374">
        <f t="shared" si="4"/>
        <v>0</v>
      </c>
      <c r="AB33" s="1459">
        <f t="shared" si="4"/>
        <v>0</v>
      </c>
      <c r="AC33" s="1459">
        <f t="shared" si="4"/>
        <v>0</v>
      </c>
    </row>
    <row r="34" spans="1:29" ht="104.25" customHeight="1">
      <c r="A34" s="1522" t="s">
        <v>99</v>
      </c>
      <c r="B34" s="1084" t="s">
        <v>1095</v>
      </c>
      <c r="C34" s="871">
        <f>SUM(D34:E34)</f>
        <v>3454.1</v>
      </c>
      <c r="D34" s="1249">
        <v>0</v>
      </c>
      <c r="E34" s="1249">
        <v>3454.1</v>
      </c>
      <c r="F34" s="1531">
        <f>SUM(G34:H34)</f>
        <v>3454.1</v>
      </c>
      <c r="G34" s="1533">
        <v>0</v>
      </c>
      <c r="H34" s="1533">
        <v>3454.1</v>
      </c>
      <c r="I34" s="1531">
        <f>SUM(J34:K34)</f>
        <v>0</v>
      </c>
      <c r="J34" s="1532">
        <v>0</v>
      </c>
      <c r="K34" s="1532">
        <v>0</v>
      </c>
      <c r="L34" s="876">
        <f t="shared" si="8"/>
        <v>0</v>
      </c>
      <c r="M34" s="877">
        <f t="shared" si="8"/>
        <v>0</v>
      </c>
      <c r="N34" s="877">
        <f t="shared" si="8"/>
        <v>0</v>
      </c>
      <c r="O34" s="1214" t="s">
        <v>1171</v>
      </c>
      <c r="P34" s="1214" t="s">
        <v>1128</v>
      </c>
      <c r="Q34" s="1065"/>
      <c r="R34" s="1065"/>
      <c r="S34" s="1065"/>
      <c r="T34" s="1099" t="s">
        <v>961</v>
      </c>
      <c r="U34" s="1100">
        <v>1240343280</v>
      </c>
      <c r="V34" s="1099">
        <v>522</v>
      </c>
      <c r="W34" s="1099" t="s">
        <v>971</v>
      </c>
      <c r="Z34" s="1311">
        <f t="shared" si="2"/>
        <v>0</v>
      </c>
      <c r="AA34" s="1374">
        <f t="shared" si="4"/>
        <v>0</v>
      </c>
      <c r="AB34" s="1459">
        <f t="shared" si="4"/>
        <v>0</v>
      </c>
      <c r="AC34" s="1459">
        <f t="shared" si="4"/>
        <v>0</v>
      </c>
    </row>
    <row r="35" spans="1:29" ht="166.5" customHeight="1">
      <c r="A35" s="1522" t="s">
        <v>100</v>
      </c>
      <c r="B35" s="1084" t="s">
        <v>1043</v>
      </c>
      <c r="C35" s="871">
        <f t="shared" si="5"/>
        <v>6000</v>
      </c>
      <c r="D35" s="1249">
        <v>0</v>
      </c>
      <c r="E35" s="1249">
        <v>6000</v>
      </c>
      <c r="F35" s="1531">
        <f t="shared" si="6"/>
        <v>6000</v>
      </c>
      <c r="G35" s="1533">
        <v>0</v>
      </c>
      <c r="H35" s="1533">
        <v>6000</v>
      </c>
      <c r="I35" s="2450">
        <f t="shared" si="7"/>
        <v>9600</v>
      </c>
      <c r="J35" s="2440">
        <v>0</v>
      </c>
      <c r="K35" s="2440">
        <f>9600</f>
        <v>9600</v>
      </c>
      <c r="L35" s="2425">
        <f>IF(I35=0,0,I35/SUM(F35:F36)*100)</f>
        <v>60</v>
      </c>
      <c r="M35" s="2418">
        <f>IF(J35=0,0,J35/SUM(G35:G36)*100)</f>
        <v>0</v>
      </c>
      <c r="N35" s="2418">
        <f>IF(K35=0,0,K35/SUM(H35:H36)*100)</f>
        <v>60</v>
      </c>
      <c r="O35" s="1213" t="s">
        <v>1177</v>
      </c>
      <c r="P35" s="1213" t="s">
        <v>1126</v>
      </c>
      <c r="Q35" s="1065">
        <f t="shared" si="1"/>
        <v>0</v>
      </c>
      <c r="R35" s="1065">
        <f t="shared" si="1"/>
        <v>0</v>
      </c>
      <c r="S35" s="1065">
        <f t="shared" si="1"/>
        <v>0</v>
      </c>
      <c r="T35" s="2409" t="s">
        <v>886</v>
      </c>
      <c r="U35" s="2409" t="s">
        <v>966</v>
      </c>
      <c r="V35" s="2409">
        <v>522</v>
      </c>
      <c r="W35" s="2409" t="s">
        <v>977</v>
      </c>
      <c r="X35" s="2471"/>
      <c r="Z35" s="1311">
        <f t="shared" si="2"/>
        <v>0</v>
      </c>
      <c r="AA35" s="1374">
        <f t="shared" si="4"/>
        <v>0</v>
      </c>
      <c r="AB35" s="1459">
        <f t="shared" si="4"/>
        <v>0</v>
      </c>
      <c r="AC35" s="1459">
        <f t="shared" si="4"/>
        <v>0</v>
      </c>
    </row>
    <row r="36" spans="1:29" ht="198.75" customHeight="1">
      <c r="A36" s="1522" t="s">
        <v>101</v>
      </c>
      <c r="B36" s="1084" t="s">
        <v>1044</v>
      </c>
      <c r="C36" s="871">
        <f t="shared" si="5"/>
        <v>10000</v>
      </c>
      <c r="D36" s="1249">
        <v>0</v>
      </c>
      <c r="E36" s="1249">
        <v>10000</v>
      </c>
      <c r="F36" s="1531">
        <f t="shared" si="6"/>
        <v>10000</v>
      </c>
      <c r="G36" s="1533">
        <v>0</v>
      </c>
      <c r="H36" s="1533">
        <v>10000</v>
      </c>
      <c r="I36" s="2451"/>
      <c r="J36" s="2441"/>
      <c r="K36" s="2441"/>
      <c r="L36" s="2427"/>
      <c r="M36" s="2419"/>
      <c r="N36" s="2419"/>
      <c r="O36" s="1213" t="s">
        <v>1178</v>
      </c>
      <c r="P36" s="1213" t="s">
        <v>1127</v>
      </c>
      <c r="Q36" s="1065">
        <f t="shared" si="1"/>
        <v>0</v>
      </c>
      <c r="R36" s="1065">
        <f t="shared" si="1"/>
        <v>0</v>
      </c>
      <c r="S36" s="1065">
        <f t="shared" si="1"/>
        <v>0</v>
      </c>
      <c r="T36" s="2409"/>
      <c r="U36" s="2409"/>
      <c r="V36" s="2409"/>
      <c r="W36" s="2409"/>
      <c r="X36" s="2471"/>
      <c r="Z36" s="1311">
        <f t="shared" si="2"/>
        <v>0</v>
      </c>
      <c r="AA36" s="1374">
        <f t="shared" si="4"/>
        <v>0</v>
      </c>
      <c r="AB36" s="1459">
        <f t="shared" si="4"/>
        <v>0</v>
      </c>
      <c r="AC36" s="1459">
        <f t="shared" si="4"/>
        <v>0</v>
      </c>
    </row>
    <row r="37" spans="1:29">
      <c r="A37" s="1522"/>
      <c r="B37" s="898" t="s">
        <v>281</v>
      </c>
      <c r="C37" s="871">
        <f t="shared" si="5"/>
        <v>7150.8</v>
      </c>
      <c r="D37" s="1250">
        <v>0</v>
      </c>
      <c r="E37" s="1250">
        <v>7150.8</v>
      </c>
      <c r="F37" s="1531">
        <f t="shared" si="6"/>
        <v>7150.8</v>
      </c>
      <c r="G37" s="875">
        <v>0</v>
      </c>
      <c r="H37" s="875">
        <v>7150.8</v>
      </c>
      <c r="I37" s="1531">
        <f t="shared" si="7"/>
        <v>0</v>
      </c>
      <c r="J37" s="875">
        <v>0</v>
      </c>
      <c r="K37" s="875">
        <v>0</v>
      </c>
      <c r="L37" s="876">
        <f t="shared" ref="L37:N55" si="9">IF(I37=0,0,I37/F37*100)</f>
        <v>0</v>
      </c>
      <c r="M37" s="877">
        <f t="shared" si="9"/>
        <v>0</v>
      </c>
      <c r="N37" s="877">
        <f t="shared" si="9"/>
        <v>0</v>
      </c>
      <c r="O37" s="1214" t="s">
        <v>353</v>
      </c>
      <c r="P37" s="1214" t="s">
        <v>353</v>
      </c>
      <c r="Q37" s="1065">
        <f t="shared" si="1"/>
        <v>0</v>
      </c>
      <c r="R37" s="1065">
        <f t="shared" si="1"/>
        <v>0</v>
      </c>
      <c r="S37" s="1065">
        <f t="shared" si="1"/>
        <v>0</v>
      </c>
      <c r="Z37" s="1311">
        <f t="shared" si="2"/>
        <v>0</v>
      </c>
      <c r="AA37" s="1374">
        <f t="shared" si="4"/>
        <v>0</v>
      </c>
      <c r="AB37" s="1459">
        <f t="shared" si="4"/>
        <v>0</v>
      </c>
      <c r="AC37" s="1459">
        <f t="shared" si="4"/>
        <v>0</v>
      </c>
    </row>
    <row r="38" spans="1:29" ht="62.25" customHeight="1">
      <c r="A38" s="1522" t="s">
        <v>102</v>
      </c>
      <c r="B38" s="1084" t="s">
        <v>675</v>
      </c>
      <c r="C38" s="871">
        <f t="shared" si="5"/>
        <v>3150.8</v>
      </c>
      <c r="D38" s="1249">
        <v>0</v>
      </c>
      <c r="E38" s="1249">
        <v>3150.8</v>
      </c>
      <c r="F38" s="1531">
        <f t="shared" si="6"/>
        <v>3150.8</v>
      </c>
      <c r="G38" s="1533">
        <v>0</v>
      </c>
      <c r="H38" s="1533">
        <v>3150.8</v>
      </c>
      <c r="I38" s="1531">
        <f t="shared" si="7"/>
        <v>0</v>
      </c>
      <c r="J38" s="1532">
        <v>0</v>
      </c>
      <c r="K38" s="1532">
        <v>0</v>
      </c>
      <c r="L38" s="876">
        <f t="shared" si="9"/>
        <v>0</v>
      </c>
      <c r="M38" s="877">
        <f t="shared" si="9"/>
        <v>0</v>
      </c>
      <c r="N38" s="877">
        <f t="shared" si="9"/>
        <v>0</v>
      </c>
      <c r="O38" s="1518" t="s">
        <v>1179</v>
      </c>
      <c r="P38" s="1518" t="s">
        <v>1130</v>
      </c>
      <c r="Q38" s="1067">
        <f t="shared" si="1"/>
        <v>0</v>
      </c>
      <c r="R38" s="1067">
        <f t="shared" si="1"/>
        <v>0</v>
      </c>
      <c r="S38" s="1067">
        <f t="shared" si="1"/>
        <v>0</v>
      </c>
      <c r="T38" s="1222" t="s">
        <v>886</v>
      </c>
      <c r="U38" s="1223" t="s">
        <v>967</v>
      </c>
      <c r="V38" s="1222">
        <v>522</v>
      </c>
      <c r="W38" s="1222" t="s">
        <v>983</v>
      </c>
      <c r="Z38" s="1311">
        <f t="shared" si="2"/>
        <v>0</v>
      </c>
      <c r="AA38" s="1374">
        <f t="shared" si="4"/>
        <v>0</v>
      </c>
      <c r="AB38" s="1459">
        <f t="shared" si="4"/>
        <v>0</v>
      </c>
      <c r="AC38" s="1459">
        <f t="shared" si="4"/>
        <v>0</v>
      </c>
    </row>
    <row r="39" spans="1:29" ht="131.25" customHeight="1">
      <c r="A39" s="1522" t="s">
        <v>103</v>
      </c>
      <c r="B39" s="1084" t="s">
        <v>1045</v>
      </c>
      <c r="C39" s="871">
        <f t="shared" si="5"/>
        <v>4000</v>
      </c>
      <c r="D39" s="1249">
        <v>0</v>
      </c>
      <c r="E39" s="1249">
        <v>4000</v>
      </c>
      <c r="F39" s="1531">
        <f t="shared" si="6"/>
        <v>4000</v>
      </c>
      <c r="G39" s="1533">
        <v>0</v>
      </c>
      <c r="H39" s="1533">
        <v>4000</v>
      </c>
      <c r="I39" s="1531">
        <f t="shared" si="7"/>
        <v>0</v>
      </c>
      <c r="J39" s="1532">
        <v>0</v>
      </c>
      <c r="K39" s="1532">
        <v>0</v>
      </c>
      <c r="L39" s="876">
        <f t="shared" si="9"/>
        <v>0</v>
      </c>
      <c r="M39" s="877">
        <f t="shared" si="9"/>
        <v>0</v>
      </c>
      <c r="N39" s="877">
        <f t="shared" si="9"/>
        <v>0</v>
      </c>
      <c r="O39" s="1214" t="s">
        <v>1115</v>
      </c>
      <c r="P39" s="1214" t="s">
        <v>1129</v>
      </c>
      <c r="Q39" s="1065">
        <f t="shared" si="1"/>
        <v>0</v>
      </c>
      <c r="R39" s="1065">
        <f t="shared" si="1"/>
        <v>0</v>
      </c>
      <c r="S39" s="1065">
        <f t="shared" si="1"/>
        <v>0</v>
      </c>
      <c r="T39" s="1099" t="s">
        <v>886</v>
      </c>
      <c r="U39" s="1100">
        <v>510243220</v>
      </c>
      <c r="V39" s="1099">
        <v>522</v>
      </c>
      <c r="W39" s="1099" t="s">
        <v>979</v>
      </c>
      <c r="Z39" s="1311">
        <f t="shared" si="2"/>
        <v>0</v>
      </c>
      <c r="AA39" s="1374">
        <f t="shared" si="4"/>
        <v>0</v>
      </c>
      <c r="AB39" s="1459">
        <f t="shared" si="4"/>
        <v>0</v>
      </c>
      <c r="AC39" s="1459">
        <f t="shared" si="4"/>
        <v>0</v>
      </c>
    </row>
    <row r="40" spans="1:29">
      <c r="A40" s="1522"/>
      <c r="B40" s="898" t="s">
        <v>431</v>
      </c>
      <c r="C40" s="871">
        <f t="shared" si="5"/>
        <v>10867.5</v>
      </c>
      <c r="D40" s="1250">
        <v>0</v>
      </c>
      <c r="E40" s="1250">
        <v>10867.5</v>
      </c>
      <c r="F40" s="1531">
        <f t="shared" si="6"/>
        <v>10867.5</v>
      </c>
      <c r="G40" s="875">
        <v>0</v>
      </c>
      <c r="H40" s="875">
        <v>10867.5</v>
      </c>
      <c r="I40" s="1531">
        <f t="shared" si="7"/>
        <v>4259.8999999999996</v>
      </c>
      <c r="J40" s="875">
        <v>0</v>
      </c>
      <c r="K40" s="875">
        <v>4259.8999999999996</v>
      </c>
      <c r="L40" s="876">
        <f t="shared" si="9"/>
        <v>39.200000000000003</v>
      </c>
      <c r="M40" s="877">
        <f t="shared" si="9"/>
        <v>0</v>
      </c>
      <c r="N40" s="877">
        <f t="shared" si="9"/>
        <v>39.200000000000003</v>
      </c>
      <c r="O40" s="1214" t="s">
        <v>353</v>
      </c>
      <c r="P40" s="1214" t="s">
        <v>353</v>
      </c>
      <c r="Q40" s="1065">
        <f t="shared" si="1"/>
        <v>0</v>
      </c>
      <c r="R40" s="1065">
        <f t="shared" si="1"/>
        <v>0</v>
      </c>
      <c r="S40" s="1065">
        <f t="shared" si="1"/>
        <v>0</v>
      </c>
      <c r="Z40" s="1311">
        <f t="shared" si="2"/>
        <v>0</v>
      </c>
      <c r="AA40" s="1374">
        <f t="shared" si="4"/>
        <v>0</v>
      </c>
      <c r="AB40" s="1459">
        <f t="shared" si="4"/>
        <v>0</v>
      </c>
      <c r="AC40" s="1459">
        <f t="shared" si="4"/>
        <v>0</v>
      </c>
    </row>
    <row r="41" spans="1:29" ht="86.25" customHeight="1">
      <c r="A41" s="1522" t="s">
        <v>107</v>
      </c>
      <c r="B41" s="1525" t="s">
        <v>1096</v>
      </c>
      <c r="C41" s="871">
        <f t="shared" si="5"/>
        <v>6467.5</v>
      </c>
      <c r="D41" s="1249">
        <v>0</v>
      </c>
      <c r="E41" s="1249">
        <v>6467.5</v>
      </c>
      <c r="F41" s="1531">
        <f>SUM(G41:H41)</f>
        <v>6467.5</v>
      </c>
      <c r="G41" s="1533">
        <v>0</v>
      </c>
      <c r="H41" s="1533">
        <v>6467.5</v>
      </c>
      <c r="I41" s="1531">
        <f>SUM(J41:K41)</f>
        <v>0</v>
      </c>
      <c r="J41" s="1532">
        <v>0</v>
      </c>
      <c r="K41" s="1532">
        <v>0</v>
      </c>
      <c r="L41" s="876">
        <f t="shared" si="9"/>
        <v>0</v>
      </c>
      <c r="M41" s="877">
        <f t="shared" si="9"/>
        <v>0</v>
      </c>
      <c r="N41" s="877">
        <f t="shared" si="9"/>
        <v>0</v>
      </c>
      <c r="O41" s="1214" t="s">
        <v>1171</v>
      </c>
      <c r="P41" s="1214" t="s">
        <v>1128</v>
      </c>
      <c r="Q41" s="1065"/>
      <c r="R41" s="1065"/>
      <c r="S41" s="1065"/>
      <c r="T41" s="1099" t="s">
        <v>961</v>
      </c>
      <c r="U41" s="1100">
        <v>1240343280</v>
      </c>
      <c r="V41" s="1099">
        <v>522</v>
      </c>
      <c r="W41" s="1099" t="s">
        <v>971</v>
      </c>
      <c r="Z41" s="1311">
        <f t="shared" si="2"/>
        <v>0</v>
      </c>
      <c r="AA41" s="1374">
        <f t="shared" si="4"/>
        <v>0</v>
      </c>
      <c r="AB41" s="1459">
        <f t="shared" si="4"/>
        <v>0</v>
      </c>
      <c r="AC41" s="1459">
        <f t="shared" si="4"/>
        <v>0</v>
      </c>
    </row>
    <row r="42" spans="1:29" ht="111" customHeight="1">
      <c r="A42" s="1522" t="s">
        <v>108</v>
      </c>
      <c r="B42" s="1084" t="s">
        <v>1350</v>
      </c>
      <c r="C42" s="871">
        <f t="shared" si="5"/>
        <v>4400</v>
      </c>
      <c r="D42" s="1249">
        <v>0</v>
      </c>
      <c r="E42" s="1249">
        <v>4400</v>
      </c>
      <c r="F42" s="1531">
        <f t="shared" si="6"/>
        <v>4400</v>
      </c>
      <c r="G42" s="1533">
        <v>0</v>
      </c>
      <c r="H42" s="1533">
        <v>4400</v>
      </c>
      <c r="I42" s="1531">
        <f t="shared" si="7"/>
        <v>4259.8999999999996</v>
      </c>
      <c r="J42" s="1532">
        <v>0</v>
      </c>
      <c r="K42" s="1532">
        <v>4259.8999999999996</v>
      </c>
      <c r="L42" s="876">
        <f t="shared" si="9"/>
        <v>96.8</v>
      </c>
      <c r="M42" s="877">
        <f t="shared" si="9"/>
        <v>0</v>
      </c>
      <c r="N42" s="877">
        <f t="shared" si="9"/>
        <v>96.8</v>
      </c>
      <c r="O42" s="1214" t="s">
        <v>1180</v>
      </c>
      <c r="P42" s="1214" t="s">
        <v>1131</v>
      </c>
      <c r="Q42" s="1065">
        <f t="shared" si="1"/>
        <v>0</v>
      </c>
      <c r="R42" s="1065">
        <f t="shared" si="1"/>
        <v>0</v>
      </c>
      <c r="S42" s="1065">
        <f t="shared" si="1"/>
        <v>0</v>
      </c>
      <c r="T42" s="1099" t="s">
        <v>886</v>
      </c>
      <c r="U42" s="1100" t="s">
        <v>972</v>
      </c>
      <c r="V42" s="1099">
        <v>522</v>
      </c>
      <c r="W42" s="1099" t="s">
        <v>978</v>
      </c>
      <c r="Z42" s="1311">
        <f t="shared" si="2"/>
        <v>0</v>
      </c>
      <c r="AA42" s="1374">
        <f t="shared" si="4"/>
        <v>0</v>
      </c>
      <c r="AB42" s="1459">
        <f t="shared" si="4"/>
        <v>0</v>
      </c>
      <c r="AC42" s="1459">
        <f t="shared" si="4"/>
        <v>0</v>
      </c>
    </row>
    <row r="43" spans="1:29" s="1216" customFormat="1">
      <c r="A43" s="1522"/>
      <c r="B43" s="898" t="s">
        <v>709</v>
      </c>
      <c r="C43" s="871">
        <f>SUM(D43:E43)</f>
        <v>58050</v>
      </c>
      <c r="D43" s="1250">
        <v>0</v>
      </c>
      <c r="E43" s="1250">
        <v>58050</v>
      </c>
      <c r="F43" s="871">
        <f>SUM(G43:H43)</f>
        <v>58050</v>
      </c>
      <c r="G43" s="1250">
        <v>0</v>
      </c>
      <c r="H43" s="1250">
        <v>58050</v>
      </c>
      <c r="I43" s="871">
        <f>SUM(J43:K43)</f>
        <v>11333.2</v>
      </c>
      <c r="J43" s="1250">
        <v>0</v>
      </c>
      <c r="K43" s="1250">
        <f>SUM(K44:K46)</f>
        <v>11333.2</v>
      </c>
      <c r="L43" s="876">
        <f t="shared" si="9"/>
        <v>19.5</v>
      </c>
      <c r="M43" s="877">
        <f t="shared" si="9"/>
        <v>0</v>
      </c>
      <c r="N43" s="877">
        <f t="shared" si="9"/>
        <v>19.5</v>
      </c>
      <c r="O43" s="1214" t="s">
        <v>353</v>
      </c>
      <c r="P43" s="1214" t="s">
        <v>353</v>
      </c>
      <c r="Q43" s="1065">
        <f t="shared" si="1"/>
        <v>0</v>
      </c>
      <c r="R43" s="1065">
        <f t="shared" si="1"/>
        <v>0</v>
      </c>
      <c r="S43" s="1065">
        <f t="shared" si="1"/>
        <v>0</v>
      </c>
      <c r="T43" s="1099"/>
      <c r="U43" s="1100"/>
      <c r="V43" s="1099"/>
      <c r="W43" s="1099"/>
      <c r="Z43" s="1311">
        <f t="shared" si="2"/>
        <v>0</v>
      </c>
      <c r="AA43" s="1374">
        <f t="shared" si="4"/>
        <v>0</v>
      </c>
      <c r="AB43" s="1459">
        <f t="shared" si="4"/>
        <v>0</v>
      </c>
      <c r="AC43" s="1459">
        <f t="shared" si="4"/>
        <v>0</v>
      </c>
    </row>
    <row r="44" spans="1:29" s="1216" customFormat="1" ht="78.75">
      <c r="A44" s="1522" t="s">
        <v>109</v>
      </c>
      <c r="B44" s="1525" t="s">
        <v>1047</v>
      </c>
      <c r="C44" s="871">
        <f>SUM(D44:E44)</f>
        <v>35700</v>
      </c>
      <c r="D44" s="1249">
        <v>0</v>
      </c>
      <c r="E44" s="1249">
        <v>35700</v>
      </c>
      <c r="F44" s="1531">
        <f>SUM(G44:H44)</f>
        <v>35700</v>
      </c>
      <c r="G44" s="1533">
        <v>0</v>
      </c>
      <c r="H44" s="1533">
        <v>35700</v>
      </c>
      <c r="I44" s="1531">
        <f t="shared" si="7"/>
        <v>10588.7</v>
      </c>
      <c r="J44" s="1532">
        <v>0</v>
      </c>
      <c r="K44" s="1532">
        <f>10644.8-1123.2+1067.1</f>
        <v>10588.7</v>
      </c>
      <c r="L44" s="876">
        <f t="shared" si="9"/>
        <v>29.7</v>
      </c>
      <c r="M44" s="877">
        <f t="shared" si="9"/>
        <v>0</v>
      </c>
      <c r="N44" s="877">
        <f t="shared" si="9"/>
        <v>29.7</v>
      </c>
      <c r="O44" s="1214" t="s">
        <v>1171</v>
      </c>
      <c r="P44" s="1214" t="s">
        <v>1133</v>
      </c>
      <c r="Q44" s="1065"/>
      <c r="R44" s="1065"/>
      <c r="S44" s="1065"/>
      <c r="T44" s="1099" t="s">
        <v>961</v>
      </c>
      <c r="U44" s="1100" t="s">
        <v>990</v>
      </c>
      <c r="V44" s="1099">
        <v>522</v>
      </c>
      <c r="W44" s="1099">
        <v>24357</v>
      </c>
      <c r="Z44" s="1311">
        <f t="shared" si="2"/>
        <v>0</v>
      </c>
      <c r="AA44" s="1374">
        <f t="shared" si="4"/>
        <v>0</v>
      </c>
      <c r="AB44" s="1459">
        <f t="shared" si="4"/>
        <v>0</v>
      </c>
      <c r="AC44" s="1459">
        <f t="shared" si="4"/>
        <v>0</v>
      </c>
    </row>
    <row r="45" spans="1:29" s="1216" customFormat="1" ht="78.75">
      <c r="A45" s="1522" t="s">
        <v>117</v>
      </c>
      <c r="B45" s="1084" t="s">
        <v>1048</v>
      </c>
      <c r="C45" s="871">
        <f>SUM(D45:E45)</f>
        <v>4500</v>
      </c>
      <c r="D45" s="1249">
        <v>0</v>
      </c>
      <c r="E45" s="1249">
        <v>4500</v>
      </c>
      <c r="F45" s="1531">
        <f>SUM(G45:H45)</f>
        <v>4500</v>
      </c>
      <c r="G45" s="1533">
        <v>0</v>
      </c>
      <c r="H45" s="1533">
        <v>4500</v>
      </c>
      <c r="I45" s="1531">
        <f t="shared" si="7"/>
        <v>744.5</v>
      </c>
      <c r="J45" s="1532">
        <v>0</v>
      </c>
      <c r="K45" s="1532">
        <v>744.5</v>
      </c>
      <c r="L45" s="876">
        <f t="shared" si="9"/>
        <v>16.5</v>
      </c>
      <c r="M45" s="877">
        <f t="shared" si="9"/>
        <v>0</v>
      </c>
      <c r="N45" s="877">
        <f t="shared" si="9"/>
        <v>16.5</v>
      </c>
      <c r="O45" s="1214" t="s">
        <v>1171</v>
      </c>
      <c r="P45" s="1214" t="s">
        <v>1116</v>
      </c>
      <c r="Q45" s="1065">
        <f t="shared" si="1"/>
        <v>0</v>
      </c>
      <c r="R45" s="1065">
        <f t="shared" si="1"/>
        <v>0</v>
      </c>
      <c r="S45" s="1065">
        <f t="shared" si="1"/>
        <v>0</v>
      </c>
      <c r="T45" s="1099" t="s">
        <v>886</v>
      </c>
      <c r="U45" s="1100" t="s">
        <v>967</v>
      </c>
      <c r="V45" s="1099">
        <v>522</v>
      </c>
      <c r="W45" s="1099" t="s">
        <v>991</v>
      </c>
      <c r="Z45" s="1311">
        <f t="shared" si="2"/>
        <v>0</v>
      </c>
      <c r="AA45" s="1374">
        <f t="shared" si="4"/>
        <v>0</v>
      </c>
      <c r="AB45" s="1459">
        <f t="shared" si="4"/>
        <v>0</v>
      </c>
      <c r="AC45" s="1459">
        <f t="shared" si="4"/>
        <v>0</v>
      </c>
    </row>
    <row r="46" spans="1:29" s="1216" customFormat="1" ht="78.75">
      <c r="A46" s="1522" t="s">
        <v>118</v>
      </c>
      <c r="B46" s="1084" t="s">
        <v>1049</v>
      </c>
      <c r="C46" s="871">
        <f t="shared" si="5"/>
        <v>17850</v>
      </c>
      <c r="D46" s="1249">
        <v>0</v>
      </c>
      <c r="E46" s="1249">
        <v>17850</v>
      </c>
      <c r="F46" s="1531">
        <f t="shared" si="6"/>
        <v>17850</v>
      </c>
      <c r="G46" s="1533">
        <v>0</v>
      </c>
      <c r="H46" s="1533">
        <v>17850</v>
      </c>
      <c r="I46" s="1531">
        <f t="shared" si="7"/>
        <v>0</v>
      </c>
      <c r="J46" s="1532">
        <v>0</v>
      </c>
      <c r="K46" s="1532">
        <v>0</v>
      </c>
      <c r="L46" s="876">
        <f t="shared" si="9"/>
        <v>0</v>
      </c>
      <c r="M46" s="877">
        <f t="shared" si="9"/>
        <v>0</v>
      </c>
      <c r="N46" s="877">
        <f t="shared" si="9"/>
        <v>0</v>
      </c>
      <c r="O46" s="1214" t="s">
        <v>1171</v>
      </c>
      <c r="P46" s="1214" t="s">
        <v>1116</v>
      </c>
      <c r="Q46" s="1065">
        <f t="shared" si="1"/>
        <v>0</v>
      </c>
      <c r="R46" s="1065">
        <f t="shared" si="1"/>
        <v>0</v>
      </c>
      <c r="S46" s="1065">
        <f t="shared" si="1"/>
        <v>0</v>
      </c>
      <c r="T46" s="1099" t="s">
        <v>886</v>
      </c>
      <c r="U46" s="1100" t="s">
        <v>967</v>
      </c>
      <c r="V46" s="1099">
        <v>522</v>
      </c>
      <c r="W46" s="1099" t="s">
        <v>969</v>
      </c>
      <c r="Z46" s="1311">
        <f t="shared" si="2"/>
        <v>0</v>
      </c>
      <c r="AA46" s="1374">
        <f t="shared" si="4"/>
        <v>0</v>
      </c>
      <c r="AB46" s="1459">
        <f t="shared" si="4"/>
        <v>0</v>
      </c>
      <c r="AC46" s="1459">
        <f t="shared" si="4"/>
        <v>0</v>
      </c>
    </row>
    <row r="47" spans="1:29" s="1216" customFormat="1">
      <c r="A47" s="1522"/>
      <c r="B47" s="898" t="s">
        <v>333</v>
      </c>
      <c r="C47" s="871">
        <f t="shared" si="5"/>
        <v>9843</v>
      </c>
      <c r="D47" s="1250">
        <v>0</v>
      </c>
      <c r="E47" s="1250">
        <v>9843</v>
      </c>
      <c r="F47" s="1531">
        <f t="shared" si="6"/>
        <v>9843</v>
      </c>
      <c r="G47" s="875">
        <v>0</v>
      </c>
      <c r="H47" s="875">
        <v>9843</v>
      </c>
      <c r="I47" s="1531">
        <f>SUM(J47:K47)</f>
        <v>0</v>
      </c>
      <c r="J47" s="875">
        <v>0</v>
      </c>
      <c r="K47" s="875">
        <v>0</v>
      </c>
      <c r="L47" s="876">
        <f t="shared" si="9"/>
        <v>0</v>
      </c>
      <c r="M47" s="877">
        <f t="shared" si="9"/>
        <v>0</v>
      </c>
      <c r="N47" s="877">
        <f t="shared" si="9"/>
        <v>0</v>
      </c>
      <c r="O47" s="1214" t="s">
        <v>353</v>
      </c>
      <c r="P47" s="1214" t="s">
        <v>353</v>
      </c>
      <c r="Q47" s="1065">
        <f t="shared" si="1"/>
        <v>0</v>
      </c>
      <c r="R47" s="1065">
        <f t="shared" si="1"/>
        <v>0</v>
      </c>
      <c r="S47" s="1065">
        <f t="shared" si="1"/>
        <v>0</v>
      </c>
      <c r="T47" s="1099"/>
      <c r="U47" s="1100"/>
      <c r="V47" s="1099"/>
      <c r="W47" s="1099"/>
      <c r="Z47" s="1311">
        <f t="shared" si="2"/>
        <v>0</v>
      </c>
      <c r="AA47" s="1374">
        <f t="shared" si="4"/>
        <v>0</v>
      </c>
      <c r="AB47" s="1459">
        <f t="shared" si="4"/>
        <v>0</v>
      </c>
      <c r="AC47" s="1459">
        <f t="shared" si="4"/>
        <v>0</v>
      </c>
    </row>
    <row r="48" spans="1:29" s="1216" customFormat="1" ht="52.5" customHeight="1">
      <c r="A48" s="1522" t="s">
        <v>154</v>
      </c>
      <c r="B48" s="1084" t="s">
        <v>1051</v>
      </c>
      <c r="C48" s="871">
        <f>SUM(D48:E48)</f>
        <v>3000</v>
      </c>
      <c r="D48" s="1249">
        <v>0</v>
      </c>
      <c r="E48" s="1249">
        <v>3000</v>
      </c>
      <c r="F48" s="1531">
        <f>SUM(G48:H48)</f>
        <v>3000</v>
      </c>
      <c r="G48" s="1533">
        <v>0</v>
      </c>
      <c r="H48" s="1533">
        <v>3000</v>
      </c>
      <c r="I48" s="1531">
        <f t="shared" si="7"/>
        <v>0</v>
      </c>
      <c r="J48" s="1532">
        <v>0</v>
      </c>
      <c r="K48" s="1532">
        <v>0</v>
      </c>
      <c r="L48" s="876">
        <f t="shared" si="9"/>
        <v>0</v>
      </c>
      <c r="M48" s="877">
        <f t="shared" si="9"/>
        <v>0</v>
      </c>
      <c r="N48" s="877">
        <f t="shared" si="9"/>
        <v>0</v>
      </c>
      <c r="O48" s="1214" t="s">
        <v>1171</v>
      </c>
      <c r="P48" s="1214" t="s">
        <v>1116</v>
      </c>
      <c r="Q48" s="1065">
        <f t="shared" si="1"/>
        <v>0</v>
      </c>
      <c r="R48" s="1065">
        <f t="shared" si="1"/>
        <v>0</v>
      </c>
      <c r="S48" s="1065">
        <f t="shared" si="1"/>
        <v>0</v>
      </c>
      <c r="T48" s="1099" t="s">
        <v>886</v>
      </c>
      <c r="U48" s="1100" t="s">
        <v>967</v>
      </c>
      <c r="V48" s="1099">
        <v>522</v>
      </c>
      <c r="W48" s="1099" t="s">
        <v>994</v>
      </c>
      <c r="Z48" s="1311">
        <f t="shared" si="2"/>
        <v>0</v>
      </c>
      <c r="AA48" s="1374">
        <f t="shared" si="4"/>
        <v>0</v>
      </c>
      <c r="AB48" s="1459">
        <f t="shared" si="4"/>
        <v>0</v>
      </c>
      <c r="AC48" s="1459">
        <f t="shared" si="4"/>
        <v>0</v>
      </c>
    </row>
    <row r="49" spans="1:29" s="1216" customFormat="1" ht="52.5" customHeight="1">
      <c r="A49" s="1522" t="s">
        <v>155</v>
      </c>
      <c r="B49" s="1084" t="s">
        <v>1050</v>
      </c>
      <c r="C49" s="871">
        <f t="shared" si="5"/>
        <v>6843</v>
      </c>
      <c r="D49" s="1249">
        <v>0</v>
      </c>
      <c r="E49" s="1249">
        <v>6843</v>
      </c>
      <c r="F49" s="1531">
        <f t="shared" si="6"/>
        <v>6843</v>
      </c>
      <c r="G49" s="1533">
        <v>0</v>
      </c>
      <c r="H49" s="1533">
        <v>6843</v>
      </c>
      <c r="I49" s="1531">
        <f t="shared" si="7"/>
        <v>0</v>
      </c>
      <c r="J49" s="1532">
        <v>0</v>
      </c>
      <c r="K49" s="1532">
        <v>0</v>
      </c>
      <c r="L49" s="876">
        <f t="shared" si="9"/>
        <v>0</v>
      </c>
      <c r="M49" s="877">
        <f t="shared" si="9"/>
        <v>0</v>
      </c>
      <c r="N49" s="877">
        <f t="shared" si="9"/>
        <v>0</v>
      </c>
      <c r="O49" s="1214" t="s">
        <v>1171</v>
      </c>
      <c r="P49" s="1214" t="s">
        <v>1116</v>
      </c>
      <c r="Q49" s="1065">
        <f t="shared" si="1"/>
        <v>0</v>
      </c>
      <c r="R49" s="1065">
        <f t="shared" si="1"/>
        <v>0</v>
      </c>
      <c r="S49" s="1065">
        <f t="shared" si="1"/>
        <v>0</v>
      </c>
      <c r="T49" s="1099" t="s">
        <v>886</v>
      </c>
      <c r="U49" s="1100" t="s">
        <v>967</v>
      </c>
      <c r="V49" s="1099">
        <v>522</v>
      </c>
      <c r="W49" s="1099" t="s">
        <v>995</v>
      </c>
      <c r="Z49" s="1311">
        <f t="shared" si="2"/>
        <v>0</v>
      </c>
      <c r="AA49" s="1374">
        <f t="shared" si="4"/>
        <v>0</v>
      </c>
      <c r="AB49" s="1459">
        <f t="shared" si="4"/>
        <v>0</v>
      </c>
      <c r="AC49" s="1459">
        <f t="shared" si="4"/>
        <v>0</v>
      </c>
    </row>
    <row r="50" spans="1:29" s="1216" customFormat="1">
      <c r="A50" s="1522"/>
      <c r="B50" s="898" t="s">
        <v>443</v>
      </c>
      <c r="C50" s="871">
        <f>SUM(D50:E50)</f>
        <v>5768</v>
      </c>
      <c r="D50" s="1250">
        <v>0</v>
      </c>
      <c r="E50" s="1250">
        <v>5768</v>
      </c>
      <c r="F50" s="871">
        <f>SUM(G50:H50)</f>
        <v>4368</v>
      </c>
      <c r="G50" s="1250">
        <v>0</v>
      </c>
      <c r="H50" s="1250">
        <v>4368</v>
      </c>
      <c r="I50" s="871">
        <f>SUM(J50:K50)</f>
        <v>0</v>
      </c>
      <c r="J50" s="1250">
        <v>0</v>
      </c>
      <c r="K50" s="1250">
        <v>0</v>
      </c>
      <c r="L50" s="876">
        <f t="shared" si="9"/>
        <v>0</v>
      </c>
      <c r="M50" s="877">
        <f t="shared" si="9"/>
        <v>0</v>
      </c>
      <c r="N50" s="877">
        <f t="shared" si="9"/>
        <v>0</v>
      </c>
      <c r="O50" s="1214" t="s">
        <v>353</v>
      </c>
      <c r="P50" s="1214" t="s">
        <v>353</v>
      </c>
      <c r="Q50" s="1065">
        <f t="shared" si="1"/>
        <v>1400</v>
      </c>
      <c r="R50" s="1065">
        <f t="shared" si="1"/>
        <v>0</v>
      </c>
      <c r="S50" s="1065">
        <f t="shared" si="1"/>
        <v>1400</v>
      </c>
      <c r="T50" s="1099"/>
      <c r="U50" s="1100"/>
      <c r="V50" s="1099"/>
      <c r="W50" s="1099"/>
      <c r="Z50" s="1311">
        <f t="shared" si="2"/>
        <v>1400</v>
      </c>
      <c r="AA50" s="1374">
        <f t="shared" si="4"/>
        <v>1400</v>
      </c>
      <c r="AB50" s="1459">
        <f t="shared" si="4"/>
        <v>0</v>
      </c>
      <c r="AC50" s="1459">
        <f t="shared" si="4"/>
        <v>1400</v>
      </c>
    </row>
    <row r="51" spans="1:29" s="1216" customFormat="1" ht="52.5" customHeight="1">
      <c r="A51" s="1522" t="s">
        <v>156</v>
      </c>
      <c r="B51" s="1084" t="s">
        <v>1052</v>
      </c>
      <c r="C51" s="871">
        <f>SUM(D51:E51)</f>
        <v>4368</v>
      </c>
      <c r="D51" s="1249">
        <v>0</v>
      </c>
      <c r="E51" s="1249">
        <v>4368</v>
      </c>
      <c r="F51" s="1531">
        <f>SUM(G51:H51)</f>
        <v>4368</v>
      </c>
      <c r="G51" s="1533">
        <v>0</v>
      </c>
      <c r="H51" s="1533">
        <v>4368</v>
      </c>
      <c r="I51" s="1531">
        <f t="shared" si="7"/>
        <v>0</v>
      </c>
      <c r="J51" s="1532">
        <v>0</v>
      </c>
      <c r="K51" s="1532">
        <v>0</v>
      </c>
      <c r="L51" s="876">
        <f t="shared" si="9"/>
        <v>0</v>
      </c>
      <c r="M51" s="877">
        <f t="shared" si="9"/>
        <v>0</v>
      </c>
      <c r="N51" s="877">
        <f t="shared" si="9"/>
        <v>0</v>
      </c>
      <c r="O51" s="1214" t="s">
        <v>1171</v>
      </c>
      <c r="P51" s="1214" t="s">
        <v>1116</v>
      </c>
      <c r="Q51" s="1065">
        <f t="shared" si="1"/>
        <v>0</v>
      </c>
      <c r="R51" s="1065">
        <f t="shared" si="1"/>
        <v>0</v>
      </c>
      <c r="S51" s="1065">
        <f t="shared" si="1"/>
        <v>0</v>
      </c>
      <c r="T51" s="1099" t="s">
        <v>886</v>
      </c>
      <c r="U51" s="1100" t="s">
        <v>967</v>
      </c>
      <c r="V51" s="1099">
        <v>522</v>
      </c>
      <c r="W51" s="1099" t="s">
        <v>986</v>
      </c>
      <c r="Z51" s="1311">
        <f t="shared" si="2"/>
        <v>0</v>
      </c>
      <c r="AA51" s="1374">
        <f t="shared" si="4"/>
        <v>0</v>
      </c>
      <c r="AB51" s="1459">
        <f t="shared" si="4"/>
        <v>0</v>
      </c>
      <c r="AC51" s="1459">
        <f t="shared" si="4"/>
        <v>0</v>
      </c>
    </row>
    <row r="52" spans="1:29" ht="50.25" customHeight="1">
      <c r="A52" s="1522" t="s">
        <v>122</v>
      </c>
      <c r="B52" s="1084" t="s">
        <v>681</v>
      </c>
      <c r="C52" s="871">
        <f>SUM(D52:E52)</f>
        <v>1400</v>
      </c>
      <c r="D52" s="1249">
        <v>0</v>
      </c>
      <c r="E52" s="1249">
        <v>1400</v>
      </c>
      <c r="F52" s="1531">
        <f>SUM(G52:H52)</f>
        <v>0</v>
      </c>
      <c r="G52" s="879">
        <f>D52</f>
        <v>0</v>
      </c>
      <c r="H52" s="879">
        <v>0</v>
      </c>
      <c r="I52" s="1531">
        <f t="shared" si="7"/>
        <v>0</v>
      </c>
      <c r="J52" s="1532">
        <v>0</v>
      </c>
      <c r="K52" s="1532">
        <v>0</v>
      </c>
      <c r="L52" s="876">
        <f t="shared" si="9"/>
        <v>0</v>
      </c>
      <c r="M52" s="877">
        <f t="shared" si="9"/>
        <v>0</v>
      </c>
      <c r="N52" s="877">
        <f t="shared" si="9"/>
        <v>0</v>
      </c>
      <c r="O52" s="1518" t="s">
        <v>1190</v>
      </c>
      <c r="P52" s="1214" t="s">
        <v>1146</v>
      </c>
      <c r="Q52" s="1065">
        <f t="shared" si="1"/>
        <v>1400</v>
      </c>
      <c r="R52" s="1065">
        <f t="shared" si="1"/>
        <v>0</v>
      </c>
      <c r="S52" s="1065">
        <f t="shared" si="1"/>
        <v>1400</v>
      </c>
      <c r="T52" s="1099" t="s">
        <v>874</v>
      </c>
      <c r="U52" s="1100" t="s">
        <v>984</v>
      </c>
      <c r="V52" s="1099">
        <v>522</v>
      </c>
      <c r="W52" s="1099" t="s">
        <v>985</v>
      </c>
      <c r="Z52" s="1311">
        <f t="shared" si="2"/>
        <v>1400</v>
      </c>
      <c r="AA52" s="1374">
        <f t="shared" si="4"/>
        <v>1400</v>
      </c>
      <c r="AB52" s="1459">
        <f t="shared" si="4"/>
        <v>0</v>
      </c>
      <c r="AC52" s="1459">
        <f t="shared" si="4"/>
        <v>1400</v>
      </c>
    </row>
    <row r="53" spans="1:29" s="1216" customFormat="1">
      <c r="A53" s="1522"/>
      <c r="B53" s="898" t="s">
        <v>46</v>
      </c>
      <c r="C53" s="871">
        <f t="shared" si="5"/>
        <v>12500</v>
      </c>
      <c r="D53" s="1250">
        <v>0</v>
      </c>
      <c r="E53" s="1250">
        <f>E54</f>
        <v>12500</v>
      </c>
      <c r="F53" s="1531">
        <f t="shared" si="6"/>
        <v>12500</v>
      </c>
      <c r="G53" s="875">
        <v>0</v>
      </c>
      <c r="H53" s="875">
        <f>H54</f>
        <v>12500</v>
      </c>
      <c r="I53" s="1531">
        <f>SUM(J53:K53)</f>
        <v>0</v>
      </c>
      <c r="J53" s="875">
        <v>0</v>
      </c>
      <c r="K53" s="875">
        <v>0</v>
      </c>
      <c r="L53" s="876">
        <f t="shared" si="9"/>
        <v>0</v>
      </c>
      <c r="M53" s="877">
        <f t="shared" si="9"/>
        <v>0</v>
      </c>
      <c r="N53" s="877">
        <f t="shared" si="9"/>
        <v>0</v>
      </c>
      <c r="O53" s="1214" t="s">
        <v>353</v>
      </c>
      <c r="P53" s="1214" t="s">
        <v>353</v>
      </c>
      <c r="Q53" s="1065">
        <f t="shared" si="1"/>
        <v>0</v>
      </c>
      <c r="R53" s="1065">
        <f t="shared" si="1"/>
        <v>0</v>
      </c>
      <c r="S53" s="1065">
        <f t="shared" si="1"/>
        <v>0</v>
      </c>
      <c r="T53" s="1099"/>
      <c r="U53" s="1100"/>
      <c r="V53" s="1099"/>
      <c r="W53" s="1099"/>
      <c r="Z53" s="1311">
        <f t="shared" si="2"/>
        <v>0</v>
      </c>
      <c r="AA53" s="1374">
        <f t="shared" si="4"/>
        <v>0</v>
      </c>
      <c r="AB53" s="1459">
        <f t="shared" si="4"/>
        <v>0</v>
      </c>
      <c r="AC53" s="1459">
        <f t="shared" si="4"/>
        <v>0</v>
      </c>
    </row>
    <row r="54" spans="1:29" s="1216" customFormat="1" ht="120" customHeight="1">
      <c r="A54" s="1522" t="s">
        <v>123</v>
      </c>
      <c r="B54" s="1084" t="s">
        <v>1055</v>
      </c>
      <c r="C54" s="871">
        <f t="shared" si="5"/>
        <v>12500</v>
      </c>
      <c r="D54" s="1249">
        <v>0</v>
      </c>
      <c r="E54" s="1249">
        <v>12500</v>
      </c>
      <c r="F54" s="1531">
        <f t="shared" si="6"/>
        <v>12500</v>
      </c>
      <c r="G54" s="1533">
        <v>0</v>
      </c>
      <c r="H54" s="1533">
        <v>12500</v>
      </c>
      <c r="I54" s="1531"/>
      <c r="J54" s="1532">
        <v>0</v>
      </c>
      <c r="K54" s="1532">
        <v>0</v>
      </c>
      <c r="L54" s="876">
        <f t="shared" si="9"/>
        <v>0</v>
      </c>
      <c r="M54" s="877">
        <f t="shared" si="9"/>
        <v>0</v>
      </c>
      <c r="N54" s="877">
        <f t="shared" si="9"/>
        <v>0</v>
      </c>
      <c r="O54" s="1214" t="s">
        <v>1184</v>
      </c>
      <c r="P54" s="1214" t="s">
        <v>1136</v>
      </c>
      <c r="Q54" s="1065">
        <f t="shared" si="1"/>
        <v>0</v>
      </c>
      <c r="R54" s="1065">
        <f t="shared" si="1"/>
        <v>0</v>
      </c>
      <c r="S54" s="1065">
        <f t="shared" si="1"/>
        <v>0</v>
      </c>
      <c r="T54" s="1099" t="s">
        <v>886</v>
      </c>
      <c r="U54" s="1100" t="s">
        <v>966</v>
      </c>
      <c r="V54" s="1099">
        <v>522</v>
      </c>
      <c r="W54" s="1099" t="s">
        <v>977</v>
      </c>
      <c r="Z54" s="1311">
        <f t="shared" si="2"/>
        <v>0</v>
      </c>
      <c r="AA54" s="1374">
        <f t="shared" si="4"/>
        <v>0</v>
      </c>
      <c r="AB54" s="1459">
        <f t="shared" si="4"/>
        <v>0</v>
      </c>
      <c r="AC54" s="1459">
        <f t="shared" si="4"/>
        <v>0</v>
      </c>
    </row>
    <row r="55" spans="1:29">
      <c r="A55" s="1522"/>
      <c r="B55" s="898" t="s">
        <v>457</v>
      </c>
      <c r="C55" s="871">
        <f t="shared" si="5"/>
        <v>10200</v>
      </c>
      <c r="D55" s="875">
        <f>SUM(D56:D60)</f>
        <v>0</v>
      </c>
      <c r="E55" s="875">
        <f>SUM(E56:E60)</f>
        <v>10200</v>
      </c>
      <c r="F55" s="1531">
        <f t="shared" si="6"/>
        <v>10200</v>
      </c>
      <c r="G55" s="875">
        <f>SUM(G56:G60)</f>
        <v>0</v>
      </c>
      <c r="H55" s="875">
        <f>SUM(H56:H60)</f>
        <v>10200</v>
      </c>
      <c r="I55" s="1531">
        <f>SUM(J55:K55)</f>
        <v>0</v>
      </c>
      <c r="J55" s="875">
        <v>0</v>
      </c>
      <c r="K55" s="875">
        <v>0</v>
      </c>
      <c r="L55" s="876">
        <f t="shared" si="9"/>
        <v>0</v>
      </c>
      <c r="M55" s="877">
        <f t="shared" si="9"/>
        <v>0</v>
      </c>
      <c r="N55" s="877">
        <f t="shared" si="9"/>
        <v>0</v>
      </c>
      <c r="O55" s="1214" t="s">
        <v>353</v>
      </c>
      <c r="P55" s="1214" t="s">
        <v>353</v>
      </c>
      <c r="Q55" s="1065">
        <f t="shared" si="1"/>
        <v>0</v>
      </c>
      <c r="R55" s="1065">
        <f t="shared" si="1"/>
        <v>0</v>
      </c>
      <c r="S55" s="1065">
        <f t="shared" si="1"/>
        <v>0</v>
      </c>
      <c r="Z55" s="1311">
        <f t="shared" si="2"/>
        <v>0</v>
      </c>
      <c r="AA55" s="1374">
        <f t="shared" si="4"/>
        <v>0</v>
      </c>
      <c r="AB55" s="1459">
        <f t="shared" si="4"/>
        <v>0</v>
      </c>
      <c r="AC55" s="1459">
        <f t="shared" si="4"/>
        <v>0</v>
      </c>
    </row>
    <row r="56" spans="1:29" ht="105">
      <c r="A56" s="1522" t="s">
        <v>124</v>
      </c>
      <c r="B56" s="1084" t="s">
        <v>1056</v>
      </c>
      <c r="C56" s="871">
        <f t="shared" si="5"/>
        <v>3000</v>
      </c>
      <c r="D56" s="1249">
        <v>0</v>
      </c>
      <c r="E56" s="1249">
        <v>3000</v>
      </c>
      <c r="F56" s="1531">
        <f t="shared" si="6"/>
        <v>3000</v>
      </c>
      <c r="G56" s="1533">
        <v>0</v>
      </c>
      <c r="H56" s="1533">
        <v>3000</v>
      </c>
      <c r="I56" s="2485">
        <f>SUM(J56:K60)</f>
        <v>0</v>
      </c>
      <c r="J56" s="2484">
        <v>0</v>
      </c>
      <c r="K56" s="2484">
        <v>0</v>
      </c>
      <c r="L56" s="2469">
        <f>IF(I56=0,0,I56/F56:F60*100)</f>
        <v>0</v>
      </c>
      <c r="M56" s="2470">
        <f>IF(J56=0,0,J56/G56:G60*100)</f>
        <v>0</v>
      </c>
      <c r="N56" s="2470">
        <f>IF(K56=0,0,K56/H56:H60*100)</f>
        <v>0</v>
      </c>
      <c r="O56" s="1214" t="s">
        <v>1171</v>
      </c>
      <c r="P56" s="1213" t="s">
        <v>1137</v>
      </c>
      <c r="Q56" s="1065">
        <f t="shared" si="1"/>
        <v>0</v>
      </c>
      <c r="R56" s="1065">
        <f t="shared" si="1"/>
        <v>0</v>
      </c>
      <c r="S56" s="1065">
        <f t="shared" si="1"/>
        <v>0</v>
      </c>
      <c r="T56" s="2410" t="s">
        <v>886</v>
      </c>
      <c r="U56" s="2410" t="s">
        <v>966</v>
      </c>
      <c r="V56" s="2410">
        <v>522</v>
      </c>
      <c r="W56" s="2410" t="s">
        <v>979</v>
      </c>
      <c r="X56" s="2465"/>
      <c r="Z56" s="1311">
        <f t="shared" si="2"/>
        <v>0</v>
      </c>
      <c r="AA56" s="1374">
        <f t="shared" si="4"/>
        <v>0</v>
      </c>
      <c r="AB56" s="1459">
        <f t="shared" si="4"/>
        <v>0</v>
      </c>
      <c r="AC56" s="1459">
        <f t="shared" si="4"/>
        <v>0</v>
      </c>
    </row>
    <row r="57" spans="1:29" ht="141" customHeight="1">
      <c r="A57" s="1522" t="s">
        <v>125</v>
      </c>
      <c r="B57" s="1084" t="s">
        <v>1059</v>
      </c>
      <c r="C57" s="871">
        <f>SUM(D57:E57)</f>
        <v>3000</v>
      </c>
      <c r="D57" s="1249">
        <v>0</v>
      </c>
      <c r="E57" s="1249">
        <v>3000</v>
      </c>
      <c r="F57" s="1531">
        <f>SUM(G57:H57)</f>
        <v>3000</v>
      </c>
      <c r="G57" s="1533">
        <v>0</v>
      </c>
      <c r="H57" s="1533">
        <v>3000</v>
      </c>
      <c r="I57" s="2485"/>
      <c r="J57" s="2484"/>
      <c r="K57" s="2484"/>
      <c r="L57" s="2469"/>
      <c r="M57" s="2470"/>
      <c r="N57" s="2470"/>
      <c r="O57" s="1214" t="s">
        <v>1171</v>
      </c>
      <c r="P57" s="1213" t="s">
        <v>1137</v>
      </c>
      <c r="Q57" s="1065">
        <f t="shared" si="1"/>
        <v>0</v>
      </c>
      <c r="R57" s="1065">
        <f t="shared" si="1"/>
        <v>0</v>
      </c>
      <c r="S57" s="1065">
        <f t="shared" si="1"/>
        <v>0</v>
      </c>
      <c r="T57" s="2410"/>
      <c r="U57" s="2410"/>
      <c r="V57" s="2410"/>
      <c r="W57" s="2410"/>
      <c r="X57" s="2465"/>
      <c r="Z57" s="1311">
        <f>C57-F57</f>
        <v>0</v>
      </c>
      <c r="AA57" s="1374">
        <f>C57-F57</f>
        <v>0</v>
      </c>
      <c r="AB57" s="1459">
        <f t="shared" si="4"/>
        <v>0</v>
      </c>
      <c r="AC57" s="1459">
        <f t="shared" si="4"/>
        <v>0</v>
      </c>
    </row>
    <row r="58" spans="1:29" ht="150" customHeight="1">
      <c r="A58" s="1522" t="s">
        <v>126</v>
      </c>
      <c r="B58" s="1084" t="s">
        <v>1060</v>
      </c>
      <c r="C58" s="871">
        <f>SUM(D58:E58)</f>
        <v>900</v>
      </c>
      <c r="D58" s="1249">
        <v>0</v>
      </c>
      <c r="E58" s="1249">
        <v>900</v>
      </c>
      <c r="F58" s="1531">
        <f>SUM(G58:H58)</f>
        <v>900</v>
      </c>
      <c r="G58" s="1533">
        <v>0</v>
      </c>
      <c r="H58" s="1533">
        <v>900</v>
      </c>
      <c r="I58" s="2485"/>
      <c r="J58" s="2484"/>
      <c r="K58" s="2484"/>
      <c r="L58" s="2469"/>
      <c r="M58" s="2470"/>
      <c r="N58" s="2470"/>
      <c r="O58" s="1214" t="s">
        <v>1171</v>
      </c>
      <c r="P58" s="1213" t="s">
        <v>1137</v>
      </c>
      <c r="Q58" s="1065">
        <f t="shared" si="1"/>
        <v>0</v>
      </c>
      <c r="R58" s="1065">
        <f t="shared" si="1"/>
        <v>0</v>
      </c>
      <c r="S58" s="1065">
        <f t="shared" si="1"/>
        <v>0</v>
      </c>
      <c r="T58" s="2410"/>
      <c r="U58" s="2410"/>
      <c r="V58" s="2410"/>
      <c r="W58" s="2410"/>
      <c r="X58" s="2465"/>
      <c r="Z58" s="1311">
        <f>C58-F58</f>
        <v>0</v>
      </c>
      <c r="AA58" s="1374">
        <f>C58-F58</f>
        <v>0</v>
      </c>
      <c r="AB58" s="1459">
        <f t="shared" si="4"/>
        <v>0</v>
      </c>
      <c r="AC58" s="1459">
        <f t="shared" si="4"/>
        <v>0</v>
      </c>
    </row>
    <row r="59" spans="1:29" ht="164.25" customHeight="1">
      <c r="A59" s="1522" t="s">
        <v>127</v>
      </c>
      <c r="B59" s="1084" t="s">
        <v>1057</v>
      </c>
      <c r="C59" s="871">
        <f t="shared" si="5"/>
        <v>1920</v>
      </c>
      <c r="D59" s="1249">
        <v>0</v>
      </c>
      <c r="E59" s="1249">
        <v>1920</v>
      </c>
      <c r="F59" s="1531">
        <f t="shared" si="6"/>
        <v>1920</v>
      </c>
      <c r="G59" s="1533">
        <v>0</v>
      </c>
      <c r="H59" s="1533">
        <v>1920</v>
      </c>
      <c r="I59" s="2453">
        <f>J59+K59</f>
        <v>0</v>
      </c>
      <c r="J59" s="2412">
        <v>0</v>
      </c>
      <c r="K59" s="2412">
        <v>0</v>
      </c>
      <c r="L59" s="2425">
        <f t="shared" ref="L59:N74" si="10">IF(I59=0,0,I59/F59*100)</f>
        <v>0</v>
      </c>
      <c r="M59" s="2418">
        <f t="shared" si="10"/>
        <v>0</v>
      </c>
      <c r="N59" s="2418">
        <f t="shared" si="10"/>
        <v>0</v>
      </c>
      <c r="O59" s="1214" t="s">
        <v>1171</v>
      </c>
      <c r="P59" s="2472" t="s">
        <v>1138</v>
      </c>
      <c r="Q59" s="1065">
        <f t="shared" si="1"/>
        <v>0</v>
      </c>
      <c r="R59" s="1065">
        <f t="shared" si="1"/>
        <v>0</v>
      </c>
      <c r="S59" s="1065">
        <f t="shared" si="1"/>
        <v>0</v>
      </c>
      <c r="T59" s="2410"/>
      <c r="U59" s="2410"/>
      <c r="V59" s="2410"/>
      <c r="W59" s="2410"/>
      <c r="X59" s="2465"/>
      <c r="Z59" s="1311">
        <f t="shared" si="2"/>
        <v>0</v>
      </c>
      <c r="AA59" s="1374">
        <f t="shared" si="4"/>
        <v>0</v>
      </c>
      <c r="AB59" s="1459">
        <f t="shared" si="4"/>
        <v>0</v>
      </c>
      <c r="AC59" s="1459">
        <f t="shared" si="4"/>
        <v>0</v>
      </c>
    </row>
    <row r="60" spans="1:29" ht="157.5">
      <c r="A60" s="1522" t="s">
        <v>128</v>
      </c>
      <c r="B60" s="1084" t="s">
        <v>1058</v>
      </c>
      <c r="C60" s="871">
        <f t="shared" si="5"/>
        <v>1380</v>
      </c>
      <c r="D60" s="1249">
        <v>0</v>
      </c>
      <c r="E60" s="1249">
        <v>1380</v>
      </c>
      <c r="F60" s="1531">
        <f t="shared" si="6"/>
        <v>1380</v>
      </c>
      <c r="G60" s="1533">
        <v>0</v>
      </c>
      <c r="H60" s="1533">
        <v>1380</v>
      </c>
      <c r="I60" s="2455"/>
      <c r="J60" s="2414"/>
      <c r="K60" s="2414"/>
      <c r="L60" s="2427">
        <f t="shared" si="10"/>
        <v>0</v>
      </c>
      <c r="M60" s="2419">
        <f t="shared" si="10"/>
        <v>0</v>
      </c>
      <c r="N60" s="2419">
        <f t="shared" si="10"/>
        <v>0</v>
      </c>
      <c r="O60" s="1214" t="s">
        <v>1171</v>
      </c>
      <c r="P60" s="2472"/>
      <c r="Q60" s="1065">
        <f t="shared" si="1"/>
        <v>0</v>
      </c>
      <c r="R60" s="1065">
        <f t="shared" si="1"/>
        <v>0</v>
      </c>
      <c r="S60" s="1065">
        <f t="shared" si="1"/>
        <v>0</v>
      </c>
      <c r="T60" s="2410"/>
      <c r="U60" s="2410"/>
      <c r="V60" s="2410"/>
      <c r="W60" s="2410"/>
      <c r="X60" s="2465"/>
      <c r="Z60" s="1311">
        <f t="shared" si="2"/>
        <v>0</v>
      </c>
      <c r="AA60" s="1374">
        <f t="shared" si="4"/>
        <v>0</v>
      </c>
      <c r="AB60" s="1459">
        <f t="shared" si="4"/>
        <v>0</v>
      </c>
      <c r="AC60" s="1459">
        <f t="shared" si="4"/>
        <v>0</v>
      </c>
    </row>
    <row r="61" spans="1:29" s="914" customFormat="1" ht="92.25" customHeight="1">
      <c r="A61" s="1449"/>
      <c r="B61" s="1277" t="s">
        <v>444</v>
      </c>
      <c r="C61" s="1090">
        <f>D61+E61</f>
        <v>325874.09999999998</v>
      </c>
      <c r="D61" s="1090">
        <f>D62+D65+D68+D70+D72+D74+D77</f>
        <v>306319.5</v>
      </c>
      <c r="E61" s="1090">
        <f>E62+E65+E68+E70+E72+E74+E77</f>
        <v>19554.599999999999</v>
      </c>
      <c r="F61" s="1090">
        <f>G61+H61</f>
        <v>325874.09999999998</v>
      </c>
      <c r="G61" s="1090">
        <f>G62+G65+G68+G70+G72+G74+G77</f>
        <v>306319.5</v>
      </c>
      <c r="H61" s="1090">
        <f>H62+H65+H68+H70+H72+H74+H77</f>
        <v>19554.599999999999</v>
      </c>
      <c r="I61" s="1090">
        <f>J61+K61</f>
        <v>65642.3</v>
      </c>
      <c r="J61" s="1090">
        <f>J62+J65+J68+J70+J72+J74+J77</f>
        <v>61703.3</v>
      </c>
      <c r="K61" s="1090">
        <f>K62+K65+K68+K70+K72+K74+K77</f>
        <v>3939</v>
      </c>
      <c r="L61" s="1092">
        <f t="shared" si="10"/>
        <v>20.100000000000001</v>
      </c>
      <c r="M61" s="1093">
        <f t="shared" si="10"/>
        <v>20.100000000000001</v>
      </c>
      <c r="N61" s="1093">
        <f t="shared" si="10"/>
        <v>20.100000000000001</v>
      </c>
      <c r="O61" s="1224" t="s">
        <v>1117</v>
      </c>
      <c r="P61" s="1224" t="s">
        <v>1117</v>
      </c>
      <c r="Q61" s="1065">
        <f t="shared" si="1"/>
        <v>0</v>
      </c>
      <c r="R61" s="1065">
        <f t="shared" si="1"/>
        <v>0</v>
      </c>
      <c r="S61" s="1065">
        <f t="shared" si="1"/>
        <v>0</v>
      </c>
      <c r="T61" s="1099"/>
      <c r="U61" s="1100"/>
      <c r="V61" s="1099"/>
      <c r="W61" s="1099"/>
      <c r="X61" s="1216"/>
      <c r="Z61" s="1311">
        <f t="shared" si="2"/>
        <v>0</v>
      </c>
      <c r="AA61" s="1374">
        <f t="shared" si="4"/>
        <v>0</v>
      </c>
      <c r="AB61" s="1459">
        <f t="shared" si="4"/>
        <v>0</v>
      </c>
      <c r="AC61" s="1459">
        <f t="shared" si="4"/>
        <v>0</v>
      </c>
    </row>
    <row r="62" spans="1:29">
      <c r="A62" s="1522"/>
      <c r="B62" s="1236" t="s">
        <v>431</v>
      </c>
      <c r="C62" s="871">
        <f t="shared" ref="C62:C109" si="11">SUM(D62:E62)</f>
        <v>53340.1</v>
      </c>
      <c r="D62" s="1251">
        <f>D63+D64</f>
        <v>50139.4</v>
      </c>
      <c r="E62" s="1251">
        <f>E63+E64</f>
        <v>3200.7</v>
      </c>
      <c r="F62" s="1531">
        <f t="shared" ref="F62:F109" si="12">SUM(G62:H62)</f>
        <v>53340.1</v>
      </c>
      <c r="G62" s="880">
        <f>G63+G64</f>
        <v>50139.4</v>
      </c>
      <c r="H62" s="880">
        <f>H63+H64</f>
        <v>3200.7</v>
      </c>
      <c r="I62" s="1531">
        <f t="shared" ref="I62:I109" si="13">SUM(J62:K62)</f>
        <v>22283.9</v>
      </c>
      <c r="J62" s="1531">
        <f>J63+J64</f>
        <v>20946.599999999999</v>
      </c>
      <c r="K62" s="1531">
        <f>K63+K64</f>
        <v>1337.3</v>
      </c>
      <c r="L62" s="876">
        <f t="shared" si="10"/>
        <v>41.8</v>
      </c>
      <c r="M62" s="877">
        <f t="shared" si="10"/>
        <v>41.8</v>
      </c>
      <c r="N62" s="877">
        <f t="shared" si="10"/>
        <v>41.8</v>
      </c>
      <c r="O62" s="1214" t="s">
        <v>1117</v>
      </c>
      <c r="P62" s="1214" t="s">
        <v>1117</v>
      </c>
      <c r="Q62" s="1065">
        <f t="shared" si="1"/>
        <v>0</v>
      </c>
      <c r="R62" s="1065">
        <f t="shared" si="1"/>
        <v>0</v>
      </c>
      <c r="S62" s="1065">
        <f t="shared" si="1"/>
        <v>0</v>
      </c>
      <c r="Z62" s="1311">
        <f t="shared" si="2"/>
        <v>0</v>
      </c>
      <c r="AA62" s="1374">
        <f t="shared" si="4"/>
        <v>0</v>
      </c>
      <c r="AB62" s="1459">
        <f t="shared" si="4"/>
        <v>0</v>
      </c>
      <c r="AC62" s="1459">
        <f t="shared" si="4"/>
        <v>0</v>
      </c>
    </row>
    <row r="63" spans="1:29" ht="36.75" customHeight="1">
      <c r="A63" s="895">
        <v>32</v>
      </c>
      <c r="B63" s="1075" t="s">
        <v>690</v>
      </c>
      <c r="C63" s="871">
        <f t="shared" si="11"/>
        <v>11063.3</v>
      </c>
      <c r="D63" s="972">
        <f>10318.8+80.6</f>
        <v>10399.4</v>
      </c>
      <c r="E63" s="972">
        <v>663.9</v>
      </c>
      <c r="F63" s="1531">
        <f t="shared" si="12"/>
        <v>11063.3</v>
      </c>
      <c r="G63" s="879">
        <f>D63</f>
        <v>10399.4</v>
      </c>
      <c r="H63" s="879">
        <f>E63</f>
        <v>663.9</v>
      </c>
      <c r="I63" s="1531">
        <f t="shared" si="13"/>
        <v>10851.2</v>
      </c>
      <c r="J63" s="1532">
        <f>6636.7+74.01+3468.615+6.6+14.1</f>
        <v>10200</v>
      </c>
      <c r="K63" s="1532">
        <f>423.7+4.725+221.44+0.4+0.9</f>
        <v>651.20000000000005</v>
      </c>
      <c r="L63" s="876">
        <f t="shared" si="10"/>
        <v>98.1</v>
      </c>
      <c r="M63" s="877">
        <f t="shared" si="10"/>
        <v>98.1</v>
      </c>
      <c r="N63" s="877">
        <f t="shared" si="10"/>
        <v>98.1</v>
      </c>
      <c r="O63" s="1214" t="s">
        <v>1185</v>
      </c>
      <c r="P63" s="1214" t="s">
        <v>1143</v>
      </c>
      <c r="Q63" s="1065">
        <f t="shared" si="1"/>
        <v>0</v>
      </c>
      <c r="R63" s="1065">
        <f t="shared" si="1"/>
        <v>0</v>
      </c>
      <c r="S63" s="1065">
        <f t="shared" si="1"/>
        <v>0</v>
      </c>
      <c r="T63" s="1099" t="s">
        <v>954</v>
      </c>
      <c r="U63" s="1100" t="s">
        <v>974</v>
      </c>
      <c r="V63" s="1099">
        <v>522</v>
      </c>
      <c r="W63" s="1099" t="s">
        <v>958</v>
      </c>
      <c r="Z63" s="1311">
        <f t="shared" si="2"/>
        <v>0</v>
      </c>
      <c r="AA63" s="1374">
        <f t="shared" si="4"/>
        <v>0</v>
      </c>
      <c r="AB63" s="1459">
        <f t="shared" si="4"/>
        <v>0</v>
      </c>
      <c r="AC63" s="1459">
        <f t="shared" si="4"/>
        <v>0</v>
      </c>
    </row>
    <row r="64" spans="1:29" ht="36.75" customHeight="1">
      <c r="A64" s="1522" t="s">
        <v>129</v>
      </c>
      <c r="B64" s="1075" t="s">
        <v>689</v>
      </c>
      <c r="C64" s="871">
        <f t="shared" si="11"/>
        <v>42276.800000000003</v>
      </c>
      <c r="D64" s="972">
        <f>7948+31792</f>
        <v>39740</v>
      </c>
      <c r="E64" s="972">
        <f>507.4+2029.44</f>
        <v>2536.8000000000002</v>
      </c>
      <c r="F64" s="1531">
        <f t="shared" si="12"/>
        <v>42276.800000000003</v>
      </c>
      <c r="G64" s="879">
        <f>D64</f>
        <v>39740</v>
      </c>
      <c r="H64" s="879">
        <f>E64</f>
        <v>2536.8000000000002</v>
      </c>
      <c r="I64" s="1531">
        <f t="shared" si="13"/>
        <v>11432.7</v>
      </c>
      <c r="J64" s="1532">
        <f>7948.036+2798.60235</f>
        <v>10746.6</v>
      </c>
      <c r="K64" s="1532">
        <f>507.4+178.7</f>
        <v>686.1</v>
      </c>
      <c r="L64" s="876">
        <f>I64/C64*100</f>
        <v>27</v>
      </c>
      <c r="M64" s="877">
        <f>J64/D64*100</f>
        <v>27</v>
      </c>
      <c r="N64" s="877">
        <f>K64/E64*100</f>
        <v>27</v>
      </c>
      <c r="O64" s="1214" t="s">
        <v>1186</v>
      </c>
      <c r="P64" s="1214" t="s">
        <v>1144</v>
      </c>
      <c r="Q64" s="1065">
        <f t="shared" si="1"/>
        <v>0</v>
      </c>
      <c r="R64" s="1065">
        <f t="shared" si="1"/>
        <v>0</v>
      </c>
      <c r="S64" s="1065">
        <f t="shared" si="1"/>
        <v>0</v>
      </c>
      <c r="T64" s="1099" t="s">
        <v>886</v>
      </c>
      <c r="U64" s="1100" t="s">
        <v>973</v>
      </c>
      <c r="V64" s="1099">
        <v>522</v>
      </c>
      <c r="W64" s="1099" t="s">
        <v>890</v>
      </c>
      <c r="X64" s="1225"/>
      <c r="Z64" s="1311">
        <f t="shared" si="2"/>
        <v>0</v>
      </c>
      <c r="AA64" s="1374">
        <f t="shared" si="4"/>
        <v>0</v>
      </c>
      <c r="AB64" s="1459">
        <f t="shared" si="4"/>
        <v>0</v>
      </c>
      <c r="AC64" s="1459">
        <f t="shared" si="4"/>
        <v>0</v>
      </c>
    </row>
    <row r="65" spans="1:29">
      <c r="A65" s="1522"/>
      <c r="B65" s="898" t="s">
        <v>457</v>
      </c>
      <c r="C65" s="871">
        <f t="shared" si="11"/>
        <v>39454.5</v>
      </c>
      <c r="D65" s="1252">
        <f>SUM(D66:D67)</f>
        <v>37086.9</v>
      </c>
      <c r="E65" s="1252">
        <f>SUM(E66:E67)</f>
        <v>2367.6</v>
      </c>
      <c r="F65" s="1531">
        <f t="shared" si="12"/>
        <v>39454.5</v>
      </c>
      <c r="G65" s="881">
        <f>SUM(G66:G67)</f>
        <v>37086.9</v>
      </c>
      <c r="H65" s="881">
        <f>SUM(H66:H67)</f>
        <v>2367.6</v>
      </c>
      <c r="I65" s="1531">
        <f t="shared" si="13"/>
        <v>21432.7</v>
      </c>
      <c r="J65" s="881">
        <f>SUM(J66:J67)</f>
        <v>20146.599999999999</v>
      </c>
      <c r="K65" s="881">
        <f>SUM(K66:K67)</f>
        <v>1286.0999999999999</v>
      </c>
      <c r="L65" s="1534">
        <f t="shared" si="10"/>
        <v>54.3</v>
      </c>
      <c r="M65" s="875">
        <v>54.3</v>
      </c>
      <c r="N65" s="875">
        <v>54.3</v>
      </c>
      <c r="O65" s="1214" t="s">
        <v>1117</v>
      </c>
      <c r="P65" s="1214" t="s">
        <v>1117</v>
      </c>
      <c r="Q65" s="1065">
        <f t="shared" si="1"/>
        <v>0</v>
      </c>
      <c r="R65" s="1065">
        <f t="shared" si="1"/>
        <v>0</v>
      </c>
      <c r="S65" s="1065">
        <f t="shared" si="1"/>
        <v>0</v>
      </c>
      <c r="Z65" s="1311">
        <f t="shared" si="2"/>
        <v>0</v>
      </c>
      <c r="AA65" s="1374">
        <f t="shared" si="4"/>
        <v>0</v>
      </c>
      <c r="AB65" s="1459">
        <f t="shared" si="4"/>
        <v>0</v>
      </c>
      <c r="AC65" s="1459">
        <f t="shared" si="4"/>
        <v>0</v>
      </c>
    </row>
    <row r="66" spans="1:29" ht="116.25" customHeight="1">
      <c r="A66" s="1522" t="s">
        <v>159</v>
      </c>
      <c r="B66" s="1526" t="s">
        <v>838</v>
      </c>
      <c r="C66" s="871">
        <f t="shared" si="11"/>
        <v>8075.8</v>
      </c>
      <c r="D66" s="972">
        <f>7572.8+18.33</f>
        <v>7591.1</v>
      </c>
      <c r="E66" s="972">
        <f>483.5+1.17</f>
        <v>484.7</v>
      </c>
      <c r="F66" s="1531">
        <f t="shared" si="12"/>
        <v>8075.8</v>
      </c>
      <c r="G66" s="879">
        <f>D66</f>
        <v>7591.1</v>
      </c>
      <c r="H66" s="879">
        <f>E66</f>
        <v>484.7</v>
      </c>
      <c r="I66" s="1531">
        <f t="shared" si="13"/>
        <v>8051.1</v>
      </c>
      <c r="J66" s="1532">
        <f>7554.3+13.613</f>
        <v>7567.9</v>
      </c>
      <c r="K66" s="1532">
        <f>482.3+0.9</f>
        <v>483.2</v>
      </c>
      <c r="L66" s="876">
        <f t="shared" si="10"/>
        <v>99.7</v>
      </c>
      <c r="M66" s="877">
        <f t="shared" si="10"/>
        <v>99.7</v>
      </c>
      <c r="N66" s="877">
        <f t="shared" si="10"/>
        <v>99.7</v>
      </c>
      <c r="O66" s="1518" t="s">
        <v>1187</v>
      </c>
      <c r="P66" s="1518" t="s">
        <v>1145</v>
      </c>
      <c r="Q66" s="1065">
        <f t="shared" si="1"/>
        <v>0</v>
      </c>
      <c r="R66" s="1065">
        <f t="shared" si="1"/>
        <v>0</v>
      </c>
      <c r="S66" s="1065">
        <f t="shared" si="1"/>
        <v>0</v>
      </c>
      <c r="T66" s="1099">
        <v>1102</v>
      </c>
      <c r="U66" s="1100" t="s">
        <v>981</v>
      </c>
      <c r="V66" s="1099">
        <v>522</v>
      </c>
      <c r="W66" s="1099" t="s">
        <v>958</v>
      </c>
      <c r="Z66" s="1311">
        <f t="shared" si="2"/>
        <v>0</v>
      </c>
      <c r="AA66" s="1374">
        <f t="shared" si="4"/>
        <v>0</v>
      </c>
      <c r="AB66" s="1459">
        <f t="shared" si="4"/>
        <v>0</v>
      </c>
      <c r="AC66" s="1459">
        <f t="shared" si="4"/>
        <v>0</v>
      </c>
    </row>
    <row r="67" spans="1:29" ht="47.25" customHeight="1">
      <c r="A67" s="895">
        <v>35</v>
      </c>
      <c r="B67" s="1075" t="s">
        <v>678</v>
      </c>
      <c r="C67" s="871">
        <f t="shared" si="11"/>
        <v>31378.7</v>
      </c>
      <c r="D67" s="972">
        <f>5899.2+23596.6</f>
        <v>29495.8</v>
      </c>
      <c r="E67" s="972">
        <f>376.6+1506.29</f>
        <v>1882.9</v>
      </c>
      <c r="F67" s="1531">
        <f t="shared" si="12"/>
        <v>31378.7</v>
      </c>
      <c r="G67" s="879">
        <f>D67</f>
        <v>29495.8</v>
      </c>
      <c r="H67" s="879">
        <f>E67</f>
        <v>1882.9</v>
      </c>
      <c r="I67" s="1531">
        <f t="shared" si="13"/>
        <v>13381.6</v>
      </c>
      <c r="J67" s="1532">
        <f>6901+5672.694+5.046</f>
        <v>12578.7</v>
      </c>
      <c r="K67" s="1532">
        <f>440.5+362.11+0.3</f>
        <v>802.9</v>
      </c>
      <c r="L67" s="876">
        <f t="shared" si="10"/>
        <v>42.6</v>
      </c>
      <c r="M67" s="877">
        <f t="shared" si="10"/>
        <v>42.6</v>
      </c>
      <c r="N67" s="877">
        <f t="shared" si="10"/>
        <v>42.6</v>
      </c>
      <c r="O67" s="1214" t="s">
        <v>1188</v>
      </c>
      <c r="P67" s="1214" t="s">
        <v>1139</v>
      </c>
      <c r="Q67" s="1065">
        <f t="shared" si="1"/>
        <v>0</v>
      </c>
      <c r="R67" s="1065">
        <f t="shared" si="1"/>
        <v>0</v>
      </c>
      <c r="S67" s="1065">
        <f t="shared" si="1"/>
        <v>0</v>
      </c>
      <c r="T67" s="1099" t="s">
        <v>886</v>
      </c>
      <c r="U67" s="1100" t="s">
        <v>980</v>
      </c>
      <c r="V67" s="1099">
        <v>522</v>
      </c>
      <c r="W67" s="1099" t="s">
        <v>890</v>
      </c>
      <c r="Z67" s="1311">
        <f t="shared" si="2"/>
        <v>0</v>
      </c>
      <c r="AA67" s="1374">
        <f t="shared" si="4"/>
        <v>0</v>
      </c>
      <c r="AB67" s="1459">
        <f t="shared" si="4"/>
        <v>0</v>
      </c>
      <c r="AC67" s="1459">
        <f t="shared" si="4"/>
        <v>0</v>
      </c>
    </row>
    <row r="68" spans="1:29">
      <c r="A68" s="1522"/>
      <c r="B68" s="898" t="s">
        <v>433</v>
      </c>
      <c r="C68" s="871">
        <f t="shared" si="11"/>
        <v>14049.3</v>
      </c>
      <c r="D68" s="1250">
        <f>D69</f>
        <v>13206.2</v>
      </c>
      <c r="E68" s="1250">
        <f>E69</f>
        <v>843.1</v>
      </c>
      <c r="F68" s="1531">
        <f t="shared" si="12"/>
        <v>14049.3</v>
      </c>
      <c r="G68" s="875">
        <f>G69</f>
        <v>13206.2</v>
      </c>
      <c r="H68" s="875">
        <f>H69</f>
        <v>843.1</v>
      </c>
      <c r="I68" s="1531">
        <f t="shared" si="13"/>
        <v>3862.8</v>
      </c>
      <c r="J68" s="875">
        <f>J69</f>
        <v>3631</v>
      </c>
      <c r="K68" s="875">
        <f>K69</f>
        <v>231.8</v>
      </c>
      <c r="L68" s="1534">
        <f t="shared" si="10"/>
        <v>27.5</v>
      </c>
      <c r="M68" s="1530">
        <f t="shared" si="10"/>
        <v>27.5</v>
      </c>
      <c r="N68" s="1530">
        <f t="shared" si="10"/>
        <v>27.5</v>
      </c>
      <c r="O68" s="1214" t="s">
        <v>353</v>
      </c>
      <c r="P68" s="1214" t="s">
        <v>353</v>
      </c>
      <c r="Q68" s="1065">
        <f t="shared" si="1"/>
        <v>0</v>
      </c>
      <c r="R68" s="1065">
        <f t="shared" si="1"/>
        <v>0</v>
      </c>
      <c r="S68" s="1065">
        <f t="shared" si="1"/>
        <v>0</v>
      </c>
      <c r="Z68" s="1311">
        <f t="shared" si="2"/>
        <v>0</v>
      </c>
      <c r="AA68" s="1374">
        <f t="shared" si="4"/>
        <v>0</v>
      </c>
      <c r="AB68" s="1459">
        <f t="shared" si="4"/>
        <v>0</v>
      </c>
      <c r="AC68" s="1459">
        <f t="shared" si="4"/>
        <v>0</v>
      </c>
    </row>
    <row r="69" spans="1:29" ht="40.5" customHeight="1">
      <c r="A69" s="1522" t="s">
        <v>160</v>
      </c>
      <c r="B69" s="1084" t="s">
        <v>679</v>
      </c>
      <c r="C69" s="871">
        <f t="shared" si="11"/>
        <v>14049.3</v>
      </c>
      <c r="D69" s="1249">
        <v>13206.2</v>
      </c>
      <c r="E69" s="1249">
        <v>843.1</v>
      </c>
      <c r="F69" s="1531">
        <f t="shared" si="12"/>
        <v>14049.3</v>
      </c>
      <c r="G69" s="879">
        <f>D69</f>
        <v>13206.2</v>
      </c>
      <c r="H69" s="879">
        <f>E69</f>
        <v>843.1</v>
      </c>
      <c r="I69" s="1531">
        <f t="shared" si="13"/>
        <v>3862.8</v>
      </c>
      <c r="J69" s="1533">
        <v>3631</v>
      </c>
      <c r="K69" s="1533">
        <v>231.8</v>
      </c>
      <c r="L69" s="876">
        <f t="shared" si="10"/>
        <v>27.5</v>
      </c>
      <c r="M69" s="877">
        <f t="shared" si="10"/>
        <v>27.5</v>
      </c>
      <c r="N69" s="877">
        <f t="shared" si="10"/>
        <v>27.5</v>
      </c>
      <c r="O69" s="1518" t="s">
        <v>1140</v>
      </c>
      <c r="P69" s="1518" t="s">
        <v>1141</v>
      </c>
      <c r="Q69" s="1065">
        <f t="shared" si="1"/>
        <v>0</v>
      </c>
      <c r="R69" s="1065">
        <f t="shared" si="1"/>
        <v>0</v>
      </c>
      <c r="S69" s="1065">
        <f t="shared" si="1"/>
        <v>0</v>
      </c>
      <c r="T69" s="1099" t="s">
        <v>954</v>
      </c>
      <c r="U69" s="1100" t="s">
        <v>982</v>
      </c>
      <c r="V69" s="1099">
        <v>522</v>
      </c>
      <c r="W69" s="1099" t="s">
        <v>958</v>
      </c>
      <c r="Z69" s="1311">
        <f t="shared" si="2"/>
        <v>0</v>
      </c>
      <c r="AA69" s="1374">
        <f t="shared" ref="AA69:AC130" si="14">C69-F69</f>
        <v>0</v>
      </c>
      <c r="AB69" s="1459">
        <f t="shared" si="14"/>
        <v>0</v>
      </c>
      <c r="AC69" s="1459">
        <f t="shared" si="14"/>
        <v>0</v>
      </c>
    </row>
    <row r="70" spans="1:29">
      <c r="A70" s="895"/>
      <c r="B70" s="898" t="s">
        <v>458</v>
      </c>
      <c r="C70" s="871">
        <f t="shared" si="11"/>
        <v>11408.6</v>
      </c>
      <c r="D70" s="1250">
        <f>D71</f>
        <v>10724</v>
      </c>
      <c r="E70" s="1250">
        <f>E71</f>
        <v>684.6</v>
      </c>
      <c r="F70" s="1531">
        <f t="shared" si="12"/>
        <v>11408.6</v>
      </c>
      <c r="G70" s="875">
        <f>G71</f>
        <v>10724</v>
      </c>
      <c r="H70" s="875">
        <f>H71</f>
        <v>684.6</v>
      </c>
      <c r="I70" s="1531">
        <f t="shared" si="13"/>
        <v>4944</v>
      </c>
      <c r="J70" s="875">
        <f>J71</f>
        <v>4647.3</v>
      </c>
      <c r="K70" s="875">
        <f>K71</f>
        <v>296.7</v>
      </c>
      <c r="L70" s="1534">
        <f t="shared" si="10"/>
        <v>43.3</v>
      </c>
      <c r="M70" s="1530">
        <f t="shared" si="10"/>
        <v>43.3</v>
      </c>
      <c r="N70" s="1530">
        <f t="shared" si="10"/>
        <v>43.3</v>
      </c>
      <c r="O70" s="1214" t="s">
        <v>353</v>
      </c>
      <c r="P70" s="1214" t="s">
        <v>353</v>
      </c>
      <c r="Q70" s="1065">
        <f t="shared" ref="Q70:S85" si="15">C70-F70</f>
        <v>0</v>
      </c>
      <c r="R70" s="1065">
        <f t="shared" si="15"/>
        <v>0</v>
      </c>
      <c r="S70" s="1065">
        <f t="shared" si="15"/>
        <v>0</v>
      </c>
      <c r="Z70" s="1311">
        <f t="shared" si="2"/>
        <v>0</v>
      </c>
      <c r="AA70" s="1374">
        <f t="shared" si="14"/>
        <v>0</v>
      </c>
      <c r="AB70" s="1459">
        <f t="shared" si="14"/>
        <v>0</v>
      </c>
      <c r="AC70" s="1459">
        <f t="shared" si="14"/>
        <v>0</v>
      </c>
    </row>
    <row r="71" spans="1:29" ht="50.25" customHeight="1">
      <c r="A71" s="1522" t="s">
        <v>532</v>
      </c>
      <c r="B71" s="1084" t="s">
        <v>680</v>
      </c>
      <c r="C71" s="871">
        <f t="shared" si="11"/>
        <v>11408.6</v>
      </c>
      <c r="D71" s="1249">
        <v>10724</v>
      </c>
      <c r="E71" s="1249">
        <v>684.6</v>
      </c>
      <c r="F71" s="1531">
        <f t="shared" si="12"/>
        <v>11408.6</v>
      </c>
      <c r="G71" s="879">
        <f>D71</f>
        <v>10724</v>
      </c>
      <c r="H71" s="879">
        <f>E71</f>
        <v>684.6</v>
      </c>
      <c r="I71" s="1531">
        <f t="shared" si="13"/>
        <v>4944</v>
      </c>
      <c r="J71" s="1532">
        <v>4647.3</v>
      </c>
      <c r="K71" s="1532">
        <v>296.7</v>
      </c>
      <c r="L71" s="876">
        <f t="shared" si="10"/>
        <v>43.3</v>
      </c>
      <c r="M71" s="877">
        <f t="shared" si="10"/>
        <v>43.3</v>
      </c>
      <c r="N71" s="877">
        <f t="shared" si="10"/>
        <v>43.3</v>
      </c>
      <c r="O71" s="1214" t="s">
        <v>1189</v>
      </c>
      <c r="P71" s="1518" t="s">
        <v>1142</v>
      </c>
      <c r="Q71" s="1065">
        <f t="shared" si="15"/>
        <v>0</v>
      </c>
      <c r="R71" s="1065">
        <f t="shared" si="15"/>
        <v>0</v>
      </c>
      <c r="S71" s="1065">
        <f t="shared" si="15"/>
        <v>0</v>
      </c>
      <c r="T71" s="1099" t="s">
        <v>954</v>
      </c>
      <c r="U71" s="1100" t="s">
        <v>997</v>
      </c>
      <c r="V71" s="1099">
        <v>522</v>
      </c>
      <c r="W71" s="1099" t="s">
        <v>958</v>
      </c>
      <c r="Z71" s="1311">
        <f t="shared" si="2"/>
        <v>0</v>
      </c>
      <c r="AA71" s="1374">
        <f t="shared" si="14"/>
        <v>0</v>
      </c>
      <c r="AB71" s="1459">
        <f t="shared" si="14"/>
        <v>0</v>
      </c>
      <c r="AC71" s="1459">
        <f t="shared" si="14"/>
        <v>0</v>
      </c>
    </row>
    <row r="72" spans="1:29">
      <c r="A72" s="895"/>
      <c r="B72" s="898" t="s">
        <v>443</v>
      </c>
      <c r="C72" s="871">
        <f t="shared" si="11"/>
        <v>55847.5</v>
      </c>
      <c r="D72" s="1250">
        <v>52496.6</v>
      </c>
      <c r="E72" s="1250">
        <v>3350.9</v>
      </c>
      <c r="F72" s="1531">
        <f t="shared" si="12"/>
        <v>55847.5</v>
      </c>
      <c r="G72" s="875">
        <v>52496.6</v>
      </c>
      <c r="H72" s="875">
        <v>3350.9</v>
      </c>
      <c r="I72" s="1531">
        <f t="shared" si="13"/>
        <v>0</v>
      </c>
      <c r="J72" s="875">
        <v>0</v>
      </c>
      <c r="K72" s="875">
        <v>0</v>
      </c>
      <c r="L72" s="876">
        <f t="shared" si="10"/>
        <v>0</v>
      </c>
      <c r="M72" s="877">
        <f t="shared" si="10"/>
        <v>0</v>
      </c>
      <c r="N72" s="877">
        <f t="shared" si="10"/>
        <v>0</v>
      </c>
      <c r="O72" s="1214" t="s">
        <v>353</v>
      </c>
      <c r="P72" s="1214" t="s">
        <v>353</v>
      </c>
      <c r="Q72" s="1065">
        <f t="shared" si="15"/>
        <v>0</v>
      </c>
      <c r="R72" s="1065">
        <f t="shared" si="15"/>
        <v>0</v>
      </c>
      <c r="S72" s="1065">
        <f t="shared" si="15"/>
        <v>0</v>
      </c>
      <c r="Z72" s="1311">
        <f t="shared" si="2"/>
        <v>0</v>
      </c>
      <c r="AA72" s="1374">
        <f t="shared" si="14"/>
        <v>0</v>
      </c>
      <c r="AB72" s="1459">
        <f t="shared" si="14"/>
        <v>0</v>
      </c>
      <c r="AC72" s="1459">
        <f t="shared" si="14"/>
        <v>0</v>
      </c>
    </row>
    <row r="73" spans="1:29" ht="66.75" customHeight="1">
      <c r="A73" s="1522" t="s">
        <v>1371</v>
      </c>
      <c r="B73" s="1084" t="s">
        <v>681</v>
      </c>
      <c r="C73" s="871">
        <f t="shared" si="11"/>
        <v>55847.5</v>
      </c>
      <c r="D73" s="1249">
        <v>52496.6</v>
      </c>
      <c r="E73" s="1249">
        <v>3350.9</v>
      </c>
      <c r="F73" s="1531">
        <f t="shared" si="12"/>
        <v>55847.5</v>
      </c>
      <c r="G73" s="879">
        <f>D73</f>
        <v>52496.6</v>
      </c>
      <c r="H73" s="879">
        <f>E73</f>
        <v>3350.9</v>
      </c>
      <c r="I73" s="1531">
        <f t="shared" si="13"/>
        <v>0</v>
      </c>
      <c r="J73" s="1532">
        <v>0</v>
      </c>
      <c r="K73" s="1532">
        <v>0</v>
      </c>
      <c r="L73" s="876">
        <f t="shared" si="10"/>
        <v>0</v>
      </c>
      <c r="M73" s="877">
        <f t="shared" si="10"/>
        <v>0</v>
      </c>
      <c r="N73" s="877">
        <f t="shared" si="10"/>
        <v>0</v>
      </c>
      <c r="O73" s="1518" t="s">
        <v>1190</v>
      </c>
      <c r="P73" s="1214" t="s">
        <v>1146</v>
      </c>
      <c r="Q73" s="1065">
        <f t="shared" si="15"/>
        <v>0</v>
      </c>
      <c r="R73" s="1065">
        <f t="shared" si="15"/>
        <v>0</v>
      </c>
      <c r="S73" s="1065">
        <f t="shared" si="15"/>
        <v>0</v>
      </c>
      <c r="T73" s="1099" t="s">
        <v>874</v>
      </c>
      <c r="U73" s="1100" t="s">
        <v>984</v>
      </c>
      <c r="V73" s="1099">
        <v>522</v>
      </c>
      <c r="W73" s="1099" t="s">
        <v>985</v>
      </c>
      <c r="Z73" s="1311">
        <f t="shared" si="2"/>
        <v>0</v>
      </c>
      <c r="AA73" s="1374">
        <f t="shared" si="14"/>
        <v>0</v>
      </c>
      <c r="AB73" s="1459">
        <f t="shared" si="14"/>
        <v>0</v>
      </c>
      <c r="AC73" s="1459">
        <f t="shared" si="14"/>
        <v>0</v>
      </c>
    </row>
    <row r="74" spans="1:29">
      <c r="A74" s="895"/>
      <c r="B74" s="898" t="s">
        <v>281</v>
      </c>
      <c r="C74" s="871">
        <f t="shared" si="11"/>
        <v>115657.60000000001</v>
      </c>
      <c r="D74" s="1250">
        <f>D75+D76</f>
        <v>108717.1</v>
      </c>
      <c r="E74" s="1250">
        <f>E75+E76</f>
        <v>6940.5</v>
      </c>
      <c r="F74" s="1531">
        <f t="shared" si="12"/>
        <v>115657.60000000001</v>
      </c>
      <c r="G74" s="875">
        <f>G75+G76</f>
        <v>108717.1</v>
      </c>
      <c r="H74" s="875">
        <f>H75+H76</f>
        <v>6940.5</v>
      </c>
      <c r="I74" s="1531">
        <f t="shared" si="13"/>
        <v>12341.9</v>
      </c>
      <c r="J74" s="875">
        <f>J75</f>
        <v>11601.4</v>
      </c>
      <c r="K74" s="875">
        <f>K75</f>
        <v>740.5</v>
      </c>
      <c r="L74" s="876">
        <f t="shared" si="10"/>
        <v>10.7</v>
      </c>
      <c r="M74" s="877">
        <f t="shared" si="10"/>
        <v>10.7</v>
      </c>
      <c r="N74" s="877">
        <f t="shared" si="10"/>
        <v>10.7</v>
      </c>
      <c r="O74" s="1214" t="s">
        <v>353</v>
      </c>
      <c r="P74" s="1214" t="s">
        <v>353</v>
      </c>
      <c r="Q74" s="1065">
        <f t="shared" si="15"/>
        <v>0</v>
      </c>
      <c r="R74" s="1065">
        <f t="shared" si="15"/>
        <v>0</v>
      </c>
      <c r="S74" s="1065">
        <f t="shared" si="15"/>
        <v>0</v>
      </c>
      <c r="Z74" s="1311">
        <f t="shared" si="2"/>
        <v>0</v>
      </c>
      <c r="AA74" s="1374">
        <f t="shared" si="14"/>
        <v>0</v>
      </c>
      <c r="AB74" s="1459">
        <f t="shared" si="14"/>
        <v>0</v>
      </c>
      <c r="AC74" s="1459">
        <f t="shared" si="14"/>
        <v>0</v>
      </c>
    </row>
    <row r="75" spans="1:29" ht="66" customHeight="1">
      <c r="A75" s="1519" t="s">
        <v>161</v>
      </c>
      <c r="B75" s="1086" t="s">
        <v>682</v>
      </c>
      <c r="C75" s="1402">
        <f t="shared" si="11"/>
        <v>84139</v>
      </c>
      <c r="D75" s="1254">
        <v>79089.8</v>
      </c>
      <c r="E75" s="1249">
        <v>5049.2</v>
      </c>
      <c r="F75" s="1527">
        <f t="shared" si="12"/>
        <v>84139</v>
      </c>
      <c r="G75" s="879">
        <f>D75</f>
        <v>79089.8</v>
      </c>
      <c r="H75" s="879">
        <f>E75</f>
        <v>5049.2</v>
      </c>
      <c r="I75" s="1527">
        <f t="shared" si="13"/>
        <v>12341.9</v>
      </c>
      <c r="J75" s="1524">
        <v>11601.4</v>
      </c>
      <c r="K75" s="1532">
        <v>740.5</v>
      </c>
      <c r="L75" s="1528">
        <f t="shared" ref="L75:N90" si="16">IF(I75=0,0,I75/F75*100)</f>
        <v>14.7</v>
      </c>
      <c r="M75" s="1521">
        <f t="shared" si="16"/>
        <v>14.7</v>
      </c>
      <c r="N75" s="1530">
        <f t="shared" si="16"/>
        <v>14.7</v>
      </c>
      <c r="O75" s="1214" t="s">
        <v>1147</v>
      </c>
      <c r="P75" s="1214" t="s">
        <v>1148</v>
      </c>
      <c r="Q75" s="1065">
        <f t="shared" si="15"/>
        <v>0</v>
      </c>
      <c r="R75" s="1065">
        <f t="shared" si="15"/>
        <v>0</v>
      </c>
      <c r="S75" s="1065">
        <f t="shared" si="15"/>
        <v>0</v>
      </c>
      <c r="T75" s="1099" t="s">
        <v>928</v>
      </c>
      <c r="U75" s="1100" t="s">
        <v>987</v>
      </c>
      <c r="V75" s="1099">
        <v>522</v>
      </c>
      <c r="W75" s="1099" t="s">
        <v>930</v>
      </c>
      <c r="Z75" s="1311">
        <f t="shared" si="2"/>
        <v>0</v>
      </c>
      <c r="AA75" s="1374">
        <f t="shared" si="14"/>
        <v>0</v>
      </c>
      <c r="AB75" s="1459">
        <f t="shared" si="14"/>
        <v>0</v>
      </c>
      <c r="AC75" s="1459">
        <f t="shared" si="14"/>
        <v>0</v>
      </c>
    </row>
    <row r="76" spans="1:29" ht="72" customHeight="1">
      <c r="A76" s="1522" t="s">
        <v>536</v>
      </c>
      <c r="B76" s="1084" t="s">
        <v>1345</v>
      </c>
      <c r="C76" s="871">
        <f t="shared" si="11"/>
        <v>31518.6</v>
      </c>
      <c r="D76" s="1249">
        <v>29627.3</v>
      </c>
      <c r="E76" s="1249">
        <v>1891.3</v>
      </c>
      <c r="F76" s="1531">
        <f t="shared" si="12"/>
        <v>31518.6</v>
      </c>
      <c r="G76" s="879">
        <f>D76</f>
        <v>29627.3</v>
      </c>
      <c r="H76" s="879">
        <f>E76</f>
        <v>1891.3</v>
      </c>
      <c r="I76" s="1531">
        <f t="shared" si="13"/>
        <v>0</v>
      </c>
      <c r="J76" s="1532">
        <v>0</v>
      </c>
      <c r="K76" s="1532">
        <v>0</v>
      </c>
      <c r="L76" s="876">
        <f t="shared" si="16"/>
        <v>0</v>
      </c>
      <c r="M76" s="877">
        <f t="shared" si="16"/>
        <v>0</v>
      </c>
      <c r="N76" s="877">
        <f t="shared" si="16"/>
        <v>0</v>
      </c>
      <c r="O76" s="1214" t="s">
        <v>1191</v>
      </c>
      <c r="P76" s="1214" t="s">
        <v>1118</v>
      </c>
      <c r="Q76" s="1065">
        <f t="shared" si="15"/>
        <v>0</v>
      </c>
      <c r="R76" s="1065">
        <f t="shared" si="15"/>
        <v>0</v>
      </c>
      <c r="S76" s="1065">
        <f t="shared" si="15"/>
        <v>0</v>
      </c>
      <c r="T76" s="1099" t="s">
        <v>954</v>
      </c>
      <c r="U76" s="1100" t="s">
        <v>998</v>
      </c>
      <c r="V76" s="1099">
        <v>522</v>
      </c>
      <c r="W76" s="1099" t="s">
        <v>958</v>
      </c>
      <c r="Z76" s="1311">
        <f t="shared" ref="Z76:Z139" si="17">C76-F76</f>
        <v>0</v>
      </c>
      <c r="AA76" s="1374">
        <f t="shared" si="14"/>
        <v>0</v>
      </c>
      <c r="AB76" s="1459">
        <f t="shared" si="14"/>
        <v>0</v>
      </c>
      <c r="AC76" s="1459">
        <f t="shared" si="14"/>
        <v>0</v>
      </c>
    </row>
    <row r="77" spans="1:29">
      <c r="A77" s="1522"/>
      <c r="B77" s="898" t="s">
        <v>583</v>
      </c>
      <c r="C77" s="871">
        <f t="shared" si="11"/>
        <v>36116.5</v>
      </c>
      <c r="D77" s="1250">
        <f>D78</f>
        <v>33949.300000000003</v>
      </c>
      <c r="E77" s="1250">
        <f>E78</f>
        <v>2167.1999999999998</v>
      </c>
      <c r="F77" s="1531">
        <f t="shared" si="12"/>
        <v>36116.5</v>
      </c>
      <c r="G77" s="875">
        <v>33949.300000000003</v>
      </c>
      <c r="H77" s="875">
        <v>2167.1999999999998</v>
      </c>
      <c r="I77" s="1531">
        <f t="shared" si="13"/>
        <v>777</v>
      </c>
      <c r="J77" s="875">
        <f>J78</f>
        <v>730.4</v>
      </c>
      <c r="K77" s="875">
        <v>46.6</v>
      </c>
      <c r="L77" s="876">
        <f t="shared" si="16"/>
        <v>2.2000000000000002</v>
      </c>
      <c r="M77" s="877">
        <f t="shared" si="16"/>
        <v>2.2000000000000002</v>
      </c>
      <c r="N77" s="877">
        <f t="shared" si="16"/>
        <v>2.2000000000000002</v>
      </c>
      <c r="O77" s="1214" t="s">
        <v>353</v>
      </c>
      <c r="P77" s="1214" t="s">
        <v>353</v>
      </c>
      <c r="Q77" s="1065">
        <f t="shared" si="15"/>
        <v>0</v>
      </c>
      <c r="R77" s="1065">
        <f t="shared" si="15"/>
        <v>0</v>
      </c>
      <c r="S77" s="1065">
        <f t="shared" si="15"/>
        <v>0</v>
      </c>
      <c r="Z77" s="1311">
        <f t="shared" si="17"/>
        <v>0</v>
      </c>
      <c r="AA77" s="1374">
        <f t="shared" si="14"/>
        <v>0</v>
      </c>
      <c r="AB77" s="1459">
        <f t="shared" si="14"/>
        <v>0</v>
      </c>
      <c r="AC77" s="1459">
        <f t="shared" si="14"/>
        <v>0</v>
      </c>
    </row>
    <row r="78" spans="1:29" ht="39" customHeight="1">
      <c r="A78" s="1522" t="s">
        <v>131</v>
      </c>
      <c r="B78" s="1075" t="s">
        <v>684</v>
      </c>
      <c r="C78" s="871">
        <f t="shared" si="11"/>
        <v>36116.5</v>
      </c>
      <c r="D78" s="1249">
        <v>33949.300000000003</v>
      </c>
      <c r="E78" s="1249">
        <v>2167.1999999999998</v>
      </c>
      <c r="F78" s="1531">
        <f t="shared" si="12"/>
        <v>36116.5</v>
      </c>
      <c r="G78" s="879">
        <f>D78</f>
        <v>33949.300000000003</v>
      </c>
      <c r="H78" s="879">
        <f>E78</f>
        <v>2167.1999999999998</v>
      </c>
      <c r="I78" s="1531">
        <f t="shared" si="13"/>
        <v>777</v>
      </c>
      <c r="J78" s="1532">
        <v>730.4</v>
      </c>
      <c r="K78" s="1532">
        <v>46.6</v>
      </c>
      <c r="L78" s="876">
        <f t="shared" si="16"/>
        <v>2.2000000000000002</v>
      </c>
      <c r="M78" s="877">
        <f t="shared" si="16"/>
        <v>2.2000000000000002</v>
      </c>
      <c r="N78" s="877">
        <f t="shared" si="16"/>
        <v>2.2000000000000002</v>
      </c>
      <c r="O78" s="1214" t="s">
        <v>1149</v>
      </c>
      <c r="P78" s="1214" t="s">
        <v>1150</v>
      </c>
      <c r="Q78" s="1065">
        <f t="shared" si="15"/>
        <v>0</v>
      </c>
      <c r="R78" s="1065">
        <f t="shared" si="15"/>
        <v>0</v>
      </c>
      <c r="S78" s="1065">
        <f t="shared" si="15"/>
        <v>0</v>
      </c>
      <c r="T78" s="1099" t="s">
        <v>886</v>
      </c>
      <c r="U78" s="1100" t="s">
        <v>996</v>
      </c>
      <c r="V78" s="1099">
        <v>522</v>
      </c>
      <c r="W78" s="1099" t="s">
        <v>890</v>
      </c>
      <c r="Z78" s="1311">
        <f t="shared" si="17"/>
        <v>0</v>
      </c>
      <c r="AA78" s="1374">
        <f t="shared" si="14"/>
        <v>0</v>
      </c>
      <c r="AB78" s="1459">
        <f t="shared" si="14"/>
        <v>0</v>
      </c>
      <c r="AC78" s="1459">
        <f t="shared" si="14"/>
        <v>0</v>
      </c>
    </row>
    <row r="79" spans="1:29" s="914" customFormat="1" ht="135" customHeight="1">
      <c r="A79" s="1450" t="s">
        <v>2</v>
      </c>
      <c r="B79" s="1275" t="s">
        <v>313</v>
      </c>
      <c r="C79" s="1047">
        <f t="shared" si="11"/>
        <v>3603446.1</v>
      </c>
      <c r="D79" s="1047">
        <f>D80</f>
        <v>2973716.4</v>
      </c>
      <c r="E79" s="1047">
        <f>E80</f>
        <v>629729.69999999995</v>
      </c>
      <c r="F79" s="1047">
        <f t="shared" si="12"/>
        <v>3591145.8</v>
      </c>
      <c r="G79" s="1047">
        <f>G80</f>
        <v>2961416.1</v>
      </c>
      <c r="H79" s="1047">
        <f>H80</f>
        <v>629729.69999999995</v>
      </c>
      <c r="I79" s="1047">
        <f t="shared" si="13"/>
        <v>616833.4</v>
      </c>
      <c r="J79" s="1047">
        <f>J80</f>
        <v>481940.7</v>
      </c>
      <c r="K79" s="1047">
        <f>K80</f>
        <v>134892.70000000001</v>
      </c>
      <c r="L79" s="1048">
        <f t="shared" si="16"/>
        <v>17.2</v>
      </c>
      <c r="M79" s="1049">
        <f t="shared" si="16"/>
        <v>16.3</v>
      </c>
      <c r="N79" s="1049">
        <f t="shared" si="16"/>
        <v>21.4</v>
      </c>
      <c r="O79" s="1227" t="s">
        <v>353</v>
      </c>
      <c r="P79" s="1227" t="s">
        <v>353</v>
      </c>
      <c r="Q79" s="1065">
        <f t="shared" si="15"/>
        <v>12300.3</v>
      </c>
      <c r="R79" s="1065">
        <f t="shared" si="15"/>
        <v>12300.3</v>
      </c>
      <c r="S79" s="1065">
        <f t="shared" si="15"/>
        <v>0</v>
      </c>
      <c r="T79" s="1099"/>
      <c r="U79" s="1100"/>
      <c r="V79" s="1099"/>
      <c r="W79" s="1099"/>
      <c r="X79" s="1216"/>
      <c r="Z79" s="1311">
        <f t="shared" si="17"/>
        <v>12300.3</v>
      </c>
      <c r="AA79" s="1374">
        <f t="shared" si="14"/>
        <v>12300.3</v>
      </c>
      <c r="AB79" s="1459">
        <f t="shared" si="14"/>
        <v>12300.3</v>
      </c>
      <c r="AC79" s="1459">
        <f t="shared" si="14"/>
        <v>0</v>
      </c>
    </row>
    <row r="80" spans="1:29" s="914" customFormat="1" ht="63.75" customHeight="1">
      <c r="A80" s="1451" t="s">
        <v>246</v>
      </c>
      <c r="B80" s="1276" t="s">
        <v>41</v>
      </c>
      <c r="C80" s="933">
        <f>SUM(D80:E80)</f>
        <v>3603446.1</v>
      </c>
      <c r="D80" s="933">
        <f>SUM(D81:D135)</f>
        <v>2973716.4</v>
      </c>
      <c r="E80" s="933">
        <f>SUM(E81:E135)</f>
        <v>629729.69999999995</v>
      </c>
      <c r="F80" s="933">
        <f>SUM(G80:H80)</f>
        <v>3591145.8</v>
      </c>
      <c r="G80" s="934">
        <f>SUM(G81:G135)</f>
        <v>2961416.1</v>
      </c>
      <c r="H80" s="934">
        <f>SUM(H81:H135)</f>
        <v>629729.69999999995</v>
      </c>
      <c r="I80" s="933">
        <f t="shared" si="13"/>
        <v>616833.4</v>
      </c>
      <c r="J80" s="933">
        <f>SUM(J81:J135)</f>
        <v>481940.7</v>
      </c>
      <c r="K80" s="933">
        <f>SUM(K81:K135)</f>
        <v>134892.70000000001</v>
      </c>
      <c r="L80" s="935">
        <f t="shared" si="16"/>
        <v>17.2</v>
      </c>
      <c r="M80" s="936">
        <f t="shared" si="16"/>
        <v>16.3</v>
      </c>
      <c r="N80" s="936">
        <f t="shared" si="16"/>
        <v>21.4</v>
      </c>
      <c r="O80" s="1226" t="s">
        <v>353</v>
      </c>
      <c r="P80" s="1226" t="s">
        <v>353</v>
      </c>
      <c r="Q80" s="1065">
        <f t="shared" si="15"/>
        <v>12300.3</v>
      </c>
      <c r="R80" s="1065">
        <f t="shared" si="15"/>
        <v>12300.3</v>
      </c>
      <c r="S80" s="1065">
        <f t="shared" si="15"/>
        <v>0</v>
      </c>
      <c r="T80" s="1099"/>
      <c r="U80" s="1100"/>
      <c r="V80" s="1099"/>
      <c r="W80" s="1099"/>
      <c r="X80" s="1216"/>
      <c r="Z80" s="1311">
        <f t="shared" si="17"/>
        <v>12300.3</v>
      </c>
      <c r="AA80" s="1374">
        <f t="shared" si="14"/>
        <v>12300.3</v>
      </c>
      <c r="AB80" s="1459">
        <f t="shared" si="14"/>
        <v>12300.3</v>
      </c>
      <c r="AC80" s="1459">
        <f t="shared" si="14"/>
        <v>0</v>
      </c>
    </row>
    <row r="81" spans="1:33" s="892" customFormat="1" ht="111" customHeight="1">
      <c r="A81" s="1120" t="s">
        <v>824</v>
      </c>
      <c r="B81" s="1066" t="s">
        <v>434</v>
      </c>
      <c r="C81" s="871">
        <f>SUM(D81:E81)</f>
        <v>109862.7</v>
      </c>
      <c r="D81" s="873">
        <v>105115.5</v>
      </c>
      <c r="E81" s="873">
        <v>4747.2</v>
      </c>
      <c r="F81" s="1534">
        <f t="shared" si="12"/>
        <v>109862.7</v>
      </c>
      <c r="G81" s="877">
        <f>D81</f>
        <v>105115.5</v>
      </c>
      <c r="H81" s="877">
        <f>E81</f>
        <v>4747.2</v>
      </c>
      <c r="I81" s="1534">
        <f t="shared" si="13"/>
        <v>11685.2</v>
      </c>
      <c r="J81" s="1530">
        <f>1119.5+5818.6</f>
        <v>6938.1</v>
      </c>
      <c r="K81" s="1530">
        <v>4747.1000000000004</v>
      </c>
      <c r="L81" s="876">
        <f t="shared" si="16"/>
        <v>10.6</v>
      </c>
      <c r="M81" s="877">
        <f t="shared" si="16"/>
        <v>6.6</v>
      </c>
      <c r="N81" s="877">
        <f t="shared" si="16"/>
        <v>100</v>
      </c>
      <c r="O81" s="1214" t="s">
        <v>353</v>
      </c>
      <c r="P81" s="1214" t="s">
        <v>1099</v>
      </c>
      <c r="Q81" s="1065">
        <f t="shared" si="15"/>
        <v>0</v>
      </c>
      <c r="R81" s="1065">
        <f t="shared" si="15"/>
        <v>0</v>
      </c>
      <c r="S81" s="1065">
        <f t="shared" si="15"/>
        <v>0</v>
      </c>
      <c r="T81" s="1099" t="s">
        <v>880</v>
      </c>
      <c r="U81" s="1100" t="s">
        <v>881</v>
      </c>
      <c r="V81" s="1099" t="s">
        <v>882</v>
      </c>
      <c r="W81" s="1099"/>
      <c r="X81" s="1216"/>
      <c r="Z81" s="1311">
        <f t="shared" si="17"/>
        <v>0</v>
      </c>
      <c r="AA81" s="1374">
        <f t="shared" si="14"/>
        <v>0</v>
      </c>
      <c r="AB81" s="1459">
        <f t="shared" si="14"/>
        <v>0</v>
      </c>
      <c r="AC81" s="1459">
        <f t="shared" si="14"/>
        <v>0</v>
      </c>
    </row>
    <row r="82" spans="1:33" ht="104.25" customHeight="1">
      <c r="A82" s="1522" t="s">
        <v>555</v>
      </c>
      <c r="B82" s="973" t="s">
        <v>793</v>
      </c>
      <c r="C82" s="871">
        <f t="shared" si="11"/>
        <v>3402.9</v>
      </c>
      <c r="D82" s="972">
        <v>0</v>
      </c>
      <c r="E82" s="972">
        <v>3402.9</v>
      </c>
      <c r="F82" s="1531">
        <f>SUM(G82:H82)</f>
        <v>3402.9</v>
      </c>
      <c r="G82" s="879">
        <v>0</v>
      </c>
      <c r="H82" s="879">
        <v>3402.9</v>
      </c>
      <c r="I82" s="1531">
        <f t="shared" si="13"/>
        <v>0</v>
      </c>
      <c r="J82" s="1532">
        <v>0</v>
      </c>
      <c r="K82" s="1532">
        <v>0</v>
      </c>
      <c r="L82" s="876">
        <v>0</v>
      </c>
      <c r="M82" s="877">
        <f t="shared" si="16"/>
        <v>0</v>
      </c>
      <c r="N82" s="877">
        <f t="shared" si="16"/>
        <v>0</v>
      </c>
      <c r="O82" s="1214" t="s">
        <v>1192</v>
      </c>
      <c r="P82" s="1214" t="s">
        <v>1151</v>
      </c>
      <c r="Q82" s="1065">
        <f t="shared" si="15"/>
        <v>0</v>
      </c>
      <c r="R82" s="1065">
        <f t="shared" si="15"/>
        <v>0</v>
      </c>
      <c r="S82" s="1065">
        <f t="shared" si="15"/>
        <v>0</v>
      </c>
      <c r="T82" s="1099" t="s">
        <v>886</v>
      </c>
      <c r="U82" s="1100" t="s">
        <v>895</v>
      </c>
      <c r="V82" s="1099">
        <v>414</v>
      </c>
      <c r="W82" s="1099">
        <v>30131</v>
      </c>
      <c r="Z82" s="1311">
        <f t="shared" si="17"/>
        <v>0</v>
      </c>
      <c r="AA82" s="1374">
        <f t="shared" si="14"/>
        <v>0</v>
      </c>
      <c r="AB82" s="1459">
        <f t="shared" si="14"/>
        <v>0</v>
      </c>
      <c r="AC82" s="1459">
        <f t="shared" si="14"/>
        <v>0</v>
      </c>
    </row>
    <row r="83" spans="1:33" ht="65.25" customHeight="1">
      <c r="A83" s="1522" t="s">
        <v>556</v>
      </c>
      <c r="B83" s="973" t="s">
        <v>661</v>
      </c>
      <c r="C83" s="871">
        <f t="shared" si="11"/>
        <v>10224.4</v>
      </c>
      <c r="D83" s="972">
        <v>0</v>
      </c>
      <c r="E83" s="972">
        <v>10224.4</v>
      </c>
      <c r="F83" s="1531">
        <f t="shared" si="12"/>
        <v>10224.4</v>
      </c>
      <c r="G83" s="879">
        <v>0</v>
      </c>
      <c r="H83" s="879">
        <v>10224.4</v>
      </c>
      <c r="I83" s="1531">
        <f t="shared" si="13"/>
        <v>0</v>
      </c>
      <c r="J83" s="1532">
        <v>0</v>
      </c>
      <c r="K83" s="1532">
        <v>0</v>
      </c>
      <c r="L83" s="876">
        <v>0</v>
      </c>
      <c r="M83" s="877">
        <f t="shared" si="16"/>
        <v>0</v>
      </c>
      <c r="N83" s="877">
        <f t="shared" si="16"/>
        <v>0</v>
      </c>
      <c r="O83" s="1214" t="s">
        <v>1222</v>
      </c>
      <c r="P83" s="1214" t="s">
        <v>1152</v>
      </c>
      <c r="Q83" s="1065">
        <f t="shared" si="15"/>
        <v>0</v>
      </c>
      <c r="R83" s="1065">
        <f t="shared" si="15"/>
        <v>0</v>
      </c>
      <c r="S83" s="1065">
        <f t="shared" si="15"/>
        <v>0</v>
      </c>
      <c r="T83" s="1099" t="s">
        <v>886</v>
      </c>
      <c r="U83" s="1100" t="s">
        <v>887</v>
      </c>
      <c r="V83" s="1099">
        <v>414</v>
      </c>
      <c r="W83" s="1099">
        <v>14037</v>
      </c>
      <c r="Z83" s="1311">
        <f t="shared" si="17"/>
        <v>0</v>
      </c>
      <c r="AA83" s="1374">
        <f t="shared" si="14"/>
        <v>0</v>
      </c>
      <c r="AB83" s="1459">
        <f t="shared" si="14"/>
        <v>0</v>
      </c>
      <c r="AC83" s="1459">
        <f t="shared" si="14"/>
        <v>0</v>
      </c>
    </row>
    <row r="84" spans="1:33" ht="65.25" customHeight="1">
      <c r="A84" s="1522" t="s">
        <v>162</v>
      </c>
      <c r="B84" s="973" t="s">
        <v>662</v>
      </c>
      <c r="C84" s="871">
        <f t="shared" si="11"/>
        <v>2373</v>
      </c>
      <c r="D84" s="972">
        <v>0</v>
      </c>
      <c r="E84" s="972">
        <v>2373</v>
      </c>
      <c r="F84" s="1531">
        <f t="shared" si="12"/>
        <v>2373</v>
      </c>
      <c r="G84" s="879">
        <v>0</v>
      </c>
      <c r="H84" s="879">
        <v>2373</v>
      </c>
      <c r="I84" s="1531">
        <f t="shared" si="13"/>
        <v>0</v>
      </c>
      <c r="J84" s="1532">
        <v>0</v>
      </c>
      <c r="K84" s="1532">
        <v>0</v>
      </c>
      <c r="L84" s="876">
        <v>0</v>
      </c>
      <c r="M84" s="877">
        <f t="shared" si="16"/>
        <v>0</v>
      </c>
      <c r="N84" s="877">
        <f t="shared" si="16"/>
        <v>0</v>
      </c>
      <c r="O84" s="1214" t="s">
        <v>1224</v>
      </c>
      <c r="P84" s="1214" t="s">
        <v>1154</v>
      </c>
      <c r="Q84" s="1065">
        <f t="shared" si="15"/>
        <v>0</v>
      </c>
      <c r="R84" s="1065">
        <f t="shared" si="15"/>
        <v>0</v>
      </c>
      <c r="S84" s="1065">
        <f t="shared" si="15"/>
        <v>0</v>
      </c>
      <c r="T84" s="1099" t="s">
        <v>886</v>
      </c>
      <c r="U84" s="1100" t="s">
        <v>888</v>
      </c>
      <c r="V84" s="1099">
        <v>141</v>
      </c>
      <c r="W84" s="1099">
        <v>14038</v>
      </c>
      <c r="Z84" s="1311">
        <f t="shared" si="17"/>
        <v>0</v>
      </c>
      <c r="AA84" s="1374">
        <f t="shared" si="14"/>
        <v>0</v>
      </c>
      <c r="AB84" s="1459">
        <f t="shared" si="14"/>
        <v>0</v>
      </c>
      <c r="AC84" s="1459">
        <f t="shared" si="14"/>
        <v>0</v>
      </c>
    </row>
    <row r="85" spans="1:33" ht="103.5" customHeight="1">
      <c r="A85" s="1522" t="s">
        <v>545</v>
      </c>
      <c r="B85" s="973" t="s">
        <v>663</v>
      </c>
      <c r="C85" s="871">
        <f t="shared" si="11"/>
        <v>4074.6</v>
      </c>
      <c r="D85" s="972">
        <v>0</v>
      </c>
      <c r="E85" s="972">
        <v>4074.6</v>
      </c>
      <c r="F85" s="1531">
        <f t="shared" si="12"/>
        <v>4074.6</v>
      </c>
      <c r="G85" s="879">
        <v>0</v>
      </c>
      <c r="H85" s="879">
        <f>E85</f>
        <v>4074.6</v>
      </c>
      <c r="I85" s="1531">
        <f t="shared" si="13"/>
        <v>0</v>
      </c>
      <c r="J85" s="1532">
        <v>0</v>
      </c>
      <c r="K85" s="1532">
        <v>0</v>
      </c>
      <c r="L85" s="876">
        <v>0</v>
      </c>
      <c r="M85" s="877">
        <f t="shared" si="16"/>
        <v>0</v>
      </c>
      <c r="N85" s="877">
        <f t="shared" si="16"/>
        <v>0</v>
      </c>
      <c r="O85" s="1214" t="s">
        <v>1223</v>
      </c>
      <c r="P85" s="1214" t="s">
        <v>1153</v>
      </c>
      <c r="Q85" s="1065">
        <f t="shared" si="15"/>
        <v>0</v>
      </c>
      <c r="R85" s="1065">
        <f t="shared" si="15"/>
        <v>0</v>
      </c>
      <c r="S85" s="1065">
        <f t="shared" si="15"/>
        <v>0</v>
      </c>
      <c r="T85" s="1099" t="s">
        <v>886</v>
      </c>
      <c r="U85" s="1100" t="s">
        <v>888</v>
      </c>
      <c r="V85" s="1099">
        <v>414</v>
      </c>
      <c r="W85" s="1099">
        <v>14039</v>
      </c>
      <c r="Z85" s="1311">
        <f t="shared" si="17"/>
        <v>0</v>
      </c>
      <c r="AA85" s="1374">
        <f t="shared" si="14"/>
        <v>0</v>
      </c>
      <c r="AB85" s="1459">
        <f t="shared" si="14"/>
        <v>0</v>
      </c>
      <c r="AC85" s="1459">
        <f t="shared" si="14"/>
        <v>0</v>
      </c>
    </row>
    <row r="86" spans="1:33" ht="180" customHeight="1">
      <c r="A86" s="1522" t="s">
        <v>557</v>
      </c>
      <c r="B86" s="973" t="s">
        <v>805</v>
      </c>
      <c r="C86" s="871">
        <f t="shared" si="11"/>
        <v>3000</v>
      </c>
      <c r="D86" s="972">
        <v>0</v>
      </c>
      <c r="E86" s="972">
        <v>3000</v>
      </c>
      <c r="F86" s="1531">
        <f>SUM(G86:H86)</f>
        <v>3000</v>
      </c>
      <c r="G86" s="879">
        <v>0</v>
      </c>
      <c r="H86" s="879">
        <v>3000</v>
      </c>
      <c r="I86" s="1531">
        <f t="shared" si="13"/>
        <v>0</v>
      </c>
      <c r="J86" s="1532">
        <v>0</v>
      </c>
      <c r="K86" s="1532">
        <v>0</v>
      </c>
      <c r="L86" s="876">
        <v>0</v>
      </c>
      <c r="M86" s="877">
        <f t="shared" si="16"/>
        <v>0</v>
      </c>
      <c r="N86" s="877">
        <f t="shared" si="16"/>
        <v>0</v>
      </c>
      <c r="O86" s="1214" t="s">
        <v>1192</v>
      </c>
      <c r="P86" s="1214" t="s">
        <v>1155</v>
      </c>
      <c r="Q86" s="1065">
        <f t="shared" ref="Q86:S101" si="18">C86-F86</f>
        <v>0</v>
      </c>
      <c r="R86" s="1065">
        <f t="shared" si="18"/>
        <v>0</v>
      </c>
      <c r="S86" s="1065">
        <f t="shared" si="18"/>
        <v>0</v>
      </c>
      <c r="T86" s="1099" t="s">
        <v>866</v>
      </c>
      <c r="U86" s="1100" t="s">
        <v>883</v>
      </c>
      <c r="V86" s="1099">
        <v>414</v>
      </c>
      <c r="W86" s="1099">
        <v>14051</v>
      </c>
      <c r="Z86" s="1311">
        <f t="shared" si="17"/>
        <v>0</v>
      </c>
      <c r="AA86" s="1374">
        <f t="shared" si="14"/>
        <v>0</v>
      </c>
      <c r="AB86" s="1459">
        <f t="shared" si="14"/>
        <v>0</v>
      </c>
      <c r="AC86" s="1459">
        <f t="shared" si="14"/>
        <v>0</v>
      </c>
    </row>
    <row r="87" spans="1:33" ht="116.25" customHeight="1">
      <c r="A87" s="1522" t="s">
        <v>558</v>
      </c>
      <c r="B87" s="973" t="s">
        <v>664</v>
      </c>
      <c r="C87" s="871">
        <f t="shared" si="11"/>
        <v>1519</v>
      </c>
      <c r="D87" s="972">
        <v>0</v>
      </c>
      <c r="E87" s="972">
        <v>1519</v>
      </c>
      <c r="F87" s="1531">
        <f t="shared" si="12"/>
        <v>1519</v>
      </c>
      <c r="G87" s="879">
        <v>0</v>
      </c>
      <c r="H87" s="879">
        <v>1519</v>
      </c>
      <c r="I87" s="1531">
        <f t="shared" si="13"/>
        <v>0</v>
      </c>
      <c r="J87" s="1532">
        <v>0</v>
      </c>
      <c r="K87" s="1532">
        <v>0</v>
      </c>
      <c r="L87" s="876">
        <v>0</v>
      </c>
      <c r="M87" s="877">
        <f t="shared" si="16"/>
        <v>0</v>
      </c>
      <c r="N87" s="877">
        <f t="shared" si="16"/>
        <v>0</v>
      </c>
      <c r="O87" s="1214" t="s">
        <v>1225</v>
      </c>
      <c r="P87" s="1214" t="s">
        <v>1156</v>
      </c>
      <c r="Q87" s="1065">
        <f t="shared" si="18"/>
        <v>0</v>
      </c>
      <c r="R87" s="1065">
        <f t="shared" si="18"/>
        <v>0</v>
      </c>
      <c r="S87" s="1065">
        <f t="shared" si="18"/>
        <v>0</v>
      </c>
      <c r="T87" s="1099" t="s">
        <v>886</v>
      </c>
      <c r="U87" s="1100" t="s">
        <v>892</v>
      </c>
      <c r="V87" s="1099">
        <v>414</v>
      </c>
      <c r="W87" s="1099">
        <v>14041</v>
      </c>
      <c r="Z87" s="1311">
        <f t="shared" si="17"/>
        <v>0</v>
      </c>
      <c r="AA87" s="1374">
        <f t="shared" si="14"/>
        <v>0</v>
      </c>
      <c r="AB87" s="1459">
        <f t="shared" si="14"/>
        <v>0</v>
      </c>
      <c r="AC87" s="1459">
        <f t="shared" si="14"/>
        <v>0</v>
      </c>
    </row>
    <row r="88" spans="1:33" ht="116.25" customHeight="1">
      <c r="A88" s="1522" t="s">
        <v>559</v>
      </c>
      <c r="B88" s="973" t="s">
        <v>665</v>
      </c>
      <c r="C88" s="871">
        <f t="shared" si="11"/>
        <v>1519</v>
      </c>
      <c r="D88" s="972">
        <v>0</v>
      </c>
      <c r="E88" s="972">
        <v>1519</v>
      </c>
      <c r="F88" s="1531">
        <f t="shared" si="12"/>
        <v>1519</v>
      </c>
      <c r="G88" s="879">
        <v>0</v>
      </c>
      <c r="H88" s="879">
        <v>1519</v>
      </c>
      <c r="I88" s="1531">
        <f t="shared" si="13"/>
        <v>0</v>
      </c>
      <c r="J88" s="1532">
        <v>0</v>
      </c>
      <c r="K88" s="1532">
        <v>0</v>
      </c>
      <c r="L88" s="876">
        <v>0</v>
      </c>
      <c r="M88" s="877">
        <f t="shared" si="16"/>
        <v>0</v>
      </c>
      <c r="N88" s="877">
        <f t="shared" si="16"/>
        <v>0</v>
      </c>
      <c r="O88" s="1214" t="s">
        <v>1226</v>
      </c>
      <c r="P88" s="1214" t="s">
        <v>1156</v>
      </c>
      <c r="Q88" s="1065">
        <f t="shared" si="18"/>
        <v>0</v>
      </c>
      <c r="R88" s="1065">
        <f t="shared" si="18"/>
        <v>0</v>
      </c>
      <c r="S88" s="1065">
        <f t="shared" si="18"/>
        <v>0</v>
      </c>
      <c r="T88" s="1099" t="s">
        <v>886</v>
      </c>
      <c r="U88" s="1100" t="s">
        <v>892</v>
      </c>
      <c r="V88" s="1099">
        <v>414</v>
      </c>
      <c r="W88" s="1099">
        <v>14042</v>
      </c>
      <c r="Z88" s="1311">
        <f t="shared" si="17"/>
        <v>0</v>
      </c>
      <c r="AA88" s="1374">
        <f t="shared" si="14"/>
        <v>0</v>
      </c>
      <c r="AB88" s="1459">
        <f t="shared" si="14"/>
        <v>0</v>
      </c>
      <c r="AC88" s="1459">
        <f t="shared" si="14"/>
        <v>0</v>
      </c>
    </row>
    <row r="89" spans="1:33" ht="116.25" customHeight="1">
      <c r="A89" s="1522" t="s">
        <v>560</v>
      </c>
      <c r="B89" s="973" t="s">
        <v>666</v>
      </c>
      <c r="C89" s="871">
        <f t="shared" si="11"/>
        <v>1400</v>
      </c>
      <c r="D89" s="972">
        <v>0</v>
      </c>
      <c r="E89" s="972">
        <v>1400</v>
      </c>
      <c r="F89" s="1531">
        <f t="shared" si="12"/>
        <v>1400</v>
      </c>
      <c r="G89" s="879">
        <v>0</v>
      </c>
      <c r="H89" s="879">
        <v>1400</v>
      </c>
      <c r="I89" s="1531">
        <f t="shared" si="13"/>
        <v>0</v>
      </c>
      <c r="J89" s="1532">
        <v>0</v>
      </c>
      <c r="K89" s="1532">
        <v>0</v>
      </c>
      <c r="L89" s="876">
        <v>0</v>
      </c>
      <c r="M89" s="877">
        <f t="shared" si="16"/>
        <v>0</v>
      </c>
      <c r="N89" s="877">
        <f t="shared" si="16"/>
        <v>0</v>
      </c>
      <c r="O89" s="1214" t="s">
        <v>1227</v>
      </c>
      <c r="P89" s="1214" t="s">
        <v>1157</v>
      </c>
      <c r="Q89" s="1065">
        <f t="shared" si="18"/>
        <v>0</v>
      </c>
      <c r="R89" s="1065">
        <f t="shared" si="18"/>
        <v>0</v>
      </c>
      <c r="S89" s="1065">
        <f t="shared" si="18"/>
        <v>0</v>
      </c>
      <c r="T89" s="1099" t="s">
        <v>886</v>
      </c>
      <c r="U89" s="1100" t="s">
        <v>892</v>
      </c>
      <c r="V89" s="1099">
        <v>414</v>
      </c>
      <c r="W89" s="1099">
        <v>14043</v>
      </c>
      <c r="Z89" s="1311">
        <f t="shared" si="17"/>
        <v>0</v>
      </c>
      <c r="AA89" s="1374">
        <f t="shared" si="14"/>
        <v>0</v>
      </c>
      <c r="AB89" s="1459">
        <f t="shared" si="14"/>
        <v>0</v>
      </c>
      <c r="AC89" s="1459">
        <f t="shared" si="14"/>
        <v>0</v>
      </c>
    </row>
    <row r="90" spans="1:33" ht="90.75" customHeight="1">
      <c r="A90" s="1522" t="s">
        <v>561</v>
      </c>
      <c r="B90" s="973" t="s">
        <v>1170</v>
      </c>
      <c r="C90" s="871">
        <f t="shared" si="11"/>
        <v>20540.599999999999</v>
      </c>
      <c r="D90" s="972">
        <v>0</v>
      </c>
      <c r="E90" s="972">
        <v>20540.599999999999</v>
      </c>
      <c r="F90" s="1531">
        <f t="shared" si="12"/>
        <v>20540.599999999999</v>
      </c>
      <c r="G90" s="879">
        <v>0</v>
      </c>
      <c r="H90" s="879">
        <f>E90</f>
        <v>20540.599999999999</v>
      </c>
      <c r="I90" s="1531">
        <f t="shared" si="13"/>
        <v>0</v>
      </c>
      <c r="J90" s="1532">
        <v>0</v>
      </c>
      <c r="K90" s="1532">
        <v>0</v>
      </c>
      <c r="L90" s="876">
        <v>0</v>
      </c>
      <c r="M90" s="877">
        <f t="shared" si="16"/>
        <v>0</v>
      </c>
      <c r="N90" s="877">
        <f t="shared" si="16"/>
        <v>0</v>
      </c>
      <c r="O90" s="1214" t="s">
        <v>1192</v>
      </c>
      <c r="P90" s="1214" t="s">
        <v>1158</v>
      </c>
      <c r="Q90" s="1065">
        <f t="shared" si="18"/>
        <v>0</v>
      </c>
      <c r="R90" s="1065">
        <f t="shared" si="18"/>
        <v>0</v>
      </c>
      <c r="S90" s="1065">
        <f t="shared" si="18"/>
        <v>0</v>
      </c>
      <c r="T90" s="1099" t="s">
        <v>886</v>
      </c>
      <c r="U90" s="1100" t="s">
        <v>893</v>
      </c>
      <c r="V90" s="1099">
        <v>414</v>
      </c>
      <c r="W90" s="1099">
        <v>14044</v>
      </c>
      <c r="Z90" s="1311">
        <f t="shared" si="17"/>
        <v>0</v>
      </c>
      <c r="AA90" s="1374">
        <f t="shared" si="14"/>
        <v>0</v>
      </c>
      <c r="AB90" s="1459">
        <f t="shared" si="14"/>
        <v>0</v>
      </c>
      <c r="AC90" s="1459">
        <f t="shared" si="14"/>
        <v>0</v>
      </c>
      <c r="AF90" s="914" t="s">
        <v>1367</v>
      </c>
      <c r="AG90" s="914" t="s">
        <v>1368</v>
      </c>
    </row>
    <row r="91" spans="1:33" ht="63" customHeight="1">
      <c r="A91" s="1522" t="s">
        <v>1352</v>
      </c>
      <c r="B91" s="1075" t="s">
        <v>771</v>
      </c>
      <c r="C91" s="871">
        <f t="shared" si="11"/>
        <v>319980.59999999998</v>
      </c>
      <c r="D91" s="972">
        <f>319980.6*0.90202494621</f>
        <v>288630.5</v>
      </c>
      <c r="E91" s="972">
        <f>319980.6*(1-0.90202494621)</f>
        <v>31350.1</v>
      </c>
      <c r="F91" s="1531">
        <f t="shared" si="12"/>
        <v>319980.59999999998</v>
      </c>
      <c r="G91" s="879">
        <f>319980.6*0.90202494621</f>
        <v>288630.5</v>
      </c>
      <c r="H91" s="879">
        <f>319980.6*(1-0.90202494621)</f>
        <v>31350.1</v>
      </c>
      <c r="I91" s="2450">
        <f t="shared" si="13"/>
        <v>0</v>
      </c>
      <c r="J91" s="2440">
        <v>0</v>
      </c>
      <c r="K91" s="2440">
        <v>0</v>
      </c>
      <c r="L91" s="2433">
        <f>IF(I91=0,0,I91/F91:F92*_G101100)</f>
        <v>0</v>
      </c>
      <c r="M91" s="2429">
        <f>IF(J91=0,0,J91/G91:G92*100)</f>
        <v>0</v>
      </c>
      <c r="N91" s="2429">
        <f>IF(K91=0,0,K91/H91:H92*100)</f>
        <v>0</v>
      </c>
      <c r="O91" s="1214" t="s">
        <v>1192</v>
      </c>
      <c r="P91" s="1213" t="s">
        <v>1159</v>
      </c>
      <c r="Q91" s="1065">
        <f t="shared" si="18"/>
        <v>0</v>
      </c>
      <c r="R91" s="1065">
        <f t="shared" si="18"/>
        <v>0</v>
      </c>
      <c r="S91" s="1065">
        <f t="shared" si="18"/>
        <v>0</v>
      </c>
      <c r="T91" s="2409" t="s">
        <v>926</v>
      </c>
      <c r="U91" s="2445" t="s">
        <v>927</v>
      </c>
      <c r="V91" s="2409">
        <v>414</v>
      </c>
      <c r="W91" s="2409"/>
      <c r="X91" s="2471"/>
      <c r="Z91" s="1311">
        <f t="shared" si="17"/>
        <v>0</v>
      </c>
      <c r="AA91" s="1374">
        <f t="shared" si="14"/>
        <v>0</v>
      </c>
      <c r="AB91" s="1459">
        <f t="shared" si="14"/>
        <v>0</v>
      </c>
      <c r="AC91" s="1459">
        <f t="shared" si="14"/>
        <v>0</v>
      </c>
    </row>
    <row r="92" spans="1:33" ht="121.5" customHeight="1">
      <c r="A92" s="1522" t="s">
        <v>1023</v>
      </c>
      <c r="B92" s="1075" t="s">
        <v>772</v>
      </c>
      <c r="C92" s="871">
        <f t="shared" si="11"/>
        <v>359978.2</v>
      </c>
      <c r="D92" s="972">
        <f>359978.2*0.90202494621</f>
        <v>324709.3</v>
      </c>
      <c r="E92" s="972">
        <f>359978.2*(1-0.90202494621)</f>
        <v>35268.9</v>
      </c>
      <c r="F92" s="1531">
        <f t="shared" si="12"/>
        <v>359978.2</v>
      </c>
      <c r="G92" s="879">
        <f>359978.2*0.90202494621</f>
        <v>324709.3</v>
      </c>
      <c r="H92" s="879">
        <f>359978.2*(1-0.90202494621)</f>
        <v>35268.9</v>
      </c>
      <c r="I92" s="2451"/>
      <c r="J92" s="2441"/>
      <c r="K92" s="2441"/>
      <c r="L92" s="2434"/>
      <c r="M92" s="2430"/>
      <c r="N92" s="2430"/>
      <c r="O92" s="1214" t="s">
        <v>1192</v>
      </c>
      <c r="P92" s="1213" t="s">
        <v>1160</v>
      </c>
      <c r="Q92" s="1065">
        <f t="shared" si="18"/>
        <v>0</v>
      </c>
      <c r="R92" s="1065">
        <f t="shared" si="18"/>
        <v>0</v>
      </c>
      <c r="S92" s="1065">
        <f t="shared" si="18"/>
        <v>0</v>
      </c>
      <c r="T92" s="2409"/>
      <c r="U92" s="2445"/>
      <c r="V92" s="2409"/>
      <c r="W92" s="2409"/>
      <c r="X92" s="2471"/>
      <c r="Z92" s="1311">
        <f t="shared" si="17"/>
        <v>0</v>
      </c>
      <c r="AA92" s="1374">
        <f t="shared" si="14"/>
        <v>0</v>
      </c>
      <c r="AB92" s="1459">
        <f t="shared" si="14"/>
        <v>0</v>
      </c>
      <c r="AC92" s="1459">
        <f t="shared" si="14"/>
        <v>0</v>
      </c>
    </row>
    <row r="93" spans="1:33" ht="66.75" customHeight="1">
      <c r="A93" s="1522" t="s">
        <v>563</v>
      </c>
      <c r="B93" s="1526" t="s">
        <v>460</v>
      </c>
      <c r="C93" s="871">
        <f t="shared" si="11"/>
        <v>65926.600000000006</v>
      </c>
      <c r="D93" s="972">
        <f>20123.6+12300.3</f>
        <v>32423.9</v>
      </c>
      <c r="E93" s="972">
        <f>21202.4+12300.3</f>
        <v>33502.699999999997</v>
      </c>
      <c r="F93" s="1531">
        <f t="shared" si="12"/>
        <v>53626.3</v>
      </c>
      <c r="G93" s="879">
        <f>32423.9-12300.3</f>
        <v>20123.599999999999</v>
      </c>
      <c r="H93" s="879">
        <f>E93</f>
        <v>33502.699999999997</v>
      </c>
      <c r="I93" s="1531">
        <f t="shared" si="13"/>
        <v>15976.9</v>
      </c>
      <c r="J93" s="1532">
        <v>5995.4</v>
      </c>
      <c r="K93" s="1532">
        <v>9981.5</v>
      </c>
      <c r="L93" s="876">
        <f t="shared" ref="L93:N108" si="19">IF(I93=0,0,I93/F93*100)</f>
        <v>29.8</v>
      </c>
      <c r="M93" s="877">
        <f t="shared" si="19"/>
        <v>29.8</v>
      </c>
      <c r="N93" s="877">
        <f t="shared" si="19"/>
        <v>29.8</v>
      </c>
      <c r="O93" s="1214" t="s">
        <v>1228</v>
      </c>
      <c r="P93" s="1214" t="s">
        <v>1161</v>
      </c>
      <c r="Q93" s="1065">
        <f t="shared" si="18"/>
        <v>12300.3</v>
      </c>
      <c r="R93" s="1065">
        <f t="shared" si="18"/>
        <v>12300.3</v>
      </c>
      <c r="S93" s="1065">
        <f t="shared" si="18"/>
        <v>0</v>
      </c>
      <c r="T93" s="1099" t="s">
        <v>954</v>
      </c>
      <c r="V93" s="1099" t="s">
        <v>959</v>
      </c>
      <c r="W93" s="1099" t="s">
        <v>960</v>
      </c>
      <c r="Z93" s="1311">
        <f t="shared" si="17"/>
        <v>12300.3</v>
      </c>
      <c r="AA93" s="1374">
        <f t="shared" si="14"/>
        <v>12300.3</v>
      </c>
      <c r="AB93" s="1459">
        <f t="shared" si="14"/>
        <v>12300.3</v>
      </c>
      <c r="AC93" s="1459">
        <f t="shared" si="14"/>
        <v>0</v>
      </c>
    </row>
    <row r="94" spans="1:33" ht="80.25" customHeight="1">
      <c r="A94" s="2404" t="s">
        <v>573</v>
      </c>
      <c r="B94" s="975" t="s">
        <v>645</v>
      </c>
      <c r="C94" s="871">
        <f t="shared" si="11"/>
        <v>1929.7</v>
      </c>
      <c r="D94" s="1249">
        <v>0</v>
      </c>
      <c r="E94" s="1249">
        <v>1929.7</v>
      </c>
      <c r="F94" s="1531">
        <f t="shared" si="12"/>
        <v>1929.7</v>
      </c>
      <c r="G94" s="1533">
        <v>0</v>
      </c>
      <c r="H94" s="1533">
        <v>1929.7</v>
      </c>
      <c r="I94" s="1531">
        <f t="shared" si="13"/>
        <v>1929.7</v>
      </c>
      <c r="J94" s="1533">
        <v>0</v>
      </c>
      <c r="K94" s="1533">
        <v>1929.7</v>
      </c>
      <c r="L94" s="876">
        <f t="shared" si="19"/>
        <v>100</v>
      </c>
      <c r="M94" s="877">
        <f t="shared" si="19"/>
        <v>0</v>
      </c>
      <c r="N94" s="877">
        <f t="shared" si="19"/>
        <v>100</v>
      </c>
      <c r="O94" s="1214" t="s">
        <v>1229</v>
      </c>
      <c r="P94" s="1214" t="s">
        <v>1162</v>
      </c>
      <c r="Q94" s="1065">
        <f t="shared" si="18"/>
        <v>0</v>
      </c>
      <c r="R94" s="1065">
        <f t="shared" si="18"/>
        <v>0</v>
      </c>
      <c r="S94" s="1065">
        <f t="shared" si="18"/>
        <v>0</v>
      </c>
      <c r="T94" s="1099" t="s">
        <v>867</v>
      </c>
      <c r="U94" s="1100">
        <v>1550190400</v>
      </c>
      <c r="V94" s="1099">
        <v>414</v>
      </c>
      <c r="W94" s="1099">
        <v>14024</v>
      </c>
      <c r="Z94" s="1311">
        <f t="shared" si="17"/>
        <v>0</v>
      </c>
      <c r="AA94" s="1374">
        <f t="shared" si="14"/>
        <v>0</v>
      </c>
      <c r="AB94" s="1459">
        <f t="shared" si="14"/>
        <v>0</v>
      </c>
      <c r="AC94" s="1459">
        <f t="shared" si="14"/>
        <v>0</v>
      </c>
    </row>
    <row r="95" spans="1:33" ht="78.75">
      <c r="A95" s="2405"/>
      <c r="B95" s="975" t="s">
        <v>707</v>
      </c>
      <c r="C95" s="871">
        <f t="shared" si="11"/>
        <v>30000</v>
      </c>
      <c r="D95" s="1249">
        <v>0</v>
      </c>
      <c r="E95" s="1249">
        <v>30000</v>
      </c>
      <c r="F95" s="1531">
        <f t="shared" si="12"/>
        <v>30000</v>
      </c>
      <c r="G95" s="1533">
        <v>0</v>
      </c>
      <c r="H95" s="1533">
        <v>30000</v>
      </c>
      <c r="I95" s="1531">
        <f t="shared" si="13"/>
        <v>0</v>
      </c>
      <c r="J95" s="1533">
        <v>0</v>
      </c>
      <c r="K95" s="1533">
        <v>0</v>
      </c>
      <c r="L95" s="876">
        <f t="shared" si="19"/>
        <v>0</v>
      </c>
      <c r="M95" s="877">
        <f t="shared" si="19"/>
        <v>0</v>
      </c>
      <c r="N95" s="877">
        <f t="shared" si="19"/>
        <v>0</v>
      </c>
      <c r="O95" s="1214" t="s">
        <v>1192</v>
      </c>
      <c r="P95" s="1214" t="s">
        <v>1163</v>
      </c>
      <c r="Q95" s="1065">
        <f t="shared" si="18"/>
        <v>0</v>
      </c>
      <c r="R95" s="1065">
        <f t="shared" si="18"/>
        <v>0</v>
      </c>
      <c r="S95" s="1065">
        <f t="shared" si="18"/>
        <v>0</v>
      </c>
      <c r="T95" s="1099" t="s">
        <v>868</v>
      </c>
      <c r="U95" s="1100">
        <v>1550190400</v>
      </c>
      <c r="V95" s="1099">
        <v>414</v>
      </c>
      <c r="W95" s="1099">
        <v>10120</v>
      </c>
      <c r="Z95" s="1311">
        <f t="shared" si="17"/>
        <v>0</v>
      </c>
      <c r="AA95" s="1374">
        <f t="shared" si="14"/>
        <v>0</v>
      </c>
      <c r="AB95" s="1459">
        <f t="shared" si="14"/>
        <v>0</v>
      </c>
      <c r="AC95" s="1459">
        <f t="shared" si="14"/>
        <v>0</v>
      </c>
    </row>
    <row r="96" spans="1:33" s="838" customFormat="1" ht="107.25" customHeight="1">
      <c r="A96" s="1522" t="s">
        <v>624</v>
      </c>
      <c r="B96" s="976" t="s">
        <v>839</v>
      </c>
      <c r="C96" s="871">
        <f t="shared" si="11"/>
        <v>2714.8</v>
      </c>
      <c r="D96" s="972">
        <v>0</v>
      </c>
      <c r="E96" s="972">
        <v>2714.8</v>
      </c>
      <c r="F96" s="1531">
        <f t="shared" si="12"/>
        <v>2714.8</v>
      </c>
      <c r="G96" s="879">
        <v>0</v>
      </c>
      <c r="H96" s="879">
        <v>2714.8</v>
      </c>
      <c r="I96" s="1531">
        <f t="shared" si="13"/>
        <v>0</v>
      </c>
      <c r="J96" s="1532">
        <v>0</v>
      </c>
      <c r="K96" s="970">
        <v>0</v>
      </c>
      <c r="L96" s="876">
        <f t="shared" si="19"/>
        <v>0</v>
      </c>
      <c r="M96" s="877">
        <f t="shared" si="19"/>
        <v>0</v>
      </c>
      <c r="N96" s="877">
        <f t="shared" si="19"/>
        <v>0</v>
      </c>
      <c r="O96" s="1214" t="s">
        <v>1230</v>
      </c>
      <c r="P96" s="1214" t="s">
        <v>1164</v>
      </c>
      <c r="Q96" s="1065">
        <f t="shared" si="18"/>
        <v>0</v>
      </c>
      <c r="R96" s="1065">
        <f t="shared" si="18"/>
        <v>0</v>
      </c>
      <c r="S96" s="1065">
        <f t="shared" si="18"/>
        <v>0</v>
      </c>
      <c r="T96" s="1121" t="s">
        <v>886</v>
      </c>
      <c r="U96" s="1122" t="s">
        <v>894</v>
      </c>
      <c r="V96" s="1121">
        <v>414</v>
      </c>
      <c r="W96" s="1121">
        <v>14031</v>
      </c>
      <c r="X96" s="1219"/>
      <c r="Z96" s="1311">
        <f t="shared" si="17"/>
        <v>0</v>
      </c>
      <c r="AA96" s="1374">
        <f t="shared" si="14"/>
        <v>0</v>
      </c>
      <c r="AB96" s="1459">
        <f t="shared" si="14"/>
        <v>0</v>
      </c>
      <c r="AC96" s="1459">
        <f t="shared" si="14"/>
        <v>0</v>
      </c>
    </row>
    <row r="97" spans="1:29" ht="75" customHeight="1">
      <c r="A97" s="1522" t="s">
        <v>625</v>
      </c>
      <c r="B97" s="976" t="s">
        <v>1344</v>
      </c>
      <c r="C97" s="871">
        <f t="shared" si="11"/>
        <v>2100</v>
      </c>
      <c r="D97" s="972">
        <v>0</v>
      </c>
      <c r="E97" s="972">
        <v>2100</v>
      </c>
      <c r="F97" s="1531">
        <f t="shared" si="12"/>
        <v>2100</v>
      </c>
      <c r="G97" s="879">
        <v>0</v>
      </c>
      <c r="H97" s="879">
        <v>2100</v>
      </c>
      <c r="I97" s="1531">
        <f t="shared" si="13"/>
        <v>0</v>
      </c>
      <c r="J97" s="1532">
        <v>0</v>
      </c>
      <c r="K97" s="970">
        <v>0</v>
      </c>
      <c r="L97" s="876">
        <f t="shared" si="19"/>
        <v>0</v>
      </c>
      <c r="M97" s="877">
        <f t="shared" si="19"/>
        <v>0</v>
      </c>
      <c r="N97" s="877">
        <f t="shared" si="19"/>
        <v>0</v>
      </c>
      <c r="O97" s="1214" t="s">
        <v>1231</v>
      </c>
      <c r="P97" s="1214" t="s">
        <v>1165</v>
      </c>
      <c r="Q97" s="1065">
        <f t="shared" si="18"/>
        <v>0</v>
      </c>
      <c r="R97" s="1065">
        <f t="shared" si="18"/>
        <v>0</v>
      </c>
      <c r="S97" s="1065">
        <f t="shared" si="18"/>
        <v>0</v>
      </c>
      <c r="T97" s="1099" t="s">
        <v>886</v>
      </c>
      <c r="U97" s="1100">
        <v>1900290400</v>
      </c>
      <c r="V97" s="1099">
        <v>414</v>
      </c>
      <c r="W97" s="1099">
        <v>14020</v>
      </c>
      <c r="Z97" s="1311">
        <f t="shared" si="17"/>
        <v>0</v>
      </c>
      <c r="AA97" s="1374">
        <f t="shared" si="14"/>
        <v>0</v>
      </c>
      <c r="AB97" s="1459">
        <f t="shared" si="14"/>
        <v>0</v>
      </c>
      <c r="AC97" s="1459">
        <f t="shared" si="14"/>
        <v>0</v>
      </c>
    </row>
    <row r="98" spans="1:29" ht="66.75" customHeight="1">
      <c r="A98" s="1522" t="s">
        <v>626</v>
      </c>
      <c r="B98" s="900" t="s">
        <v>641</v>
      </c>
      <c r="C98" s="871">
        <f t="shared" si="11"/>
        <v>8850</v>
      </c>
      <c r="D98" s="972">
        <v>0</v>
      </c>
      <c r="E98" s="972">
        <v>8850</v>
      </c>
      <c r="F98" s="1531">
        <f t="shared" si="12"/>
        <v>8850</v>
      </c>
      <c r="G98" s="879">
        <v>0</v>
      </c>
      <c r="H98" s="879">
        <v>8850</v>
      </c>
      <c r="I98" s="1531">
        <f t="shared" si="13"/>
        <v>0</v>
      </c>
      <c r="J98" s="1532">
        <v>0</v>
      </c>
      <c r="K98" s="1532">
        <v>0</v>
      </c>
      <c r="L98" s="876">
        <f t="shared" si="19"/>
        <v>0</v>
      </c>
      <c r="M98" s="877">
        <f t="shared" si="19"/>
        <v>0</v>
      </c>
      <c r="N98" s="877">
        <f t="shared" si="19"/>
        <v>0</v>
      </c>
      <c r="O98" s="1518" t="s">
        <v>1232</v>
      </c>
      <c r="P98" s="1518" t="s">
        <v>1166</v>
      </c>
      <c r="Q98" s="1065">
        <f t="shared" si="18"/>
        <v>0</v>
      </c>
      <c r="R98" s="1065">
        <f t="shared" si="18"/>
        <v>0</v>
      </c>
      <c r="S98" s="1065">
        <f t="shared" si="18"/>
        <v>0</v>
      </c>
      <c r="T98" s="1099" t="s">
        <v>947</v>
      </c>
      <c r="U98" s="1100" t="s">
        <v>948</v>
      </c>
      <c r="V98" s="1099">
        <v>414</v>
      </c>
      <c r="W98" s="1099">
        <v>14016</v>
      </c>
      <c r="Z98" s="1311">
        <f t="shared" si="17"/>
        <v>0</v>
      </c>
      <c r="AA98" s="1374">
        <f t="shared" si="14"/>
        <v>0</v>
      </c>
      <c r="AB98" s="1459">
        <f t="shared" si="14"/>
        <v>0</v>
      </c>
      <c r="AC98" s="1459">
        <f t="shared" si="14"/>
        <v>0</v>
      </c>
    </row>
    <row r="99" spans="1:29" ht="79.5" customHeight="1">
      <c r="A99" s="1522" t="s">
        <v>627</v>
      </c>
      <c r="B99" s="976" t="s">
        <v>647</v>
      </c>
      <c r="C99" s="871">
        <f t="shared" si="11"/>
        <v>39000</v>
      </c>
      <c r="D99" s="972">
        <v>0</v>
      </c>
      <c r="E99" s="972">
        <v>39000</v>
      </c>
      <c r="F99" s="1531">
        <f t="shared" si="12"/>
        <v>39000</v>
      </c>
      <c r="G99" s="879">
        <v>0</v>
      </c>
      <c r="H99" s="879">
        <v>39000</v>
      </c>
      <c r="I99" s="1531">
        <f t="shared" si="13"/>
        <v>21450</v>
      </c>
      <c r="J99" s="1532">
        <v>0</v>
      </c>
      <c r="K99" s="970">
        <v>21450</v>
      </c>
      <c r="L99" s="876">
        <f t="shared" si="19"/>
        <v>55</v>
      </c>
      <c r="M99" s="877">
        <f t="shared" si="19"/>
        <v>0</v>
      </c>
      <c r="N99" s="877">
        <f t="shared" si="19"/>
        <v>55</v>
      </c>
      <c r="O99" s="1214" t="s">
        <v>1233</v>
      </c>
      <c r="P99" s="1214" t="s">
        <v>1167</v>
      </c>
      <c r="Q99" s="1065">
        <f t="shared" si="18"/>
        <v>0</v>
      </c>
      <c r="R99" s="1065">
        <f t="shared" si="18"/>
        <v>0</v>
      </c>
      <c r="S99" s="1065">
        <f t="shared" si="18"/>
        <v>0</v>
      </c>
      <c r="T99" s="1099" t="s">
        <v>936</v>
      </c>
      <c r="U99" s="1100" t="s">
        <v>944</v>
      </c>
      <c r="V99" s="1099">
        <v>414</v>
      </c>
      <c r="W99" s="1099">
        <v>14050</v>
      </c>
      <c r="Z99" s="1311">
        <f t="shared" si="17"/>
        <v>0</v>
      </c>
      <c r="AA99" s="1374">
        <f t="shared" si="14"/>
        <v>0</v>
      </c>
      <c r="AB99" s="1459">
        <f t="shared" si="14"/>
        <v>0</v>
      </c>
      <c r="AC99" s="1459">
        <f t="shared" si="14"/>
        <v>0</v>
      </c>
    </row>
    <row r="100" spans="1:29" ht="93" customHeight="1">
      <c r="A100" s="1522" t="s">
        <v>628</v>
      </c>
      <c r="B100" s="900" t="s">
        <v>637</v>
      </c>
      <c r="C100" s="871">
        <f t="shared" si="11"/>
        <v>4837.5</v>
      </c>
      <c r="D100" s="972">
        <v>0</v>
      </c>
      <c r="E100" s="972">
        <v>4837.5</v>
      </c>
      <c r="F100" s="1531">
        <f t="shared" si="12"/>
        <v>4837.5</v>
      </c>
      <c r="G100" s="879">
        <v>0</v>
      </c>
      <c r="H100" s="879">
        <f>E100</f>
        <v>4837.5</v>
      </c>
      <c r="I100" s="1531">
        <f t="shared" si="13"/>
        <v>0</v>
      </c>
      <c r="J100" s="1532">
        <v>0</v>
      </c>
      <c r="K100" s="1532">
        <v>0</v>
      </c>
      <c r="L100" s="876">
        <f t="shared" si="19"/>
        <v>0</v>
      </c>
      <c r="M100" s="877">
        <f t="shared" si="19"/>
        <v>0</v>
      </c>
      <c r="N100" s="877">
        <f t="shared" si="19"/>
        <v>0</v>
      </c>
      <c r="O100" s="1214" t="s">
        <v>1234</v>
      </c>
      <c r="P100" s="1214" t="s">
        <v>1194</v>
      </c>
      <c r="Q100" s="1065">
        <f t="shared" si="18"/>
        <v>0</v>
      </c>
      <c r="R100" s="1065">
        <f t="shared" si="18"/>
        <v>0</v>
      </c>
      <c r="S100" s="1065">
        <f t="shared" si="18"/>
        <v>0</v>
      </c>
      <c r="T100" s="1099" t="s">
        <v>949</v>
      </c>
      <c r="U100" s="1100" t="s">
        <v>951</v>
      </c>
      <c r="V100" s="1099">
        <v>414</v>
      </c>
      <c r="W100" s="1099">
        <v>14057</v>
      </c>
      <c r="Z100" s="1311">
        <f t="shared" si="17"/>
        <v>0</v>
      </c>
      <c r="AA100" s="1374">
        <f t="shared" si="14"/>
        <v>0</v>
      </c>
      <c r="AB100" s="1459">
        <f t="shared" si="14"/>
        <v>0</v>
      </c>
      <c r="AC100" s="1459">
        <f t="shared" si="14"/>
        <v>0</v>
      </c>
    </row>
    <row r="101" spans="1:29" ht="63" customHeight="1">
      <c r="A101" s="1522" t="s">
        <v>629</v>
      </c>
      <c r="B101" s="901" t="s">
        <v>639</v>
      </c>
      <c r="C101" s="871">
        <f t="shared" si="11"/>
        <v>1946</v>
      </c>
      <c r="D101" s="972">
        <v>0</v>
      </c>
      <c r="E101" s="972">
        <v>1946</v>
      </c>
      <c r="F101" s="1531">
        <f t="shared" si="12"/>
        <v>1946</v>
      </c>
      <c r="G101" s="879">
        <v>0</v>
      </c>
      <c r="H101" s="879">
        <v>1946</v>
      </c>
      <c r="I101" s="1531">
        <f t="shared" si="13"/>
        <v>695</v>
      </c>
      <c r="J101" s="1532">
        <v>0</v>
      </c>
      <c r="K101" s="1532">
        <v>695</v>
      </c>
      <c r="L101" s="876">
        <f t="shared" si="19"/>
        <v>35.700000000000003</v>
      </c>
      <c r="M101" s="877">
        <f t="shared" si="19"/>
        <v>0</v>
      </c>
      <c r="N101" s="877">
        <f t="shared" si="19"/>
        <v>35.700000000000003</v>
      </c>
      <c r="O101" s="1214" t="s">
        <v>1235</v>
      </c>
      <c r="P101" s="1214" t="s">
        <v>1195</v>
      </c>
      <c r="Q101" s="1065">
        <f t="shared" si="18"/>
        <v>0</v>
      </c>
      <c r="R101" s="1065">
        <f t="shared" si="18"/>
        <v>0</v>
      </c>
      <c r="S101" s="1065">
        <f t="shared" si="18"/>
        <v>0</v>
      </c>
      <c r="T101" s="1099" t="s">
        <v>954</v>
      </c>
      <c r="U101" s="1100" t="s">
        <v>956</v>
      </c>
      <c r="V101" s="1099">
        <v>414</v>
      </c>
      <c r="W101" s="1099">
        <v>14015</v>
      </c>
      <c r="Z101" s="1311">
        <f t="shared" si="17"/>
        <v>0</v>
      </c>
      <c r="AA101" s="1374">
        <f t="shared" si="14"/>
        <v>0</v>
      </c>
      <c r="AB101" s="1459">
        <f t="shared" si="14"/>
        <v>0</v>
      </c>
      <c r="AC101" s="1459">
        <f t="shared" si="14"/>
        <v>0</v>
      </c>
    </row>
    <row r="102" spans="1:29" s="1216" customFormat="1" ht="63" customHeight="1">
      <c r="A102" s="1522" t="s">
        <v>630</v>
      </c>
      <c r="B102" s="900" t="s">
        <v>643</v>
      </c>
      <c r="C102" s="871">
        <f t="shared" si="11"/>
        <v>2752.8</v>
      </c>
      <c r="D102" s="972">
        <v>0</v>
      </c>
      <c r="E102" s="972">
        <v>2752.8</v>
      </c>
      <c r="F102" s="1531">
        <f t="shared" si="12"/>
        <v>2752.8</v>
      </c>
      <c r="G102" s="879">
        <v>0</v>
      </c>
      <c r="H102" s="879">
        <v>2752.8</v>
      </c>
      <c r="I102" s="1531">
        <f t="shared" si="13"/>
        <v>983.1</v>
      </c>
      <c r="J102" s="1532">
        <v>0</v>
      </c>
      <c r="K102" s="1532">
        <v>983.1</v>
      </c>
      <c r="L102" s="876">
        <f t="shared" si="19"/>
        <v>35.700000000000003</v>
      </c>
      <c r="M102" s="877">
        <f t="shared" si="19"/>
        <v>0</v>
      </c>
      <c r="N102" s="877">
        <f t="shared" si="19"/>
        <v>35.700000000000003</v>
      </c>
      <c r="O102" s="1214" t="s">
        <v>1236</v>
      </c>
      <c r="P102" s="1214" t="s">
        <v>1196</v>
      </c>
      <c r="Q102" s="1065">
        <f t="shared" ref="Q102:S113" si="20">C102-F102</f>
        <v>0</v>
      </c>
      <c r="R102" s="1065">
        <f t="shared" si="20"/>
        <v>0</v>
      </c>
      <c r="S102" s="1065">
        <f t="shared" si="20"/>
        <v>0</v>
      </c>
      <c r="T102" s="1099" t="s">
        <v>954</v>
      </c>
      <c r="U102" s="1100" t="s">
        <v>956</v>
      </c>
      <c r="V102" s="1099">
        <v>141</v>
      </c>
      <c r="W102" s="1099">
        <v>14018</v>
      </c>
      <c r="Z102" s="1311">
        <f t="shared" si="17"/>
        <v>0</v>
      </c>
      <c r="AA102" s="1374">
        <f t="shared" si="14"/>
        <v>0</v>
      </c>
      <c r="AB102" s="1459">
        <f t="shared" si="14"/>
        <v>0</v>
      </c>
      <c r="AC102" s="1459">
        <f t="shared" si="14"/>
        <v>0</v>
      </c>
    </row>
    <row r="103" spans="1:29" s="1216" customFormat="1" ht="69.75" customHeight="1">
      <c r="A103" s="1522" t="s">
        <v>732</v>
      </c>
      <c r="B103" s="900" t="s">
        <v>801</v>
      </c>
      <c r="C103" s="871">
        <f t="shared" si="11"/>
        <v>10292.6</v>
      </c>
      <c r="D103" s="972">
        <v>0</v>
      </c>
      <c r="E103" s="972">
        <v>10292.6</v>
      </c>
      <c r="F103" s="1531">
        <f t="shared" si="12"/>
        <v>10292.6</v>
      </c>
      <c r="G103" s="879">
        <v>0</v>
      </c>
      <c r="H103" s="879">
        <v>10292.6</v>
      </c>
      <c r="I103" s="1531">
        <f t="shared" si="13"/>
        <v>0</v>
      </c>
      <c r="J103" s="1532">
        <v>0</v>
      </c>
      <c r="K103" s="1532">
        <v>0</v>
      </c>
      <c r="L103" s="876">
        <f t="shared" si="19"/>
        <v>0</v>
      </c>
      <c r="M103" s="877">
        <f t="shared" si="19"/>
        <v>0</v>
      </c>
      <c r="N103" s="877">
        <f t="shared" si="19"/>
        <v>0</v>
      </c>
      <c r="O103" s="1214" t="s">
        <v>1192</v>
      </c>
      <c r="P103" s="1214" t="s">
        <v>1197</v>
      </c>
      <c r="Q103" s="1065">
        <f t="shared" si="20"/>
        <v>0</v>
      </c>
      <c r="R103" s="1065">
        <f t="shared" si="20"/>
        <v>0</v>
      </c>
      <c r="S103" s="1065">
        <f t="shared" si="20"/>
        <v>0</v>
      </c>
      <c r="T103" s="1099" t="s">
        <v>954</v>
      </c>
      <c r="U103" s="1100" t="s">
        <v>955</v>
      </c>
      <c r="V103" s="1099">
        <v>414</v>
      </c>
      <c r="W103" s="1099">
        <v>14004</v>
      </c>
      <c r="Z103" s="1311">
        <f t="shared" si="17"/>
        <v>0</v>
      </c>
      <c r="AA103" s="1374">
        <f t="shared" si="14"/>
        <v>0</v>
      </c>
      <c r="AB103" s="1459">
        <f t="shared" si="14"/>
        <v>0</v>
      </c>
      <c r="AC103" s="1459">
        <f t="shared" si="14"/>
        <v>0</v>
      </c>
    </row>
    <row r="104" spans="1:29" s="1216" customFormat="1" ht="52.5">
      <c r="A104" s="1522" t="s">
        <v>733</v>
      </c>
      <c r="B104" s="900" t="s">
        <v>812</v>
      </c>
      <c r="C104" s="871">
        <f t="shared" si="11"/>
        <v>1350</v>
      </c>
      <c r="D104" s="972">
        <v>0</v>
      </c>
      <c r="E104" s="972">
        <v>1350</v>
      </c>
      <c r="F104" s="1531">
        <f t="shared" si="12"/>
        <v>1350</v>
      </c>
      <c r="G104" s="879">
        <v>0</v>
      </c>
      <c r="H104" s="879">
        <v>1350</v>
      </c>
      <c r="I104" s="1531">
        <f t="shared" si="13"/>
        <v>1125</v>
      </c>
      <c r="J104" s="1532">
        <v>0</v>
      </c>
      <c r="K104" s="1532">
        <v>1125</v>
      </c>
      <c r="L104" s="876">
        <f t="shared" si="19"/>
        <v>83.3</v>
      </c>
      <c r="M104" s="877">
        <f t="shared" si="19"/>
        <v>0</v>
      </c>
      <c r="N104" s="877">
        <f t="shared" si="19"/>
        <v>83.3</v>
      </c>
      <c r="O104" s="1214" t="s">
        <v>1192</v>
      </c>
      <c r="P104" s="1214" t="s">
        <v>1199</v>
      </c>
      <c r="Q104" s="1065">
        <f t="shared" si="20"/>
        <v>0</v>
      </c>
      <c r="R104" s="1065">
        <f t="shared" si="20"/>
        <v>0</v>
      </c>
      <c r="S104" s="1065">
        <f t="shared" si="20"/>
        <v>0</v>
      </c>
      <c r="T104" s="1099" t="s">
        <v>954</v>
      </c>
      <c r="U104" s="1100" t="s">
        <v>956</v>
      </c>
      <c r="V104" s="1099">
        <v>414</v>
      </c>
      <c r="W104" s="1099">
        <v>14074</v>
      </c>
      <c r="Z104" s="1311">
        <f t="shared" si="17"/>
        <v>0</v>
      </c>
      <c r="AA104" s="1374">
        <f t="shared" si="14"/>
        <v>0</v>
      </c>
      <c r="AB104" s="1459">
        <f t="shared" si="14"/>
        <v>0</v>
      </c>
      <c r="AC104" s="1459">
        <f t="shared" si="14"/>
        <v>0</v>
      </c>
    </row>
    <row r="105" spans="1:29" s="1216" customFormat="1" ht="90.75" customHeight="1">
      <c r="A105" s="1522" t="s">
        <v>781</v>
      </c>
      <c r="B105" s="1125" t="s">
        <v>795</v>
      </c>
      <c r="C105" s="871">
        <f t="shared" si="11"/>
        <v>1230</v>
      </c>
      <c r="D105" s="1249">
        <v>0</v>
      </c>
      <c r="E105" s="1249">
        <v>1230</v>
      </c>
      <c r="F105" s="1531">
        <f t="shared" si="12"/>
        <v>1230</v>
      </c>
      <c r="G105" s="1533">
        <v>0</v>
      </c>
      <c r="H105" s="1533">
        <v>1230</v>
      </c>
      <c r="I105" s="1531">
        <f t="shared" si="13"/>
        <v>0</v>
      </c>
      <c r="J105" s="1533">
        <v>0</v>
      </c>
      <c r="K105" s="1533">
        <v>0</v>
      </c>
      <c r="L105" s="876">
        <f t="shared" si="19"/>
        <v>0</v>
      </c>
      <c r="M105" s="877">
        <f t="shared" si="19"/>
        <v>0</v>
      </c>
      <c r="N105" s="877">
        <f t="shared" si="19"/>
        <v>0</v>
      </c>
      <c r="O105" s="1214" t="s">
        <v>1192</v>
      </c>
      <c r="P105" s="1214" t="s">
        <v>1198</v>
      </c>
      <c r="Q105" s="1065">
        <f t="shared" si="20"/>
        <v>0</v>
      </c>
      <c r="R105" s="1065">
        <f t="shared" si="20"/>
        <v>0</v>
      </c>
      <c r="S105" s="1065">
        <f t="shared" si="20"/>
        <v>0</v>
      </c>
      <c r="T105" s="1099" t="s">
        <v>886</v>
      </c>
      <c r="U105" s="1100">
        <v>1820190400</v>
      </c>
      <c r="V105" s="1099">
        <v>414</v>
      </c>
      <c r="W105" s="1099">
        <v>14062</v>
      </c>
      <c r="Z105" s="1311">
        <f t="shared" si="17"/>
        <v>0</v>
      </c>
      <c r="AA105" s="1374">
        <f t="shared" si="14"/>
        <v>0</v>
      </c>
      <c r="AB105" s="1459">
        <f t="shared" si="14"/>
        <v>0</v>
      </c>
      <c r="AC105" s="1459">
        <f t="shared" si="14"/>
        <v>0</v>
      </c>
    </row>
    <row r="106" spans="1:29" s="1216" customFormat="1" ht="86.25" customHeight="1">
      <c r="A106" s="1522" t="s">
        <v>631</v>
      </c>
      <c r="B106" s="937" t="s">
        <v>796</v>
      </c>
      <c r="C106" s="871">
        <f t="shared" si="11"/>
        <v>1020</v>
      </c>
      <c r="D106" s="1249">
        <v>0</v>
      </c>
      <c r="E106" s="1249">
        <v>1020</v>
      </c>
      <c r="F106" s="1531">
        <f t="shared" si="12"/>
        <v>1020</v>
      </c>
      <c r="G106" s="1533">
        <v>0</v>
      </c>
      <c r="H106" s="1533">
        <v>1020</v>
      </c>
      <c r="I106" s="1531">
        <f t="shared" si="13"/>
        <v>0</v>
      </c>
      <c r="J106" s="1533">
        <v>0</v>
      </c>
      <c r="K106" s="1533">
        <v>0</v>
      </c>
      <c r="L106" s="876">
        <f t="shared" si="19"/>
        <v>0</v>
      </c>
      <c r="M106" s="877">
        <f t="shared" si="19"/>
        <v>0</v>
      </c>
      <c r="N106" s="877">
        <f t="shared" si="19"/>
        <v>0</v>
      </c>
      <c r="O106" s="1214" t="s">
        <v>1192</v>
      </c>
      <c r="P106" s="1214" t="s">
        <v>1198</v>
      </c>
      <c r="Q106" s="1065">
        <f t="shared" si="20"/>
        <v>0</v>
      </c>
      <c r="R106" s="1065">
        <f t="shared" si="20"/>
        <v>0</v>
      </c>
      <c r="S106" s="1065">
        <f t="shared" si="20"/>
        <v>0</v>
      </c>
      <c r="T106" s="1099" t="s">
        <v>886</v>
      </c>
      <c r="U106" s="1100">
        <v>1820190400</v>
      </c>
      <c r="V106" s="1099">
        <v>414</v>
      </c>
      <c r="W106" s="1099">
        <v>14063</v>
      </c>
      <c r="Z106" s="1311">
        <f t="shared" si="17"/>
        <v>0</v>
      </c>
      <c r="AA106" s="1374">
        <f t="shared" si="14"/>
        <v>0</v>
      </c>
      <c r="AB106" s="1459">
        <f t="shared" si="14"/>
        <v>0</v>
      </c>
      <c r="AC106" s="1459">
        <f t="shared" si="14"/>
        <v>0</v>
      </c>
    </row>
    <row r="107" spans="1:29" s="1216" customFormat="1" ht="90" customHeight="1">
      <c r="A107" s="1522" t="s">
        <v>632</v>
      </c>
      <c r="B107" s="1126" t="s">
        <v>806</v>
      </c>
      <c r="C107" s="871">
        <f t="shared" si="11"/>
        <v>2100</v>
      </c>
      <c r="D107" s="1249">
        <v>0</v>
      </c>
      <c r="E107" s="1249">
        <v>2100</v>
      </c>
      <c r="F107" s="1531">
        <f t="shared" si="12"/>
        <v>2100</v>
      </c>
      <c r="G107" s="1533">
        <v>0</v>
      </c>
      <c r="H107" s="1533">
        <v>2100</v>
      </c>
      <c r="I107" s="1531">
        <f t="shared" si="13"/>
        <v>0</v>
      </c>
      <c r="J107" s="1533">
        <v>0</v>
      </c>
      <c r="K107" s="1533">
        <v>0</v>
      </c>
      <c r="L107" s="876">
        <f t="shared" si="19"/>
        <v>0</v>
      </c>
      <c r="M107" s="877">
        <f t="shared" si="19"/>
        <v>0</v>
      </c>
      <c r="N107" s="877">
        <f t="shared" si="19"/>
        <v>0</v>
      </c>
      <c r="O107" s="1214" t="s">
        <v>1192</v>
      </c>
      <c r="P107" s="1214" t="s">
        <v>1200</v>
      </c>
      <c r="Q107" s="1065">
        <f t="shared" si="20"/>
        <v>0</v>
      </c>
      <c r="R107" s="1065">
        <f t="shared" si="20"/>
        <v>0</v>
      </c>
      <c r="S107" s="1065">
        <f t="shared" si="20"/>
        <v>0</v>
      </c>
      <c r="T107" s="1099" t="s">
        <v>886</v>
      </c>
      <c r="U107" s="1100">
        <v>1820190400</v>
      </c>
      <c r="V107" s="1099">
        <v>414</v>
      </c>
      <c r="W107" s="1099">
        <v>14064</v>
      </c>
      <c r="Z107" s="1311">
        <f t="shared" si="17"/>
        <v>0</v>
      </c>
      <c r="AA107" s="1374">
        <f t="shared" si="14"/>
        <v>0</v>
      </c>
      <c r="AB107" s="1459">
        <f t="shared" si="14"/>
        <v>0</v>
      </c>
      <c r="AC107" s="1459">
        <f t="shared" si="14"/>
        <v>0</v>
      </c>
    </row>
    <row r="108" spans="1:29" s="1216" customFormat="1" ht="93" customHeight="1">
      <c r="A108" s="1522" t="s">
        <v>633</v>
      </c>
      <c r="B108" s="1125" t="s">
        <v>807</v>
      </c>
      <c r="C108" s="871">
        <f t="shared" si="11"/>
        <v>2340</v>
      </c>
      <c r="D108" s="1249">
        <v>0</v>
      </c>
      <c r="E108" s="1249">
        <v>2340</v>
      </c>
      <c r="F108" s="1531">
        <f t="shared" si="12"/>
        <v>2340</v>
      </c>
      <c r="G108" s="1533">
        <v>0</v>
      </c>
      <c r="H108" s="1533">
        <v>2340</v>
      </c>
      <c r="I108" s="1531">
        <f t="shared" si="13"/>
        <v>0</v>
      </c>
      <c r="J108" s="1533">
        <v>0</v>
      </c>
      <c r="K108" s="1533">
        <v>0</v>
      </c>
      <c r="L108" s="876">
        <f t="shared" si="19"/>
        <v>0</v>
      </c>
      <c r="M108" s="877">
        <f t="shared" si="19"/>
        <v>0</v>
      </c>
      <c r="N108" s="877">
        <f t="shared" si="19"/>
        <v>0</v>
      </c>
      <c r="O108" s="1214" t="s">
        <v>1192</v>
      </c>
      <c r="P108" s="1214" t="s">
        <v>1201</v>
      </c>
      <c r="Q108" s="1065">
        <f t="shared" si="20"/>
        <v>0</v>
      </c>
      <c r="R108" s="1065">
        <f t="shared" si="20"/>
        <v>0</v>
      </c>
      <c r="S108" s="1065">
        <f t="shared" si="20"/>
        <v>0</v>
      </c>
      <c r="T108" s="1099" t="s">
        <v>886</v>
      </c>
      <c r="U108" s="1100">
        <v>1820190400</v>
      </c>
      <c r="V108" s="1099">
        <v>414</v>
      </c>
      <c r="W108" s="1099">
        <v>14065</v>
      </c>
      <c r="Z108" s="1311">
        <f t="shared" si="17"/>
        <v>0</v>
      </c>
      <c r="AA108" s="1374">
        <f t="shared" si="14"/>
        <v>0</v>
      </c>
      <c r="AB108" s="1459">
        <f t="shared" si="14"/>
        <v>0</v>
      </c>
      <c r="AC108" s="1459">
        <f t="shared" si="14"/>
        <v>0</v>
      </c>
    </row>
    <row r="109" spans="1:29" s="1216" customFormat="1" ht="111" customHeight="1">
      <c r="A109" s="1522" t="s">
        <v>634</v>
      </c>
      <c r="B109" s="1125" t="s">
        <v>808</v>
      </c>
      <c r="C109" s="871">
        <f t="shared" si="11"/>
        <v>2000</v>
      </c>
      <c r="D109" s="1249">
        <v>0</v>
      </c>
      <c r="E109" s="1249">
        <v>2000</v>
      </c>
      <c r="F109" s="1531">
        <f t="shared" si="12"/>
        <v>2000</v>
      </c>
      <c r="G109" s="1533">
        <v>0</v>
      </c>
      <c r="H109" s="1533">
        <v>2000</v>
      </c>
      <c r="I109" s="1531">
        <f t="shared" si="13"/>
        <v>0</v>
      </c>
      <c r="J109" s="1533">
        <v>0</v>
      </c>
      <c r="K109" s="1533">
        <v>0</v>
      </c>
      <c r="L109" s="876">
        <f t="shared" ref="L109:N142" si="21">IF(I109=0,0,I109/F109*100)</f>
        <v>0</v>
      </c>
      <c r="M109" s="877">
        <f t="shared" si="21"/>
        <v>0</v>
      </c>
      <c r="N109" s="877">
        <f t="shared" si="21"/>
        <v>0</v>
      </c>
      <c r="O109" s="1214" t="s">
        <v>1192</v>
      </c>
      <c r="P109" s="1214" t="s">
        <v>1202</v>
      </c>
      <c r="Q109" s="1065">
        <f t="shared" si="20"/>
        <v>0</v>
      </c>
      <c r="R109" s="1065">
        <f t="shared" si="20"/>
        <v>0</v>
      </c>
      <c r="S109" s="1065">
        <f t="shared" si="20"/>
        <v>0</v>
      </c>
      <c r="T109" s="1099" t="s">
        <v>886</v>
      </c>
      <c r="U109" s="1100">
        <v>1820190400</v>
      </c>
      <c r="V109" s="1099">
        <v>414</v>
      </c>
      <c r="W109" s="1099">
        <v>14066</v>
      </c>
      <c r="Z109" s="1311">
        <f t="shared" si="17"/>
        <v>0</v>
      </c>
      <c r="AA109" s="1374">
        <f t="shared" si="14"/>
        <v>0</v>
      </c>
      <c r="AB109" s="1459">
        <f t="shared" si="14"/>
        <v>0</v>
      </c>
      <c r="AC109" s="1459">
        <f t="shared" si="14"/>
        <v>0</v>
      </c>
    </row>
    <row r="110" spans="1:29" s="1216" customFormat="1" ht="117" customHeight="1">
      <c r="A110" s="1522" t="s">
        <v>635</v>
      </c>
      <c r="B110" s="900" t="s">
        <v>809</v>
      </c>
      <c r="C110" s="871">
        <f>SUM(D110:E110)</f>
        <v>6000</v>
      </c>
      <c r="D110" s="1249">
        <v>0</v>
      </c>
      <c r="E110" s="1249">
        <v>6000</v>
      </c>
      <c r="F110" s="1531">
        <f>SUM(G110:H110)</f>
        <v>6000</v>
      </c>
      <c r="G110" s="1533">
        <v>0</v>
      </c>
      <c r="H110" s="1533">
        <v>6000</v>
      </c>
      <c r="I110" s="1531">
        <f>SUM(J110:K110)</f>
        <v>5100</v>
      </c>
      <c r="J110" s="1533">
        <v>0</v>
      </c>
      <c r="K110" s="1533">
        <v>5100</v>
      </c>
      <c r="L110" s="876">
        <f t="shared" si="21"/>
        <v>85</v>
      </c>
      <c r="M110" s="877">
        <f t="shared" si="21"/>
        <v>0</v>
      </c>
      <c r="N110" s="877">
        <f t="shared" si="21"/>
        <v>85</v>
      </c>
      <c r="O110" s="1214" t="s">
        <v>1192</v>
      </c>
      <c r="P110" s="1214" t="s">
        <v>1203</v>
      </c>
      <c r="Q110" s="1065">
        <f t="shared" si="20"/>
        <v>0</v>
      </c>
      <c r="R110" s="1065">
        <f t="shared" si="20"/>
        <v>0</v>
      </c>
      <c r="S110" s="1065">
        <f t="shared" si="20"/>
        <v>0</v>
      </c>
      <c r="T110" s="1099" t="s">
        <v>928</v>
      </c>
      <c r="U110" s="1100" t="s">
        <v>929</v>
      </c>
      <c r="V110" s="1099">
        <v>414</v>
      </c>
      <c r="W110" s="1099">
        <v>14072</v>
      </c>
      <c r="Z110" s="1311">
        <f t="shared" si="17"/>
        <v>0</v>
      </c>
      <c r="AA110" s="1374">
        <f t="shared" si="14"/>
        <v>0</v>
      </c>
      <c r="AB110" s="1459">
        <f t="shared" si="14"/>
        <v>0</v>
      </c>
      <c r="AC110" s="1459">
        <f t="shared" si="14"/>
        <v>0</v>
      </c>
    </row>
    <row r="111" spans="1:29" s="1216" customFormat="1" ht="105" customHeight="1">
      <c r="A111" s="1522" t="s">
        <v>734</v>
      </c>
      <c r="B111" s="900" t="s">
        <v>810</v>
      </c>
      <c r="C111" s="871">
        <f>SUM(D111:E111)</f>
        <v>6000</v>
      </c>
      <c r="D111" s="1249">
        <v>0</v>
      </c>
      <c r="E111" s="1249">
        <v>6000</v>
      </c>
      <c r="F111" s="1531">
        <f>SUM(G111:H111)</f>
        <v>6000</v>
      </c>
      <c r="G111" s="1533">
        <v>0</v>
      </c>
      <c r="H111" s="1533">
        <v>6000</v>
      </c>
      <c r="I111" s="1531">
        <f>SUM(J111:K111)</f>
        <v>0</v>
      </c>
      <c r="J111" s="1533">
        <v>0</v>
      </c>
      <c r="K111" s="1533">
        <v>0</v>
      </c>
      <c r="L111" s="876">
        <f t="shared" si="21"/>
        <v>0</v>
      </c>
      <c r="M111" s="877">
        <f t="shared" si="21"/>
        <v>0</v>
      </c>
      <c r="N111" s="877">
        <f t="shared" si="21"/>
        <v>0</v>
      </c>
      <c r="O111" s="1214" t="s">
        <v>1192</v>
      </c>
      <c r="P111" s="1214" t="s">
        <v>1203</v>
      </c>
      <c r="Q111" s="1065">
        <f t="shared" si="20"/>
        <v>0</v>
      </c>
      <c r="R111" s="1065">
        <f t="shared" si="20"/>
        <v>0</v>
      </c>
      <c r="S111" s="1065">
        <f t="shared" si="20"/>
        <v>0</v>
      </c>
      <c r="T111" s="1099" t="s">
        <v>936</v>
      </c>
      <c r="U111" s="1100" t="s">
        <v>937</v>
      </c>
      <c r="V111" s="1099">
        <v>414</v>
      </c>
      <c r="W111" s="1099">
        <v>14058</v>
      </c>
      <c r="Z111" s="1311">
        <f t="shared" si="17"/>
        <v>0</v>
      </c>
      <c r="AA111" s="1374">
        <f t="shared" si="14"/>
        <v>0</v>
      </c>
      <c r="AB111" s="1459">
        <f t="shared" si="14"/>
        <v>0</v>
      </c>
      <c r="AC111" s="1459">
        <f t="shared" si="14"/>
        <v>0</v>
      </c>
    </row>
    <row r="112" spans="1:29" s="1216" customFormat="1" ht="139.5">
      <c r="A112" s="1522" t="s">
        <v>735</v>
      </c>
      <c r="B112" s="990" t="s">
        <v>811</v>
      </c>
      <c r="C112" s="871">
        <f>SUM(D112:E112)</f>
        <v>16500</v>
      </c>
      <c r="D112" s="1249">
        <v>0</v>
      </c>
      <c r="E112" s="1249">
        <v>16500</v>
      </c>
      <c r="F112" s="1531">
        <f>SUM(G112:H112)</f>
        <v>16500</v>
      </c>
      <c r="G112" s="1533">
        <v>0</v>
      </c>
      <c r="H112" s="1533">
        <v>16500</v>
      </c>
      <c r="I112" s="1531">
        <f>SUM(J112:K112)</f>
        <v>0</v>
      </c>
      <c r="J112" s="1533">
        <v>0</v>
      </c>
      <c r="K112" s="1533">
        <v>0</v>
      </c>
      <c r="L112" s="876">
        <f t="shared" si="21"/>
        <v>0</v>
      </c>
      <c r="M112" s="877">
        <f t="shared" si="21"/>
        <v>0</v>
      </c>
      <c r="N112" s="877">
        <f t="shared" si="21"/>
        <v>0</v>
      </c>
      <c r="O112" s="1214" t="s">
        <v>1192</v>
      </c>
      <c r="P112" s="1214" t="s">
        <v>1204</v>
      </c>
      <c r="Q112" s="1065">
        <f t="shared" si="20"/>
        <v>0</v>
      </c>
      <c r="R112" s="1065">
        <f t="shared" si="20"/>
        <v>0</v>
      </c>
      <c r="S112" s="1065">
        <f t="shared" si="20"/>
        <v>0</v>
      </c>
      <c r="T112" s="1099" t="s">
        <v>936</v>
      </c>
      <c r="U112" s="1100" t="s">
        <v>937</v>
      </c>
      <c r="V112" s="1099">
        <v>414</v>
      </c>
      <c r="W112" s="1099">
        <v>14059</v>
      </c>
      <c r="Z112" s="1311">
        <f t="shared" si="17"/>
        <v>0</v>
      </c>
      <c r="AA112" s="1374">
        <f t="shared" si="14"/>
        <v>0</v>
      </c>
      <c r="AB112" s="1459">
        <f t="shared" si="14"/>
        <v>0</v>
      </c>
      <c r="AC112" s="1459">
        <f t="shared" si="14"/>
        <v>0</v>
      </c>
    </row>
    <row r="113" spans="1:29" s="1216" customFormat="1" ht="108" customHeight="1">
      <c r="A113" s="1522" t="s">
        <v>636</v>
      </c>
      <c r="B113" s="900" t="s">
        <v>640</v>
      </c>
      <c r="C113" s="1531">
        <f>SUM(D113:E113)</f>
        <v>1400</v>
      </c>
      <c r="D113" s="879">
        <v>0</v>
      </c>
      <c r="E113" s="879">
        <v>1400</v>
      </c>
      <c r="F113" s="1531">
        <f>SUM(G113:H113)</f>
        <v>1400</v>
      </c>
      <c r="G113" s="879">
        <v>0</v>
      </c>
      <c r="H113" s="879">
        <v>1400</v>
      </c>
      <c r="I113" s="1531">
        <f>SUM(J113:K113)</f>
        <v>0</v>
      </c>
      <c r="J113" s="1532">
        <v>0</v>
      </c>
      <c r="K113" s="1532">
        <v>0</v>
      </c>
      <c r="L113" s="876">
        <f t="shared" si="21"/>
        <v>0</v>
      </c>
      <c r="M113" s="877">
        <f t="shared" si="21"/>
        <v>0</v>
      </c>
      <c r="N113" s="877">
        <f t="shared" si="21"/>
        <v>0</v>
      </c>
      <c r="O113" s="1214" t="s">
        <v>1237</v>
      </c>
      <c r="P113" s="1214" t="s">
        <v>1205</v>
      </c>
      <c r="Q113" s="1065">
        <f t="shared" si="20"/>
        <v>0</v>
      </c>
      <c r="R113" s="1065">
        <f t="shared" si="20"/>
        <v>0</v>
      </c>
      <c r="S113" s="1065">
        <f t="shared" si="20"/>
        <v>0</v>
      </c>
      <c r="T113" s="1099" t="s">
        <v>869</v>
      </c>
      <c r="U113" s="1100">
        <v>1410190420</v>
      </c>
      <c r="V113" s="1099">
        <v>414</v>
      </c>
      <c r="W113" s="1099">
        <v>14022</v>
      </c>
      <c r="Z113" s="1311">
        <f t="shared" si="17"/>
        <v>0</v>
      </c>
      <c r="AA113" s="1374">
        <f t="shared" si="14"/>
        <v>0</v>
      </c>
      <c r="AB113" s="1459">
        <f t="shared" si="14"/>
        <v>0</v>
      </c>
      <c r="AC113" s="1459">
        <f t="shared" si="14"/>
        <v>0</v>
      </c>
    </row>
    <row r="114" spans="1:29" s="1216" customFormat="1" ht="93.75" customHeight="1">
      <c r="A114" s="1522" t="s">
        <v>736</v>
      </c>
      <c r="B114" s="1106" t="s">
        <v>863</v>
      </c>
      <c r="C114" s="871">
        <f>SUM(D114:E114)</f>
        <v>21276.6</v>
      </c>
      <c r="D114" s="972">
        <v>20000</v>
      </c>
      <c r="E114" s="972">
        <v>1276.5999999999999</v>
      </c>
      <c r="F114" s="1531">
        <f>SUM(G114:H114)</f>
        <v>21276.6</v>
      </c>
      <c r="G114" s="879">
        <v>20000</v>
      </c>
      <c r="H114" s="879">
        <v>1276.5999999999999</v>
      </c>
      <c r="I114" s="1531">
        <f>SUM(J114:K114)</f>
        <v>20059.5</v>
      </c>
      <c r="J114" s="1532">
        <v>18855.900000000001</v>
      </c>
      <c r="K114" s="1532">
        <v>1203.5999999999999</v>
      </c>
      <c r="L114" s="876">
        <f t="shared" si="21"/>
        <v>94.3</v>
      </c>
      <c r="M114" s="877">
        <f t="shared" si="21"/>
        <v>94.3</v>
      </c>
      <c r="N114" s="877">
        <f t="shared" si="21"/>
        <v>94.3</v>
      </c>
      <c r="O114" s="1214" t="s">
        <v>1192</v>
      </c>
      <c r="P114" s="1214" t="s">
        <v>1206</v>
      </c>
      <c r="Q114" s="1065"/>
      <c r="R114" s="1065"/>
      <c r="S114" s="1065"/>
      <c r="T114" s="1099" t="s">
        <v>928</v>
      </c>
      <c r="U114" s="1100" t="s">
        <v>932</v>
      </c>
      <c r="V114" s="1099">
        <v>414</v>
      </c>
      <c r="W114" s="1099" t="s">
        <v>933</v>
      </c>
      <c r="Z114" s="1311">
        <f t="shared" si="17"/>
        <v>0</v>
      </c>
      <c r="AA114" s="1374">
        <f t="shared" si="14"/>
        <v>0</v>
      </c>
      <c r="AB114" s="1459">
        <f t="shared" si="14"/>
        <v>0</v>
      </c>
      <c r="AC114" s="1459">
        <f t="shared" si="14"/>
        <v>0</v>
      </c>
    </row>
    <row r="115" spans="1:29" s="1216" customFormat="1" ht="57.75" customHeight="1">
      <c r="A115" s="1522" t="s">
        <v>737</v>
      </c>
      <c r="B115" s="1127" t="s">
        <v>841</v>
      </c>
      <c r="C115" s="871">
        <f t="shared" ref="C115:C187" si="22">SUM(D115:E115)</f>
        <v>1026</v>
      </c>
      <c r="D115" s="972">
        <v>0</v>
      </c>
      <c r="E115" s="1255">
        <v>1026</v>
      </c>
      <c r="F115" s="1531">
        <f t="shared" ref="F115:F187" si="23">SUM(G115:H115)</f>
        <v>1026</v>
      </c>
      <c r="G115" s="1533">
        <v>0</v>
      </c>
      <c r="H115" s="970">
        <f>E115</f>
        <v>1026</v>
      </c>
      <c r="I115" s="1531">
        <f t="shared" ref="I115:I175" si="24">SUM(J115:K115)</f>
        <v>0</v>
      </c>
      <c r="J115" s="1532">
        <v>0</v>
      </c>
      <c r="K115" s="1532">
        <v>0</v>
      </c>
      <c r="L115" s="876">
        <f t="shared" si="21"/>
        <v>0</v>
      </c>
      <c r="M115" s="877">
        <f t="shared" si="21"/>
        <v>0</v>
      </c>
      <c r="N115" s="877">
        <f t="shared" si="21"/>
        <v>0</v>
      </c>
      <c r="O115" s="1214" t="s">
        <v>1192</v>
      </c>
      <c r="P115" s="1214" t="s">
        <v>1207</v>
      </c>
      <c r="Q115" s="1065">
        <f t="shared" ref="Q115:S154" si="25">C115-F115</f>
        <v>0</v>
      </c>
      <c r="R115" s="1065">
        <f t="shared" si="25"/>
        <v>0</v>
      </c>
      <c r="S115" s="1065">
        <f t="shared" si="25"/>
        <v>0</v>
      </c>
      <c r="T115" s="1099" t="s">
        <v>886</v>
      </c>
      <c r="U115" s="1100" t="s">
        <v>892</v>
      </c>
      <c r="V115" s="1099">
        <v>414</v>
      </c>
      <c r="W115" s="1099">
        <v>14076</v>
      </c>
      <c r="Z115" s="1311">
        <f t="shared" si="17"/>
        <v>0</v>
      </c>
      <c r="AA115" s="1374">
        <f t="shared" si="14"/>
        <v>0</v>
      </c>
      <c r="AB115" s="1459">
        <f t="shared" si="14"/>
        <v>0</v>
      </c>
      <c r="AC115" s="1459">
        <f t="shared" si="14"/>
        <v>0</v>
      </c>
    </row>
    <row r="116" spans="1:29" s="1216" customFormat="1" ht="67.5" customHeight="1">
      <c r="A116" s="1522" t="s">
        <v>738</v>
      </c>
      <c r="B116" s="1127" t="s">
        <v>842</v>
      </c>
      <c r="C116" s="871">
        <f t="shared" si="22"/>
        <v>813</v>
      </c>
      <c r="D116" s="972">
        <v>0</v>
      </c>
      <c r="E116" s="1255">
        <v>813</v>
      </c>
      <c r="F116" s="1531">
        <f t="shared" si="23"/>
        <v>813</v>
      </c>
      <c r="G116" s="1533">
        <v>0</v>
      </c>
      <c r="H116" s="970">
        <f t="shared" ref="H116:H129" si="26">E116</f>
        <v>813</v>
      </c>
      <c r="I116" s="1531">
        <f t="shared" si="24"/>
        <v>0</v>
      </c>
      <c r="J116" s="1532">
        <v>0</v>
      </c>
      <c r="K116" s="1532">
        <v>0</v>
      </c>
      <c r="L116" s="876">
        <f t="shared" si="21"/>
        <v>0</v>
      </c>
      <c r="M116" s="877">
        <f t="shared" si="21"/>
        <v>0</v>
      </c>
      <c r="N116" s="877">
        <f t="shared" si="21"/>
        <v>0</v>
      </c>
      <c r="O116" s="1214" t="s">
        <v>1192</v>
      </c>
      <c r="P116" s="1214" t="s">
        <v>1208</v>
      </c>
      <c r="Q116" s="1065">
        <f t="shared" si="25"/>
        <v>0</v>
      </c>
      <c r="R116" s="1065">
        <f t="shared" si="25"/>
        <v>0</v>
      </c>
      <c r="S116" s="1065">
        <f t="shared" si="25"/>
        <v>0</v>
      </c>
      <c r="T116" s="1099" t="s">
        <v>886</v>
      </c>
      <c r="U116" s="1100" t="s">
        <v>892</v>
      </c>
      <c r="V116" s="1099">
        <v>414</v>
      </c>
      <c r="W116" s="1099">
        <v>14077</v>
      </c>
      <c r="Z116" s="1311">
        <f t="shared" si="17"/>
        <v>0</v>
      </c>
      <c r="AA116" s="1374">
        <f t="shared" si="14"/>
        <v>0</v>
      </c>
      <c r="AB116" s="1459">
        <f t="shared" si="14"/>
        <v>0</v>
      </c>
      <c r="AC116" s="1459">
        <f t="shared" si="14"/>
        <v>0</v>
      </c>
    </row>
    <row r="117" spans="1:29" ht="90.75" customHeight="1">
      <c r="A117" s="1522" t="s">
        <v>739</v>
      </c>
      <c r="B117" s="1127" t="s">
        <v>843</v>
      </c>
      <c r="C117" s="871">
        <f t="shared" si="22"/>
        <v>792</v>
      </c>
      <c r="D117" s="972">
        <v>0</v>
      </c>
      <c r="E117" s="1255">
        <v>792</v>
      </c>
      <c r="F117" s="1531">
        <f t="shared" si="23"/>
        <v>792</v>
      </c>
      <c r="G117" s="1533">
        <v>0</v>
      </c>
      <c r="H117" s="970">
        <f t="shared" si="26"/>
        <v>792</v>
      </c>
      <c r="I117" s="1531">
        <f t="shared" si="24"/>
        <v>0</v>
      </c>
      <c r="J117" s="1532">
        <v>0</v>
      </c>
      <c r="K117" s="1532">
        <v>0</v>
      </c>
      <c r="L117" s="876">
        <f t="shared" si="21"/>
        <v>0</v>
      </c>
      <c r="M117" s="877">
        <f t="shared" si="21"/>
        <v>0</v>
      </c>
      <c r="N117" s="877">
        <f t="shared" si="21"/>
        <v>0</v>
      </c>
      <c r="O117" s="1214" t="s">
        <v>1192</v>
      </c>
      <c r="P117" s="1214" t="s">
        <v>1209</v>
      </c>
      <c r="Q117" s="1065">
        <f t="shared" si="25"/>
        <v>0</v>
      </c>
      <c r="R117" s="1065">
        <f t="shared" si="25"/>
        <v>0</v>
      </c>
      <c r="S117" s="1065">
        <f t="shared" si="25"/>
        <v>0</v>
      </c>
      <c r="T117" s="1099" t="s">
        <v>886</v>
      </c>
      <c r="U117" s="1100" t="s">
        <v>892</v>
      </c>
      <c r="V117" s="1099">
        <v>414</v>
      </c>
      <c r="W117" s="1099">
        <v>14078</v>
      </c>
      <c r="Z117" s="1311">
        <f t="shared" si="17"/>
        <v>0</v>
      </c>
      <c r="AA117" s="1374">
        <f t="shared" si="14"/>
        <v>0</v>
      </c>
      <c r="AB117" s="1459">
        <f t="shared" si="14"/>
        <v>0</v>
      </c>
      <c r="AC117" s="1459">
        <f t="shared" si="14"/>
        <v>0</v>
      </c>
    </row>
    <row r="118" spans="1:29" ht="93">
      <c r="A118" s="1522" t="s">
        <v>740</v>
      </c>
      <c r="B118" s="1127" t="s">
        <v>844</v>
      </c>
      <c r="C118" s="871">
        <f t="shared" si="22"/>
        <v>879</v>
      </c>
      <c r="D118" s="972">
        <v>0</v>
      </c>
      <c r="E118" s="1255">
        <v>879</v>
      </c>
      <c r="F118" s="1531">
        <f t="shared" si="23"/>
        <v>879</v>
      </c>
      <c r="G118" s="1533">
        <v>0</v>
      </c>
      <c r="H118" s="970">
        <f t="shared" si="26"/>
        <v>879</v>
      </c>
      <c r="I118" s="1531">
        <f t="shared" si="24"/>
        <v>0</v>
      </c>
      <c r="J118" s="1532">
        <v>0</v>
      </c>
      <c r="K118" s="1532">
        <v>0</v>
      </c>
      <c r="L118" s="876">
        <f t="shared" si="21"/>
        <v>0</v>
      </c>
      <c r="M118" s="877">
        <f t="shared" si="21"/>
        <v>0</v>
      </c>
      <c r="N118" s="877">
        <f t="shared" si="21"/>
        <v>0</v>
      </c>
      <c r="O118" s="1214" t="s">
        <v>1192</v>
      </c>
      <c r="P118" s="1214" t="s">
        <v>1210</v>
      </c>
      <c r="Q118" s="1065">
        <f t="shared" si="25"/>
        <v>0</v>
      </c>
      <c r="R118" s="1065">
        <f t="shared" si="25"/>
        <v>0</v>
      </c>
      <c r="S118" s="1065">
        <f t="shared" si="25"/>
        <v>0</v>
      </c>
      <c r="T118" s="1099" t="s">
        <v>886</v>
      </c>
      <c r="U118" s="1100" t="s">
        <v>892</v>
      </c>
      <c r="V118" s="1099">
        <v>414</v>
      </c>
      <c r="W118" s="1099">
        <v>14079</v>
      </c>
      <c r="Z118" s="1311">
        <f t="shared" si="17"/>
        <v>0</v>
      </c>
      <c r="AA118" s="1374">
        <f t="shared" si="14"/>
        <v>0</v>
      </c>
      <c r="AB118" s="1459">
        <f t="shared" si="14"/>
        <v>0</v>
      </c>
      <c r="AC118" s="1459">
        <f t="shared" si="14"/>
        <v>0</v>
      </c>
    </row>
    <row r="119" spans="1:29" ht="84.75" customHeight="1">
      <c r="A119" s="1522" t="s">
        <v>741</v>
      </c>
      <c r="B119" s="1127" t="s">
        <v>845</v>
      </c>
      <c r="C119" s="871">
        <f t="shared" si="22"/>
        <v>1554</v>
      </c>
      <c r="D119" s="1249">
        <v>0</v>
      </c>
      <c r="E119" s="1255">
        <v>1554</v>
      </c>
      <c r="F119" s="1531">
        <f t="shared" si="23"/>
        <v>1554</v>
      </c>
      <c r="G119" s="1533">
        <v>0</v>
      </c>
      <c r="H119" s="970">
        <f t="shared" si="26"/>
        <v>1554</v>
      </c>
      <c r="I119" s="1531">
        <f t="shared" si="24"/>
        <v>0</v>
      </c>
      <c r="J119" s="1532">
        <v>0</v>
      </c>
      <c r="K119" s="1532">
        <v>0</v>
      </c>
      <c r="L119" s="876">
        <f t="shared" si="21"/>
        <v>0</v>
      </c>
      <c r="M119" s="877">
        <f t="shared" si="21"/>
        <v>0</v>
      </c>
      <c r="N119" s="877">
        <f t="shared" si="21"/>
        <v>0</v>
      </c>
      <c r="O119" s="1214" t="s">
        <v>1192</v>
      </c>
      <c r="P119" s="1214" t="s">
        <v>1211</v>
      </c>
      <c r="Q119" s="1065">
        <f t="shared" si="25"/>
        <v>0</v>
      </c>
      <c r="R119" s="1065">
        <f t="shared" si="25"/>
        <v>0</v>
      </c>
      <c r="S119" s="1065">
        <f t="shared" si="25"/>
        <v>0</v>
      </c>
      <c r="T119" s="1099" t="s">
        <v>886</v>
      </c>
      <c r="U119" s="1100" t="s">
        <v>892</v>
      </c>
      <c r="V119" s="1099">
        <v>414</v>
      </c>
      <c r="W119" s="1099">
        <v>14080</v>
      </c>
      <c r="Z119" s="1311">
        <f t="shared" si="17"/>
        <v>0</v>
      </c>
      <c r="AA119" s="1374">
        <f t="shared" si="14"/>
        <v>0</v>
      </c>
      <c r="AB119" s="1459">
        <f t="shared" si="14"/>
        <v>0</v>
      </c>
      <c r="AC119" s="1459">
        <f t="shared" si="14"/>
        <v>0</v>
      </c>
    </row>
    <row r="120" spans="1:29" ht="57.75" customHeight="1">
      <c r="A120" s="1522" t="s">
        <v>742</v>
      </c>
      <c r="B120" s="1127" t="s">
        <v>846</v>
      </c>
      <c r="C120" s="871">
        <f t="shared" si="22"/>
        <v>879</v>
      </c>
      <c r="D120" s="1249">
        <v>0</v>
      </c>
      <c r="E120" s="1255">
        <v>879</v>
      </c>
      <c r="F120" s="1531">
        <f t="shared" si="23"/>
        <v>879</v>
      </c>
      <c r="G120" s="1533">
        <v>0</v>
      </c>
      <c r="H120" s="970">
        <f t="shared" si="26"/>
        <v>879</v>
      </c>
      <c r="I120" s="1531">
        <f t="shared" si="24"/>
        <v>0</v>
      </c>
      <c r="J120" s="1532">
        <v>0</v>
      </c>
      <c r="K120" s="1532">
        <v>0</v>
      </c>
      <c r="L120" s="876">
        <f t="shared" si="21"/>
        <v>0</v>
      </c>
      <c r="M120" s="877">
        <f t="shared" si="21"/>
        <v>0</v>
      </c>
      <c r="N120" s="877">
        <f t="shared" si="21"/>
        <v>0</v>
      </c>
      <c r="O120" s="1214" t="s">
        <v>1192</v>
      </c>
      <c r="P120" s="1214" t="s">
        <v>1212</v>
      </c>
      <c r="Q120" s="1065">
        <f t="shared" si="25"/>
        <v>0</v>
      </c>
      <c r="R120" s="1065">
        <f t="shared" si="25"/>
        <v>0</v>
      </c>
      <c r="S120" s="1065">
        <f t="shared" si="25"/>
        <v>0</v>
      </c>
      <c r="T120" s="1099" t="s">
        <v>886</v>
      </c>
      <c r="U120" s="1100" t="s">
        <v>892</v>
      </c>
      <c r="V120" s="1099">
        <v>414</v>
      </c>
      <c r="W120" s="1099">
        <v>14081</v>
      </c>
      <c r="Z120" s="1311">
        <f t="shared" si="17"/>
        <v>0</v>
      </c>
      <c r="AA120" s="1374">
        <f t="shared" si="14"/>
        <v>0</v>
      </c>
      <c r="AB120" s="1459">
        <f t="shared" si="14"/>
        <v>0</v>
      </c>
      <c r="AC120" s="1459">
        <f t="shared" si="14"/>
        <v>0</v>
      </c>
    </row>
    <row r="121" spans="1:29" ht="86.25" customHeight="1">
      <c r="A121" s="1522" t="s">
        <v>782</v>
      </c>
      <c r="B121" s="1127" t="s">
        <v>847</v>
      </c>
      <c r="C121" s="871">
        <f t="shared" si="22"/>
        <v>627</v>
      </c>
      <c r="D121" s="1249">
        <v>0</v>
      </c>
      <c r="E121" s="1255">
        <v>627</v>
      </c>
      <c r="F121" s="1531">
        <f t="shared" si="23"/>
        <v>627</v>
      </c>
      <c r="G121" s="1533">
        <v>0</v>
      </c>
      <c r="H121" s="970">
        <f t="shared" si="26"/>
        <v>627</v>
      </c>
      <c r="I121" s="1531">
        <f t="shared" si="24"/>
        <v>0</v>
      </c>
      <c r="J121" s="1532">
        <v>0</v>
      </c>
      <c r="K121" s="1532">
        <v>0</v>
      </c>
      <c r="L121" s="876">
        <f t="shared" si="21"/>
        <v>0</v>
      </c>
      <c r="M121" s="877">
        <f t="shared" si="21"/>
        <v>0</v>
      </c>
      <c r="N121" s="877">
        <f t="shared" si="21"/>
        <v>0</v>
      </c>
      <c r="O121" s="1214" t="s">
        <v>1192</v>
      </c>
      <c r="P121" s="1214" t="s">
        <v>1213</v>
      </c>
      <c r="Q121" s="1065">
        <f t="shared" si="25"/>
        <v>0</v>
      </c>
      <c r="R121" s="1065">
        <f t="shared" si="25"/>
        <v>0</v>
      </c>
      <c r="S121" s="1065">
        <f t="shared" si="25"/>
        <v>0</v>
      </c>
      <c r="T121" s="1099" t="s">
        <v>886</v>
      </c>
      <c r="U121" s="1100" t="s">
        <v>892</v>
      </c>
      <c r="V121" s="1099">
        <v>414</v>
      </c>
      <c r="W121" s="1099">
        <v>14082</v>
      </c>
      <c r="Z121" s="1311">
        <f t="shared" si="17"/>
        <v>0</v>
      </c>
      <c r="AA121" s="1374">
        <f t="shared" si="14"/>
        <v>0</v>
      </c>
      <c r="AB121" s="1459">
        <f t="shared" si="14"/>
        <v>0</v>
      </c>
      <c r="AC121" s="1459">
        <f t="shared" si="14"/>
        <v>0</v>
      </c>
    </row>
    <row r="122" spans="1:29" ht="89.25" customHeight="1">
      <c r="A122" s="1522" t="s">
        <v>817</v>
      </c>
      <c r="B122" s="1127" t="s">
        <v>848</v>
      </c>
      <c r="C122" s="871">
        <f t="shared" si="22"/>
        <v>669</v>
      </c>
      <c r="D122" s="1249">
        <v>0</v>
      </c>
      <c r="E122" s="1255">
        <v>669</v>
      </c>
      <c r="F122" s="1531">
        <f t="shared" si="23"/>
        <v>669</v>
      </c>
      <c r="G122" s="1533">
        <v>0</v>
      </c>
      <c r="H122" s="970">
        <f t="shared" si="26"/>
        <v>669</v>
      </c>
      <c r="I122" s="1531">
        <f t="shared" si="24"/>
        <v>0</v>
      </c>
      <c r="J122" s="1532">
        <v>0</v>
      </c>
      <c r="K122" s="1532">
        <v>0</v>
      </c>
      <c r="L122" s="876">
        <f t="shared" si="21"/>
        <v>0</v>
      </c>
      <c r="M122" s="877">
        <f t="shared" si="21"/>
        <v>0</v>
      </c>
      <c r="N122" s="877">
        <f t="shared" si="21"/>
        <v>0</v>
      </c>
      <c r="O122" s="1214" t="s">
        <v>1192</v>
      </c>
      <c r="P122" s="1214" t="s">
        <v>1214</v>
      </c>
      <c r="Q122" s="1065">
        <f t="shared" si="25"/>
        <v>0</v>
      </c>
      <c r="R122" s="1065">
        <f t="shared" si="25"/>
        <v>0</v>
      </c>
      <c r="S122" s="1065">
        <f t="shared" si="25"/>
        <v>0</v>
      </c>
      <c r="T122" s="1099" t="s">
        <v>886</v>
      </c>
      <c r="U122" s="1100" t="s">
        <v>892</v>
      </c>
      <c r="V122" s="1099">
        <v>414</v>
      </c>
      <c r="W122" s="1099">
        <v>14083</v>
      </c>
      <c r="Z122" s="1311">
        <f t="shared" si="17"/>
        <v>0</v>
      </c>
      <c r="AA122" s="1374">
        <f t="shared" si="14"/>
        <v>0</v>
      </c>
      <c r="AB122" s="1459">
        <f t="shared" si="14"/>
        <v>0</v>
      </c>
      <c r="AC122" s="1459">
        <f t="shared" si="14"/>
        <v>0</v>
      </c>
    </row>
    <row r="123" spans="1:29" ht="54" customHeight="1">
      <c r="A123" s="1522" t="s">
        <v>818</v>
      </c>
      <c r="B123" s="1127" t="s">
        <v>849</v>
      </c>
      <c r="C123" s="871">
        <f t="shared" si="22"/>
        <v>495</v>
      </c>
      <c r="D123" s="1249">
        <v>0</v>
      </c>
      <c r="E123" s="1255">
        <v>495</v>
      </c>
      <c r="F123" s="1531">
        <f t="shared" si="23"/>
        <v>495</v>
      </c>
      <c r="G123" s="1533">
        <v>0</v>
      </c>
      <c r="H123" s="970">
        <f t="shared" si="26"/>
        <v>495</v>
      </c>
      <c r="I123" s="1531">
        <f t="shared" si="24"/>
        <v>0</v>
      </c>
      <c r="J123" s="1532">
        <v>0</v>
      </c>
      <c r="K123" s="1532">
        <v>0</v>
      </c>
      <c r="L123" s="876">
        <f t="shared" si="21"/>
        <v>0</v>
      </c>
      <c r="M123" s="877">
        <f t="shared" si="21"/>
        <v>0</v>
      </c>
      <c r="N123" s="877">
        <f t="shared" si="21"/>
        <v>0</v>
      </c>
      <c r="O123" s="1214" t="s">
        <v>1192</v>
      </c>
      <c r="P123" s="1214" t="s">
        <v>1215</v>
      </c>
      <c r="Q123" s="1065">
        <f t="shared" si="25"/>
        <v>0</v>
      </c>
      <c r="R123" s="1065">
        <f t="shared" si="25"/>
        <v>0</v>
      </c>
      <c r="S123" s="1065">
        <f t="shared" si="25"/>
        <v>0</v>
      </c>
      <c r="T123" s="1099" t="s">
        <v>886</v>
      </c>
      <c r="U123" s="1100" t="s">
        <v>892</v>
      </c>
      <c r="V123" s="1099">
        <v>414</v>
      </c>
      <c r="W123" s="1099">
        <v>14084</v>
      </c>
      <c r="Z123" s="1311">
        <f t="shared" si="17"/>
        <v>0</v>
      </c>
      <c r="AA123" s="1374">
        <f t="shared" si="14"/>
        <v>0</v>
      </c>
      <c r="AB123" s="1459">
        <f t="shared" si="14"/>
        <v>0</v>
      </c>
      <c r="AC123" s="1459">
        <f t="shared" si="14"/>
        <v>0</v>
      </c>
    </row>
    <row r="124" spans="1:29" ht="54" customHeight="1">
      <c r="A124" s="1522" t="s">
        <v>819</v>
      </c>
      <c r="B124" s="1127" t="s">
        <v>850</v>
      </c>
      <c r="C124" s="871">
        <f t="shared" si="22"/>
        <v>792</v>
      </c>
      <c r="D124" s="1249">
        <v>0</v>
      </c>
      <c r="E124" s="1255">
        <v>792</v>
      </c>
      <c r="F124" s="1531">
        <f t="shared" si="23"/>
        <v>792</v>
      </c>
      <c r="G124" s="1533">
        <v>0</v>
      </c>
      <c r="H124" s="970">
        <f t="shared" si="26"/>
        <v>792</v>
      </c>
      <c r="I124" s="1531">
        <f t="shared" si="24"/>
        <v>0</v>
      </c>
      <c r="J124" s="1532">
        <v>0</v>
      </c>
      <c r="K124" s="1532">
        <v>0</v>
      </c>
      <c r="L124" s="876">
        <f t="shared" si="21"/>
        <v>0</v>
      </c>
      <c r="M124" s="877">
        <f t="shared" si="21"/>
        <v>0</v>
      </c>
      <c r="N124" s="877">
        <f t="shared" si="21"/>
        <v>0</v>
      </c>
      <c r="O124" s="1214" t="s">
        <v>1192</v>
      </c>
      <c r="P124" s="1214" t="s">
        <v>1216</v>
      </c>
      <c r="Q124" s="1065">
        <f t="shared" si="25"/>
        <v>0</v>
      </c>
      <c r="R124" s="1065">
        <f t="shared" si="25"/>
        <v>0</v>
      </c>
      <c r="S124" s="1065">
        <f t="shared" si="25"/>
        <v>0</v>
      </c>
      <c r="T124" s="1099" t="s">
        <v>886</v>
      </c>
      <c r="U124" s="1100" t="s">
        <v>892</v>
      </c>
      <c r="V124" s="1099">
        <v>414</v>
      </c>
      <c r="W124" s="1099">
        <v>14085</v>
      </c>
      <c r="Z124" s="1311">
        <f t="shared" si="17"/>
        <v>0</v>
      </c>
      <c r="AA124" s="1374">
        <f t="shared" si="14"/>
        <v>0</v>
      </c>
      <c r="AB124" s="1459">
        <f t="shared" si="14"/>
        <v>0</v>
      </c>
      <c r="AC124" s="1459">
        <f t="shared" si="14"/>
        <v>0</v>
      </c>
    </row>
    <row r="125" spans="1:29" ht="54" customHeight="1">
      <c r="A125" s="1522" t="s">
        <v>762</v>
      </c>
      <c r="B125" s="1127" t="s">
        <v>851</v>
      </c>
      <c r="C125" s="871">
        <f t="shared" si="22"/>
        <v>1026</v>
      </c>
      <c r="D125" s="1249">
        <v>0</v>
      </c>
      <c r="E125" s="1255">
        <v>1026</v>
      </c>
      <c r="F125" s="1531">
        <f t="shared" si="23"/>
        <v>1026</v>
      </c>
      <c r="G125" s="1533">
        <v>0</v>
      </c>
      <c r="H125" s="970">
        <f t="shared" si="26"/>
        <v>1026</v>
      </c>
      <c r="I125" s="1531">
        <f t="shared" si="24"/>
        <v>0</v>
      </c>
      <c r="J125" s="1532">
        <v>0</v>
      </c>
      <c r="K125" s="1532">
        <v>0</v>
      </c>
      <c r="L125" s="876">
        <f t="shared" si="21"/>
        <v>0</v>
      </c>
      <c r="M125" s="877">
        <f t="shared" si="21"/>
        <v>0</v>
      </c>
      <c r="N125" s="877">
        <f t="shared" si="21"/>
        <v>0</v>
      </c>
      <c r="O125" s="1214" t="s">
        <v>1192</v>
      </c>
      <c r="P125" s="1214" t="s">
        <v>1217</v>
      </c>
      <c r="Q125" s="1065">
        <f t="shared" si="25"/>
        <v>0</v>
      </c>
      <c r="R125" s="1065">
        <f t="shared" si="25"/>
        <v>0</v>
      </c>
      <c r="S125" s="1065">
        <f t="shared" si="25"/>
        <v>0</v>
      </c>
      <c r="T125" s="1099" t="s">
        <v>886</v>
      </c>
      <c r="U125" s="1100" t="s">
        <v>892</v>
      </c>
      <c r="V125" s="1099">
        <v>414</v>
      </c>
      <c r="W125" s="1099">
        <v>14086</v>
      </c>
      <c r="Z125" s="1311">
        <f t="shared" si="17"/>
        <v>0</v>
      </c>
      <c r="AA125" s="1374">
        <f t="shared" si="14"/>
        <v>0</v>
      </c>
      <c r="AB125" s="1459">
        <f t="shared" si="14"/>
        <v>0</v>
      </c>
      <c r="AC125" s="1459">
        <f t="shared" si="14"/>
        <v>0</v>
      </c>
    </row>
    <row r="126" spans="1:29" ht="54" customHeight="1">
      <c r="A126" s="1522" t="s">
        <v>743</v>
      </c>
      <c r="B126" s="1127" t="s">
        <v>852</v>
      </c>
      <c r="C126" s="871">
        <f t="shared" si="22"/>
        <v>669</v>
      </c>
      <c r="D126" s="1249">
        <v>0</v>
      </c>
      <c r="E126" s="1255">
        <v>669</v>
      </c>
      <c r="F126" s="1531">
        <f t="shared" si="23"/>
        <v>669</v>
      </c>
      <c r="G126" s="1533">
        <v>0</v>
      </c>
      <c r="H126" s="970">
        <f t="shared" si="26"/>
        <v>669</v>
      </c>
      <c r="I126" s="1531">
        <f t="shared" si="24"/>
        <v>0</v>
      </c>
      <c r="J126" s="1532">
        <v>0</v>
      </c>
      <c r="K126" s="1532">
        <v>0</v>
      </c>
      <c r="L126" s="876">
        <f t="shared" si="21"/>
        <v>0</v>
      </c>
      <c r="M126" s="877">
        <f t="shared" si="21"/>
        <v>0</v>
      </c>
      <c r="N126" s="877">
        <f t="shared" si="21"/>
        <v>0</v>
      </c>
      <c r="O126" s="1214" t="s">
        <v>1192</v>
      </c>
      <c r="P126" s="1214" t="s">
        <v>1218</v>
      </c>
      <c r="Q126" s="1065">
        <f t="shared" si="25"/>
        <v>0</v>
      </c>
      <c r="R126" s="1065">
        <f t="shared" si="25"/>
        <v>0</v>
      </c>
      <c r="S126" s="1065">
        <f t="shared" si="25"/>
        <v>0</v>
      </c>
      <c r="T126" s="1099" t="s">
        <v>886</v>
      </c>
      <c r="U126" s="1100" t="s">
        <v>892</v>
      </c>
      <c r="V126" s="1099">
        <v>414</v>
      </c>
      <c r="W126" s="1099">
        <v>14087</v>
      </c>
      <c r="Z126" s="1311">
        <f t="shared" si="17"/>
        <v>0</v>
      </c>
      <c r="AA126" s="1374">
        <f t="shared" si="14"/>
        <v>0</v>
      </c>
      <c r="AB126" s="1459">
        <f t="shared" si="14"/>
        <v>0</v>
      </c>
      <c r="AC126" s="1459">
        <f t="shared" si="14"/>
        <v>0</v>
      </c>
    </row>
    <row r="127" spans="1:29" ht="54" customHeight="1">
      <c r="A127" s="1522" t="s">
        <v>744</v>
      </c>
      <c r="B127" s="1127" t="s">
        <v>853</v>
      </c>
      <c r="C127" s="871">
        <f t="shared" si="22"/>
        <v>879</v>
      </c>
      <c r="D127" s="972">
        <v>0</v>
      </c>
      <c r="E127" s="1255">
        <v>879</v>
      </c>
      <c r="F127" s="1531">
        <f t="shared" si="23"/>
        <v>879</v>
      </c>
      <c r="G127" s="1533">
        <v>0</v>
      </c>
      <c r="H127" s="970">
        <f t="shared" si="26"/>
        <v>879</v>
      </c>
      <c r="I127" s="1531">
        <f t="shared" si="24"/>
        <v>0</v>
      </c>
      <c r="J127" s="1532">
        <v>0</v>
      </c>
      <c r="K127" s="1532">
        <v>0</v>
      </c>
      <c r="L127" s="876">
        <f t="shared" si="21"/>
        <v>0</v>
      </c>
      <c r="M127" s="877">
        <f t="shared" si="21"/>
        <v>0</v>
      </c>
      <c r="N127" s="877">
        <f t="shared" si="21"/>
        <v>0</v>
      </c>
      <c r="O127" s="1214" t="s">
        <v>1192</v>
      </c>
      <c r="P127" s="1214" t="s">
        <v>1212</v>
      </c>
      <c r="Q127" s="1065">
        <f t="shared" si="25"/>
        <v>0</v>
      </c>
      <c r="R127" s="1065">
        <f t="shared" si="25"/>
        <v>0</v>
      </c>
      <c r="S127" s="1065">
        <f t="shared" si="25"/>
        <v>0</v>
      </c>
      <c r="T127" s="1099" t="s">
        <v>886</v>
      </c>
      <c r="U127" s="1100" t="s">
        <v>892</v>
      </c>
      <c r="V127" s="1099">
        <v>414</v>
      </c>
      <c r="W127" s="1099">
        <v>14088</v>
      </c>
      <c r="Z127" s="1311">
        <f t="shared" si="17"/>
        <v>0</v>
      </c>
      <c r="AA127" s="1374">
        <f t="shared" si="14"/>
        <v>0</v>
      </c>
      <c r="AB127" s="1459">
        <f t="shared" si="14"/>
        <v>0</v>
      </c>
      <c r="AC127" s="1459">
        <f t="shared" si="14"/>
        <v>0</v>
      </c>
    </row>
    <row r="128" spans="1:29" s="515" customFormat="1" ht="115.5" customHeight="1">
      <c r="A128" s="1519" t="s">
        <v>745</v>
      </c>
      <c r="B128" s="987" t="s">
        <v>864</v>
      </c>
      <c r="C128" s="871">
        <f t="shared" si="22"/>
        <v>13573.4</v>
      </c>
      <c r="D128" s="1249">
        <v>0</v>
      </c>
      <c r="E128" s="1249">
        <v>13573.4</v>
      </c>
      <c r="F128" s="1531">
        <f>SUM(G128:H128)</f>
        <v>13573.4</v>
      </c>
      <c r="G128" s="1533">
        <v>0</v>
      </c>
      <c r="H128" s="1532">
        <f t="shared" si="26"/>
        <v>13573.4</v>
      </c>
      <c r="I128" s="1531">
        <f t="shared" si="24"/>
        <v>0</v>
      </c>
      <c r="J128" s="1533">
        <v>0</v>
      </c>
      <c r="K128" s="1533">
        <v>0</v>
      </c>
      <c r="L128" s="876">
        <f t="shared" si="21"/>
        <v>0</v>
      </c>
      <c r="M128" s="877">
        <f t="shared" si="21"/>
        <v>0</v>
      </c>
      <c r="N128" s="877">
        <f t="shared" si="21"/>
        <v>0</v>
      </c>
      <c r="O128" s="1214" t="s">
        <v>1192</v>
      </c>
      <c r="P128" s="1214" t="s">
        <v>1219</v>
      </c>
      <c r="Q128" s="1065">
        <f t="shared" si="25"/>
        <v>0</v>
      </c>
      <c r="R128" s="1065">
        <f t="shared" si="25"/>
        <v>0</v>
      </c>
      <c r="S128" s="1065">
        <f t="shared" si="25"/>
        <v>0</v>
      </c>
      <c r="T128" s="1099" t="s">
        <v>872</v>
      </c>
      <c r="U128" s="1100">
        <v>1130390400</v>
      </c>
      <c r="V128" s="1099">
        <v>414</v>
      </c>
      <c r="W128" s="1099">
        <v>10122</v>
      </c>
      <c r="X128" s="1220"/>
      <c r="Z128" s="1311">
        <f t="shared" si="17"/>
        <v>0</v>
      </c>
      <c r="AA128" s="1374">
        <f t="shared" si="14"/>
        <v>0</v>
      </c>
      <c r="AB128" s="1459">
        <f t="shared" si="14"/>
        <v>0</v>
      </c>
      <c r="AC128" s="1459">
        <f t="shared" si="14"/>
        <v>0</v>
      </c>
    </row>
    <row r="129" spans="1:31" s="515" customFormat="1" ht="54" customHeight="1">
      <c r="A129" s="1519" t="s">
        <v>746</v>
      </c>
      <c r="B129" s="1278" t="s">
        <v>1317</v>
      </c>
      <c r="C129" s="871">
        <f>SUM(D129:E129)</f>
        <v>4800</v>
      </c>
      <c r="D129" s="1249">
        <v>0</v>
      </c>
      <c r="E129" s="1249">
        <v>4800</v>
      </c>
      <c r="F129" s="1531">
        <f>SUM(G129:H129)</f>
        <v>4800</v>
      </c>
      <c r="G129" s="1533">
        <v>0</v>
      </c>
      <c r="H129" s="970">
        <f t="shared" si="26"/>
        <v>4800</v>
      </c>
      <c r="I129" s="1531">
        <f>SUM(J129:K129)</f>
        <v>4800</v>
      </c>
      <c r="J129" s="1533">
        <v>0</v>
      </c>
      <c r="K129" s="1533">
        <v>4800</v>
      </c>
      <c r="L129" s="876">
        <f>IF(I129=0,0,I129/F129*100)</f>
        <v>100</v>
      </c>
      <c r="M129" s="877">
        <f>IF(J129=0,0,J129/G129*100)</f>
        <v>0</v>
      </c>
      <c r="N129" s="877">
        <f>IF(K129=0,0,K129/H129*100)</f>
        <v>100</v>
      </c>
      <c r="O129" s="1214"/>
      <c r="P129" s="1214"/>
      <c r="Q129" s="1065"/>
      <c r="R129" s="1065"/>
      <c r="S129" s="1065"/>
      <c r="T129" s="1099"/>
      <c r="U129" s="1100"/>
      <c r="V129" s="1099"/>
      <c r="W129" s="1099"/>
      <c r="X129" s="1220"/>
      <c r="Z129" s="1311">
        <f t="shared" si="17"/>
        <v>0</v>
      </c>
      <c r="AA129" s="1374">
        <f t="shared" si="14"/>
        <v>0</v>
      </c>
      <c r="AB129" s="1459">
        <f t="shared" si="14"/>
        <v>0</v>
      </c>
      <c r="AC129" s="1459">
        <f t="shared" si="14"/>
        <v>0</v>
      </c>
    </row>
    <row r="130" spans="1:31" ht="58.5" customHeight="1">
      <c r="A130" s="1522" t="s">
        <v>747</v>
      </c>
      <c r="B130" s="1127" t="s">
        <v>522</v>
      </c>
      <c r="C130" s="871">
        <f>SUM(D130:E130)</f>
        <v>66153.600000000006</v>
      </c>
      <c r="D130" s="972">
        <v>50407.199999999997</v>
      </c>
      <c r="E130" s="894">
        <f>11945.9+3800.5</f>
        <v>15746.4</v>
      </c>
      <c r="F130" s="1531">
        <f t="shared" si="23"/>
        <v>66153.600000000006</v>
      </c>
      <c r="G130" s="1532">
        <f t="shared" ref="G130:H134" si="27">D130</f>
        <v>50407.199999999997</v>
      </c>
      <c r="H130" s="1532">
        <f t="shared" si="27"/>
        <v>15746.4</v>
      </c>
      <c r="I130" s="1531">
        <f t="shared" si="24"/>
        <v>10950</v>
      </c>
      <c r="J130" s="1532">
        <v>0</v>
      </c>
      <c r="K130" s="1532">
        <v>10950</v>
      </c>
      <c r="L130" s="876">
        <v>0</v>
      </c>
      <c r="M130" s="877">
        <f>IF(J130=0,0,J130/G130*100)</f>
        <v>0</v>
      </c>
      <c r="N130" s="877">
        <v>0</v>
      </c>
      <c r="O130" s="1214" t="s">
        <v>1238</v>
      </c>
      <c r="P130" s="1214" t="s">
        <v>1220</v>
      </c>
      <c r="Q130" s="1065">
        <f t="shared" si="25"/>
        <v>0</v>
      </c>
      <c r="R130" s="1065">
        <f t="shared" si="25"/>
        <v>0</v>
      </c>
      <c r="S130" s="1065">
        <f t="shared" si="25"/>
        <v>0</v>
      </c>
      <c r="T130" s="1099" t="s">
        <v>886</v>
      </c>
      <c r="U130" s="1100">
        <v>1900290400</v>
      </c>
      <c r="V130" s="1099">
        <v>414</v>
      </c>
      <c r="W130" s="1099">
        <v>10123</v>
      </c>
      <c r="Z130" s="1311">
        <f t="shared" si="17"/>
        <v>0</v>
      </c>
      <c r="AA130" s="1374">
        <f t="shared" si="14"/>
        <v>0</v>
      </c>
      <c r="AB130" s="1460">
        <f t="shared" si="14"/>
        <v>0</v>
      </c>
      <c r="AC130" s="1459">
        <f t="shared" si="14"/>
        <v>0</v>
      </c>
      <c r="AD130" s="1454">
        <f>54207.7-50407.2+11945.9</f>
        <v>15746.4</v>
      </c>
      <c r="AE130" s="1454"/>
    </row>
    <row r="131" spans="1:31" ht="69" customHeight="1">
      <c r="A131" s="1522" t="s">
        <v>748</v>
      </c>
      <c r="B131" s="1127" t="s">
        <v>919</v>
      </c>
      <c r="C131" s="871">
        <f t="shared" si="22"/>
        <v>37461.300000000003</v>
      </c>
      <c r="D131" s="972">
        <v>34834.800000000003</v>
      </c>
      <c r="E131" s="894">
        <v>2626.5</v>
      </c>
      <c r="F131" s="1531">
        <f t="shared" si="23"/>
        <v>37461.300000000003</v>
      </c>
      <c r="G131" s="1532">
        <f t="shared" si="27"/>
        <v>34834.800000000003</v>
      </c>
      <c r="H131" s="1532">
        <f t="shared" si="27"/>
        <v>2626.5</v>
      </c>
      <c r="I131" s="1531">
        <f t="shared" si="24"/>
        <v>0</v>
      </c>
      <c r="J131" s="1532">
        <v>0</v>
      </c>
      <c r="K131" s="1532">
        <v>0</v>
      </c>
      <c r="L131" s="876">
        <f t="shared" si="21"/>
        <v>0</v>
      </c>
      <c r="M131" s="877">
        <f t="shared" si="21"/>
        <v>0</v>
      </c>
      <c r="N131" s="877">
        <f t="shared" si="21"/>
        <v>0</v>
      </c>
      <c r="O131" s="1214" t="s">
        <v>1239</v>
      </c>
      <c r="P131" s="1214" t="s">
        <v>1221</v>
      </c>
      <c r="Q131" s="1065">
        <f t="shared" si="25"/>
        <v>0</v>
      </c>
      <c r="R131" s="1065">
        <f t="shared" si="25"/>
        <v>0</v>
      </c>
      <c r="S131" s="1065">
        <f t="shared" si="25"/>
        <v>0</v>
      </c>
      <c r="T131" s="1099" t="s">
        <v>886</v>
      </c>
      <c r="U131" s="1100">
        <v>1900290400</v>
      </c>
      <c r="V131" s="1099">
        <v>414</v>
      </c>
      <c r="W131" s="1099">
        <v>10124</v>
      </c>
      <c r="Z131" s="1311">
        <f t="shared" si="17"/>
        <v>0</v>
      </c>
      <c r="AA131" s="1374">
        <f t="shared" ref="AA131:AC195" si="28">C131-F131</f>
        <v>0</v>
      </c>
      <c r="AB131" s="1459">
        <f t="shared" si="28"/>
        <v>0</v>
      </c>
      <c r="AC131" s="1459">
        <f t="shared" si="28"/>
        <v>0</v>
      </c>
      <c r="AD131" s="1454">
        <f>37461.3-34834.8</f>
        <v>2626.5</v>
      </c>
      <c r="AE131" s="1454"/>
    </row>
    <row r="132" spans="1:31" ht="56.25" customHeight="1">
      <c r="A132" s="1522" t="s">
        <v>749</v>
      </c>
      <c r="B132" s="1127" t="s">
        <v>1318</v>
      </c>
      <c r="C132" s="871">
        <f t="shared" si="22"/>
        <v>3403.5</v>
      </c>
      <c r="D132" s="972">
        <v>0</v>
      </c>
      <c r="E132" s="894">
        <v>3403.5</v>
      </c>
      <c r="F132" s="1531">
        <f t="shared" si="23"/>
        <v>3403.5</v>
      </c>
      <c r="G132" s="1532">
        <f t="shared" si="27"/>
        <v>0</v>
      </c>
      <c r="H132" s="1532">
        <f t="shared" si="27"/>
        <v>3403.5</v>
      </c>
      <c r="I132" s="1531">
        <f t="shared" si="24"/>
        <v>2556</v>
      </c>
      <c r="J132" s="1532"/>
      <c r="K132" s="1532">
        <v>2556</v>
      </c>
      <c r="L132" s="876">
        <f t="shared" si="21"/>
        <v>75.099999999999994</v>
      </c>
      <c r="M132" s="877">
        <f t="shared" si="21"/>
        <v>0</v>
      </c>
      <c r="N132" s="877">
        <f t="shared" si="21"/>
        <v>75.099999999999994</v>
      </c>
      <c r="O132" s="1214"/>
      <c r="P132" s="1214"/>
      <c r="Q132" s="1065"/>
      <c r="R132" s="1065">
        <f t="shared" si="25"/>
        <v>0</v>
      </c>
      <c r="S132" s="1065">
        <f t="shared" si="25"/>
        <v>0</v>
      </c>
      <c r="Z132" s="1311">
        <f t="shared" si="17"/>
        <v>0</v>
      </c>
      <c r="AA132" s="1374">
        <f t="shared" si="28"/>
        <v>0</v>
      </c>
      <c r="AB132" s="1459">
        <f t="shared" si="28"/>
        <v>0</v>
      </c>
      <c r="AC132" s="1459">
        <f t="shared" si="28"/>
        <v>0</v>
      </c>
    </row>
    <row r="133" spans="1:31" ht="83.25" customHeight="1">
      <c r="A133" s="1522" t="s">
        <v>750</v>
      </c>
      <c r="B133" s="1127" t="s">
        <v>1331</v>
      </c>
      <c r="C133" s="1252">
        <f t="shared" si="22"/>
        <v>7459.4</v>
      </c>
      <c r="D133" s="972"/>
      <c r="E133" s="894">
        <v>7459.4</v>
      </c>
      <c r="F133" s="881">
        <f t="shared" si="23"/>
        <v>7459.4</v>
      </c>
      <c r="G133" s="1532">
        <f t="shared" si="27"/>
        <v>0</v>
      </c>
      <c r="H133" s="1532">
        <f t="shared" si="27"/>
        <v>7459.4</v>
      </c>
      <c r="I133" s="1531">
        <f>SUM(J133:K133)</f>
        <v>0</v>
      </c>
      <c r="J133" s="1532"/>
      <c r="K133" s="1532"/>
      <c r="L133" s="876">
        <f t="shared" si="21"/>
        <v>0</v>
      </c>
      <c r="M133" s="877">
        <f t="shared" si="21"/>
        <v>0</v>
      </c>
      <c r="N133" s="877">
        <f t="shared" si="21"/>
        <v>0</v>
      </c>
      <c r="O133" s="1214"/>
      <c r="P133" s="1214"/>
      <c r="Q133" s="1065"/>
      <c r="R133" s="1065">
        <f t="shared" si="25"/>
        <v>0</v>
      </c>
      <c r="S133" s="1065">
        <f t="shared" si="25"/>
        <v>0</v>
      </c>
      <c r="Z133" s="1311"/>
      <c r="AA133" s="1374">
        <f t="shared" si="28"/>
        <v>0</v>
      </c>
      <c r="AB133" s="1459">
        <f t="shared" si="28"/>
        <v>0</v>
      </c>
      <c r="AC133" s="1459">
        <f t="shared" si="28"/>
        <v>0</v>
      </c>
    </row>
    <row r="134" spans="1:31" ht="114.75" customHeight="1">
      <c r="A134" s="1522" t="s">
        <v>751</v>
      </c>
      <c r="B134" s="1127" t="s">
        <v>1381</v>
      </c>
      <c r="C134" s="1252">
        <f>SUM(D134:E134)</f>
        <v>647</v>
      </c>
      <c r="D134" s="972"/>
      <c r="E134" s="894">
        <v>647</v>
      </c>
      <c r="F134" s="881">
        <f>SUM(G134:H134)</f>
        <v>647</v>
      </c>
      <c r="G134" s="1532">
        <f t="shared" si="27"/>
        <v>0</v>
      </c>
      <c r="H134" s="1532">
        <f t="shared" si="27"/>
        <v>647</v>
      </c>
      <c r="I134" s="1531">
        <f>SUM(J134:K134)</f>
        <v>0</v>
      </c>
      <c r="J134" s="1532"/>
      <c r="K134" s="1532"/>
      <c r="L134" s="876">
        <f>IF(I134=0,0,I134/F134*100)</f>
        <v>0</v>
      </c>
      <c r="M134" s="877">
        <f>IF(J134=0,0,J134/G134*100)</f>
        <v>0</v>
      </c>
      <c r="N134" s="877">
        <f>IF(K134=0,0,K134/H134*100)</f>
        <v>0</v>
      </c>
      <c r="O134" s="1214"/>
      <c r="P134" s="1214"/>
      <c r="Q134" s="1065"/>
      <c r="R134" s="1065">
        <f t="shared" si="25"/>
        <v>0</v>
      </c>
      <c r="S134" s="1065">
        <f t="shared" si="25"/>
        <v>0</v>
      </c>
      <c r="Z134" s="1311"/>
      <c r="AA134" s="1374">
        <f>C134-F134</f>
        <v>0</v>
      </c>
      <c r="AB134" s="1459">
        <f>D134-G134</f>
        <v>0</v>
      </c>
      <c r="AC134" s="1459">
        <f>E134-H134</f>
        <v>0</v>
      </c>
    </row>
    <row r="135" spans="1:31" s="914" customFormat="1" ht="72.75" customHeight="1">
      <c r="A135" s="1452"/>
      <c r="B135" s="1261" t="s">
        <v>444</v>
      </c>
      <c r="C135" s="1051">
        <f>SUM(D135:E135)</f>
        <v>2389406.2999999998</v>
      </c>
      <c r="D135" s="1051">
        <f>SUM(D136:D195)</f>
        <v>2117595.2000000002</v>
      </c>
      <c r="E135" s="1051">
        <f>SUM(E136:E195)</f>
        <v>271811.09999999998</v>
      </c>
      <c r="F135" s="1051">
        <f>SUM(G135:H135)</f>
        <v>2389406.2999999998</v>
      </c>
      <c r="G135" s="1051">
        <f>SUM(G136:G195)</f>
        <v>2117595.2000000002</v>
      </c>
      <c r="H135" s="1051">
        <f>SUM(H136:H195)</f>
        <v>271811.09999999998</v>
      </c>
      <c r="I135" s="1051">
        <f>J135+K135</f>
        <v>519523</v>
      </c>
      <c r="J135" s="1051">
        <f>SUM(J136:J195)</f>
        <v>450151.3</v>
      </c>
      <c r="K135" s="1051">
        <f>SUM(K136:K195)</f>
        <v>69371.7</v>
      </c>
      <c r="L135" s="1053">
        <f t="shared" si="21"/>
        <v>21.7</v>
      </c>
      <c r="M135" s="1053">
        <f t="shared" si="21"/>
        <v>21.3</v>
      </c>
      <c r="N135" s="1053">
        <f t="shared" si="21"/>
        <v>25.5</v>
      </c>
      <c r="O135" s="1214"/>
      <c r="P135" s="1214"/>
      <c r="Q135" s="1065">
        <f t="shared" si="25"/>
        <v>0</v>
      </c>
      <c r="R135" s="1065">
        <f t="shared" si="25"/>
        <v>0</v>
      </c>
      <c r="S135" s="1065">
        <f t="shared" si="25"/>
        <v>0</v>
      </c>
      <c r="T135" s="1114"/>
      <c r="U135" s="1100"/>
      <c r="V135" s="1099"/>
      <c r="W135" s="1099"/>
      <c r="X135" s="1216"/>
      <c r="Z135" s="1311">
        <f t="shared" si="17"/>
        <v>0</v>
      </c>
      <c r="AA135" s="1374">
        <f t="shared" si="28"/>
        <v>0</v>
      </c>
      <c r="AB135" s="1459">
        <f t="shared" si="28"/>
        <v>0</v>
      </c>
      <c r="AC135" s="1459">
        <f t="shared" si="28"/>
        <v>0</v>
      </c>
    </row>
    <row r="136" spans="1:31" ht="109.5" customHeight="1">
      <c r="A136" s="1519" t="s">
        <v>854</v>
      </c>
      <c r="B136" s="955" t="s">
        <v>648</v>
      </c>
      <c r="C136" s="871">
        <f t="shared" si="22"/>
        <v>800</v>
      </c>
      <c r="D136" s="1249">
        <v>0</v>
      </c>
      <c r="E136" s="1249">
        <v>800</v>
      </c>
      <c r="F136" s="1531">
        <f t="shared" si="23"/>
        <v>800</v>
      </c>
      <c r="G136" s="1533">
        <v>0</v>
      </c>
      <c r="H136" s="1533">
        <v>800</v>
      </c>
      <c r="I136" s="1531">
        <f t="shared" si="24"/>
        <v>800</v>
      </c>
      <c r="J136" s="1533">
        <v>0</v>
      </c>
      <c r="K136" s="1533">
        <v>800</v>
      </c>
      <c r="L136" s="876">
        <f t="shared" si="21"/>
        <v>100</v>
      </c>
      <c r="M136" s="877">
        <f t="shared" si="21"/>
        <v>0</v>
      </c>
      <c r="N136" s="877">
        <f t="shared" si="21"/>
        <v>100</v>
      </c>
      <c r="O136" s="1214" t="s">
        <v>1290</v>
      </c>
      <c r="P136" s="1214" t="s">
        <v>1240</v>
      </c>
      <c r="Q136" s="1065">
        <f t="shared" si="25"/>
        <v>0</v>
      </c>
      <c r="R136" s="1065">
        <f t="shared" si="25"/>
        <v>0</v>
      </c>
      <c r="S136" s="1065">
        <f t="shared" si="25"/>
        <v>0</v>
      </c>
      <c r="T136" s="1099" t="s">
        <v>886</v>
      </c>
      <c r="U136" s="1100">
        <v>1820190400</v>
      </c>
      <c r="V136" s="1099">
        <v>414</v>
      </c>
      <c r="W136" s="1099">
        <v>14054</v>
      </c>
      <c r="Z136" s="1311">
        <f t="shared" si="17"/>
        <v>0</v>
      </c>
      <c r="AA136" s="1374">
        <f t="shared" si="28"/>
        <v>0</v>
      </c>
      <c r="AB136" s="1459">
        <f t="shared" si="28"/>
        <v>0</v>
      </c>
      <c r="AC136" s="1459">
        <f t="shared" si="28"/>
        <v>0</v>
      </c>
    </row>
    <row r="137" spans="1:31" s="736" customFormat="1" ht="109.5" customHeight="1">
      <c r="A137" s="1519" t="s">
        <v>820</v>
      </c>
      <c r="B137" s="956" t="s">
        <v>649</v>
      </c>
      <c r="C137" s="871">
        <f t="shared" si="22"/>
        <v>100</v>
      </c>
      <c r="D137" s="1249">
        <v>0</v>
      </c>
      <c r="E137" s="1249">
        <v>100</v>
      </c>
      <c r="F137" s="1531">
        <f t="shared" si="23"/>
        <v>100</v>
      </c>
      <c r="G137" s="1533">
        <v>0</v>
      </c>
      <c r="H137" s="1533">
        <v>100</v>
      </c>
      <c r="I137" s="1531">
        <f t="shared" si="24"/>
        <v>0</v>
      </c>
      <c r="J137" s="1533">
        <v>0</v>
      </c>
      <c r="K137" s="1533">
        <v>0</v>
      </c>
      <c r="L137" s="876">
        <f t="shared" si="21"/>
        <v>0</v>
      </c>
      <c r="M137" s="877">
        <f t="shared" si="21"/>
        <v>0</v>
      </c>
      <c r="N137" s="877">
        <f t="shared" si="21"/>
        <v>0</v>
      </c>
      <c r="O137" s="1214" t="s">
        <v>1291</v>
      </c>
      <c r="P137" s="1214" t="s">
        <v>1241</v>
      </c>
      <c r="Q137" s="1065">
        <f t="shared" si="25"/>
        <v>0</v>
      </c>
      <c r="R137" s="1065">
        <f t="shared" si="25"/>
        <v>0</v>
      </c>
      <c r="S137" s="1065">
        <f t="shared" si="25"/>
        <v>0</v>
      </c>
      <c r="T137" s="1099" t="s">
        <v>886</v>
      </c>
      <c r="U137" s="1100">
        <v>1820190400</v>
      </c>
      <c r="V137" s="1099">
        <v>414</v>
      </c>
      <c r="W137" s="1099">
        <v>14056</v>
      </c>
      <c r="X137" s="1216"/>
      <c r="Z137" s="1311">
        <f t="shared" si="17"/>
        <v>0</v>
      </c>
      <c r="AA137" s="1374">
        <f t="shared" si="28"/>
        <v>0</v>
      </c>
      <c r="AB137" s="1459">
        <f t="shared" si="28"/>
        <v>0</v>
      </c>
      <c r="AC137" s="1459">
        <f t="shared" si="28"/>
        <v>0</v>
      </c>
    </row>
    <row r="138" spans="1:31" s="736" customFormat="1" ht="109.5" customHeight="1">
      <c r="A138" s="1519" t="s">
        <v>834</v>
      </c>
      <c r="B138" s="956" t="s">
        <v>650</v>
      </c>
      <c r="C138" s="871">
        <f t="shared" si="22"/>
        <v>1500</v>
      </c>
      <c r="D138" s="1249">
        <v>0</v>
      </c>
      <c r="E138" s="1249">
        <v>1500</v>
      </c>
      <c r="F138" s="1531">
        <f t="shared" si="23"/>
        <v>1500</v>
      </c>
      <c r="G138" s="1533">
        <v>0</v>
      </c>
      <c r="H138" s="1533">
        <v>1500</v>
      </c>
      <c r="I138" s="1531">
        <f t="shared" si="24"/>
        <v>0</v>
      </c>
      <c r="J138" s="1533">
        <v>0</v>
      </c>
      <c r="K138" s="1533">
        <v>0</v>
      </c>
      <c r="L138" s="876">
        <f t="shared" si="21"/>
        <v>0</v>
      </c>
      <c r="M138" s="877">
        <f t="shared" si="21"/>
        <v>0</v>
      </c>
      <c r="N138" s="877">
        <f t="shared" si="21"/>
        <v>0</v>
      </c>
      <c r="O138" s="1214" t="s">
        <v>1292</v>
      </c>
      <c r="P138" s="1214" t="s">
        <v>1242</v>
      </c>
      <c r="Q138" s="1065">
        <f t="shared" si="25"/>
        <v>0</v>
      </c>
      <c r="R138" s="1065">
        <f t="shared" si="25"/>
        <v>0</v>
      </c>
      <c r="S138" s="1065">
        <f t="shared" si="25"/>
        <v>0</v>
      </c>
      <c r="T138" s="1099" t="s">
        <v>886</v>
      </c>
      <c r="U138" s="1100">
        <v>1820190400</v>
      </c>
      <c r="V138" s="1099">
        <v>414</v>
      </c>
      <c r="W138" s="1099">
        <v>14055</v>
      </c>
      <c r="X138" s="1216"/>
      <c r="Z138" s="1311">
        <f t="shared" si="17"/>
        <v>0</v>
      </c>
      <c r="AA138" s="1374">
        <f t="shared" si="28"/>
        <v>0</v>
      </c>
      <c r="AB138" s="1459">
        <f t="shared" si="28"/>
        <v>0</v>
      </c>
      <c r="AC138" s="1459">
        <f t="shared" si="28"/>
        <v>0</v>
      </c>
    </row>
    <row r="139" spans="1:31" s="736" customFormat="1" ht="129.75" customHeight="1">
      <c r="A139" s="1522" t="s">
        <v>835</v>
      </c>
      <c r="B139" s="956" t="s">
        <v>651</v>
      </c>
      <c r="C139" s="871">
        <f t="shared" si="22"/>
        <v>100</v>
      </c>
      <c r="D139" s="1249">
        <v>0</v>
      </c>
      <c r="E139" s="1249">
        <v>100</v>
      </c>
      <c r="F139" s="1531">
        <f t="shared" si="23"/>
        <v>100</v>
      </c>
      <c r="G139" s="1533">
        <v>0</v>
      </c>
      <c r="H139" s="1533">
        <v>100</v>
      </c>
      <c r="I139" s="1531">
        <f t="shared" si="24"/>
        <v>100</v>
      </c>
      <c r="J139" s="1533">
        <v>0</v>
      </c>
      <c r="K139" s="1533">
        <v>100</v>
      </c>
      <c r="L139" s="876">
        <f t="shared" si="21"/>
        <v>100</v>
      </c>
      <c r="M139" s="877">
        <f t="shared" si="21"/>
        <v>0</v>
      </c>
      <c r="N139" s="877">
        <f t="shared" si="21"/>
        <v>100</v>
      </c>
      <c r="O139" s="1214" t="s">
        <v>1293</v>
      </c>
      <c r="P139" s="1214" t="s">
        <v>1101</v>
      </c>
      <c r="Q139" s="1065">
        <f t="shared" si="25"/>
        <v>0</v>
      </c>
      <c r="R139" s="1065">
        <f t="shared" si="25"/>
        <v>0</v>
      </c>
      <c r="S139" s="1065">
        <f t="shared" si="25"/>
        <v>0</v>
      </c>
      <c r="T139" s="1099" t="s">
        <v>886</v>
      </c>
      <c r="U139" s="1100">
        <v>1820190400</v>
      </c>
      <c r="V139" s="1099">
        <v>414</v>
      </c>
      <c r="W139" s="1099">
        <v>14021</v>
      </c>
      <c r="X139" s="1216"/>
      <c r="Z139" s="1311">
        <f t="shared" si="17"/>
        <v>0</v>
      </c>
      <c r="AA139" s="1374">
        <f t="shared" si="28"/>
        <v>0</v>
      </c>
      <c r="AB139" s="1459">
        <f t="shared" si="28"/>
        <v>0</v>
      </c>
      <c r="AC139" s="1459">
        <f t="shared" si="28"/>
        <v>0</v>
      </c>
    </row>
    <row r="140" spans="1:31" s="736" customFormat="1" ht="92.25" customHeight="1">
      <c r="A140" s="1522" t="s">
        <v>826</v>
      </c>
      <c r="B140" s="956" t="s">
        <v>830</v>
      </c>
      <c r="C140" s="871">
        <f t="shared" si="22"/>
        <v>2800</v>
      </c>
      <c r="D140" s="1249">
        <v>0</v>
      </c>
      <c r="E140" s="1249">
        <v>2800</v>
      </c>
      <c r="F140" s="1531">
        <f t="shared" si="23"/>
        <v>2800</v>
      </c>
      <c r="G140" s="1533">
        <v>0</v>
      </c>
      <c r="H140" s="1533">
        <v>2800</v>
      </c>
      <c r="I140" s="1531">
        <f t="shared" si="24"/>
        <v>0</v>
      </c>
      <c r="J140" s="1533">
        <v>0</v>
      </c>
      <c r="K140" s="1533">
        <v>0</v>
      </c>
      <c r="L140" s="876">
        <f t="shared" si="21"/>
        <v>0</v>
      </c>
      <c r="M140" s="877">
        <f t="shared" si="21"/>
        <v>0</v>
      </c>
      <c r="N140" s="877">
        <f t="shared" si="21"/>
        <v>0</v>
      </c>
      <c r="O140" s="1214" t="s">
        <v>1192</v>
      </c>
      <c r="P140" s="1214" t="s">
        <v>1243</v>
      </c>
      <c r="Q140" s="1065">
        <f t="shared" si="25"/>
        <v>0</v>
      </c>
      <c r="R140" s="1065">
        <f t="shared" si="25"/>
        <v>0</v>
      </c>
      <c r="S140" s="1065">
        <f t="shared" si="25"/>
        <v>0</v>
      </c>
      <c r="T140" s="1099" t="s">
        <v>886</v>
      </c>
      <c r="U140" s="1100">
        <v>1820190400</v>
      </c>
      <c r="V140" s="1099">
        <v>414</v>
      </c>
      <c r="W140" s="1099">
        <v>14046</v>
      </c>
      <c r="X140" s="1216"/>
      <c r="Z140" s="1311">
        <f t="shared" ref="Z140:Z207" si="29">C140-F140</f>
        <v>0</v>
      </c>
      <c r="AA140" s="1374">
        <f t="shared" si="28"/>
        <v>0</v>
      </c>
      <c r="AB140" s="1459">
        <f t="shared" si="28"/>
        <v>0</v>
      </c>
      <c r="AC140" s="1459">
        <f t="shared" si="28"/>
        <v>0</v>
      </c>
    </row>
    <row r="141" spans="1:31" s="736" customFormat="1" ht="84.75" customHeight="1">
      <c r="A141" s="1522" t="s">
        <v>827</v>
      </c>
      <c r="B141" s="956" t="s">
        <v>831</v>
      </c>
      <c r="C141" s="871">
        <f t="shared" si="22"/>
        <v>3100</v>
      </c>
      <c r="D141" s="1249">
        <v>0</v>
      </c>
      <c r="E141" s="1249">
        <v>3100</v>
      </c>
      <c r="F141" s="1531">
        <f t="shared" si="23"/>
        <v>3100</v>
      </c>
      <c r="G141" s="1533">
        <v>0</v>
      </c>
      <c r="H141" s="1533">
        <v>3100</v>
      </c>
      <c r="I141" s="1531">
        <f t="shared" si="24"/>
        <v>3100</v>
      </c>
      <c r="J141" s="1533">
        <v>0</v>
      </c>
      <c r="K141" s="1533">
        <v>3100</v>
      </c>
      <c r="L141" s="876">
        <f t="shared" si="21"/>
        <v>100</v>
      </c>
      <c r="M141" s="877">
        <f t="shared" si="21"/>
        <v>0</v>
      </c>
      <c r="N141" s="877">
        <f t="shared" si="21"/>
        <v>100</v>
      </c>
      <c r="O141" s="1214" t="s">
        <v>1294</v>
      </c>
      <c r="P141" s="1214" t="s">
        <v>1244</v>
      </c>
      <c r="Q141" s="1065">
        <f t="shared" si="25"/>
        <v>0</v>
      </c>
      <c r="R141" s="1065">
        <f t="shared" si="25"/>
        <v>0</v>
      </c>
      <c r="S141" s="1065">
        <f t="shared" si="25"/>
        <v>0</v>
      </c>
      <c r="T141" s="1099" t="s">
        <v>886</v>
      </c>
      <c r="U141" s="1100">
        <v>1820190400</v>
      </c>
      <c r="V141" s="1099">
        <v>414</v>
      </c>
      <c r="W141" s="1099">
        <v>14048</v>
      </c>
      <c r="X141" s="1216"/>
      <c r="Z141" s="1311">
        <f t="shared" si="29"/>
        <v>0</v>
      </c>
      <c r="AA141" s="1374">
        <f t="shared" si="28"/>
        <v>0</v>
      </c>
      <c r="AB141" s="1459">
        <f t="shared" si="28"/>
        <v>0</v>
      </c>
      <c r="AC141" s="1459">
        <f t="shared" si="28"/>
        <v>0</v>
      </c>
    </row>
    <row r="142" spans="1:31" s="736" customFormat="1" ht="84.75" customHeight="1">
      <c r="A142" s="1522" t="s">
        <v>752</v>
      </c>
      <c r="B142" s="956" t="s">
        <v>833</v>
      </c>
      <c r="C142" s="871">
        <f t="shared" si="22"/>
        <v>2200</v>
      </c>
      <c r="D142" s="1249">
        <v>0</v>
      </c>
      <c r="E142" s="1249">
        <v>2200</v>
      </c>
      <c r="F142" s="1531">
        <f t="shared" si="23"/>
        <v>2200</v>
      </c>
      <c r="G142" s="1533">
        <v>0</v>
      </c>
      <c r="H142" s="1533">
        <v>2200</v>
      </c>
      <c r="I142" s="1531">
        <f t="shared" si="24"/>
        <v>0</v>
      </c>
      <c r="J142" s="1533">
        <v>0</v>
      </c>
      <c r="K142" s="1533">
        <v>0</v>
      </c>
      <c r="L142" s="876">
        <f t="shared" si="21"/>
        <v>0</v>
      </c>
      <c r="M142" s="877">
        <f t="shared" si="21"/>
        <v>0</v>
      </c>
      <c r="N142" s="877">
        <f t="shared" si="21"/>
        <v>0</v>
      </c>
      <c r="O142" s="1214" t="s">
        <v>1295</v>
      </c>
      <c r="P142" s="1214" t="s">
        <v>1245</v>
      </c>
      <c r="Q142" s="1065">
        <f t="shared" si="25"/>
        <v>0</v>
      </c>
      <c r="R142" s="1065">
        <f t="shared" si="25"/>
        <v>0</v>
      </c>
      <c r="S142" s="1065">
        <f t="shared" si="25"/>
        <v>0</v>
      </c>
      <c r="T142" s="1099" t="s">
        <v>886</v>
      </c>
      <c r="U142" s="1100">
        <v>1820190400</v>
      </c>
      <c r="V142" s="1099">
        <v>414</v>
      </c>
      <c r="W142" s="1099">
        <v>14047</v>
      </c>
      <c r="X142" s="1216"/>
      <c r="Z142" s="1311">
        <f t="shared" si="29"/>
        <v>0</v>
      </c>
      <c r="AA142" s="1374">
        <f t="shared" si="28"/>
        <v>0</v>
      </c>
      <c r="AB142" s="1459">
        <f t="shared" si="28"/>
        <v>0</v>
      </c>
      <c r="AC142" s="1459">
        <f t="shared" si="28"/>
        <v>0</v>
      </c>
    </row>
    <row r="143" spans="1:31" s="736" customFormat="1" ht="78.75">
      <c r="A143" s="1522" t="s">
        <v>1353</v>
      </c>
      <c r="B143" s="955" t="s">
        <v>705</v>
      </c>
      <c r="C143" s="871">
        <f t="shared" si="22"/>
        <v>53585.7</v>
      </c>
      <c r="D143" s="1249">
        <v>50369.9</v>
      </c>
      <c r="E143" s="1249">
        <v>3215.8</v>
      </c>
      <c r="F143" s="1531">
        <f t="shared" si="23"/>
        <v>53585.7</v>
      </c>
      <c r="G143" s="1533">
        <v>50369.9</v>
      </c>
      <c r="H143" s="1533">
        <v>3215.8</v>
      </c>
      <c r="I143" s="1531">
        <f t="shared" si="24"/>
        <v>0</v>
      </c>
      <c r="J143" s="2466">
        <v>0</v>
      </c>
      <c r="K143" s="2466">
        <v>0</v>
      </c>
      <c r="L143" s="2469">
        <f>IF(I143=0,0,I143/F143:F149*100)</f>
        <v>0</v>
      </c>
      <c r="M143" s="2470">
        <f>IF(J143=0,0,J143/G143:G149*100)</f>
        <v>0</v>
      </c>
      <c r="N143" s="2470">
        <f>IF(K143=0,0,K143/H143:H149*100)</f>
        <v>0</v>
      </c>
      <c r="O143" s="1214" t="s">
        <v>1192</v>
      </c>
      <c r="P143" s="1214" t="s">
        <v>1219</v>
      </c>
      <c r="Q143" s="1065">
        <f t="shared" si="25"/>
        <v>0</v>
      </c>
      <c r="R143" s="1065">
        <f t="shared" si="25"/>
        <v>0</v>
      </c>
      <c r="S143" s="1065">
        <f t="shared" si="25"/>
        <v>0</v>
      </c>
      <c r="T143" s="2456" t="s">
        <v>886</v>
      </c>
      <c r="U143" s="2456" t="s">
        <v>912</v>
      </c>
      <c r="V143" s="2456">
        <v>414</v>
      </c>
      <c r="W143" s="2456" t="s">
        <v>890</v>
      </c>
      <c r="X143" s="2468"/>
      <c r="Z143" s="1311">
        <f t="shared" si="29"/>
        <v>0</v>
      </c>
      <c r="AA143" s="1374">
        <f t="shared" si="28"/>
        <v>0</v>
      </c>
      <c r="AB143" s="1459">
        <f t="shared" si="28"/>
        <v>0</v>
      </c>
      <c r="AC143" s="1459">
        <f t="shared" si="28"/>
        <v>0</v>
      </c>
    </row>
    <row r="144" spans="1:31" s="736" customFormat="1" ht="93" customHeight="1">
      <c r="A144" s="1522" t="s">
        <v>1354</v>
      </c>
      <c r="B144" s="956" t="s">
        <v>704</v>
      </c>
      <c r="C144" s="871">
        <f t="shared" si="22"/>
        <v>28400</v>
      </c>
      <c r="D144" s="1249">
        <v>26696</v>
      </c>
      <c r="E144" s="1249">
        <v>1704</v>
      </c>
      <c r="F144" s="1531">
        <f t="shared" si="23"/>
        <v>28400</v>
      </c>
      <c r="G144" s="1533">
        <v>26696</v>
      </c>
      <c r="H144" s="1533">
        <v>1704</v>
      </c>
      <c r="I144" s="1531">
        <f t="shared" si="24"/>
        <v>0</v>
      </c>
      <c r="J144" s="2466"/>
      <c r="K144" s="2466"/>
      <c r="L144" s="2469"/>
      <c r="M144" s="2470"/>
      <c r="N144" s="2470"/>
      <c r="O144" s="1214" t="s">
        <v>1192</v>
      </c>
      <c r="P144" s="1214" t="s">
        <v>1246</v>
      </c>
      <c r="Q144" s="1065">
        <f t="shared" si="25"/>
        <v>0</v>
      </c>
      <c r="R144" s="1065">
        <f t="shared" si="25"/>
        <v>0</v>
      </c>
      <c r="S144" s="1065">
        <f t="shared" si="25"/>
        <v>0</v>
      </c>
      <c r="T144" s="2456"/>
      <c r="U144" s="2456"/>
      <c r="V144" s="2456"/>
      <c r="W144" s="2456"/>
      <c r="X144" s="2468"/>
      <c r="Z144" s="1311">
        <f t="shared" si="29"/>
        <v>0</v>
      </c>
      <c r="AA144" s="1374">
        <f t="shared" si="28"/>
        <v>0</v>
      </c>
      <c r="AB144" s="1459">
        <f t="shared" si="28"/>
        <v>0</v>
      </c>
      <c r="AC144" s="1459">
        <f t="shared" si="28"/>
        <v>0</v>
      </c>
    </row>
    <row r="145" spans="1:29" s="736" customFormat="1" ht="83.25" customHeight="1">
      <c r="A145" s="1522" t="s">
        <v>1355</v>
      </c>
      <c r="B145" s="956" t="s">
        <v>703</v>
      </c>
      <c r="C145" s="871">
        <f t="shared" si="22"/>
        <v>54300</v>
      </c>
      <c r="D145" s="1249">
        <v>51042</v>
      </c>
      <c r="E145" s="1249">
        <v>3258</v>
      </c>
      <c r="F145" s="1531">
        <f t="shared" si="23"/>
        <v>54300</v>
      </c>
      <c r="G145" s="1533">
        <v>51042</v>
      </c>
      <c r="H145" s="1533">
        <v>3258</v>
      </c>
      <c r="I145" s="1531">
        <f t="shared" si="24"/>
        <v>0</v>
      </c>
      <c r="J145" s="2466"/>
      <c r="K145" s="2466"/>
      <c r="L145" s="2469"/>
      <c r="M145" s="2470"/>
      <c r="N145" s="2470"/>
      <c r="O145" s="1214" t="s">
        <v>1192</v>
      </c>
      <c r="P145" s="1214" t="s">
        <v>1247</v>
      </c>
      <c r="Q145" s="1065">
        <f t="shared" si="25"/>
        <v>0</v>
      </c>
      <c r="R145" s="1065">
        <f t="shared" si="25"/>
        <v>0</v>
      </c>
      <c r="S145" s="1065">
        <f t="shared" si="25"/>
        <v>0</v>
      </c>
      <c r="T145" s="2456"/>
      <c r="U145" s="2456"/>
      <c r="V145" s="2456"/>
      <c r="W145" s="2456"/>
      <c r="X145" s="2468"/>
      <c r="Z145" s="1311">
        <f t="shared" si="29"/>
        <v>0</v>
      </c>
      <c r="AA145" s="1374">
        <f t="shared" si="28"/>
        <v>0</v>
      </c>
      <c r="AB145" s="1459">
        <f t="shared" si="28"/>
        <v>0</v>
      </c>
      <c r="AC145" s="1459">
        <f t="shared" si="28"/>
        <v>0</v>
      </c>
    </row>
    <row r="146" spans="1:29" s="736" customFormat="1" ht="86.25" customHeight="1">
      <c r="A146" s="1522" t="s">
        <v>1356</v>
      </c>
      <c r="B146" s="956" t="s">
        <v>702</v>
      </c>
      <c r="C146" s="871">
        <f t="shared" si="22"/>
        <v>56697.8</v>
      </c>
      <c r="D146" s="1249">
        <v>53295.9</v>
      </c>
      <c r="E146" s="1249">
        <v>3401.9</v>
      </c>
      <c r="F146" s="1531">
        <f t="shared" si="23"/>
        <v>56697.8</v>
      </c>
      <c r="G146" s="1533">
        <v>53295.9</v>
      </c>
      <c r="H146" s="1533">
        <v>3401.9</v>
      </c>
      <c r="I146" s="1531">
        <f t="shared" si="24"/>
        <v>0</v>
      </c>
      <c r="J146" s="2466"/>
      <c r="K146" s="2466"/>
      <c r="L146" s="2469"/>
      <c r="M146" s="2470"/>
      <c r="N146" s="2470"/>
      <c r="O146" s="1214" t="s">
        <v>1192</v>
      </c>
      <c r="P146" s="1214" t="s">
        <v>1219</v>
      </c>
      <c r="Q146" s="1065">
        <f t="shared" si="25"/>
        <v>0</v>
      </c>
      <c r="R146" s="1065">
        <f t="shared" si="25"/>
        <v>0</v>
      </c>
      <c r="S146" s="1065">
        <f t="shared" si="25"/>
        <v>0</v>
      </c>
      <c r="T146" s="2456"/>
      <c r="U146" s="2456"/>
      <c r="V146" s="2456"/>
      <c r="W146" s="2456"/>
      <c r="X146" s="2468"/>
      <c r="Z146" s="1311">
        <f t="shared" si="29"/>
        <v>0</v>
      </c>
      <c r="AA146" s="1374">
        <f t="shared" si="28"/>
        <v>0</v>
      </c>
      <c r="AB146" s="1459">
        <f t="shared" si="28"/>
        <v>0</v>
      </c>
      <c r="AC146" s="1459">
        <f t="shared" si="28"/>
        <v>0</v>
      </c>
    </row>
    <row r="147" spans="1:29" s="736" customFormat="1" ht="58.5" customHeight="1">
      <c r="A147" s="1522" t="s">
        <v>1357</v>
      </c>
      <c r="B147" s="956" t="s">
        <v>832</v>
      </c>
      <c r="C147" s="871">
        <f t="shared" si="22"/>
        <v>8000</v>
      </c>
      <c r="D147" s="1249">
        <v>7520</v>
      </c>
      <c r="E147" s="1249">
        <v>480</v>
      </c>
      <c r="F147" s="1531">
        <f t="shared" si="23"/>
        <v>8000</v>
      </c>
      <c r="G147" s="1533">
        <v>7520</v>
      </c>
      <c r="H147" s="1533">
        <v>480</v>
      </c>
      <c r="I147" s="1531">
        <f t="shared" si="24"/>
        <v>0</v>
      </c>
      <c r="J147" s="2466"/>
      <c r="K147" s="2466"/>
      <c r="L147" s="2469"/>
      <c r="M147" s="2470"/>
      <c r="N147" s="2470"/>
      <c r="O147" s="1214" t="s">
        <v>1192</v>
      </c>
      <c r="P147" s="1214" t="s">
        <v>1219</v>
      </c>
      <c r="Q147" s="1065">
        <f t="shared" si="25"/>
        <v>0</v>
      </c>
      <c r="R147" s="1065">
        <f t="shared" si="25"/>
        <v>0</v>
      </c>
      <c r="S147" s="1065">
        <f t="shared" si="25"/>
        <v>0</v>
      </c>
      <c r="T147" s="2456"/>
      <c r="U147" s="2456"/>
      <c r="V147" s="2456"/>
      <c r="W147" s="2456"/>
      <c r="X147" s="2468"/>
      <c r="Z147" s="1311">
        <f t="shared" si="29"/>
        <v>0</v>
      </c>
      <c r="AA147" s="1374">
        <f t="shared" si="28"/>
        <v>0</v>
      </c>
      <c r="AB147" s="1459">
        <f t="shared" si="28"/>
        <v>0</v>
      </c>
      <c r="AC147" s="1459">
        <f t="shared" si="28"/>
        <v>0</v>
      </c>
    </row>
    <row r="148" spans="1:29" s="736" customFormat="1" ht="60" customHeight="1">
      <c r="A148" s="1522" t="s">
        <v>1358</v>
      </c>
      <c r="B148" s="956" t="s">
        <v>775</v>
      </c>
      <c r="C148" s="871">
        <f t="shared" si="22"/>
        <v>20200</v>
      </c>
      <c r="D148" s="1249">
        <v>18988</v>
      </c>
      <c r="E148" s="1249">
        <v>1212</v>
      </c>
      <c r="F148" s="1531">
        <f t="shared" si="23"/>
        <v>20200</v>
      </c>
      <c r="G148" s="1533">
        <v>18988</v>
      </c>
      <c r="H148" s="1533">
        <v>1212</v>
      </c>
      <c r="I148" s="1531">
        <f t="shared" si="24"/>
        <v>0</v>
      </c>
      <c r="J148" s="2466"/>
      <c r="K148" s="2466"/>
      <c r="L148" s="2469"/>
      <c r="M148" s="2470"/>
      <c r="N148" s="2470"/>
      <c r="O148" s="1214" t="s">
        <v>1192</v>
      </c>
      <c r="P148" s="1214" t="s">
        <v>1219</v>
      </c>
      <c r="Q148" s="1065">
        <f t="shared" si="25"/>
        <v>0</v>
      </c>
      <c r="R148" s="1065">
        <f t="shared" si="25"/>
        <v>0</v>
      </c>
      <c r="S148" s="1065">
        <f t="shared" si="25"/>
        <v>0</v>
      </c>
      <c r="T148" s="2456"/>
      <c r="U148" s="2456"/>
      <c r="V148" s="2456"/>
      <c r="W148" s="2456"/>
      <c r="X148" s="2468"/>
      <c r="Z148" s="1311">
        <f t="shared" si="29"/>
        <v>0</v>
      </c>
      <c r="AA148" s="1374">
        <f t="shared" si="28"/>
        <v>0</v>
      </c>
      <c r="AB148" s="1459">
        <f t="shared" si="28"/>
        <v>0</v>
      </c>
      <c r="AC148" s="1459">
        <f t="shared" si="28"/>
        <v>0</v>
      </c>
    </row>
    <row r="149" spans="1:29" s="736" customFormat="1" ht="60" customHeight="1">
      <c r="A149" s="1522" t="s">
        <v>1365</v>
      </c>
      <c r="B149" s="956" t="s">
        <v>774</v>
      </c>
      <c r="C149" s="871">
        <f t="shared" si="22"/>
        <v>20500</v>
      </c>
      <c r="D149" s="1249">
        <v>19270</v>
      </c>
      <c r="E149" s="1249">
        <v>1230</v>
      </c>
      <c r="F149" s="1531">
        <f t="shared" si="23"/>
        <v>20500</v>
      </c>
      <c r="G149" s="1533">
        <v>19270</v>
      </c>
      <c r="H149" s="1533">
        <v>1230</v>
      </c>
      <c r="I149" s="1531">
        <f t="shared" si="24"/>
        <v>0</v>
      </c>
      <c r="J149" s="2466"/>
      <c r="K149" s="2466"/>
      <c r="L149" s="2469"/>
      <c r="M149" s="2470"/>
      <c r="N149" s="2470"/>
      <c r="O149" s="1214" t="s">
        <v>1192</v>
      </c>
      <c r="P149" s="1214" t="s">
        <v>1219</v>
      </c>
      <c r="Q149" s="1065">
        <f t="shared" si="25"/>
        <v>0</v>
      </c>
      <c r="R149" s="1065">
        <f t="shared" si="25"/>
        <v>0</v>
      </c>
      <c r="S149" s="1065">
        <f t="shared" si="25"/>
        <v>0</v>
      </c>
      <c r="T149" s="2456"/>
      <c r="U149" s="2456"/>
      <c r="V149" s="2456"/>
      <c r="W149" s="2456"/>
      <c r="X149" s="2468"/>
      <c r="Z149" s="1311">
        <f t="shared" si="29"/>
        <v>0</v>
      </c>
      <c r="AA149" s="1374">
        <f t="shared" si="28"/>
        <v>0</v>
      </c>
      <c r="AB149" s="1459">
        <f t="shared" si="28"/>
        <v>0</v>
      </c>
      <c r="AC149" s="1459">
        <f t="shared" si="28"/>
        <v>0</v>
      </c>
    </row>
    <row r="150" spans="1:29" ht="105.75" customHeight="1">
      <c r="A150" s="1522" t="s">
        <v>753</v>
      </c>
      <c r="B150" s="955" t="s">
        <v>588</v>
      </c>
      <c r="C150" s="871">
        <f>SUM(D150:E150)</f>
        <v>100</v>
      </c>
      <c r="D150" s="1249">
        <v>0</v>
      </c>
      <c r="E150" s="1249">
        <v>100</v>
      </c>
      <c r="F150" s="1531">
        <f>SUM(G150:H150)</f>
        <v>100</v>
      </c>
      <c r="G150" s="1533">
        <v>0</v>
      </c>
      <c r="H150" s="1533">
        <v>100</v>
      </c>
      <c r="I150" s="1531">
        <f>SUM(J150:K150)</f>
        <v>98.4</v>
      </c>
      <c r="J150" s="1533">
        <v>0</v>
      </c>
      <c r="K150" s="1533">
        <v>98.4</v>
      </c>
      <c r="L150" s="876">
        <f t="shared" ref="L150:N165" si="30">IF(I150=0,0,I150/F150*100)</f>
        <v>98.4</v>
      </c>
      <c r="M150" s="877">
        <f t="shared" si="30"/>
        <v>0</v>
      </c>
      <c r="N150" s="877">
        <f t="shared" si="30"/>
        <v>98.4</v>
      </c>
      <c r="O150" s="1214" t="s">
        <v>1192</v>
      </c>
      <c r="P150" s="1214" t="s">
        <v>1251</v>
      </c>
      <c r="Q150" s="1065">
        <f t="shared" si="25"/>
        <v>0</v>
      </c>
      <c r="R150" s="1065">
        <f t="shared" si="25"/>
        <v>0</v>
      </c>
      <c r="S150" s="1065">
        <f t="shared" si="25"/>
        <v>0</v>
      </c>
      <c r="T150" s="1099" t="s">
        <v>886</v>
      </c>
      <c r="U150" s="1100" t="s">
        <v>903</v>
      </c>
      <c r="V150" s="1099">
        <v>414</v>
      </c>
      <c r="W150" s="1099" t="s">
        <v>890</v>
      </c>
      <c r="Z150" s="1311">
        <f t="shared" si="29"/>
        <v>0</v>
      </c>
      <c r="AA150" s="1374">
        <f t="shared" si="28"/>
        <v>0</v>
      </c>
      <c r="AB150" s="1459">
        <f t="shared" si="28"/>
        <v>0</v>
      </c>
      <c r="AC150" s="1459">
        <f t="shared" si="28"/>
        <v>0</v>
      </c>
    </row>
    <row r="151" spans="1:29" ht="105.75" customHeight="1">
      <c r="A151" s="895">
        <v>99</v>
      </c>
      <c r="B151" s="955" t="s">
        <v>589</v>
      </c>
      <c r="C151" s="871">
        <f>SUM(D151:E151)</f>
        <v>100</v>
      </c>
      <c r="D151" s="1249">
        <v>0</v>
      </c>
      <c r="E151" s="1249">
        <v>100</v>
      </c>
      <c r="F151" s="1531">
        <f>SUM(G151:H151)</f>
        <v>100</v>
      </c>
      <c r="G151" s="1533">
        <v>0</v>
      </c>
      <c r="H151" s="1533">
        <v>100</v>
      </c>
      <c r="I151" s="1531">
        <f>SUM(J151:K151)</f>
        <v>98.9</v>
      </c>
      <c r="J151" s="1533">
        <v>0</v>
      </c>
      <c r="K151" s="1533">
        <v>98.9</v>
      </c>
      <c r="L151" s="876">
        <f t="shared" si="30"/>
        <v>98.9</v>
      </c>
      <c r="M151" s="877">
        <f t="shared" si="30"/>
        <v>0</v>
      </c>
      <c r="N151" s="877">
        <f t="shared" si="30"/>
        <v>98.9</v>
      </c>
      <c r="O151" s="1214" t="s">
        <v>1285</v>
      </c>
      <c r="P151" s="1214" t="s">
        <v>1252</v>
      </c>
      <c r="Q151" s="1065">
        <f t="shared" si="25"/>
        <v>0</v>
      </c>
      <c r="R151" s="1065">
        <f t="shared" si="25"/>
        <v>0</v>
      </c>
      <c r="S151" s="1065">
        <f t="shared" si="25"/>
        <v>0</v>
      </c>
      <c r="T151" s="1099" t="s">
        <v>886</v>
      </c>
      <c r="U151" s="1100" t="s">
        <v>904</v>
      </c>
      <c r="V151" s="1099">
        <v>414</v>
      </c>
      <c r="W151" s="1099" t="s">
        <v>890</v>
      </c>
      <c r="Z151" s="1311">
        <f t="shared" si="29"/>
        <v>0</v>
      </c>
      <c r="AA151" s="1374">
        <f t="shared" si="28"/>
        <v>0</v>
      </c>
      <c r="AB151" s="1459">
        <f t="shared" si="28"/>
        <v>0</v>
      </c>
      <c r="AC151" s="1459">
        <f t="shared" si="28"/>
        <v>0</v>
      </c>
    </row>
    <row r="152" spans="1:29" ht="105.75" customHeight="1">
      <c r="A152" s="895">
        <v>100</v>
      </c>
      <c r="B152" s="955" t="s">
        <v>591</v>
      </c>
      <c r="C152" s="871">
        <f>SUM(D152:E152)</f>
        <v>100</v>
      </c>
      <c r="D152" s="1249">
        <v>0</v>
      </c>
      <c r="E152" s="1249">
        <v>100</v>
      </c>
      <c r="F152" s="1531">
        <f>SUM(G152:H152)</f>
        <v>100</v>
      </c>
      <c r="G152" s="1533">
        <v>0</v>
      </c>
      <c r="H152" s="1533">
        <v>100</v>
      </c>
      <c r="I152" s="1531">
        <f>SUM(J152:K152)</f>
        <v>98.7</v>
      </c>
      <c r="J152" s="1533">
        <v>0</v>
      </c>
      <c r="K152" s="1533">
        <v>98.7</v>
      </c>
      <c r="L152" s="876">
        <f t="shared" si="30"/>
        <v>98.7</v>
      </c>
      <c r="M152" s="877">
        <f t="shared" si="30"/>
        <v>0</v>
      </c>
      <c r="N152" s="877">
        <f t="shared" si="30"/>
        <v>98.7</v>
      </c>
      <c r="O152" s="1214" t="s">
        <v>1192</v>
      </c>
      <c r="P152" s="1214" t="s">
        <v>1254</v>
      </c>
      <c r="Q152" s="1065">
        <f t="shared" si="25"/>
        <v>0</v>
      </c>
      <c r="R152" s="1065">
        <f t="shared" si="25"/>
        <v>0</v>
      </c>
      <c r="S152" s="1065">
        <f t="shared" si="25"/>
        <v>0</v>
      </c>
      <c r="T152" s="1099" t="s">
        <v>886</v>
      </c>
      <c r="U152" s="1100" t="s">
        <v>906</v>
      </c>
      <c r="V152" s="1099">
        <v>414</v>
      </c>
      <c r="W152" s="1099" t="s">
        <v>890</v>
      </c>
      <c r="Z152" s="1311">
        <f t="shared" si="29"/>
        <v>0</v>
      </c>
      <c r="AA152" s="1374">
        <f t="shared" si="28"/>
        <v>0</v>
      </c>
      <c r="AB152" s="1459">
        <f t="shared" si="28"/>
        <v>0</v>
      </c>
      <c r="AC152" s="1459">
        <f t="shared" si="28"/>
        <v>0</v>
      </c>
    </row>
    <row r="153" spans="1:29" s="736" customFormat="1" ht="96.75" customHeight="1">
      <c r="A153" s="1522" t="s">
        <v>756</v>
      </c>
      <c r="B153" s="901" t="s">
        <v>465</v>
      </c>
      <c r="C153" s="871">
        <f t="shared" si="22"/>
        <v>18259.5</v>
      </c>
      <c r="D153" s="1249">
        <v>17163.8</v>
      </c>
      <c r="E153" s="1249">
        <v>1095.7</v>
      </c>
      <c r="F153" s="1531">
        <f t="shared" si="23"/>
        <v>18259.5</v>
      </c>
      <c r="G153" s="1533">
        <v>17163.8</v>
      </c>
      <c r="H153" s="1533">
        <v>1095.7</v>
      </c>
      <c r="I153" s="1531">
        <f t="shared" si="24"/>
        <v>0</v>
      </c>
      <c r="J153" s="1533">
        <v>0</v>
      </c>
      <c r="K153" s="1533">
        <v>0</v>
      </c>
      <c r="L153" s="876">
        <f t="shared" si="30"/>
        <v>0</v>
      </c>
      <c r="M153" s="877">
        <f t="shared" si="30"/>
        <v>0</v>
      </c>
      <c r="N153" s="877">
        <f t="shared" si="30"/>
        <v>0</v>
      </c>
      <c r="O153" s="1214" t="s">
        <v>1282</v>
      </c>
      <c r="P153" s="1214" t="s">
        <v>1248</v>
      </c>
      <c r="Q153" s="1065">
        <f t="shared" si="25"/>
        <v>0</v>
      </c>
      <c r="R153" s="1065">
        <f t="shared" si="25"/>
        <v>0</v>
      </c>
      <c r="S153" s="1065">
        <f t="shared" si="25"/>
        <v>0</v>
      </c>
      <c r="T153" s="1099" t="s">
        <v>886</v>
      </c>
      <c r="U153" s="1100" t="s">
        <v>901</v>
      </c>
      <c r="V153" s="1099">
        <v>414</v>
      </c>
      <c r="W153" s="1099" t="s">
        <v>890</v>
      </c>
      <c r="X153" s="1216"/>
      <c r="Z153" s="1311">
        <f t="shared" si="29"/>
        <v>0</v>
      </c>
      <c r="AA153" s="1374">
        <f t="shared" si="28"/>
        <v>0</v>
      </c>
      <c r="AB153" s="1459">
        <f t="shared" si="28"/>
        <v>0</v>
      </c>
      <c r="AC153" s="1459">
        <f t="shared" si="28"/>
        <v>0</v>
      </c>
    </row>
    <row r="154" spans="1:29" s="736" customFormat="1" ht="90.75" customHeight="1">
      <c r="A154" s="1522" t="s">
        <v>757</v>
      </c>
      <c r="B154" s="1084" t="s">
        <v>537</v>
      </c>
      <c r="C154" s="871">
        <f t="shared" si="22"/>
        <v>10370</v>
      </c>
      <c r="D154" s="1249">
        <v>9747.7000000000007</v>
      </c>
      <c r="E154" s="1249">
        <v>622.29999999999995</v>
      </c>
      <c r="F154" s="1531">
        <f t="shared" si="23"/>
        <v>10370</v>
      </c>
      <c r="G154" s="1533">
        <v>9747.7000000000007</v>
      </c>
      <c r="H154" s="1533">
        <v>622.29999999999995</v>
      </c>
      <c r="I154" s="871">
        <f t="shared" si="24"/>
        <v>6005.2</v>
      </c>
      <c r="J154" s="1249">
        <v>5644.9</v>
      </c>
      <c r="K154" s="1249">
        <v>360.3</v>
      </c>
      <c r="L154" s="876">
        <f t="shared" si="30"/>
        <v>57.9</v>
      </c>
      <c r="M154" s="877">
        <f t="shared" si="30"/>
        <v>57.9</v>
      </c>
      <c r="N154" s="877">
        <f t="shared" si="30"/>
        <v>57.9</v>
      </c>
      <c r="O154" s="1214" t="s">
        <v>1283</v>
      </c>
      <c r="P154" s="1214" t="s">
        <v>1249</v>
      </c>
      <c r="Q154" s="1065">
        <f t="shared" si="25"/>
        <v>0</v>
      </c>
      <c r="R154" s="1065">
        <f t="shared" si="25"/>
        <v>0</v>
      </c>
      <c r="S154" s="1065">
        <f t="shared" si="25"/>
        <v>0</v>
      </c>
      <c r="T154" s="1099" t="s">
        <v>886</v>
      </c>
      <c r="U154" s="1100" t="s">
        <v>907</v>
      </c>
      <c r="V154" s="1099">
        <v>414</v>
      </c>
      <c r="W154" s="1099" t="s">
        <v>890</v>
      </c>
      <c r="X154" s="1216"/>
      <c r="Z154" s="1311">
        <f t="shared" si="29"/>
        <v>0</v>
      </c>
      <c r="AA154" s="1374">
        <f t="shared" si="28"/>
        <v>0</v>
      </c>
      <c r="AB154" s="1459">
        <f t="shared" si="28"/>
        <v>0</v>
      </c>
      <c r="AC154" s="1459">
        <f t="shared" si="28"/>
        <v>0</v>
      </c>
    </row>
    <row r="155" spans="1:29" s="736" customFormat="1" ht="93">
      <c r="A155" s="1522" t="s">
        <v>758</v>
      </c>
      <c r="B155" s="1084" t="s">
        <v>587</v>
      </c>
      <c r="C155" s="871">
        <f t="shared" si="22"/>
        <v>16203.1</v>
      </c>
      <c r="D155" s="1249">
        <v>15230.9</v>
      </c>
      <c r="E155" s="1249">
        <v>972.2</v>
      </c>
      <c r="F155" s="1531">
        <f t="shared" si="23"/>
        <v>16203.1</v>
      </c>
      <c r="G155" s="1533">
        <v>15230.9</v>
      </c>
      <c r="H155" s="1533">
        <v>972.2</v>
      </c>
      <c r="I155" s="1531">
        <f t="shared" si="24"/>
        <v>6294.9</v>
      </c>
      <c r="J155" s="1533">
        <v>5917.2</v>
      </c>
      <c r="K155" s="1533">
        <v>377.7</v>
      </c>
      <c r="L155" s="876">
        <f t="shared" si="30"/>
        <v>38.799999999999997</v>
      </c>
      <c r="M155" s="877">
        <f t="shared" si="30"/>
        <v>38.799999999999997</v>
      </c>
      <c r="N155" s="877">
        <f t="shared" si="30"/>
        <v>38.9</v>
      </c>
      <c r="O155" s="1214" t="s">
        <v>1284</v>
      </c>
      <c r="P155" s="1214" t="s">
        <v>1250</v>
      </c>
      <c r="Q155" s="1065">
        <f t="shared" ref="Q155:S170" si="31">C155-F155</f>
        <v>0</v>
      </c>
      <c r="R155" s="1065">
        <f t="shared" si="31"/>
        <v>0</v>
      </c>
      <c r="S155" s="1065">
        <f t="shared" si="31"/>
        <v>0</v>
      </c>
      <c r="T155" s="1099" t="s">
        <v>886</v>
      </c>
      <c r="U155" s="1100" t="s">
        <v>900</v>
      </c>
      <c r="V155" s="1099">
        <v>414</v>
      </c>
      <c r="W155" s="1099" t="s">
        <v>890</v>
      </c>
      <c r="X155" s="1216"/>
      <c r="Z155" s="1311">
        <f t="shared" si="29"/>
        <v>0</v>
      </c>
      <c r="AA155" s="1374">
        <f t="shared" si="28"/>
        <v>0</v>
      </c>
      <c r="AB155" s="1459">
        <f t="shared" si="28"/>
        <v>0</v>
      </c>
      <c r="AC155" s="1459">
        <f t="shared" si="28"/>
        <v>0</v>
      </c>
    </row>
    <row r="156" spans="1:29" ht="136.5" customHeight="1">
      <c r="A156" s="1522" t="s">
        <v>1359</v>
      </c>
      <c r="B156" s="955" t="s">
        <v>588</v>
      </c>
      <c r="C156" s="871">
        <f t="shared" si="22"/>
        <v>22869.1</v>
      </c>
      <c r="D156" s="1249">
        <v>21496.9</v>
      </c>
      <c r="E156" s="1249">
        <v>1372.2</v>
      </c>
      <c r="F156" s="1531">
        <f t="shared" si="23"/>
        <v>22869.1</v>
      </c>
      <c r="G156" s="1533">
        <v>21496.9</v>
      </c>
      <c r="H156" s="1533">
        <v>1372.2</v>
      </c>
      <c r="I156" s="1531">
        <f t="shared" si="24"/>
        <v>0</v>
      </c>
      <c r="J156" s="1533">
        <v>0</v>
      </c>
      <c r="K156" s="1533">
        <v>0</v>
      </c>
      <c r="L156" s="876">
        <f t="shared" si="30"/>
        <v>0</v>
      </c>
      <c r="M156" s="877">
        <f t="shared" si="30"/>
        <v>0</v>
      </c>
      <c r="N156" s="877">
        <f t="shared" si="30"/>
        <v>0</v>
      </c>
      <c r="O156" s="1214" t="s">
        <v>1192</v>
      </c>
      <c r="P156" s="1214" t="s">
        <v>1251</v>
      </c>
      <c r="Q156" s="1065">
        <f t="shared" si="31"/>
        <v>0</v>
      </c>
      <c r="R156" s="1065">
        <f t="shared" si="31"/>
        <v>0</v>
      </c>
      <c r="S156" s="1065">
        <f t="shared" si="31"/>
        <v>0</v>
      </c>
      <c r="T156" s="1099" t="s">
        <v>886</v>
      </c>
      <c r="U156" s="1100" t="s">
        <v>903</v>
      </c>
      <c r="V156" s="1099">
        <v>414</v>
      </c>
      <c r="W156" s="1099" t="s">
        <v>890</v>
      </c>
      <c r="Z156" s="1311">
        <f t="shared" si="29"/>
        <v>0</v>
      </c>
      <c r="AA156" s="1374">
        <f t="shared" si="28"/>
        <v>0</v>
      </c>
      <c r="AB156" s="1459">
        <f t="shared" si="28"/>
        <v>0</v>
      </c>
      <c r="AC156" s="1459">
        <f t="shared" si="28"/>
        <v>0</v>
      </c>
    </row>
    <row r="157" spans="1:29" ht="105" customHeight="1">
      <c r="A157" s="1522" t="s">
        <v>1360</v>
      </c>
      <c r="B157" s="955" t="s">
        <v>589</v>
      </c>
      <c r="C157" s="871">
        <f t="shared" si="22"/>
        <v>10547.8</v>
      </c>
      <c r="D157" s="1249">
        <v>9914.9</v>
      </c>
      <c r="E157" s="1249">
        <v>632.9</v>
      </c>
      <c r="F157" s="1531">
        <f t="shared" si="23"/>
        <v>10547.8</v>
      </c>
      <c r="G157" s="1533">
        <v>9914.9</v>
      </c>
      <c r="H157" s="1533">
        <v>632.9</v>
      </c>
      <c r="I157" s="1531">
        <f t="shared" si="24"/>
        <v>0</v>
      </c>
      <c r="J157" s="1533">
        <v>0</v>
      </c>
      <c r="K157" s="1533">
        <v>0</v>
      </c>
      <c r="L157" s="876">
        <f t="shared" si="30"/>
        <v>0</v>
      </c>
      <c r="M157" s="877">
        <f t="shared" si="30"/>
        <v>0</v>
      </c>
      <c r="N157" s="877">
        <f t="shared" si="30"/>
        <v>0</v>
      </c>
      <c r="O157" s="1214" t="s">
        <v>1285</v>
      </c>
      <c r="P157" s="1214" t="s">
        <v>1252</v>
      </c>
      <c r="Q157" s="1065">
        <f t="shared" si="31"/>
        <v>0</v>
      </c>
      <c r="R157" s="1065">
        <f t="shared" si="31"/>
        <v>0</v>
      </c>
      <c r="S157" s="1065">
        <f t="shared" si="31"/>
        <v>0</v>
      </c>
      <c r="T157" s="1099" t="s">
        <v>886</v>
      </c>
      <c r="U157" s="1100" t="s">
        <v>904</v>
      </c>
      <c r="V157" s="1099">
        <v>414</v>
      </c>
      <c r="W157" s="1099" t="s">
        <v>890</v>
      </c>
      <c r="Z157" s="1311">
        <f t="shared" si="29"/>
        <v>0</v>
      </c>
      <c r="AA157" s="1374">
        <f t="shared" si="28"/>
        <v>0</v>
      </c>
      <c r="AB157" s="1459">
        <f t="shared" si="28"/>
        <v>0</v>
      </c>
      <c r="AC157" s="1459">
        <f t="shared" si="28"/>
        <v>0</v>
      </c>
    </row>
    <row r="158" spans="1:29" ht="88.5" customHeight="1">
      <c r="A158" s="895">
        <v>104</v>
      </c>
      <c r="B158" s="955" t="s">
        <v>616</v>
      </c>
      <c r="C158" s="871">
        <f t="shared" si="22"/>
        <v>64593.7</v>
      </c>
      <c r="D158" s="1249">
        <v>60717.7</v>
      </c>
      <c r="E158" s="1249">
        <v>3876</v>
      </c>
      <c r="F158" s="1531">
        <f t="shared" si="23"/>
        <v>64593.7</v>
      </c>
      <c r="G158" s="1533">
        <v>60717.7</v>
      </c>
      <c r="H158" s="1533">
        <v>3876</v>
      </c>
      <c r="I158" s="1531">
        <f t="shared" si="24"/>
        <v>0</v>
      </c>
      <c r="J158" s="1533">
        <v>0</v>
      </c>
      <c r="K158" s="1533">
        <v>0</v>
      </c>
      <c r="L158" s="876">
        <f t="shared" si="30"/>
        <v>0</v>
      </c>
      <c r="M158" s="877">
        <f t="shared" si="30"/>
        <v>0</v>
      </c>
      <c r="N158" s="877">
        <f t="shared" si="30"/>
        <v>0</v>
      </c>
      <c r="O158" s="1214" t="s">
        <v>1192</v>
      </c>
      <c r="P158" s="1214" t="s">
        <v>1253</v>
      </c>
      <c r="Q158" s="1065">
        <f t="shared" si="31"/>
        <v>0</v>
      </c>
      <c r="R158" s="1065">
        <f t="shared" si="31"/>
        <v>0</v>
      </c>
      <c r="S158" s="1065">
        <f t="shared" si="31"/>
        <v>0</v>
      </c>
      <c r="T158" s="1099" t="s">
        <v>886</v>
      </c>
      <c r="U158" s="1100" t="s">
        <v>905</v>
      </c>
      <c r="V158" s="1099">
        <v>414</v>
      </c>
      <c r="W158" s="1099" t="s">
        <v>890</v>
      </c>
      <c r="Z158" s="1311">
        <f t="shared" si="29"/>
        <v>0</v>
      </c>
      <c r="AA158" s="1374">
        <f t="shared" si="28"/>
        <v>0</v>
      </c>
      <c r="AB158" s="1459">
        <f t="shared" si="28"/>
        <v>0</v>
      </c>
      <c r="AC158" s="1459">
        <f t="shared" si="28"/>
        <v>0</v>
      </c>
    </row>
    <row r="159" spans="1:29" ht="118.5" customHeight="1">
      <c r="A159" s="1522" t="s">
        <v>1361</v>
      </c>
      <c r="B159" s="955" t="s">
        <v>591</v>
      </c>
      <c r="C159" s="871">
        <f t="shared" si="22"/>
        <v>36681.5</v>
      </c>
      <c r="D159" s="1533">
        <v>34480.5</v>
      </c>
      <c r="E159" s="1249">
        <v>2201</v>
      </c>
      <c r="F159" s="1531">
        <f t="shared" si="23"/>
        <v>36681.5</v>
      </c>
      <c r="G159" s="1533">
        <v>34480.5</v>
      </c>
      <c r="H159" s="1533">
        <v>2201</v>
      </c>
      <c r="I159" s="1531">
        <f t="shared" si="24"/>
        <v>0</v>
      </c>
      <c r="J159" s="1533">
        <v>0</v>
      </c>
      <c r="K159" s="1533">
        <v>0</v>
      </c>
      <c r="L159" s="876">
        <f t="shared" si="30"/>
        <v>0</v>
      </c>
      <c r="M159" s="877">
        <f t="shared" si="30"/>
        <v>0</v>
      </c>
      <c r="N159" s="877">
        <f t="shared" si="30"/>
        <v>0</v>
      </c>
      <c r="O159" s="1214" t="s">
        <v>1192</v>
      </c>
      <c r="P159" s="1214" t="s">
        <v>1254</v>
      </c>
      <c r="Q159" s="1065">
        <f t="shared" si="31"/>
        <v>0</v>
      </c>
      <c r="R159" s="1065">
        <f t="shared" si="31"/>
        <v>0</v>
      </c>
      <c r="S159" s="1065">
        <f t="shared" si="31"/>
        <v>0</v>
      </c>
      <c r="T159" s="1099" t="s">
        <v>886</v>
      </c>
      <c r="U159" s="1100" t="s">
        <v>906</v>
      </c>
      <c r="V159" s="1099">
        <v>414</v>
      </c>
      <c r="W159" s="1099" t="s">
        <v>890</v>
      </c>
      <c r="Z159" s="1311">
        <f t="shared" si="29"/>
        <v>0</v>
      </c>
      <c r="AA159" s="1374">
        <f t="shared" si="28"/>
        <v>0</v>
      </c>
      <c r="AB159" s="1459">
        <f t="shared" si="28"/>
        <v>0</v>
      </c>
      <c r="AC159" s="1459">
        <f t="shared" si="28"/>
        <v>0</v>
      </c>
    </row>
    <row r="160" spans="1:29" ht="93">
      <c r="A160" s="895">
        <v>105</v>
      </c>
      <c r="B160" s="1084" t="s">
        <v>575</v>
      </c>
      <c r="C160" s="871">
        <f t="shared" si="22"/>
        <v>5568.4</v>
      </c>
      <c r="D160" s="1249">
        <v>5234.2</v>
      </c>
      <c r="E160" s="1249">
        <v>334.2</v>
      </c>
      <c r="F160" s="1531">
        <f t="shared" si="23"/>
        <v>5568.4</v>
      </c>
      <c r="G160" s="1533">
        <v>5234.2</v>
      </c>
      <c r="H160" s="1533">
        <v>334.2</v>
      </c>
      <c r="I160" s="1531">
        <f t="shared" si="24"/>
        <v>0</v>
      </c>
      <c r="J160" s="1533">
        <v>0</v>
      </c>
      <c r="K160" s="1533">
        <v>0</v>
      </c>
      <c r="L160" s="876">
        <f t="shared" si="30"/>
        <v>0</v>
      </c>
      <c r="M160" s="877">
        <f t="shared" si="30"/>
        <v>0</v>
      </c>
      <c r="N160" s="877">
        <f t="shared" si="30"/>
        <v>0</v>
      </c>
      <c r="O160" s="1214" t="s">
        <v>1192</v>
      </c>
      <c r="P160" s="1214" t="s">
        <v>1102</v>
      </c>
      <c r="Q160" s="1065">
        <f t="shared" si="31"/>
        <v>0</v>
      </c>
      <c r="R160" s="1065">
        <f t="shared" si="31"/>
        <v>0</v>
      </c>
      <c r="S160" s="1065">
        <f t="shared" si="31"/>
        <v>0</v>
      </c>
      <c r="T160" s="1099" t="s">
        <v>886</v>
      </c>
      <c r="U160" s="1100" t="s">
        <v>902</v>
      </c>
      <c r="V160" s="1099">
        <v>414</v>
      </c>
      <c r="W160" s="1099" t="s">
        <v>890</v>
      </c>
      <c r="Z160" s="1311">
        <f t="shared" si="29"/>
        <v>0</v>
      </c>
      <c r="AA160" s="1374">
        <f t="shared" si="28"/>
        <v>0</v>
      </c>
      <c r="AB160" s="1459">
        <f t="shared" si="28"/>
        <v>0</v>
      </c>
      <c r="AC160" s="1459">
        <f t="shared" si="28"/>
        <v>0</v>
      </c>
    </row>
    <row r="161" spans="1:29" ht="99" customHeight="1">
      <c r="A161" s="1522" t="s">
        <v>761</v>
      </c>
      <c r="B161" s="1084" t="s">
        <v>660</v>
      </c>
      <c r="C161" s="871">
        <f t="shared" si="22"/>
        <v>14883.1</v>
      </c>
      <c r="D161" s="1249">
        <v>13989.9</v>
      </c>
      <c r="E161" s="1249">
        <v>893.2</v>
      </c>
      <c r="F161" s="1531">
        <f t="shared" si="23"/>
        <v>14883.1</v>
      </c>
      <c r="G161" s="1533">
        <v>13989.9</v>
      </c>
      <c r="H161" s="1533">
        <v>893.2</v>
      </c>
      <c r="I161" s="1531">
        <f t="shared" si="24"/>
        <v>7215.3</v>
      </c>
      <c r="J161" s="1533">
        <f>6782.4</f>
        <v>6782.4</v>
      </c>
      <c r="K161" s="1533">
        <f>432.9</f>
        <v>432.9</v>
      </c>
      <c r="L161" s="876">
        <f t="shared" si="30"/>
        <v>48.5</v>
      </c>
      <c r="M161" s="877">
        <f t="shared" si="30"/>
        <v>48.5</v>
      </c>
      <c r="N161" s="877">
        <f t="shared" si="30"/>
        <v>48.5</v>
      </c>
      <c r="O161" s="1214" t="s">
        <v>1286</v>
      </c>
      <c r="P161" s="1214" t="s">
        <v>1255</v>
      </c>
      <c r="Q161" s="1065">
        <f t="shared" si="31"/>
        <v>0</v>
      </c>
      <c r="R161" s="1065">
        <f t="shared" si="31"/>
        <v>0</v>
      </c>
      <c r="S161" s="1065">
        <f t="shared" si="31"/>
        <v>0</v>
      </c>
      <c r="T161" s="1099" t="s">
        <v>886</v>
      </c>
      <c r="U161" s="1100" t="s">
        <v>908</v>
      </c>
      <c r="V161" s="1099">
        <v>414</v>
      </c>
      <c r="W161" s="1099" t="s">
        <v>890</v>
      </c>
      <c r="Z161" s="1311">
        <f t="shared" si="29"/>
        <v>0</v>
      </c>
      <c r="AA161" s="1374">
        <f t="shared" si="28"/>
        <v>0</v>
      </c>
      <c r="AB161" s="1459">
        <f t="shared" si="28"/>
        <v>0</v>
      </c>
      <c r="AC161" s="1459">
        <f t="shared" si="28"/>
        <v>0</v>
      </c>
    </row>
    <row r="162" spans="1:29" ht="63" customHeight="1">
      <c r="A162" s="1522" t="s">
        <v>764</v>
      </c>
      <c r="B162" s="1084" t="s">
        <v>659</v>
      </c>
      <c r="C162" s="871">
        <f t="shared" si="22"/>
        <v>5350.6</v>
      </c>
      <c r="D162" s="1249">
        <v>5029.3999999999996</v>
      </c>
      <c r="E162" s="1249">
        <v>321.2</v>
      </c>
      <c r="F162" s="1531">
        <f t="shared" si="23"/>
        <v>5350.6</v>
      </c>
      <c r="G162" s="1533">
        <v>5029.3999999999996</v>
      </c>
      <c r="H162" s="1533">
        <v>321.2</v>
      </c>
      <c r="I162" s="1531">
        <f t="shared" si="24"/>
        <v>3223.3</v>
      </c>
      <c r="J162" s="1533">
        <f>1388.4+1622.7+18.8</f>
        <v>3029.9</v>
      </c>
      <c r="K162" s="1533">
        <f>88.6+103.6+1.2</f>
        <v>193.4</v>
      </c>
      <c r="L162" s="876">
        <f t="shared" si="30"/>
        <v>60.2</v>
      </c>
      <c r="M162" s="877">
        <f t="shared" si="30"/>
        <v>60.2</v>
      </c>
      <c r="N162" s="877">
        <f t="shared" si="30"/>
        <v>60.2</v>
      </c>
      <c r="O162" s="1214" t="s">
        <v>1287</v>
      </c>
      <c r="P162" s="1214" t="s">
        <v>1256</v>
      </c>
      <c r="Q162" s="1065">
        <f t="shared" si="31"/>
        <v>0</v>
      </c>
      <c r="R162" s="1065">
        <f t="shared" si="31"/>
        <v>0</v>
      </c>
      <c r="S162" s="1065">
        <f t="shared" si="31"/>
        <v>0</v>
      </c>
      <c r="T162" s="1099" t="s">
        <v>886</v>
      </c>
      <c r="U162" s="1100" t="s">
        <v>909</v>
      </c>
      <c r="V162" s="1099">
        <v>414</v>
      </c>
      <c r="W162" s="1099" t="s">
        <v>910</v>
      </c>
      <c r="Z162" s="1311">
        <f t="shared" si="29"/>
        <v>0</v>
      </c>
      <c r="AA162" s="1374">
        <f t="shared" si="28"/>
        <v>0</v>
      </c>
      <c r="AB162" s="1459">
        <f t="shared" si="28"/>
        <v>0</v>
      </c>
      <c r="AC162" s="1459">
        <f t="shared" si="28"/>
        <v>0</v>
      </c>
    </row>
    <row r="163" spans="1:29" ht="86.25" customHeight="1">
      <c r="A163" s="1522" t="s">
        <v>1062</v>
      </c>
      <c r="B163" s="1526" t="s">
        <v>459</v>
      </c>
      <c r="C163" s="871">
        <f t="shared" si="22"/>
        <v>3006.6</v>
      </c>
      <c r="D163" s="972">
        <f>2610.1+216</f>
        <v>2826.1</v>
      </c>
      <c r="E163" s="972">
        <f>166.7+13.79</f>
        <v>180.5</v>
      </c>
      <c r="F163" s="1531">
        <f t="shared" si="23"/>
        <v>3006.6</v>
      </c>
      <c r="G163" s="1533">
        <v>2826.1</v>
      </c>
      <c r="H163" s="1533">
        <v>180.5</v>
      </c>
      <c r="I163" s="1531">
        <f t="shared" si="24"/>
        <v>0</v>
      </c>
      <c r="J163" s="1532">
        <v>0</v>
      </c>
      <c r="K163" s="1532">
        <v>0</v>
      </c>
      <c r="L163" s="876">
        <f t="shared" si="30"/>
        <v>0</v>
      </c>
      <c r="M163" s="877">
        <f t="shared" si="30"/>
        <v>0</v>
      </c>
      <c r="N163" s="877">
        <f t="shared" si="30"/>
        <v>0</v>
      </c>
      <c r="O163" s="1214" t="s">
        <v>1288</v>
      </c>
      <c r="P163" s="1214" t="s">
        <v>1257</v>
      </c>
      <c r="Q163" s="1065">
        <f t="shared" si="31"/>
        <v>0</v>
      </c>
      <c r="R163" s="1065">
        <f t="shared" si="31"/>
        <v>0</v>
      </c>
      <c r="S163" s="1065">
        <f t="shared" si="31"/>
        <v>0</v>
      </c>
      <c r="T163" s="1099" t="s">
        <v>886</v>
      </c>
      <c r="U163" s="1100" t="s">
        <v>889</v>
      </c>
      <c r="V163" s="1099">
        <v>414</v>
      </c>
      <c r="W163" s="1099" t="s">
        <v>890</v>
      </c>
      <c r="Z163" s="1311">
        <f t="shared" si="29"/>
        <v>0</v>
      </c>
      <c r="AA163" s="1374">
        <f t="shared" si="28"/>
        <v>0</v>
      </c>
      <c r="AB163" s="1459">
        <f t="shared" si="28"/>
        <v>0</v>
      </c>
      <c r="AC163" s="1459">
        <f t="shared" si="28"/>
        <v>0</v>
      </c>
    </row>
    <row r="164" spans="1:29" s="515" customFormat="1" ht="72.75" customHeight="1">
      <c r="A164" s="1522" t="s">
        <v>828</v>
      </c>
      <c r="B164" s="1075" t="s">
        <v>568</v>
      </c>
      <c r="C164" s="871">
        <f t="shared" si="22"/>
        <v>4391.5</v>
      </c>
      <c r="D164" s="972">
        <f>3674.8+453.2</f>
        <v>4128</v>
      </c>
      <c r="E164" s="972">
        <f>234.6+28.93</f>
        <v>263.5</v>
      </c>
      <c r="F164" s="1531">
        <f t="shared" si="23"/>
        <v>4391.5</v>
      </c>
      <c r="G164" s="1533">
        <v>4128</v>
      </c>
      <c r="H164" s="1533">
        <v>263.5</v>
      </c>
      <c r="I164" s="1531">
        <f t="shared" si="24"/>
        <v>3653.9</v>
      </c>
      <c r="J164" s="1532">
        <f>3380.4+18.8+35.4</f>
        <v>3434.6</v>
      </c>
      <c r="K164" s="1532">
        <f>215.8+1.2+2.3</f>
        <v>219.3</v>
      </c>
      <c r="L164" s="876">
        <f t="shared" si="30"/>
        <v>83.2</v>
      </c>
      <c r="M164" s="877">
        <f t="shared" si="30"/>
        <v>83.2</v>
      </c>
      <c r="N164" s="877">
        <f t="shared" si="30"/>
        <v>83.2</v>
      </c>
      <c r="O164" s="1214" t="s">
        <v>1289</v>
      </c>
      <c r="P164" s="1214" t="s">
        <v>1258</v>
      </c>
      <c r="Q164" s="1065">
        <f t="shared" si="31"/>
        <v>0</v>
      </c>
      <c r="R164" s="1065">
        <f t="shared" si="31"/>
        <v>0</v>
      </c>
      <c r="S164" s="1065">
        <f t="shared" si="31"/>
        <v>0</v>
      </c>
      <c r="T164" s="1099" t="s">
        <v>886</v>
      </c>
      <c r="U164" s="1100" t="s">
        <v>891</v>
      </c>
      <c r="V164" s="1099">
        <v>414</v>
      </c>
      <c r="W164" s="1099" t="s">
        <v>890</v>
      </c>
      <c r="X164" s="1220"/>
      <c r="Z164" s="1311">
        <f t="shared" si="29"/>
        <v>0</v>
      </c>
      <c r="AA164" s="1374">
        <f t="shared" si="28"/>
        <v>0</v>
      </c>
      <c r="AB164" s="1459">
        <f t="shared" si="28"/>
        <v>0</v>
      </c>
      <c r="AC164" s="1459">
        <f t="shared" si="28"/>
        <v>0</v>
      </c>
    </row>
    <row r="165" spans="1:29" s="515" customFormat="1" ht="81.75" customHeight="1">
      <c r="A165" s="1522" t="s">
        <v>829</v>
      </c>
      <c r="B165" s="900" t="s">
        <v>693</v>
      </c>
      <c r="C165" s="871">
        <f t="shared" si="22"/>
        <v>23921.1</v>
      </c>
      <c r="D165" s="972">
        <f>18560.9+3924.8</f>
        <v>22485.7</v>
      </c>
      <c r="E165" s="972">
        <f>1184.8+250.55</f>
        <v>1435.4</v>
      </c>
      <c r="F165" s="1531">
        <f t="shared" si="23"/>
        <v>23921.1</v>
      </c>
      <c r="G165" s="1533">
        <v>22485.7</v>
      </c>
      <c r="H165" s="1533">
        <v>1435.4</v>
      </c>
      <c r="I165" s="1531">
        <f t="shared" si="24"/>
        <v>0</v>
      </c>
      <c r="J165" s="1532">
        <v>0</v>
      </c>
      <c r="K165" s="1532">
        <v>0</v>
      </c>
      <c r="L165" s="876">
        <f t="shared" si="30"/>
        <v>0</v>
      </c>
      <c r="M165" s="877">
        <f t="shared" si="30"/>
        <v>0</v>
      </c>
      <c r="N165" s="877">
        <f t="shared" si="30"/>
        <v>0</v>
      </c>
      <c r="O165" s="1214" t="s">
        <v>1192</v>
      </c>
      <c r="P165" s="1214" t="s">
        <v>1251</v>
      </c>
      <c r="Q165" s="1065">
        <f t="shared" si="31"/>
        <v>0</v>
      </c>
      <c r="R165" s="1065">
        <f t="shared" si="31"/>
        <v>0</v>
      </c>
      <c r="S165" s="1065">
        <f t="shared" si="31"/>
        <v>0</v>
      </c>
      <c r="T165" s="1099" t="s">
        <v>866</v>
      </c>
      <c r="U165" s="1100" t="s">
        <v>884</v>
      </c>
      <c r="V165" s="1099">
        <v>414</v>
      </c>
      <c r="W165" s="1099" t="s">
        <v>885</v>
      </c>
      <c r="X165" s="1220"/>
      <c r="Z165" s="1311">
        <f t="shared" si="29"/>
        <v>0</v>
      </c>
      <c r="AA165" s="1374">
        <f t="shared" si="28"/>
        <v>0</v>
      </c>
      <c r="AB165" s="1459">
        <f t="shared" si="28"/>
        <v>0</v>
      </c>
      <c r="AC165" s="1459">
        <f t="shared" si="28"/>
        <v>0</v>
      </c>
    </row>
    <row r="166" spans="1:29" s="515" customFormat="1" ht="63" customHeight="1">
      <c r="A166" s="1522" t="s">
        <v>821</v>
      </c>
      <c r="B166" s="987" t="s">
        <v>794</v>
      </c>
      <c r="C166" s="871">
        <f t="shared" si="22"/>
        <v>264888.5</v>
      </c>
      <c r="D166" s="972">
        <f>160380+75158.5+12733.8</f>
        <v>248272.3</v>
      </c>
      <c r="E166" s="1256">
        <v>16616.2</v>
      </c>
      <c r="F166" s="1531">
        <f t="shared" si="23"/>
        <v>264888.5</v>
      </c>
      <c r="G166" s="1533">
        <v>248272.3</v>
      </c>
      <c r="H166" s="1533">
        <v>16616.2</v>
      </c>
      <c r="I166" s="1531">
        <f t="shared" si="24"/>
        <v>47976.4</v>
      </c>
      <c r="J166" s="1532">
        <f>44883.8+65.6</f>
        <v>44949.4</v>
      </c>
      <c r="K166" s="1532">
        <f>3022.6+4.4</f>
        <v>3027</v>
      </c>
      <c r="L166" s="876">
        <f t="shared" ref="L166:N171" si="32">IF(I166=0,0,I166/F166*100)</f>
        <v>18.100000000000001</v>
      </c>
      <c r="M166" s="877">
        <f t="shared" si="32"/>
        <v>18.100000000000001</v>
      </c>
      <c r="N166" s="877">
        <f t="shared" si="32"/>
        <v>18.2</v>
      </c>
      <c r="O166" s="1214" t="s">
        <v>1296</v>
      </c>
      <c r="P166" s="1214" t="s">
        <v>1259</v>
      </c>
      <c r="Q166" s="1065">
        <f t="shared" si="31"/>
        <v>0</v>
      </c>
      <c r="R166" s="1065">
        <f t="shared" si="31"/>
        <v>0</v>
      </c>
      <c r="S166" s="1065">
        <f t="shared" si="31"/>
        <v>0</v>
      </c>
      <c r="T166" s="1099" t="s">
        <v>866</v>
      </c>
      <c r="U166" s="1100" t="s">
        <v>896</v>
      </c>
      <c r="V166" s="1099">
        <v>414</v>
      </c>
      <c r="W166" s="1099" t="s">
        <v>897</v>
      </c>
      <c r="X166" s="1220"/>
      <c r="Z166" s="1311">
        <f t="shared" si="29"/>
        <v>0</v>
      </c>
      <c r="AA166" s="1374">
        <f t="shared" si="28"/>
        <v>0</v>
      </c>
      <c r="AB166" s="1459">
        <f t="shared" si="28"/>
        <v>0</v>
      </c>
      <c r="AC166" s="1459">
        <f t="shared" si="28"/>
        <v>0</v>
      </c>
    </row>
    <row r="167" spans="1:29" ht="63" customHeight="1">
      <c r="A167" s="2404" t="s">
        <v>822</v>
      </c>
      <c r="B167" s="1084" t="s">
        <v>644</v>
      </c>
      <c r="C167" s="871">
        <f t="shared" si="22"/>
        <v>16856</v>
      </c>
      <c r="D167" s="1249">
        <v>0</v>
      </c>
      <c r="E167" s="1249">
        <v>16856</v>
      </c>
      <c r="F167" s="1531">
        <f t="shared" si="23"/>
        <v>16856</v>
      </c>
      <c r="G167" s="1533">
        <v>0</v>
      </c>
      <c r="H167" s="1533">
        <v>16856</v>
      </c>
      <c r="I167" s="1531">
        <f t="shared" si="24"/>
        <v>15355.9</v>
      </c>
      <c r="J167" s="1533">
        <v>0</v>
      </c>
      <c r="K167" s="1533">
        <v>15355.9</v>
      </c>
      <c r="L167" s="876">
        <f t="shared" si="32"/>
        <v>91.1</v>
      </c>
      <c r="M167" s="877">
        <f t="shared" si="32"/>
        <v>0</v>
      </c>
      <c r="N167" s="877">
        <f t="shared" si="32"/>
        <v>91.1</v>
      </c>
      <c r="O167" s="1214" t="s">
        <v>1297</v>
      </c>
      <c r="P167" s="1214" t="s">
        <v>1260</v>
      </c>
      <c r="Q167" s="1065">
        <f t="shared" si="31"/>
        <v>0</v>
      </c>
      <c r="R167" s="1065">
        <f t="shared" si="31"/>
        <v>0</v>
      </c>
      <c r="S167" s="1065">
        <f t="shared" si="31"/>
        <v>0</v>
      </c>
      <c r="T167" s="1099" t="s">
        <v>872</v>
      </c>
      <c r="U167" s="1100">
        <v>1130390420</v>
      </c>
      <c r="V167" s="1099">
        <v>414</v>
      </c>
      <c r="W167" s="1099">
        <v>14019</v>
      </c>
      <c r="Z167" s="1311">
        <f t="shared" si="29"/>
        <v>0</v>
      </c>
      <c r="AA167" s="1374">
        <f t="shared" si="28"/>
        <v>0</v>
      </c>
      <c r="AB167" s="1459">
        <f t="shared" si="28"/>
        <v>0</v>
      </c>
      <c r="AC167" s="1459">
        <f t="shared" si="28"/>
        <v>0</v>
      </c>
    </row>
    <row r="168" spans="1:29" ht="63" customHeight="1">
      <c r="A168" s="2405"/>
      <c r="B168" s="1084" t="s">
        <v>478</v>
      </c>
      <c r="C168" s="871">
        <f t="shared" si="22"/>
        <v>444195.7</v>
      </c>
      <c r="D168" s="1249">
        <v>417543.8</v>
      </c>
      <c r="E168" s="1257">
        <v>26651.9</v>
      </c>
      <c r="F168" s="1531">
        <f t="shared" si="23"/>
        <v>444195.7</v>
      </c>
      <c r="G168" s="1533">
        <v>417543.8</v>
      </c>
      <c r="H168" s="1068">
        <v>26651.9</v>
      </c>
      <c r="I168" s="1531">
        <f t="shared" si="24"/>
        <v>300013.09999999998</v>
      </c>
      <c r="J168" s="1533">
        <f>280718.2+1294.1</f>
        <v>282012.3</v>
      </c>
      <c r="K168" s="1533">
        <f>17918.2+82.6</f>
        <v>18000.8</v>
      </c>
      <c r="L168" s="876">
        <f t="shared" si="32"/>
        <v>67.5</v>
      </c>
      <c r="M168" s="877">
        <f t="shared" si="32"/>
        <v>67.5</v>
      </c>
      <c r="N168" s="877">
        <f t="shared" si="32"/>
        <v>67.5</v>
      </c>
      <c r="O168" s="1214" t="s">
        <v>1298</v>
      </c>
      <c r="P168" s="1214" t="s">
        <v>1261</v>
      </c>
      <c r="Q168" s="1065">
        <f t="shared" si="31"/>
        <v>0</v>
      </c>
      <c r="R168" s="1065">
        <f t="shared" si="31"/>
        <v>0</v>
      </c>
      <c r="S168" s="1065">
        <f t="shared" si="31"/>
        <v>0</v>
      </c>
      <c r="T168" s="1099" t="s">
        <v>886</v>
      </c>
      <c r="U168" s="1100" t="s">
        <v>898</v>
      </c>
      <c r="V168" s="1099">
        <v>414</v>
      </c>
      <c r="W168" s="1099" t="s">
        <v>899</v>
      </c>
      <c r="Z168" s="1311">
        <f t="shared" si="29"/>
        <v>0</v>
      </c>
      <c r="AA168" s="1374">
        <f t="shared" si="28"/>
        <v>0</v>
      </c>
      <c r="AB168" s="1459">
        <f t="shared" si="28"/>
        <v>0</v>
      </c>
      <c r="AC168" s="1459">
        <f t="shared" si="28"/>
        <v>0</v>
      </c>
    </row>
    <row r="169" spans="1:29" s="515" customFormat="1" ht="74.25" customHeight="1">
      <c r="A169" s="1522" t="s">
        <v>823</v>
      </c>
      <c r="B169" s="900" t="s">
        <v>499</v>
      </c>
      <c r="C169" s="871">
        <f t="shared" si="22"/>
        <v>9981.4</v>
      </c>
      <c r="D169" s="972">
        <f>8500+859.8</f>
        <v>9359.7999999999993</v>
      </c>
      <c r="E169" s="972">
        <f>564.5+57.1</f>
        <v>621.6</v>
      </c>
      <c r="F169" s="1531">
        <f t="shared" si="23"/>
        <v>9981.4</v>
      </c>
      <c r="G169" s="1533">
        <v>9359.7999999999993</v>
      </c>
      <c r="H169" s="1533">
        <v>621.6</v>
      </c>
      <c r="I169" s="1531">
        <f t="shared" si="24"/>
        <v>2500.9</v>
      </c>
      <c r="J169" s="1532">
        <f>2323.5+21.7</f>
        <v>2345.1999999999998</v>
      </c>
      <c r="K169" s="1532">
        <f>154.3+1.4</f>
        <v>155.69999999999999</v>
      </c>
      <c r="L169" s="876">
        <f t="shared" si="32"/>
        <v>25.1</v>
      </c>
      <c r="M169" s="877">
        <f t="shared" si="32"/>
        <v>25.1</v>
      </c>
      <c r="N169" s="877">
        <f t="shared" si="32"/>
        <v>25</v>
      </c>
      <c r="O169" s="1214" t="s">
        <v>1299</v>
      </c>
      <c r="P169" s="1214" t="s">
        <v>1262</v>
      </c>
      <c r="Q169" s="1065">
        <f t="shared" si="31"/>
        <v>0</v>
      </c>
      <c r="R169" s="1065">
        <f t="shared" si="31"/>
        <v>0</v>
      </c>
      <c r="S169" s="1065">
        <f t="shared" si="31"/>
        <v>0</v>
      </c>
      <c r="T169" s="1099" t="s">
        <v>871</v>
      </c>
      <c r="U169" s="1100" t="s">
        <v>870</v>
      </c>
      <c r="V169" s="1099">
        <v>414</v>
      </c>
      <c r="W169" s="1099" t="s">
        <v>873</v>
      </c>
      <c r="X169" s="1220"/>
      <c r="Z169" s="1311">
        <f t="shared" si="29"/>
        <v>0</v>
      </c>
      <c r="AA169" s="1374">
        <f t="shared" si="28"/>
        <v>0</v>
      </c>
      <c r="AB169" s="1459">
        <f t="shared" si="28"/>
        <v>0</v>
      </c>
      <c r="AC169" s="1459">
        <f t="shared" si="28"/>
        <v>0</v>
      </c>
    </row>
    <row r="170" spans="1:29" ht="54.75" customHeight="1">
      <c r="A170" s="1519" t="s">
        <v>915</v>
      </c>
      <c r="B170" s="900" t="s">
        <v>768</v>
      </c>
      <c r="C170" s="871">
        <f t="shared" si="22"/>
        <v>8900</v>
      </c>
      <c r="D170" s="972">
        <v>0</v>
      </c>
      <c r="E170" s="972">
        <v>8900</v>
      </c>
      <c r="F170" s="1531">
        <f t="shared" si="23"/>
        <v>8900</v>
      </c>
      <c r="G170" s="1533">
        <v>0</v>
      </c>
      <c r="H170" s="1533">
        <v>8900</v>
      </c>
      <c r="I170" s="1531">
        <f t="shared" si="24"/>
        <v>0</v>
      </c>
      <c r="J170" s="1532">
        <v>0</v>
      </c>
      <c r="K170" s="1532">
        <v>0</v>
      </c>
      <c r="L170" s="876">
        <f t="shared" si="32"/>
        <v>0</v>
      </c>
      <c r="M170" s="877">
        <f t="shared" si="32"/>
        <v>0</v>
      </c>
      <c r="N170" s="877">
        <f t="shared" si="32"/>
        <v>0</v>
      </c>
      <c r="O170" s="1214" t="s">
        <v>1300</v>
      </c>
      <c r="P170" s="1214" t="s">
        <v>1263</v>
      </c>
      <c r="Q170" s="1065">
        <f>C170-F170</f>
        <v>0</v>
      </c>
      <c r="R170" s="1065">
        <f t="shared" si="31"/>
        <v>0</v>
      </c>
      <c r="S170" s="1065">
        <f t="shared" si="31"/>
        <v>0</v>
      </c>
      <c r="T170" s="1099" t="s">
        <v>872</v>
      </c>
      <c r="U170" s="1100">
        <v>1130390420</v>
      </c>
      <c r="V170" s="1099">
        <v>414</v>
      </c>
      <c r="W170" s="1099">
        <v>14009</v>
      </c>
      <c r="Z170" s="1311">
        <f t="shared" si="29"/>
        <v>0</v>
      </c>
      <c r="AA170" s="1374">
        <f t="shared" si="28"/>
        <v>0</v>
      </c>
      <c r="AB170" s="1459">
        <f t="shared" si="28"/>
        <v>0</v>
      </c>
      <c r="AC170" s="1459">
        <f t="shared" si="28"/>
        <v>0</v>
      </c>
    </row>
    <row r="171" spans="1:29" ht="74.25" customHeight="1">
      <c r="A171" s="1522" t="s">
        <v>916</v>
      </c>
      <c r="B171" s="900" t="s">
        <v>769</v>
      </c>
      <c r="C171" s="871">
        <f t="shared" si="22"/>
        <v>21489</v>
      </c>
      <c r="D171" s="972">
        <v>0</v>
      </c>
      <c r="E171" s="972">
        <v>21489</v>
      </c>
      <c r="F171" s="1531">
        <f t="shared" si="23"/>
        <v>21489</v>
      </c>
      <c r="G171" s="1533">
        <v>0</v>
      </c>
      <c r="H171" s="1533">
        <v>21489</v>
      </c>
      <c r="I171" s="1531">
        <f t="shared" si="24"/>
        <v>6446.7</v>
      </c>
      <c r="J171" s="1532">
        <v>0</v>
      </c>
      <c r="K171" s="1532">
        <v>6446.7</v>
      </c>
      <c r="L171" s="876">
        <f t="shared" si="32"/>
        <v>30</v>
      </c>
      <c r="M171" s="877">
        <f t="shared" si="32"/>
        <v>0</v>
      </c>
      <c r="N171" s="877">
        <f t="shared" si="32"/>
        <v>30</v>
      </c>
      <c r="O171" s="1214" t="s">
        <v>1301</v>
      </c>
      <c r="P171" s="1214" t="s">
        <v>1264</v>
      </c>
      <c r="Q171" s="1065">
        <f>C171-F171</f>
        <v>0</v>
      </c>
      <c r="R171" s="1065">
        <f t="shared" ref="Q171:S188" si="33">D171-G171</f>
        <v>0</v>
      </c>
      <c r="S171" s="1065">
        <f t="shared" si="33"/>
        <v>0</v>
      </c>
      <c r="T171" s="1099" t="s">
        <v>872</v>
      </c>
      <c r="U171" s="1100">
        <v>1130390420</v>
      </c>
      <c r="V171" s="1099">
        <v>414</v>
      </c>
      <c r="W171" s="1099">
        <v>14053</v>
      </c>
      <c r="Z171" s="1311">
        <f t="shared" si="29"/>
        <v>0</v>
      </c>
      <c r="AA171" s="1374">
        <f t="shared" si="28"/>
        <v>0</v>
      </c>
      <c r="AB171" s="1459">
        <f t="shared" si="28"/>
        <v>0</v>
      </c>
      <c r="AC171" s="1459">
        <f t="shared" si="28"/>
        <v>0</v>
      </c>
    </row>
    <row r="172" spans="1:29" s="736" customFormat="1" ht="27.75">
      <c r="A172" s="1522" t="s">
        <v>1362</v>
      </c>
      <c r="B172" s="900" t="s">
        <v>692</v>
      </c>
      <c r="C172" s="871">
        <f>SUM(D172:E172)</f>
        <v>22300</v>
      </c>
      <c r="D172" s="972">
        <f>22300*0.9396914446</f>
        <v>20955.099999999999</v>
      </c>
      <c r="E172" s="972">
        <f>22300*(1-0.9396914446)</f>
        <v>1344.9</v>
      </c>
      <c r="F172" s="1531">
        <f>SUM(G172:H172)</f>
        <v>22300</v>
      </c>
      <c r="G172" s="1533">
        <v>20955.099999999999</v>
      </c>
      <c r="H172" s="1533">
        <v>1344.9</v>
      </c>
      <c r="I172" s="2463">
        <f>SUM(J172:K172)</f>
        <v>0</v>
      </c>
      <c r="J172" s="2464">
        <v>0</v>
      </c>
      <c r="K172" s="2464">
        <v>0</v>
      </c>
      <c r="L172" s="2467">
        <f>IF(I172=0,0,I172/F172:F173*100)</f>
        <v>0</v>
      </c>
      <c r="M172" s="2462">
        <f>IF(J172=0,0,J172/G172:G173*100)</f>
        <v>0</v>
      </c>
      <c r="N172" s="2462">
        <f>IF(K172=0,0,K172/H172:H173*100)</f>
        <v>0</v>
      </c>
      <c r="O172" s="2460" t="s">
        <v>1192</v>
      </c>
      <c r="P172" s="2460" t="s">
        <v>1265</v>
      </c>
      <c r="Q172" s="1065">
        <f>C172-F172</f>
        <v>0</v>
      </c>
      <c r="R172" s="1065">
        <f t="shared" si="33"/>
        <v>0</v>
      </c>
      <c r="S172" s="1065">
        <f t="shared" si="33"/>
        <v>0</v>
      </c>
      <c r="T172" s="2409" t="s">
        <v>874</v>
      </c>
      <c r="U172" s="2445" t="s">
        <v>875</v>
      </c>
      <c r="V172" s="2409">
        <v>414</v>
      </c>
      <c r="W172" s="2409" t="s">
        <v>876</v>
      </c>
      <c r="X172" s="2468"/>
      <c r="Z172" s="1311">
        <f t="shared" si="29"/>
        <v>0</v>
      </c>
      <c r="AA172" s="1374">
        <f t="shared" si="28"/>
        <v>0</v>
      </c>
      <c r="AB172" s="1459">
        <f t="shared" si="28"/>
        <v>0</v>
      </c>
      <c r="AC172" s="1459">
        <f t="shared" si="28"/>
        <v>0</v>
      </c>
    </row>
    <row r="173" spans="1:29" s="736" customFormat="1" ht="27.75">
      <c r="A173" s="1522" t="s">
        <v>1363</v>
      </c>
      <c r="B173" s="900" t="s">
        <v>691</v>
      </c>
      <c r="C173" s="871">
        <f t="shared" si="22"/>
        <v>49000</v>
      </c>
      <c r="D173" s="972">
        <f>49000*0.9396914446</f>
        <v>46044.9</v>
      </c>
      <c r="E173" s="972">
        <f>49000*(1-0.9396914446)</f>
        <v>2955.1</v>
      </c>
      <c r="F173" s="1531">
        <f t="shared" si="23"/>
        <v>49000</v>
      </c>
      <c r="G173" s="1533">
        <v>46044.9</v>
      </c>
      <c r="H173" s="1533">
        <v>2955.1</v>
      </c>
      <c r="I173" s="2463"/>
      <c r="J173" s="2464"/>
      <c r="K173" s="2464"/>
      <c r="L173" s="2467"/>
      <c r="M173" s="2462"/>
      <c r="N173" s="2462"/>
      <c r="O173" s="2461"/>
      <c r="P173" s="2461"/>
      <c r="Q173" s="1065">
        <f t="shared" si="33"/>
        <v>0</v>
      </c>
      <c r="R173" s="1065">
        <f t="shared" si="33"/>
        <v>0</v>
      </c>
      <c r="S173" s="1065">
        <f t="shared" si="33"/>
        <v>0</v>
      </c>
      <c r="T173" s="2409"/>
      <c r="U173" s="2445"/>
      <c r="V173" s="2409"/>
      <c r="W173" s="2409"/>
      <c r="X173" s="2468"/>
      <c r="Z173" s="1311">
        <f t="shared" si="29"/>
        <v>0</v>
      </c>
      <c r="AA173" s="1374">
        <f t="shared" si="28"/>
        <v>0</v>
      </c>
      <c r="AB173" s="1459">
        <f t="shared" si="28"/>
        <v>0</v>
      </c>
      <c r="AC173" s="1459">
        <f t="shared" si="28"/>
        <v>0</v>
      </c>
    </row>
    <row r="174" spans="1:29" s="736" customFormat="1" ht="70.5" customHeight="1">
      <c r="A174" s="1519"/>
      <c r="B174" s="900" t="s">
        <v>1380</v>
      </c>
      <c r="C174" s="871">
        <f>SUM(D174:E174)</f>
        <v>24452.799999999999</v>
      </c>
      <c r="D174" s="972">
        <v>0</v>
      </c>
      <c r="E174" s="972">
        <v>24452.799999999999</v>
      </c>
      <c r="F174" s="1531">
        <f>SUM(G174:H174)</f>
        <v>24452.799999999999</v>
      </c>
      <c r="G174" s="1533">
        <v>0</v>
      </c>
      <c r="H174" s="1533">
        <v>24452.799999999999</v>
      </c>
      <c r="I174" s="1531">
        <f>SUM(J174:K174)</f>
        <v>0</v>
      </c>
      <c r="J174" s="1532">
        <v>0</v>
      </c>
      <c r="K174" s="1532">
        <v>0</v>
      </c>
      <c r="L174" s="876">
        <f t="shared" ref="L174:N175" si="34">IF(I174=0,0,I174/F174*100)</f>
        <v>0</v>
      </c>
      <c r="M174" s="877">
        <f t="shared" si="34"/>
        <v>0</v>
      </c>
      <c r="N174" s="877">
        <f t="shared" si="34"/>
        <v>0</v>
      </c>
      <c r="O174" s="1214" t="s">
        <v>1302</v>
      </c>
      <c r="P174" s="1214" t="s">
        <v>1266</v>
      </c>
      <c r="Q174" s="1065">
        <f>C174-F174</f>
        <v>0</v>
      </c>
      <c r="R174" s="1065">
        <f t="shared" si="33"/>
        <v>0</v>
      </c>
      <c r="S174" s="1065">
        <f t="shared" si="33"/>
        <v>0</v>
      </c>
      <c r="T174" s="1099" t="s">
        <v>872</v>
      </c>
      <c r="U174" s="1100">
        <v>1130490420</v>
      </c>
      <c r="V174" s="1099">
        <v>414</v>
      </c>
      <c r="W174" s="1099">
        <v>14007</v>
      </c>
      <c r="X174" s="1216"/>
      <c r="Z174" s="1311">
        <f t="shared" si="29"/>
        <v>0</v>
      </c>
      <c r="AA174" s="1374">
        <f t="shared" si="28"/>
        <v>0</v>
      </c>
      <c r="AB174" s="1459">
        <f t="shared" si="28"/>
        <v>0</v>
      </c>
      <c r="AC174" s="1459">
        <f t="shared" si="28"/>
        <v>0</v>
      </c>
    </row>
    <row r="175" spans="1:29" s="736" customFormat="1" ht="37.5" customHeight="1">
      <c r="A175" s="2404" t="s">
        <v>860</v>
      </c>
      <c r="B175" s="955" t="s">
        <v>767</v>
      </c>
      <c r="C175" s="871">
        <f t="shared" si="22"/>
        <v>5777.1</v>
      </c>
      <c r="D175" s="1249">
        <v>0</v>
      </c>
      <c r="E175" s="1249">
        <v>5777.1</v>
      </c>
      <c r="F175" s="1531">
        <f t="shared" si="23"/>
        <v>5777.1</v>
      </c>
      <c r="G175" s="1533">
        <v>0</v>
      </c>
      <c r="H175" s="1533">
        <v>5777.1</v>
      </c>
      <c r="I175" s="1531">
        <f t="shared" si="24"/>
        <v>0</v>
      </c>
      <c r="J175" s="1533">
        <v>0</v>
      </c>
      <c r="K175" s="1533">
        <v>0</v>
      </c>
      <c r="L175" s="876">
        <f t="shared" si="34"/>
        <v>0</v>
      </c>
      <c r="M175" s="877">
        <f t="shared" si="34"/>
        <v>0</v>
      </c>
      <c r="N175" s="877">
        <f t="shared" si="34"/>
        <v>0</v>
      </c>
      <c r="O175" s="1214" t="s">
        <v>1267</v>
      </c>
      <c r="P175" s="1214" t="s">
        <v>1219</v>
      </c>
      <c r="Q175" s="1065">
        <f t="shared" si="33"/>
        <v>0</v>
      </c>
      <c r="R175" s="1065">
        <f t="shared" si="33"/>
        <v>0</v>
      </c>
      <c r="S175" s="1065">
        <f t="shared" si="33"/>
        <v>0</v>
      </c>
      <c r="T175" s="2409" t="s">
        <v>872</v>
      </c>
      <c r="U175" s="2445" t="s">
        <v>878</v>
      </c>
      <c r="V175" s="2409">
        <v>414</v>
      </c>
      <c r="W175" s="2409" t="s">
        <v>879</v>
      </c>
      <c r="X175" s="2465"/>
      <c r="Z175" s="1311">
        <f t="shared" si="29"/>
        <v>0</v>
      </c>
      <c r="AA175" s="1374">
        <f t="shared" si="28"/>
        <v>0</v>
      </c>
      <c r="AB175" s="1459">
        <f t="shared" si="28"/>
        <v>0</v>
      </c>
      <c r="AC175" s="1459">
        <f t="shared" si="28"/>
        <v>0</v>
      </c>
    </row>
    <row r="176" spans="1:29" s="736" customFormat="1" ht="37.5" customHeight="1">
      <c r="A176" s="2405"/>
      <c r="B176" s="955" t="s">
        <v>763</v>
      </c>
      <c r="C176" s="871">
        <f t="shared" si="22"/>
        <v>32800</v>
      </c>
      <c r="D176" s="1249">
        <v>30832</v>
      </c>
      <c r="E176" s="1249">
        <v>1968</v>
      </c>
      <c r="F176" s="1531">
        <f t="shared" si="23"/>
        <v>32800</v>
      </c>
      <c r="G176" s="1533">
        <v>30832</v>
      </c>
      <c r="H176" s="1533">
        <v>1968</v>
      </c>
      <c r="I176" s="2463">
        <f>SUM(J176:K178)</f>
        <v>0</v>
      </c>
      <c r="J176" s="2466">
        <v>0</v>
      </c>
      <c r="K176" s="2466">
        <v>0</v>
      </c>
      <c r="L176" s="2467">
        <f>IF(I176=0,0,I176/F176:F178*100)</f>
        <v>0</v>
      </c>
      <c r="M176" s="2462">
        <f>IF(J176=0,0,J176/G176:G178*100)</f>
        <v>0</v>
      </c>
      <c r="N176" s="2462">
        <f>IF(K176=0,0,K176/H176:H178*100)</f>
        <v>0</v>
      </c>
      <c r="O176" s="1214" t="s">
        <v>1192</v>
      </c>
      <c r="P176" s="1214" t="s">
        <v>1219</v>
      </c>
      <c r="Q176" s="1065">
        <f t="shared" si="33"/>
        <v>0</v>
      </c>
      <c r="R176" s="1065">
        <f t="shared" si="33"/>
        <v>0</v>
      </c>
      <c r="S176" s="1065">
        <f t="shared" si="33"/>
        <v>0</v>
      </c>
      <c r="T176" s="2409"/>
      <c r="U176" s="2445"/>
      <c r="V176" s="2409"/>
      <c r="W176" s="2409"/>
      <c r="X176" s="2465"/>
      <c r="Z176" s="1311">
        <f t="shared" si="29"/>
        <v>0</v>
      </c>
      <c r="AA176" s="1374">
        <f t="shared" si="28"/>
        <v>0</v>
      </c>
      <c r="AB176" s="1459">
        <f t="shared" si="28"/>
        <v>0</v>
      </c>
      <c r="AC176" s="1459">
        <f t="shared" si="28"/>
        <v>0</v>
      </c>
    </row>
    <row r="177" spans="1:29" s="736" customFormat="1" ht="37.5" customHeight="1">
      <c r="A177" s="895">
        <v>117</v>
      </c>
      <c r="B177" s="955" t="s">
        <v>765</v>
      </c>
      <c r="C177" s="871">
        <f t="shared" si="22"/>
        <v>1200</v>
      </c>
      <c r="D177" s="1249">
        <v>1128</v>
      </c>
      <c r="E177" s="1249">
        <v>72</v>
      </c>
      <c r="F177" s="1531">
        <f t="shared" si="23"/>
        <v>1200</v>
      </c>
      <c r="G177" s="1533">
        <v>1128</v>
      </c>
      <c r="H177" s="1533">
        <v>72</v>
      </c>
      <c r="I177" s="2463"/>
      <c r="J177" s="2466"/>
      <c r="K177" s="2466"/>
      <c r="L177" s="2467"/>
      <c r="M177" s="2462"/>
      <c r="N177" s="2462"/>
      <c r="O177" s="1214" t="s">
        <v>1267</v>
      </c>
      <c r="P177" s="1214" t="s">
        <v>1219</v>
      </c>
      <c r="Q177" s="1065">
        <f t="shared" si="33"/>
        <v>0</v>
      </c>
      <c r="R177" s="1065">
        <f t="shared" si="33"/>
        <v>0</v>
      </c>
      <c r="S177" s="1065">
        <f t="shared" si="33"/>
        <v>0</v>
      </c>
      <c r="T177" s="2409"/>
      <c r="U177" s="2445"/>
      <c r="V177" s="2409"/>
      <c r="W177" s="2409"/>
      <c r="X177" s="2465"/>
      <c r="Z177" s="1311">
        <f t="shared" si="29"/>
        <v>0</v>
      </c>
      <c r="AA177" s="1374">
        <f t="shared" si="28"/>
        <v>0</v>
      </c>
      <c r="AB177" s="1459">
        <f t="shared" si="28"/>
        <v>0</v>
      </c>
      <c r="AC177" s="1459">
        <f t="shared" si="28"/>
        <v>0</v>
      </c>
    </row>
    <row r="178" spans="1:29" s="736" customFormat="1" ht="54.75" customHeight="1">
      <c r="A178" s="895">
        <v>118</v>
      </c>
      <c r="B178" s="955" t="s">
        <v>766</v>
      </c>
      <c r="C178" s="871">
        <f t="shared" si="22"/>
        <v>1500</v>
      </c>
      <c r="D178" s="1249">
        <v>1410</v>
      </c>
      <c r="E178" s="1249">
        <v>90</v>
      </c>
      <c r="F178" s="1531">
        <f t="shared" si="23"/>
        <v>1500</v>
      </c>
      <c r="G178" s="1533">
        <v>1410</v>
      </c>
      <c r="H178" s="1533">
        <v>90</v>
      </c>
      <c r="I178" s="2463"/>
      <c r="J178" s="2466"/>
      <c r="K178" s="2466"/>
      <c r="L178" s="2467"/>
      <c r="M178" s="2462"/>
      <c r="N178" s="2462"/>
      <c r="O178" s="1214" t="s">
        <v>1303</v>
      </c>
      <c r="P178" s="1214" t="s">
        <v>1268</v>
      </c>
      <c r="Q178" s="1065">
        <f t="shared" si="33"/>
        <v>0</v>
      </c>
      <c r="R178" s="1065">
        <f t="shared" si="33"/>
        <v>0</v>
      </c>
      <c r="S178" s="1065">
        <f t="shared" si="33"/>
        <v>0</v>
      </c>
      <c r="T178" s="1099" t="s">
        <v>923</v>
      </c>
      <c r="U178" s="1100" t="s">
        <v>924</v>
      </c>
      <c r="V178" s="1099">
        <v>414</v>
      </c>
      <c r="W178" s="1099" t="s">
        <v>922</v>
      </c>
      <c r="X178" s="1216"/>
      <c r="Z178" s="1311">
        <f t="shared" si="29"/>
        <v>0</v>
      </c>
      <c r="AA178" s="1374">
        <f t="shared" si="28"/>
        <v>0</v>
      </c>
      <c r="AB178" s="1459">
        <f t="shared" si="28"/>
        <v>0</v>
      </c>
      <c r="AC178" s="1459">
        <f t="shared" si="28"/>
        <v>0</v>
      </c>
    </row>
    <row r="179" spans="1:29" s="736" customFormat="1" ht="60" customHeight="1">
      <c r="A179" s="1522" t="s">
        <v>1312</v>
      </c>
      <c r="B179" s="900" t="s">
        <v>463</v>
      </c>
      <c r="C179" s="871">
        <f t="shared" si="22"/>
        <v>19846.5</v>
      </c>
      <c r="D179" s="972">
        <f>18651.8+3.8</f>
        <v>18655.599999999999</v>
      </c>
      <c r="E179" s="972">
        <f>1190.7+0.2</f>
        <v>1190.9000000000001</v>
      </c>
      <c r="F179" s="1531">
        <f t="shared" si="23"/>
        <v>19846.5</v>
      </c>
      <c r="G179" s="1533">
        <v>18655.599999999999</v>
      </c>
      <c r="H179" s="1533">
        <v>1190.9000000000001</v>
      </c>
      <c r="I179" s="1531">
        <f t="shared" ref="I179:I213" si="35">SUM(J179:K179)</f>
        <v>30</v>
      </c>
      <c r="J179" s="1532">
        <v>28.2</v>
      </c>
      <c r="K179" s="1532">
        <v>1.8</v>
      </c>
      <c r="L179" s="876">
        <f t="shared" ref="L179:N220" si="36">IF(I179=0,0,I179/F179*100)</f>
        <v>0.2</v>
      </c>
      <c r="M179" s="877">
        <f t="shared" si="36"/>
        <v>0.2</v>
      </c>
      <c r="N179" s="877">
        <f t="shared" si="36"/>
        <v>0.2</v>
      </c>
      <c r="O179" s="1214" t="s">
        <v>1192</v>
      </c>
      <c r="P179" s="1214" t="s">
        <v>1253</v>
      </c>
      <c r="Q179" s="1065">
        <f t="shared" si="33"/>
        <v>0</v>
      </c>
      <c r="R179" s="1065">
        <f t="shared" si="33"/>
        <v>0</v>
      </c>
      <c r="S179" s="1065">
        <f t="shared" si="33"/>
        <v>0</v>
      </c>
      <c r="T179" s="1099" t="s">
        <v>923</v>
      </c>
      <c r="U179" s="1100" t="s">
        <v>925</v>
      </c>
      <c r="V179" s="1099">
        <v>414</v>
      </c>
      <c r="W179" s="1099" t="s">
        <v>922</v>
      </c>
      <c r="X179" s="1216"/>
      <c r="Z179" s="1311">
        <f t="shared" si="29"/>
        <v>0</v>
      </c>
      <c r="AA179" s="1374">
        <f t="shared" si="28"/>
        <v>0</v>
      </c>
      <c r="AB179" s="1459">
        <f t="shared" si="28"/>
        <v>0</v>
      </c>
      <c r="AC179" s="1459">
        <f t="shared" si="28"/>
        <v>0</v>
      </c>
    </row>
    <row r="180" spans="1:29" s="736" customFormat="1" ht="69.75">
      <c r="A180" s="1522" t="s">
        <v>1065</v>
      </c>
      <c r="B180" s="900" t="s">
        <v>592</v>
      </c>
      <c r="C180" s="871">
        <f t="shared" si="22"/>
        <v>28317.1</v>
      </c>
      <c r="D180" s="972">
        <f>11848.8+14769.21</f>
        <v>26618</v>
      </c>
      <c r="E180" s="972">
        <f>756.4+942.7</f>
        <v>1699.1</v>
      </c>
      <c r="F180" s="1531">
        <f t="shared" si="23"/>
        <v>28317.1</v>
      </c>
      <c r="G180" s="1533">
        <v>26618</v>
      </c>
      <c r="H180" s="1533">
        <v>1699.1</v>
      </c>
      <c r="I180" s="1531">
        <f t="shared" si="35"/>
        <v>0</v>
      </c>
      <c r="J180" s="1532">
        <v>0</v>
      </c>
      <c r="K180" s="1532">
        <v>0</v>
      </c>
      <c r="L180" s="876">
        <f t="shared" si="36"/>
        <v>0</v>
      </c>
      <c r="M180" s="877">
        <f t="shared" si="36"/>
        <v>0</v>
      </c>
      <c r="N180" s="877">
        <f t="shared" si="36"/>
        <v>0</v>
      </c>
      <c r="O180" s="1214" t="s">
        <v>1192</v>
      </c>
      <c r="P180" s="1214" t="s">
        <v>1269</v>
      </c>
      <c r="Q180" s="1065">
        <f t="shared" si="33"/>
        <v>0</v>
      </c>
      <c r="R180" s="1065">
        <f t="shared" si="33"/>
        <v>0</v>
      </c>
      <c r="S180" s="1065">
        <f t="shared" si="33"/>
        <v>0</v>
      </c>
      <c r="T180" s="1099" t="s">
        <v>920</v>
      </c>
      <c r="U180" s="1100" t="s">
        <v>921</v>
      </c>
      <c r="V180" s="1099">
        <v>414</v>
      </c>
      <c r="W180" s="1099" t="s">
        <v>922</v>
      </c>
      <c r="X180" s="1216"/>
      <c r="Z180" s="1311">
        <f t="shared" si="29"/>
        <v>0</v>
      </c>
      <c r="AA180" s="1374">
        <f t="shared" si="28"/>
        <v>0</v>
      </c>
      <c r="AB180" s="1459">
        <f t="shared" si="28"/>
        <v>0</v>
      </c>
      <c r="AC180" s="1459">
        <f t="shared" si="28"/>
        <v>0</v>
      </c>
    </row>
    <row r="181" spans="1:29" s="736" customFormat="1" ht="33.75" customHeight="1">
      <c r="A181" s="2404" t="s">
        <v>855</v>
      </c>
      <c r="B181" s="900" t="s">
        <v>776</v>
      </c>
      <c r="C181" s="871">
        <f>SUM(D181:E181)</f>
        <v>28483.9</v>
      </c>
      <c r="D181" s="972">
        <f>27685.1-D182</f>
        <v>26774.6</v>
      </c>
      <c r="E181" s="972">
        <f>1767.2-E182</f>
        <v>1709.3</v>
      </c>
      <c r="F181" s="1531">
        <f t="shared" si="23"/>
        <v>28483.9</v>
      </c>
      <c r="G181" s="972">
        <f>D181</f>
        <v>26774.6</v>
      </c>
      <c r="H181" s="972">
        <f>E181</f>
        <v>1709.3</v>
      </c>
      <c r="I181" s="1531">
        <f t="shared" si="35"/>
        <v>24701.4</v>
      </c>
      <c r="J181" s="1532">
        <v>23219.200000000001</v>
      </c>
      <c r="K181" s="1532">
        <v>1482.2</v>
      </c>
      <c r="L181" s="876">
        <f t="shared" si="36"/>
        <v>86.7</v>
      </c>
      <c r="M181" s="877">
        <f t="shared" si="36"/>
        <v>86.7</v>
      </c>
      <c r="N181" s="877">
        <f t="shared" si="36"/>
        <v>86.7</v>
      </c>
      <c r="O181" s="1214" t="s">
        <v>1272</v>
      </c>
      <c r="P181" s="1214" t="s">
        <v>1273</v>
      </c>
      <c r="Q181" s="1065">
        <f>C181-F181</f>
        <v>0</v>
      </c>
      <c r="R181" s="1065">
        <f>D181-G181</f>
        <v>0</v>
      </c>
      <c r="S181" s="1065">
        <f>E181-H181</f>
        <v>0</v>
      </c>
      <c r="T181" s="1099" t="s">
        <v>928</v>
      </c>
      <c r="U181" s="1100" t="s">
        <v>929</v>
      </c>
      <c r="V181" s="1099">
        <v>414</v>
      </c>
      <c r="W181" s="1099">
        <v>14036</v>
      </c>
      <c r="X181" s="1216"/>
      <c r="Z181" s="1311">
        <f>C181-F181</f>
        <v>0</v>
      </c>
      <c r="AA181" s="1374">
        <f t="shared" si="28"/>
        <v>0</v>
      </c>
      <c r="AB181" s="1459">
        <f t="shared" si="28"/>
        <v>0</v>
      </c>
      <c r="AC181" s="1459">
        <f t="shared" si="28"/>
        <v>0</v>
      </c>
    </row>
    <row r="182" spans="1:29" s="736" customFormat="1" ht="78.75" customHeight="1">
      <c r="A182" s="2405"/>
      <c r="B182" s="900" t="s">
        <v>1335</v>
      </c>
      <c r="C182" s="1531">
        <f>SUM(D182:E182)</f>
        <v>968.4</v>
      </c>
      <c r="D182" s="1533">
        <v>910.5</v>
      </c>
      <c r="E182" s="1533">
        <v>57.9</v>
      </c>
      <c r="F182" s="1531">
        <f>SUM(G182:H182)</f>
        <v>968.4</v>
      </c>
      <c r="G182" s="879">
        <f>D182</f>
        <v>910.5</v>
      </c>
      <c r="H182" s="879">
        <f>E182</f>
        <v>57.9</v>
      </c>
      <c r="I182" s="1531">
        <f>SUM(J182:K182)</f>
        <v>0</v>
      </c>
      <c r="J182" s="1533">
        <v>0</v>
      </c>
      <c r="K182" s="1533">
        <v>0</v>
      </c>
      <c r="L182" s="876">
        <f>IF(I182=0,0,I182/F182*100)</f>
        <v>0</v>
      </c>
      <c r="M182" s="877">
        <f>IF(J182=0,0,J182/G182*100)</f>
        <v>0</v>
      </c>
      <c r="N182" s="877">
        <f>IF(K182=0,0,K182/H182*100)</f>
        <v>0</v>
      </c>
      <c r="O182" s="1214" t="s">
        <v>1304</v>
      </c>
      <c r="P182" s="1214" t="s">
        <v>1270</v>
      </c>
      <c r="Q182" s="1065">
        <f t="shared" si="33"/>
        <v>0</v>
      </c>
      <c r="R182" s="1065">
        <f t="shared" si="33"/>
        <v>0</v>
      </c>
      <c r="S182" s="1065">
        <f t="shared" si="33"/>
        <v>0</v>
      </c>
      <c r="T182" s="1099" t="s">
        <v>928</v>
      </c>
      <c r="U182" s="1100" t="s">
        <v>929</v>
      </c>
      <c r="V182" s="1099">
        <v>414</v>
      </c>
      <c r="W182" s="1099">
        <v>14003</v>
      </c>
      <c r="X182" s="1216"/>
      <c r="Z182" s="1311">
        <f t="shared" si="29"/>
        <v>0</v>
      </c>
      <c r="AA182" s="1374">
        <f t="shared" si="28"/>
        <v>0</v>
      </c>
      <c r="AB182" s="1459">
        <f t="shared" si="28"/>
        <v>0</v>
      </c>
      <c r="AC182" s="1459">
        <f t="shared" si="28"/>
        <v>0</v>
      </c>
    </row>
    <row r="183" spans="1:29" s="736" customFormat="1" ht="94.5" customHeight="1">
      <c r="A183" s="2442" t="s">
        <v>856</v>
      </c>
      <c r="B183" s="901" t="s">
        <v>638</v>
      </c>
      <c r="C183" s="871">
        <f t="shared" si="22"/>
        <v>15520</v>
      </c>
      <c r="D183" s="972">
        <v>0</v>
      </c>
      <c r="E183" s="972">
        <v>15520</v>
      </c>
      <c r="F183" s="1531">
        <f t="shared" si="23"/>
        <v>15520</v>
      </c>
      <c r="G183" s="1533">
        <v>0</v>
      </c>
      <c r="H183" s="1533">
        <v>15520</v>
      </c>
      <c r="I183" s="1531">
        <f t="shared" si="35"/>
        <v>4656</v>
      </c>
      <c r="J183" s="1532">
        <v>0</v>
      </c>
      <c r="K183" s="1532">
        <v>4656</v>
      </c>
      <c r="L183" s="876">
        <f t="shared" si="36"/>
        <v>30</v>
      </c>
      <c r="M183" s="877">
        <f t="shared" si="36"/>
        <v>0</v>
      </c>
      <c r="N183" s="877">
        <f t="shared" si="36"/>
        <v>30</v>
      </c>
      <c r="O183" s="1214" t="s">
        <v>1192</v>
      </c>
      <c r="P183" s="1214" t="s">
        <v>1271</v>
      </c>
      <c r="Q183" s="1065">
        <f t="shared" si="33"/>
        <v>0</v>
      </c>
      <c r="R183" s="1065">
        <f t="shared" si="33"/>
        <v>0</v>
      </c>
      <c r="S183" s="1065">
        <f t="shared" si="33"/>
        <v>0</v>
      </c>
      <c r="T183" s="1099" t="s">
        <v>928</v>
      </c>
      <c r="U183" s="1100" t="s">
        <v>931</v>
      </c>
      <c r="V183" s="1099">
        <v>414</v>
      </c>
      <c r="W183" s="1099" t="s">
        <v>930</v>
      </c>
      <c r="X183" s="1216"/>
      <c r="Z183" s="1311">
        <f t="shared" si="29"/>
        <v>0</v>
      </c>
      <c r="AA183" s="1374">
        <f t="shared" si="28"/>
        <v>0</v>
      </c>
      <c r="AB183" s="1459">
        <f t="shared" si="28"/>
        <v>0</v>
      </c>
      <c r="AC183" s="1459">
        <f t="shared" si="28"/>
        <v>0</v>
      </c>
    </row>
    <row r="184" spans="1:29" s="736" customFormat="1" ht="87.75" customHeight="1">
      <c r="A184" s="2442"/>
      <c r="B184" s="990" t="s">
        <v>694</v>
      </c>
      <c r="C184" s="871">
        <f t="shared" si="22"/>
        <v>251200</v>
      </c>
      <c r="D184" s="972">
        <v>236128</v>
      </c>
      <c r="E184" s="972">
        <v>15072</v>
      </c>
      <c r="F184" s="1531">
        <f t="shared" si="23"/>
        <v>251200</v>
      </c>
      <c r="G184" s="1533">
        <v>236128</v>
      </c>
      <c r="H184" s="1533">
        <v>15072</v>
      </c>
      <c r="I184" s="1531">
        <f t="shared" si="35"/>
        <v>0</v>
      </c>
      <c r="J184" s="1532">
        <v>0</v>
      </c>
      <c r="K184" s="1532">
        <v>0</v>
      </c>
      <c r="L184" s="876">
        <f t="shared" si="36"/>
        <v>0</v>
      </c>
      <c r="M184" s="877">
        <f t="shared" si="36"/>
        <v>0</v>
      </c>
      <c r="N184" s="877">
        <f t="shared" si="36"/>
        <v>0</v>
      </c>
      <c r="O184" s="1214" t="s">
        <v>1272</v>
      </c>
      <c r="P184" s="1214" t="s">
        <v>1273</v>
      </c>
      <c r="Q184" s="1065">
        <f t="shared" si="33"/>
        <v>0</v>
      </c>
      <c r="R184" s="1065">
        <f t="shared" si="33"/>
        <v>0</v>
      </c>
      <c r="S184" s="1065">
        <f t="shared" si="33"/>
        <v>0</v>
      </c>
      <c r="T184" s="1099" t="s">
        <v>928</v>
      </c>
      <c r="U184" s="1100" t="s">
        <v>929</v>
      </c>
      <c r="V184" s="1099">
        <v>414</v>
      </c>
      <c r="W184" s="1099">
        <v>14036</v>
      </c>
      <c r="X184" s="1216"/>
      <c r="Z184" s="1311">
        <f t="shared" si="29"/>
        <v>0</v>
      </c>
      <c r="AA184" s="1374">
        <f t="shared" si="28"/>
        <v>0</v>
      </c>
      <c r="AB184" s="1459">
        <f t="shared" si="28"/>
        <v>0</v>
      </c>
      <c r="AC184" s="1459">
        <f t="shared" si="28"/>
        <v>0</v>
      </c>
    </row>
    <row r="185" spans="1:29" s="736" customFormat="1" ht="61.5" customHeight="1">
      <c r="A185" s="2442" t="s">
        <v>857</v>
      </c>
      <c r="B185" s="900" t="s">
        <v>646</v>
      </c>
      <c r="C185" s="871">
        <f t="shared" si="22"/>
        <v>7500</v>
      </c>
      <c r="D185" s="1249">
        <v>0</v>
      </c>
      <c r="E185" s="1249">
        <v>7500</v>
      </c>
      <c r="F185" s="1531">
        <f t="shared" si="23"/>
        <v>7500</v>
      </c>
      <c r="G185" s="1533">
        <v>0</v>
      </c>
      <c r="H185" s="1533">
        <v>7500</v>
      </c>
      <c r="I185" s="1531">
        <f t="shared" si="35"/>
        <v>7450</v>
      </c>
      <c r="J185" s="1533">
        <v>0</v>
      </c>
      <c r="K185" s="1533">
        <v>7450</v>
      </c>
      <c r="L185" s="876">
        <f t="shared" si="36"/>
        <v>99.3</v>
      </c>
      <c r="M185" s="877">
        <f t="shared" si="36"/>
        <v>0</v>
      </c>
      <c r="N185" s="877">
        <f t="shared" si="36"/>
        <v>99.3</v>
      </c>
      <c r="O185" s="1214" t="s">
        <v>1192</v>
      </c>
      <c r="P185" s="1214" t="s">
        <v>1274</v>
      </c>
      <c r="Q185" s="1065">
        <f t="shared" si="33"/>
        <v>0</v>
      </c>
      <c r="R185" s="1065">
        <f t="shared" si="33"/>
        <v>0</v>
      </c>
      <c r="S185" s="1065">
        <f t="shared" si="33"/>
        <v>0</v>
      </c>
      <c r="T185" s="1099" t="s">
        <v>928</v>
      </c>
      <c r="U185" s="1100" t="s">
        <v>1030</v>
      </c>
      <c r="V185" s="1099">
        <v>414</v>
      </c>
      <c r="W185" s="1099" t="s">
        <v>930</v>
      </c>
      <c r="X185" s="1216"/>
      <c r="Z185" s="1311">
        <f t="shared" si="29"/>
        <v>0</v>
      </c>
      <c r="AA185" s="1374">
        <f t="shared" si="28"/>
        <v>0</v>
      </c>
      <c r="AB185" s="1459">
        <f t="shared" si="28"/>
        <v>0</v>
      </c>
      <c r="AC185" s="1459">
        <f t="shared" si="28"/>
        <v>0</v>
      </c>
    </row>
    <row r="186" spans="1:29" s="736" customFormat="1" ht="74.25" customHeight="1">
      <c r="A186" s="2442"/>
      <c r="B186" s="990" t="s">
        <v>695</v>
      </c>
      <c r="C186" s="871">
        <f t="shared" si="22"/>
        <v>134909.6</v>
      </c>
      <c r="D186" s="972">
        <f>133919.9-D187</f>
        <v>126813.7</v>
      </c>
      <c r="E186" s="972">
        <f>8548.1-E187</f>
        <v>8095.9</v>
      </c>
      <c r="F186" s="1531">
        <f t="shared" si="23"/>
        <v>134909.6</v>
      </c>
      <c r="G186" s="1533">
        <v>126813.7</v>
      </c>
      <c r="H186" s="1533">
        <v>8095.9</v>
      </c>
      <c r="I186" s="1531">
        <f t="shared" si="35"/>
        <v>24513.7</v>
      </c>
      <c r="J186" s="1532">
        <f>21926.2+1116.6</f>
        <v>23042.799999999999</v>
      </c>
      <c r="K186" s="1532">
        <f>1399.6+71.3</f>
        <v>1470.9</v>
      </c>
      <c r="L186" s="876">
        <f t="shared" si="36"/>
        <v>18.2</v>
      </c>
      <c r="M186" s="877">
        <f t="shared" si="36"/>
        <v>18.2</v>
      </c>
      <c r="N186" s="877">
        <f t="shared" si="36"/>
        <v>18.2</v>
      </c>
      <c r="O186" s="1214" t="s">
        <v>1272</v>
      </c>
      <c r="P186" s="1214" t="s">
        <v>1273</v>
      </c>
      <c r="Q186" s="1065">
        <f>C186-F186</f>
        <v>0</v>
      </c>
      <c r="R186" s="1065">
        <f>D186-G186</f>
        <v>0</v>
      </c>
      <c r="S186" s="1065">
        <f>E186-H186</f>
        <v>0</v>
      </c>
      <c r="T186" s="1099" t="s">
        <v>928</v>
      </c>
      <c r="U186" s="1100" t="s">
        <v>929</v>
      </c>
      <c r="V186" s="1099">
        <v>414</v>
      </c>
      <c r="W186" s="1099">
        <v>14036</v>
      </c>
      <c r="X186" s="1216"/>
      <c r="Z186" s="1311">
        <f>C186-F186</f>
        <v>0</v>
      </c>
      <c r="AA186" s="1374">
        <f t="shared" si="28"/>
        <v>0</v>
      </c>
      <c r="AB186" s="1459">
        <f t="shared" si="28"/>
        <v>0</v>
      </c>
      <c r="AC186" s="1459">
        <f t="shared" si="28"/>
        <v>0</v>
      </c>
    </row>
    <row r="187" spans="1:29" s="736" customFormat="1">
      <c r="A187" s="2442"/>
      <c r="B187" s="900" t="s">
        <v>1335</v>
      </c>
      <c r="C187" s="871">
        <f t="shared" si="22"/>
        <v>7558.4</v>
      </c>
      <c r="D187" s="1533">
        <v>7106.2</v>
      </c>
      <c r="E187" s="1533">
        <v>452.2</v>
      </c>
      <c r="F187" s="1531">
        <f t="shared" si="23"/>
        <v>7558.4</v>
      </c>
      <c r="G187" s="1533">
        <v>7106.2</v>
      </c>
      <c r="H187" s="1533">
        <v>452.2</v>
      </c>
      <c r="I187" s="1531">
        <f t="shared" si="35"/>
        <v>0</v>
      </c>
      <c r="J187" s="1533"/>
      <c r="K187" s="1533"/>
      <c r="L187" s="876">
        <f t="shared" si="36"/>
        <v>0</v>
      </c>
      <c r="M187" s="877">
        <f t="shared" si="36"/>
        <v>0</v>
      </c>
      <c r="N187" s="877">
        <f t="shared" si="36"/>
        <v>0</v>
      </c>
      <c r="O187" s="1214"/>
      <c r="P187" s="1214"/>
      <c r="Q187" s="1065"/>
      <c r="R187" s="1065"/>
      <c r="S187" s="1065"/>
      <c r="T187" s="1099"/>
      <c r="U187" s="1100"/>
      <c r="V187" s="1099"/>
      <c r="W187" s="1099"/>
      <c r="X187" s="1216"/>
      <c r="Z187" s="1311"/>
      <c r="AA187" s="1374">
        <f t="shared" si="28"/>
        <v>0</v>
      </c>
      <c r="AB187" s="1459">
        <f t="shared" si="28"/>
        <v>0</v>
      </c>
      <c r="AC187" s="1459">
        <f t="shared" si="28"/>
        <v>0</v>
      </c>
    </row>
    <row r="188" spans="1:29" s="736" customFormat="1" ht="64.5" customHeight="1">
      <c r="A188" s="2483" t="s">
        <v>858</v>
      </c>
      <c r="B188" s="990" t="s">
        <v>1336</v>
      </c>
      <c r="C188" s="871">
        <f>SUM(D188:E188)</f>
        <v>6308.4</v>
      </c>
      <c r="D188" s="1533"/>
      <c r="E188" s="1533">
        <v>6308.4</v>
      </c>
      <c r="F188" s="1531">
        <f>SUM(G188:H188)</f>
        <v>6308.4</v>
      </c>
      <c r="G188" s="1533"/>
      <c r="H188" s="1533">
        <v>6308.4</v>
      </c>
      <c r="I188" s="1531">
        <f t="shared" si="35"/>
        <v>2253</v>
      </c>
      <c r="J188" s="1533"/>
      <c r="K188" s="1533">
        <v>2253</v>
      </c>
      <c r="L188" s="876">
        <f t="shared" si="36"/>
        <v>35.700000000000003</v>
      </c>
      <c r="M188" s="877">
        <f t="shared" si="36"/>
        <v>0</v>
      </c>
      <c r="N188" s="877">
        <f t="shared" si="36"/>
        <v>35.700000000000003</v>
      </c>
      <c r="O188" s="1214" t="s">
        <v>1192</v>
      </c>
      <c r="P188" s="1214" t="s">
        <v>1276</v>
      </c>
      <c r="Q188" s="1065">
        <f t="shared" si="33"/>
        <v>0</v>
      </c>
      <c r="R188" s="1065">
        <f t="shared" si="33"/>
        <v>0</v>
      </c>
      <c r="S188" s="1065">
        <f t="shared" si="33"/>
        <v>0</v>
      </c>
      <c r="T188" s="1130" t="s">
        <v>936</v>
      </c>
      <c r="U188" s="1100" t="s">
        <v>940</v>
      </c>
      <c r="V188" s="1099">
        <v>414</v>
      </c>
      <c r="W188" s="1099" t="s">
        <v>939</v>
      </c>
      <c r="X188" s="1216"/>
      <c r="Z188" s="1311">
        <f t="shared" si="29"/>
        <v>0</v>
      </c>
      <c r="AA188" s="1374">
        <f t="shared" si="28"/>
        <v>0</v>
      </c>
      <c r="AB188" s="1459">
        <f t="shared" si="28"/>
        <v>0</v>
      </c>
      <c r="AC188" s="1459">
        <f t="shared" si="28"/>
        <v>0</v>
      </c>
    </row>
    <row r="189" spans="1:29" s="736" customFormat="1" ht="105" customHeight="1">
      <c r="A189" s="2405"/>
      <c r="B189" s="990" t="s">
        <v>698</v>
      </c>
      <c r="C189" s="1531">
        <f t="shared" ref="C189:C213" si="37">SUM(D189:E189)</f>
        <v>96270.7</v>
      </c>
      <c r="D189" s="879">
        <v>90460.9</v>
      </c>
      <c r="E189" s="879">
        <v>5809.8</v>
      </c>
      <c r="F189" s="1531">
        <f t="shared" ref="F189:F214" si="38">SUM(G189:H189)</f>
        <v>96270.7</v>
      </c>
      <c r="G189" s="1533">
        <v>90460.9</v>
      </c>
      <c r="H189" s="1533">
        <v>5809.8</v>
      </c>
      <c r="I189" s="1531">
        <f t="shared" si="35"/>
        <v>0</v>
      </c>
      <c r="J189" s="1532">
        <v>0</v>
      </c>
      <c r="K189" s="1532">
        <v>0</v>
      </c>
      <c r="L189" s="876">
        <f t="shared" si="36"/>
        <v>0</v>
      </c>
      <c r="M189" s="877">
        <f t="shared" si="36"/>
        <v>0</v>
      </c>
      <c r="N189" s="877">
        <f t="shared" si="36"/>
        <v>0</v>
      </c>
      <c r="O189" s="1214" t="s">
        <v>1306</v>
      </c>
      <c r="P189" s="1214" t="s">
        <v>1277</v>
      </c>
      <c r="Q189" s="1065">
        <f t="shared" ref="Q189:S197" si="39">C189-F189</f>
        <v>0</v>
      </c>
      <c r="R189" s="1065">
        <f t="shared" si="39"/>
        <v>0</v>
      </c>
      <c r="S189" s="1065">
        <f t="shared" si="39"/>
        <v>0</v>
      </c>
      <c r="T189" s="1130" t="s">
        <v>936</v>
      </c>
      <c r="U189" s="1100" t="s">
        <v>941</v>
      </c>
      <c r="V189" s="1099">
        <v>414</v>
      </c>
      <c r="W189" s="1099" t="s">
        <v>939</v>
      </c>
      <c r="X189" s="1216"/>
      <c r="Z189" s="1311">
        <f t="shared" si="29"/>
        <v>0</v>
      </c>
      <c r="AA189" s="1374">
        <f t="shared" si="28"/>
        <v>0</v>
      </c>
      <c r="AB189" s="1459">
        <f t="shared" si="28"/>
        <v>0</v>
      </c>
      <c r="AC189" s="1459">
        <f t="shared" si="28"/>
        <v>0</v>
      </c>
    </row>
    <row r="190" spans="1:29" ht="131.25" customHeight="1">
      <c r="A190" s="1522" t="s">
        <v>859</v>
      </c>
      <c r="B190" s="990" t="s">
        <v>697</v>
      </c>
      <c r="C190" s="871">
        <f t="shared" si="37"/>
        <v>150000</v>
      </c>
      <c r="D190" s="972">
        <v>140955</v>
      </c>
      <c r="E190" s="972">
        <v>9045</v>
      </c>
      <c r="F190" s="1531">
        <f t="shared" si="38"/>
        <v>150000</v>
      </c>
      <c r="G190" s="1533">
        <v>140955</v>
      </c>
      <c r="H190" s="1533">
        <v>9045</v>
      </c>
      <c r="I190" s="1531">
        <f t="shared" si="35"/>
        <v>33418.400000000001</v>
      </c>
      <c r="J190" s="1532">
        <f>31345.6+14.1+43.1</f>
        <v>31402.799999999999</v>
      </c>
      <c r="K190" s="1532">
        <f>2011.9+0.91+2.8</f>
        <v>2015.6</v>
      </c>
      <c r="L190" s="876">
        <f t="shared" si="36"/>
        <v>22.3</v>
      </c>
      <c r="M190" s="877">
        <f t="shared" si="36"/>
        <v>22.3</v>
      </c>
      <c r="N190" s="877">
        <f t="shared" si="36"/>
        <v>22.3</v>
      </c>
      <c r="O190" s="1214" t="s">
        <v>1192</v>
      </c>
      <c r="P190" s="1214" t="s">
        <v>1278</v>
      </c>
      <c r="Q190" s="1065">
        <f t="shared" si="39"/>
        <v>0</v>
      </c>
      <c r="R190" s="1065">
        <f t="shared" si="39"/>
        <v>0</v>
      </c>
      <c r="S190" s="1065">
        <f t="shared" si="39"/>
        <v>0</v>
      </c>
      <c r="T190" s="1099" t="s">
        <v>936</v>
      </c>
      <c r="U190" s="1100" t="s">
        <v>943</v>
      </c>
      <c r="V190" s="1099">
        <v>414</v>
      </c>
      <c r="W190" s="1099" t="s">
        <v>939</v>
      </c>
      <c r="Z190" s="1311">
        <f t="shared" si="29"/>
        <v>0</v>
      </c>
      <c r="AA190" s="1374">
        <f t="shared" si="28"/>
        <v>0</v>
      </c>
      <c r="AB190" s="1459">
        <f t="shared" si="28"/>
        <v>0</v>
      </c>
      <c r="AC190" s="1459">
        <f t="shared" si="28"/>
        <v>0</v>
      </c>
    </row>
    <row r="191" spans="1:29" ht="90.75" customHeight="1">
      <c r="A191" s="1522" t="s">
        <v>917</v>
      </c>
      <c r="B191" s="990" t="s">
        <v>942</v>
      </c>
      <c r="C191" s="871">
        <f t="shared" si="37"/>
        <v>34500</v>
      </c>
      <c r="D191" s="972">
        <v>32419.7</v>
      </c>
      <c r="E191" s="972">
        <v>2080.3000000000002</v>
      </c>
      <c r="F191" s="1531">
        <f t="shared" si="38"/>
        <v>34500</v>
      </c>
      <c r="G191" s="1533">
        <v>32419.7</v>
      </c>
      <c r="H191" s="1533">
        <v>2080.3000000000002</v>
      </c>
      <c r="I191" s="1531">
        <f t="shared" si="35"/>
        <v>15868.6</v>
      </c>
      <c r="J191" s="1532">
        <v>14911.5</v>
      </c>
      <c r="K191" s="1532">
        <v>957.1</v>
      </c>
      <c r="L191" s="876">
        <f t="shared" si="36"/>
        <v>46</v>
      </c>
      <c r="M191" s="877">
        <f t="shared" si="36"/>
        <v>46</v>
      </c>
      <c r="N191" s="877">
        <f t="shared" si="36"/>
        <v>46</v>
      </c>
      <c r="O191" s="1214" t="s">
        <v>1192</v>
      </c>
      <c r="P191" s="1214" t="s">
        <v>1279</v>
      </c>
      <c r="Q191" s="1065">
        <f t="shared" si="39"/>
        <v>0</v>
      </c>
      <c r="R191" s="1065">
        <f t="shared" si="39"/>
        <v>0</v>
      </c>
      <c r="S191" s="1065">
        <f t="shared" si="39"/>
        <v>0</v>
      </c>
      <c r="T191" s="1099" t="s">
        <v>936</v>
      </c>
      <c r="U191" s="1100" t="s">
        <v>938</v>
      </c>
      <c r="V191" s="1099">
        <v>414</v>
      </c>
      <c r="W191" s="1099" t="s">
        <v>939</v>
      </c>
      <c r="Z191" s="1311">
        <f t="shared" si="29"/>
        <v>0</v>
      </c>
      <c r="AA191" s="1374">
        <f t="shared" si="28"/>
        <v>0</v>
      </c>
      <c r="AB191" s="1459">
        <f t="shared" si="28"/>
        <v>0</v>
      </c>
      <c r="AC191" s="1459">
        <f t="shared" si="28"/>
        <v>0</v>
      </c>
    </row>
    <row r="192" spans="1:29" s="515" customFormat="1" ht="99.75" customHeight="1">
      <c r="A192" s="1522" t="s">
        <v>918</v>
      </c>
      <c r="B192" s="901" t="s">
        <v>462</v>
      </c>
      <c r="C192" s="871">
        <f t="shared" si="37"/>
        <v>16153.6</v>
      </c>
      <c r="D192" s="972">
        <f>13560+1620.2</f>
        <v>15180.2</v>
      </c>
      <c r="E192" s="972">
        <f>869.4+104</f>
        <v>973.4</v>
      </c>
      <c r="F192" s="1531">
        <f t="shared" si="38"/>
        <v>16153.6</v>
      </c>
      <c r="G192" s="1533">
        <v>15180.2</v>
      </c>
      <c r="H192" s="1533">
        <v>973.4</v>
      </c>
      <c r="I192" s="1531">
        <f t="shared" si="35"/>
        <v>1014.3</v>
      </c>
      <c r="J192" s="1532">
        <v>953.1</v>
      </c>
      <c r="K192" s="1532">
        <v>61.2</v>
      </c>
      <c r="L192" s="876">
        <f t="shared" si="36"/>
        <v>6.3</v>
      </c>
      <c r="M192" s="877">
        <f t="shared" si="36"/>
        <v>6.3</v>
      </c>
      <c r="N192" s="877">
        <f t="shared" si="36"/>
        <v>6.3</v>
      </c>
      <c r="O192" s="1214" t="s">
        <v>1307</v>
      </c>
      <c r="P192" s="1214" t="s">
        <v>1280</v>
      </c>
      <c r="Q192" s="1065">
        <f t="shared" si="39"/>
        <v>0</v>
      </c>
      <c r="R192" s="1065">
        <f t="shared" si="39"/>
        <v>0</v>
      </c>
      <c r="S192" s="1065">
        <f t="shared" si="39"/>
        <v>0</v>
      </c>
      <c r="T192" s="1099" t="s">
        <v>949</v>
      </c>
      <c r="U192" s="1100" t="s">
        <v>950</v>
      </c>
      <c r="V192" s="1099">
        <v>414</v>
      </c>
      <c r="W192" s="1099">
        <v>14052</v>
      </c>
      <c r="X192" s="1220"/>
      <c r="Z192" s="1311">
        <f t="shared" si="29"/>
        <v>0</v>
      </c>
      <c r="AA192" s="1374">
        <f t="shared" si="28"/>
        <v>0</v>
      </c>
      <c r="AB192" s="1459">
        <f t="shared" si="28"/>
        <v>0</v>
      </c>
      <c r="AC192" s="1459">
        <f t="shared" si="28"/>
        <v>0</v>
      </c>
    </row>
    <row r="193" spans="1:31" s="515" customFormat="1" ht="52.5">
      <c r="A193" s="2442" t="s">
        <v>1028</v>
      </c>
      <c r="B193" s="900" t="s">
        <v>700</v>
      </c>
      <c r="C193" s="871">
        <f t="shared" si="37"/>
        <v>18000</v>
      </c>
      <c r="D193" s="972">
        <v>0</v>
      </c>
      <c r="E193" s="972">
        <v>18000</v>
      </c>
      <c r="F193" s="1531">
        <f t="shared" si="38"/>
        <v>18000</v>
      </c>
      <c r="G193" s="1533">
        <v>0</v>
      </c>
      <c r="H193" s="1533">
        <v>18000</v>
      </c>
      <c r="I193" s="1531">
        <f t="shared" si="35"/>
        <v>0</v>
      </c>
      <c r="J193" s="1532">
        <v>0</v>
      </c>
      <c r="K193" s="1532">
        <v>0</v>
      </c>
      <c r="L193" s="876">
        <f t="shared" si="36"/>
        <v>0</v>
      </c>
      <c r="M193" s="877">
        <f t="shared" si="36"/>
        <v>0</v>
      </c>
      <c r="N193" s="877">
        <f t="shared" si="36"/>
        <v>0</v>
      </c>
      <c r="O193" s="1214" t="s">
        <v>1192</v>
      </c>
      <c r="P193" s="1214" t="s">
        <v>1219</v>
      </c>
      <c r="Q193" s="1065">
        <f t="shared" si="39"/>
        <v>0</v>
      </c>
      <c r="R193" s="1065">
        <f t="shared" si="39"/>
        <v>0</v>
      </c>
      <c r="S193" s="1065">
        <f t="shared" si="39"/>
        <v>0</v>
      </c>
      <c r="T193" s="1099" t="s">
        <v>949</v>
      </c>
      <c r="U193" s="1100" t="s">
        <v>952</v>
      </c>
      <c r="V193" s="1099">
        <v>414</v>
      </c>
      <c r="W193" s="1099" t="s">
        <v>953</v>
      </c>
      <c r="X193" s="1220"/>
      <c r="Z193" s="1311">
        <f t="shared" si="29"/>
        <v>0</v>
      </c>
      <c r="AA193" s="1374">
        <f t="shared" si="28"/>
        <v>0</v>
      </c>
      <c r="AB193" s="1459">
        <f t="shared" si="28"/>
        <v>0</v>
      </c>
      <c r="AC193" s="1459">
        <f t="shared" si="28"/>
        <v>0</v>
      </c>
    </row>
    <row r="194" spans="1:31" ht="67.5" customHeight="1">
      <c r="A194" s="2442"/>
      <c r="B194" s="900" t="s">
        <v>699</v>
      </c>
      <c r="C194" s="871">
        <f t="shared" si="37"/>
        <v>151300</v>
      </c>
      <c r="D194" s="972">
        <v>142200</v>
      </c>
      <c r="E194" s="972">
        <v>9100</v>
      </c>
      <c r="F194" s="1531">
        <f t="shared" si="38"/>
        <v>151300</v>
      </c>
      <c r="G194" s="1533">
        <v>142200</v>
      </c>
      <c r="H194" s="1533">
        <v>9100</v>
      </c>
      <c r="I194" s="1531">
        <f t="shared" si="35"/>
        <v>0</v>
      </c>
      <c r="J194" s="1532">
        <v>0</v>
      </c>
      <c r="K194" s="1532">
        <v>0</v>
      </c>
      <c r="L194" s="876">
        <f t="shared" si="36"/>
        <v>0</v>
      </c>
      <c r="M194" s="877">
        <f t="shared" si="36"/>
        <v>0</v>
      </c>
      <c r="N194" s="877">
        <f t="shared" si="36"/>
        <v>0</v>
      </c>
      <c r="O194" s="1213" t="s">
        <v>1192</v>
      </c>
      <c r="P194" s="1214" t="s">
        <v>1281</v>
      </c>
      <c r="Q194" s="1065">
        <f t="shared" si="39"/>
        <v>0</v>
      </c>
      <c r="R194" s="1065">
        <f t="shared" si="39"/>
        <v>0</v>
      </c>
      <c r="S194" s="1065">
        <f t="shared" si="39"/>
        <v>0</v>
      </c>
      <c r="T194" s="1099" t="s">
        <v>954</v>
      </c>
      <c r="U194" s="1100" t="s">
        <v>957</v>
      </c>
      <c r="V194" s="1099">
        <v>414</v>
      </c>
      <c r="W194" s="1099" t="s">
        <v>958</v>
      </c>
      <c r="Z194" s="1311">
        <f t="shared" si="29"/>
        <v>0</v>
      </c>
      <c r="AA194" s="1374">
        <f t="shared" si="28"/>
        <v>0</v>
      </c>
      <c r="AB194" s="1459">
        <f t="shared" si="28"/>
        <v>0</v>
      </c>
      <c r="AC194" s="1459">
        <f t="shared" si="28"/>
        <v>0</v>
      </c>
    </row>
    <row r="195" spans="1:31" s="914" customFormat="1" ht="69.75" customHeight="1">
      <c r="A195" s="1522" t="s">
        <v>1029</v>
      </c>
      <c r="B195" s="900" t="s">
        <v>461</v>
      </c>
      <c r="C195" s="871">
        <f t="shared" si="37"/>
        <v>29999.7</v>
      </c>
      <c r="D195" s="972">
        <f>25201.1+2998.3</f>
        <v>28199.4</v>
      </c>
      <c r="E195" s="972">
        <f>1608.9+191.41</f>
        <v>1800.3</v>
      </c>
      <c r="F195" s="1531">
        <f t="shared" si="38"/>
        <v>29999.7</v>
      </c>
      <c r="G195" s="1533">
        <v>28199.4</v>
      </c>
      <c r="H195" s="1533">
        <v>1800.3</v>
      </c>
      <c r="I195" s="1531">
        <f t="shared" si="35"/>
        <v>2636</v>
      </c>
      <c r="J195" s="1532">
        <f>1317.5+1144.6+15.7</f>
        <v>2477.8000000000002</v>
      </c>
      <c r="K195" s="1532">
        <f>84.1+73.1+1</f>
        <v>158.19999999999999</v>
      </c>
      <c r="L195" s="876">
        <f t="shared" si="36"/>
        <v>8.8000000000000007</v>
      </c>
      <c r="M195" s="877">
        <f t="shared" si="36"/>
        <v>8.8000000000000007</v>
      </c>
      <c r="N195" s="877">
        <f t="shared" si="36"/>
        <v>8.8000000000000007</v>
      </c>
      <c r="O195" s="1282"/>
      <c r="P195" s="1281" t="s">
        <v>1103</v>
      </c>
      <c r="Q195" s="1065">
        <f t="shared" si="39"/>
        <v>0</v>
      </c>
      <c r="R195" s="1065">
        <f>D195-G195</f>
        <v>0</v>
      </c>
      <c r="S195" s="1065">
        <f>E195-H195</f>
        <v>0</v>
      </c>
      <c r="T195" s="1099"/>
      <c r="U195" s="1100"/>
      <c r="V195" s="1099"/>
      <c r="W195" s="1099"/>
      <c r="X195" s="1216"/>
      <c r="Z195" s="1311">
        <f t="shared" si="29"/>
        <v>0</v>
      </c>
      <c r="AA195" s="1374">
        <f t="shared" si="28"/>
        <v>0</v>
      </c>
      <c r="AB195" s="1459">
        <f t="shared" si="28"/>
        <v>0</v>
      </c>
      <c r="AC195" s="1459">
        <f t="shared" si="28"/>
        <v>0</v>
      </c>
      <c r="AD195" s="1378"/>
      <c r="AE195" s="1378"/>
    </row>
    <row r="196" spans="1:31" s="914" customFormat="1" ht="120.75" customHeight="1">
      <c r="A196" s="2401" t="s">
        <v>456</v>
      </c>
      <c r="B196" s="2401"/>
      <c r="C196" s="917">
        <f t="shared" si="37"/>
        <v>1791620.4</v>
      </c>
      <c r="D196" s="917">
        <f>SUM(D197,D214)</f>
        <v>1509500</v>
      </c>
      <c r="E196" s="917">
        <f>SUM(E197,E214)</f>
        <v>282120.40000000002</v>
      </c>
      <c r="F196" s="917">
        <f t="shared" si="38"/>
        <v>1638985</v>
      </c>
      <c r="G196" s="917">
        <f>SUM(G197,G214)</f>
        <v>1366138.7</v>
      </c>
      <c r="H196" s="917">
        <f>SUM(H197,H214)</f>
        <v>272846.3</v>
      </c>
      <c r="I196" s="917">
        <f t="shared" si="35"/>
        <v>873001.5</v>
      </c>
      <c r="J196" s="917">
        <f>SUM(J197,J214)</f>
        <v>801526.3</v>
      </c>
      <c r="K196" s="917">
        <f>SUM(K197,K214)</f>
        <v>71475.199999999997</v>
      </c>
      <c r="L196" s="918">
        <f t="shared" si="36"/>
        <v>53.3</v>
      </c>
      <c r="M196" s="920">
        <f t="shared" si="36"/>
        <v>58.7</v>
      </c>
      <c r="N196" s="920">
        <f t="shared" si="36"/>
        <v>26.2</v>
      </c>
      <c r="O196" s="1282"/>
      <c r="P196" s="1281" t="s">
        <v>1104</v>
      </c>
      <c r="Q196" s="1065">
        <f t="shared" si="39"/>
        <v>152635.4</v>
      </c>
      <c r="R196" s="1065">
        <f>D196-G196</f>
        <v>143361.29999999999</v>
      </c>
      <c r="S196" s="1065">
        <f>E196-H196</f>
        <v>9274.1</v>
      </c>
      <c r="T196" s="1099"/>
      <c r="U196" s="1100"/>
      <c r="V196" s="1099"/>
      <c r="W196" s="1099"/>
      <c r="X196" s="1216"/>
      <c r="Z196" s="1311">
        <f t="shared" si="29"/>
        <v>152635.4</v>
      </c>
      <c r="AA196" s="1374">
        <f t="shared" ref="AA196:AC251" si="40">C196-F196</f>
        <v>152635.4</v>
      </c>
      <c r="AB196" s="1459">
        <f t="shared" si="40"/>
        <v>143361.29999999999</v>
      </c>
      <c r="AC196" s="1459">
        <f t="shared" si="40"/>
        <v>9274.1</v>
      </c>
    </row>
    <row r="197" spans="1:31" ht="108">
      <c r="A197" s="1280" t="s">
        <v>6</v>
      </c>
      <c r="B197" s="925" t="s">
        <v>439</v>
      </c>
      <c r="C197" s="926">
        <f t="shared" si="37"/>
        <v>115079</v>
      </c>
      <c r="D197" s="926">
        <f>SUM(D198,D210,D212)</f>
        <v>0</v>
      </c>
      <c r="E197" s="926">
        <f>SUM(E198,E210,E212)</f>
        <v>115079</v>
      </c>
      <c r="F197" s="926">
        <f t="shared" si="38"/>
        <v>115079</v>
      </c>
      <c r="G197" s="926">
        <f>SUM(G198,G210,G212)</f>
        <v>0</v>
      </c>
      <c r="H197" s="926">
        <f>SUM(H198,H210,H212)</f>
        <v>115079</v>
      </c>
      <c r="I197" s="926">
        <f t="shared" si="35"/>
        <v>0</v>
      </c>
      <c r="J197" s="926">
        <f>SUM(J198,J210,J212)</f>
        <v>0</v>
      </c>
      <c r="K197" s="926">
        <f>SUM(K198,K210,K212)</f>
        <v>0</v>
      </c>
      <c r="L197" s="927">
        <f t="shared" si="36"/>
        <v>0</v>
      </c>
      <c r="M197" s="928">
        <f t="shared" si="36"/>
        <v>0</v>
      </c>
      <c r="N197" s="928">
        <f t="shared" si="36"/>
        <v>0</v>
      </c>
      <c r="O197" s="1282"/>
      <c r="P197" s="1281" t="s">
        <v>1100</v>
      </c>
      <c r="Q197" s="1065">
        <f t="shared" si="39"/>
        <v>0</v>
      </c>
      <c r="R197" s="1065">
        <f t="shared" si="39"/>
        <v>0</v>
      </c>
      <c r="S197" s="1065">
        <f t="shared" si="39"/>
        <v>0</v>
      </c>
      <c r="Z197" s="1311">
        <f t="shared" si="29"/>
        <v>0</v>
      </c>
      <c r="AA197" s="1374">
        <f t="shared" si="40"/>
        <v>0</v>
      </c>
      <c r="AB197" s="1459">
        <f t="shared" si="40"/>
        <v>0</v>
      </c>
      <c r="AC197" s="1459">
        <f t="shared" si="40"/>
        <v>0</v>
      </c>
    </row>
    <row r="198" spans="1:31" ht="73.5" customHeight="1">
      <c r="A198" s="1522"/>
      <c r="B198" s="898" t="s">
        <v>283</v>
      </c>
      <c r="C198" s="1531">
        <f t="shared" si="37"/>
        <v>110906</v>
      </c>
      <c r="D198" s="875">
        <v>0</v>
      </c>
      <c r="E198" s="875">
        <v>110906</v>
      </c>
      <c r="F198" s="1531">
        <f>SUM(G198:H198)</f>
        <v>110906</v>
      </c>
      <c r="G198" s="875">
        <v>0</v>
      </c>
      <c r="H198" s="875">
        <v>110906</v>
      </c>
      <c r="I198" s="1531">
        <f t="shared" si="35"/>
        <v>0</v>
      </c>
      <c r="J198" s="875">
        <v>0</v>
      </c>
      <c r="K198" s="875">
        <v>0</v>
      </c>
      <c r="L198" s="876">
        <f t="shared" si="36"/>
        <v>0</v>
      </c>
      <c r="M198" s="877">
        <f t="shared" si="36"/>
        <v>0</v>
      </c>
      <c r="N198" s="877">
        <f t="shared" si="36"/>
        <v>0</v>
      </c>
      <c r="O198" s="1282"/>
      <c r="P198" s="1281" t="s">
        <v>1105</v>
      </c>
      <c r="Q198" s="1065"/>
      <c r="R198" s="1065"/>
      <c r="S198" s="1065"/>
      <c r="T198" s="1099" t="s">
        <v>999</v>
      </c>
      <c r="U198" s="1100">
        <v>1110243180</v>
      </c>
      <c r="V198" s="1099">
        <v>522</v>
      </c>
      <c r="W198" s="1099" t="s">
        <v>1019</v>
      </c>
      <c r="Z198" s="1311">
        <f t="shared" si="29"/>
        <v>0</v>
      </c>
      <c r="AA198" s="1374">
        <f t="shared" si="40"/>
        <v>0</v>
      </c>
      <c r="AB198" s="1459">
        <f t="shared" si="40"/>
        <v>0</v>
      </c>
      <c r="AC198" s="1459">
        <f t="shared" si="40"/>
        <v>0</v>
      </c>
    </row>
    <row r="199" spans="1:31" ht="52.5">
      <c r="A199" s="1522" t="s">
        <v>538</v>
      </c>
      <c r="B199" s="1525" t="s">
        <v>1080</v>
      </c>
      <c r="C199" s="1531">
        <f t="shared" si="37"/>
        <v>19450</v>
      </c>
      <c r="D199" s="1533">
        <v>0</v>
      </c>
      <c r="E199" s="1533">
        <v>19450</v>
      </c>
      <c r="F199" s="1531">
        <f t="shared" si="38"/>
        <v>19450</v>
      </c>
      <c r="G199" s="1533">
        <v>0</v>
      </c>
      <c r="H199" s="1533">
        <v>19450</v>
      </c>
      <c r="I199" s="1531">
        <f t="shared" si="35"/>
        <v>0</v>
      </c>
      <c r="J199" s="1532">
        <v>0</v>
      </c>
      <c r="K199" s="1532">
        <v>0</v>
      </c>
      <c r="L199" s="876">
        <f t="shared" si="36"/>
        <v>0</v>
      </c>
      <c r="M199" s="877">
        <f t="shared" si="36"/>
        <v>0</v>
      </c>
      <c r="N199" s="877">
        <f t="shared" si="36"/>
        <v>0</v>
      </c>
      <c r="O199" s="1282"/>
      <c r="Q199" s="1065"/>
      <c r="R199" s="1065"/>
      <c r="S199" s="1065"/>
      <c r="T199" s="1099" t="s">
        <v>999</v>
      </c>
      <c r="U199" s="1100">
        <v>1110243180</v>
      </c>
      <c r="V199" s="1099">
        <v>522</v>
      </c>
      <c r="W199" s="1099" t="s">
        <v>1019</v>
      </c>
      <c r="Z199" s="1311">
        <f t="shared" si="29"/>
        <v>0</v>
      </c>
      <c r="AA199" s="1374">
        <f t="shared" si="40"/>
        <v>0</v>
      </c>
      <c r="AB199" s="1459">
        <f t="shared" si="40"/>
        <v>0</v>
      </c>
      <c r="AC199" s="1459">
        <f t="shared" si="40"/>
        <v>0</v>
      </c>
    </row>
    <row r="200" spans="1:31" ht="61.5" customHeight="1">
      <c r="A200" s="1522" t="s">
        <v>539</v>
      </c>
      <c r="B200" s="1525" t="s">
        <v>1081</v>
      </c>
      <c r="C200" s="1531">
        <f t="shared" si="37"/>
        <v>3235</v>
      </c>
      <c r="D200" s="1533">
        <v>0</v>
      </c>
      <c r="E200" s="1533">
        <v>3235</v>
      </c>
      <c r="F200" s="1531">
        <f t="shared" si="38"/>
        <v>3235</v>
      </c>
      <c r="G200" s="1533">
        <v>0</v>
      </c>
      <c r="H200" s="1533">
        <v>3235</v>
      </c>
      <c r="I200" s="1531">
        <f t="shared" si="35"/>
        <v>0</v>
      </c>
      <c r="J200" s="1532">
        <v>0</v>
      </c>
      <c r="K200" s="1532">
        <v>0</v>
      </c>
      <c r="L200" s="876">
        <f t="shared" si="36"/>
        <v>0</v>
      </c>
      <c r="M200" s="877">
        <f t="shared" si="36"/>
        <v>0</v>
      </c>
      <c r="N200" s="877">
        <f t="shared" si="36"/>
        <v>0</v>
      </c>
      <c r="O200" s="1282"/>
      <c r="Q200" s="1065"/>
      <c r="R200" s="1065"/>
      <c r="S200" s="1065"/>
      <c r="T200" s="1099" t="s">
        <v>999</v>
      </c>
      <c r="U200" s="1100">
        <v>1110243180</v>
      </c>
      <c r="V200" s="1099">
        <v>522</v>
      </c>
      <c r="W200" s="1099" t="s">
        <v>1019</v>
      </c>
      <c r="Z200" s="1311">
        <f t="shared" si="29"/>
        <v>0</v>
      </c>
      <c r="AA200" s="1374">
        <f t="shared" si="40"/>
        <v>0</v>
      </c>
      <c r="AB200" s="1459">
        <f t="shared" si="40"/>
        <v>0</v>
      </c>
      <c r="AC200" s="1459">
        <f t="shared" si="40"/>
        <v>0</v>
      </c>
    </row>
    <row r="201" spans="1:31" ht="87.75" customHeight="1">
      <c r="A201" s="1522" t="s">
        <v>19</v>
      </c>
      <c r="B201" s="1525" t="s">
        <v>1082</v>
      </c>
      <c r="C201" s="1531">
        <f t="shared" si="37"/>
        <v>4116</v>
      </c>
      <c r="D201" s="1533">
        <v>0</v>
      </c>
      <c r="E201" s="1533">
        <v>4116</v>
      </c>
      <c r="F201" s="1531">
        <f t="shared" si="38"/>
        <v>4116</v>
      </c>
      <c r="G201" s="1533">
        <v>0</v>
      </c>
      <c r="H201" s="1533">
        <v>4116</v>
      </c>
      <c r="I201" s="1531">
        <f t="shared" si="35"/>
        <v>0</v>
      </c>
      <c r="J201" s="1532">
        <v>0</v>
      </c>
      <c r="K201" s="1532">
        <v>0</v>
      </c>
      <c r="L201" s="876">
        <f t="shared" si="36"/>
        <v>0</v>
      </c>
      <c r="M201" s="877">
        <f t="shared" si="36"/>
        <v>0</v>
      </c>
      <c r="N201" s="877">
        <f t="shared" si="36"/>
        <v>0</v>
      </c>
      <c r="O201" s="1282"/>
      <c r="Q201" s="1065"/>
      <c r="R201" s="1065"/>
      <c r="S201" s="1065"/>
      <c r="T201" s="1099" t="s">
        <v>999</v>
      </c>
      <c r="U201" s="1100">
        <v>1110243180</v>
      </c>
      <c r="V201" s="1099">
        <v>522</v>
      </c>
      <c r="W201" s="1099" t="s">
        <v>1019</v>
      </c>
      <c r="Z201" s="1311">
        <f t="shared" si="29"/>
        <v>0</v>
      </c>
      <c r="AA201" s="1374">
        <f t="shared" si="40"/>
        <v>0</v>
      </c>
      <c r="AB201" s="1459">
        <f t="shared" si="40"/>
        <v>0</v>
      </c>
      <c r="AC201" s="1459">
        <f t="shared" si="40"/>
        <v>0</v>
      </c>
    </row>
    <row r="202" spans="1:31" ht="95.25" customHeight="1">
      <c r="A202" s="1522" t="s">
        <v>20</v>
      </c>
      <c r="B202" s="1525" t="s">
        <v>1083</v>
      </c>
      <c r="C202" s="1531">
        <f t="shared" si="37"/>
        <v>10687</v>
      </c>
      <c r="D202" s="1533">
        <v>0</v>
      </c>
      <c r="E202" s="1533">
        <v>10687</v>
      </c>
      <c r="F202" s="1531">
        <f t="shared" si="38"/>
        <v>10687</v>
      </c>
      <c r="G202" s="1533">
        <v>0</v>
      </c>
      <c r="H202" s="1533">
        <v>10687</v>
      </c>
      <c r="I202" s="1531">
        <f t="shared" si="35"/>
        <v>0</v>
      </c>
      <c r="J202" s="1532">
        <v>0</v>
      </c>
      <c r="K202" s="1532">
        <v>0</v>
      </c>
      <c r="L202" s="876">
        <f t="shared" si="36"/>
        <v>0</v>
      </c>
      <c r="M202" s="877">
        <f t="shared" si="36"/>
        <v>0</v>
      </c>
      <c r="N202" s="877">
        <f t="shared" si="36"/>
        <v>0</v>
      </c>
      <c r="O202" s="1282"/>
      <c r="Q202" s="1065"/>
      <c r="R202" s="1065"/>
      <c r="S202" s="1065"/>
      <c r="T202" s="1099" t="s">
        <v>999</v>
      </c>
      <c r="U202" s="1100">
        <v>1110243180</v>
      </c>
      <c r="V202" s="1099">
        <v>522</v>
      </c>
      <c r="W202" s="1099" t="s">
        <v>1019</v>
      </c>
      <c r="Z202" s="1311">
        <f t="shared" si="29"/>
        <v>0</v>
      </c>
      <c r="AA202" s="1374">
        <f t="shared" si="40"/>
        <v>0</v>
      </c>
      <c r="AB202" s="1459">
        <f t="shared" si="40"/>
        <v>0</v>
      </c>
      <c r="AC202" s="1459">
        <f t="shared" si="40"/>
        <v>0</v>
      </c>
    </row>
    <row r="203" spans="1:31" ht="78.75">
      <c r="A203" s="1522" t="s">
        <v>467</v>
      </c>
      <c r="B203" s="1525" t="s">
        <v>1084</v>
      </c>
      <c r="C203" s="1531">
        <f t="shared" si="37"/>
        <v>3822</v>
      </c>
      <c r="D203" s="1533">
        <v>0</v>
      </c>
      <c r="E203" s="1533">
        <v>3822</v>
      </c>
      <c r="F203" s="1531">
        <f t="shared" si="38"/>
        <v>3822</v>
      </c>
      <c r="G203" s="1533">
        <v>0</v>
      </c>
      <c r="H203" s="1533">
        <v>3822</v>
      </c>
      <c r="I203" s="1531">
        <f t="shared" si="35"/>
        <v>0</v>
      </c>
      <c r="J203" s="1532">
        <v>0</v>
      </c>
      <c r="K203" s="1532">
        <v>0</v>
      </c>
      <c r="L203" s="876">
        <f t="shared" si="36"/>
        <v>0</v>
      </c>
      <c r="M203" s="877">
        <f t="shared" si="36"/>
        <v>0</v>
      </c>
      <c r="N203" s="877">
        <f t="shared" si="36"/>
        <v>0</v>
      </c>
      <c r="O203" s="1282"/>
      <c r="Q203" s="1065"/>
      <c r="R203" s="1065"/>
      <c r="S203" s="1065"/>
      <c r="T203" s="1099" t="s">
        <v>999</v>
      </c>
      <c r="U203" s="1100">
        <v>1110243180</v>
      </c>
      <c r="V203" s="1099">
        <v>522</v>
      </c>
      <c r="W203" s="1099" t="s">
        <v>1019</v>
      </c>
      <c r="Z203" s="1311">
        <f t="shared" si="29"/>
        <v>0</v>
      </c>
      <c r="AA203" s="1374">
        <f t="shared" si="40"/>
        <v>0</v>
      </c>
      <c r="AB203" s="1459">
        <f t="shared" si="40"/>
        <v>0</v>
      </c>
      <c r="AC203" s="1459">
        <f t="shared" si="40"/>
        <v>0</v>
      </c>
    </row>
    <row r="204" spans="1:31" ht="89.25" customHeight="1">
      <c r="A204" s="1522" t="s">
        <v>468</v>
      </c>
      <c r="B204" s="1525" t="s">
        <v>1085</v>
      </c>
      <c r="C204" s="1531">
        <f t="shared" si="37"/>
        <v>1176</v>
      </c>
      <c r="D204" s="1533">
        <v>0</v>
      </c>
      <c r="E204" s="1533">
        <v>1176</v>
      </c>
      <c r="F204" s="1531">
        <f t="shared" si="38"/>
        <v>1176</v>
      </c>
      <c r="G204" s="1533">
        <v>0</v>
      </c>
      <c r="H204" s="1533">
        <v>1176</v>
      </c>
      <c r="I204" s="1531">
        <f t="shared" si="35"/>
        <v>0</v>
      </c>
      <c r="J204" s="1532">
        <v>0</v>
      </c>
      <c r="K204" s="1532">
        <v>0</v>
      </c>
      <c r="L204" s="876">
        <f t="shared" si="36"/>
        <v>0</v>
      </c>
      <c r="M204" s="877">
        <f t="shared" si="36"/>
        <v>0</v>
      </c>
      <c r="N204" s="877">
        <f t="shared" si="36"/>
        <v>0</v>
      </c>
      <c r="O204" s="1282"/>
      <c r="Q204" s="1065"/>
      <c r="R204" s="1065"/>
      <c r="S204" s="1065"/>
      <c r="T204" s="1099" t="s">
        <v>999</v>
      </c>
      <c r="U204" s="1100">
        <v>1110243180</v>
      </c>
      <c r="V204" s="1099">
        <v>522</v>
      </c>
      <c r="W204" s="1099" t="s">
        <v>1019</v>
      </c>
      <c r="Z204" s="1311">
        <f t="shared" si="29"/>
        <v>0</v>
      </c>
      <c r="AA204" s="1374">
        <f t="shared" si="40"/>
        <v>0</v>
      </c>
      <c r="AB204" s="1459">
        <f t="shared" si="40"/>
        <v>0</v>
      </c>
      <c r="AC204" s="1459">
        <f t="shared" si="40"/>
        <v>0</v>
      </c>
    </row>
    <row r="205" spans="1:31" ht="115.5" customHeight="1">
      <c r="A205" s="1522" t="s">
        <v>685</v>
      </c>
      <c r="B205" s="1525" t="s">
        <v>1086</v>
      </c>
      <c r="C205" s="1531">
        <f t="shared" si="37"/>
        <v>17670</v>
      </c>
      <c r="D205" s="1533">
        <v>0</v>
      </c>
      <c r="E205" s="1533">
        <v>17670</v>
      </c>
      <c r="F205" s="1531">
        <f t="shared" si="38"/>
        <v>17670</v>
      </c>
      <c r="G205" s="1533">
        <v>0</v>
      </c>
      <c r="H205" s="1533">
        <v>17670</v>
      </c>
      <c r="I205" s="1531">
        <f t="shared" si="35"/>
        <v>0</v>
      </c>
      <c r="J205" s="1532">
        <v>0</v>
      </c>
      <c r="K205" s="1532">
        <v>0</v>
      </c>
      <c r="L205" s="876">
        <f t="shared" si="36"/>
        <v>0</v>
      </c>
      <c r="M205" s="877">
        <f t="shared" si="36"/>
        <v>0</v>
      </c>
      <c r="N205" s="877">
        <f t="shared" si="36"/>
        <v>0</v>
      </c>
      <c r="O205" s="1282"/>
      <c r="Q205" s="1065"/>
      <c r="R205" s="1065"/>
      <c r="S205" s="1065"/>
      <c r="T205" s="1099" t="s">
        <v>999</v>
      </c>
      <c r="U205" s="1100">
        <v>1110243180</v>
      </c>
      <c r="V205" s="1099">
        <v>522</v>
      </c>
      <c r="W205" s="1099" t="s">
        <v>1019</v>
      </c>
      <c r="Z205" s="1311">
        <f t="shared" si="29"/>
        <v>0</v>
      </c>
      <c r="AA205" s="1374">
        <f t="shared" si="40"/>
        <v>0</v>
      </c>
      <c r="AB205" s="1459">
        <f t="shared" si="40"/>
        <v>0</v>
      </c>
      <c r="AC205" s="1459">
        <f t="shared" si="40"/>
        <v>0</v>
      </c>
    </row>
    <row r="206" spans="1:31" ht="124.5" customHeight="1">
      <c r="A206" s="1522" t="s">
        <v>687</v>
      </c>
      <c r="B206" s="1525" t="s">
        <v>1087</v>
      </c>
      <c r="C206" s="1531">
        <f t="shared" si="37"/>
        <v>19800</v>
      </c>
      <c r="D206" s="1533">
        <v>0</v>
      </c>
      <c r="E206" s="1533">
        <v>19800</v>
      </c>
      <c r="F206" s="1531">
        <f t="shared" si="38"/>
        <v>19800</v>
      </c>
      <c r="G206" s="1533">
        <v>0</v>
      </c>
      <c r="H206" s="1533">
        <v>19800</v>
      </c>
      <c r="I206" s="1531">
        <f t="shared" si="35"/>
        <v>0</v>
      </c>
      <c r="J206" s="1532">
        <v>0</v>
      </c>
      <c r="K206" s="1532">
        <v>0</v>
      </c>
      <c r="L206" s="876">
        <f t="shared" si="36"/>
        <v>0</v>
      </c>
      <c r="M206" s="877">
        <f t="shared" si="36"/>
        <v>0</v>
      </c>
      <c r="N206" s="877">
        <f t="shared" si="36"/>
        <v>0</v>
      </c>
      <c r="O206" s="1282"/>
      <c r="Q206" s="1065"/>
      <c r="R206" s="1065"/>
      <c r="S206" s="1065"/>
      <c r="T206" s="1099" t="s">
        <v>999</v>
      </c>
      <c r="U206" s="1100">
        <v>1110243180</v>
      </c>
      <c r="V206" s="1099">
        <v>522</v>
      </c>
      <c r="W206" s="1099" t="s">
        <v>1019</v>
      </c>
      <c r="Z206" s="1311">
        <f t="shared" si="29"/>
        <v>0</v>
      </c>
      <c r="AA206" s="1374">
        <f t="shared" si="40"/>
        <v>0</v>
      </c>
      <c r="AB206" s="1459">
        <f t="shared" si="40"/>
        <v>0</v>
      </c>
      <c r="AC206" s="1459">
        <f t="shared" si="40"/>
        <v>0</v>
      </c>
    </row>
    <row r="207" spans="1:31" ht="87.75" customHeight="1">
      <c r="A207" s="1522" t="s">
        <v>686</v>
      </c>
      <c r="B207" s="1525" t="s">
        <v>1089</v>
      </c>
      <c r="C207" s="1531">
        <f t="shared" si="37"/>
        <v>7650</v>
      </c>
      <c r="D207" s="1533">
        <v>0</v>
      </c>
      <c r="E207" s="1533">
        <v>7650</v>
      </c>
      <c r="F207" s="1531">
        <f t="shared" si="38"/>
        <v>7650</v>
      </c>
      <c r="G207" s="1533">
        <v>0</v>
      </c>
      <c r="H207" s="1533">
        <v>7650</v>
      </c>
      <c r="I207" s="1531">
        <f t="shared" si="35"/>
        <v>0</v>
      </c>
      <c r="J207" s="1532">
        <v>0</v>
      </c>
      <c r="K207" s="1532">
        <v>0</v>
      </c>
      <c r="L207" s="876">
        <f t="shared" si="36"/>
        <v>0</v>
      </c>
      <c r="M207" s="877">
        <f t="shared" si="36"/>
        <v>0</v>
      </c>
      <c r="N207" s="877">
        <f t="shared" si="36"/>
        <v>0</v>
      </c>
      <c r="O207" s="1282"/>
      <c r="Q207" s="1065"/>
      <c r="R207" s="1065"/>
      <c r="S207" s="1065"/>
      <c r="T207" s="1099" t="s">
        <v>999</v>
      </c>
      <c r="U207" s="1100">
        <v>1110243180</v>
      </c>
      <c r="V207" s="1099">
        <v>522</v>
      </c>
      <c r="W207" s="1099" t="s">
        <v>1019</v>
      </c>
      <c r="Z207" s="1311">
        <f t="shared" si="29"/>
        <v>0</v>
      </c>
      <c r="AA207" s="1374">
        <f t="shared" si="40"/>
        <v>0</v>
      </c>
      <c r="AB207" s="1459">
        <f t="shared" si="40"/>
        <v>0</v>
      </c>
      <c r="AC207" s="1459">
        <f t="shared" si="40"/>
        <v>0</v>
      </c>
    </row>
    <row r="208" spans="1:31" ht="81.75" customHeight="1">
      <c r="A208" s="1522" t="s">
        <v>688</v>
      </c>
      <c r="B208" s="1525" t="s">
        <v>1090</v>
      </c>
      <c r="C208" s="1531">
        <f t="shared" si="37"/>
        <v>3500</v>
      </c>
      <c r="D208" s="1533">
        <v>0</v>
      </c>
      <c r="E208" s="1533">
        <v>3500</v>
      </c>
      <c r="F208" s="1531">
        <f t="shared" si="38"/>
        <v>3500</v>
      </c>
      <c r="G208" s="1533">
        <v>0</v>
      </c>
      <c r="H208" s="1533">
        <v>3500</v>
      </c>
      <c r="I208" s="1531">
        <f t="shared" si="35"/>
        <v>0</v>
      </c>
      <c r="J208" s="1532">
        <v>0</v>
      </c>
      <c r="K208" s="1532">
        <v>0</v>
      </c>
      <c r="L208" s="876">
        <f t="shared" si="36"/>
        <v>0</v>
      </c>
      <c r="M208" s="877">
        <f t="shared" si="36"/>
        <v>0</v>
      </c>
      <c r="N208" s="877">
        <f t="shared" si="36"/>
        <v>0</v>
      </c>
      <c r="O208" s="1282"/>
      <c r="Q208" s="1065"/>
      <c r="R208" s="1065"/>
      <c r="S208" s="1065"/>
      <c r="T208" s="1099" t="s">
        <v>999</v>
      </c>
      <c r="U208" s="1100">
        <v>1110243180</v>
      </c>
      <c r="V208" s="1099">
        <v>522</v>
      </c>
      <c r="W208" s="1099" t="s">
        <v>1019</v>
      </c>
      <c r="Z208" s="1311">
        <f t="shared" ref="Z208:Z250" si="41">C208-F208</f>
        <v>0</v>
      </c>
      <c r="AA208" s="1374">
        <f t="shared" si="40"/>
        <v>0</v>
      </c>
      <c r="AB208" s="1459">
        <f t="shared" si="40"/>
        <v>0</v>
      </c>
      <c r="AC208" s="1459">
        <f t="shared" si="40"/>
        <v>0</v>
      </c>
    </row>
    <row r="209" spans="1:29" ht="92.25" customHeight="1">
      <c r="A209" s="1522" t="s">
        <v>98</v>
      </c>
      <c r="B209" s="1525" t="s">
        <v>1090</v>
      </c>
      <c r="C209" s="1531">
        <f t="shared" si="37"/>
        <v>19800</v>
      </c>
      <c r="D209" s="1533">
        <v>0</v>
      </c>
      <c r="E209" s="1533">
        <v>19800</v>
      </c>
      <c r="F209" s="1531">
        <f t="shared" si="38"/>
        <v>19800</v>
      </c>
      <c r="G209" s="1533">
        <v>0</v>
      </c>
      <c r="H209" s="1533">
        <v>19800</v>
      </c>
      <c r="I209" s="1531">
        <f t="shared" si="35"/>
        <v>0</v>
      </c>
      <c r="J209" s="1532">
        <v>0</v>
      </c>
      <c r="K209" s="1532">
        <v>0</v>
      </c>
      <c r="L209" s="876">
        <f t="shared" si="36"/>
        <v>0</v>
      </c>
      <c r="M209" s="877">
        <f t="shared" si="36"/>
        <v>0</v>
      </c>
      <c r="N209" s="877">
        <f t="shared" si="36"/>
        <v>0</v>
      </c>
      <c r="O209" s="1282"/>
      <c r="Q209" s="1065">
        <f t="shared" ref="Q209:S211" si="42">C209-F209</f>
        <v>0</v>
      </c>
      <c r="R209" s="1065">
        <f t="shared" si="42"/>
        <v>0</v>
      </c>
      <c r="S209" s="1065">
        <f t="shared" si="42"/>
        <v>0</v>
      </c>
      <c r="Z209" s="1311">
        <f t="shared" si="41"/>
        <v>0</v>
      </c>
      <c r="AA209" s="1374">
        <f t="shared" si="40"/>
        <v>0</v>
      </c>
      <c r="AB209" s="1459">
        <f t="shared" si="40"/>
        <v>0</v>
      </c>
      <c r="AC209" s="1459">
        <f t="shared" si="40"/>
        <v>0</v>
      </c>
    </row>
    <row r="210" spans="1:29" ht="52.5" customHeight="1">
      <c r="A210" s="1522"/>
      <c r="B210" s="898" t="s">
        <v>457</v>
      </c>
      <c r="C210" s="1531">
        <f t="shared" si="37"/>
        <v>1325</v>
      </c>
      <c r="D210" s="875">
        <v>0</v>
      </c>
      <c r="E210" s="875">
        <v>1325</v>
      </c>
      <c r="F210" s="1531">
        <f t="shared" si="38"/>
        <v>1325</v>
      </c>
      <c r="G210" s="875">
        <v>0</v>
      </c>
      <c r="H210" s="875">
        <v>1325</v>
      </c>
      <c r="I210" s="1531">
        <f t="shared" si="35"/>
        <v>0</v>
      </c>
      <c r="J210" s="875">
        <v>0</v>
      </c>
      <c r="K210" s="875">
        <v>0</v>
      </c>
      <c r="L210" s="1534">
        <f t="shared" si="36"/>
        <v>0</v>
      </c>
      <c r="M210" s="875">
        <v>0</v>
      </c>
      <c r="N210" s="875">
        <v>0</v>
      </c>
      <c r="O210" s="1282"/>
      <c r="Q210" s="1065">
        <f t="shared" si="42"/>
        <v>0</v>
      </c>
      <c r="R210" s="1065">
        <f t="shared" si="42"/>
        <v>0</v>
      </c>
      <c r="S210" s="1065">
        <f t="shared" si="42"/>
        <v>0</v>
      </c>
      <c r="T210" s="1099" t="s">
        <v>999</v>
      </c>
      <c r="U210" s="1100">
        <v>1110243180</v>
      </c>
      <c r="V210" s="1099">
        <v>522</v>
      </c>
      <c r="W210" s="1099" t="s">
        <v>1019</v>
      </c>
      <c r="Z210" s="1311">
        <f t="shared" si="41"/>
        <v>0</v>
      </c>
      <c r="AA210" s="1374">
        <f t="shared" si="40"/>
        <v>0</v>
      </c>
      <c r="AB210" s="1459">
        <f t="shared" si="40"/>
        <v>0</v>
      </c>
      <c r="AC210" s="1459">
        <f t="shared" si="40"/>
        <v>0</v>
      </c>
    </row>
    <row r="211" spans="1:29" ht="147" customHeight="1">
      <c r="A211" s="1522" t="s">
        <v>99</v>
      </c>
      <c r="B211" s="1525" t="s">
        <v>1093</v>
      </c>
      <c r="C211" s="1531">
        <f t="shared" si="37"/>
        <v>1325</v>
      </c>
      <c r="D211" s="879">
        <v>0</v>
      </c>
      <c r="E211" s="879">
        <v>1325</v>
      </c>
      <c r="F211" s="1531">
        <f t="shared" si="38"/>
        <v>1325</v>
      </c>
      <c r="G211" s="879">
        <v>0</v>
      </c>
      <c r="H211" s="879">
        <v>1325</v>
      </c>
      <c r="I211" s="1531">
        <f t="shared" si="35"/>
        <v>0</v>
      </c>
      <c r="J211" s="1532">
        <v>0</v>
      </c>
      <c r="K211" s="1532">
        <v>0</v>
      </c>
      <c r="L211" s="876">
        <f t="shared" si="36"/>
        <v>0</v>
      </c>
      <c r="M211" s="877">
        <f t="shared" si="36"/>
        <v>0</v>
      </c>
      <c r="N211" s="877">
        <f t="shared" si="36"/>
        <v>0</v>
      </c>
      <c r="O211" s="1282"/>
      <c r="Q211" s="1065">
        <f t="shared" si="42"/>
        <v>0</v>
      </c>
      <c r="R211" s="1065">
        <f t="shared" si="42"/>
        <v>0</v>
      </c>
      <c r="S211" s="1065">
        <f t="shared" si="42"/>
        <v>0</v>
      </c>
      <c r="Z211" s="1311">
        <f t="shared" si="41"/>
        <v>0</v>
      </c>
      <c r="AA211" s="1374">
        <f t="shared" si="40"/>
        <v>0</v>
      </c>
      <c r="AB211" s="1459">
        <f t="shared" si="40"/>
        <v>0</v>
      </c>
      <c r="AC211" s="1459">
        <f t="shared" si="40"/>
        <v>0</v>
      </c>
    </row>
    <row r="212" spans="1:29" ht="54" customHeight="1">
      <c r="A212" s="1522"/>
      <c r="B212" s="898" t="s">
        <v>431</v>
      </c>
      <c r="C212" s="1531">
        <f t="shared" si="37"/>
        <v>2848</v>
      </c>
      <c r="D212" s="875">
        <v>0</v>
      </c>
      <c r="E212" s="875">
        <v>2848</v>
      </c>
      <c r="F212" s="1531">
        <f t="shared" si="38"/>
        <v>2848</v>
      </c>
      <c r="G212" s="875">
        <v>0</v>
      </c>
      <c r="H212" s="875">
        <v>2848</v>
      </c>
      <c r="I212" s="1531">
        <f t="shared" si="35"/>
        <v>0</v>
      </c>
      <c r="J212" s="875">
        <v>0</v>
      </c>
      <c r="K212" s="875">
        <v>0</v>
      </c>
      <c r="L212" s="876">
        <f t="shared" si="36"/>
        <v>0</v>
      </c>
      <c r="M212" s="877">
        <f t="shared" si="36"/>
        <v>0</v>
      </c>
      <c r="N212" s="877">
        <f t="shared" si="36"/>
        <v>0</v>
      </c>
      <c r="O212" s="1282"/>
      <c r="Q212" s="1065"/>
      <c r="R212" s="1065"/>
      <c r="S212" s="1065"/>
      <c r="T212" s="1099" t="s">
        <v>999</v>
      </c>
      <c r="U212" s="1100">
        <v>1110243180</v>
      </c>
      <c r="V212" s="1099">
        <v>522</v>
      </c>
      <c r="W212" s="1099" t="s">
        <v>1019</v>
      </c>
      <c r="Z212" s="1311">
        <f t="shared" si="41"/>
        <v>0</v>
      </c>
      <c r="AA212" s="1374">
        <f t="shared" si="40"/>
        <v>0</v>
      </c>
      <c r="AB212" s="1459">
        <f t="shared" si="40"/>
        <v>0</v>
      </c>
      <c r="AC212" s="1459">
        <f t="shared" si="40"/>
        <v>0</v>
      </c>
    </row>
    <row r="213" spans="1:29" s="914" customFormat="1" ht="129.75" customHeight="1">
      <c r="A213" s="1522" t="s">
        <v>100</v>
      </c>
      <c r="B213" s="1525" t="s">
        <v>1092</v>
      </c>
      <c r="C213" s="1531">
        <f t="shared" si="37"/>
        <v>2848</v>
      </c>
      <c r="D213" s="1533">
        <v>0</v>
      </c>
      <c r="E213" s="1533">
        <v>2848</v>
      </c>
      <c r="F213" s="1531">
        <f t="shared" si="38"/>
        <v>2848</v>
      </c>
      <c r="G213" s="1533">
        <v>0</v>
      </c>
      <c r="H213" s="1533">
        <v>2848</v>
      </c>
      <c r="I213" s="1531">
        <f t="shared" si="35"/>
        <v>0</v>
      </c>
      <c r="J213" s="1532">
        <v>0</v>
      </c>
      <c r="K213" s="1532">
        <v>0</v>
      </c>
      <c r="L213" s="876">
        <f t="shared" si="36"/>
        <v>0</v>
      </c>
      <c r="M213" s="877">
        <f t="shared" si="36"/>
        <v>0</v>
      </c>
      <c r="N213" s="877">
        <f t="shared" si="36"/>
        <v>0</v>
      </c>
      <c r="O213" s="1282"/>
      <c r="P213" s="1208"/>
      <c r="Q213" s="1065">
        <f t="shared" ref="Q213:S251" si="43">C213-F213</f>
        <v>0</v>
      </c>
      <c r="R213" s="1065">
        <f t="shared" si="43"/>
        <v>0</v>
      </c>
      <c r="S213" s="1065">
        <f t="shared" si="43"/>
        <v>0</v>
      </c>
      <c r="T213" s="1099"/>
      <c r="U213" s="1100"/>
      <c r="V213" s="1099"/>
      <c r="W213" s="1099"/>
      <c r="X213" s="1216"/>
      <c r="Z213" s="1311">
        <f t="shared" si="41"/>
        <v>0</v>
      </c>
      <c r="AA213" s="1374">
        <f t="shared" si="40"/>
        <v>0</v>
      </c>
      <c r="AB213" s="1459">
        <f t="shared" si="40"/>
        <v>0</v>
      </c>
      <c r="AC213" s="1459">
        <f t="shared" si="40"/>
        <v>0</v>
      </c>
    </row>
    <row r="214" spans="1:29" s="914" customFormat="1" ht="62.25" customHeight="1">
      <c r="A214" s="1304" t="s">
        <v>2</v>
      </c>
      <c r="B214" s="925" t="s">
        <v>222</v>
      </c>
      <c r="C214" s="926">
        <f>SUM(D214:E214)</f>
        <v>1676541.4</v>
      </c>
      <c r="D214" s="926">
        <f>SUM(D215,D234)</f>
        <v>1509500</v>
      </c>
      <c r="E214" s="926">
        <f>SUM(E215,E234)</f>
        <v>167041.4</v>
      </c>
      <c r="F214" s="926">
        <f t="shared" si="38"/>
        <v>1523906</v>
      </c>
      <c r="G214" s="926">
        <f>SUM(G215,G234)</f>
        <v>1366138.7</v>
      </c>
      <c r="H214" s="926">
        <f>SUM(H215,H234)</f>
        <v>157767.29999999999</v>
      </c>
      <c r="I214" s="926">
        <f>J214+K214</f>
        <v>873001.5</v>
      </c>
      <c r="J214" s="926">
        <f>SUM(J215,J234)</f>
        <v>801526.3</v>
      </c>
      <c r="K214" s="926">
        <f>SUM(K215,K234)</f>
        <v>71475.199999999997</v>
      </c>
      <c r="L214" s="927">
        <f t="shared" si="36"/>
        <v>57.3</v>
      </c>
      <c r="M214" s="928">
        <f t="shared" si="36"/>
        <v>58.7</v>
      </c>
      <c r="N214" s="928">
        <f t="shared" si="36"/>
        <v>45.3</v>
      </c>
      <c r="O214" s="1282"/>
      <c r="P214" s="1208"/>
      <c r="Q214" s="1065">
        <f t="shared" si="43"/>
        <v>152635.4</v>
      </c>
      <c r="R214" s="1065">
        <f t="shared" si="43"/>
        <v>143361.29999999999</v>
      </c>
      <c r="S214" s="1065">
        <f t="shared" si="43"/>
        <v>9274.1</v>
      </c>
      <c r="T214" s="1099"/>
      <c r="U214" s="1100"/>
      <c r="V214" s="1099"/>
      <c r="W214" s="1099"/>
      <c r="X214" s="1216"/>
      <c r="Z214" s="1311">
        <f t="shared" si="41"/>
        <v>152635.4</v>
      </c>
      <c r="AA214" s="1374">
        <f t="shared" si="40"/>
        <v>152635.4</v>
      </c>
      <c r="AB214" s="1459">
        <f t="shared" si="40"/>
        <v>143361.29999999999</v>
      </c>
      <c r="AC214" s="1459">
        <f t="shared" si="40"/>
        <v>9274.1</v>
      </c>
    </row>
    <row r="215" spans="1:29" s="914" customFormat="1" ht="69.75" customHeight="1">
      <c r="A215" s="1305" t="s">
        <v>246</v>
      </c>
      <c r="B215" s="932" t="s">
        <v>41</v>
      </c>
      <c r="C215" s="933">
        <f>D215+E215</f>
        <v>1567706.4</v>
      </c>
      <c r="D215" s="933">
        <f>D216+D219+D232</f>
        <v>1509500</v>
      </c>
      <c r="E215" s="933">
        <f>E216+E219+E232</f>
        <v>58206.400000000001</v>
      </c>
      <c r="F215" s="933">
        <f>G215+H215</f>
        <v>1415071</v>
      </c>
      <c r="G215" s="933">
        <f>G216+G219+G232</f>
        <v>1366138.7</v>
      </c>
      <c r="H215" s="933">
        <f>H216+H219+H232</f>
        <v>48932.3</v>
      </c>
      <c r="I215" s="933">
        <f>J215+K215</f>
        <v>839936.4</v>
      </c>
      <c r="J215" s="933">
        <f>J216+J219+J232</f>
        <v>801526.3</v>
      </c>
      <c r="K215" s="933">
        <f>K216+K219+K232</f>
        <v>38410.1</v>
      </c>
      <c r="L215" s="935">
        <f t="shared" si="36"/>
        <v>59.4</v>
      </c>
      <c r="M215" s="936">
        <f t="shared" si="36"/>
        <v>58.7</v>
      </c>
      <c r="N215" s="936">
        <f t="shared" si="36"/>
        <v>78.5</v>
      </c>
      <c r="O215" s="1282"/>
      <c r="P215" s="1208"/>
      <c r="Q215" s="1065"/>
      <c r="R215" s="1065"/>
      <c r="S215" s="1065"/>
      <c r="T215" s="1099"/>
      <c r="U215" s="1100"/>
      <c r="V215" s="1099"/>
      <c r="W215" s="1099"/>
      <c r="X215" s="1216"/>
      <c r="Z215" s="1311"/>
      <c r="AA215" s="1374">
        <f t="shared" si="40"/>
        <v>152635.4</v>
      </c>
      <c r="AB215" s="1459">
        <f t="shared" si="40"/>
        <v>143361.29999999999</v>
      </c>
      <c r="AC215" s="1459">
        <f t="shared" si="40"/>
        <v>9274.1</v>
      </c>
    </row>
    <row r="216" spans="1:29" s="914" customFormat="1" ht="63.75" customHeight="1">
      <c r="A216" s="1360" t="s">
        <v>247</v>
      </c>
      <c r="B216" s="1361" t="s">
        <v>1337</v>
      </c>
      <c r="C216" s="1018">
        <f>SUM(D216:E216)</f>
        <v>600000</v>
      </c>
      <c r="D216" s="1362">
        <f>D217+D218</f>
        <v>600000</v>
      </c>
      <c r="E216" s="1362">
        <v>0</v>
      </c>
      <c r="F216" s="1018">
        <f>G216+H216</f>
        <v>600000</v>
      </c>
      <c r="G216" s="1362">
        <f>G217+G218</f>
        <v>600000</v>
      </c>
      <c r="H216" s="1362">
        <v>0</v>
      </c>
      <c r="I216" s="1018">
        <f>SUM(J216:K216)</f>
        <v>200000</v>
      </c>
      <c r="J216" s="1362">
        <f>J217+J218</f>
        <v>200000</v>
      </c>
      <c r="K216" s="1362">
        <v>0</v>
      </c>
      <c r="L216" s="1363">
        <f t="shared" si="36"/>
        <v>33.299999999999997</v>
      </c>
      <c r="M216" s="1363">
        <f t="shared" si="36"/>
        <v>33.299999999999997</v>
      </c>
      <c r="N216" s="1363">
        <f t="shared" si="36"/>
        <v>0</v>
      </c>
      <c r="O216" s="1282"/>
      <c r="P216" s="1208"/>
      <c r="Q216" s="1065"/>
      <c r="R216" s="1065"/>
      <c r="S216" s="1065"/>
      <c r="T216" s="1099"/>
      <c r="U216" s="1100"/>
      <c r="V216" s="1099"/>
      <c r="W216" s="1099"/>
      <c r="X216" s="1216"/>
      <c r="Z216" s="1311"/>
      <c r="AA216" s="1374">
        <f t="shared" si="40"/>
        <v>0</v>
      </c>
      <c r="AB216" s="1459">
        <f t="shared" si="40"/>
        <v>0</v>
      </c>
      <c r="AC216" s="1459">
        <f t="shared" si="40"/>
        <v>0</v>
      </c>
    </row>
    <row r="217" spans="1:29" s="914" customFormat="1" ht="52.5">
      <c r="A217" s="944" t="s">
        <v>1338</v>
      </c>
      <c r="B217" s="1238" t="s">
        <v>1169</v>
      </c>
      <c r="C217" s="871">
        <f>SUM(D217:E217)</f>
        <v>300000</v>
      </c>
      <c r="D217" s="884">
        <v>300000</v>
      </c>
      <c r="E217" s="887">
        <v>0</v>
      </c>
      <c r="F217" s="1531">
        <f t="shared" ref="F217:H218" si="44">C217</f>
        <v>300000</v>
      </c>
      <c r="G217" s="1532">
        <f t="shared" si="44"/>
        <v>300000</v>
      </c>
      <c r="H217" s="1532">
        <f t="shared" si="44"/>
        <v>0</v>
      </c>
      <c r="I217" s="1531">
        <f>SUM(J217:K217)</f>
        <v>0</v>
      </c>
      <c r="J217" s="884">
        <v>0</v>
      </c>
      <c r="K217" s="887">
        <v>0</v>
      </c>
      <c r="L217" s="876">
        <f t="shared" si="36"/>
        <v>0</v>
      </c>
      <c r="M217" s="877">
        <f t="shared" si="36"/>
        <v>0</v>
      </c>
      <c r="N217" s="877">
        <f t="shared" si="36"/>
        <v>0</v>
      </c>
      <c r="O217" s="1282"/>
      <c r="P217" s="1208"/>
      <c r="Q217" s="1065"/>
      <c r="R217" s="1065"/>
      <c r="S217" s="1065"/>
      <c r="T217" s="1099"/>
      <c r="U217" s="1100"/>
      <c r="V217" s="1099"/>
      <c r="W217" s="1099"/>
      <c r="X217" s="1216"/>
      <c r="Z217" s="1311"/>
      <c r="AA217" s="1374">
        <f t="shared" si="40"/>
        <v>0</v>
      </c>
      <c r="AB217" s="1459">
        <f t="shared" si="40"/>
        <v>0</v>
      </c>
      <c r="AC217" s="1459">
        <f t="shared" si="40"/>
        <v>0</v>
      </c>
    </row>
    <row r="218" spans="1:29" s="959" customFormat="1">
      <c r="A218" s="944" t="s">
        <v>1339</v>
      </c>
      <c r="B218" s="1526" t="s">
        <v>1340</v>
      </c>
      <c r="C218" s="871">
        <f>SUM(D218:E218)</f>
        <v>300000</v>
      </c>
      <c r="D218" s="884">
        <v>300000</v>
      </c>
      <c r="E218" s="887">
        <v>0</v>
      </c>
      <c r="F218" s="1531">
        <f t="shared" si="44"/>
        <v>300000</v>
      </c>
      <c r="G218" s="1532">
        <f t="shared" si="44"/>
        <v>300000</v>
      </c>
      <c r="H218" s="1532">
        <f t="shared" si="44"/>
        <v>0</v>
      </c>
      <c r="I218" s="1531">
        <f>SUM(J218:K218)</f>
        <v>200000</v>
      </c>
      <c r="J218" s="884">
        <v>200000</v>
      </c>
      <c r="K218" s="887">
        <v>0</v>
      </c>
      <c r="L218" s="876">
        <f t="shared" si="36"/>
        <v>66.7</v>
      </c>
      <c r="M218" s="877">
        <f t="shared" si="36"/>
        <v>66.7</v>
      </c>
      <c r="N218" s="877">
        <f t="shared" si="36"/>
        <v>0</v>
      </c>
      <c r="O218" s="1282"/>
      <c r="P218" s="1208"/>
      <c r="Q218" s="1065">
        <f t="shared" si="43"/>
        <v>0</v>
      </c>
      <c r="R218" s="1065">
        <f t="shared" si="43"/>
        <v>0</v>
      </c>
      <c r="S218" s="1065">
        <f t="shared" si="43"/>
        <v>0</v>
      </c>
      <c r="T218" s="1099"/>
      <c r="U218" s="1100"/>
      <c r="V218" s="1099"/>
      <c r="W218" s="1099"/>
      <c r="X218" s="1218"/>
      <c r="Z218" s="1311">
        <f t="shared" si="41"/>
        <v>0</v>
      </c>
      <c r="AA218" s="1374">
        <f t="shared" si="40"/>
        <v>0</v>
      </c>
      <c r="AB218" s="1459">
        <f t="shared" si="40"/>
        <v>0</v>
      </c>
      <c r="AC218" s="1459">
        <f t="shared" si="40"/>
        <v>0</v>
      </c>
    </row>
    <row r="219" spans="1:29" s="959" customFormat="1" ht="57.75" customHeight="1">
      <c r="A219" s="1189" t="s">
        <v>248</v>
      </c>
      <c r="B219" s="1054" t="s">
        <v>446</v>
      </c>
      <c r="C219" s="1051">
        <f>D219+E219</f>
        <v>907600</v>
      </c>
      <c r="D219" s="1056">
        <f>SUM(D220:D231)</f>
        <v>853000</v>
      </c>
      <c r="E219" s="1056">
        <f>SUM(E220:E231)</f>
        <v>54600</v>
      </c>
      <c r="F219" s="1051">
        <f>G219+H219</f>
        <v>754964.6</v>
      </c>
      <c r="G219" s="1056">
        <f>SUM(G220:G231)</f>
        <v>709638.7</v>
      </c>
      <c r="H219" s="1056">
        <f>SUM(H220:H231)</f>
        <v>45325.9</v>
      </c>
      <c r="I219" s="1051">
        <f>J219+K219</f>
        <v>580668</v>
      </c>
      <c r="J219" s="1056">
        <f>SUM(J220:J231)</f>
        <v>545814</v>
      </c>
      <c r="K219" s="1056">
        <f>SUM(K220:K231)</f>
        <v>34854</v>
      </c>
      <c r="L219" s="1053">
        <f t="shared" si="36"/>
        <v>76.900000000000006</v>
      </c>
      <c r="M219" s="1053">
        <f t="shared" si="36"/>
        <v>76.900000000000006</v>
      </c>
      <c r="N219" s="1053">
        <f t="shared" si="36"/>
        <v>76.900000000000006</v>
      </c>
      <c r="O219" s="1282"/>
      <c r="P219" s="1208"/>
      <c r="Q219" s="1065"/>
      <c r="R219" s="1065"/>
      <c r="S219" s="1065"/>
      <c r="T219" s="1099" t="s">
        <v>999</v>
      </c>
      <c r="U219" s="1100" t="s">
        <v>1001</v>
      </c>
      <c r="V219" s="1099">
        <v>414</v>
      </c>
      <c r="W219" s="1099"/>
      <c r="X219" s="1218"/>
      <c r="Z219" s="1311">
        <f t="shared" si="41"/>
        <v>152635.4</v>
      </c>
      <c r="AA219" s="1374">
        <f t="shared" si="40"/>
        <v>152635.4</v>
      </c>
      <c r="AB219" s="1459">
        <f t="shared" si="40"/>
        <v>143361.29999999999</v>
      </c>
      <c r="AC219" s="1459">
        <f t="shared" si="40"/>
        <v>9274.1</v>
      </c>
    </row>
    <row r="220" spans="1:29" ht="61.5" customHeight="1">
      <c r="A220" s="895"/>
      <c r="B220" s="937" t="s">
        <v>1379</v>
      </c>
      <c r="C220" s="871">
        <f>SUM(D220:E220)</f>
        <v>152635.4</v>
      </c>
      <c r="D220" s="884">
        <v>143361.29999999999</v>
      </c>
      <c r="E220" s="887">
        <v>9274.1</v>
      </c>
      <c r="F220" s="1531">
        <f>G220+H220</f>
        <v>0</v>
      </c>
      <c r="G220" s="887">
        <v>0</v>
      </c>
      <c r="H220" s="887">
        <v>0</v>
      </c>
      <c r="I220" s="1531">
        <f t="shared" ref="I220:I242" si="45">SUM(J220:K220)</f>
        <v>0</v>
      </c>
      <c r="J220" s="884">
        <v>0</v>
      </c>
      <c r="K220" s="887">
        <v>0</v>
      </c>
      <c r="L220" s="876">
        <f t="shared" si="36"/>
        <v>0</v>
      </c>
      <c r="M220" s="877">
        <f t="shared" si="36"/>
        <v>0</v>
      </c>
      <c r="N220" s="877">
        <f t="shared" si="36"/>
        <v>0</v>
      </c>
      <c r="O220" s="1282"/>
      <c r="Q220" s="1065">
        <f t="shared" si="43"/>
        <v>152635.4</v>
      </c>
      <c r="R220" s="1065">
        <f t="shared" si="43"/>
        <v>143361.29999999999</v>
      </c>
      <c r="S220" s="1065">
        <f t="shared" si="43"/>
        <v>9274.1</v>
      </c>
      <c r="T220" s="1099" t="s">
        <v>999</v>
      </c>
      <c r="U220" s="1100" t="s">
        <v>1005</v>
      </c>
      <c r="V220" s="1099">
        <v>414</v>
      </c>
      <c r="W220" s="1099" t="s">
        <v>1006</v>
      </c>
      <c r="Z220" s="1311">
        <f t="shared" si="41"/>
        <v>152635.4</v>
      </c>
      <c r="AA220" s="1374">
        <f t="shared" si="40"/>
        <v>152635.4</v>
      </c>
      <c r="AB220" s="1459">
        <f t="shared" si="40"/>
        <v>143361.29999999999</v>
      </c>
      <c r="AC220" s="1459">
        <f t="shared" si="40"/>
        <v>9274.1</v>
      </c>
    </row>
    <row r="221" spans="1:29" ht="75" customHeight="1">
      <c r="A221" s="895">
        <v>1</v>
      </c>
      <c r="B221" s="937" t="s">
        <v>668</v>
      </c>
      <c r="C221" s="871">
        <f t="shared" ref="C221:C242" si="46">SUM(D221:E221)</f>
        <v>452152</v>
      </c>
      <c r="D221" s="884">
        <v>425019.2</v>
      </c>
      <c r="E221" s="887">
        <v>27132.799999999999</v>
      </c>
      <c r="F221" s="1531">
        <f>G221+H221</f>
        <v>452152</v>
      </c>
      <c r="G221" s="887">
        <v>425019.2</v>
      </c>
      <c r="H221" s="887">
        <v>27132.799999999999</v>
      </c>
      <c r="I221" s="1531">
        <f t="shared" si="45"/>
        <v>452151.9</v>
      </c>
      <c r="J221" s="884">
        <f>424737.1+282</f>
        <v>425019.1</v>
      </c>
      <c r="K221" s="887">
        <f>27114.8+18</f>
        <v>27132.799999999999</v>
      </c>
      <c r="L221" s="876">
        <f t="shared" ref="L221:N238" si="47">IF(I221=0,0,I221/F221*100)</f>
        <v>100</v>
      </c>
      <c r="M221" s="877">
        <f t="shared" si="47"/>
        <v>100</v>
      </c>
      <c r="N221" s="877">
        <f t="shared" si="47"/>
        <v>100</v>
      </c>
      <c r="O221" s="1282"/>
      <c r="Q221" s="1065">
        <f t="shared" si="43"/>
        <v>0</v>
      </c>
      <c r="R221" s="1065">
        <f t="shared" si="43"/>
        <v>0</v>
      </c>
      <c r="S221" s="1065">
        <f t="shared" si="43"/>
        <v>0</v>
      </c>
      <c r="T221" s="1099" t="s">
        <v>999</v>
      </c>
      <c r="U221" s="1100" t="s">
        <v>1010</v>
      </c>
      <c r="V221" s="1099">
        <v>414</v>
      </c>
      <c r="W221" s="1099" t="s">
        <v>1011</v>
      </c>
      <c r="Z221" s="1311">
        <f t="shared" si="41"/>
        <v>0</v>
      </c>
      <c r="AA221" s="1374">
        <f t="shared" si="40"/>
        <v>0</v>
      </c>
      <c r="AB221" s="1459">
        <f t="shared" si="40"/>
        <v>0</v>
      </c>
      <c r="AC221" s="1459">
        <f t="shared" si="40"/>
        <v>0</v>
      </c>
    </row>
    <row r="222" spans="1:29" ht="90" customHeight="1">
      <c r="A222" s="895">
        <v>2</v>
      </c>
      <c r="B222" s="1526" t="s">
        <v>470</v>
      </c>
      <c r="C222" s="871">
        <f t="shared" si="46"/>
        <v>50107.7</v>
      </c>
      <c r="D222" s="887">
        <v>47101.2</v>
      </c>
      <c r="E222" s="887">
        <v>3006.5</v>
      </c>
      <c r="F222" s="871">
        <f t="shared" ref="F222:F238" si="48">SUM(G222:H222)</f>
        <v>50107.7</v>
      </c>
      <c r="G222" s="887">
        <v>47101.2</v>
      </c>
      <c r="H222" s="887">
        <v>3006.5</v>
      </c>
      <c r="I222" s="871">
        <f t="shared" si="45"/>
        <v>38007.4</v>
      </c>
      <c r="J222" s="887">
        <v>35727</v>
      </c>
      <c r="K222" s="887">
        <v>2280.4</v>
      </c>
      <c r="L222" s="872">
        <f t="shared" si="47"/>
        <v>75.900000000000006</v>
      </c>
      <c r="M222" s="873">
        <f t="shared" si="47"/>
        <v>75.900000000000006</v>
      </c>
      <c r="N222" s="873">
        <f t="shared" si="47"/>
        <v>75.8</v>
      </c>
      <c r="O222" s="1282"/>
      <c r="Q222" s="1065">
        <f t="shared" si="43"/>
        <v>0</v>
      </c>
      <c r="R222" s="1065">
        <f t="shared" si="43"/>
        <v>0</v>
      </c>
      <c r="S222" s="1065">
        <f t="shared" si="43"/>
        <v>0</v>
      </c>
      <c r="T222" s="1099" t="s">
        <v>999</v>
      </c>
      <c r="U222" s="1100" t="s">
        <v>1016</v>
      </c>
      <c r="V222" s="1099">
        <v>414</v>
      </c>
      <c r="W222" s="1099" t="s">
        <v>1004</v>
      </c>
      <c r="Z222" s="1311">
        <f t="shared" si="41"/>
        <v>0</v>
      </c>
      <c r="AA222" s="1374">
        <f t="shared" si="40"/>
        <v>0</v>
      </c>
      <c r="AB222" s="1459">
        <f t="shared" si="40"/>
        <v>0</v>
      </c>
      <c r="AC222" s="1459">
        <f t="shared" si="40"/>
        <v>0</v>
      </c>
    </row>
    <row r="223" spans="1:29" ht="90" customHeight="1">
      <c r="A223" s="895">
        <v>3</v>
      </c>
      <c r="B223" s="1526" t="s">
        <v>622</v>
      </c>
      <c r="C223" s="871">
        <f>SUM(D223:E223)</f>
        <v>24786.3</v>
      </c>
      <c r="D223" s="887">
        <v>23299.1</v>
      </c>
      <c r="E223" s="887">
        <v>1487.2</v>
      </c>
      <c r="F223" s="871">
        <f t="shared" si="48"/>
        <v>24786.3</v>
      </c>
      <c r="G223" s="887">
        <v>23299.1</v>
      </c>
      <c r="H223" s="887">
        <v>1487.2</v>
      </c>
      <c r="I223" s="871">
        <f t="shared" si="45"/>
        <v>17826.7</v>
      </c>
      <c r="J223" s="887">
        <v>16755.099999999999</v>
      </c>
      <c r="K223" s="887">
        <v>1071.5999999999999</v>
      </c>
      <c r="L223" s="872">
        <f t="shared" si="47"/>
        <v>71.900000000000006</v>
      </c>
      <c r="M223" s="873">
        <f t="shared" si="47"/>
        <v>71.900000000000006</v>
      </c>
      <c r="N223" s="873">
        <f t="shared" si="47"/>
        <v>72.099999999999994</v>
      </c>
      <c r="O223" s="1282"/>
      <c r="Q223" s="1065">
        <f t="shared" si="43"/>
        <v>0</v>
      </c>
      <c r="R223" s="1065">
        <f t="shared" si="43"/>
        <v>0</v>
      </c>
      <c r="S223" s="1065">
        <f t="shared" si="43"/>
        <v>0</v>
      </c>
      <c r="T223" s="1099" t="s">
        <v>999</v>
      </c>
      <c r="U223" s="1100" t="s">
        <v>1015</v>
      </c>
      <c r="V223" s="1099">
        <v>414</v>
      </c>
      <c r="W223" s="1099" t="s">
        <v>1004</v>
      </c>
      <c r="Z223" s="1311">
        <f t="shared" si="41"/>
        <v>0</v>
      </c>
      <c r="AA223" s="1374">
        <f t="shared" si="40"/>
        <v>0</v>
      </c>
      <c r="AB223" s="1459">
        <f t="shared" si="40"/>
        <v>0</v>
      </c>
      <c r="AC223" s="1459">
        <f t="shared" si="40"/>
        <v>0</v>
      </c>
    </row>
    <row r="224" spans="1:29" ht="90" customHeight="1">
      <c r="A224" s="895">
        <v>4</v>
      </c>
      <c r="B224" s="1526" t="s">
        <v>837</v>
      </c>
      <c r="C224" s="871">
        <f t="shared" si="46"/>
        <v>12843.6</v>
      </c>
      <c r="D224" s="887">
        <v>12072.9</v>
      </c>
      <c r="E224" s="887">
        <v>770.7</v>
      </c>
      <c r="F224" s="871">
        <f t="shared" si="48"/>
        <v>12843.6</v>
      </c>
      <c r="G224" s="887">
        <v>12072.9</v>
      </c>
      <c r="H224" s="887">
        <v>770.7</v>
      </c>
      <c r="I224" s="871">
        <f t="shared" si="45"/>
        <v>9344</v>
      </c>
      <c r="J224" s="887">
        <v>8782.2999999999993</v>
      </c>
      <c r="K224" s="887">
        <v>561.70000000000005</v>
      </c>
      <c r="L224" s="872">
        <f t="shared" si="47"/>
        <v>72.8</v>
      </c>
      <c r="M224" s="873">
        <f t="shared" si="47"/>
        <v>72.7</v>
      </c>
      <c r="N224" s="873">
        <f t="shared" si="47"/>
        <v>72.900000000000006</v>
      </c>
      <c r="O224" s="1282"/>
      <c r="Q224" s="1065">
        <f t="shared" si="43"/>
        <v>0</v>
      </c>
      <c r="R224" s="1065">
        <f t="shared" si="43"/>
        <v>0</v>
      </c>
      <c r="S224" s="1065">
        <f t="shared" si="43"/>
        <v>0</v>
      </c>
      <c r="T224" s="1099" t="s">
        <v>999</v>
      </c>
      <c r="U224" s="1100" t="s">
        <v>1014</v>
      </c>
      <c r="V224" s="1099">
        <v>414</v>
      </c>
      <c r="W224" s="1099" t="s">
        <v>1004</v>
      </c>
      <c r="Z224" s="1311">
        <f t="shared" si="41"/>
        <v>0</v>
      </c>
      <c r="AA224" s="1374">
        <f t="shared" si="40"/>
        <v>0</v>
      </c>
      <c r="AB224" s="1459">
        <f t="shared" si="40"/>
        <v>0</v>
      </c>
      <c r="AC224" s="1459">
        <f t="shared" si="40"/>
        <v>0</v>
      </c>
    </row>
    <row r="225" spans="1:31" ht="93" customHeight="1">
      <c r="A225" s="895">
        <v>5</v>
      </c>
      <c r="B225" s="1526" t="s">
        <v>620</v>
      </c>
      <c r="C225" s="871">
        <f>SUM(D225:E225)</f>
        <v>30843.4</v>
      </c>
      <c r="D225" s="887">
        <v>28992.799999999999</v>
      </c>
      <c r="E225" s="887">
        <v>1850.6</v>
      </c>
      <c r="F225" s="871">
        <f t="shared" si="48"/>
        <v>30843.4</v>
      </c>
      <c r="G225" s="887">
        <v>28992.799999999999</v>
      </c>
      <c r="H225" s="887">
        <v>1850.6</v>
      </c>
      <c r="I225" s="871">
        <f t="shared" si="45"/>
        <v>23306.2</v>
      </c>
      <c r="J225" s="887">
        <v>21905.200000000001</v>
      </c>
      <c r="K225" s="887">
        <v>1401</v>
      </c>
      <c r="L225" s="872">
        <f t="shared" si="47"/>
        <v>75.599999999999994</v>
      </c>
      <c r="M225" s="873">
        <f t="shared" si="47"/>
        <v>75.599999999999994</v>
      </c>
      <c r="N225" s="873">
        <f t="shared" si="47"/>
        <v>75.7</v>
      </c>
      <c r="O225" s="1282"/>
      <c r="Q225" s="1065">
        <f t="shared" si="43"/>
        <v>0</v>
      </c>
      <c r="R225" s="1065">
        <f t="shared" si="43"/>
        <v>0</v>
      </c>
      <c r="S225" s="1065">
        <f t="shared" si="43"/>
        <v>0</v>
      </c>
      <c r="T225" s="1099" t="s">
        <v>999</v>
      </c>
      <c r="U225" s="1100" t="s">
        <v>1012</v>
      </c>
      <c r="V225" s="1099">
        <v>414</v>
      </c>
      <c r="W225" s="1099" t="s">
        <v>1004</v>
      </c>
      <c r="Z225" s="1311">
        <f t="shared" si="41"/>
        <v>0</v>
      </c>
      <c r="AA225" s="1374">
        <f t="shared" si="40"/>
        <v>0</v>
      </c>
      <c r="AB225" s="1459">
        <f t="shared" si="40"/>
        <v>0</v>
      </c>
      <c r="AC225" s="1459">
        <f t="shared" si="40"/>
        <v>0</v>
      </c>
    </row>
    <row r="226" spans="1:31" ht="75" customHeight="1">
      <c r="A226" s="895">
        <v>6</v>
      </c>
      <c r="B226" s="1526" t="s">
        <v>471</v>
      </c>
      <c r="C226" s="871">
        <f t="shared" si="46"/>
        <v>9500</v>
      </c>
      <c r="D226" s="887">
        <v>8928.4</v>
      </c>
      <c r="E226" s="887">
        <v>571.6</v>
      </c>
      <c r="F226" s="871">
        <f t="shared" si="48"/>
        <v>9500</v>
      </c>
      <c r="G226" s="887">
        <v>8928.4</v>
      </c>
      <c r="H226" s="887">
        <v>571.6</v>
      </c>
      <c r="I226" s="871">
        <f t="shared" si="45"/>
        <v>614.6</v>
      </c>
      <c r="J226" s="887">
        <v>577.6</v>
      </c>
      <c r="K226" s="887">
        <v>37</v>
      </c>
      <c r="L226" s="872">
        <f t="shared" si="47"/>
        <v>6.5</v>
      </c>
      <c r="M226" s="873">
        <f t="shared" si="47"/>
        <v>6.5</v>
      </c>
      <c r="N226" s="873">
        <f t="shared" si="47"/>
        <v>6.5</v>
      </c>
      <c r="O226" s="1282"/>
      <c r="Q226" s="1065">
        <f t="shared" si="43"/>
        <v>0</v>
      </c>
      <c r="R226" s="1065">
        <f t="shared" si="43"/>
        <v>0</v>
      </c>
      <c r="S226" s="1065">
        <f t="shared" si="43"/>
        <v>0</v>
      </c>
      <c r="T226" s="1099" t="s">
        <v>999</v>
      </c>
      <c r="U226" s="1100" t="s">
        <v>1007</v>
      </c>
      <c r="V226" s="1099">
        <v>414</v>
      </c>
      <c r="W226" s="1099" t="s">
        <v>1004</v>
      </c>
      <c r="Z226" s="1311">
        <f t="shared" si="41"/>
        <v>0</v>
      </c>
      <c r="AA226" s="1374">
        <f t="shared" si="40"/>
        <v>0</v>
      </c>
      <c r="AB226" s="1459">
        <f t="shared" si="40"/>
        <v>0</v>
      </c>
      <c r="AC226" s="1459">
        <f t="shared" si="40"/>
        <v>0</v>
      </c>
    </row>
    <row r="227" spans="1:31" ht="75" customHeight="1">
      <c r="A227" s="895">
        <v>7</v>
      </c>
      <c r="B227" s="1526" t="s">
        <v>472</v>
      </c>
      <c r="C227" s="871">
        <f t="shared" si="46"/>
        <v>16500</v>
      </c>
      <c r="D227" s="887">
        <v>15507.2</v>
      </c>
      <c r="E227" s="887">
        <v>992.8</v>
      </c>
      <c r="F227" s="871">
        <f t="shared" si="48"/>
        <v>16500</v>
      </c>
      <c r="G227" s="887">
        <v>15507.2</v>
      </c>
      <c r="H227" s="887">
        <v>992.8</v>
      </c>
      <c r="I227" s="871">
        <f t="shared" si="45"/>
        <v>5033.3</v>
      </c>
      <c r="J227" s="887">
        <f>611+4119.66</f>
        <v>4730.7</v>
      </c>
      <c r="K227" s="887">
        <f>39.1+263.5</f>
        <v>302.60000000000002</v>
      </c>
      <c r="L227" s="872">
        <f t="shared" si="47"/>
        <v>30.5</v>
      </c>
      <c r="M227" s="873">
        <f t="shared" si="47"/>
        <v>30.5</v>
      </c>
      <c r="N227" s="873">
        <f t="shared" si="47"/>
        <v>30.5</v>
      </c>
      <c r="O227" s="1282"/>
      <c r="Q227" s="1065">
        <f t="shared" si="43"/>
        <v>0</v>
      </c>
      <c r="R227" s="1065">
        <f t="shared" si="43"/>
        <v>0</v>
      </c>
      <c r="S227" s="1065">
        <f t="shared" si="43"/>
        <v>0</v>
      </c>
      <c r="T227" s="1099" t="s">
        <v>999</v>
      </c>
      <c r="U227" s="1100" t="s">
        <v>1003</v>
      </c>
      <c r="V227" s="1099">
        <v>414</v>
      </c>
      <c r="W227" s="1099" t="s">
        <v>1004</v>
      </c>
      <c r="Z227" s="1311">
        <f t="shared" si="41"/>
        <v>0</v>
      </c>
      <c r="AA227" s="1374">
        <f t="shared" si="40"/>
        <v>0</v>
      </c>
      <c r="AB227" s="1459">
        <f t="shared" si="40"/>
        <v>0</v>
      </c>
      <c r="AC227" s="1459">
        <f t="shared" si="40"/>
        <v>0</v>
      </c>
    </row>
    <row r="228" spans="1:31" ht="75" customHeight="1">
      <c r="A228" s="895">
        <v>8</v>
      </c>
      <c r="B228" s="1526" t="s">
        <v>473</v>
      </c>
      <c r="C228" s="871">
        <f t="shared" si="46"/>
        <v>10549.1</v>
      </c>
      <c r="D228" s="887">
        <v>9914.4</v>
      </c>
      <c r="E228" s="887">
        <v>634.70000000000005</v>
      </c>
      <c r="F228" s="871">
        <f t="shared" si="48"/>
        <v>10549.1</v>
      </c>
      <c r="G228" s="887">
        <v>9914.4</v>
      </c>
      <c r="H228" s="887">
        <v>634.70000000000005</v>
      </c>
      <c r="I228" s="871">
        <f t="shared" si="45"/>
        <v>10375.9</v>
      </c>
      <c r="J228" s="887">
        <v>9752.2000000000007</v>
      </c>
      <c r="K228" s="887">
        <v>623.70000000000005</v>
      </c>
      <c r="L228" s="872">
        <f t="shared" si="47"/>
        <v>98.4</v>
      </c>
      <c r="M228" s="873">
        <f t="shared" si="47"/>
        <v>98.4</v>
      </c>
      <c r="N228" s="873">
        <f t="shared" si="47"/>
        <v>98.3</v>
      </c>
      <c r="O228" s="1282"/>
      <c r="Q228" s="1065">
        <f t="shared" si="43"/>
        <v>0</v>
      </c>
      <c r="R228" s="1065">
        <f t="shared" si="43"/>
        <v>0</v>
      </c>
      <c r="S228" s="1065">
        <f t="shared" si="43"/>
        <v>0</v>
      </c>
      <c r="T228" s="1099" t="s">
        <v>999</v>
      </c>
      <c r="U228" s="1100" t="s">
        <v>1013</v>
      </c>
      <c r="V228" s="1099">
        <v>414</v>
      </c>
      <c r="W228" s="1099" t="s">
        <v>1004</v>
      </c>
      <c r="Z228" s="1311">
        <f t="shared" si="41"/>
        <v>0</v>
      </c>
      <c r="AA228" s="1374">
        <f t="shared" si="40"/>
        <v>0</v>
      </c>
      <c r="AB228" s="1459">
        <f t="shared" si="40"/>
        <v>0</v>
      </c>
      <c r="AC228" s="1459">
        <f t="shared" si="40"/>
        <v>0</v>
      </c>
    </row>
    <row r="229" spans="1:31" ht="75" customHeight="1">
      <c r="A229" s="895">
        <v>9</v>
      </c>
      <c r="B229" s="1526" t="s">
        <v>474</v>
      </c>
      <c r="C229" s="871">
        <f>SUM(D229:E229)</f>
        <v>26243.8</v>
      </c>
      <c r="D229" s="887">
        <v>24664.799999999999</v>
      </c>
      <c r="E229" s="887">
        <v>1579</v>
      </c>
      <c r="F229" s="871">
        <f t="shared" si="48"/>
        <v>26243.8</v>
      </c>
      <c r="G229" s="887">
        <v>24664.799999999999</v>
      </c>
      <c r="H229" s="887">
        <v>1579</v>
      </c>
      <c r="I229" s="871">
        <f t="shared" si="45"/>
        <v>24008</v>
      </c>
      <c r="J229" s="887">
        <v>22564.799999999999</v>
      </c>
      <c r="K229" s="887">
        <v>1443.2</v>
      </c>
      <c r="L229" s="872">
        <f t="shared" si="47"/>
        <v>91.5</v>
      </c>
      <c r="M229" s="873">
        <f t="shared" si="47"/>
        <v>91.5</v>
      </c>
      <c r="N229" s="873">
        <f t="shared" si="47"/>
        <v>91.4</v>
      </c>
      <c r="O229" s="1282"/>
      <c r="Q229" s="1065">
        <f t="shared" si="43"/>
        <v>0</v>
      </c>
      <c r="R229" s="1065">
        <f t="shared" si="43"/>
        <v>0</v>
      </c>
      <c r="S229" s="1065">
        <f t="shared" si="43"/>
        <v>0</v>
      </c>
      <c r="T229" s="1099" t="s">
        <v>999</v>
      </c>
      <c r="U229" s="1100" t="s">
        <v>1002</v>
      </c>
      <c r="V229" s="1099">
        <v>414</v>
      </c>
      <c r="W229" s="1099" t="s">
        <v>1004</v>
      </c>
      <c r="Z229" s="1311">
        <f t="shared" si="41"/>
        <v>0</v>
      </c>
      <c r="AA229" s="1374">
        <f t="shared" si="40"/>
        <v>0</v>
      </c>
      <c r="AB229" s="1459">
        <f t="shared" si="40"/>
        <v>0</v>
      </c>
      <c r="AC229" s="1459">
        <f t="shared" si="40"/>
        <v>0</v>
      </c>
    </row>
    <row r="230" spans="1:31" ht="75" customHeight="1">
      <c r="A230" s="895">
        <v>10</v>
      </c>
      <c r="B230" s="1526" t="s">
        <v>617</v>
      </c>
      <c r="C230" s="871">
        <f t="shared" si="46"/>
        <v>81990.7</v>
      </c>
      <c r="D230" s="887">
        <v>77057.899999999994</v>
      </c>
      <c r="E230" s="887">
        <v>4932.8</v>
      </c>
      <c r="F230" s="871">
        <f t="shared" si="48"/>
        <v>81990.7</v>
      </c>
      <c r="G230" s="887">
        <v>77057.899999999994</v>
      </c>
      <c r="H230" s="887">
        <v>4932.8</v>
      </c>
      <c r="I230" s="871">
        <f t="shared" si="45"/>
        <v>0</v>
      </c>
      <c r="J230" s="887">
        <v>0</v>
      </c>
      <c r="K230" s="887">
        <v>0</v>
      </c>
      <c r="L230" s="872">
        <f t="shared" si="47"/>
        <v>0</v>
      </c>
      <c r="M230" s="873">
        <f t="shared" si="47"/>
        <v>0</v>
      </c>
      <c r="N230" s="873">
        <f t="shared" si="47"/>
        <v>0</v>
      </c>
      <c r="O230" s="1282"/>
      <c r="Q230" s="1065">
        <f t="shared" si="43"/>
        <v>0</v>
      </c>
      <c r="R230" s="1065">
        <f t="shared" si="43"/>
        <v>0</v>
      </c>
      <c r="S230" s="1065">
        <f t="shared" si="43"/>
        <v>0</v>
      </c>
      <c r="T230" s="1099" t="s">
        <v>999</v>
      </c>
      <c r="U230" s="1100" t="s">
        <v>1008</v>
      </c>
      <c r="V230" s="1099">
        <v>414</v>
      </c>
      <c r="W230" s="1099" t="s">
        <v>1006</v>
      </c>
      <c r="Z230" s="1311">
        <f t="shared" si="41"/>
        <v>0</v>
      </c>
      <c r="AA230" s="1374">
        <f t="shared" si="40"/>
        <v>0</v>
      </c>
      <c r="AB230" s="1459">
        <f t="shared" si="40"/>
        <v>0</v>
      </c>
      <c r="AC230" s="1459">
        <f t="shared" si="40"/>
        <v>0</v>
      </c>
    </row>
    <row r="231" spans="1:31" s="914" customFormat="1" ht="110.25" customHeight="1">
      <c r="A231" s="895">
        <v>12</v>
      </c>
      <c r="B231" s="1526" t="s">
        <v>619</v>
      </c>
      <c r="C231" s="871">
        <f>SUM(D231:E231)</f>
        <v>39448</v>
      </c>
      <c r="D231" s="887">
        <v>37080.800000000003</v>
      </c>
      <c r="E231" s="887">
        <v>2367.1999999999998</v>
      </c>
      <c r="F231" s="871">
        <f t="shared" si="48"/>
        <v>39448</v>
      </c>
      <c r="G231" s="887">
        <v>37080.800000000003</v>
      </c>
      <c r="H231" s="887">
        <v>2367.1999999999998</v>
      </c>
      <c r="I231" s="871">
        <f t="shared" si="45"/>
        <v>0</v>
      </c>
      <c r="J231" s="887">
        <v>0</v>
      </c>
      <c r="K231" s="887">
        <v>0</v>
      </c>
      <c r="L231" s="872">
        <f t="shared" si="47"/>
        <v>0</v>
      </c>
      <c r="M231" s="873">
        <f t="shared" si="47"/>
        <v>0</v>
      </c>
      <c r="N231" s="873">
        <f t="shared" si="47"/>
        <v>0</v>
      </c>
      <c r="O231" s="1282"/>
      <c r="P231" s="1208"/>
      <c r="Q231" s="1065">
        <f t="shared" si="43"/>
        <v>0</v>
      </c>
      <c r="R231" s="1065">
        <f t="shared" si="43"/>
        <v>0</v>
      </c>
      <c r="S231" s="1065">
        <f t="shared" si="43"/>
        <v>0</v>
      </c>
      <c r="T231" s="1099"/>
      <c r="U231" s="1100"/>
      <c r="V231" s="1099"/>
      <c r="W231" s="1099"/>
      <c r="X231" s="1216"/>
      <c r="Z231" s="1311">
        <f t="shared" si="41"/>
        <v>0</v>
      </c>
      <c r="AA231" s="1374">
        <f t="shared" si="40"/>
        <v>0</v>
      </c>
      <c r="AB231" s="1459">
        <f t="shared" si="40"/>
        <v>0</v>
      </c>
      <c r="AC231" s="1459">
        <f t="shared" si="40"/>
        <v>0</v>
      </c>
    </row>
    <row r="232" spans="1:31" ht="58.5" customHeight="1">
      <c r="A232" s="1314" t="s">
        <v>1341</v>
      </c>
      <c r="B232" s="947" t="s">
        <v>656</v>
      </c>
      <c r="C232" s="950">
        <f>D232+E232</f>
        <v>60106.400000000001</v>
      </c>
      <c r="D232" s="949">
        <f>D233</f>
        <v>56500</v>
      </c>
      <c r="E232" s="949">
        <f>E233</f>
        <v>3606.4</v>
      </c>
      <c r="F232" s="950">
        <f>G232+H232</f>
        <v>60106.400000000001</v>
      </c>
      <c r="G232" s="949">
        <f>G233</f>
        <v>56500</v>
      </c>
      <c r="H232" s="949">
        <f>H233</f>
        <v>3606.4</v>
      </c>
      <c r="I232" s="950">
        <f>J232+K232</f>
        <v>59268.4</v>
      </c>
      <c r="J232" s="949">
        <f>J233</f>
        <v>55712.3</v>
      </c>
      <c r="K232" s="949">
        <f>K233</f>
        <v>3556.1</v>
      </c>
      <c r="L232" s="951">
        <f t="shared" si="47"/>
        <v>98.6</v>
      </c>
      <c r="M232" s="952">
        <f t="shared" si="47"/>
        <v>98.6</v>
      </c>
      <c r="N232" s="952">
        <f t="shared" si="47"/>
        <v>98.6</v>
      </c>
      <c r="O232" s="1282"/>
      <c r="Q232" s="1065">
        <f t="shared" si="43"/>
        <v>0</v>
      </c>
      <c r="R232" s="1065">
        <f t="shared" si="43"/>
        <v>0</v>
      </c>
      <c r="S232" s="1065">
        <f t="shared" si="43"/>
        <v>0</v>
      </c>
      <c r="T232" s="1099" t="s">
        <v>999</v>
      </c>
      <c r="U232" s="1100" t="s">
        <v>1017</v>
      </c>
      <c r="V232" s="1099">
        <v>414</v>
      </c>
      <c r="W232" s="1099" t="s">
        <v>1018</v>
      </c>
      <c r="Z232" s="1311">
        <f t="shared" si="41"/>
        <v>0</v>
      </c>
      <c r="AA232" s="1374">
        <f t="shared" si="40"/>
        <v>0</v>
      </c>
      <c r="AB232" s="1459">
        <f t="shared" si="40"/>
        <v>0</v>
      </c>
      <c r="AC232" s="1459">
        <f t="shared" si="40"/>
        <v>0</v>
      </c>
    </row>
    <row r="233" spans="1:31" s="914" customFormat="1" ht="56.25" customHeight="1">
      <c r="A233" s="895">
        <v>13</v>
      </c>
      <c r="B233" s="937" t="s">
        <v>623</v>
      </c>
      <c r="C233" s="871">
        <f>SUM(D233:E233)</f>
        <v>60106.400000000001</v>
      </c>
      <c r="D233" s="884">
        <v>56500</v>
      </c>
      <c r="E233" s="887">
        <v>3606.4</v>
      </c>
      <c r="F233" s="871">
        <f t="shared" si="48"/>
        <v>60106.400000000001</v>
      </c>
      <c r="G233" s="884">
        <v>56500</v>
      </c>
      <c r="H233" s="884">
        <v>3606.4</v>
      </c>
      <c r="I233" s="1531">
        <f t="shared" si="45"/>
        <v>59268.4</v>
      </c>
      <c r="J233" s="884">
        <f>55027.1+685.2</f>
        <v>55712.3</v>
      </c>
      <c r="K233" s="887">
        <f>3512.4+43.7</f>
        <v>3556.1</v>
      </c>
      <c r="L233" s="876">
        <f t="shared" si="47"/>
        <v>98.6</v>
      </c>
      <c r="M233" s="877">
        <f t="shared" si="47"/>
        <v>98.6</v>
      </c>
      <c r="N233" s="877">
        <f t="shared" si="47"/>
        <v>98.6</v>
      </c>
      <c r="O233" s="1282"/>
      <c r="P233" s="1208"/>
      <c r="Q233" s="1065">
        <f t="shared" si="43"/>
        <v>0</v>
      </c>
      <c r="R233" s="1065">
        <f t="shared" si="43"/>
        <v>0</v>
      </c>
      <c r="S233" s="1065">
        <f t="shared" si="43"/>
        <v>0</v>
      </c>
      <c r="T233" s="1099"/>
      <c r="U233" s="1100"/>
      <c r="V233" s="1099"/>
      <c r="W233" s="1099"/>
      <c r="X233" s="1216"/>
      <c r="Z233" s="1311">
        <f t="shared" si="41"/>
        <v>0</v>
      </c>
      <c r="AA233" s="1374">
        <f t="shared" si="40"/>
        <v>0</v>
      </c>
      <c r="AB233" s="1459">
        <f t="shared" si="40"/>
        <v>0</v>
      </c>
      <c r="AC233" s="1459">
        <f t="shared" si="40"/>
        <v>0</v>
      </c>
    </row>
    <row r="234" spans="1:31" s="736" customFormat="1" ht="58.5" customHeight="1">
      <c r="A234" s="1305" t="s">
        <v>249</v>
      </c>
      <c r="B234" s="932" t="s">
        <v>39</v>
      </c>
      <c r="C234" s="933">
        <f t="shared" si="46"/>
        <v>108835</v>
      </c>
      <c r="D234" s="933">
        <f>SUM(D235:D238)</f>
        <v>0</v>
      </c>
      <c r="E234" s="933">
        <f>SUM(E235:E238)</f>
        <v>108835</v>
      </c>
      <c r="F234" s="933">
        <f t="shared" si="48"/>
        <v>108835</v>
      </c>
      <c r="G234" s="933">
        <f>SUM(G235:G238)</f>
        <v>0</v>
      </c>
      <c r="H234" s="933">
        <f>SUM(H235:H238)</f>
        <v>108835</v>
      </c>
      <c r="I234" s="933">
        <f t="shared" si="45"/>
        <v>33065.1</v>
      </c>
      <c r="J234" s="933">
        <f>SUM(J235:J238)</f>
        <v>0</v>
      </c>
      <c r="K234" s="933">
        <f>SUM(K235:K238)</f>
        <v>33065.1</v>
      </c>
      <c r="L234" s="935">
        <f t="shared" si="47"/>
        <v>30.4</v>
      </c>
      <c r="M234" s="936">
        <f t="shared" si="47"/>
        <v>0</v>
      </c>
      <c r="N234" s="936">
        <f t="shared" si="47"/>
        <v>30.4</v>
      </c>
      <c r="O234" s="1282"/>
      <c r="P234" s="1208"/>
      <c r="Q234" s="1065">
        <f t="shared" si="43"/>
        <v>0</v>
      </c>
      <c r="R234" s="1065">
        <f t="shared" si="43"/>
        <v>0</v>
      </c>
      <c r="S234" s="1065">
        <f t="shared" si="43"/>
        <v>0</v>
      </c>
      <c r="T234" s="1099" t="s">
        <v>999</v>
      </c>
      <c r="U234" s="1100">
        <v>1110290400</v>
      </c>
      <c r="V234" s="1099">
        <v>414</v>
      </c>
      <c r="W234" s="1099">
        <v>10119</v>
      </c>
      <c r="X234" s="1216"/>
      <c r="Z234" s="1311">
        <f t="shared" si="41"/>
        <v>0</v>
      </c>
      <c r="AA234" s="1374">
        <f t="shared" si="40"/>
        <v>0</v>
      </c>
      <c r="AB234" s="1459">
        <f t="shared" si="40"/>
        <v>0</v>
      </c>
      <c r="AC234" s="1459">
        <f t="shared" si="40"/>
        <v>0</v>
      </c>
    </row>
    <row r="235" spans="1:31" s="736" customFormat="1" ht="59.25" customHeight="1">
      <c r="A235" s="895">
        <v>14</v>
      </c>
      <c r="B235" s="1238" t="s">
        <v>706</v>
      </c>
      <c r="C235" s="871">
        <f>SUM(D235:E235)</f>
        <v>2760</v>
      </c>
      <c r="D235" s="887">
        <v>0</v>
      </c>
      <c r="E235" s="887">
        <v>2760</v>
      </c>
      <c r="F235" s="871">
        <f t="shared" si="48"/>
        <v>2760</v>
      </c>
      <c r="G235" s="887">
        <v>0</v>
      </c>
      <c r="H235" s="887">
        <v>2760</v>
      </c>
      <c r="I235" s="871">
        <f t="shared" si="45"/>
        <v>0</v>
      </c>
      <c r="J235" s="887">
        <v>0</v>
      </c>
      <c r="K235" s="887">
        <v>0</v>
      </c>
      <c r="L235" s="872">
        <f t="shared" si="47"/>
        <v>0</v>
      </c>
      <c r="M235" s="873">
        <f t="shared" si="47"/>
        <v>0</v>
      </c>
      <c r="N235" s="873">
        <f t="shared" si="47"/>
        <v>0</v>
      </c>
      <c r="O235" s="1282"/>
      <c r="P235" s="1208"/>
      <c r="Q235" s="1065"/>
      <c r="R235" s="1065"/>
      <c r="S235" s="1065"/>
      <c r="T235" s="1099"/>
      <c r="U235" s="1100"/>
      <c r="V235" s="1099"/>
      <c r="W235" s="1099"/>
      <c r="X235" s="1216"/>
      <c r="Z235" s="1311">
        <f t="shared" si="41"/>
        <v>0</v>
      </c>
      <c r="AA235" s="1374">
        <f t="shared" si="40"/>
        <v>0</v>
      </c>
      <c r="AB235" s="1459">
        <f t="shared" si="40"/>
        <v>0</v>
      </c>
      <c r="AC235" s="1459">
        <f t="shared" si="40"/>
        <v>0</v>
      </c>
    </row>
    <row r="236" spans="1:31" s="736" customFormat="1" ht="58.5" customHeight="1">
      <c r="A236" s="895">
        <v>15</v>
      </c>
      <c r="B236" s="1238" t="s">
        <v>1169</v>
      </c>
      <c r="C236" s="871">
        <f>SUM(D236:E236)</f>
        <v>12000</v>
      </c>
      <c r="D236" s="887">
        <v>0</v>
      </c>
      <c r="E236" s="887">
        <v>12000</v>
      </c>
      <c r="F236" s="871">
        <f t="shared" si="48"/>
        <v>12000</v>
      </c>
      <c r="G236" s="887">
        <v>0</v>
      </c>
      <c r="H236" s="887">
        <v>12000</v>
      </c>
      <c r="I236" s="871">
        <f t="shared" si="45"/>
        <v>0</v>
      </c>
      <c r="J236" s="887">
        <v>0</v>
      </c>
      <c r="K236" s="887">
        <v>0</v>
      </c>
      <c r="L236" s="872"/>
      <c r="M236" s="873"/>
      <c r="N236" s="873"/>
      <c r="O236" s="1282"/>
      <c r="P236" s="1208"/>
      <c r="Q236" s="1065">
        <f>C236-F236</f>
        <v>0</v>
      </c>
      <c r="R236" s="1065">
        <f t="shared" si="43"/>
        <v>0</v>
      </c>
      <c r="S236" s="1065">
        <f t="shared" si="43"/>
        <v>0</v>
      </c>
      <c r="T236" s="1099" t="s">
        <v>999</v>
      </c>
      <c r="U236" s="1100">
        <v>1110290400</v>
      </c>
      <c r="V236" s="1099">
        <v>414</v>
      </c>
      <c r="W236" s="1099">
        <v>10044</v>
      </c>
      <c r="X236" s="1216"/>
      <c r="Z236" s="1311">
        <f t="shared" si="41"/>
        <v>0</v>
      </c>
      <c r="AA236" s="1374">
        <f t="shared" si="40"/>
        <v>0</v>
      </c>
      <c r="AB236" s="1459">
        <f t="shared" si="40"/>
        <v>0</v>
      </c>
      <c r="AC236" s="1459">
        <f t="shared" si="40"/>
        <v>0</v>
      </c>
    </row>
    <row r="237" spans="1:31" s="736" customFormat="1" ht="29.25" customHeight="1">
      <c r="A237" s="895">
        <v>16</v>
      </c>
      <c r="B237" s="1238" t="s">
        <v>268</v>
      </c>
      <c r="C237" s="871">
        <f>SUM(D237:E237)</f>
        <v>700</v>
      </c>
      <c r="D237" s="887">
        <v>0</v>
      </c>
      <c r="E237" s="887">
        <v>700</v>
      </c>
      <c r="F237" s="871">
        <f t="shared" si="48"/>
        <v>700</v>
      </c>
      <c r="G237" s="887">
        <v>0</v>
      </c>
      <c r="H237" s="887">
        <v>700</v>
      </c>
      <c r="I237" s="871">
        <f t="shared" si="45"/>
        <v>360.1</v>
      </c>
      <c r="J237" s="887">
        <v>0</v>
      </c>
      <c r="K237" s="887">
        <v>360.1</v>
      </c>
      <c r="L237" s="872">
        <f t="shared" si="47"/>
        <v>51.4</v>
      </c>
      <c r="M237" s="873">
        <f t="shared" si="47"/>
        <v>0</v>
      </c>
      <c r="N237" s="873">
        <f t="shared" si="47"/>
        <v>51.4</v>
      </c>
      <c r="O237" s="1282"/>
      <c r="P237" s="1208"/>
      <c r="Q237" s="1065">
        <f t="shared" si="43"/>
        <v>0</v>
      </c>
      <c r="R237" s="1065">
        <f t="shared" si="43"/>
        <v>0</v>
      </c>
      <c r="S237" s="1065">
        <f t="shared" si="43"/>
        <v>0</v>
      </c>
      <c r="T237" s="1099" t="s">
        <v>999</v>
      </c>
      <c r="U237" s="1100">
        <v>1110290400</v>
      </c>
      <c r="V237" s="1099">
        <v>414</v>
      </c>
      <c r="W237" s="1099">
        <v>10001</v>
      </c>
      <c r="X237" s="1216"/>
      <c r="Z237" s="1311">
        <f t="shared" si="41"/>
        <v>0</v>
      </c>
      <c r="AA237" s="1374">
        <f t="shared" si="40"/>
        <v>0</v>
      </c>
      <c r="AB237" s="1459">
        <f t="shared" si="40"/>
        <v>0</v>
      </c>
      <c r="AC237" s="1459">
        <f t="shared" si="40"/>
        <v>0</v>
      </c>
    </row>
    <row r="238" spans="1:31" s="914" customFormat="1" ht="69.75" customHeight="1">
      <c r="A238" s="895">
        <v>17</v>
      </c>
      <c r="B238" s="1238" t="s">
        <v>263</v>
      </c>
      <c r="C238" s="871">
        <f t="shared" si="46"/>
        <v>93375</v>
      </c>
      <c r="D238" s="887">
        <v>0</v>
      </c>
      <c r="E238" s="887">
        <v>93375</v>
      </c>
      <c r="F238" s="871">
        <f t="shared" si="48"/>
        <v>93375</v>
      </c>
      <c r="G238" s="887">
        <v>0</v>
      </c>
      <c r="H238" s="887">
        <v>93375</v>
      </c>
      <c r="I238" s="871">
        <f t="shared" si="45"/>
        <v>32705</v>
      </c>
      <c r="J238" s="887">
        <v>0</v>
      </c>
      <c r="K238" s="887">
        <f>30024+2681</f>
        <v>32705</v>
      </c>
      <c r="L238" s="872">
        <f t="shared" si="47"/>
        <v>35</v>
      </c>
      <c r="M238" s="873">
        <f t="shared" si="47"/>
        <v>0</v>
      </c>
      <c r="N238" s="873">
        <f t="shared" si="47"/>
        <v>35</v>
      </c>
      <c r="O238" s="1282"/>
      <c r="P238" s="1281" t="s">
        <v>1103</v>
      </c>
      <c r="Q238" s="1065">
        <f t="shared" si="43"/>
        <v>0</v>
      </c>
      <c r="R238" s="1065">
        <f t="shared" si="43"/>
        <v>0</v>
      </c>
      <c r="S238" s="1065">
        <f t="shared" si="43"/>
        <v>0</v>
      </c>
      <c r="T238" s="1099"/>
      <c r="U238" s="1100"/>
      <c r="V238" s="1099"/>
      <c r="W238" s="1099"/>
      <c r="X238" s="1216"/>
      <c r="Z238" s="1311">
        <f t="shared" si="41"/>
        <v>0</v>
      </c>
      <c r="AA238" s="1374">
        <f t="shared" si="40"/>
        <v>0</v>
      </c>
      <c r="AB238" s="1459">
        <f t="shared" si="40"/>
        <v>0</v>
      </c>
      <c r="AC238" s="1459">
        <f t="shared" si="40"/>
        <v>0</v>
      </c>
      <c r="AD238" s="1378"/>
      <c r="AE238" s="1378"/>
    </row>
    <row r="239" spans="1:31" s="914" customFormat="1" ht="120.75" customHeight="1">
      <c r="A239" s="2401" t="s">
        <v>1369</v>
      </c>
      <c r="B239" s="2401"/>
      <c r="C239" s="917">
        <f t="shared" si="46"/>
        <v>3592</v>
      </c>
      <c r="D239" s="917">
        <f>SUM(D240,D258)</f>
        <v>0</v>
      </c>
      <c r="E239" s="917">
        <f>SUM(E240,E258)</f>
        <v>3592</v>
      </c>
      <c r="F239" s="917">
        <f>SUM(G239:H239)</f>
        <v>3592</v>
      </c>
      <c r="G239" s="917">
        <f>SUM(G240,G258)</f>
        <v>0</v>
      </c>
      <c r="H239" s="917">
        <f>SUM(H240,H258)</f>
        <v>3592</v>
      </c>
      <c r="I239" s="917">
        <f t="shared" si="45"/>
        <v>0</v>
      </c>
      <c r="J239" s="917">
        <f>SUM(J240,J258)</f>
        <v>0</v>
      </c>
      <c r="K239" s="917">
        <f>SUM(K240,K258)</f>
        <v>0</v>
      </c>
      <c r="L239" s="918">
        <f t="shared" ref="L239:N242" si="49">IF(I239=0,0,I239/F239*100)</f>
        <v>0</v>
      </c>
      <c r="M239" s="920">
        <f t="shared" si="49"/>
        <v>0</v>
      </c>
      <c r="N239" s="920">
        <f t="shared" si="49"/>
        <v>0</v>
      </c>
      <c r="O239" s="1282"/>
      <c r="P239" s="1281" t="s">
        <v>1104</v>
      </c>
      <c r="Q239" s="1065">
        <f t="shared" si="43"/>
        <v>0</v>
      </c>
      <c r="R239" s="1065">
        <f t="shared" si="43"/>
        <v>0</v>
      </c>
      <c r="S239" s="1065">
        <f t="shared" si="43"/>
        <v>0</v>
      </c>
      <c r="T239" s="1099"/>
      <c r="U239" s="1100"/>
      <c r="V239" s="1099"/>
      <c r="W239" s="1099"/>
      <c r="X239" s="1216"/>
      <c r="Z239" s="1311">
        <f t="shared" si="41"/>
        <v>0</v>
      </c>
      <c r="AA239" s="1374">
        <f t="shared" si="40"/>
        <v>0</v>
      </c>
      <c r="AB239" s="1459">
        <f t="shared" si="40"/>
        <v>0</v>
      </c>
      <c r="AC239" s="1459">
        <f t="shared" si="40"/>
        <v>0</v>
      </c>
    </row>
    <row r="240" spans="1:31" ht="108">
      <c r="A240" s="1280" t="s">
        <v>6</v>
      </c>
      <c r="B240" s="925" t="s">
        <v>439</v>
      </c>
      <c r="C240" s="926">
        <f t="shared" si="46"/>
        <v>3592</v>
      </c>
      <c r="D240" s="926">
        <f>SUM(D241,D254,D256)</f>
        <v>0</v>
      </c>
      <c r="E240" s="926">
        <f>SUM(E241,E254,E256)</f>
        <v>3592</v>
      </c>
      <c r="F240" s="926">
        <f>SUM(G240:H240)</f>
        <v>3592</v>
      </c>
      <c r="G240" s="926">
        <f>SUM(G241,G254,G256)</f>
        <v>0</v>
      </c>
      <c r="H240" s="926">
        <f>SUM(H241,H254,H256)</f>
        <v>3592</v>
      </c>
      <c r="I240" s="926">
        <f t="shared" si="45"/>
        <v>0</v>
      </c>
      <c r="J240" s="926">
        <f>SUM(J241,J254,J256)</f>
        <v>0</v>
      </c>
      <c r="K240" s="926">
        <f>SUM(K241,K254,K256)</f>
        <v>0</v>
      </c>
      <c r="L240" s="927">
        <f t="shared" si="49"/>
        <v>0</v>
      </c>
      <c r="M240" s="928">
        <f t="shared" si="49"/>
        <v>0</v>
      </c>
      <c r="N240" s="928">
        <f t="shared" si="49"/>
        <v>0</v>
      </c>
      <c r="O240" s="1282"/>
      <c r="P240" s="1281" t="s">
        <v>1100</v>
      </c>
      <c r="Q240" s="1065">
        <f t="shared" si="43"/>
        <v>0</v>
      </c>
      <c r="R240" s="1065">
        <f t="shared" si="43"/>
        <v>0</v>
      </c>
      <c r="S240" s="1065">
        <f t="shared" si="43"/>
        <v>0</v>
      </c>
      <c r="Z240" s="1311">
        <f t="shared" si="41"/>
        <v>0</v>
      </c>
      <c r="AA240" s="1374">
        <f t="shared" si="40"/>
        <v>0</v>
      </c>
      <c r="AB240" s="1459">
        <f t="shared" si="40"/>
        <v>0</v>
      </c>
      <c r="AC240" s="1459">
        <f t="shared" si="40"/>
        <v>0</v>
      </c>
    </row>
    <row r="241" spans="1:29" ht="73.5" customHeight="1">
      <c r="A241" s="1522"/>
      <c r="B241" s="898" t="s">
        <v>457</v>
      </c>
      <c r="C241" s="1531">
        <f t="shared" si="46"/>
        <v>3592</v>
      </c>
      <c r="D241" s="875">
        <v>0</v>
      </c>
      <c r="E241" s="875">
        <v>3592</v>
      </c>
      <c r="F241" s="1531">
        <f>SUM(G241:H241)</f>
        <v>3592</v>
      </c>
      <c r="G241" s="875">
        <v>0</v>
      </c>
      <c r="H241" s="875">
        <v>3592</v>
      </c>
      <c r="I241" s="1531">
        <f t="shared" si="45"/>
        <v>0</v>
      </c>
      <c r="J241" s="875">
        <v>0</v>
      </c>
      <c r="K241" s="875">
        <v>0</v>
      </c>
      <c r="L241" s="876">
        <f t="shared" si="49"/>
        <v>0</v>
      </c>
      <c r="M241" s="877">
        <f t="shared" si="49"/>
        <v>0</v>
      </c>
      <c r="N241" s="877">
        <f t="shared" si="49"/>
        <v>0</v>
      </c>
      <c r="O241" s="1282"/>
      <c r="P241" s="1281" t="s">
        <v>1105</v>
      </c>
      <c r="Q241" s="1065"/>
      <c r="R241" s="1065">
        <f t="shared" si="43"/>
        <v>0</v>
      </c>
      <c r="S241" s="1065">
        <f t="shared" si="43"/>
        <v>0</v>
      </c>
      <c r="Z241" s="1311">
        <f>C241-F241</f>
        <v>0</v>
      </c>
      <c r="AA241" s="1374">
        <f t="shared" si="40"/>
        <v>0</v>
      </c>
      <c r="AB241" s="1459">
        <f t="shared" si="40"/>
        <v>0</v>
      </c>
      <c r="AC241" s="1459">
        <f t="shared" si="40"/>
        <v>0</v>
      </c>
    </row>
    <row r="242" spans="1:29" ht="73.5" customHeight="1">
      <c r="A242" s="1519" t="s">
        <v>538</v>
      </c>
      <c r="B242" s="1479" t="s">
        <v>1370</v>
      </c>
      <c r="C242" s="1527">
        <f t="shared" si="46"/>
        <v>3592</v>
      </c>
      <c r="D242" s="1535">
        <v>0</v>
      </c>
      <c r="E242" s="1535">
        <v>3592</v>
      </c>
      <c r="F242" s="1527">
        <f>SUM(G242:H242)</f>
        <v>3592</v>
      </c>
      <c r="G242" s="1535">
        <v>0</v>
      </c>
      <c r="H242" s="1535">
        <v>3592</v>
      </c>
      <c r="I242" s="1527">
        <f t="shared" si="45"/>
        <v>0</v>
      </c>
      <c r="J242" s="1524">
        <v>0</v>
      </c>
      <c r="K242" s="1524">
        <v>0</v>
      </c>
      <c r="L242" s="1523">
        <f t="shared" si="49"/>
        <v>0</v>
      </c>
      <c r="M242" s="1529">
        <f t="shared" si="49"/>
        <v>0</v>
      </c>
      <c r="N242" s="1529">
        <f t="shared" si="49"/>
        <v>0</v>
      </c>
      <c r="O242" s="1478"/>
      <c r="P242" s="1477"/>
      <c r="Q242" s="1065"/>
      <c r="R242" s="1065"/>
      <c r="S242" s="1065"/>
      <c r="Z242" s="1311"/>
      <c r="AA242" s="1374"/>
      <c r="AB242" s="1459"/>
      <c r="AC242" s="1459"/>
    </row>
    <row r="243" spans="1:29" ht="52.5" customHeight="1">
      <c r="A243" s="1487"/>
      <c r="B243" s="1488"/>
      <c r="C243" s="1489"/>
      <c r="D243" s="1490"/>
      <c r="E243" s="1490"/>
      <c r="F243" s="1489"/>
      <c r="G243" s="1490"/>
      <c r="H243" s="1490"/>
      <c r="I243" s="1489"/>
      <c r="J243" s="1491"/>
      <c r="K243" s="1491"/>
      <c r="L243" s="1492"/>
      <c r="M243" s="1493"/>
      <c r="N243" s="1493"/>
      <c r="O243" s="1282"/>
      <c r="Q243" s="1065">
        <f t="shared" si="43"/>
        <v>0</v>
      </c>
      <c r="R243" s="1065">
        <f t="shared" si="43"/>
        <v>0</v>
      </c>
      <c r="S243" s="1065">
        <f t="shared" si="43"/>
        <v>0</v>
      </c>
      <c r="Z243" s="1311">
        <f t="shared" si="41"/>
        <v>0</v>
      </c>
      <c r="AA243" s="1374">
        <f t="shared" si="40"/>
        <v>0</v>
      </c>
      <c r="AB243" s="1459">
        <f t="shared" si="40"/>
        <v>0</v>
      </c>
      <c r="AC243" s="1459">
        <f t="shared" si="40"/>
        <v>0</v>
      </c>
    </row>
    <row r="244" spans="1:29" ht="52.5" customHeight="1">
      <c r="A244" s="1480"/>
      <c r="B244" s="1481" t="s">
        <v>432</v>
      </c>
      <c r="C244" s="1482"/>
      <c r="D244" s="1481"/>
      <c r="E244" s="1481"/>
      <c r="F244" s="1482"/>
      <c r="G244" s="1481"/>
      <c r="H244" s="1481"/>
      <c r="I244" s="1483"/>
      <c r="J244" s="1484"/>
      <c r="K244" s="1484"/>
      <c r="L244" s="1485"/>
      <c r="M244" s="1486"/>
      <c r="N244" s="1486"/>
      <c r="O244" s="1282"/>
      <c r="Q244" s="1065">
        <f t="shared" si="43"/>
        <v>0</v>
      </c>
      <c r="R244" s="1065">
        <f t="shared" si="43"/>
        <v>0</v>
      </c>
      <c r="S244" s="1065">
        <f t="shared" si="43"/>
        <v>0</v>
      </c>
      <c r="Z244" s="1311">
        <f t="shared" si="41"/>
        <v>0</v>
      </c>
      <c r="AA244" s="1374">
        <f t="shared" si="40"/>
        <v>0</v>
      </c>
      <c r="AB244" s="1459">
        <f t="shared" si="40"/>
        <v>0</v>
      </c>
      <c r="AC244" s="1459">
        <f t="shared" si="40"/>
        <v>0</v>
      </c>
    </row>
    <row r="245" spans="1:29" ht="52.5" customHeight="1">
      <c r="A245" s="2402" t="s">
        <v>1346</v>
      </c>
      <c r="B245" s="2406"/>
      <c r="C245" s="893">
        <f t="shared" ref="C245:C251" si="50">SUM(D245:E245)</f>
        <v>865629.2</v>
      </c>
      <c r="D245" s="894">
        <f>SUM(D81,D17:D18)</f>
        <v>853456.9</v>
      </c>
      <c r="E245" s="894">
        <f>SUM(E81,E17:E18)</f>
        <v>12172.3</v>
      </c>
      <c r="F245" s="893">
        <f>SUM(G245:H245)</f>
        <v>865629.1</v>
      </c>
      <c r="G245" s="894">
        <f>SUM(G81,G17:G18)</f>
        <v>853456.9</v>
      </c>
      <c r="H245" s="894">
        <f>SUM(H81,H17:H18)</f>
        <v>12172.2</v>
      </c>
      <c r="I245" s="893">
        <f>SUM(J245:K245)</f>
        <v>190640.9</v>
      </c>
      <c r="J245" s="894">
        <f>SUM(J81,J17:J18)</f>
        <v>184211.20000000001</v>
      </c>
      <c r="K245" s="894">
        <f>SUM(K81,K17:K18)</f>
        <v>6429.7</v>
      </c>
      <c r="L245" s="893">
        <f>IF(I245=0,0,I245/F245*100)</f>
        <v>22</v>
      </c>
      <c r="M245" s="894">
        <f>IF(J245=0,0,J245/G245*100)</f>
        <v>21.6</v>
      </c>
      <c r="N245" s="894">
        <f>IF(K245=0,0,K245/H245*100)</f>
        <v>52.8</v>
      </c>
      <c r="O245" s="1282"/>
      <c r="Q245" s="1065"/>
      <c r="R245" s="1065">
        <f>D245-G245</f>
        <v>0</v>
      </c>
      <c r="S245" s="1065">
        <f>E245-H245</f>
        <v>0.1</v>
      </c>
      <c r="Z245" s="1311"/>
      <c r="AA245" s="1374"/>
      <c r="AB245" s="1459">
        <f t="shared" si="40"/>
        <v>0</v>
      </c>
      <c r="AC245" s="1459">
        <f t="shared" si="40"/>
        <v>0.1</v>
      </c>
    </row>
    <row r="246" spans="1:29" ht="52.5" customHeight="1">
      <c r="A246" s="1453"/>
      <c r="B246" s="1520" t="s">
        <v>1347</v>
      </c>
      <c r="C246" s="871">
        <f>C18</f>
        <v>741029.8</v>
      </c>
      <c r="D246" s="894">
        <f>D18</f>
        <v>733604.7</v>
      </c>
      <c r="E246" s="894">
        <f t="shared" ref="E246:K246" si="51">E18</f>
        <v>7425.1</v>
      </c>
      <c r="F246" s="871">
        <f t="shared" si="51"/>
        <v>741029.7</v>
      </c>
      <c r="G246" s="894">
        <f t="shared" si="51"/>
        <v>733604.7</v>
      </c>
      <c r="H246" s="894">
        <f t="shared" si="51"/>
        <v>7425</v>
      </c>
      <c r="I246" s="871">
        <f t="shared" si="51"/>
        <v>167629.29999999999</v>
      </c>
      <c r="J246" s="894">
        <f t="shared" si="51"/>
        <v>165946.70000000001</v>
      </c>
      <c r="K246" s="894">
        <f t="shared" si="51"/>
        <v>1682.6</v>
      </c>
      <c r="L246" s="893">
        <f t="shared" ref="L246:N252" si="52">IF(I246=0,0,I246/F246*100)</f>
        <v>22.6</v>
      </c>
      <c r="M246" s="894">
        <f t="shared" si="52"/>
        <v>22.6</v>
      </c>
      <c r="N246" s="894">
        <f t="shared" si="52"/>
        <v>22.7</v>
      </c>
      <c r="O246" s="1282"/>
      <c r="Q246" s="1065"/>
      <c r="R246" s="1065">
        <f>D246-G246</f>
        <v>0</v>
      </c>
      <c r="S246" s="1065">
        <f>E246-H246</f>
        <v>0.1</v>
      </c>
      <c r="Z246" s="1311">
        <f t="shared" si="41"/>
        <v>0.1</v>
      </c>
      <c r="AA246" s="1374">
        <f t="shared" si="40"/>
        <v>0.1</v>
      </c>
      <c r="AB246" s="1459">
        <f t="shared" si="40"/>
        <v>0</v>
      </c>
      <c r="AC246" s="1459">
        <f t="shared" si="40"/>
        <v>0.1</v>
      </c>
    </row>
    <row r="247" spans="1:29" ht="65.25" customHeight="1">
      <c r="A247" s="2402" t="s">
        <v>1098</v>
      </c>
      <c r="B247" s="2406"/>
      <c r="C247" s="893">
        <f>SUM(D247:E247)</f>
        <v>810073.1</v>
      </c>
      <c r="D247" s="894">
        <f>SUM(D16,D93,D91,D92,D21,D114,D31)-12300.3</f>
        <v>696497.1</v>
      </c>
      <c r="E247" s="1532">
        <f>SUM(E16,E93,E91,E92,E21,E114,E31)</f>
        <v>113576</v>
      </c>
      <c r="F247" s="893">
        <f>SUM(G247:H247)</f>
        <v>810073.1</v>
      </c>
      <c r="G247" s="894">
        <f>SUM(G16,G93,G91,G92,G21,G114,G31)</f>
        <v>696497.1</v>
      </c>
      <c r="H247" s="1532">
        <f>SUM(H16,H93,H91,H92,H21,H114,H31)</f>
        <v>113576</v>
      </c>
      <c r="I247" s="893">
        <f>SUM(J247:K247)</f>
        <v>40579.4</v>
      </c>
      <c r="J247" s="894">
        <f>SUM(J16,J93,J91,J92,J21,J114,J31)</f>
        <v>24851.3</v>
      </c>
      <c r="K247" s="1532">
        <f>SUM(K16,K93,K91,K92,K21,K114,K31)</f>
        <v>15728.1</v>
      </c>
      <c r="L247" s="893">
        <f t="shared" si="52"/>
        <v>5</v>
      </c>
      <c r="M247" s="894">
        <f t="shared" si="52"/>
        <v>3.6</v>
      </c>
      <c r="N247" s="894">
        <f t="shared" si="52"/>
        <v>13.8</v>
      </c>
      <c r="O247" s="1282"/>
      <c r="Q247" s="1065">
        <f t="shared" si="43"/>
        <v>0</v>
      </c>
      <c r="R247" s="1065">
        <f t="shared" si="43"/>
        <v>0</v>
      </c>
      <c r="S247" s="1065">
        <f t="shared" si="43"/>
        <v>0</v>
      </c>
      <c r="Z247" s="1311">
        <f t="shared" si="41"/>
        <v>0</v>
      </c>
      <c r="AA247" s="1374">
        <f t="shared" si="40"/>
        <v>0</v>
      </c>
      <c r="AB247" s="1459">
        <f t="shared" si="40"/>
        <v>0</v>
      </c>
      <c r="AC247" s="1459">
        <f t="shared" si="40"/>
        <v>0</v>
      </c>
    </row>
    <row r="248" spans="1:29" ht="62.25" customHeight="1">
      <c r="A248" s="2402" t="s">
        <v>780</v>
      </c>
      <c r="B248" s="2406"/>
      <c r="C248" s="1534">
        <f t="shared" si="50"/>
        <v>3511629.9</v>
      </c>
      <c r="D248" s="1532">
        <f>D135+D61+D219-D250</f>
        <v>3276914.7</v>
      </c>
      <c r="E248" s="1532">
        <f>E135+E61+E219-E250</f>
        <v>234715.2</v>
      </c>
      <c r="F248" s="1534">
        <f>SUM(G248:H248)</f>
        <v>3358994.5</v>
      </c>
      <c r="G248" s="1532">
        <f>G135+G61+G219-G250</f>
        <v>3133553.4</v>
      </c>
      <c r="H248" s="1532">
        <f>H135+H61+H219-H250</f>
        <v>225441.1</v>
      </c>
      <c r="I248" s="1534">
        <f>SUM(J248:K248)</f>
        <v>1125375.7</v>
      </c>
      <c r="J248" s="1532">
        <f>J135+J61+J219-J250</f>
        <v>1057668.6000000001</v>
      </c>
      <c r="K248" s="1532">
        <f>K135+K61+K219-K250</f>
        <v>67707.100000000006</v>
      </c>
      <c r="L248" s="893">
        <f t="shared" si="52"/>
        <v>33.5</v>
      </c>
      <c r="M248" s="894">
        <f t="shared" si="52"/>
        <v>33.799999999999997</v>
      </c>
      <c r="N248" s="894">
        <f t="shared" si="52"/>
        <v>30</v>
      </c>
      <c r="O248" s="1282"/>
      <c r="Q248" s="1065">
        <f t="shared" si="43"/>
        <v>152635.4</v>
      </c>
      <c r="R248" s="1065">
        <f t="shared" si="43"/>
        <v>143361.29999999999</v>
      </c>
      <c r="S248" s="1065">
        <f t="shared" si="43"/>
        <v>9274.1</v>
      </c>
      <c r="Z248" s="1311">
        <f t="shared" si="41"/>
        <v>152635.4</v>
      </c>
      <c r="AA248" s="1374">
        <f t="shared" si="40"/>
        <v>152635.4</v>
      </c>
      <c r="AB248" s="1459">
        <f t="shared" si="40"/>
        <v>143361.29999999999</v>
      </c>
      <c r="AC248" s="1459">
        <f t="shared" si="40"/>
        <v>9274.1</v>
      </c>
    </row>
    <row r="249" spans="1:29" ht="36" customHeight="1">
      <c r="A249" s="2402" t="s">
        <v>1031</v>
      </c>
      <c r="B249" s="2406"/>
      <c r="C249" s="1534">
        <f t="shared" si="50"/>
        <v>290215</v>
      </c>
      <c r="D249" s="1532">
        <f>SUM(D250:D251)</f>
        <v>0</v>
      </c>
      <c r="E249" s="1532">
        <f>SUM(E250:E251)</f>
        <v>290215</v>
      </c>
      <c r="F249" s="1534">
        <f>SUM(G249:H249)</f>
        <v>290215</v>
      </c>
      <c r="G249" s="1532">
        <f>SUM(G250:G251)</f>
        <v>0</v>
      </c>
      <c r="H249" s="1532">
        <f>SUM(H250:H251)</f>
        <v>290215</v>
      </c>
      <c r="I249" s="1534">
        <f>SUM(J249:K249)</f>
        <v>79096.399999999994</v>
      </c>
      <c r="J249" s="1532">
        <f>SUM(J250:J251)</f>
        <v>0</v>
      </c>
      <c r="K249" s="1532">
        <f>SUM(K250:K251)</f>
        <v>79096.399999999994</v>
      </c>
      <c r="L249" s="893">
        <f t="shared" si="52"/>
        <v>27.3</v>
      </c>
      <c r="M249" s="894">
        <f t="shared" si="52"/>
        <v>0</v>
      </c>
      <c r="N249" s="894">
        <f t="shared" si="52"/>
        <v>27.3</v>
      </c>
      <c r="O249" s="1282"/>
      <c r="Q249" s="1065">
        <f t="shared" si="43"/>
        <v>0</v>
      </c>
      <c r="R249" s="1065">
        <f t="shared" si="43"/>
        <v>0</v>
      </c>
      <c r="S249" s="1065">
        <f t="shared" si="43"/>
        <v>0</v>
      </c>
      <c r="T249" s="1114"/>
      <c r="Z249" s="1311">
        <f t="shared" si="41"/>
        <v>0</v>
      </c>
      <c r="AA249" s="1374">
        <f t="shared" si="40"/>
        <v>0</v>
      </c>
      <c r="AB249" s="1459">
        <f t="shared" si="40"/>
        <v>0</v>
      </c>
      <c r="AC249" s="1459">
        <f t="shared" si="40"/>
        <v>0</v>
      </c>
    </row>
    <row r="250" spans="1:29" ht="36" customHeight="1">
      <c r="A250" s="895"/>
      <c r="B250" s="1526" t="s">
        <v>778</v>
      </c>
      <c r="C250" s="876">
        <f t="shared" ref="C250:K250" si="53">SUM(C136,C137,C138,C139,C140,C142,C141,C167,C171,C175,C183,C185,C193,C170,C150:C152,C188)</f>
        <v>111250.5</v>
      </c>
      <c r="D250" s="877">
        <f t="shared" si="53"/>
        <v>0</v>
      </c>
      <c r="E250" s="877">
        <f>SUM(E136,E137,E138,E139,E140,E142,E141,E167,E171,E175,E183,E185,E193,E170,E150:E152,E188)</f>
        <v>111250.5</v>
      </c>
      <c r="F250" s="876">
        <f t="shared" si="53"/>
        <v>111250.5</v>
      </c>
      <c r="G250" s="877">
        <f t="shared" si="53"/>
        <v>0</v>
      </c>
      <c r="H250" s="877">
        <f t="shared" si="53"/>
        <v>111250.5</v>
      </c>
      <c r="I250" s="876">
        <f t="shared" si="53"/>
        <v>40457.599999999999</v>
      </c>
      <c r="J250" s="877">
        <f t="shared" si="53"/>
        <v>0</v>
      </c>
      <c r="K250" s="877">
        <f t="shared" si="53"/>
        <v>40457.599999999999</v>
      </c>
      <c r="L250" s="893">
        <f t="shared" si="52"/>
        <v>36.4</v>
      </c>
      <c r="M250" s="894">
        <f t="shared" si="52"/>
        <v>0</v>
      </c>
      <c r="N250" s="894">
        <f t="shared" si="52"/>
        <v>36.4</v>
      </c>
      <c r="O250" s="1282"/>
      <c r="Q250" s="1065">
        <f t="shared" si="43"/>
        <v>0</v>
      </c>
      <c r="R250" s="1065">
        <f t="shared" si="43"/>
        <v>0</v>
      </c>
      <c r="S250" s="1065">
        <f t="shared" si="43"/>
        <v>0</v>
      </c>
      <c r="Z250" s="1311">
        <f t="shared" si="41"/>
        <v>0</v>
      </c>
      <c r="AA250" s="1374">
        <f t="shared" si="40"/>
        <v>0</v>
      </c>
      <c r="AB250" s="1459">
        <f t="shared" si="40"/>
        <v>0</v>
      </c>
      <c r="AC250" s="1459">
        <f t="shared" si="40"/>
        <v>0</v>
      </c>
    </row>
    <row r="251" spans="1:29" ht="70.5" customHeight="1">
      <c r="A251" s="895"/>
      <c r="B251" s="1526" t="s">
        <v>779</v>
      </c>
      <c r="C251" s="1534">
        <f t="shared" si="50"/>
        <v>178964.5</v>
      </c>
      <c r="D251" s="877">
        <f>SUM(D96:D104,D83:D90,D105:D109,D110:D113,D94,D115:D127,D129,D132,D134)</f>
        <v>0</v>
      </c>
      <c r="E251" s="877">
        <f>SUM(E96:E104,E83:E90,E105:E109,E110:E113,E94,E115:E127,E129,E132,E134)</f>
        <v>178964.5</v>
      </c>
      <c r="F251" s="1534">
        <f>SUM(G251:H251)</f>
        <v>178964.5</v>
      </c>
      <c r="G251" s="877">
        <f>SUM(G96:G104,G83:G90,G105:G109,G110:G113,G94,G115:G127,G129,G132,G134)</f>
        <v>0</v>
      </c>
      <c r="H251" s="877">
        <f>SUM(H96:H104,H83:H90,H105:H109,H110:H113,H94,H115:H127,H129,H132,H134)</f>
        <v>178964.5</v>
      </c>
      <c r="I251" s="1534">
        <f>SUM(J251:K251)</f>
        <v>38638.800000000003</v>
      </c>
      <c r="J251" s="877">
        <f>SUM(J96:J104,J83:J90,J105:J109,J110:J113,J94,J115:J127,J129,J132,J134)</f>
        <v>0</v>
      </c>
      <c r="K251" s="877">
        <f>SUM(K96:K104,K83:K90,K105:K109,K110:K113,K94,K115:K127,K129,K132,K134)</f>
        <v>38638.800000000003</v>
      </c>
      <c r="L251" s="893">
        <f t="shared" si="52"/>
        <v>21.6</v>
      </c>
      <c r="M251" s="894">
        <f t="shared" si="52"/>
        <v>0</v>
      </c>
      <c r="N251" s="894">
        <f t="shared" si="52"/>
        <v>21.6</v>
      </c>
      <c r="O251" s="1282"/>
      <c r="Q251" s="1065">
        <f t="shared" si="43"/>
        <v>0</v>
      </c>
      <c r="R251" s="1065">
        <f t="shared" si="43"/>
        <v>0</v>
      </c>
      <c r="S251" s="1065">
        <f t="shared" si="43"/>
        <v>0</v>
      </c>
      <c r="Z251" s="1311">
        <f>C251-F251</f>
        <v>0</v>
      </c>
      <c r="AA251" s="1374">
        <f t="shared" si="40"/>
        <v>0</v>
      </c>
      <c r="AB251" s="1459">
        <f t="shared" si="40"/>
        <v>0</v>
      </c>
      <c r="AC251" s="1459">
        <f t="shared" si="40"/>
        <v>0</v>
      </c>
    </row>
    <row r="252" spans="1:29" ht="51.75" customHeight="1">
      <c r="A252" s="2397" t="s">
        <v>1316</v>
      </c>
      <c r="B252" s="2398"/>
      <c r="C252" s="876">
        <f>D252+E252</f>
        <v>1213944.2</v>
      </c>
      <c r="D252" s="879">
        <f>D12-D245-D247-D248-D249</f>
        <v>754042.3</v>
      </c>
      <c r="E252" s="879">
        <f>E12-E245-E247-E248-E249</f>
        <v>459901.9</v>
      </c>
      <c r="F252" s="876">
        <f>G252+H252</f>
        <v>1200243.8999999999</v>
      </c>
      <c r="G252" s="879">
        <f>G12-G245-G247-G248-G249</f>
        <v>741742</v>
      </c>
      <c r="H252" s="879">
        <f>H12-H245-H247-H248-H249</f>
        <v>458501.9</v>
      </c>
      <c r="I252" s="876">
        <f>J252+K252</f>
        <v>328789.09999999998</v>
      </c>
      <c r="J252" s="879">
        <f>J12-J245-J247-J248-J249</f>
        <v>255712.3</v>
      </c>
      <c r="K252" s="879">
        <f>K12-K245-K247-K248-K249</f>
        <v>73076.800000000003</v>
      </c>
      <c r="L252" s="893">
        <f t="shared" si="52"/>
        <v>27.4</v>
      </c>
      <c r="M252" s="894">
        <f t="shared" si="52"/>
        <v>34.5</v>
      </c>
      <c r="N252" s="894">
        <f t="shared" si="52"/>
        <v>15.9</v>
      </c>
      <c r="Q252" s="1463" t="s">
        <v>813</v>
      </c>
      <c r="R252" s="1466"/>
      <c r="S252" s="1466"/>
    </row>
    <row r="253" spans="1:29" s="939" customFormat="1" ht="35.25" customHeight="1">
      <c r="A253" s="1103"/>
      <c r="B253" s="797"/>
      <c r="C253" s="1403"/>
      <c r="D253" s="799"/>
      <c r="E253" s="799"/>
      <c r="F253" s="1403"/>
      <c r="G253" s="799"/>
      <c r="H253" s="799"/>
      <c r="I253" s="1408"/>
      <c r="J253" s="799"/>
      <c r="K253" s="799"/>
      <c r="L253" s="1403"/>
      <c r="M253" s="799"/>
      <c r="N253" s="799"/>
      <c r="O253" s="1208"/>
      <c r="P253" s="1208"/>
      <c r="Q253" s="1463"/>
      <c r="R253" s="856"/>
      <c r="S253" s="856"/>
      <c r="T253" s="1138" t="s">
        <v>1034</v>
      </c>
      <c r="U253" s="1100"/>
      <c r="V253" s="1099"/>
      <c r="W253" s="1099"/>
      <c r="X253" s="1216"/>
      <c r="Z253" s="1312"/>
      <c r="AB253" s="1461"/>
      <c r="AC253" s="1461"/>
    </row>
    <row r="254" spans="1:29" s="939" customFormat="1" ht="39.75" customHeight="1">
      <c r="A254" s="1104"/>
      <c r="B254" s="939" t="s">
        <v>310</v>
      </c>
      <c r="C254" s="940"/>
      <c r="D254" s="941"/>
      <c r="E254" s="1288"/>
      <c r="F254" s="1405"/>
      <c r="G254" s="942"/>
      <c r="H254" s="942"/>
      <c r="I254" s="1205"/>
      <c r="J254" s="942"/>
      <c r="K254" s="2399" t="s">
        <v>613</v>
      </c>
      <c r="L254" s="2399"/>
      <c r="M254" s="943"/>
      <c r="N254" s="943"/>
      <c r="O254" s="1208"/>
      <c r="P254" s="1208"/>
      <c r="Q254" s="1463"/>
      <c r="R254" s="856"/>
      <c r="S254" s="856"/>
      <c r="T254" s="1138" t="s">
        <v>1034</v>
      </c>
      <c r="U254" s="1100"/>
      <c r="V254" s="1099"/>
      <c r="W254" s="1099"/>
      <c r="X254" s="1216"/>
      <c r="Z254" s="1312"/>
      <c r="AB254" s="1461"/>
      <c r="AC254" s="1461"/>
    </row>
    <row r="255" spans="1:29" s="939" customFormat="1" ht="78.75" customHeight="1">
      <c r="A255" s="1104"/>
      <c r="B255" s="712" t="s">
        <v>1382</v>
      </c>
      <c r="C255" s="1366"/>
      <c r="D255" s="1367"/>
      <c r="E255" s="943"/>
      <c r="F255" s="1406"/>
      <c r="G255" s="1368"/>
      <c r="H255" s="1368"/>
      <c r="I255" s="1369"/>
      <c r="J255" s="1368"/>
      <c r="K255" s="2399"/>
      <c r="L255" s="2399"/>
      <c r="M255" s="943"/>
      <c r="N255" s="943"/>
      <c r="O255" s="1208"/>
      <c r="P255" s="1208"/>
      <c r="Q255" s="1463"/>
      <c r="R255" s="856"/>
      <c r="S255" s="856"/>
      <c r="T255" s="1138"/>
      <c r="U255" s="1100"/>
      <c r="V255" s="1099"/>
      <c r="W255" s="1099"/>
      <c r="X255" s="1216"/>
      <c r="Z255" s="1312"/>
      <c r="AB255" s="1461"/>
      <c r="AC255" s="1461"/>
    </row>
    <row r="256" spans="1:29" ht="88.5" customHeight="1">
      <c r="A256" s="1105"/>
      <c r="B256" s="791"/>
      <c r="C256" s="1370"/>
      <c r="D256" s="1371"/>
      <c r="E256" s="2372"/>
      <c r="F256" s="2372"/>
      <c r="G256" s="1372"/>
      <c r="H256" s="1371"/>
      <c r="I256" s="1373"/>
      <c r="J256" s="1371"/>
      <c r="K256" s="1371"/>
      <c r="Q256" s="1463"/>
      <c r="R256" s="856"/>
      <c r="S256" s="856"/>
      <c r="T256" s="1138" t="s">
        <v>1033</v>
      </c>
    </row>
    <row r="257" spans="1:29" ht="45" customHeight="1">
      <c r="A257" s="1105"/>
      <c r="B257" s="791"/>
      <c r="C257" s="793"/>
      <c r="E257" s="1517"/>
      <c r="F257" s="1407"/>
      <c r="G257" s="756"/>
      <c r="Q257" s="1463"/>
      <c r="R257" s="1467"/>
      <c r="S257" s="1467"/>
      <c r="T257" s="1138"/>
    </row>
    <row r="258" spans="1:29" ht="58.5" customHeight="1">
      <c r="E258" s="742"/>
      <c r="Q258" s="1464"/>
      <c r="R258" s="856"/>
      <c r="S258" s="856"/>
      <c r="T258" s="1138" t="s">
        <v>816</v>
      </c>
    </row>
    <row r="259" spans="1:29" s="1100" customFormat="1" ht="46.5" customHeight="1">
      <c r="A259" s="1101"/>
      <c r="B259" s="497"/>
      <c r="C259" s="700"/>
      <c r="D259" s="497"/>
      <c r="E259" s="742"/>
      <c r="F259" s="700"/>
      <c r="G259" s="497"/>
      <c r="H259" s="497"/>
      <c r="I259" s="714"/>
      <c r="J259" s="497"/>
      <c r="K259" s="497"/>
      <c r="L259" s="700"/>
      <c r="M259" s="497"/>
      <c r="N259" s="497"/>
      <c r="O259" s="1208"/>
      <c r="P259" s="1208"/>
      <c r="Q259" s="1465"/>
      <c r="R259" s="856"/>
      <c r="S259" s="856"/>
      <c r="T259" s="1138"/>
      <c r="V259" s="1099"/>
      <c r="W259" s="1099"/>
      <c r="X259" s="1216"/>
      <c r="Y259" s="497"/>
      <c r="Z259" s="1035"/>
      <c r="AB259" s="1462"/>
      <c r="AC259" s="1462"/>
    </row>
    <row r="260" spans="1:29" s="1100" customFormat="1" ht="47.25" customHeight="1">
      <c r="A260" s="1101"/>
      <c r="B260" s="497"/>
      <c r="C260" s="700"/>
      <c r="D260" s="497"/>
      <c r="E260" s="497"/>
      <c r="F260" s="700"/>
      <c r="G260" s="497"/>
      <c r="H260" s="497"/>
      <c r="I260" s="714"/>
      <c r="J260" s="497"/>
      <c r="K260" s="497"/>
      <c r="L260" s="700"/>
      <c r="M260" s="497"/>
      <c r="N260" s="497"/>
      <c r="O260" s="1208"/>
      <c r="P260" s="1208"/>
      <c r="Q260" s="1464"/>
      <c r="R260" s="1467"/>
      <c r="S260" s="856"/>
      <c r="T260" s="1138"/>
      <c r="V260" s="1099"/>
      <c r="W260" s="1099"/>
      <c r="X260" s="1216"/>
      <c r="Y260" s="497"/>
      <c r="Z260" s="1035"/>
      <c r="AB260" s="1462"/>
      <c r="AC260" s="1462"/>
    </row>
    <row r="261" spans="1:29" s="1100" customFormat="1" ht="45" customHeight="1">
      <c r="A261" s="1101"/>
      <c r="B261" s="497"/>
      <c r="C261" s="700"/>
      <c r="D261" s="497"/>
      <c r="E261" s="497"/>
      <c r="F261" s="700"/>
      <c r="G261" s="497"/>
      <c r="H261" s="497"/>
      <c r="I261" s="714"/>
      <c r="J261" s="497"/>
      <c r="K261" s="497"/>
      <c r="L261" s="700"/>
      <c r="M261" s="497"/>
      <c r="N261" s="497"/>
      <c r="O261" s="1208"/>
      <c r="P261" s="1208"/>
      <c r="Q261" s="497"/>
      <c r="R261" s="1372"/>
      <c r="S261" s="1372"/>
      <c r="T261" s="1099"/>
      <c r="V261" s="1099"/>
      <c r="W261" s="1099"/>
      <c r="X261" s="1216"/>
      <c r="Y261" s="497"/>
      <c r="Z261" s="1035"/>
      <c r="AB261" s="1462"/>
      <c r="AC261" s="1462"/>
    </row>
    <row r="262" spans="1:29" s="1100" customFormat="1" ht="56.25" customHeight="1">
      <c r="A262" s="1101"/>
      <c r="B262" s="497"/>
      <c r="C262" s="700"/>
      <c r="D262" s="497"/>
      <c r="E262" s="497"/>
      <c r="F262" s="700"/>
      <c r="G262" s="497"/>
      <c r="H262" s="497"/>
      <c r="I262" s="714"/>
      <c r="J262" s="497"/>
      <c r="K262" s="497"/>
      <c r="L262" s="700"/>
      <c r="M262" s="497"/>
      <c r="N262" s="497"/>
      <c r="O262" s="1208"/>
      <c r="P262" s="1208"/>
      <c r="Q262" s="497"/>
      <c r="R262" s="1067"/>
      <c r="S262" s="1067"/>
      <c r="T262" s="1099"/>
      <c r="V262" s="1099"/>
      <c r="W262" s="1099"/>
      <c r="X262" s="1216"/>
      <c r="Y262" s="497"/>
      <c r="Z262" s="1035"/>
      <c r="AB262" s="1462"/>
      <c r="AC262" s="1462"/>
    </row>
  </sheetData>
  <mergeCells count="113">
    <mergeCell ref="A1:B1"/>
    <mergeCell ref="K1:N1"/>
    <mergeCell ref="I3:L3"/>
    <mergeCell ref="A5:W5"/>
    <mergeCell ref="A6:W6"/>
    <mergeCell ref="A7:W7"/>
    <mergeCell ref="P8:Q8"/>
    <mergeCell ref="A9:A10"/>
    <mergeCell ref="B9:B10"/>
    <mergeCell ref="C9:C10"/>
    <mergeCell ref="D9:E9"/>
    <mergeCell ref="F9:F10"/>
    <mergeCell ref="G9:H9"/>
    <mergeCell ref="I9:I10"/>
    <mergeCell ref="J9:K9"/>
    <mergeCell ref="L9:L10"/>
    <mergeCell ref="M9:N9"/>
    <mergeCell ref="O9:O10"/>
    <mergeCell ref="P9:P10"/>
    <mergeCell ref="A13:B13"/>
    <mergeCell ref="X16:X18"/>
    <mergeCell ref="I35:I36"/>
    <mergeCell ref="J35:J36"/>
    <mergeCell ref="K35:K36"/>
    <mergeCell ref="L35:L36"/>
    <mergeCell ref="M35:M36"/>
    <mergeCell ref="N35:N36"/>
    <mergeCell ref="T35:T36"/>
    <mergeCell ref="U35:U36"/>
    <mergeCell ref="V35:V36"/>
    <mergeCell ref="W35:W36"/>
    <mergeCell ref="X35:X36"/>
    <mergeCell ref="X56:X60"/>
    <mergeCell ref="I59:I60"/>
    <mergeCell ref="J59:J60"/>
    <mergeCell ref="K59:K60"/>
    <mergeCell ref="L59:L60"/>
    <mergeCell ref="M59:M60"/>
    <mergeCell ref="W91:W92"/>
    <mergeCell ref="X91:X92"/>
    <mergeCell ref="N59:N60"/>
    <mergeCell ref="P59:P60"/>
    <mergeCell ref="M91:M92"/>
    <mergeCell ref="I91:I92"/>
    <mergeCell ref="J91:J92"/>
    <mergeCell ref="K91:K92"/>
    <mergeCell ref="L91:L92"/>
    <mergeCell ref="I56:I58"/>
    <mergeCell ref="J56:J58"/>
    <mergeCell ref="K56:K58"/>
    <mergeCell ref="U91:U92"/>
    <mergeCell ref="V91:V92"/>
    <mergeCell ref="N91:N92"/>
    <mergeCell ref="N56:N58"/>
    <mergeCell ref="L56:L58"/>
    <mergeCell ref="M56:M58"/>
    <mergeCell ref="T143:T149"/>
    <mergeCell ref="T91:T92"/>
    <mergeCell ref="T172:T173"/>
    <mergeCell ref="W143:W149"/>
    <mergeCell ref="T56:T60"/>
    <mergeCell ref="U56:U60"/>
    <mergeCell ref="V56:V60"/>
    <mergeCell ref="W56:W60"/>
    <mergeCell ref="P172:P173"/>
    <mergeCell ref="M143:M149"/>
    <mergeCell ref="U143:U149"/>
    <mergeCell ref="V143:V149"/>
    <mergeCell ref="A94:A95"/>
    <mergeCell ref="W175:W177"/>
    <mergeCell ref="X175:X177"/>
    <mergeCell ref="M176:M178"/>
    <mergeCell ref="N176:N178"/>
    <mergeCell ref="W172:W173"/>
    <mergeCell ref="X172:X173"/>
    <mergeCell ref="T175:T177"/>
    <mergeCell ref="N172:N173"/>
    <mergeCell ref="U175:U177"/>
    <mergeCell ref="V175:V177"/>
    <mergeCell ref="A167:A168"/>
    <mergeCell ref="I172:I173"/>
    <mergeCell ref="J172:J173"/>
    <mergeCell ref="K172:K173"/>
    <mergeCell ref="L172:L173"/>
    <mergeCell ref="M172:M173"/>
    <mergeCell ref="U172:U173"/>
    <mergeCell ref="V172:V173"/>
    <mergeCell ref="O172:O173"/>
    <mergeCell ref="N143:N149"/>
    <mergeCell ref="X143:X149"/>
    <mergeCell ref="J143:J149"/>
    <mergeCell ref="K143:K149"/>
    <mergeCell ref="E256:F256"/>
    <mergeCell ref="A175:A176"/>
    <mergeCell ref="I176:I178"/>
    <mergeCell ref="J176:J178"/>
    <mergeCell ref="K176:K178"/>
    <mergeCell ref="L176:L178"/>
    <mergeCell ref="A247:B247"/>
    <mergeCell ref="A248:B248"/>
    <mergeCell ref="A245:B245"/>
    <mergeCell ref="A249:B249"/>
    <mergeCell ref="A181:A182"/>
    <mergeCell ref="A183:A184"/>
    <mergeCell ref="A185:A187"/>
    <mergeCell ref="A188:A189"/>
    <mergeCell ref="A252:B252"/>
    <mergeCell ref="K255:L255"/>
    <mergeCell ref="K254:L254"/>
    <mergeCell ref="A193:A194"/>
    <mergeCell ref="A196:B196"/>
    <mergeCell ref="A239:B239"/>
    <mergeCell ref="L143:L149"/>
  </mergeCells>
  <pageMargins left="0.2" right="0.19" top="0.28000000000000003" bottom="0.24" header="0.17" footer="0.16"/>
  <pageSetup paperSize="9" scale="34" orientation="landscape" r:id="rId1"/>
</worksheet>
</file>

<file path=xl/worksheets/sheet35.xml><?xml version="1.0" encoding="utf-8"?>
<worksheet xmlns="http://schemas.openxmlformats.org/spreadsheetml/2006/main" xmlns:r="http://schemas.openxmlformats.org/officeDocument/2006/relationships">
  <sheetPr>
    <pageSetUpPr fitToPage="1"/>
  </sheetPr>
  <dimension ref="A1:Z249"/>
  <sheetViews>
    <sheetView view="pageBreakPreview" topLeftCell="A7" zoomScale="60" zoomScaleNormal="80" workbookViewId="0">
      <selection activeCell="B127" sqref="B127"/>
    </sheetView>
  </sheetViews>
  <sheetFormatPr defaultColWidth="9.140625" defaultRowHeight="18.75"/>
  <cols>
    <col min="1" max="1" width="13.28515625" style="1785" customWidth="1"/>
    <col min="2" max="2" width="82.140625" style="712" customWidth="1"/>
    <col min="3" max="3" width="22.5703125" style="1834" customWidth="1"/>
    <col min="4" max="4" width="18.28515625" style="1570" customWidth="1"/>
    <col min="5" max="6" width="18.28515625" style="712" customWidth="1"/>
    <col min="7" max="7" width="18.7109375" style="1570" customWidth="1"/>
    <col min="8" max="8" width="18.7109375" style="712" customWidth="1"/>
    <col min="9" max="9" width="20.7109375" style="712" customWidth="1"/>
    <col min="10" max="10" width="16.85546875" style="1569" customWidth="1"/>
    <col min="11" max="12" width="16.85546875" style="712" customWidth="1"/>
    <col min="13" max="13" width="16.85546875" style="1570" customWidth="1"/>
    <col min="14" max="15" width="16.85546875" style="712" customWidth="1"/>
    <col min="16" max="16" width="43" style="1564" hidden="1" customWidth="1"/>
    <col min="17" max="20" width="25.140625" style="1564" hidden="1" customWidth="1"/>
    <col min="21" max="21" width="21.42578125" style="712" hidden="1" customWidth="1"/>
    <col min="22" max="22" width="26.42578125" style="1565" customWidth="1"/>
    <col min="23" max="23" width="23.7109375" style="1565" customWidth="1"/>
    <col min="24" max="24" width="11.85546875" style="1565" customWidth="1"/>
    <col min="25" max="25" width="25.85546875" style="1566" customWidth="1"/>
    <col min="26" max="26" width="35.140625" style="1566" customWidth="1"/>
    <col min="27" max="16384" width="9.140625" style="712"/>
  </cols>
  <sheetData>
    <row r="1" spans="1:26">
      <c r="A1" s="2537"/>
      <c r="B1" s="2537"/>
      <c r="D1" s="1563"/>
      <c r="E1" s="1563"/>
      <c r="F1" s="1563"/>
      <c r="G1" s="1563"/>
      <c r="H1" s="1563"/>
      <c r="I1" s="1563"/>
      <c r="J1" s="1563"/>
      <c r="L1" s="2538" t="s">
        <v>513</v>
      </c>
      <c r="M1" s="2538"/>
      <c r="N1" s="2538"/>
      <c r="O1" s="2538"/>
    </row>
    <row r="2" spans="1:26">
      <c r="B2" s="1568"/>
      <c r="D2" s="1569"/>
      <c r="E2" s="1568"/>
      <c r="F2" s="1568"/>
      <c r="M2" s="1569"/>
    </row>
    <row r="3" spans="1:26" s="1575" customFormat="1">
      <c r="A3" s="1589"/>
      <c r="B3" s="1572"/>
      <c r="C3" s="1835"/>
      <c r="D3" s="1573"/>
      <c r="E3" s="1574"/>
      <c r="F3" s="1574"/>
      <c r="G3" s="1573"/>
      <c r="H3" s="1574"/>
      <c r="I3" s="1574"/>
      <c r="J3" s="2538"/>
      <c r="K3" s="2538"/>
      <c r="L3" s="2538"/>
      <c r="M3" s="2538"/>
      <c r="O3" s="1576"/>
      <c r="P3" s="1577"/>
      <c r="Q3" s="1577"/>
      <c r="R3" s="1577"/>
      <c r="S3" s="1577"/>
      <c r="T3" s="1577"/>
      <c r="V3" s="1578"/>
      <c r="W3" s="1578"/>
      <c r="X3" s="1579"/>
      <c r="Y3" s="1580"/>
      <c r="Z3" s="1580"/>
    </row>
    <row r="4" spans="1:26" s="1575" customFormat="1" ht="43.5" customHeight="1">
      <c r="A4" s="1589"/>
      <c r="B4" s="1572"/>
      <c r="C4" s="1835"/>
      <c r="D4" s="1581">
        <f>6162009.6</f>
        <v>6162009.5999999996</v>
      </c>
      <c r="E4" s="1574"/>
      <c r="F4" s="1574"/>
      <c r="G4" s="1581">
        <v>5873905</v>
      </c>
      <c r="H4" s="1582"/>
      <c r="I4" s="1582"/>
      <c r="J4" s="1583">
        <v>2407625.6</v>
      </c>
      <c r="K4" s="1582"/>
      <c r="L4" s="1582"/>
      <c r="M4" s="1584"/>
      <c r="O4" s="1576"/>
      <c r="P4" s="1577"/>
      <c r="Q4" s="1577"/>
      <c r="R4" s="1577"/>
      <c r="S4" s="1577"/>
      <c r="T4" s="1577"/>
      <c r="V4" s="1578"/>
      <c r="W4" s="1578"/>
      <c r="X4" s="1579"/>
      <c r="Y4" s="1580"/>
      <c r="Z4" s="1580"/>
    </row>
    <row r="5" spans="1:26" s="1575" customFormat="1" ht="28.5" customHeight="1">
      <c r="A5" s="2361" t="s">
        <v>5</v>
      </c>
      <c r="B5" s="2361"/>
      <c r="C5" s="2361"/>
      <c r="D5" s="2361"/>
      <c r="E5" s="2361"/>
      <c r="F5" s="2361"/>
      <c r="G5" s="2361"/>
      <c r="H5" s="2361"/>
      <c r="I5" s="2361"/>
      <c r="J5" s="2361"/>
      <c r="K5" s="2361"/>
      <c r="L5" s="2361"/>
      <c r="M5" s="2361"/>
      <c r="N5" s="2361"/>
      <c r="O5" s="2361"/>
      <c r="P5" s="1585"/>
      <c r="Q5" s="1585"/>
      <c r="R5" s="1585"/>
      <c r="S5" s="1585"/>
      <c r="T5" s="1585"/>
      <c r="U5" s="1585"/>
      <c r="V5" s="1586"/>
      <c r="W5" s="1586"/>
      <c r="X5" s="1579"/>
      <c r="Y5" s="1580"/>
      <c r="Z5" s="1580"/>
    </row>
    <row r="6" spans="1:26" s="1575" customFormat="1" ht="38.25" customHeight="1">
      <c r="A6" s="2361" t="s">
        <v>236</v>
      </c>
      <c r="B6" s="2361"/>
      <c r="C6" s="2361"/>
      <c r="D6" s="2361"/>
      <c r="E6" s="2361"/>
      <c r="F6" s="2361"/>
      <c r="G6" s="2361"/>
      <c r="H6" s="2361"/>
      <c r="I6" s="2361"/>
      <c r="J6" s="2361"/>
      <c r="K6" s="2361"/>
      <c r="L6" s="2361"/>
      <c r="M6" s="2361"/>
      <c r="N6" s="2361"/>
      <c r="O6" s="2361"/>
      <c r="P6" s="1585"/>
      <c r="Q6" s="1585"/>
      <c r="R6" s="1585"/>
      <c r="S6" s="1585"/>
      <c r="T6" s="1585"/>
      <c r="U6" s="1585"/>
      <c r="V6" s="1586"/>
      <c r="W6" s="1586"/>
      <c r="X6" s="1579"/>
      <c r="Y6" s="1580"/>
      <c r="Z6" s="1580"/>
    </row>
    <row r="7" spans="1:26" s="1575" customFormat="1" ht="38.25" customHeight="1">
      <c r="A7" s="2361" t="s">
        <v>1531</v>
      </c>
      <c r="B7" s="2361"/>
      <c r="C7" s="2361"/>
      <c r="D7" s="2361"/>
      <c r="E7" s="2361"/>
      <c r="F7" s="2361"/>
      <c r="G7" s="2361"/>
      <c r="H7" s="2361"/>
      <c r="I7" s="2361"/>
      <c r="J7" s="2361"/>
      <c r="K7" s="2361"/>
      <c r="L7" s="2361"/>
      <c r="M7" s="2361"/>
      <c r="N7" s="2361"/>
      <c r="O7" s="2361"/>
      <c r="P7" s="1585"/>
      <c r="Q7" s="1585"/>
      <c r="R7" s="1585"/>
      <c r="S7" s="1585"/>
      <c r="T7" s="1585"/>
      <c r="U7" s="1585"/>
      <c r="V7" s="1586"/>
      <c r="W7" s="1586"/>
      <c r="X7" s="1579"/>
      <c r="Y7" s="1580"/>
      <c r="Z7" s="1580"/>
    </row>
    <row r="8" spans="1:26" s="1575" customFormat="1" ht="25.5" customHeight="1">
      <c r="A8" s="1589"/>
      <c r="B8" s="1571"/>
      <c r="C8" s="1835"/>
      <c r="D8" s="1587"/>
      <c r="E8" s="1660"/>
      <c r="F8" s="1661"/>
      <c r="G8" s="1587"/>
      <c r="H8" s="1588"/>
      <c r="I8" s="1589"/>
      <c r="J8" s="1590"/>
      <c r="K8" s="1591"/>
      <c r="L8" s="1591"/>
      <c r="M8" s="1585"/>
      <c r="N8" s="2533" t="s">
        <v>377</v>
      </c>
      <c r="O8" s="2533"/>
      <c r="P8" s="1577"/>
      <c r="Q8" s="2533"/>
      <c r="R8" s="2533"/>
      <c r="S8" s="2533"/>
      <c r="T8" s="2533"/>
      <c r="U8" s="2533"/>
      <c r="V8" s="1578"/>
      <c r="W8" s="1578"/>
      <c r="X8" s="1579"/>
      <c r="Y8" s="1580"/>
      <c r="Z8" s="1580"/>
    </row>
    <row r="9" spans="1:26" ht="70.5" customHeight="1">
      <c r="A9" s="2539" t="s">
        <v>18</v>
      </c>
      <c r="B9" s="2545" t="s">
        <v>0</v>
      </c>
      <c r="C9" s="2548" t="s">
        <v>1535</v>
      </c>
      <c r="D9" s="2541" t="s">
        <v>1374</v>
      </c>
      <c r="E9" s="2540" t="s">
        <v>257</v>
      </c>
      <c r="F9" s="2540"/>
      <c r="G9" s="2541" t="s">
        <v>442</v>
      </c>
      <c r="H9" s="2540" t="s">
        <v>257</v>
      </c>
      <c r="I9" s="2540"/>
      <c r="J9" s="2541" t="s">
        <v>237</v>
      </c>
      <c r="K9" s="2540" t="s">
        <v>257</v>
      </c>
      <c r="L9" s="2540"/>
      <c r="M9" s="2541" t="s">
        <v>1313</v>
      </c>
      <c r="N9" s="2540" t="s">
        <v>257</v>
      </c>
      <c r="O9" s="2540"/>
      <c r="P9" s="2543" t="s">
        <v>1110</v>
      </c>
      <c r="Q9" s="2543" t="s">
        <v>1106</v>
      </c>
      <c r="R9" s="2374" t="s">
        <v>1374</v>
      </c>
      <c r="S9" s="2542" t="s">
        <v>257</v>
      </c>
      <c r="T9" s="2542"/>
    </row>
    <row r="10" spans="1:26" ht="150" customHeight="1">
      <c r="A10" s="2539"/>
      <c r="B10" s="2545"/>
      <c r="C10" s="2549"/>
      <c r="D10" s="2541"/>
      <c r="E10" s="1662" t="s">
        <v>1074</v>
      </c>
      <c r="F10" s="1662" t="s">
        <v>258</v>
      </c>
      <c r="G10" s="2541"/>
      <c r="H10" s="1662" t="s">
        <v>1074</v>
      </c>
      <c r="I10" s="1662" t="s">
        <v>258</v>
      </c>
      <c r="J10" s="2541"/>
      <c r="K10" s="1662" t="s">
        <v>1074</v>
      </c>
      <c r="L10" s="1662" t="s">
        <v>258</v>
      </c>
      <c r="M10" s="2541"/>
      <c r="N10" s="1662" t="s">
        <v>1074</v>
      </c>
      <c r="O10" s="1662" t="s">
        <v>258</v>
      </c>
      <c r="P10" s="2544"/>
      <c r="Q10" s="2544"/>
      <c r="R10" s="2374"/>
      <c r="S10" s="709" t="s">
        <v>1074</v>
      </c>
      <c r="T10" s="709" t="s">
        <v>258</v>
      </c>
    </row>
    <row r="11" spans="1:26" ht="20.25">
      <c r="A11" s="1786">
        <v>1</v>
      </c>
      <c r="B11" s="1663">
        <v>2</v>
      </c>
      <c r="C11" s="1836"/>
      <c r="D11" s="1663">
        <v>3</v>
      </c>
      <c r="E11" s="1663">
        <v>4</v>
      </c>
      <c r="F11" s="1663">
        <v>5</v>
      </c>
      <c r="G11" s="1664">
        <v>7</v>
      </c>
      <c r="H11" s="1664">
        <v>8</v>
      </c>
      <c r="I11" s="1664">
        <v>9</v>
      </c>
      <c r="J11" s="1664">
        <v>10</v>
      </c>
      <c r="K11" s="1664">
        <v>11</v>
      </c>
      <c r="L11" s="1664">
        <v>12</v>
      </c>
      <c r="M11" s="1664">
        <v>13</v>
      </c>
      <c r="N11" s="1664">
        <v>14</v>
      </c>
      <c r="O11" s="1664">
        <v>15</v>
      </c>
      <c r="P11" s="1593">
        <v>10</v>
      </c>
      <c r="Q11" s="1593">
        <v>11</v>
      </c>
      <c r="R11" s="1593"/>
      <c r="S11" s="1593"/>
      <c r="T11" s="1593"/>
      <c r="U11" s="712" t="s">
        <v>791</v>
      </c>
    </row>
    <row r="12" spans="1:26" s="791" customFormat="1" ht="45" customHeight="1">
      <c r="A12" s="1214"/>
      <c r="B12" s="710" t="s">
        <v>10</v>
      </c>
      <c r="C12" s="1837"/>
      <c r="D12" s="1748">
        <f>SUM(E12:F12)</f>
        <v>8333397.7999999998</v>
      </c>
      <c r="E12" s="1748">
        <f>SUM(E13,E173,E212)</f>
        <v>5900925.2000000002</v>
      </c>
      <c r="F12" s="1748">
        <f>SUM(F13,F173,F212)</f>
        <v>2432472.6</v>
      </c>
      <c r="G12" s="1748">
        <f t="shared" ref="G12:G21" si="0">SUM(H12:I12)</f>
        <v>7645989.7000000002</v>
      </c>
      <c r="H12" s="1748">
        <f>SUM(H13,H173,H212)</f>
        <v>5706700.5999999996</v>
      </c>
      <c r="I12" s="1748">
        <f>SUM(I13,I173,I212)</f>
        <v>1939289.1</v>
      </c>
      <c r="J12" s="1748">
        <f>SUM(K12:L12)</f>
        <v>11565.6</v>
      </c>
      <c r="K12" s="1748">
        <f>SUM(K13,K173,K212)</f>
        <v>11449.9</v>
      </c>
      <c r="L12" s="1748">
        <f>SUM(L13,L173,L212)</f>
        <v>115.7</v>
      </c>
      <c r="M12" s="1749">
        <f>IF(J12=0,0,J12/G12*100)</f>
        <v>0.2</v>
      </c>
      <c r="N12" s="1749">
        <f>IF(K12=0,0,K12/H12*100)</f>
        <v>0.2</v>
      </c>
      <c r="O12" s="1749">
        <f>IF(L12=0,0,L12/I12*100)</f>
        <v>0</v>
      </c>
      <c r="P12" s="1232" t="s">
        <v>353</v>
      </c>
      <c r="Q12" s="1232"/>
      <c r="R12" s="1748" t="e">
        <f t="shared" ref="R12:R74" si="1">SUM(S12:T12)</f>
        <v>#REF!</v>
      </c>
      <c r="S12" s="1748" t="e">
        <f>SUM(S13,S173,#REF!)</f>
        <v>#REF!</v>
      </c>
      <c r="T12" s="1748" t="e">
        <f>SUM(T13,T173,#REF!)</f>
        <v>#REF!</v>
      </c>
      <c r="U12" s="1750">
        <f t="shared" ref="U12:U74" si="2">D12-G12</f>
        <v>687408.1</v>
      </c>
      <c r="V12" s="1549">
        <f>8045101.11-D12</f>
        <v>-288297</v>
      </c>
      <c r="W12" s="1549">
        <f>5609974.1-E12</f>
        <v>-290951</v>
      </c>
      <c r="X12" s="1549">
        <f>2435127.01-F12</f>
        <v>2654</v>
      </c>
      <c r="Y12" s="1751"/>
      <c r="Z12" s="1751"/>
    </row>
    <row r="13" spans="1:26" s="791" customFormat="1" ht="79.5" customHeight="1">
      <c r="A13" s="2377" t="s">
        <v>453</v>
      </c>
      <c r="B13" s="2377"/>
      <c r="C13" s="1837"/>
      <c r="D13" s="1748">
        <f>SUM(E13:F13)</f>
        <v>6920766.7000000002</v>
      </c>
      <c r="E13" s="1748">
        <f>SUM(E14,E88)</f>
        <v>5188468.0999999996</v>
      </c>
      <c r="F13" s="1748">
        <f>SUM(F14,F88)</f>
        <v>1732298.6</v>
      </c>
      <c r="G13" s="1748">
        <f t="shared" si="0"/>
        <v>6550529.5999999996</v>
      </c>
      <c r="H13" s="1748">
        <f>SUM(H14,H88)</f>
        <v>5094243.5</v>
      </c>
      <c r="I13" s="1748">
        <f>SUM(I14,I88)</f>
        <v>1456286.1</v>
      </c>
      <c r="J13" s="1748">
        <f>SUM(K13:L13)</f>
        <v>11565.6</v>
      </c>
      <c r="K13" s="1748">
        <f>SUM(K14,K88)</f>
        <v>11449.9</v>
      </c>
      <c r="L13" s="1748">
        <f>SUM(L14,L88)</f>
        <v>115.7</v>
      </c>
      <c r="M13" s="1749">
        <f t="shared" ref="M13:M112" si="3">IF(J13=0,0,J13/G13*100)</f>
        <v>0.2</v>
      </c>
      <c r="N13" s="1759">
        <f t="shared" ref="N13:N112" si="4">IF(K13=0,0,K13/H13*100)</f>
        <v>0.2</v>
      </c>
      <c r="O13" s="1759">
        <f t="shared" ref="O13:O112" si="5">IF(L13=0,0,L13/I13*100)</f>
        <v>0</v>
      </c>
      <c r="P13" s="1232" t="s">
        <v>353</v>
      </c>
      <c r="Q13" s="1232" t="s">
        <v>353</v>
      </c>
      <c r="R13" s="1748" t="e">
        <f t="shared" si="1"/>
        <v>#REF!</v>
      </c>
      <c r="S13" s="1748" t="e">
        <f>SUM(S14,S88)</f>
        <v>#REF!</v>
      </c>
      <c r="T13" s="1748" t="e">
        <f>SUM(T14,T88)</f>
        <v>#REF!</v>
      </c>
      <c r="U13" s="1750">
        <f t="shared" si="2"/>
        <v>370237.1</v>
      </c>
      <c r="V13" s="1784">
        <f>6632470-D13</f>
        <v>-288296.7</v>
      </c>
      <c r="W13" s="1549">
        <f>4897517-E13</f>
        <v>-290951</v>
      </c>
      <c r="X13" s="1549">
        <f>1734953-F13</f>
        <v>2654</v>
      </c>
      <c r="Y13" s="1751"/>
      <c r="Z13" s="1751"/>
    </row>
    <row r="14" spans="1:26" ht="102" customHeight="1">
      <c r="A14" s="1787" t="s">
        <v>6</v>
      </c>
      <c r="B14" s="1754" t="s">
        <v>439</v>
      </c>
      <c r="C14" s="1838"/>
      <c r="D14" s="1755">
        <f>SUM(E14:F14)</f>
        <v>1500717.1</v>
      </c>
      <c r="E14" s="1755">
        <f>SUM(E15,E74)</f>
        <v>1153608.6000000001</v>
      </c>
      <c r="F14" s="1755">
        <f>SUM(F15,F74)</f>
        <v>347108.5</v>
      </c>
      <c r="G14" s="1755">
        <f t="shared" si="0"/>
        <v>1275994.5</v>
      </c>
      <c r="H14" s="1755">
        <f>SUM(H15,H74)</f>
        <v>1050140.5</v>
      </c>
      <c r="I14" s="1755">
        <f>SUM(I15,I74)</f>
        <v>225854</v>
      </c>
      <c r="J14" s="1755">
        <f>SUM(K14:L14)</f>
        <v>11565.6</v>
      </c>
      <c r="K14" s="1755">
        <f>SUM(K15,K74)</f>
        <v>11449.9</v>
      </c>
      <c r="L14" s="1755">
        <f>SUM(L15,L74)</f>
        <v>115.7</v>
      </c>
      <c r="M14" s="1756">
        <f t="shared" si="3"/>
        <v>0.9</v>
      </c>
      <c r="N14" s="1757">
        <f t="shared" si="4"/>
        <v>1.1000000000000001</v>
      </c>
      <c r="O14" s="1757">
        <f t="shared" si="5"/>
        <v>0.1</v>
      </c>
      <c r="P14" s="1597" t="s">
        <v>353</v>
      </c>
      <c r="Q14" s="1597" t="s">
        <v>353</v>
      </c>
      <c r="R14" s="1596" t="e">
        <f t="shared" si="1"/>
        <v>#REF!</v>
      </c>
      <c r="S14" s="1596" t="e">
        <f>SUM(S15)</f>
        <v>#REF!</v>
      </c>
      <c r="T14" s="1596" t="e">
        <f>SUM(T15)</f>
        <v>#REF!</v>
      </c>
      <c r="U14" s="735">
        <f t="shared" si="2"/>
        <v>224722.6</v>
      </c>
      <c r="V14" s="1823"/>
      <c r="W14" s="1823"/>
    </row>
    <row r="15" spans="1:26" ht="39" customHeight="1">
      <c r="A15" s="1787" t="s">
        <v>253</v>
      </c>
      <c r="B15" s="1668" t="s">
        <v>1393</v>
      </c>
      <c r="C15" s="1839"/>
      <c r="D15" s="1828">
        <f>SUM(E15:F15)</f>
        <v>279494</v>
      </c>
      <c r="E15" s="1669">
        <f>E16+E19+E23+E26+E29+E31+E34+E39+E41+E45+E49+E51+E53+E55+E60+E70</f>
        <v>0</v>
      </c>
      <c r="F15" s="1669">
        <f t="shared" ref="F15:O15" si="6">F16+F19+F23+F26+F29+F31+F34+F39+F41+F45+F49+F51+F53+F55+F60+F70</f>
        <v>279494</v>
      </c>
      <c r="G15" s="1669">
        <f t="shared" si="6"/>
        <v>194982.3</v>
      </c>
      <c r="H15" s="1669">
        <f t="shared" si="6"/>
        <v>0</v>
      </c>
      <c r="I15" s="1669">
        <f t="shared" si="6"/>
        <v>194982.3</v>
      </c>
      <c r="J15" s="1669">
        <f t="shared" si="6"/>
        <v>0</v>
      </c>
      <c r="K15" s="1669">
        <f t="shared" si="6"/>
        <v>0</v>
      </c>
      <c r="L15" s="1669">
        <f t="shared" si="6"/>
        <v>0</v>
      </c>
      <c r="M15" s="1669">
        <f t="shared" si="6"/>
        <v>0</v>
      </c>
      <c r="N15" s="1669">
        <f t="shared" si="6"/>
        <v>0</v>
      </c>
      <c r="O15" s="1669">
        <f t="shared" si="6"/>
        <v>0</v>
      </c>
      <c r="P15" s="1599" t="s">
        <v>353</v>
      </c>
      <c r="Q15" s="1599" t="s">
        <v>353</v>
      </c>
      <c r="R15" s="1598" t="e">
        <f t="shared" si="1"/>
        <v>#REF!</v>
      </c>
      <c r="S15" s="1598" t="e">
        <f>SUM(S53:S69,#REF!,#REF!,S49,#REF!,S34,#REF!,#REF!,#REF!,S19,#REF!,#REF!,S29,#REF!,#REF!)</f>
        <v>#REF!</v>
      </c>
      <c r="T15" s="1598" t="e">
        <f>SUM(T53:T69,#REF!,#REF!,T49,#REF!,T34,#REF!,#REF!,#REF!,T19,#REF!,#REF!,T29,#REF!,#REF!)</f>
        <v>#REF!</v>
      </c>
      <c r="U15" s="735">
        <f t="shared" si="2"/>
        <v>84511.7</v>
      </c>
    </row>
    <row r="16" spans="1:26" ht="39" customHeight="1">
      <c r="A16" s="1787"/>
      <c r="B16" s="1797" t="s">
        <v>283</v>
      </c>
      <c r="C16" s="1840"/>
      <c r="D16" s="1833">
        <f>D18+D17</f>
        <v>4550</v>
      </c>
      <c r="E16" s="1826">
        <f t="shared" ref="E16:O16" si="7">E18+E17</f>
        <v>0</v>
      </c>
      <c r="F16" s="1826">
        <f t="shared" si="7"/>
        <v>4550</v>
      </c>
      <c r="G16" s="1826">
        <f t="shared" si="7"/>
        <v>0</v>
      </c>
      <c r="H16" s="1826">
        <f t="shared" si="7"/>
        <v>0</v>
      </c>
      <c r="I16" s="1826">
        <f t="shared" si="7"/>
        <v>0</v>
      </c>
      <c r="J16" s="1826">
        <f t="shared" si="7"/>
        <v>0</v>
      </c>
      <c r="K16" s="1826">
        <f t="shared" si="7"/>
        <v>0</v>
      </c>
      <c r="L16" s="1826">
        <f t="shared" si="7"/>
        <v>0</v>
      </c>
      <c r="M16" s="1826">
        <f t="shared" si="7"/>
        <v>0</v>
      </c>
      <c r="N16" s="1826">
        <f t="shared" si="7"/>
        <v>0</v>
      </c>
      <c r="O16" s="1826">
        <f t="shared" si="7"/>
        <v>0</v>
      </c>
      <c r="P16" s="1599"/>
      <c r="Q16" s="1599"/>
      <c r="R16" s="1598"/>
      <c r="S16" s="1598"/>
      <c r="T16" s="1598"/>
      <c r="U16" s="735"/>
    </row>
    <row r="17" spans="1:26" ht="71.25" customHeight="1">
      <c r="A17" s="1787"/>
      <c r="B17" s="1858" t="s">
        <v>1617</v>
      </c>
      <c r="C17" s="1840"/>
      <c r="D17" s="1832">
        <f t="shared" ref="D17:D48" si="8">SUM(E17:F17)</f>
        <v>2000</v>
      </c>
      <c r="E17" s="701">
        <v>0</v>
      </c>
      <c r="F17" s="701">
        <v>2000</v>
      </c>
      <c r="G17" s="814">
        <f>SUM(H17:I17)</f>
        <v>0</v>
      </c>
      <c r="H17" s="701">
        <v>0</v>
      </c>
      <c r="I17" s="701">
        <v>0</v>
      </c>
      <c r="J17" s="814">
        <f>SUM(K17:L17)</f>
        <v>0</v>
      </c>
      <c r="K17" s="1677"/>
      <c r="L17" s="1677"/>
      <c r="M17" s="746">
        <f t="shared" ref="M17:O18" si="9">IF(J17=0,0,J17/G17*100)</f>
        <v>0</v>
      </c>
      <c r="N17" s="536">
        <f t="shared" si="9"/>
        <v>0</v>
      </c>
      <c r="O17" s="536">
        <f t="shared" si="9"/>
        <v>0</v>
      </c>
      <c r="P17" s="1599"/>
      <c r="Q17" s="1599"/>
      <c r="R17" s="1598"/>
      <c r="S17" s="1598"/>
      <c r="T17" s="1598"/>
      <c r="U17" s="735"/>
    </row>
    <row r="18" spans="1:26" ht="93" customHeight="1">
      <c r="A18" s="1787"/>
      <c r="B18" s="1732" t="s">
        <v>1565</v>
      </c>
      <c r="C18" s="1841"/>
      <c r="D18" s="1832">
        <f t="shared" si="8"/>
        <v>2550</v>
      </c>
      <c r="E18" s="701">
        <v>0</v>
      </c>
      <c r="F18" s="701">
        <v>2550</v>
      </c>
      <c r="G18" s="814">
        <f>SUM(H18:I18)</f>
        <v>0</v>
      </c>
      <c r="H18" s="701">
        <v>0</v>
      </c>
      <c r="I18" s="701">
        <v>0</v>
      </c>
      <c r="J18" s="814">
        <f>SUM(K18:L18)</f>
        <v>0</v>
      </c>
      <c r="K18" s="1677"/>
      <c r="L18" s="1677"/>
      <c r="M18" s="746">
        <f t="shared" si="9"/>
        <v>0</v>
      </c>
      <c r="N18" s="536">
        <f t="shared" si="9"/>
        <v>0</v>
      </c>
      <c r="O18" s="536">
        <f t="shared" si="9"/>
        <v>0</v>
      </c>
      <c r="P18" s="1599"/>
      <c r="Q18" s="1599"/>
      <c r="R18" s="1598"/>
      <c r="S18" s="1598"/>
      <c r="T18" s="1598"/>
      <c r="U18" s="735"/>
    </row>
    <row r="19" spans="1:26" s="1607" customFormat="1" ht="20.25">
      <c r="A19" s="1788"/>
      <c r="B19" s="1797" t="s">
        <v>709</v>
      </c>
      <c r="C19" s="1840"/>
      <c r="D19" s="1826">
        <f t="shared" si="8"/>
        <v>58240</v>
      </c>
      <c r="E19" s="1674">
        <f>SUM(E20:E22)</f>
        <v>0</v>
      </c>
      <c r="F19" s="1674">
        <f t="shared" ref="F19:O19" si="10">SUM(F20:F22)</f>
        <v>58240</v>
      </c>
      <c r="G19" s="1674">
        <f t="shared" si="10"/>
        <v>52150</v>
      </c>
      <c r="H19" s="1674">
        <f t="shared" si="10"/>
        <v>0</v>
      </c>
      <c r="I19" s="1674">
        <f t="shared" si="10"/>
        <v>52150</v>
      </c>
      <c r="J19" s="1674">
        <f t="shared" si="10"/>
        <v>0</v>
      </c>
      <c r="K19" s="1674">
        <f t="shared" si="10"/>
        <v>0</v>
      </c>
      <c r="L19" s="1674">
        <f t="shared" si="10"/>
        <v>0</v>
      </c>
      <c r="M19" s="1674">
        <f t="shared" si="10"/>
        <v>0</v>
      </c>
      <c r="N19" s="1674">
        <f t="shared" si="10"/>
        <v>0</v>
      </c>
      <c r="O19" s="1674">
        <f t="shared" si="10"/>
        <v>0</v>
      </c>
      <c r="P19" s="1593" t="s">
        <v>353</v>
      </c>
      <c r="Q19" s="1593" t="s">
        <v>353</v>
      </c>
      <c r="R19" s="1600" t="e">
        <f t="shared" si="1"/>
        <v>#REF!</v>
      </c>
      <c r="S19" s="1601" t="e">
        <f>SUM(#REF!)</f>
        <v>#REF!</v>
      </c>
      <c r="T19" s="1601" t="e">
        <f>SUM(#REF!)</f>
        <v>#REF!</v>
      </c>
      <c r="U19" s="735">
        <f t="shared" si="2"/>
        <v>6090</v>
      </c>
      <c r="V19" s="1565"/>
      <c r="W19" s="1565"/>
      <c r="X19" s="1605"/>
      <c r="Y19" s="1606"/>
      <c r="Z19" s="1606"/>
    </row>
    <row r="20" spans="1:26" s="1607" customFormat="1" ht="121.5">
      <c r="A20" s="1788"/>
      <c r="B20" s="1798" t="s">
        <v>1603</v>
      </c>
      <c r="C20" s="1842"/>
      <c r="D20" s="1833">
        <f t="shared" si="8"/>
        <v>6090</v>
      </c>
      <c r="E20" s="1676"/>
      <c r="F20" s="1676">
        <v>6090</v>
      </c>
      <c r="G20" s="732">
        <f t="shared" si="0"/>
        <v>0</v>
      </c>
      <c r="H20" s="1676"/>
      <c r="I20" s="1676">
        <v>0</v>
      </c>
      <c r="J20" s="814">
        <f>SUM(K20:L20)</f>
        <v>0</v>
      </c>
      <c r="K20" s="1677"/>
      <c r="L20" s="1677"/>
      <c r="M20" s="746">
        <f t="shared" si="3"/>
        <v>0</v>
      </c>
      <c r="N20" s="536">
        <f t="shared" si="4"/>
        <v>0</v>
      </c>
      <c r="O20" s="536">
        <f t="shared" si="5"/>
        <v>0</v>
      </c>
      <c r="P20" s="1593"/>
      <c r="Q20" s="1593"/>
      <c r="R20" s="1600"/>
      <c r="S20" s="1601"/>
      <c r="T20" s="1601"/>
      <c r="U20" s="735"/>
      <c r="V20" s="1565"/>
      <c r="W20" s="1565"/>
      <c r="X20" s="1605"/>
      <c r="Y20" s="1606"/>
      <c r="Z20" s="1606"/>
    </row>
    <row r="21" spans="1:26" s="1607" customFormat="1" ht="66" customHeight="1">
      <c r="A21" s="1788" t="s">
        <v>538</v>
      </c>
      <c r="B21" s="1798" t="s">
        <v>1397</v>
      </c>
      <c r="C21" s="1842">
        <v>24368</v>
      </c>
      <c r="D21" s="1826">
        <f t="shared" si="8"/>
        <v>10500</v>
      </c>
      <c r="E21" s="1676"/>
      <c r="F21" s="1676">
        <v>10500</v>
      </c>
      <c r="G21" s="732">
        <f t="shared" si="0"/>
        <v>10500</v>
      </c>
      <c r="H21" s="1676"/>
      <c r="I21" s="1676">
        <v>10500</v>
      </c>
      <c r="J21" s="814">
        <f>SUM(K21:L21)</f>
        <v>0</v>
      </c>
      <c r="K21" s="1677"/>
      <c r="L21" s="1677"/>
      <c r="M21" s="746">
        <f t="shared" si="3"/>
        <v>0</v>
      </c>
      <c r="N21" s="536">
        <f t="shared" si="4"/>
        <v>0</v>
      </c>
      <c r="O21" s="536">
        <f t="shared" si="5"/>
        <v>0</v>
      </c>
      <c r="P21" s="1593" t="s">
        <v>1171</v>
      </c>
      <c r="Q21" s="1593" t="s">
        <v>1116</v>
      </c>
      <c r="R21" s="1600">
        <f t="shared" si="1"/>
        <v>4500</v>
      </c>
      <c r="S21" s="1608">
        <v>0</v>
      </c>
      <c r="T21" s="1608">
        <v>4500</v>
      </c>
      <c r="U21" s="735">
        <f t="shared" si="2"/>
        <v>0</v>
      </c>
      <c r="V21" s="1565" t="s">
        <v>1429</v>
      </c>
      <c r="W21" s="1565" t="s">
        <v>1432</v>
      </c>
      <c r="X21" s="1605">
        <v>522</v>
      </c>
      <c r="Y21" s="1606"/>
      <c r="Z21" s="1606"/>
    </row>
    <row r="22" spans="1:26" s="1607" customFormat="1" ht="66.75" customHeight="1">
      <c r="A22" s="1788" t="s">
        <v>539</v>
      </c>
      <c r="B22" s="1799" t="s">
        <v>1399</v>
      </c>
      <c r="C22" s="1842">
        <v>24368</v>
      </c>
      <c r="D22" s="1826">
        <f t="shared" si="8"/>
        <v>41650</v>
      </c>
      <c r="E22" s="1676"/>
      <c r="F22" s="1676">
        <v>41650</v>
      </c>
      <c r="G22" s="732">
        <f t="shared" ref="G22:G73" si="11">SUM(H22:I22)</f>
        <v>41650</v>
      </c>
      <c r="H22" s="1676"/>
      <c r="I22" s="1676">
        <v>41650</v>
      </c>
      <c r="J22" s="814">
        <f t="shared" ref="J22:J73" si="12">SUM(K22:L22)</f>
        <v>0</v>
      </c>
      <c r="K22" s="1677"/>
      <c r="L22" s="1677"/>
      <c r="M22" s="746">
        <f t="shared" si="3"/>
        <v>0</v>
      </c>
      <c r="N22" s="536">
        <f t="shared" si="4"/>
        <v>0</v>
      </c>
      <c r="O22" s="536">
        <f t="shared" si="5"/>
        <v>0</v>
      </c>
      <c r="P22" s="1593" t="s">
        <v>1171</v>
      </c>
      <c r="Q22" s="1593" t="s">
        <v>1116</v>
      </c>
      <c r="R22" s="1600">
        <f t="shared" si="1"/>
        <v>4500</v>
      </c>
      <c r="S22" s="1608">
        <v>0</v>
      </c>
      <c r="T22" s="1608">
        <v>4500</v>
      </c>
      <c r="U22" s="735">
        <f t="shared" si="2"/>
        <v>0</v>
      </c>
      <c r="V22" s="1565" t="s">
        <v>1429</v>
      </c>
      <c r="W22" s="1565" t="s">
        <v>1430</v>
      </c>
      <c r="X22" s="1605">
        <v>522</v>
      </c>
      <c r="Y22" s="1606"/>
      <c r="Z22" s="1606"/>
    </row>
    <row r="23" spans="1:26" s="1570" customFormat="1" ht="20.25">
      <c r="A23" s="1788"/>
      <c r="B23" s="1800" t="s">
        <v>712</v>
      </c>
      <c r="C23" s="1841">
        <v>24366</v>
      </c>
      <c r="D23" s="1826">
        <f t="shared" si="8"/>
        <v>19283.099999999999</v>
      </c>
      <c r="E23" s="1674">
        <f>SUM(E24:E25)</f>
        <v>0</v>
      </c>
      <c r="F23" s="1674">
        <f t="shared" ref="F23:O23" si="13">SUM(F24:F25)</f>
        <v>19283.099999999999</v>
      </c>
      <c r="G23" s="1674">
        <f t="shared" si="13"/>
        <v>0</v>
      </c>
      <c r="H23" s="1674">
        <f t="shared" si="13"/>
        <v>0</v>
      </c>
      <c r="I23" s="1674">
        <f t="shared" si="13"/>
        <v>0</v>
      </c>
      <c r="J23" s="1674">
        <f t="shared" si="13"/>
        <v>0</v>
      </c>
      <c r="K23" s="1674">
        <f t="shared" si="13"/>
        <v>0</v>
      </c>
      <c r="L23" s="1674">
        <f t="shared" si="13"/>
        <v>0</v>
      </c>
      <c r="M23" s="1674">
        <f t="shared" si="13"/>
        <v>0</v>
      </c>
      <c r="N23" s="1674">
        <f t="shared" si="13"/>
        <v>0</v>
      </c>
      <c r="O23" s="1674">
        <f t="shared" si="13"/>
        <v>0</v>
      </c>
      <c r="P23" s="1593" t="s">
        <v>353</v>
      </c>
      <c r="Q23" s="1612" t="s">
        <v>353</v>
      </c>
      <c r="R23" s="1600">
        <f t="shared" si="1"/>
        <v>4725.8999999999996</v>
      </c>
      <c r="S23" s="1610">
        <f>SUM(S25:S25)</f>
        <v>0</v>
      </c>
      <c r="T23" s="1610">
        <f>SUM(T25:T25)</f>
        <v>4725.8999999999996</v>
      </c>
      <c r="U23" s="735">
        <f t="shared" si="2"/>
        <v>19283.099999999999</v>
      </c>
      <c r="V23" s="1565" t="s">
        <v>1429</v>
      </c>
      <c r="W23" s="1565" t="s">
        <v>1430</v>
      </c>
      <c r="X23" s="1565">
        <v>522</v>
      </c>
      <c r="Y23" s="1613"/>
      <c r="Z23" s="1613"/>
    </row>
    <row r="24" spans="1:26" s="1570" customFormat="1" ht="60.75">
      <c r="A24" s="1788"/>
      <c r="B24" s="1811" t="s">
        <v>1568</v>
      </c>
      <c r="C24" s="1841"/>
      <c r="D24" s="1833">
        <f t="shared" si="8"/>
        <v>283.10000000000002</v>
      </c>
      <c r="E24" s="854"/>
      <c r="F24" s="854">
        <v>283.10000000000002</v>
      </c>
      <c r="G24" s="732">
        <f>SUM(H24:I24)</f>
        <v>0</v>
      </c>
      <c r="H24" s="854"/>
      <c r="I24" s="854">
        <v>0</v>
      </c>
      <c r="J24" s="814">
        <f>SUM(K24:L24)</f>
        <v>0</v>
      </c>
      <c r="K24" s="1677"/>
      <c r="L24" s="1677"/>
      <c r="M24" s="746">
        <f>IF(J24=0,0,J24/G24*100)</f>
        <v>0</v>
      </c>
      <c r="N24" s="536">
        <f>IF(K24=0,0,K24/H24*100)</f>
        <v>0</v>
      </c>
      <c r="O24" s="536">
        <f>IF(L24=0,0,L24/I24*100)</f>
        <v>0</v>
      </c>
      <c r="P24" s="1593"/>
      <c r="Q24" s="1612"/>
      <c r="R24" s="1600"/>
      <c r="S24" s="1610"/>
      <c r="T24" s="1610"/>
      <c r="U24" s="735"/>
      <c r="V24" s="1565"/>
      <c r="W24" s="1565"/>
      <c r="X24" s="1565"/>
      <c r="Y24" s="1613"/>
      <c r="Z24" s="1613"/>
    </row>
    <row r="25" spans="1:26" ht="27.75" customHeight="1">
      <c r="A25" s="1788" t="s">
        <v>19</v>
      </c>
      <c r="B25" s="1801" t="s">
        <v>713</v>
      </c>
      <c r="C25" s="1841">
        <v>24366</v>
      </c>
      <c r="D25" s="1833">
        <f t="shared" si="8"/>
        <v>19000</v>
      </c>
      <c r="E25" s="854"/>
      <c r="F25" s="854">
        <v>19000</v>
      </c>
      <c r="G25" s="732">
        <f t="shared" si="11"/>
        <v>0</v>
      </c>
      <c r="H25" s="854"/>
      <c r="I25" s="854">
        <v>0</v>
      </c>
      <c r="J25" s="814">
        <f t="shared" si="12"/>
        <v>0</v>
      </c>
      <c r="K25" s="1677"/>
      <c r="L25" s="1677"/>
      <c r="M25" s="746">
        <f t="shared" si="3"/>
        <v>0</v>
      </c>
      <c r="N25" s="536">
        <f t="shared" si="4"/>
        <v>0</v>
      </c>
      <c r="O25" s="536">
        <f t="shared" si="5"/>
        <v>0</v>
      </c>
      <c r="P25" s="1593" t="s">
        <v>1171</v>
      </c>
      <c r="Q25" s="1593" t="s">
        <v>1111</v>
      </c>
      <c r="R25" s="1600">
        <f t="shared" si="1"/>
        <v>4725.8999999999996</v>
      </c>
      <c r="S25" s="1614">
        <v>0</v>
      </c>
      <c r="T25" s="1614">
        <v>4725.8999999999996</v>
      </c>
      <c r="U25" s="735">
        <f t="shared" si="2"/>
        <v>19000</v>
      </c>
      <c r="V25" s="1565" t="s">
        <v>1429</v>
      </c>
      <c r="W25" s="1565" t="s">
        <v>1430</v>
      </c>
      <c r="X25" s="1565">
        <v>522</v>
      </c>
    </row>
    <row r="26" spans="1:26" s="1570" customFormat="1" ht="20.25">
      <c r="A26" s="1788"/>
      <c r="B26" s="1800" t="s">
        <v>1406</v>
      </c>
      <c r="C26" s="1836" t="s">
        <v>1538</v>
      </c>
      <c r="D26" s="1826">
        <f t="shared" si="8"/>
        <v>28826.6</v>
      </c>
      <c r="E26" s="1674">
        <f>SUM(E27:E28)</f>
        <v>0</v>
      </c>
      <c r="F26" s="1674">
        <f>SUM(F27:F28)</f>
        <v>28826.6</v>
      </c>
      <c r="G26" s="1674">
        <f t="shared" ref="G26:O26" si="14">SUM(G27:G28)</f>
        <v>18602.2</v>
      </c>
      <c r="H26" s="1674">
        <f t="shared" si="14"/>
        <v>0</v>
      </c>
      <c r="I26" s="1674">
        <f t="shared" si="14"/>
        <v>18602.2</v>
      </c>
      <c r="J26" s="1674">
        <f t="shared" si="14"/>
        <v>0</v>
      </c>
      <c r="K26" s="1674">
        <f t="shared" si="14"/>
        <v>0</v>
      </c>
      <c r="L26" s="1674">
        <f t="shared" si="14"/>
        <v>0</v>
      </c>
      <c r="M26" s="1674">
        <f t="shared" si="14"/>
        <v>0</v>
      </c>
      <c r="N26" s="1674">
        <f t="shared" si="14"/>
        <v>0</v>
      </c>
      <c r="O26" s="1674">
        <f t="shared" si="14"/>
        <v>0</v>
      </c>
      <c r="P26" s="1593" t="s">
        <v>353</v>
      </c>
      <c r="Q26" s="1612" t="s">
        <v>353</v>
      </c>
      <c r="R26" s="1600">
        <f t="shared" si="1"/>
        <v>4725.8999999999996</v>
      </c>
      <c r="S26" s="1610">
        <f>SUM(S28:S28)</f>
        <v>0</v>
      </c>
      <c r="T26" s="1610">
        <f>SUM(T28:T28)</f>
        <v>4725.8999999999996</v>
      </c>
      <c r="U26" s="735">
        <f t="shared" si="2"/>
        <v>10224.4</v>
      </c>
      <c r="V26" s="1565" t="s">
        <v>1429</v>
      </c>
      <c r="W26" s="1565" t="s">
        <v>1430</v>
      </c>
      <c r="X26" s="1565">
        <v>522</v>
      </c>
      <c r="Y26" s="1613"/>
      <c r="Z26" s="1613"/>
    </row>
    <row r="27" spans="1:26" s="1570" customFormat="1" ht="40.5">
      <c r="A27" s="1788"/>
      <c r="B27" s="1811" t="s">
        <v>1588</v>
      </c>
      <c r="C27" s="1836" t="s">
        <v>1612</v>
      </c>
      <c r="D27" s="1833">
        <f t="shared" si="8"/>
        <v>10224.4</v>
      </c>
      <c r="E27" s="854"/>
      <c r="F27" s="854">
        <v>10224.4</v>
      </c>
      <c r="G27" s="732">
        <f>SUM(H27:I27)</f>
        <v>0</v>
      </c>
      <c r="H27" s="854"/>
      <c r="I27" s="854">
        <v>0</v>
      </c>
      <c r="J27" s="814">
        <f>SUM(K27:L27)</f>
        <v>0</v>
      </c>
      <c r="K27" s="1677"/>
      <c r="L27" s="1677"/>
      <c r="M27" s="746">
        <f>IF(J27=0,0,J27/G27*100)</f>
        <v>0</v>
      </c>
      <c r="N27" s="536">
        <f>IF(K27=0,0,K27/H27*100)</f>
        <v>0</v>
      </c>
      <c r="O27" s="536">
        <f>IF(L27=0,0,L27/I27*100)</f>
        <v>0</v>
      </c>
      <c r="P27" s="1593"/>
      <c r="Q27" s="1612"/>
      <c r="R27" s="1600"/>
      <c r="S27" s="1610"/>
      <c r="T27" s="1610"/>
      <c r="U27" s="735"/>
      <c r="V27" s="1565"/>
      <c r="W27" s="1565"/>
      <c r="X27" s="1565"/>
      <c r="Y27" s="1613"/>
      <c r="Z27" s="1613"/>
    </row>
    <row r="28" spans="1:26" ht="64.5" customHeight="1">
      <c r="A28" s="1788" t="s">
        <v>20</v>
      </c>
      <c r="B28" s="1802" t="s">
        <v>1407</v>
      </c>
      <c r="C28" s="1836" t="s">
        <v>1538</v>
      </c>
      <c r="D28" s="1833">
        <f t="shared" si="8"/>
        <v>18602.2</v>
      </c>
      <c r="E28" s="854"/>
      <c r="F28" s="854">
        <v>18602.2</v>
      </c>
      <c r="G28" s="732">
        <f t="shared" si="11"/>
        <v>18602.2</v>
      </c>
      <c r="H28" s="854"/>
      <c r="I28" s="854">
        <v>18602.2</v>
      </c>
      <c r="J28" s="814">
        <f t="shared" si="12"/>
        <v>0</v>
      </c>
      <c r="K28" s="1677"/>
      <c r="L28" s="1677"/>
      <c r="M28" s="746">
        <f t="shared" si="3"/>
        <v>0</v>
      </c>
      <c r="N28" s="536">
        <f t="shared" si="4"/>
        <v>0</v>
      </c>
      <c r="O28" s="536">
        <f t="shared" si="5"/>
        <v>0</v>
      </c>
      <c r="P28" s="1593" t="s">
        <v>1171</v>
      </c>
      <c r="Q28" s="1593" t="s">
        <v>1111</v>
      </c>
      <c r="R28" s="1600">
        <f t="shared" si="1"/>
        <v>4725.8999999999996</v>
      </c>
      <c r="S28" s="1614">
        <v>0</v>
      </c>
      <c r="T28" s="1614">
        <v>4725.8999999999996</v>
      </c>
      <c r="U28" s="735">
        <f t="shared" si="2"/>
        <v>0</v>
      </c>
      <c r="V28" s="1565" t="s">
        <v>1429</v>
      </c>
      <c r="W28" s="1565" t="s">
        <v>1430</v>
      </c>
      <c r="X28" s="1565">
        <v>522</v>
      </c>
    </row>
    <row r="29" spans="1:26" s="1607" customFormat="1" ht="20.25">
      <c r="A29" s="1788"/>
      <c r="B29" s="1673" t="s">
        <v>46</v>
      </c>
      <c r="C29" s="1842">
        <v>24347</v>
      </c>
      <c r="D29" s="1833">
        <f t="shared" si="8"/>
        <v>12500</v>
      </c>
      <c r="E29" s="1674">
        <f>SUM(E30)</f>
        <v>0</v>
      </c>
      <c r="F29" s="1674">
        <f>SUM(F30)</f>
        <v>12500</v>
      </c>
      <c r="G29" s="732">
        <f t="shared" si="11"/>
        <v>12500</v>
      </c>
      <c r="H29" s="1674">
        <f>SUM(H30)</f>
        <v>0</v>
      </c>
      <c r="I29" s="1674">
        <f>SUM(I30)</f>
        <v>12500</v>
      </c>
      <c r="J29" s="814">
        <f t="shared" si="12"/>
        <v>0</v>
      </c>
      <c r="K29" s="539">
        <f>SUM(K30)</f>
        <v>0</v>
      </c>
      <c r="L29" s="539">
        <f>SUM(L30)</f>
        <v>0</v>
      </c>
      <c r="M29" s="746">
        <f t="shared" si="3"/>
        <v>0</v>
      </c>
      <c r="N29" s="536">
        <f t="shared" si="4"/>
        <v>0</v>
      </c>
      <c r="O29" s="536">
        <f t="shared" si="5"/>
        <v>0</v>
      </c>
      <c r="P29" s="1593" t="s">
        <v>353</v>
      </c>
      <c r="Q29" s="1593" t="s">
        <v>353</v>
      </c>
      <c r="R29" s="1600">
        <f t="shared" si="1"/>
        <v>12500</v>
      </c>
      <c r="S29" s="1601">
        <f>S30</f>
        <v>0</v>
      </c>
      <c r="T29" s="1601">
        <f>T30</f>
        <v>12500</v>
      </c>
      <c r="U29" s="735">
        <f t="shared" si="2"/>
        <v>0</v>
      </c>
      <c r="V29" s="1565"/>
      <c r="W29" s="1565"/>
      <c r="X29" s="1605"/>
      <c r="Y29" s="1606"/>
      <c r="Z29" s="1606"/>
    </row>
    <row r="30" spans="1:26" s="1607" customFormat="1" ht="89.25" customHeight="1">
      <c r="A30" s="1788" t="s">
        <v>467</v>
      </c>
      <c r="B30" s="1675" t="s">
        <v>1517</v>
      </c>
      <c r="C30" s="1842">
        <v>24347</v>
      </c>
      <c r="D30" s="1833">
        <f t="shared" si="8"/>
        <v>12500</v>
      </c>
      <c r="E30" s="1676"/>
      <c r="F30" s="1676">
        <v>12500</v>
      </c>
      <c r="G30" s="732">
        <f t="shared" si="11"/>
        <v>12500</v>
      </c>
      <c r="H30" s="1676"/>
      <c r="I30" s="1676">
        <v>12500</v>
      </c>
      <c r="J30" s="814">
        <f t="shared" si="12"/>
        <v>0</v>
      </c>
      <c r="K30" s="1677"/>
      <c r="L30" s="1677"/>
      <c r="M30" s="746">
        <f t="shared" si="3"/>
        <v>0</v>
      </c>
      <c r="N30" s="536">
        <f t="shared" si="4"/>
        <v>0</v>
      </c>
      <c r="O30" s="536">
        <f t="shared" si="5"/>
        <v>0</v>
      </c>
      <c r="P30" s="1593" t="s">
        <v>1184</v>
      </c>
      <c r="Q30" s="1593" t="s">
        <v>1136</v>
      </c>
      <c r="R30" s="1600">
        <f t="shared" si="1"/>
        <v>12500</v>
      </c>
      <c r="S30" s="1608">
        <v>0</v>
      </c>
      <c r="T30" s="1608">
        <v>12500</v>
      </c>
      <c r="U30" s="735">
        <f t="shared" si="2"/>
        <v>0</v>
      </c>
      <c r="V30" s="1565" t="s">
        <v>1429</v>
      </c>
      <c r="W30" s="1565" t="s">
        <v>1430</v>
      </c>
      <c r="X30" s="1565">
        <v>522</v>
      </c>
      <c r="Y30" s="1606"/>
      <c r="Z30" s="1606"/>
    </row>
    <row r="31" spans="1:26" s="1570" customFormat="1" ht="20.25">
      <c r="A31" s="1788"/>
      <c r="B31" s="1678" t="s">
        <v>583</v>
      </c>
      <c r="C31" s="1836">
        <v>24366</v>
      </c>
      <c r="D31" s="1833">
        <f t="shared" si="8"/>
        <v>2500</v>
      </c>
      <c r="E31" s="1674">
        <f>SUM(E33)</f>
        <v>0</v>
      </c>
      <c r="F31" s="1674">
        <f>SUM(F33)</f>
        <v>2500</v>
      </c>
      <c r="G31" s="732">
        <f t="shared" si="11"/>
        <v>2500</v>
      </c>
      <c r="H31" s="1674">
        <f>SUM(H33)</f>
        <v>0</v>
      </c>
      <c r="I31" s="1674">
        <f>SUM(I33)</f>
        <v>2500</v>
      </c>
      <c r="J31" s="814">
        <f t="shared" si="12"/>
        <v>0</v>
      </c>
      <c r="K31" s="534">
        <f>SUM(K33)</f>
        <v>0</v>
      </c>
      <c r="L31" s="534">
        <f>SUM(L33)</f>
        <v>0</v>
      </c>
      <c r="M31" s="746">
        <f t="shared" si="3"/>
        <v>0</v>
      </c>
      <c r="N31" s="746">
        <f t="shared" si="4"/>
        <v>0</v>
      </c>
      <c r="O31" s="746">
        <f t="shared" si="5"/>
        <v>0</v>
      </c>
      <c r="P31" s="1593" t="s">
        <v>353</v>
      </c>
      <c r="Q31" s="1612" t="s">
        <v>353</v>
      </c>
      <c r="R31" s="1600">
        <f t="shared" si="1"/>
        <v>4725.8999999999996</v>
      </c>
      <c r="S31" s="1610">
        <f>SUM(S33:S33)</f>
        <v>0</v>
      </c>
      <c r="T31" s="1610">
        <f>SUM(T33:T33)</f>
        <v>4725.8999999999996</v>
      </c>
      <c r="U31" s="735">
        <f t="shared" si="2"/>
        <v>0</v>
      </c>
      <c r="V31" s="1565" t="s">
        <v>1429</v>
      </c>
      <c r="W31" s="1565" t="s">
        <v>1430</v>
      </c>
      <c r="X31" s="1565">
        <v>522</v>
      </c>
      <c r="Y31" s="1613"/>
      <c r="Z31" s="1613"/>
    </row>
    <row r="32" spans="1:26" s="1570" customFormat="1" ht="60.75">
      <c r="A32" s="1788"/>
      <c r="B32" s="1691" t="s">
        <v>1559</v>
      </c>
      <c r="C32" s="1836"/>
      <c r="D32" s="1833">
        <f t="shared" si="8"/>
        <v>8870</v>
      </c>
      <c r="E32" s="854"/>
      <c r="F32" s="854">
        <v>8870</v>
      </c>
      <c r="G32" s="732">
        <f>SUM(H32:I32)</f>
        <v>0</v>
      </c>
      <c r="H32" s="854"/>
      <c r="I32" s="854">
        <v>0</v>
      </c>
      <c r="J32" s="814">
        <f>SUM(K32:L32)</f>
        <v>0</v>
      </c>
      <c r="K32" s="1677"/>
      <c r="L32" s="1677"/>
      <c r="M32" s="746">
        <f>IF(J32=0,0,J32/G32*100)</f>
        <v>0</v>
      </c>
      <c r="N32" s="536">
        <f>IF(K32=0,0,K32/H32*100)</f>
        <v>0</v>
      </c>
      <c r="O32" s="536">
        <f>IF(L32=0,0,L32/I32*100)</f>
        <v>0</v>
      </c>
      <c r="P32" s="1593"/>
      <c r="Q32" s="1612"/>
      <c r="R32" s="1600"/>
      <c r="S32" s="1610"/>
      <c r="T32" s="1610"/>
      <c r="U32" s="735"/>
      <c r="V32" s="1565"/>
      <c r="W32" s="1565"/>
      <c r="X32" s="1565"/>
      <c r="Y32" s="1613"/>
      <c r="Z32" s="1613"/>
    </row>
    <row r="33" spans="1:26" ht="51.75" customHeight="1">
      <c r="A33" s="1788" t="s">
        <v>468</v>
      </c>
      <c r="B33" s="1769" t="s">
        <v>1403</v>
      </c>
      <c r="C33" s="1836">
        <v>24366</v>
      </c>
      <c r="D33" s="1833">
        <f t="shared" si="8"/>
        <v>2500</v>
      </c>
      <c r="E33" s="854"/>
      <c r="F33" s="854">
        <v>2500</v>
      </c>
      <c r="G33" s="732">
        <f t="shared" si="11"/>
        <v>2500</v>
      </c>
      <c r="H33" s="854"/>
      <c r="I33" s="854">
        <v>2500</v>
      </c>
      <c r="J33" s="814">
        <f t="shared" si="12"/>
        <v>0</v>
      </c>
      <c r="K33" s="1677"/>
      <c r="L33" s="1677"/>
      <c r="M33" s="746">
        <f t="shared" si="3"/>
        <v>0</v>
      </c>
      <c r="N33" s="536">
        <f t="shared" si="4"/>
        <v>0</v>
      </c>
      <c r="O33" s="536">
        <f t="shared" si="5"/>
        <v>0</v>
      </c>
      <c r="P33" s="1593" t="s">
        <v>1171</v>
      </c>
      <c r="Q33" s="1593" t="s">
        <v>1111</v>
      </c>
      <c r="R33" s="1600">
        <f t="shared" si="1"/>
        <v>4725.8999999999996</v>
      </c>
      <c r="S33" s="1614">
        <v>0</v>
      </c>
      <c r="T33" s="1614">
        <v>4725.8999999999996</v>
      </c>
      <c r="U33" s="735">
        <f t="shared" si="2"/>
        <v>0</v>
      </c>
      <c r="V33" s="1565" t="s">
        <v>1429</v>
      </c>
      <c r="W33" s="1565" t="s">
        <v>1430</v>
      </c>
      <c r="X33" s="1565">
        <v>522</v>
      </c>
    </row>
    <row r="34" spans="1:26" ht="20.25">
      <c r="A34" s="1789"/>
      <c r="B34" s="1673" t="s">
        <v>68</v>
      </c>
      <c r="C34" s="1836">
        <v>24366</v>
      </c>
      <c r="D34" s="1826">
        <f t="shared" si="8"/>
        <v>18698.7</v>
      </c>
      <c r="E34" s="1674">
        <f>SUM(E37:E38)</f>
        <v>0</v>
      </c>
      <c r="F34" s="1674">
        <f>SUM(F35:F38)</f>
        <v>18698.7</v>
      </c>
      <c r="G34" s="1674">
        <f t="shared" ref="G34:U34" si="15">SUM(G35:G38)</f>
        <v>11134.5</v>
      </c>
      <c r="H34" s="1674">
        <f t="shared" si="15"/>
        <v>0</v>
      </c>
      <c r="I34" s="1674">
        <f t="shared" si="15"/>
        <v>11134.5</v>
      </c>
      <c r="J34" s="1674">
        <f t="shared" si="15"/>
        <v>0</v>
      </c>
      <c r="K34" s="1674">
        <f t="shared" si="15"/>
        <v>0</v>
      </c>
      <c r="L34" s="1674">
        <f t="shared" si="15"/>
        <v>0</v>
      </c>
      <c r="M34" s="1674">
        <f t="shared" si="15"/>
        <v>0</v>
      </c>
      <c r="N34" s="1674">
        <f t="shared" si="15"/>
        <v>0</v>
      </c>
      <c r="O34" s="1674">
        <f t="shared" si="15"/>
        <v>0</v>
      </c>
      <c r="P34" s="1674">
        <f t="shared" si="15"/>
        <v>0</v>
      </c>
      <c r="Q34" s="1674">
        <f t="shared" si="15"/>
        <v>0</v>
      </c>
      <c r="R34" s="1674">
        <f t="shared" si="15"/>
        <v>1041.5999999999999</v>
      </c>
      <c r="S34" s="1674">
        <f t="shared" si="15"/>
        <v>0</v>
      </c>
      <c r="T34" s="1674">
        <f t="shared" si="15"/>
        <v>1041.5999999999999</v>
      </c>
      <c r="U34" s="1674">
        <f t="shared" si="15"/>
        <v>0</v>
      </c>
    </row>
    <row r="35" spans="1:26" ht="162">
      <c r="A35" s="1789"/>
      <c r="B35" s="1705" t="s">
        <v>1553</v>
      </c>
      <c r="C35" s="1836"/>
      <c r="D35" s="1833">
        <f t="shared" si="8"/>
        <v>4000</v>
      </c>
      <c r="E35" s="1676"/>
      <c r="F35" s="1676">
        <v>4000</v>
      </c>
      <c r="G35" s="732">
        <f>SUM(H35:I35)</f>
        <v>0</v>
      </c>
      <c r="H35" s="1676"/>
      <c r="I35" s="1676">
        <v>0</v>
      </c>
      <c r="J35" s="814">
        <f>SUM(K35:L35)</f>
        <v>0</v>
      </c>
      <c r="K35" s="1677"/>
      <c r="L35" s="1677"/>
      <c r="M35" s="746">
        <f t="shared" ref="M35:O37" si="16">IF(J35=0,0,J35/G35*100)</f>
        <v>0</v>
      </c>
      <c r="N35" s="536">
        <f t="shared" si="16"/>
        <v>0</v>
      </c>
      <c r="O35" s="536">
        <f t="shared" si="16"/>
        <v>0</v>
      </c>
      <c r="P35" s="1593"/>
      <c r="Q35" s="1593"/>
      <c r="R35" s="1600"/>
      <c r="S35" s="1601"/>
      <c r="T35" s="1601"/>
      <c r="U35" s="735"/>
    </row>
    <row r="36" spans="1:26" ht="81">
      <c r="A36" s="1789"/>
      <c r="B36" s="1705" t="s">
        <v>1561</v>
      </c>
      <c r="C36" s="1836"/>
      <c r="D36" s="1833">
        <f t="shared" si="8"/>
        <v>3564.2</v>
      </c>
      <c r="E36" s="1676"/>
      <c r="F36" s="1676">
        <v>3564.2</v>
      </c>
      <c r="G36" s="732">
        <f>SUM(H36:I36)</f>
        <v>0</v>
      </c>
      <c r="H36" s="1676"/>
      <c r="I36" s="1676">
        <v>0</v>
      </c>
      <c r="J36" s="814">
        <f>SUM(K36:L36)</f>
        <v>0</v>
      </c>
      <c r="K36" s="1677"/>
      <c r="L36" s="1677"/>
      <c r="M36" s="746">
        <f t="shared" si="16"/>
        <v>0</v>
      </c>
      <c r="N36" s="536">
        <f t="shared" si="16"/>
        <v>0</v>
      </c>
      <c r="O36" s="536">
        <f t="shared" si="16"/>
        <v>0</v>
      </c>
      <c r="P36" s="1593"/>
      <c r="Q36" s="1593"/>
      <c r="R36" s="1600"/>
      <c r="S36" s="1601"/>
      <c r="T36" s="1601"/>
      <c r="U36" s="735"/>
    </row>
    <row r="37" spans="1:26" ht="141.75">
      <c r="A37" s="1789"/>
      <c r="B37" s="1752" t="s">
        <v>1552</v>
      </c>
      <c r="C37" s="1836"/>
      <c r="D37" s="1826">
        <f t="shared" si="8"/>
        <v>2400</v>
      </c>
      <c r="E37" s="1676"/>
      <c r="F37" s="1676">
        <v>2400</v>
      </c>
      <c r="G37" s="732">
        <f>SUM(H37:I37)</f>
        <v>2400</v>
      </c>
      <c r="H37" s="1676"/>
      <c r="I37" s="1676">
        <v>2400</v>
      </c>
      <c r="J37" s="814">
        <f>SUM(K37:L37)</f>
        <v>0</v>
      </c>
      <c r="K37" s="1677"/>
      <c r="L37" s="1677"/>
      <c r="M37" s="746">
        <f t="shared" si="16"/>
        <v>0</v>
      </c>
      <c r="N37" s="536">
        <f t="shared" si="16"/>
        <v>0</v>
      </c>
      <c r="O37" s="536">
        <f t="shared" si="16"/>
        <v>0</v>
      </c>
      <c r="P37" s="1593"/>
      <c r="Q37" s="1593"/>
      <c r="R37" s="1600"/>
      <c r="S37" s="1601"/>
      <c r="T37" s="1601"/>
      <c r="U37" s="735"/>
    </row>
    <row r="38" spans="1:26" ht="66.75" customHeight="1">
      <c r="A38" s="1788" t="s">
        <v>685</v>
      </c>
      <c r="B38" s="1770" t="s">
        <v>1522</v>
      </c>
      <c r="C38" s="1836">
        <v>24366</v>
      </c>
      <c r="D38" s="1833">
        <f t="shared" si="8"/>
        <v>8734.5</v>
      </c>
      <c r="E38" s="1676"/>
      <c r="F38" s="1676">
        <v>8734.5</v>
      </c>
      <c r="G38" s="732">
        <f t="shared" si="11"/>
        <v>8734.5</v>
      </c>
      <c r="H38" s="1676"/>
      <c r="I38" s="1676">
        <v>8734.5</v>
      </c>
      <c r="J38" s="814">
        <f t="shared" si="12"/>
        <v>0</v>
      </c>
      <c r="K38" s="1677"/>
      <c r="L38" s="1677"/>
      <c r="M38" s="746">
        <f t="shared" si="3"/>
        <v>0</v>
      </c>
      <c r="N38" s="536">
        <f t="shared" si="4"/>
        <v>0</v>
      </c>
      <c r="O38" s="536">
        <f t="shared" si="5"/>
        <v>0</v>
      </c>
      <c r="P38" s="1593" t="s">
        <v>1176</v>
      </c>
      <c r="Q38" s="1593" t="s">
        <v>1125</v>
      </c>
      <c r="R38" s="1600">
        <f t="shared" si="1"/>
        <v>1041.5999999999999</v>
      </c>
      <c r="S38" s="1608">
        <v>0</v>
      </c>
      <c r="T38" s="1608">
        <v>1041.5999999999999</v>
      </c>
      <c r="U38" s="735">
        <f t="shared" si="2"/>
        <v>0</v>
      </c>
      <c r="V38" s="1565" t="s">
        <v>1429</v>
      </c>
      <c r="W38" s="1565" t="s">
        <v>1431</v>
      </c>
      <c r="X38" s="1605">
        <v>522</v>
      </c>
    </row>
    <row r="39" spans="1:26" s="1570" customFormat="1" ht="20.25">
      <c r="A39" s="1788"/>
      <c r="B39" s="1678" t="s">
        <v>1408</v>
      </c>
      <c r="C39" s="1841" t="s">
        <v>1538</v>
      </c>
      <c r="D39" s="1833">
        <f t="shared" si="8"/>
        <v>11495</v>
      </c>
      <c r="E39" s="1674">
        <f>SUM(E40)</f>
        <v>0</v>
      </c>
      <c r="F39" s="1674">
        <f>SUM(F40)</f>
        <v>11495</v>
      </c>
      <c r="G39" s="732">
        <f t="shared" si="11"/>
        <v>11495</v>
      </c>
      <c r="H39" s="1674">
        <f>SUM(H40)</f>
        <v>0</v>
      </c>
      <c r="I39" s="1674">
        <f>SUM(I40)</f>
        <v>11495</v>
      </c>
      <c r="J39" s="814">
        <f t="shared" si="12"/>
        <v>0</v>
      </c>
      <c r="K39" s="534">
        <f>SUM(K40)</f>
        <v>0</v>
      </c>
      <c r="L39" s="534">
        <f>SUM(L40)</f>
        <v>0</v>
      </c>
      <c r="M39" s="746">
        <f t="shared" si="3"/>
        <v>0</v>
      </c>
      <c r="N39" s="746">
        <f t="shared" si="4"/>
        <v>0</v>
      </c>
      <c r="O39" s="746">
        <f t="shared" si="5"/>
        <v>0</v>
      </c>
      <c r="P39" s="1593" t="s">
        <v>353</v>
      </c>
      <c r="Q39" s="1612" t="s">
        <v>353</v>
      </c>
      <c r="R39" s="1600">
        <f t="shared" si="1"/>
        <v>4725.8999999999996</v>
      </c>
      <c r="S39" s="1610">
        <f>SUM(S40:S40)</f>
        <v>0</v>
      </c>
      <c r="T39" s="1610">
        <f>SUM(T40:T40)</f>
        <v>4725.8999999999996</v>
      </c>
      <c r="U39" s="735">
        <f t="shared" si="2"/>
        <v>0</v>
      </c>
      <c r="V39" s="1565" t="s">
        <v>1429</v>
      </c>
      <c r="W39" s="1565" t="s">
        <v>1430</v>
      </c>
      <c r="X39" s="1565">
        <v>522</v>
      </c>
      <c r="Y39" s="1613"/>
      <c r="Z39" s="1613"/>
    </row>
    <row r="40" spans="1:26" ht="41.25" customHeight="1">
      <c r="A40" s="1788" t="s">
        <v>687</v>
      </c>
      <c r="B40" s="1683" t="s">
        <v>1409</v>
      </c>
      <c r="C40" s="1841" t="s">
        <v>1538</v>
      </c>
      <c r="D40" s="1833">
        <f t="shared" si="8"/>
        <v>11495</v>
      </c>
      <c r="E40" s="854"/>
      <c r="F40" s="854">
        <v>11495</v>
      </c>
      <c r="G40" s="732">
        <f t="shared" si="11"/>
        <v>11495</v>
      </c>
      <c r="H40" s="854"/>
      <c r="I40" s="854">
        <v>11495</v>
      </c>
      <c r="J40" s="814">
        <f t="shared" si="12"/>
        <v>0</v>
      </c>
      <c r="K40" s="1677"/>
      <c r="L40" s="1677"/>
      <c r="M40" s="746">
        <f t="shared" si="3"/>
        <v>0</v>
      </c>
      <c r="N40" s="536">
        <f t="shared" si="4"/>
        <v>0</v>
      </c>
      <c r="O40" s="536">
        <f t="shared" si="5"/>
        <v>0</v>
      </c>
      <c r="P40" s="1593" t="s">
        <v>1171</v>
      </c>
      <c r="Q40" s="1593" t="s">
        <v>1111</v>
      </c>
      <c r="R40" s="1600">
        <f t="shared" si="1"/>
        <v>4725.8999999999996</v>
      </c>
      <c r="S40" s="1614">
        <v>0</v>
      </c>
      <c r="T40" s="1614">
        <v>4725.8999999999996</v>
      </c>
      <c r="U40" s="735">
        <f t="shared" si="2"/>
        <v>0</v>
      </c>
      <c r="V40" s="1565" t="s">
        <v>1429</v>
      </c>
      <c r="W40" s="1565" t="s">
        <v>1430</v>
      </c>
      <c r="X40" s="1565">
        <v>522</v>
      </c>
    </row>
    <row r="41" spans="1:26" ht="20.25">
      <c r="A41" s="1788"/>
      <c r="B41" s="1805" t="s">
        <v>431</v>
      </c>
      <c r="C41" s="1841"/>
      <c r="D41" s="1826">
        <f t="shared" si="8"/>
        <v>21645.5</v>
      </c>
      <c r="E41" s="1674">
        <f>SUM(E44)</f>
        <v>0</v>
      </c>
      <c r="F41" s="1674">
        <f>SUM(F42:F44)</f>
        <v>21645.5</v>
      </c>
      <c r="G41" s="1674">
        <f t="shared" ref="G41:O41" si="17">SUM(G42:G44)</f>
        <v>0</v>
      </c>
      <c r="H41" s="1674">
        <f t="shared" si="17"/>
        <v>0</v>
      </c>
      <c r="I41" s="1674">
        <f t="shared" si="17"/>
        <v>0</v>
      </c>
      <c r="J41" s="1674">
        <f t="shared" si="17"/>
        <v>0</v>
      </c>
      <c r="K41" s="1674">
        <f t="shared" si="17"/>
        <v>0</v>
      </c>
      <c r="L41" s="1674">
        <f t="shared" si="17"/>
        <v>0</v>
      </c>
      <c r="M41" s="1674">
        <f t="shared" si="17"/>
        <v>0</v>
      </c>
      <c r="N41" s="1674">
        <f t="shared" si="17"/>
        <v>0</v>
      </c>
      <c r="O41" s="1674">
        <f t="shared" si="17"/>
        <v>0</v>
      </c>
      <c r="P41" s="1593"/>
      <c r="Q41" s="1593"/>
      <c r="R41" s="1600"/>
      <c r="S41" s="1614"/>
      <c r="T41" s="1614"/>
      <c r="U41" s="735"/>
    </row>
    <row r="42" spans="1:26" ht="40.5">
      <c r="A42" s="1788"/>
      <c r="B42" s="1683" t="s">
        <v>1558</v>
      </c>
      <c r="C42" s="1841"/>
      <c r="D42" s="1833">
        <f t="shared" si="8"/>
        <v>12400</v>
      </c>
      <c r="E42" s="854"/>
      <c r="F42" s="854">
        <v>12400</v>
      </c>
      <c r="G42" s="732">
        <f>SUM(H42:I42)</f>
        <v>0</v>
      </c>
      <c r="H42" s="854"/>
      <c r="I42" s="854">
        <v>0</v>
      </c>
      <c r="J42" s="814">
        <f>SUM(K42:L42)</f>
        <v>0</v>
      </c>
      <c r="K42" s="1677"/>
      <c r="L42" s="1677"/>
      <c r="M42" s="746">
        <f t="shared" ref="M42:O44" si="18">IF(J42=0,0,J42/G42*100)</f>
        <v>0</v>
      </c>
      <c r="N42" s="536">
        <f t="shared" si="18"/>
        <v>0</v>
      </c>
      <c r="O42" s="536">
        <f t="shared" si="18"/>
        <v>0</v>
      </c>
      <c r="P42" s="1593"/>
      <c r="Q42" s="1593"/>
      <c r="R42" s="1600"/>
      <c r="S42" s="1614"/>
      <c r="T42" s="1614"/>
      <c r="U42" s="735"/>
    </row>
    <row r="43" spans="1:26" ht="81">
      <c r="A43" s="1788"/>
      <c r="B43" s="1683" t="s">
        <v>1562</v>
      </c>
      <c r="C43" s="1841"/>
      <c r="D43" s="1833">
        <f t="shared" si="8"/>
        <v>6500</v>
      </c>
      <c r="E43" s="854"/>
      <c r="F43" s="854">
        <v>6500</v>
      </c>
      <c r="G43" s="732">
        <f>SUM(H43:I43)</f>
        <v>0</v>
      </c>
      <c r="H43" s="854"/>
      <c r="I43" s="854">
        <v>0</v>
      </c>
      <c r="J43" s="814">
        <f>SUM(K43:L43)</f>
        <v>0</v>
      </c>
      <c r="K43" s="1677"/>
      <c r="L43" s="1677"/>
      <c r="M43" s="746">
        <f t="shared" si="18"/>
        <v>0</v>
      </c>
      <c r="N43" s="536">
        <f t="shared" si="18"/>
        <v>0</v>
      </c>
      <c r="O43" s="536">
        <f t="shared" si="18"/>
        <v>0</v>
      </c>
      <c r="P43" s="1593"/>
      <c r="Q43" s="1593"/>
      <c r="R43" s="1600"/>
      <c r="S43" s="1614"/>
      <c r="T43" s="1614"/>
      <c r="U43" s="735"/>
    </row>
    <row r="44" spans="1:26" ht="41.25" customHeight="1">
      <c r="A44" s="1788"/>
      <c r="B44" s="1683" t="s">
        <v>1557</v>
      </c>
      <c r="C44" s="1841"/>
      <c r="D44" s="1833">
        <f t="shared" si="8"/>
        <v>2745.5</v>
      </c>
      <c r="E44" s="854"/>
      <c r="F44" s="854">
        <v>2745.5</v>
      </c>
      <c r="G44" s="732">
        <f>SUM(H44:I44)</f>
        <v>0</v>
      </c>
      <c r="H44" s="854"/>
      <c r="I44" s="854">
        <v>0</v>
      </c>
      <c r="J44" s="814">
        <f>SUM(K44:L44)</f>
        <v>0</v>
      </c>
      <c r="K44" s="1677"/>
      <c r="L44" s="1677"/>
      <c r="M44" s="746">
        <f t="shared" si="18"/>
        <v>0</v>
      </c>
      <c r="N44" s="536">
        <f t="shared" si="18"/>
        <v>0</v>
      </c>
      <c r="O44" s="536">
        <f t="shared" si="18"/>
        <v>0</v>
      </c>
      <c r="P44" s="1593"/>
      <c r="Q44" s="1593"/>
      <c r="R44" s="1600"/>
      <c r="S44" s="1614"/>
      <c r="T44" s="1614"/>
      <c r="U44" s="735"/>
    </row>
    <row r="45" spans="1:26" s="1570" customFormat="1" ht="20.25">
      <c r="A45" s="1788"/>
      <c r="B45" s="1678" t="s">
        <v>729</v>
      </c>
      <c r="C45" s="1841">
        <v>24366</v>
      </c>
      <c r="D45" s="1833">
        <f t="shared" si="8"/>
        <v>7288</v>
      </c>
      <c r="E45" s="1674">
        <f>SUM(E46:E48)</f>
        <v>0</v>
      </c>
      <c r="F45" s="1674">
        <f t="shared" ref="F45:O45" si="19">SUM(F46:F48)</f>
        <v>7288</v>
      </c>
      <c r="G45" s="1674">
        <f t="shared" si="19"/>
        <v>4500</v>
      </c>
      <c r="H45" s="1674">
        <f t="shared" si="19"/>
        <v>0</v>
      </c>
      <c r="I45" s="1674">
        <f t="shared" si="19"/>
        <v>4500</v>
      </c>
      <c r="J45" s="1674">
        <f t="shared" si="19"/>
        <v>0</v>
      </c>
      <c r="K45" s="1674">
        <f t="shared" si="19"/>
        <v>0</v>
      </c>
      <c r="L45" s="1674">
        <f t="shared" si="19"/>
        <v>0</v>
      </c>
      <c r="M45" s="1674">
        <f t="shared" si="19"/>
        <v>0</v>
      </c>
      <c r="N45" s="1674">
        <f t="shared" si="19"/>
        <v>0</v>
      </c>
      <c r="O45" s="1674">
        <f t="shared" si="19"/>
        <v>0</v>
      </c>
      <c r="P45" s="1593" t="s">
        <v>353</v>
      </c>
      <c r="Q45" s="1612" t="s">
        <v>353</v>
      </c>
      <c r="R45" s="1600">
        <f t="shared" si="1"/>
        <v>4725.8999999999996</v>
      </c>
      <c r="S45" s="1610">
        <f>SUM(S48:S48)</f>
        <v>0</v>
      </c>
      <c r="T45" s="1610">
        <f>SUM(T48:T48)</f>
        <v>4725.8999999999996</v>
      </c>
      <c r="U45" s="735">
        <f t="shared" si="2"/>
        <v>2788</v>
      </c>
      <c r="V45" s="1565" t="s">
        <v>1429</v>
      </c>
      <c r="W45" s="1565" t="s">
        <v>1430</v>
      </c>
      <c r="X45" s="1565">
        <v>522</v>
      </c>
      <c r="Y45" s="1613"/>
      <c r="Z45" s="1613"/>
    </row>
    <row r="46" spans="1:26" s="1570" customFormat="1" ht="60.75">
      <c r="A46" s="1788"/>
      <c r="B46" s="1691" t="s">
        <v>1618</v>
      </c>
      <c r="C46" s="1841">
        <v>24366</v>
      </c>
      <c r="D46" s="1833">
        <f t="shared" si="8"/>
        <v>1788</v>
      </c>
      <c r="E46" s="854"/>
      <c r="F46" s="854">
        <v>1788</v>
      </c>
      <c r="G46" s="732">
        <f>SUM(H46:I46)</f>
        <v>0</v>
      </c>
      <c r="H46" s="854"/>
      <c r="I46" s="854">
        <v>0</v>
      </c>
      <c r="J46" s="814">
        <f>SUM(K46:L46)</f>
        <v>0</v>
      </c>
      <c r="K46" s="1677"/>
      <c r="L46" s="1677"/>
      <c r="M46" s="746">
        <f>IF(J46=0,0,J46/G46*100)</f>
        <v>0</v>
      </c>
      <c r="N46" s="536">
        <f>IF(K46=0,0,K46/H46*100)</f>
        <v>0</v>
      </c>
      <c r="O46" s="536">
        <f>IF(L46=0,0,L46/I46*100)</f>
        <v>0</v>
      </c>
      <c r="P46" s="1593"/>
      <c r="Q46" s="1612"/>
      <c r="R46" s="1600"/>
      <c r="S46" s="1610"/>
      <c r="T46" s="1610"/>
      <c r="U46" s="735"/>
      <c r="V46" s="1565"/>
      <c r="W46" s="1565"/>
      <c r="X46" s="1565"/>
      <c r="Y46" s="1613"/>
      <c r="Z46" s="1613"/>
    </row>
    <row r="47" spans="1:26" s="1570" customFormat="1" ht="40.5">
      <c r="A47" s="1788"/>
      <c r="B47" s="1691" t="s">
        <v>1619</v>
      </c>
      <c r="C47" s="1841"/>
      <c r="D47" s="1833">
        <f t="shared" si="8"/>
        <v>1000</v>
      </c>
      <c r="E47" s="854"/>
      <c r="F47" s="854">
        <v>1000</v>
      </c>
      <c r="G47" s="732">
        <f>SUM(H47:I47)</f>
        <v>0</v>
      </c>
      <c r="H47" s="854"/>
      <c r="I47" s="854"/>
      <c r="J47" s="814">
        <f>SUM(K47:L47)</f>
        <v>0</v>
      </c>
      <c r="K47" s="1677"/>
      <c r="L47" s="1677"/>
      <c r="M47" s="746">
        <f>IF(J47=0,0,J47/G47*100)</f>
        <v>0</v>
      </c>
      <c r="N47" s="536"/>
      <c r="O47" s="536"/>
      <c r="P47" s="1593"/>
      <c r="Q47" s="1612"/>
      <c r="R47" s="1600"/>
      <c r="S47" s="1610"/>
      <c r="T47" s="1610"/>
      <c r="U47" s="735"/>
      <c r="V47" s="1565"/>
      <c r="W47" s="1565"/>
      <c r="X47" s="1565"/>
      <c r="Y47" s="1613"/>
      <c r="Z47" s="1613"/>
    </row>
    <row r="48" spans="1:26" ht="43.5" customHeight="1">
      <c r="A48" s="1788" t="s">
        <v>686</v>
      </c>
      <c r="B48" s="1768" t="s">
        <v>1405</v>
      </c>
      <c r="C48" s="1841">
        <v>24366</v>
      </c>
      <c r="D48" s="1833">
        <f t="shared" si="8"/>
        <v>4500</v>
      </c>
      <c r="E48" s="854"/>
      <c r="F48" s="854">
        <v>4500</v>
      </c>
      <c r="G48" s="732">
        <f t="shared" si="11"/>
        <v>4500</v>
      </c>
      <c r="H48" s="854"/>
      <c r="I48" s="854">
        <v>4500</v>
      </c>
      <c r="J48" s="814">
        <f t="shared" si="12"/>
        <v>0</v>
      </c>
      <c r="K48" s="1677"/>
      <c r="L48" s="1677"/>
      <c r="M48" s="746">
        <f t="shared" si="3"/>
        <v>0</v>
      </c>
      <c r="N48" s="536">
        <f t="shared" si="4"/>
        <v>0</v>
      </c>
      <c r="O48" s="536">
        <f t="shared" si="5"/>
        <v>0</v>
      </c>
      <c r="P48" s="1593" t="s">
        <v>1171</v>
      </c>
      <c r="Q48" s="1593" t="s">
        <v>1111</v>
      </c>
      <c r="R48" s="1600">
        <f t="shared" si="1"/>
        <v>4725.8999999999996</v>
      </c>
      <c r="S48" s="1614">
        <v>0</v>
      </c>
      <c r="T48" s="1614">
        <v>4725.8999999999996</v>
      </c>
      <c r="U48" s="735">
        <f t="shared" si="2"/>
        <v>0</v>
      </c>
      <c r="V48" s="1565" t="s">
        <v>1429</v>
      </c>
      <c r="W48" s="1565" t="s">
        <v>1430</v>
      </c>
      <c r="X48" s="1565">
        <v>522</v>
      </c>
    </row>
    <row r="49" spans="1:26" s="1570" customFormat="1" ht="20.25">
      <c r="A49" s="1788"/>
      <c r="B49" s="1678" t="s">
        <v>12</v>
      </c>
      <c r="C49" s="1841">
        <v>24366</v>
      </c>
      <c r="D49" s="1833">
        <f t="shared" ref="D49:D74" si="20">SUM(E49:F49)</f>
        <v>6835</v>
      </c>
      <c r="E49" s="1674">
        <f>SUM(E50)</f>
        <v>0</v>
      </c>
      <c r="F49" s="1674">
        <f>SUM(F50)</f>
        <v>6835</v>
      </c>
      <c r="G49" s="732">
        <f t="shared" si="11"/>
        <v>6835</v>
      </c>
      <c r="H49" s="1674">
        <f>SUM(H50)</f>
        <v>0</v>
      </c>
      <c r="I49" s="1674">
        <f>SUM(I50)</f>
        <v>6835</v>
      </c>
      <c r="J49" s="814">
        <f t="shared" si="12"/>
        <v>0</v>
      </c>
      <c r="K49" s="534">
        <f>SUM(K50)</f>
        <v>0</v>
      </c>
      <c r="L49" s="534">
        <f>SUM(L50)</f>
        <v>0</v>
      </c>
      <c r="M49" s="746">
        <f t="shared" si="3"/>
        <v>0</v>
      </c>
      <c r="N49" s="746">
        <f t="shared" si="4"/>
        <v>0</v>
      </c>
      <c r="O49" s="746">
        <f t="shared" si="5"/>
        <v>0</v>
      </c>
      <c r="P49" s="1593" t="s">
        <v>353</v>
      </c>
      <c r="Q49" s="1612" t="s">
        <v>353</v>
      </c>
      <c r="R49" s="1600">
        <f t="shared" si="1"/>
        <v>4725.8999999999996</v>
      </c>
      <c r="S49" s="1610">
        <f>SUM(S50:S50)</f>
        <v>0</v>
      </c>
      <c r="T49" s="1610">
        <f>SUM(T50:T50)</f>
        <v>4725.8999999999996</v>
      </c>
      <c r="U49" s="735">
        <f t="shared" si="2"/>
        <v>0</v>
      </c>
      <c r="V49" s="1565" t="s">
        <v>1429</v>
      </c>
      <c r="W49" s="1565" t="s">
        <v>1430</v>
      </c>
      <c r="X49" s="1565">
        <v>522</v>
      </c>
      <c r="Y49" s="1613"/>
      <c r="Z49" s="1613"/>
    </row>
    <row r="50" spans="1:26" ht="44.25" customHeight="1">
      <c r="A50" s="1788" t="s">
        <v>688</v>
      </c>
      <c r="B50" s="1768" t="s">
        <v>1402</v>
      </c>
      <c r="C50" s="1841">
        <v>24366</v>
      </c>
      <c r="D50" s="1833">
        <f t="shared" si="20"/>
        <v>6835</v>
      </c>
      <c r="E50" s="854"/>
      <c r="F50" s="854">
        <v>6835</v>
      </c>
      <c r="G50" s="732">
        <f t="shared" si="11"/>
        <v>6835</v>
      </c>
      <c r="H50" s="854"/>
      <c r="I50" s="854">
        <v>6835</v>
      </c>
      <c r="J50" s="814">
        <f t="shared" si="12"/>
        <v>0</v>
      </c>
      <c r="K50" s="1677"/>
      <c r="L50" s="1677"/>
      <c r="M50" s="746">
        <f t="shared" si="3"/>
        <v>0</v>
      </c>
      <c r="N50" s="536">
        <f t="shared" si="4"/>
        <v>0</v>
      </c>
      <c r="O50" s="536">
        <f t="shared" si="5"/>
        <v>0</v>
      </c>
      <c r="P50" s="1593" t="s">
        <v>1171</v>
      </c>
      <c r="Q50" s="1593" t="s">
        <v>1111</v>
      </c>
      <c r="R50" s="1600">
        <f t="shared" si="1"/>
        <v>4725.8999999999996</v>
      </c>
      <c r="S50" s="1614">
        <v>0</v>
      </c>
      <c r="T50" s="1614">
        <v>4725.8999999999996</v>
      </c>
      <c r="U50" s="735">
        <f t="shared" si="2"/>
        <v>0</v>
      </c>
      <c r="V50" s="1565" t="s">
        <v>1429</v>
      </c>
      <c r="W50" s="1565" t="s">
        <v>1430</v>
      </c>
      <c r="X50" s="1565">
        <v>522</v>
      </c>
    </row>
    <row r="51" spans="1:26" s="1570" customFormat="1" ht="20.25">
      <c r="A51" s="1788"/>
      <c r="B51" s="1678" t="s">
        <v>90</v>
      </c>
      <c r="C51" s="1841">
        <v>24366</v>
      </c>
      <c r="D51" s="1833">
        <f t="shared" si="20"/>
        <v>1300</v>
      </c>
      <c r="E51" s="1674">
        <f>SUM(E52)</f>
        <v>0</v>
      </c>
      <c r="F51" s="1674">
        <f>SUM(F52)</f>
        <v>1300</v>
      </c>
      <c r="G51" s="732">
        <f t="shared" si="11"/>
        <v>1300</v>
      </c>
      <c r="H51" s="1674">
        <f>SUM(H52)</f>
        <v>0</v>
      </c>
      <c r="I51" s="1674">
        <f>SUM(I52)</f>
        <v>1300</v>
      </c>
      <c r="J51" s="814">
        <f t="shared" si="12"/>
        <v>0</v>
      </c>
      <c r="K51" s="534">
        <f>SUM(K52)</f>
        <v>0</v>
      </c>
      <c r="L51" s="534">
        <f>SUM(L52)</f>
        <v>0</v>
      </c>
      <c r="M51" s="746">
        <f t="shared" si="3"/>
        <v>0</v>
      </c>
      <c r="N51" s="746">
        <f t="shared" si="4"/>
        <v>0</v>
      </c>
      <c r="O51" s="746">
        <f t="shared" si="5"/>
        <v>0</v>
      </c>
      <c r="P51" s="1593" t="s">
        <v>353</v>
      </c>
      <c r="Q51" s="1612" t="s">
        <v>353</v>
      </c>
      <c r="R51" s="1600">
        <f t="shared" si="1"/>
        <v>4725.8999999999996</v>
      </c>
      <c r="S51" s="1610">
        <f>SUM(S52:S52)</f>
        <v>0</v>
      </c>
      <c r="T51" s="1610">
        <f>SUM(T52:T52)</f>
        <v>4725.8999999999996</v>
      </c>
      <c r="U51" s="735">
        <f t="shared" si="2"/>
        <v>0</v>
      </c>
      <c r="V51" s="1565" t="s">
        <v>1429</v>
      </c>
      <c r="W51" s="1565" t="s">
        <v>1430</v>
      </c>
      <c r="X51" s="1565">
        <v>522</v>
      </c>
      <c r="Y51" s="1613"/>
      <c r="Z51" s="1613"/>
    </row>
    <row r="52" spans="1:26" ht="69.75" customHeight="1">
      <c r="A52" s="1788" t="s">
        <v>98</v>
      </c>
      <c r="B52" s="1732" t="s">
        <v>1404</v>
      </c>
      <c r="C52" s="1841">
        <v>24366</v>
      </c>
      <c r="D52" s="1833">
        <f t="shared" si="20"/>
        <v>1300</v>
      </c>
      <c r="E52" s="854"/>
      <c r="F52" s="854">
        <v>1300</v>
      </c>
      <c r="G52" s="732">
        <f t="shared" si="11"/>
        <v>1300</v>
      </c>
      <c r="H52" s="854"/>
      <c r="I52" s="854">
        <v>1300</v>
      </c>
      <c r="J52" s="814">
        <f t="shared" si="12"/>
        <v>0</v>
      </c>
      <c r="K52" s="1677"/>
      <c r="L52" s="1677"/>
      <c r="M52" s="746">
        <f t="shared" si="3"/>
        <v>0</v>
      </c>
      <c r="N52" s="536">
        <f t="shared" si="4"/>
        <v>0</v>
      </c>
      <c r="O52" s="536">
        <f t="shared" si="5"/>
        <v>0</v>
      </c>
      <c r="P52" s="1593" t="s">
        <v>1171</v>
      </c>
      <c r="Q52" s="1593" t="s">
        <v>1111</v>
      </c>
      <c r="R52" s="1600">
        <f t="shared" si="1"/>
        <v>4725.8999999999996</v>
      </c>
      <c r="S52" s="1614">
        <v>0</v>
      </c>
      <c r="T52" s="1614">
        <v>4725.8999999999996</v>
      </c>
      <c r="U52" s="735">
        <f t="shared" si="2"/>
        <v>0</v>
      </c>
      <c r="V52" s="1565" t="s">
        <v>1429</v>
      </c>
      <c r="W52" s="1565" t="s">
        <v>1430</v>
      </c>
      <c r="X52" s="1565">
        <v>522</v>
      </c>
    </row>
    <row r="53" spans="1:26" s="1607" customFormat="1" ht="20.25">
      <c r="A53" s="1788"/>
      <c r="B53" s="1673" t="s">
        <v>1401</v>
      </c>
      <c r="C53" s="1842">
        <v>24366</v>
      </c>
      <c r="D53" s="1833">
        <f t="shared" si="20"/>
        <v>10192</v>
      </c>
      <c r="E53" s="1674">
        <f t="shared" ref="E53:O53" si="21">SUM(E54:E54)</f>
        <v>0</v>
      </c>
      <c r="F53" s="1674">
        <f t="shared" si="21"/>
        <v>10192</v>
      </c>
      <c r="G53" s="1674">
        <f t="shared" si="21"/>
        <v>10192</v>
      </c>
      <c r="H53" s="1674">
        <f t="shared" si="21"/>
        <v>0</v>
      </c>
      <c r="I53" s="1674">
        <f t="shared" si="21"/>
        <v>10192</v>
      </c>
      <c r="J53" s="1674">
        <f t="shared" si="21"/>
        <v>0</v>
      </c>
      <c r="K53" s="1674">
        <f t="shared" si="21"/>
        <v>0</v>
      </c>
      <c r="L53" s="1674">
        <f t="shared" si="21"/>
        <v>0</v>
      </c>
      <c r="M53" s="1674">
        <f t="shared" si="21"/>
        <v>0</v>
      </c>
      <c r="N53" s="1674">
        <f t="shared" si="21"/>
        <v>0</v>
      </c>
      <c r="O53" s="1674">
        <f t="shared" si="21"/>
        <v>0</v>
      </c>
      <c r="P53" s="1593" t="s">
        <v>353</v>
      </c>
      <c r="Q53" s="1593" t="s">
        <v>353</v>
      </c>
      <c r="R53" s="1600">
        <f t="shared" si="1"/>
        <v>12500</v>
      </c>
      <c r="S53" s="1601">
        <f>SUM(S29:S29)</f>
        <v>0</v>
      </c>
      <c r="T53" s="1601">
        <f>SUM(T29:T29)</f>
        <v>12500</v>
      </c>
      <c r="U53" s="735">
        <f t="shared" si="2"/>
        <v>0</v>
      </c>
      <c r="V53" s="1565" t="s">
        <v>1429</v>
      </c>
      <c r="W53" s="1565" t="s">
        <v>1430</v>
      </c>
      <c r="X53" s="1565">
        <v>522</v>
      </c>
      <c r="Y53" s="1606"/>
      <c r="Z53" s="1606"/>
    </row>
    <row r="54" spans="1:26" s="1607" customFormat="1" ht="53.25" customHeight="1">
      <c r="A54" s="1788" t="s">
        <v>99</v>
      </c>
      <c r="B54" s="1675" t="s">
        <v>1518</v>
      </c>
      <c r="C54" s="1842">
        <v>24366</v>
      </c>
      <c r="D54" s="1833">
        <f t="shared" si="20"/>
        <v>10192</v>
      </c>
      <c r="E54" s="1676"/>
      <c r="F54" s="1676">
        <v>10192</v>
      </c>
      <c r="G54" s="732">
        <f t="shared" si="11"/>
        <v>10192</v>
      </c>
      <c r="H54" s="1676"/>
      <c r="I54" s="1676">
        <v>10192</v>
      </c>
      <c r="J54" s="814">
        <f t="shared" si="12"/>
        <v>0</v>
      </c>
      <c r="K54" s="1677"/>
      <c r="L54" s="1677"/>
      <c r="M54" s="746">
        <f t="shared" si="3"/>
        <v>0</v>
      </c>
      <c r="N54" s="536">
        <f t="shared" si="4"/>
        <v>0</v>
      </c>
      <c r="O54" s="536">
        <f t="shared" si="5"/>
        <v>0</v>
      </c>
      <c r="P54" s="1593" t="s">
        <v>1171</v>
      </c>
      <c r="Q54" s="1593" t="s">
        <v>1116</v>
      </c>
      <c r="R54" s="1600">
        <f t="shared" si="1"/>
        <v>4368</v>
      </c>
      <c r="S54" s="1608">
        <v>0</v>
      </c>
      <c r="T54" s="1608">
        <v>4368</v>
      </c>
      <c r="U54" s="735">
        <f t="shared" si="2"/>
        <v>0</v>
      </c>
      <c r="V54" s="1565" t="s">
        <v>1429</v>
      </c>
      <c r="W54" s="1565" t="s">
        <v>1430</v>
      </c>
      <c r="X54" s="1565">
        <v>522</v>
      </c>
      <c r="Y54" s="1606"/>
      <c r="Z54" s="1606"/>
    </row>
    <row r="55" spans="1:26" s="1607" customFormat="1" ht="20.25">
      <c r="A55" s="1788"/>
      <c r="B55" s="1781" t="s">
        <v>1554</v>
      </c>
      <c r="C55" s="1842"/>
      <c r="D55" s="1833">
        <f t="shared" si="20"/>
        <v>13330.8</v>
      </c>
      <c r="E55" s="1674">
        <f>SUM(E56:E59)</f>
        <v>0</v>
      </c>
      <c r="F55" s="1674">
        <f t="shared" ref="F55:O55" si="22">SUM(F56:F59)</f>
        <v>13330.8</v>
      </c>
      <c r="G55" s="1674">
        <f t="shared" si="22"/>
        <v>5180</v>
      </c>
      <c r="H55" s="1674">
        <f t="shared" si="22"/>
        <v>0</v>
      </c>
      <c r="I55" s="1674">
        <f t="shared" si="22"/>
        <v>5180</v>
      </c>
      <c r="J55" s="1674">
        <f t="shared" si="22"/>
        <v>0</v>
      </c>
      <c r="K55" s="1674">
        <f t="shared" si="22"/>
        <v>0</v>
      </c>
      <c r="L55" s="1674">
        <f t="shared" si="22"/>
        <v>0</v>
      </c>
      <c r="M55" s="1674">
        <f t="shared" si="22"/>
        <v>0</v>
      </c>
      <c r="N55" s="1674">
        <f t="shared" si="22"/>
        <v>0</v>
      </c>
      <c r="O55" s="1674">
        <f t="shared" si="22"/>
        <v>0</v>
      </c>
      <c r="P55" s="1593"/>
      <c r="Q55" s="1593"/>
      <c r="R55" s="1600"/>
      <c r="S55" s="1608"/>
      <c r="T55" s="1608"/>
      <c r="U55" s="735"/>
      <c r="V55" s="1565"/>
      <c r="W55" s="1565"/>
      <c r="X55" s="1565"/>
      <c r="Y55" s="1606"/>
      <c r="Z55" s="1606"/>
    </row>
    <row r="56" spans="1:26" s="1607" customFormat="1" ht="108" customHeight="1">
      <c r="A56" s="1788"/>
      <c r="B56" s="1675" t="s">
        <v>1555</v>
      </c>
      <c r="C56" s="1842"/>
      <c r="D56" s="1833">
        <f t="shared" si="20"/>
        <v>4000</v>
      </c>
      <c r="E56" s="1676"/>
      <c r="F56" s="1676">
        <v>4000</v>
      </c>
      <c r="G56" s="732">
        <f>SUM(H56:I56)</f>
        <v>0</v>
      </c>
      <c r="H56" s="1676"/>
      <c r="I56" s="1676">
        <v>0</v>
      </c>
      <c r="J56" s="814">
        <f>SUM(K56:L56)</f>
        <v>0</v>
      </c>
      <c r="K56" s="1677"/>
      <c r="L56" s="1677"/>
      <c r="M56" s="746">
        <f>IF(J56=0,0,J56/G56*100)</f>
        <v>0</v>
      </c>
      <c r="N56" s="536">
        <f>IF(K56=0,0,K56/H56*100)</f>
        <v>0</v>
      </c>
      <c r="O56" s="536">
        <f>IF(L56=0,0,L56/I56*100)</f>
        <v>0</v>
      </c>
      <c r="P56" s="1593"/>
      <c r="Q56" s="1593"/>
      <c r="R56" s="1600"/>
      <c r="S56" s="1608"/>
      <c r="T56" s="1608"/>
      <c r="U56" s="735"/>
      <c r="V56" s="1565"/>
      <c r="W56" s="1565"/>
      <c r="X56" s="1565"/>
      <c r="Y56" s="1606"/>
      <c r="Z56" s="1606"/>
    </row>
    <row r="57" spans="1:26" s="1607" customFormat="1" ht="40.5">
      <c r="A57" s="1788"/>
      <c r="B57" s="1675" t="s">
        <v>1616</v>
      </c>
      <c r="C57" s="1842"/>
      <c r="D57" s="1833">
        <f t="shared" si="20"/>
        <v>5180</v>
      </c>
      <c r="E57" s="1676"/>
      <c r="F57" s="1676">
        <v>5180</v>
      </c>
      <c r="G57" s="732">
        <f>SUM(H57:I57)</f>
        <v>5180</v>
      </c>
      <c r="H57" s="1676"/>
      <c r="I57" s="1676">
        <v>5180</v>
      </c>
      <c r="J57" s="814">
        <f>SUM(K57:L57)</f>
        <v>0</v>
      </c>
      <c r="K57" s="1677"/>
      <c r="L57" s="1677"/>
      <c r="M57" s="746">
        <f>IF(J57=0,0,J57/G57*100)</f>
        <v>0</v>
      </c>
      <c r="N57" s="536"/>
      <c r="O57" s="536"/>
      <c r="P57" s="1593"/>
      <c r="Q57" s="1593"/>
      <c r="R57" s="1600"/>
      <c r="S57" s="1608"/>
      <c r="T57" s="1608"/>
      <c r="U57" s="735"/>
      <c r="V57" s="1565"/>
      <c r="W57" s="1565"/>
      <c r="X57" s="1565"/>
      <c r="Y57" s="1606"/>
      <c r="Z57" s="1606"/>
    </row>
    <row r="58" spans="1:26" s="1607" customFormat="1" ht="79.5" customHeight="1">
      <c r="A58" s="1788"/>
      <c r="B58" s="1675" t="s">
        <v>1614</v>
      </c>
      <c r="C58" s="1842"/>
      <c r="D58" s="1833">
        <f t="shared" si="20"/>
        <v>1000</v>
      </c>
      <c r="E58" s="1676"/>
      <c r="F58" s="1676">
        <v>1000</v>
      </c>
      <c r="G58" s="732">
        <f>SUM(H58:I58)</f>
        <v>0</v>
      </c>
      <c r="H58" s="1676"/>
      <c r="I58" s="1676">
        <v>0</v>
      </c>
      <c r="J58" s="814">
        <f>SUM(K58:L58)</f>
        <v>0</v>
      </c>
      <c r="K58" s="1677"/>
      <c r="L58" s="1677"/>
      <c r="M58" s="746">
        <f>IF(J58=0,0,J58/G58*100)</f>
        <v>0</v>
      </c>
      <c r="N58" s="536"/>
      <c r="O58" s="536"/>
      <c r="P58" s="1593"/>
      <c r="Q58" s="1593"/>
      <c r="R58" s="1600"/>
      <c r="S58" s="1608"/>
      <c r="T58" s="1608"/>
      <c r="U58" s="735"/>
      <c r="V58" s="1565"/>
      <c r="W58" s="1565"/>
      <c r="X58" s="1565"/>
      <c r="Y58" s="1606"/>
      <c r="Z58" s="1606"/>
    </row>
    <row r="59" spans="1:26" s="1607" customFormat="1" ht="40.5">
      <c r="A59" s="1788"/>
      <c r="B59" s="1675" t="s">
        <v>1556</v>
      </c>
      <c r="C59" s="1842"/>
      <c r="D59" s="1833">
        <f t="shared" si="20"/>
        <v>3150.8</v>
      </c>
      <c r="E59" s="1676"/>
      <c r="F59" s="1676">
        <v>3150.8</v>
      </c>
      <c r="G59" s="732">
        <f>SUM(H59:I59)</f>
        <v>0</v>
      </c>
      <c r="H59" s="1676"/>
      <c r="I59" s="1676">
        <v>0</v>
      </c>
      <c r="J59" s="814">
        <f>SUM(K59:L59)</f>
        <v>0</v>
      </c>
      <c r="K59" s="1677"/>
      <c r="L59" s="1677"/>
      <c r="M59" s="746">
        <f>IF(J59=0,0,J59/G59*100)</f>
        <v>0</v>
      </c>
      <c r="N59" s="536"/>
      <c r="O59" s="536"/>
      <c r="P59" s="1593"/>
      <c r="Q59" s="1593"/>
      <c r="R59" s="1600"/>
      <c r="S59" s="1608"/>
      <c r="T59" s="1608"/>
      <c r="U59" s="735"/>
      <c r="V59" s="1565"/>
      <c r="W59" s="1565"/>
      <c r="X59" s="1565"/>
      <c r="Y59" s="1606"/>
      <c r="Z59" s="1606"/>
    </row>
    <row r="60" spans="1:26" ht="20.25">
      <c r="A60" s="1788"/>
      <c r="B60" s="1673" t="s">
        <v>457</v>
      </c>
      <c r="C60" s="1840"/>
      <c r="D60" s="1826">
        <f t="shared" si="20"/>
        <v>35715.699999999997</v>
      </c>
      <c r="E60" s="539">
        <f>SUM(E61:E69)</f>
        <v>0</v>
      </c>
      <c r="F60" s="539">
        <f>SUM(F61:F69)</f>
        <v>35715.699999999997</v>
      </c>
      <c r="G60" s="732">
        <f t="shared" si="11"/>
        <v>31500</v>
      </c>
      <c r="H60" s="539">
        <f>SUM(H61:H69)</f>
        <v>0</v>
      </c>
      <c r="I60" s="539">
        <f>SUM(I61:I69)</f>
        <v>31500</v>
      </c>
      <c r="J60" s="814">
        <f t="shared" si="12"/>
        <v>0</v>
      </c>
      <c r="K60" s="539">
        <f>SUM(K61:K69)</f>
        <v>0</v>
      </c>
      <c r="L60" s="539">
        <f>SUM(L61:L69)</f>
        <v>0</v>
      </c>
      <c r="M60" s="746">
        <f t="shared" si="3"/>
        <v>0</v>
      </c>
      <c r="N60" s="536">
        <f t="shared" si="4"/>
        <v>0</v>
      </c>
      <c r="O60" s="536">
        <f t="shared" si="5"/>
        <v>0</v>
      </c>
      <c r="P60" s="1593" t="s">
        <v>353</v>
      </c>
      <c r="Q60" s="1593" t="s">
        <v>353</v>
      </c>
      <c r="R60" s="1600">
        <f t="shared" si="1"/>
        <v>10200</v>
      </c>
      <c r="S60" s="1603">
        <f>SUM(S61:S69)</f>
        <v>0</v>
      </c>
      <c r="T60" s="1603">
        <f>SUM(T61:T69)</f>
        <v>10200</v>
      </c>
      <c r="U60" s="735">
        <f t="shared" si="2"/>
        <v>4215.7</v>
      </c>
      <c r="V60" s="1565" t="s">
        <v>1429</v>
      </c>
      <c r="W60" s="1565" t="s">
        <v>1430</v>
      </c>
      <c r="X60" s="1565">
        <v>522</v>
      </c>
    </row>
    <row r="61" spans="1:26" ht="90" customHeight="1">
      <c r="A61" s="1788" t="s">
        <v>100</v>
      </c>
      <c r="B61" s="1732" t="s">
        <v>1419</v>
      </c>
      <c r="C61" s="1841">
        <v>24347</v>
      </c>
      <c r="D61" s="1826">
        <f t="shared" si="20"/>
        <v>7000</v>
      </c>
      <c r="E61" s="1676"/>
      <c r="F61" s="1676">
        <v>7000</v>
      </c>
      <c r="G61" s="732">
        <f t="shared" si="11"/>
        <v>7000</v>
      </c>
      <c r="H61" s="1676"/>
      <c r="I61" s="1676">
        <v>7000</v>
      </c>
      <c r="J61" s="534">
        <f t="shared" si="12"/>
        <v>0</v>
      </c>
      <c r="K61" s="698"/>
      <c r="L61" s="698"/>
      <c r="M61" s="746">
        <f t="shared" si="3"/>
        <v>0</v>
      </c>
      <c r="N61" s="536">
        <f t="shared" si="4"/>
        <v>0</v>
      </c>
      <c r="O61" s="536">
        <f t="shared" si="5"/>
        <v>0</v>
      </c>
      <c r="P61" s="1593" t="s">
        <v>1171</v>
      </c>
      <c r="Q61" s="1592" t="s">
        <v>1137</v>
      </c>
      <c r="R61" s="1600">
        <f t="shared" si="1"/>
        <v>3000</v>
      </c>
      <c r="S61" s="1608">
        <v>0</v>
      </c>
      <c r="T61" s="1608">
        <v>3000</v>
      </c>
      <c r="U61" s="735">
        <f t="shared" si="2"/>
        <v>0</v>
      </c>
      <c r="V61" s="1565" t="s">
        <v>1429</v>
      </c>
      <c r="W61" s="1565" t="s">
        <v>1430</v>
      </c>
      <c r="X61" s="1565">
        <v>522</v>
      </c>
    </row>
    <row r="62" spans="1:26" ht="141" customHeight="1">
      <c r="A62" s="1788"/>
      <c r="B62" s="1732" t="s">
        <v>1416</v>
      </c>
      <c r="C62" s="1841"/>
      <c r="D62" s="1826">
        <f t="shared" si="20"/>
        <v>3220</v>
      </c>
      <c r="E62" s="1676"/>
      <c r="F62" s="1676">
        <v>3220</v>
      </c>
      <c r="G62" s="732">
        <f>SUM(H62:I62)</f>
        <v>3220</v>
      </c>
      <c r="H62" s="1676"/>
      <c r="I62" s="1676">
        <v>3220</v>
      </c>
      <c r="J62" s="534">
        <f>SUM(K62:L62)</f>
        <v>0</v>
      </c>
      <c r="K62" s="698"/>
      <c r="L62" s="698"/>
      <c r="M62" s="746">
        <f t="shared" ref="M62:O64" si="23">IF(J62=0,0,J62/G62*100)</f>
        <v>0</v>
      </c>
      <c r="N62" s="536">
        <f t="shared" si="23"/>
        <v>0</v>
      </c>
      <c r="O62" s="536">
        <f t="shared" si="23"/>
        <v>0</v>
      </c>
      <c r="P62" s="1593"/>
      <c r="Q62" s="1592"/>
      <c r="R62" s="1600"/>
      <c r="S62" s="1608"/>
      <c r="T62" s="1608"/>
      <c r="U62" s="735"/>
    </row>
    <row r="63" spans="1:26" ht="119.25" customHeight="1">
      <c r="A63" s="1788"/>
      <c r="B63" s="1732" t="s">
        <v>1415</v>
      </c>
      <c r="C63" s="1841"/>
      <c r="D63" s="1826">
        <f t="shared" si="20"/>
        <v>4480</v>
      </c>
      <c r="E63" s="1676"/>
      <c r="F63" s="1676">
        <v>4480</v>
      </c>
      <c r="G63" s="732">
        <f>SUM(H63:I63)</f>
        <v>4480</v>
      </c>
      <c r="H63" s="1676"/>
      <c r="I63" s="1676">
        <v>4480</v>
      </c>
      <c r="J63" s="534">
        <f>SUM(K63:L63)</f>
        <v>0</v>
      </c>
      <c r="K63" s="698"/>
      <c r="L63" s="698"/>
      <c r="M63" s="746">
        <f t="shared" si="23"/>
        <v>0</v>
      </c>
      <c r="N63" s="536">
        <f t="shared" si="23"/>
        <v>0</v>
      </c>
      <c r="O63" s="536">
        <f t="shared" si="23"/>
        <v>0</v>
      </c>
      <c r="P63" s="1593"/>
      <c r="Q63" s="1592"/>
      <c r="R63" s="1600"/>
      <c r="S63" s="1608"/>
      <c r="T63" s="1608"/>
      <c r="U63" s="735"/>
    </row>
    <row r="64" spans="1:26" ht="60.75">
      <c r="A64" s="1788"/>
      <c r="B64" s="1732" t="s">
        <v>1560</v>
      </c>
      <c r="C64" s="1841"/>
      <c r="D64" s="1833">
        <f t="shared" si="20"/>
        <v>2446</v>
      </c>
      <c r="E64" s="1676"/>
      <c r="F64" s="1676">
        <v>2446</v>
      </c>
      <c r="G64" s="732">
        <f>SUM(H64:I64)</f>
        <v>0</v>
      </c>
      <c r="H64" s="1676"/>
      <c r="I64" s="1676">
        <v>0</v>
      </c>
      <c r="J64" s="534">
        <f>SUM(K64:L64)</f>
        <v>0</v>
      </c>
      <c r="K64" s="698"/>
      <c r="L64" s="698"/>
      <c r="M64" s="746">
        <f t="shared" si="23"/>
        <v>0</v>
      </c>
      <c r="N64" s="536">
        <f t="shared" si="23"/>
        <v>0</v>
      </c>
      <c r="O64" s="536">
        <f t="shared" si="23"/>
        <v>0</v>
      </c>
      <c r="P64" s="1593"/>
      <c r="Q64" s="1592"/>
      <c r="R64" s="1600"/>
      <c r="S64" s="1608"/>
      <c r="T64" s="1608"/>
      <c r="U64" s="735"/>
    </row>
    <row r="65" spans="1:26" ht="105.75" customHeight="1">
      <c r="A65" s="1788" t="s">
        <v>101</v>
      </c>
      <c r="B65" s="1732" t="s">
        <v>1417</v>
      </c>
      <c r="C65" s="1841">
        <v>24347</v>
      </c>
      <c r="D65" s="1826">
        <f t="shared" si="20"/>
        <v>7000</v>
      </c>
      <c r="E65" s="1676"/>
      <c r="F65" s="1676">
        <v>7000</v>
      </c>
      <c r="G65" s="732">
        <f t="shared" si="11"/>
        <v>7000</v>
      </c>
      <c r="H65" s="1676"/>
      <c r="I65" s="1676">
        <v>7000</v>
      </c>
      <c r="J65" s="534">
        <f t="shared" si="12"/>
        <v>0</v>
      </c>
      <c r="K65" s="698"/>
      <c r="L65" s="698"/>
      <c r="M65" s="746">
        <f t="shared" si="3"/>
        <v>0</v>
      </c>
      <c r="N65" s="536">
        <f t="shared" si="4"/>
        <v>0</v>
      </c>
      <c r="O65" s="536">
        <f t="shared" si="5"/>
        <v>0</v>
      </c>
      <c r="P65" s="1593" t="s">
        <v>1171</v>
      </c>
      <c r="Q65" s="1592" t="s">
        <v>1137</v>
      </c>
      <c r="R65" s="1600">
        <f t="shared" si="1"/>
        <v>3000</v>
      </c>
      <c r="S65" s="1608">
        <v>0</v>
      </c>
      <c r="T65" s="1608">
        <v>3000</v>
      </c>
      <c r="U65" s="735">
        <f t="shared" si="2"/>
        <v>0</v>
      </c>
      <c r="V65" s="1565" t="s">
        <v>1429</v>
      </c>
      <c r="W65" s="1565" t="s">
        <v>1430</v>
      </c>
      <c r="X65" s="1565">
        <v>522</v>
      </c>
    </row>
    <row r="66" spans="1:26" ht="105.75" customHeight="1">
      <c r="A66" s="1788" t="s">
        <v>102</v>
      </c>
      <c r="B66" s="1732" t="s">
        <v>1418</v>
      </c>
      <c r="C66" s="1841">
        <v>24347</v>
      </c>
      <c r="D66" s="1826">
        <f t="shared" si="20"/>
        <v>2100</v>
      </c>
      <c r="E66" s="1676"/>
      <c r="F66" s="1676">
        <v>2100</v>
      </c>
      <c r="G66" s="732">
        <f t="shared" si="11"/>
        <v>2100</v>
      </c>
      <c r="H66" s="1676"/>
      <c r="I66" s="1676">
        <v>2100</v>
      </c>
      <c r="J66" s="534">
        <f t="shared" si="12"/>
        <v>0</v>
      </c>
      <c r="K66" s="698"/>
      <c r="L66" s="698"/>
      <c r="M66" s="746">
        <f t="shared" si="3"/>
        <v>0</v>
      </c>
      <c r="N66" s="536">
        <f t="shared" si="4"/>
        <v>0</v>
      </c>
      <c r="O66" s="536">
        <f t="shared" si="5"/>
        <v>0</v>
      </c>
      <c r="P66" s="1593" t="s">
        <v>1171</v>
      </c>
      <c r="Q66" s="1592" t="s">
        <v>1137</v>
      </c>
      <c r="R66" s="1600">
        <f t="shared" si="1"/>
        <v>900</v>
      </c>
      <c r="S66" s="1608">
        <v>0</v>
      </c>
      <c r="T66" s="1608">
        <v>900</v>
      </c>
      <c r="U66" s="735">
        <f t="shared" si="2"/>
        <v>0</v>
      </c>
      <c r="V66" s="1565" t="s">
        <v>1429</v>
      </c>
      <c r="W66" s="1565" t="s">
        <v>1430</v>
      </c>
      <c r="X66" s="1565">
        <v>522</v>
      </c>
    </row>
    <row r="67" spans="1:26" ht="50.25" customHeight="1">
      <c r="A67" s="1788"/>
      <c r="B67" s="1732" t="s">
        <v>1615</v>
      </c>
      <c r="C67" s="1841"/>
      <c r="D67" s="1833">
        <f t="shared" si="20"/>
        <v>1769.7</v>
      </c>
      <c r="E67" s="1676"/>
      <c r="F67" s="1676">
        <v>1769.7</v>
      </c>
      <c r="G67" s="732">
        <f>SUM(H67:I67)</f>
        <v>0</v>
      </c>
      <c r="H67" s="1676"/>
      <c r="I67" s="1676">
        <v>0</v>
      </c>
      <c r="J67" s="534">
        <f>SUM(K67:L67)</f>
        <v>0</v>
      </c>
      <c r="K67" s="698"/>
      <c r="L67" s="698"/>
      <c r="M67" s="746">
        <f>IF(J67=0,0,J67/G67*100)</f>
        <v>0</v>
      </c>
      <c r="N67" s="536">
        <f>IF(K67=0,0,K67/H67*100)</f>
        <v>0</v>
      </c>
      <c r="O67" s="536">
        <f>IF(L67=0,0,L67/I67*100)</f>
        <v>0</v>
      </c>
      <c r="P67" s="1593"/>
      <c r="Q67" s="1592"/>
      <c r="R67" s="1600"/>
      <c r="S67" s="1608"/>
      <c r="T67" s="1608"/>
      <c r="U67" s="735"/>
    </row>
    <row r="68" spans="1:26" ht="134.25" customHeight="1">
      <c r="A68" s="1788" t="s">
        <v>103</v>
      </c>
      <c r="B68" s="1771" t="s">
        <v>1415</v>
      </c>
      <c r="C68" s="1842">
        <v>24355</v>
      </c>
      <c r="D68" s="1826">
        <f t="shared" si="20"/>
        <v>4480</v>
      </c>
      <c r="E68" s="1676"/>
      <c r="F68" s="1676">
        <v>4480</v>
      </c>
      <c r="G68" s="732">
        <f t="shared" si="11"/>
        <v>4480</v>
      </c>
      <c r="H68" s="1676"/>
      <c r="I68" s="1676">
        <v>4480</v>
      </c>
      <c r="J68" s="534">
        <f t="shared" si="12"/>
        <v>0</v>
      </c>
      <c r="K68" s="698"/>
      <c r="L68" s="698"/>
      <c r="M68" s="746">
        <f t="shared" si="3"/>
        <v>0</v>
      </c>
      <c r="N68" s="536">
        <f t="shared" si="4"/>
        <v>0</v>
      </c>
      <c r="O68" s="536">
        <f t="shared" si="5"/>
        <v>0</v>
      </c>
      <c r="P68" s="1593" t="s">
        <v>1171</v>
      </c>
      <c r="Q68" s="2550" t="s">
        <v>1138</v>
      </c>
      <c r="R68" s="1600">
        <f t="shared" si="1"/>
        <v>1920</v>
      </c>
      <c r="S68" s="1608">
        <v>0</v>
      </c>
      <c r="T68" s="1608">
        <v>1920</v>
      </c>
      <c r="U68" s="735">
        <f t="shared" si="2"/>
        <v>0</v>
      </c>
      <c r="V68" s="1565" t="s">
        <v>1428</v>
      </c>
      <c r="W68" s="1565" t="s">
        <v>1433</v>
      </c>
      <c r="X68" s="1565">
        <v>522</v>
      </c>
    </row>
    <row r="69" spans="1:26" ht="134.25" customHeight="1">
      <c r="A69" s="1788" t="s">
        <v>107</v>
      </c>
      <c r="B69" s="1771" t="s">
        <v>1416</v>
      </c>
      <c r="C69" s="1842">
        <v>24355</v>
      </c>
      <c r="D69" s="1826">
        <f t="shared" si="20"/>
        <v>3220</v>
      </c>
      <c r="E69" s="1676"/>
      <c r="F69" s="1676">
        <v>3220</v>
      </c>
      <c r="G69" s="732">
        <f t="shared" si="11"/>
        <v>3220</v>
      </c>
      <c r="H69" s="1676"/>
      <c r="I69" s="1676">
        <v>3220</v>
      </c>
      <c r="J69" s="534">
        <f t="shared" si="12"/>
        <v>0</v>
      </c>
      <c r="K69" s="698"/>
      <c r="L69" s="698"/>
      <c r="M69" s="746">
        <f t="shared" si="3"/>
        <v>0</v>
      </c>
      <c r="N69" s="536">
        <f t="shared" si="4"/>
        <v>0</v>
      </c>
      <c r="O69" s="536">
        <f t="shared" si="5"/>
        <v>0</v>
      </c>
      <c r="P69" s="1593" t="s">
        <v>1171</v>
      </c>
      <c r="Q69" s="2550"/>
      <c r="R69" s="1600">
        <f t="shared" si="1"/>
        <v>1380</v>
      </c>
      <c r="S69" s="1608">
        <v>0</v>
      </c>
      <c r="T69" s="1608">
        <v>1380</v>
      </c>
      <c r="U69" s="735">
        <f t="shared" si="2"/>
        <v>0</v>
      </c>
      <c r="V69" s="1565" t="s">
        <v>1428</v>
      </c>
      <c r="W69" s="1565" t="s">
        <v>1433</v>
      </c>
      <c r="X69" s="1565">
        <v>522</v>
      </c>
    </row>
    <row r="70" spans="1:26" s="1607" customFormat="1" ht="20.25">
      <c r="A70" s="1788"/>
      <c r="B70" s="1673" t="s">
        <v>1400</v>
      </c>
      <c r="C70" s="1840"/>
      <c r="D70" s="1833">
        <f t="shared" si="20"/>
        <v>27093.599999999999</v>
      </c>
      <c r="E70" s="1674">
        <f>SUM(E71:E73)</f>
        <v>0</v>
      </c>
      <c r="F70" s="1674">
        <f>SUM(F71:F73)</f>
        <v>27093.599999999999</v>
      </c>
      <c r="G70" s="732">
        <f t="shared" si="11"/>
        <v>27093.599999999999</v>
      </c>
      <c r="H70" s="1674">
        <f>SUM(H71:H73)</f>
        <v>0</v>
      </c>
      <c r="I70" s="1674">
        <f>SUM(I71:I73)</f>
        <v>27093.599999999999</v>
      </c>
      <c r="J70" s="814">
        <f t="shared" si="12"/>
        <v>0</v>
      </c>
      <c r="K70" s="539">
        <f>SUM(K71:K73)</f>
        <v>0</v>
      </c>
      <c r="L70" s="539">
        <f>SUM(L71:L73)</f>
        <v>0</v>
      </c>
      <c r="M70" s="746">
        <f t="shared" si="3"/>
        <v>0</v>
      </c>
      <c r="N70" s="536">
        <f t="shared" si="4"/>
        <v>0</v>
      </c>
      <c r="O70" s="536">
        <f t="shared" si="5"/>
        <v>0</v>
      </c>
      <c r="P70" s="1593" t="s">
        <v>353</v>
      </c>
      <c r="Q70" s="1593" t="s">
        <v>353</v>
      </c>
      <c r="R70" s="1600" t="e">
        <f t="shared" si="1"/>
        <v>#REF!</v>
      </c>
      <c r="S70" s="1601" t="e">
        <f>SUM(#REF!)</f>
        <v>#REF!</v>
      </c>
      <c r="T70" s="1601" t="e">
        <f>SUM(#REF!)</f>
        <v>#REF!</v>
      </c>
      <c r="U70" s="735">
        <f t="shared" si="2"/>
        <v>0</v>
      </c>
      <c r="V70" s="1565"/>
      <c r="W70" s="1565"/>
      <c r="X70" s="1605"/>
      <c r="Y70" s="1606"/>
      <c r="Z70" s="1606"/>
    </row>
    <row r="71" spans="1:26" s="1607" customFormat="1" ht="44.25" customHeight="1">
      <c r="A71" s="1788" t="s">
        <v>108</v>
      </c>
      <c r="B71" s="1675" t="s">
        <v>1398</v>
      </c>
      <c r="C71" s="1842">
        <v>24366</v>
      </c>
      <c r="D71" s="1833">
        <f t="shared" si="20"/>
        <v>7000</v>
      </c>
      <c r="E71" s="1676"/>
      <c r="F71" s="1676">
        <v>7000</v>
      </c>
      <c r="G71" s="732">
        <f t="shared" si="11"/>
        <v>7000</v>
      </c>
      <c r="H71" s="1676"/>
      <c r="I71" s="1676">
        <v>7000</v>
      </c>
      <c r="J71" s="814">
        <f t="shared" si="12"/>
        <v>0</v>
      </c>
      <c r="K71" s="1677"/>
      <c r="L71" s="1677"/>
      <c r="M71" s="746">
        <f t="shared" si="3"/>
        <v>0</v>
      </c>
      <c r="N71" s="536">
        <f t="shared" si="4"/>
        <v>0</v>
      </c>
      <c r="O71" s="536">
        <f t="shared" si="5"/>
        <v>0</v>
      </c>
      <c r="P71" s="1593" t="s">
        <v>1171</v>
      </c>
      <c r="Q71" s="1593" t="s">
        <v>1116</v>
      </c>
      <c r="R71" s="1600">
        <f t="shared" si="1"/>
        <v>3000</v>
      </c>
      <c r="S71" s="1608">
        <v>0</v>
      </c>
      <c r="T71" s="1608">
        <v>3000</v>
      </c>
      <c r="U71" s="735">
        <f t="shared" si="2"/>
        <v>0</v>
      </c>
      <c r="V71" s="1565" t="s">
        <v>1429</v>
      </c>
      <c r="W71" s="1565" t="s">
        <v>1430</v>
      </c>
      <c r="X71" s="1565">
        <v>522</v>
      </c>
      <c r="Y71" s="1606"/>
      <c r="Z71" s="1606"/>
    </row>
    <row r="72" spans="1:26" s="1607" customFormat="1" ht="53.25" customHeight="1">
      <c r="A72" s="1788" t="s">
        <v>109</v>
      </c>
      <c r="B72" s="1675" t="s">
        <v>1413</v>
      </c>
      <c r="C72" s="1842">
        <v>24366</v>
      </c>
      <c r="D72" s="1833">
        <f t="shared" si="20"/>
        <v>6338.1</v>
      </c>
      <c r="E72" s="1676"/>
      <c r="F72" s="701">
        <v>6338.1</v>
      </c>
      <c r="G72" s="732">
        <f t="shared" si="11"/>
        <v>6338.1</v>
      </c>
      <c r="H72" s="1676"/>
      <c r="I72" s="701">
        <v>6338.1</v>
      </c>
      <c r="J72" s="814">
        <f t="shared" si="12"/>
        <v>0</v>
      </c>
      <c r="K72" s="1677"/>
      <c r="L72" s="1677"/>
      <c r="M72" s="746">
        <f t="shared" si="3"/>
        <v>0</v>
      </c>
      <c r="N72" s="536">
        <f t="shared" si="4"/>
        <v>0</v>
      </c>
      <c r="O72" s="536">
        <f t="shared" si="5"/>
        <v>0</v>
      </c>
      <c r="P72" s="1593" t="s">
        <v>1171</v>
      </c>
      <c r="Q72" s="1593" t="s">
        <v>1116</v>
      </c>
      <c r="R72" s="1600">
        <f t="shared" si="1"/>
        <v>2716.4</v>
      </c>
      <c r="S72" s="1608">
        <v>0</v>
      </c>
      <c r="T72" s="1617">
        <v>2716.4</v>
      </c>
      <c r="U72" s="735">
        <f t="shared" si="2"/>
        <v>0</v>
      </c>
      <c r="V72" s="1565" t="s">
        <v>1429</v>
      </c>
      <c r="W72" s="1565" t="s">
        <v>1430</v>
      </c>
      <c r="X72" s="1565">
        <v>522</v>
      </c>
      <c r="Y72" s="1606"/>
      <c r="Z72" s="1606"/>
    </row>
    <row r="73" spans="1:26" s="1607" customFormat="1" ht="52.5" customHeight="1">
      <c r="A73" s="1788" t="s">
        <v>117</v>
      </c>
      <c r="B73" s="1768" t="s">
        <v>1414</v>
      </c>
      <c r="C73" s="1841">
        <v>24366</v>
      </c>
      <c r="D73" s="1833">
        <f t="shared" si="20"/>
        <v>13755.5</v>
      </c>
      <c r="E73" s="1676"/>
      <c r="F73" s="701">
        <v>13755.5</v>
      </c>
      <c r="G73" s="732">
        <f t="shared" si="11"/>
        <v>13755.5</v>
      </c>
      <c r="H73" s="1676"/>
      <c r="I73" s="701">
        <v>13755.5</v>
      </c>
      <c r="J73" s="814">
        <f t="shared" si="12"/>
        <v>0</v>
      </c>
      <c r="K73" s="1677"/>
      <c r="L73" s="1677"/>
      <c r="M73" s="746">
        <f t="shared" si="3"/>
        <v>0</v>
      </c>
      <c r="N73" s="536">
        <f t="shared" si="4"/>
        <v>0</v>
      </c>
      <c r="O73" s="536">
        <f t="shared" si="5"/>
        <v>0</v>
      </c>
      <c r="P73" s="1593" t="s">
        <v>1171</v>
      </c>
      <c r="Q73" s="1593" t="s">
        <v>1116</v>
      </c>
      <c r="R73" s="1600">
        <f t="shared" si="1"/>
        <v>2716.4</v>
      </c>
      <c r="S73" s="1608">
        <v>0</v>
      </c>
      <c r="T73" s="1617">
        <v>2716.4</v>
      </c>
      <c r="U73" s="735">
        <f t="shared" si="2"/>
        <v>0</v>
      </c>
      <c r="V73" s="1565" t="s">
        <v>1429</v>
      </c>
      <c r="W73" s="1565" t="s">
        <v>1430</v>
      </c>
      <c r="X73" s="1565">
        <v>522</v>
      </c>
      <c r="Y73" s="1606"/>
      <c r="Z73" s="1606"/>
    </row>
    <row r="74" spans="1:26" ht="31.5" customHeight="1">
      <c r="A74" s="1787" t="s">
        <v>254</v>
      </c>
      <c r="B74" s="1668" t="s">
        <v>1394</v>
      </c>
      <c r="C74" s="1839"/>
      <c r="D74" s="1828">
        <f t="shared" si="20"/>
        <v>1221223.1000000001</v>
      </c>
      <c r="E74" s="1685">
        <f>SUM(E75+E81)</f>
        <v>1153608.6000000001</v>
      </c>
      <c r="F74" s="1685">
        <f t="shared" ref="F74:O74" si="24">SUM(F75+F81)</f>
        <v>67614.5</v>
      </c>
      <c r="G74" s="1685">
        <f t="shared" si="24"/>
        <v>1081012.2</v>
      </c>
      <c r="H74" s="1685">
        <f t="shared" si="24"/>
        <v>1050140.5</v>
      </c>
      <c r="I74" s="1685">
        <f t="shared" si="24"/>
        <v>30871.7</v>
      </c>
      <c r="J74" s="1685">
        <f t="shared" si="24"/>
        <v>11565.6</v>
      </c>
      <c r="K74" s="1685">
        <f t="shared" si="24"/>
        <v>11449.9</v>
      </c>
      <c r="L74" s="1685">
        <f t="shared" si="24"/>
        <v>115.7</v>
      </c>
      <c r="M74" s="1685">
        <f t="shared" si="24"/>
        <v>1.3</v>
      </c>
      <c r="N74" s="1685">
        <f t="shared" si="24"/>
        <v>1.3</v>
      </c>
      <c r="O74" s="1685">
        <f t="shared" si="24"/>
        <v>1.3</v>
      </c>
      <c r="P74" s="1599" t="s">
        <v>353</v>
      </c>
      <c r="Q74" s="1599" t="s">
        <v>353</v>
      </c>
      <c r="R74" s="1598" t="e">
        <f t="shared" si="1"/>
        <v>#REF!</v>
      </c>
      <c r="S74" s="1598" t="e">
        <f>SUM(#REF!,#REF!,S49,#REF!,#REF!,#REF!,S34,#REF!,#REF!,S22,S72,S54,#REF!,#REF!,#REF!)</f>
        <v>#REF!</v>
      </c>
      <c r="T74" s="1598" t="e">
        <f>SUM(#REF!,#REF!,T49,#REF!,#REF!,#REF!,T34,#REF!,#REF!,T22,T72,T54,#REF!,#REF!,#REF!)</f>
        <v>#REF!</v>
      </c>
      <c r="U74" s="735">
        <f t="shared" si="2"/>
        <v>140210.9</v>
      </c>
    </row>
    <row r="75" spans="1:26" ht="42" customHeight="1">
      <c r="A75" s="1787" t="s">
        <v>1519</v>
      </c>
      <c r="B75" s="1687" t="s">
        <v>1395</v>
      </c>
      <c r="C75" s="1843"/>
      <c r="D75" s="1825">
        <f t="shared" ref="D75:D91" si="25">SUM(E75:F75)</f>
        <v>1080624.8</v>
      </c>
      <c r="E75" s="1688">
        <f>E76+E79</f>
        <v>1061539.8999999999</v>
      </c>
      <c r="F75" s="1688">
        <f t="shared" ref="F75:U75" si="26">F76+F79</f>
        <v>19084.900000000001</v>
      </c>
      <c r="G75" s="1688">
        <f t="shared" si="26"/>
        <v>976112.5</v>
      </c>
      <c r="H75" s="1688">
        <f t="shared" si="26"/>
        <v>958071.8</v>
      </c>
      <c r="I75" s="1688">
        <f t="shared" si="26"/>
        <v>18040.7</v>
      </c>
      <c r="J75" s="1688">
        <f t="shared" si="26"/>
        <v>11565.6</v>
      </c>
      <c r="K75" s="1688">
        <f t="shared" si="26"/>
        <v>11449.9</v>
      </c>
      <c r="L75" s="1688">
        <f t="shared" si="26"/>
        <v>115.7</v>
      </c>
      <c r="M75" s="1688">
        <f t="shared" si="26"/>
        <v>1.3</v>
      </c>
      <c r="N75" s="1688">
        <f t="shared" si="26"/>
        <v>1.3</v>
      </c>
      <c r="O75" s="1688">
        <f t="shared" si="26"/>
        <v>1.3</v>
      </c>
      <c r="P75" s="1688" t="e">
        <f t="shared" si="26"/>
        <v>#VALUE!</v>
      </c>
      <c r="Q75" s="1688" t="e">
        <f t="shared" si="26"/>
        <v>#VALUE!</v>
      </c>
      <c r="R75" s="1688" t="e">
        <f t="shared" si="26"/>
        <v>#REF!</v>
      </c>
      <c r="S75" s="1688" t="e">
        <f t="shared" si="26"/>
        <v>#REF!</v>
      </c>
      <c r="T75" s="1688" t="e">
        <f t="shared" si="26"/>
        <v>#REF!</v>
      </c>
      <c r="U75" s="1688">
        <f t="shared" si="26"/>
        <v>0</v>
      </c>
      <c r="V75" s="1618"/>
      <c r="W75" s="1618"/>
      <c r="X75" s="1618"/>
    </row>
    <row r="76" spans="1:26" ht="31.5" customHeight="1">
      <c r="A76" s="1787"/>
      <c r="B76" s="1687" t="s">
        <v>1396</v>
      </c>
      <c r="C76" s="1843"/>
      <c r="D76" s="1825">
        <f>SUM(E76:F76)</f>
        <v>110087.9</v>
      </c>
      <c r="E76" s="1688">
        <f>E77</f>
        <v>100722.4</v>
      </c>
      <c r="F76" s="1688">
        <f t="shared" ref="F76:U76" si="27">F77</f>
        <v>9365.5</v>
      </c>
      <c r="G76" s="1688">
        <f t="shared" si="27"/>
        <v>110087.9</v>
      </c>
      <c r="H76" s="1688">
        <f t="shared" si="27"/>
        <v>100722.4</v>
      </c>
      <c r="I76" s="1688">
        <f t="shared" si="27"/>
        <v>9365.5</v>
      </c>
      <c r="J76" s="1688">
        <f t="shared" si="27"/>
        <v>0</v>
      </c>
      <c r="K76" s="1688">
        <f t="shared" si="27"/>
        <v>0</v>
      </c>
      <c r="L76" s="1688">
        <f t="shared" si="27"/>
        <v>0</v>
      </c>
      <c r="M76" s="1688">
        <f t="shared" si="27"/>
        <v>0</v>
      </c>
      <c r="N76" s="1688">
        <f t="shared" si="27"/>
        <v>0</v>
      </c>
      <c r="O76" s="1688">
        <f t="shared" si="27"/>
        <v>0</v>
      </c>
      <c r="P76" s="1688" t="str">
        <f t="shared" si="27"/>
        <v>х</v>
      </c>
      <c r="Q76" s="1688" t="str">
        <f t="shared" si="27"/>
        <v>х</v>
      </c>
      <c r="R76" s="1688" t="e">
        <f t="shared" si="27"/>
        <v>#REF!</v>
      </c>
      <c r="S76" s="1688" t="e">
        <f t="shared" si="27"/>
        <v>#REF!</v>
      </c>
      <c r="T76" s="1688" t="e">
        <f t="shared" si="27"/>
        <v>#REF!</v>
      </c>
      <c r="U76" s="1688">
        <f t="shared" si="27"/>
        <v>0</v>
      </c>
    </row>
    <row r="77" spans="1:26" ht="20.25">
      <c r="A77" s="1788"/>
      <c r="B77" s="1673" t="s">
        <v>457</v>
      </c>
      <c r="C77" s="1840"/>
      <c r="D77" s="1833">
        <f t="shared" si="25"/>
        <v>110087.9</v>
      </c>
      <c r="E77" s="539">
        <f>SUM(E78)</f>
        <v>100722.4</v>
      </c>
      <c r="F77" s="539">
        <f>SUM(F78)</f>
        <v>9365.5</v>
      </c>
      <c r="G77" s="732">
        <f>SUM(H77:I77)</f>
        <v>110087.9</v>
      </c>
      <c r="H77" s="539">
        <f>SUM(H78)</f>
        <v>100722.4</v>
      </c>
      <c r="I77" s="539">
        <f>SUM(I78)</f>
        <v>9365.5</v>
      </c>
      <c r="J77" s="732">
        <f>SUM(K77:L77)</f>
        <v>0</v>
      </c>
      <c r="K77" s="539">
        <f>SUM(K78)</f>
        <v>0</v>
      </c>
      <c r="L77" s="539">
        <f>SUM(L78)</f>
        <v>0</v>
      </c>
      <c r="M77" s="746">
        <f t="shared" si="3"/>
        <v>0</v>
      </c>
      <c r="N77" s="536">
        <f t="shared" si="4"/>
        <v>0</v>
      </c>
      <c r="O77" s="536">
        <f t="shared" si="5"/>
        <v>0</v>
      </c>
      <c r="P77" s="1593" t="s">
        <v>353</v>
      </c>
      <c r="Q77" s="1593" t="s">
        <v>353</v>
      </c>
      <c r="R77" s="1600" t="e">
        <f>SUM(S77:T77)</f>
        <v>#REF!</v>
      </c>
      <c r="S77" s="1603" t="e">
        <f>SUM(S78:S89)</f>
        <v>#REF!</v>
      </c>
      <c r="T77" s="1603" t="e">
        <f>SUM(T78:T89)</f>
        <v>#REF!</v>
      </c>
      <c r="U77" s="735">
        <f>D77-G77</f>
        <v>0</v>
      </c>
      <c r="V77" s="1565" t="s">
        <v>1429</v>
      </c>
      <c r="W77" s="1565" t="s">
        <v>1430</v>
      </c>
      <c r="X77" s="1565">
        <v>522</v>
      </c>
    </row>
    <row r="78" spans="1:26" s="484" customFormat="1" ht="69" customHeight="1">
      <c r="A78" s="1788" t="s">
        <v>118</v>
      </c>
      <c r="B78" s="1691" t="s">
        <v>1392</v>
      </c>
      <c r="C78" s="1844" t="s">
        <v>1539</v>
      </c>
      <c r="D78" s="1833">
        <f t="shared" si="25"/>
        <v>110087.9</v>
      </c>
      <c r="E78" s="854">
        <v>100722.4</v>
      </c>
      <c r="F78" s="854">
        <v>9365.5</v>
      </c>
      <c r="G78" s="732">
        <f>SUM(H78:I78)</f>
        <v>110087.9</v>
      </c>
      <c r="H78" s="854">
        <v>100722.4</v>
      </c>
      <c r="I78" s="854">
        <v>9365.5</v>
      </c>
      <c r="J78" s="732">
        <f>SUM(K78:L78)</f>
        <v>0</v>
      </c>
      <c r="K78" s="802"/>
      <c r="L78" s="802"/>
      <c r="M78" s="733">
        <f t="shared" si="3"/>
        <v>0</v>
      </c>
      <c r="N78" s="734">
        <f t="shared" si="4"/>
        <v>0</v>
      </c>
      <c r="O78" s="734">
        <f t="shared" si="5"/>
        <v>0</v>
      </c>
      <c r="P78" s="1593" t="s">
        <v>1171</v>
      </c>
      <c r="Q78" s="1593" t="s">
        <v>1107</v>
      </c>
      <c r="R78" s="1600">
        <f>SUM(S78:T78)</f>
        <v>43468.4</v>
      </c>
      <c r="S78" s="1614">
        <v>43033.7</v>
      </c>
      <c r="T78" s="1614">
        <v>434.7</v>
      </c>
      <c r="U78" s="735">
        <f>D78-G78</f>
        <v>0</v>
      </c>
      <c r="V78" s="1565" t="s">
        <v>1428</v>
      </c>
      <c r="W78" s="1565" t="s">
        <v>1432</v>
      </c>
      <c r="X78" s="1605">
        <v>522</v>
      </c>
      <c r="Y78" s="1606"/>
      <c r="Z78" s="1606"/>
    </row>
    <row r="79" spans="1:26" ht="32.25" customHeight="1">
      <c r="A79" s="1787"/>
      <c r="B79" s="1687" t="s">
        <v>1410</v>
      </c>
      <c r="C79" s="1843"/>
      <c r="D79" s="1827">
        <f t="shared" si="25"/>
        <v>970536.9</v>
      </c>
      <c r="E79" s="1761">
        <f>SUM(E80)</f>
        <v>960817.5</v>
      </c>
      <c r="F79" s="1761">
        <f t="shared" ref="F79:O79" si="28">SUM(F80)</f>
        <v>9719.4</v>
      </c>
      <c r="G79" s="1761">
        <f t="shared" si="28"/>
        <v>866024.6</v>
      </c>
      <c r="H79" s="1761">
        <f t="shared" si="28"/>
        <v>857349.4</v>
      </c>
      <c r="I79" s="1761">
        <f t="shared" si="28"/>
        <v>8675.2000000000007</v>
      </c>
      <c r="J79" s="1761">
        <f t="shared" si="28"/>
        <v>11565.6</v>
      </c>
      <c r="K79" s="1761">
        <f t="shared" si="28"/>
        <v>11449.9</v>
      </c>
      <c r="L79" s="1761">
        <f t="shared" si="28"/>
        <v>115.7</v>
      </c>
      <c r="M79" s="1761">
        <f t="shared" si="28"/>
        <v>1.3</v>
      </c>
      <c r="N79" s="1761">
        <f t="shared" si="28"/>
        <v>1.3</v>
      </c>
      <c r="O79" s="1761">
        <f t="shared" si="28"/>
        <v>1.3</v>
      </c>
      <c r="P79" s="1599"/>
      <c r="Q79" s="1599"/>
      <c r="R79" s="1598"/>
      <c r="S79" s="1598"/>
      <c r="T79" s="1598"/>
      <c r="U79" s="735"/>
    </row>
    <row r="80" spans="1:26" s="484" customFormat="1" ht="156" customHeight="1">
      <c r="A80" s="1788" t="s">
        <v>154</v>
      </c>
      <c r="B80" s="1691" t="s">
        <v>1412</v>
      </c>
      <c r="C80" s="1844" t="s">
        <v>1551</v>
      </c>
      <c r="D80" s="1826">
        <f t="shared" si="25"/>
        <v>970536.9</v>
      </c>
      <c r="E80" s="854">
        <v>960817.5</v>
      </c>
      <c r="F80" s="854">
        <v>9719.4</v>
      </c>
      <c r="G80" s="732">
        <f>SUM(H80:I80)</f>
        <v>866024.6</v>
      </c>
      <c r="H80" s="854">
        <v>857349.4</v>
      </c>
      <c r="I80" s="854">
        <v>8675.2000000000007</v>
      </c>
      <c r="J80" s="732">
        <f>SUM(K80:L80)</f>
        <v>11565.6</v>
      </c>
      <c r="K80" s="802">
        <v>11449.9</v>
      </c>
      <c r="L80" s="802">
        <v>115.7</v>
      </c>
      <c r="M80" s="733">
        <f t="shared" si="3"/>
        <v>1.3</v>
      </c>
      <c r="N80" s="734">
        <f t="shared" si="4"/>
        <v>1.3</v>
      </c>
      <c r="O80" s="734">
        <f t="shared" si="5"/>
        <v>1.3</v>
      </c>
      <c r="P80" s="1593" t="s">
        <v>1171</v>
      </c>
      <c r="Q80" s="1593" t="s">
        <v>1107</v>
      </c>
      <c r="R80" s="1600">
        <f>SUM(S80:T80)</f>
        <v>43468.4</v>
      </c>
      <c r="S80" s="1614">
        <v>43033.7</v>
      </c>
      <c r="T80" s="1614">
        <v>434.7</v>
      </c>
      <c r="U80" s="735">
        <f>D80-G80</f>
        <v>104512.3</v>
      </c>
      <c r="V80" s="1565" t="s">
        <v>1428</v>
      </c>
      <c r="W80" s="1565" t="s">
        <v>1411</v>
      </c>
      <c r="X80" s="1605">
        <v>522</v>
      </c>
      <c r="Y80" s="1606"/>
      <c r="Z80" s="1606"/>
    </row>
    <row r="81" spans="1:26" s="484" customFormat="1" ht="62.25" customHeight="1">
      <c r="A81" s="1788"/>
      <c r="B81" s="1711" t="s">
        <v>1435</v>
      </c>
      <c r="C81" s="1843"/>
      <c r="D81" s="1825">
        <f>SUM(E81:F81)</f>
        <v>140598.29999999999</v>
      </c>
      <c r="E81" s="1761">
        <f>SUM(E84+E82+E86)</f>
        <v>92068.7</v>
      </c>
      <c r="F81" s="1761">
        <f t="shared" ref="F81:U81" si="29">SUM(F84+F82+F86)</f>
        <v>48529.599999999999</v>
      </c>
      <c r="G81" s="1761">
        <f t="shared" si="29"/>
        <v>104899.7</v>
      </c>
      <c r="H81" s="1761">
        <f t="shared" si="29"/>
        <v>92068.7</v>
      </c>
      <c r="I81" s="1761">
        <f t="shared" si="29"/>
        <v>12831</v>
      </c>
      <c r="J81" s="1761">
        <f t="shared" si="29"/>
        <v>0</v>
      </c>
      <c r="K81" s="1761">
        <f t="shared" si="29"/>
        <v>0</v>
      </c>
      <c r="L81" s="1761">
        <f t="shared" si="29"/>
        <v>0</v>
      </c>
      <c r="M81" s="1761">
        <f t="shared" si="29"/>
        <v>0</v>
      </c>
      <c r="N81" s="1761">
        <f t="shared" si="29"/>
        <v>0</v>
      </c>
      <c r="O81" s="1761">
        <f t="shared" si="29"/>
        <v>0</v>
      </c>
      <c r="P81" s="1761">
        <f t="shared" si="29"/>
        <v>0</v>
      </c>
      <c r="Q81" s="1761">
        <f t="shared" si="29"/>
        <v>0</v>
      </c>
      <c r="R81" s="1761">
        <f t="shared" si="29"/>
        <v>0</v>
      </c>
      <c r="S81" s="1761">
        <f t="shared" si="29"/>
        <v>0</v>
      </c>
      <c r="T81" s="1761">
        <f t="shared" si="29"/>
        <v>0</v>
      </c>
      <c r="U81" s="1761">
        <f t="shared" si="29"/>
        <v>0</v>
      </c>
      <c r="V81" s="1565"/>
      <c r="W81" s="1565"/>
      <c r="X81" s="1605"/>
      <c r="Y81" s="1606"/>
      <c r="Z81" s="1606"/>
    </row>
    <row r="82" spans="1:26" s="484" customFormat="1" ht="20.25">
      <c r="A82" s="1788"/>
      <c r="B82" s="1781" t="s">
        <v>433</v>
      </c>
      <c r="C82" s="1842"/>
      <c r="D82" s="1826">
        <f>SUM(E82:F82)</f>
        <v>15739.7</v>
      </c>
      <c r="E82" s="1674">
        <f>SUM(E83)</f>
        <v>9575.2000000000007</v>
      </c>
      <c r="F82" s="1674">
        <f t="shared" ref="F82:U82" si="30">SUM(F83)</f>
        <v>6164.5</v>
      </c>
      <c r="G82" s="1674">
        <f t="shared" si="30"/>
        <v>15739.7</v>
      </c>
      <c r="H82" s="1674">
        <f t="shared" si="30"/>
        <v>9575.2000000000007</v>
      </c>
      <c r="I82" s="1674">
        <f t="shared" si="30"/>
        <v>6164.5</v>
      </c>
      <c r="J82" s="1674">
        <f t="shared" si="30"/>
        <v>0</v>
      </c>
      <c r="K82" s="1674">
        <f t="shared" si="30"/>
        <v>0</v>
      </c>
      <c r="L82" s="1674">
        <f t="shared" si="30"/>
        <v>0</v>
      </c>
      <c r="M82" s="1674">
        <f t="shared" si="30"/>
        <v>0</v>
      </c>
      <c r="N82" s="1674">
        <f t="shared" si="30"/>
        <v>0</v>
      </c>
      <c r="O82" s="1674">
        <f t="shared" si="30"/>
        <v>0</v>
      </c>
      <c r="P82" s="1674">
        <f t="shared" si="30"/>
        <v>0</v>
      </c>
      <c r="Q82" s="1674">
        <f t="shared" si="30"/>
        <v>0</v>
      </c>
      <c r="R82" s="1674">
        <f t="shared" si="30"/>
        <v>0</v>
      </c>
      <c r="S82" s="1674">
        <f t="shared" si="30"/>
        <v>0</v>
      </c>
      <c r="T82" s="1674">
        <f t="shared" si="30"/>
        <v>0</v>
      </c>
      <c r="U82" s="1674">
        <f t="shared" si="30"/>
        <v>0</v>
      </c>
      <c r="V82" s="1605"/>
      <c r="W82" s="1605"/>
      <c r="X82" s="1605"/>
      <c r="Y82" s="1606"/>
      <c r="Z82" s="1606"/>
    </row>
    <row r="83" spans="1:26" s="484" customFormat="1" ht="49.5" customHeight="1">
      <c r="A83" s="1788"/>
      <c r="B83" s="1806" t="s">
        <v>1563</v>
      </c>
      <c r="C83" s="1845"/>
      <c r="D83" s="1826">
        <f>E83+F83</f>
        <v>15739.7</v>
      </c>
      <c r="E83" s="1807">
        <v>9575.2000000000007</v>
      </c>
      <c r="F83" s="1807">
        <v>6164.5</v>
      </c>
      <c r="G83" s="732">
        <f>H83+I83</f>
        <v>15739.7</v>
      </c>
      <c r="H83" s="1807">
        <v>9575.2000000000007</v>
      </c>
      <c r="I83" s="1807">
        <v>6164.5</v>
      </c>
      <c r="J83" s="732">
        <f>K83+L83</f>
        <v>0</v>
      </c>
      <c r="K83" s="1674"/>
      <c r="L83" s="1674"/>
      <c r="M83" s="732"/>
      <c r="N83" s="1692"/>
      <c r="O83" s="1692"/>
      <c r="P83" s="1593"/>
      <c r="Q83" s="1593"/>
      <c r="R83" s="1600"/>
      <c r="S83" s="1614"/>
      <c r="T83" s="1614"/>
      <c r="U83" s="735"/>
      <c r="V83" s="1605"/>
      <c r="W83" s="1605"/>
      <c r="X83" s="1605"/>
      <c r="Y83" s="1606"/>
      <c r="Z83" s="1606"/>
    </row>
    <row r="84" spans="1:26" s="484" customFormat="1" ht="20.25">
      <c r="A84" s="1788"/>
      <c r="B84" s="1781" t="s">
        <v>1401</v>
      </c>
      <c r="C84" s="1842"/>
      <c r="D84" s="1826">
        <f>SUM(E84:F84)</f>
        <v>89160</v>
      </c>
      <c r="E84" s="1674">
        <f>E85</f>
        <v>82493.5</v>
      </c>
      <c r="F84" s="1674">
        <f t="shared" ref="F84:U84" si="31">F85</f>
        <v>6666.5</v>
      </c>
      <c r="G84" s="1674">
        <f t="shared" si="31"/>
        <v>89160</v>
      </c>
      <c r="H84" s="1674">
        <f t="shared" si="31"/>
        <v>82493.5</v>
      </c>
      <c r="I84" s="1674">
        <f t="shared" si="31"/>
        <v>6666.5</v>
      </c>
      <c r="J84" s="1674">
        <f t="shared" si="31"/>
        <v>0</v>
      </c>
      <c r="K84" s="1674">
        <f t="shared" si="31"/>
        <v>0</v>
      </c>
      <c r="L84" s="1674">
        <f t="shared" si="31"/>
        <v>0</v>
      </c>
      <c r="M84" s="1674">
        <f t="shared" si="31"/>
        <v>0</v>
      </c>
      <c r="N84" s="1674">
        <f t="shared" si="31"/>
        <v>0</v>
      </c>
      <c r="O84" s="1674">
        <f t="shared" si="31"/>
        <v>0</v>
      </c>
      <c r="P84" s="1674">
        <f t="shared" si="31"/>
        <v>0</v>
      </c>
      <c r="Q84" s="1674">
        <f t="shared" si="31"/>
        <v>0</v>
      </c>
      <c r="R84" s="1674">
        <f t="shared" si="31"/>
        <v>0</v>
      </c>
      <c r="S84" s="1674">
        <f t="shared" si="31"/>
        <v>0</v>
      </c>
      <c r="T84" s="1674">
        <f t="shared" si="31"/>
        <v>0</v>
      </c>
      <c r="U84" s="1674">
        <f t="shared" si="31"/>
        <v>0</v>
      </c>
      <c r="V84" s="1565"/>
      <c r="W84" s="1565"/>
      <c r="X84" s="1605"/>
      <c r="Y84" s="1606"/>
      <c r="Z84" s="1606"/>
    </row>
    <row r="85" spans="1:26" s="484" customFormat="1" ht="60.75">
      <c r="A85" s="1788"/>
      <c r="B85" s="1752" t="s">
        <v>681</v>
      </c>
      <c r="C85" s="1842"/>
      <c r="D85" s="1826">
        <f>SUM(E85:F85)</f>
        <v>89160</v>
      </c>
      <c r="E85" s="1676">
        <v>82493.5</v>
      </c>
      <c r="F85" s="1676">
        <v>6666.5</v>
      </c>
      <c r="G85" s="732">
        <f>SUM(H85:I85)</f>
        <v>89160</v>
      </c>
      <c r="H85" s="1676">
        <v>82493.5</v>
      </c>
      <c r="I85" s="1676">
        <v>6666.5</v>
      </c>
      <c r="J85" s="814">
        <f>SUM(K85:L85)</f>
        <v>0</v>
      </c>
      <c r="K85" s="1677"/>
      <c r="L85" s="1677"/>
      <c r="M85" s="746">
        <f>IF(J85=0,0,J85/G85*100)</f>
        <v>0</v>
      </c>
      <c r="N85" s="536">
        <f>IF(K85=0,0,K85/H85*100)</f>
        <v>0</v>
      </c>
      <c r="O85" s="536">
        <f>IF(L85=0,0,L85/I85*100)</f>
        <v>0</v>
      </c>
      <c r="P85" s="1593"/>
      <c r="Q85" s="1593"/>
      <c r="R85" s="1600"/>
      <c r="S85" s="1614"/>
      <c r="T85" s="1614"/>
      <c r="U85" s="735"/>
      <c r="V85" s="1565"/>
      <c r="W85" s="1565"/>
      <c r="X85" s="1605"/>
      <c r="Y85" s="1606"/>
      <c r="Z85" s="1606"/>
    </row>
    <row r="86" spans="1:26" s="484" customFormat="1" ht="20.25">
      <c r="A86" s="1788"/>
      <c r="B86" s="1781" t="s">
        <v>1554</v>
      </c>
      <c r="C86" s="1842"/>
      <c r="D86" s="1833">
        <f>SUM(E86:F86)</f>
        <v>35698.6</v>
      </c>
      <c r="E86" s="1674">
        <f>SUM(E87:E87)</f>
        <v>0</v>
      </c>
      <c r="F86" s="1674">
        <f>SUM(F87:F87)</f>
        <v>35698.6</v>
      </c>
      <c r="G86" s="732">
        <f>H86+I86</f>
        <v>0</v>
      </c>
      <c r="H86" s="1674">
        <f t="shared" ref="H86:O86" si="32">SUM(H87:H87)</f>
        <v>0</v>
      </c>
      <c r="I86" s="1674">
        <f t="shared" si="32"/>
        <v>0</v>
      </c>
      <c r="J86" s="1674">
        <f t="shared" si="32"/>
        <v>0</v>
      </c>
      <c r="K86" s="1674">
        <f t="shared" si="32"/>
        <v>0</v>
      </c>
      <c r="L86" s="1674">
        <f t="shared" si="32"/>
        <v>0</v>
      </c>
      <c r="M86" s="1674">
        <f t="shared" si="32"/>
        <v>0</v>
      </c>
      <c r="N86" s="1674">
        <f t="shared" si="32"/>
        <v>0</v>
      </c>
      <c r="O86" s="1674">
        <f t="shared" si="32"/>
        <v>0</v>
      </c>
      <c r="P86" s="1593"/>
      <c r="Q86" s="1593"/>
      <c r="R86" s="1600"/>
      <c r="S86" s="1614"/>
      <c r="T86" s="1614"/>
      <c r="U86" s="735"/>
      <c r="V86" s="1565"/>
      <c r="W86" s="1565"/>
      <c r="X86" s="1605"/>
      <c r="Y86" s="1606"/>
      <c r="Z86" s="1606"/>
    </row>
    <row r="87" spans="1:26" s="484" customFormat="1" ht="60.75">
      <c r="A87" s="1788"/>
      <c r="B87" s="1752" t="s">
        <v>1564</v>
      </c>
      <c r="C87" s="1842"/>
      <c r="D87" s="1833">
        <f>SUM(E87:F87)</f>
        <v>35698.6</v>
      </c>
      <c r="E87" s="1676">
        <v>0</v>
      </c>
      <c r="F87" s="1676">
        <v>35698.6</v>
      </c>
      <c r="G87" s="732">
        <f>SUM(H87:I87)</f>
        <v>0</v>
      </c>
      <c r="H87" s="1676">
        <v>0</v>
      </c>
      <c r="I87" s="1676">
        <v>0</v>
      </c>
      <c r="J87" s="814">
        <f>SUM(K87:L87)</f>
        <v>0</v>
      </c>
      <c r="K87" s="1677"/>
      <c r="L87" s="1677"/>
      <c r="M87" s="746">
        <f>IF(J87=0,0,J87/G87*100)</f>
        <v>0</v>
      </c>
      <c r="N87" s="536">
        <f>IF(K87=0,0,K87/H87*100)</f>
        <v>0</v>
      </c>
      <c r="O87" s="536">
        <f>IF(L87=0,0,L87/I87*100)</f>
        <v>0</v>
      </c>
      <c r="P87" s="1593"/>
      <c r="Q87" s="1593"/>
      <c r="R87" s="1600"/>
      <c r="S87" s="1614"/>
      <c r="T87" s="1614"/>
      <c r="U87" s="735"/>
      <c r="V87" s="1565"/>
      <c r="W87" s="1565"/>
      <c r="X87" s="1605"/>
      <c r="Y87" s="1606"/>
      <c r="Z87" s="1606"/>
    </row>
    <row r="88" spans="1:26" ht="107.25" customHeight="1">
      <c r="A88" s="1787" t="s">
        <v>2</v>
      </c>
      <c r="B88" s="1754" t="s">
        <v>1434</v>
      </c>
      <c r="C88" s="1838"/>
      <c r="D88" s="1829">
        <f>SUM(E88:F88)</f>
        <v>5420049.5999999996</v>
      </c>
      <c r="E88" s="1755">
        <f>SUM(E89,E115)</f>
        <v>4034859.5</v>
      </c>
      <c r="F88" s="1755">
        <f>SUM(F89,F115)</f>
        <v>1385190.1</v>
      </c>
      <c r="G88" s="1755">
        <f>SUM(H88:I88)</f>
        <v>5274535.0999999996</v>
      </c>
      <c r="H88" s="1755">
        <f>SUM(H89,H115)</f>
        <v>4044103</v>
      </c>
      <c r="I88" s="1755">
        <f>SUM(I89,I115)</f>
        <v>1230432.1000000001</v>
      </c>
      <c r="J88" s="1755">
        <f>SUM(K88:L88)</f>
        <v>0</v>
      </c>
      <c r="K88" s="1755">
        <f>SUM(K89,K115)</f>
        <v>0</v>
      </c>
      <c r="L88" s="1755">
        <f>SUM(L89,L115)</f>
        <v>0</v>
      </c>
      <c r="M88" s="1756">
        <f t="shared" si="3"/>
        <v>0</v>
      </c>
      <c r="N88" s="1757">
        <f t="shared" si="4"/>
        <v>0</v>
      </c>
      <c r="O88" s="1757">
        <f t="shared" si="5"/>
        <v>0</v>
      </c>
      <c r="P88" s="1622" t="s">
        <v>353</v>
      </c>
      <c r="Q88" s="1622" t="s">
        <v>353</v>
      </c>
      <c r="R88" s="1621" t="e">
        <f>SUM(S88:T88)</f>
        <v>#REF!</v>
      </c>
      <c r="S88" s="1621" t="e">
        <f>#REF!</f>
        <v>#REF!</v>
      </c>
      <c r="T88" s="1621" t="e">
        <f>#REF!</f>
        <v>#REF!</v>
      </c>
      <c r="U88" s="735">
        <f>D88-G88</f>
        <v>145514.5</v>
      </c>
      <c r="V88" s="2546" t="s">
        <v>1532</v>
      </c>
      <c r="W88" s="2546"/>
      <c r="X88" s="2546"/>
    </row>
    <row r="89" spans="1:26" ht="35.25" customHeight="1">
      <c r="A89" s="1787" t="s">
        <v>246</v>
      </c>
      <c r="B89" s="1668" t="s">
        <v>1393</v>
      </c>
      <c r="C89" s="1839"/>
      <c r="D89" s="1828">
        <f t="shared" si="25"/>
        <v>210366.8</v>
      </c>
      <c r="E89" s="1669">
        <f>E90</f>
        <v>12606.9</v>
      </c>
      <c r="F89" s="1669">
        <f>F90</f>
        <v>197759.9</v>
      </c>
      <c r="G89" s="1669">
        <f>SUM(H89:I89)</f>
        <v>146026.1</v>
      </c>
      <c r="H89" s="1669">
        <f>H90</f>
        <v>12606.9</v>
      </c>
      <c r="I89" s="1669">
        <f>I90</f>
        <v>133419.20000000001</v>
      </c>
      <c r="J89" s="1669">
        <f>SUM(K89:L89)</f>
        <v>0</v>
      </c>
      <c r="K89" s="1669">
        <f>K90</f>
        <v>0</v>
      </c>
      <c r="L89" s="1669">
        <f>L90</f>
        <v>0</v>
      </c>
      <c r="M89" s="1670">
        <f t="shared" si="3"/>
        <v>0</v>
      </c>
      <c r="N89" s="1671">
        <f t="shared" si="4"/>
        <v>0</v>
      </c>
      <c r="O89" s="1671">
        <f t="shared" si="5"/>
        <v>0</v>
      </c>
      <c r="P89" s="1599" t="s">
        <v>353</v>
      </c>
      <c r="Q89" s="1599" t="s">
        <v>353</v>
      </c>
      <c r="R89" s="1598" t="e">
        <f>SUM(S89:T89)</f>
        <v>#REF!</v>
      </c>
      <c r="S89" s="1598" t="e">
        <f>SUM(#REF!,#REF!,#REF!,S119,#REF!,#REF!,#REF!,#REF!,#REF!,#REF!,#REF!,#REF!,#REF!,#REF!,#REF!)</f>
        <v>#REF!</v>
      </c>
      <c r="T89" s="1598" t="e">
        <f>SUM(#REF!,#REF!,#REF!,T119,#REF!,#REF!,#REF!,#REF!,#REF!,#REF!,#REF!,#REF!,#REF!,#REF!,#REF!)</f>
        <v>#REF!</v>
      </c>
      <c r="U89" s="735">
        <f>D89-G89</f>
        <v>64340.7</v>
      </c>
    </row>
    <row r="90" spans="1:26" ht="35.25" customHeight="1">
      <c r="A90" s="1787" t="s">
        <v>247</v>
      </c>
      <c r="B90" s="1687" t="s">
        <v>529</v>
      </c>
      <c r="C90" s="1843"/>
      <c r="D90" s="1825">
        <f t="shared" si="25"/>
        <v>210366.8</v>
      </c>
      <c r="E90" s="1688">
        <f>SUM(E91:E114)</f>
        <v>12606.9</v>
      </c>
      <c r="F90" s="1688">
        <f>SUM(F91:F114)</f>
        <v>197759.9</v>
      </c>
      <c r="G90" s="1688">
        <f>SUM(H90:I90)</f>
        <v>146026.1</v>
      </c>
      <c r="H90" s="1688">
        <f>SUM(H91:H114)</f>
        <v>12606.9</v>
      </c>
      <c r="I90" s="1688">
        <f>SUM(I91:I114)</f>
        <v>133419.20000000001</v>
      </c>
      <c r="J90" s="1688">
        <f>SUM(K90:L90)</f>
        <v>0</v>
      </c>
      <c r="K90" s="1688">
        <f>SUM(K91:K114)</f>
        <v>0</v>
      </c>
      <c r="L90" s="1688">
        <f>SUM(L91:L114)</f>
        <v>0</v>
      </c>
      <c r="M90" s="1689">
        <f t="shared" si="3"/>
        <v>0</v>
      </c>
      <c r="N90" s="1690">
        <f t="shared" si="4"/>
        <v>0</v>
      </c>
      <c r="O90" s="1690">
        <f t="shared" si="5"/>
        <v>0</v>
      </c>
      <c r="P90" s="1599"/>
      <c r="Q90" s="1599"/>
      <c r="R90" s="1598"/>
      <c r="S90" s="1598"/>
      <c r="T90" s="1598"/>
      <c r="U90" s="735"/>
      <c r="V90" s="1618"/>
      <c r="W90" s="1618"/>
      <c r="X90" s="1618"/>
    </row>
    <row r="91" spans="1:26" ht="74.25" customHeight="1">
      <c r="A91" s="1788" t="s">
        <v>155</v>
      </c>
      <c r="B91" s="1768" t="s">
        <v>1443</v>
      </c>
      <c r="C91" s="1836">
        <v>14065</v>
      </c>
      <c r="D91" s="1833">
        <f t="shared" si="25"/>
        <v>7800</v>
      </c>
      <c r="E91" s="1676"/>
      <c r="F91" s="1676">
        <v>7800</v>
      </c>
      <c r="G91" s="732">
        <f>SUM(H91:I91)</f>
        <v>7800</v>
      </c>
      <c r="H91" s="1676"/>
      <c r="I91" s="1676">
        <v>7800</v>
      </c>
      <c r="J91" s="814">
        <f>SUM(K91:L91)</f>
        <v>0</v>
      </c>
      <c r="K91" s="701"/>
      <c r="L91" s="701"/>
      <c r="M91" s="746">
        <f t="shared" si="3"/>
        <v>0</v>
      </c>
      <c r="N91" s="536">
        <f t="shared" si="4"/>
        <v>0</v>
      </c>
      <c r="O91" s="536">
        <f t="shared" si="5"/>
        <v>0</v>
      </c>
      <c r="P91" s="1593" t="s">
        <v>1290</v>
      </c>
      <c r="Q91" s="1593" t="s">
        <v>1240</v>
      </c>
      <c r="R91" s="1600">
        <f>SUM(S91:T91)</f>
        <v>800</v>
      </c>
      <c r="S91" s="1608">
        <v>0</v>
      </c>
      <c r="T91" s="1608">
        <v>800</v>
      </c>
      <c r="U91" s="735">
        <f>D91-G91</f>
        <v>0</v>
      </c>
      <c r="V91" s="1565" t="s">
        <v>1429</v>
      </c>
      <c r="W91" s="1565">
        <v>1820190400</v>
      </c>
      <c r="X91" s="1565">
        <v>414</v>
      </c>
    </row>
    <row r="92" spans="1:26" ht="85.5" customHeight="1">
      <c r="A92" s="1788" t="s">
        <v>156</v>
      </c>
      <c r="B92" s="1768" t="s">
        <v>1444</v>
      </c>
      <c r="C92" s="1836">
        <v>14066</v>
      </c>
      <c r="D92" s="1833">
        <f t="shared" ref="D92:D102" si="33">SUM(E92:F92)</f>
        <v>1191.2</v>
      </c>
      <c r="E92" s="1676"/>
      <c r="F92" s="1676">
        <v>1191.2</v>
      </c>
      <c r="G92" s="732">
        <f t="shared" ref="G92:G100" si="34">SUM(H92:I92)</f>
        <v>841.2</v>
      </c>
      <c r="H92" s="1676"/>
      <c r="I92" s="1676">
        <v>841.2</v>
      </c>
      <c r="J92" s="814">
        <f t="shared" ref="J92:J102" si="35">SUM(K92:L92)</f>
        <v>0</v>
      </c>
      <c r="K92" s="701"/>
      <c r="L92" s="701"/>
      <c r="M92" s="746">
        <f t="shared" si="3"/>
        <v>0</v>
      </c>
      <c r="N92" s="536">
        <f t="shared" si="4"/>
        <v>0</v>
      </c>
      <c r="O92" s="536">
        <f t="shared" si="5"/>
        <v>0</v>
      </c>
      <c r="P92" s="1593" t="s">
        <v>1290</v>
      </c>
      <c r="Q92" s="1593" t="s">
        <v>1240</v>
      </c>
      <c r="R92" s="1600">
        <f t="shared" ref="R92:R101" si="36">SUM(S92:T92)</f>
        <v>800</v>
      </c>
      <c r="S92" s="1608">
        <v>0</v>
      </c>
      <c r="T92" s="1608">
        <v>800</v>
      </c>
      <c r="U92" s="735">
        <f t="shared" ref="U92:U101" si="37">D92-G92</f>
        <v>350</v>
      </c>
      <c r="V92" s="1565" t="s">
        <v>1429</v>
      </c>
      <c r="W92" s="1565">
        <v>1820190400</v>
      </c>
      <c r="X92" s="1565">
        <v>414</v>
      </c>
    </row>
    <row r="93" spans="1:26" ht="48" customHeight="1">
      <c r="A93" s="1788" t="s">
        <v>122</v>
      </c>
      <c r="B93" s="1768" t="s">
        <v>1446</v>
      </c>
      <c r="C93" s="1841">
        <v>14076</v>
      </c>
      <c r="D93" s="1833">
        <f t="shared" si="33"/>
        <v>3420</v>
      </c>
      <c r="E93" s="1676"/>
      <c r="F93" s="1676">
        <v>3420</v>
      </c>
      <c r="G93" s="732">
        <f t="shared" si="34"/>
        <v>3420</v>
      </c>
      <c r="H93" s="1676"/>
      <c r="I93" s="1676">
        <v>3420</v>
      </c>
      <c r="J93" s="814">
        <f t="shared" si="35"/>
        <v>0</v>
      </c>
      <c r="K93" s="701"/>
      <c r="L93" s="701"/>
      <c r="M93" s="746">
        <f t="shared" si="3"/>
        <v>0</v>
      </c>
      <c r="N93" s="536">
        <f t="shared" si="4"/>
        <v>0</v>
      </c>
      <c r="O93" s="536">
        <f t="shared" si="5"/>
        <v>0</v>
      </c>
      <c r="P93" s="1593" t="s">
        <v>1290</v>
      </c>
      <c r="Q93" s="1593" t="s">
        <v>1240</v>
      </c>
      <c r="R93" s="1600">
        <f t="shared" si="36"/>
        <v>800</v>
      </c>
      <c r="S93" s="1608">
        <v>0</v>
      </c>
      <c r="T93" s="1608">
        <v>800</v>
      </c>
      <c r="U93" s="735">
        <f t="shared" si="37"/>
        <v>0</v>
      </c>
      <c r="V93" s="1565" t="s">
        <v>1429</v>
      </c>
      <c r="W93" s="1565" t="s">
        <v>1445</v>
      </c>
      <c r="X93" s="1565">
        <v>414</v>
      </c>
    </row>
    <row r="94" spans="1:26" ht="48" customHeight="1">
      <c r="A94" s="1788" t="s">
        <v>123</v>
      </c>
      <c r="B94" s="1768" t="s">
        <v>1447</v>
      </c>
      <c r="C94" s="1841">
        <v>14077</v>
      </c>
      <c r="D94" s="1833">
        <f>SUM(E94:F94)</f>
        <v>2710</v>
      </c>
      <c r="E94" s="1676"/>
      <c r="F94" s="1676">
        <v>2710</v>
      </c>
      <c r="G94" s="732">
        <f t="shared" si="34"/>
        <v>2710</v>
      </c>
      <c r="H94" s="1676"/>
      <c r="I94" s="1676">
        <v>2710</v>
      </c>
      <c r="J94" s="814">
        <f>SUM(K94:L94)</f>
        <v>0</v>
      </c>
      <c r="K94" s="701"/>
      <c r="L94" s="701"/>
      <c r="M94" s="746">
        <f t="shared" si="3"/>
        <v>0</v>
      </c>
      <c r="N94" s="536">
        <f t="shared" si="4"/>
        <v>0</v>
      </c>
      <c r="O94" s="536">
        <f t="shared" si="5"/>
        <v>0</v>
      </c>
      <c r="P94" s="1593" t="s">
        <v>1290</v>
      </c>
      <c r="Q94" s="1593" t="s">
        <v>1240</v>
      </c>
      <c r="R94" s="1600">
        <f>SUM(S94:T94)</f>
        <v>800</v>
      </c>
      <c r="S94" s="1608">
        <v>0</v>
      </c>
      <c r="T94" s="1608">
        <v>800</v>
      </c>
      <c r="U94" s="735">
        <f>D94-G94</f>
        <v>0</v>
      </c>
      <c r="V94" s="1565" t="s">
        <v>1429</v>
      </c>
      <c r="W94" s="1565" t="s">
        <v>1445</v>
      </c>
      <c r="X94" s="1565">
        <v>414</v>
      </c>
    </row>
    <row r="95" spans="1:26" ht="48" customHeight="1">
      <c r="A95" s="1788" t="s">
        <v>124</v>
      </c>
      <c r="B95" s="1768" t="s">
        <v>1448</v>
      </c>
      <c r="C95" s="1841">
        <v>14079</v>
      </c>
      <c r="D95" s="1833">
        <f t="shared" si="33"/>
        <v>2930</v>
      </c>
      <c r="E95" s="1676"/>
      <c r="F95" s="1676">
        <v>2930</v>
      </c>
      <c r="G95" s="732">
        <f t="shared" si="34"/>
        <v>2930</v>
      </c>
      <c r="H95" s="1676"/>
      <c r="I95" s="1676">
        <v>2930</v>
      </c>
      <c r="J95" s="814">
        <f t="shared" si="35"/>
        <v>0</v>
      </c>
      <c r="K95" s="701"/>
      <c r="L95" s="701"/>
      <c r="M95" s="746">
        <f t="shared" si="3"/>
        <v>0</v>
      </c>
      <c r="N95" s="536">
        <f t="shared" si="4"/>
        <v>0</v>
      </c>
      <c r="O95" s="536">
        <f t="shared" si="5"/>
        <v>0</v>
      </c>
      <c r="P95" s="1593" t="s">
        <v>1290</v>
      </c>
      <c r="Q95" s="1593" t="s">
        <v>1240</v>
      </c>
      <c r="R95" s="1600">
        <f t="shared" si="36"/>
        <v>800</v>
      </c>
      <c r="S95" s="1608">
        <v>0</v>
      </c>
      <c r="T95" s="1608">
        <v>800</v>
      </c>
      <c r="U95" s="735">
        <f t="shared" si="37"/>
        <v>0</v>
      </c>
      <c r="V95" s="1565" t="s">
        <v>1429</v>
      </c>
      <c r="W95" s="1565" t="s">
        <v>1445</v>
      </c>
      <c r="X95" s="1565">
        <v>414</v>
      </c>
    </row>
    <row r="96" spans="1:26" ht="48" customHeight="1">
      <c r="A96" s="1788" t="s">
        <v>125</v>
      </c>
      <c r="B96" s="1768" t="s">
        <v>1449</v>
      </c>
      <c r="C96" s="1841">
        <v>14080</v>
      </c>
      <c r="D96" s="1826">
        <f t="shared" si="33"/>
        <v>5180</v>
      </c>
      <c r="E96" s="1676"/>
      <c r="F96" s="1676">
        <v>5180</v>
      </c>
      <c r="G96" s="732">
        <f t="shared" si="34"/>
        <v>5180</v>
      </c>
      <c r="H96" s="1676"/>
      <c r="I96" s="1676">
        <v>5180</v>
      </c>
      <c r="J96" s="814">
        <f t="shared" si="35"/>
        <v>0</v>
      </c>
      <c r="K96" s="701"/>
      <c r="L96" s="701"/>
      <c r="M96" s="746">
        <f t="shared" si="3"/>
        <v>0</v>
      </c>
      <c r="N96" s="536">
        <f t="shared" si="4"/>
        <v>0</v>
      </c>
      <c r="O96" s="536">
        <f t="shared" si="5"/>
        <v>0</v>
      </c>
      <c r="P96" s="1593" t="s">
        <v>1290</v>
      </c>
      <c r="Q96" s="1593" t="s">
        <v>1240</v>
      </c>
      <c r="R96" s="1600">
        <f t="shared" si="36"/>
        <v>800</v>
      </c>
      <c r="S96" s="1608">
        <v>0</v>
      </c>
      <c r="T96" s="1608">
        <v>800</v>
      </c>
      <c r="U96" s="735">
        <f t="shared" si="37"/>
        <v>0</v>
      </c>
      <c r="V96" s="1565" t="s">
        <v>1429</v>
      </c>
      <c r="W96" s="1565" t="s">
        <v>1445</v>
      </c>
      <c r="X96" s="1565">
        <v>414</v>
      </c>
    </row>
    <row r="97" spans="1:26" ht="48" customHeight="1">
      <c r="A97" s="1788" t="s">
        <v>126</v>
      </c>
      <c r="B97" s="1768" t="s">
        <v>1450</v>
      </c>
      <c r="C97" s="1841">
        <v>14081</v>
      </c>
      <c r="D97" s="1833">
        <f>SUM(E97:F97)</f>
        <v>2930</v>
      </c>
      <c r="E97" s="1676"/>
      <c r="F97" s="1676">
        <v>2930</v>
      </c>
      <c r="G97" s="732">
        <f t="shared" si="34"/>
        <v>2930</v>
      </c>
      <c r="H97" s="1676"/>
      <c r="I97" s="1676">
        <v>2930</v>
      </c>
      <c r="J97" s="814">
        <f>SUM(K97:L97)</f>
        <v>0</v>
      </c>
      <c r="K97" s="701"/>
      <c r="L97" s="701"/>
      <c r="M97" s="746">
        <f t="shared" si="3"/>
        <v>0</v>
      </c>
      <c r="N97" s="536">
        <f t="shared" si="4"/>
        <v>0</v>
      </c>
      <c r="O97" s="536">
        <f t="shared" si="5"/>
        <v>0</v>
      </c>
      <c r="P97" s="1593" t="s">
        <v>1290</v>
      </c>
      <c r="Q97" s="1593" t="s">
        <v>1240</v>
      </c>
      <c r="R97" s="1600">
        <f>SUM(S97:T97)</f>
        <v>800</v>
      </c>
      <c r="S97" s="1608">
        <v>0</v>
      </c>
      <c r="T97" s="1608">
        <v>800</v>
      </c>
      <c r="U97" s="735">
        <f>D97-G97</f>
        <v>0</v>
      </c>
      <c r="V97" s="1565" t="s">
        <v>1429</v>
      </c>
      <c r="W97" s="1565" t="s">
        <v>1445</v>
      </c>
      <c r="X97" s="1565">
        <v>414</v>
      </c>
    </row>
    <row r="98" spans="1:26" ht="48" customHeight="1">
      <c r="A98" s="1788" t="s">
        <v>127</v>
      </c>
      <c r="B98" s="1768" t="s">
        <v>1451</v>
      </c>
      <c r="C98" s="1841">
        <v>14082</v>
      </c>
      <c r="D98" s="1833">
        <f>SUM(E98:F98)</f>
        <v>2090</v>
      </c>
      <c r="E98" s="1676"/>
      <c r="F98" s="1676">
        <v>2090</v>
      </c>
      <c r="G98" s="732">
        <f t="shared" si="34"/>
        <v>2090</v>
      </c>
      <c r="H98" s="1676"/>
      <c r="I98" s="1676">
        <v>2090</v>
      </c>
      <c r="J98" s="814">
        <f>SUM(K98:L98)</f>
        <v>0</v>
      </c>
      <c r="K98" s="701"/>
      <c r="L98" s="701"/>
      <c r="M98" s="746">
        <f t="shared" si="3"/>
        <v>0</v>
      </c>
      <c r="N98" s="536">
        <f t="shared" si="4"/>
        <v>0</v>
      </c>
      <c r="O98" s="536">
        <f t="shared" si="5"/>
        <v>0</v>
      </c>
      <c r="P98" s="1593" t="s">
        <v>1290</v>
      </c>
      <c r="Q98" s="1593" t="s">
        <v>1240</v>
      </c>
      <c r="R98" s="1600">
        <f>SUM(S98:T98)</f>
        <v>800</v>
      </c>
      <c r="S98" s="1608">
        <v>0</v>
      </c>
      <c r="T98" s="1608">
        <v>800</v>
      </c>
      <c r="U98" s="735">
        <f>D98-G98</f>
        <v>0</v>
      </c>
      <c r="V98" s="1565" t="s">
        <v>1429</v>
      </c>
      <c r="W98" s="1565" t="s">
        <v>1445</v>
      </c>
      <c r="X98" s="1565">
        <v>414</v>
      </c>
    </row>
    <row r="99" spans="1:26" ht="48" customHeight="1">
      <c r="A99" s="1788" t="s">
        <v>128</v>
      </c>
      <c r="B99" s="1768" t="s">
        <v>1452</v>
      </c>
      <c r="C99" s="1841">
        <v>14083</v>
      </c>
      <c r="D99" s="1833">
        <f>SUM(E99:F99)</f>
        <v>2230</v>
      </c>
      <c r="E99" s="1676"/>
      <c r="F99" s="1676">
        <v>2230</v>
      </c>
      <c r="G99" s="732">
        <f t="shared" si="34"/>
        <v>2230</v>
      </c>
      <c r="H99" s="1676"/>
      <c r="I99" s="1676">
        <v>2230</v>
      </c>
      <c r="J99" s="814">
        <f>SUM(K99:L99)</f>
        <v>0</v>
      </c>
      <c r="K99" s="701"/>
      <c r="L99" s="701"/>
      <c r="M99" s="746">
        <f t="shared" si="3"/>
        <v>0</v>
      </c>
      <c r="N99" s="536">
        <f t="shared" si="4"/>
        <v>0</v>
      </c>
      <c r="O99" s="536">
        <f t="shared" si="5"/>
        <v>0</v>
      </c>
      <c r="P99" s="1593" t="s">
        <v>1290</v>
      </c>
      <c r="Q99" s="1593" t="s">
        <v>1240</v>
      </c>
      <c r="R99" s="1600">
        <f>SUM(S99:T99)</f>
        <v>800</v>
      </c>
      <c r="S99" s="1608">
        <v>0</v>
      </c>
      <c r="T99" s="1608">
        <v>800</v>
      </c>
      <c r="U99" s="735">
        <f>D99-G99</f>
        <v>0</v>
      </c>
      <c r="V99" s="1565" t="s">
        <v>1429</v>
      </c>
      <c r="W99" s="1565" t="s">
        <v>1445</v>
      </c>
      <c r="X99" s="1565">
        <v>414</v>
      </c>
    </row>
    <row r="100" spans="1:26" ht="48" customHeight="1">
      <c r="A100" s="1788" t="s">
        <v>158</v>
      </c>
      <c r="B100" s="1768" t="s">
        <v>1453</v>
      </c>
      <c r="C100" s="1841">
        <v>14084</v>
      </c>
      <c r="D100" s="1833">
        <f>SUM(E100:F100)</f>
        <v>1650</v>
      </c>
      <c r="E100" s="1676"/>
      <c r="F100" s="1676">
        <v>1650</v>
      </c>
      <c r="G100" s="732">
        <f t="shared" si="34"/>
        <v>1650</v>
      </c>
      <c r="H100" s="1676"/>
      <c r="I100" s="1676">
        <v>1650</v>
      </c>
      <c r="J100" s="814">
        <f>SUM(K100:L100)</f>
        <v>0</v>
      </c>
      <c r="K100" s="701"/>
      <c r="L100" s="701"/>
      <c r="M100" s="746">
        <f t="shared" si="3"/>
        <v>0</v>
      </c>
      <c r="N100" s="536">
        <f t="shared" si="4"/>
        <v>0</v>
      </c>
      <c r="O100" s="536">
        <f t="shared" si="5"/>
        <v>0</v>
      </c>
      <c r="P100" s="1593" t="s">
        <v>1290</v>
      </c>
      <c r="Q100" s="1593" t="s">
        <v>1240</v>
      </c>
      <c r="R100" s="1600">
        <f>SUM(S100:T100)</f>
        <v>800</v>
      </c>
      <c r="S100" s="1608">
        <v>0</v>
      </c>
      <c r="T100" s="1608">
        <v>800</v>
      </c>
      <c r="U100" s="735">
        <f>D100-G100</f>
        <v>0</v>
      </c>
      <c r="V100" s="1565" t="s">
        <v>1429</v>
      </c>
      <c r="W100" s="1565" t="s">
        <v>1445</v>
      </c>
      <c r="X100" s="1565">
        <v>414</v>
      </c>
    </row>
    <row r="101" spans="1:26" ht="48" customHeight="1">
      <c r="A101" s="1788" t="s">
        <v>129</v>
      </c>
      <c r="B101" s="1768" t="s">
        <v>1454</v>
      </c>
      <c r="C101" s="1841">
        <v>14088</v>
      </c>
      <c r="D101" s="1833">
        <f t="shared" si="33"/>
        <v>2930</v>
      </c>
      <c r="E101" s="1676"/>
      <c r="F101" s="1676">
        <v>2930</v>
      </c>
      <c r="G101" s="732">
        <f t="shared" ref="G101:G168" si="38">SUM(H101:I101)</f>
        <v>2930</v>
      </c>
      <c r="H101" s="1676"/>
      <c r="I101" s="1676">
        <v>2930</v>
      </c>
      <c r="J101" s="814">
        <f t="shared" si="35"/>
        <v>0</v>
      </c>
      <c r="K101" s="701"/>
      <c r="L101" s="701"/>
      <c r="M101" s="746">
        <f t="shared" si="3"/>
        <v>0</v>
      </c>
      <c r="N101" s="536">
        <f t="shared" si="4"/>
        <v>0</v>
      </c>
      <c r="O101" s="536">
        <f t="shared" si="5"/>
        <v>0</v>
      </c>
      <c r="P101" s="1593" t="s">
        <v>1290</v>
      </c>
      <c r="Q101" s="1593" t="s">
        <v>1240</v>
      </c>
      <c r="R101" s="1600">
        <f t="shared" si="36"/>
        <v>800</v>
      </c>
      <c r="S101" s="1608">
        <v>0</v>
      </c>
      <c r="T101" s="1608">
        <v>800</v>
      </c>
      <c r="U101" s="735">
        <f t="shared" si="37"/>
        <v>0</v>
      </c>
      <c r="V101" s="1565" t="s">
        <v>1429</v>
      </c>
      <c r="W101" s="1565" t="s">
        <v>1445</v>
      </c>
      <c r="X101" s="1565">
        <v>414</v>
      </c>
    </row>
    <row r="102" spans="1:26" ht="48" customHeight="1">
      <c r="A102" s="1788"/>
      <c r="B102" s="1768" t="s">
        <v>1587</v>
      </c>
      <c r="C102" s="1841"/>
      <c r="D102" s="1833">
        <f t="shared" si="33"/>
        <v>35340.699999999997</v>
      </c>
      <c r="E102" s="1676"/>
      <c r="F102" s="1676">
        <v>35340.699999999997</v>
      </c>
      <c r="G102" s="732">
        <f t="shared" si="38"/>
        <v>0</v>
      </c>
      <c r="H102" s="1676"/>
      <c r="I102" s="1676">
        <v>0</v>
      </c>
      <c r="J102" s="814">
        <f t="shared" si="35"/>
        <v>0</v>
      </c>
      <c r="K102" s="701"/>
      <c r="L102" s="701"/>
      <c r="M102" s="746">
        <f t="shared" si="3"/>
        <v>0</v>
      </c>
      <c r="N102" s="536"/>
      <c r="O102" s="536"/>
      <c r="P102" s="1593"/>
      <c r="Q102" s="1593"/>
      <c r="R102" s="1600"/>
      <c r="S102" s="1608"/>
      <c r="T102" s="1608"/>
      <c r="U102" s="735"/>
    </row>
    <row r="103" spans="1:26" ht="67.5" hidden="1" customHeight="1">
      <c r="A103" s="1788" t="s">
        <v>159</v>
      </c>
      <c r="B103" s="1770" t="s">
        <v>1456</v>
      </c>
      <c r="C103" s="1841"/>
      <c r="D103" s="1824">
        <f t="shared" ref="D103:D166" si="39">SUM(E103:F103)</f>
        <v>0</v>
      </c>
      <c r="E103" s="1676"/>
      <c r="F103" s="1676">
        <v>0</v>
      </c>
      <c r="G103" s="732">
        <f t="shared" si="38"/>
        <v>0</v>
      </c>
      <c r="H103" s="1676"/>
      <c r="I103" s="1676">
        <v>0</v>
      </c>
      <c r="J103" s="814">
        <f t="shared" ref="J103:J153" si="40">SUM(K103:L103)</f>
        <v>0</v>
      </c>
      <c r="K103" s="701"/>
      <c r="L103" s="701"/>
      <c r="M103" s="746">
        <f t="shared" si="3"/>
        <v>0</v>
      </c>
      <c r="N103" s="536">
        <f t="shared" si="4"/>
        <v>0</v>
      </c>
      <c r="O103" s="536">
        <f t="shared" si="5"/>
        <v>0</v>
      </c>
      <c r="P103" s="1593" t="s">
        <v>1290</v>
      </c>
      <c r="Q103" s="1593" t="s">
        <v>1240</v>
      </c>
      <c r="R103" s="1600">
        <f t="shared" ref="R103:R115" si="41">SUM(S103:T103)</f>
        <v>800</v>
      </c>
      <c r="S103" s="1608">
        <v>0</v>
      </c>
      <c r="T103" s="1608">
        <v>800</v>
      </c>
      <c r="U103" s="735">
        <f>D103-G103</f>
        <v>0</v>
      </c>
      <c r="V103" s="1565" t="s">
        <v>1429</v>
      </c>
      <c r="W103" s="1565" t="s">
        <v>1455</v>
      </c>
      <c r="X103" s="1565">
        <v>414</v>
      </c>
    </row>
    <row r="104" spans="1:26" ht="27.75" customHeight="1">
      <c r="A104" s="1788" t="s">
        <v>130</v>
      </c>
      <c r="B104" s="1768" t="s">
        <v>1467</v>
      </c>
      <c r="C104" s="1841">
        <v>14074</v>
      </c>
      <c r="D104" s="1833">
        <f t="shared" si="39"/>
        <v>4400</v>
      </c>
      <c r="E104" s="1676"/>
      <c r="F104" s="1676">
        <v>4400</v>
      </c>
      <c r="G104" s="732">
        <f t="shared" si="38"/>
        <v>3150</v>
      </c>
      <c r="H104" s="1676"/>
      <c r="I104" s="1676">
        <v>3150</v>
      </c>
      <c r="J104" s="814">
        <f t="shared" si="40"/>
        <v>0</v>
      </c>
      <c r="K104" s="701"/>
      <c r="L104" s="701"/>
      <c r="M104" s="746">
        <f t="shared" si="3"/>
        <v>0</v>
      </c>
      <c r="N104" s="536">
        <f t="shared" si="4"/>
        <v>0</v>
      </c>
      <c r="O104" s="536">
        <f t="shared" si="5"/>
        <v>0</v>
      </c>
      <c r="P104" s="1593" t="s">
        <v>1290</v>
      </c>
      <c r="Q104" s="1593" t="s">
        <v>1240</v>
      </c>
      <c r="R104" s="1600">
        <f t="shared" si="41"/>
        <v>800</v>
      </c>
      <c r="S104" s="1608">
        <v>0</v>
      </c>
      <c r="T104" s="1608">
        <v>800</v>
      </c>
      <c r="U104" s="735">
        <f>D104-G104</f>
        <v>1250</v>
      </c>
      <c r="V104" s="1565">
        <v>1102</v>
      </c>
      <c r="W104" s="1565" t="s">
        <v>1468</v>
      </c>
      <c r="X104" s="1565">
        <v>414</v>
      </c>
    </row>
    <row r="105" spans="1:26" s="1607" customFormat="1" ht="95.25" customHeight="1">
      <c r="A105" s="1788" t="s">
        <v>160</v>
      </c>
      <c r="B105" s="1700" t="s">
        <v>1523</v>
      </c>
      <c r="C105" s="1836" t="s">
        <v>1536</v>
      </c>
      <c r="D105" s="1833">
        <f t="shared" si="39"/>
        <v>14000</v>
      </c>
      <c r="E105" s="1676"/>
      <c r="F105" s="1676">
        <v>14000</v>
      </c>
      <c r="G105" s="732">
        <f t="shared" si="38"/>
        <v>14000</v>
      </c>
      <c r="H105" s="1676"/>
      <c r="I105" s="1676">
        <v>14000</v>
      </c>
      <c r="J105" s="814">
        <f t="shared" si="40"/>
        <v>0</v>
      </c>
      <c r="K105" s="701"/>
      <c r="L105" s="701"/>
      <c r="M105" s="746">
        <f t="shared" si="3"/>
        <v>0</v>
      </c>
      <c r="N105" s="536">
        <f t="shared" si="4"/>
        <v>0</v>
      </c>
      <c r="O105" s="536">
        <f t="shared" si="5"/>
        <v>0</v>
      </c>
      <c r="P105" s="1593" t="s">
        <v>1192</v>
      </c>
      <c r="Q105" s="1593" t="s">
        <v>1203</v>
      </c>
      <c r="R105" s="1600">
        <f t="shared" si="41"/>
        <v>5100</v>
      </c>
      <c r="S105" s="1608">
        <v>0</v>
      </c>
      <c r="T105" s="1608">
        <v>5100</v>
      </c>
      <c r="U105" s="735">
        <f>D105-G105</f>
        <v>0</v>
      </c>
      <c r="V105" s="1565" t="s">
        <v>1474</v>
      </c>
      <c r="W105" s="1565" t="s">
        <v>1475</v>
      </c>
      <c r="X105" s="1605">
        <v>414</v>
      </c>
      <c r="Y105" s="1606"/>
      <c r="Z105" s="1606"/>
    </row>
    <row r="106" spans="1:26" s="1607" customFormat="1" ht="108.75" customHeight="1">
      <c r="A106" s="1788"/>
      <c r="B106" s="1700" t="s">
        <v>1601</v>
      </c>
      <c r="C106" s="1836" t="s">
        <v>332</v>
      </c>
      <c r="D106" s="1833">
        <f t="shared" si="39"/>
        <v>8850</v>
      </c>
      <c r="E106" s="1676"/>
      <c r="F106" s="1676">
        <v>8850</v>
      </c>
      <c r="G106" s="732">
        <f t="shared" si="38"/>
        <v>0</v>
      </c>
      <c r="H106" s="1676"/>
      <c r="I106" s="1676">
        <v>0</v>
      </c>
      <c r="J106" s="814">
        <f t="shared" si="40"/>
        <v>0</v>
      </c>
      <c r="K106" s="701"/>
      <c r="L106" s="701"/>
      <c r="M106" s="746">
        <f t="shared" si="3"/>
        <v>0</v>
      </c>
      <c r="N106" s="536"/>
      <c r="O106" s="536"/>
      <c r="P106" s="1593"/>
      <c r="Q106" s="1593"/>
      <c r="R106" s="1600"/>
      <c r="S106" s="1608"/>
      <c r="T106" s="1608"/>
      <c r="U106" s="735"/>
      <c r="V106" s="1565"/>
      <c r="W106" s="1565"/>
      <c r="X106" s="1605"/>
      <c r="Y106" s="1606"/>
      <c r="Z106" s="1606"/>
    </row>
    <row r="107" spans="1:26" s="1607" customFormat="1" ht="54" customHeight="1">
      <c r="A107" s="1788"/>
      <c r="B107" s="1700" t="s">
        <v>1602</v>
      </c>
      <c r="C107" s="1836"/>
      <c r="D107" s="1833">
        <f t="shared" si="39"/>
        <v>17550</v>
      </c>
      <c r="E107" s="1676"/>
      <c r="F107" s="1676">
        <v>17550</v>
      </c>
      <c r="G107" s="732">
        <f t="shared" si="38"/>
        <v>0</v>
      </c>
      <c r="H107" s="1676"/>
      <c r="I107" s="1676">
        <v>0</v>
      </c>
      <c r="J107" s="814">
        <f t="shared" si="40"/>
        <v>0</v>
      </c>
      <c r="K107" s="701"/>
      <c r="L107" s="701"/>
      <c r="M107" s="746">
        <f t="shared" si="3"/>
        <v>0</v>
      </c>
      <c r="N107" s="536"/>
      <c r="O107" s="536"/>
      <c r="P107" s="1593"/>
      <c r="Q107" s="1593"/>
      <c r="R107" s="1600"/>
      <c r="S107" s="1608"/>
      <c r="T107" s="1608"/>
      <c r="U107" s="735"/>
      <c r="V107" s="1565"/>
      <c r="W107" s="1565"/>
      <c r="X107" s="1605"/>
      <c r="Y107" s="1606"/>
      <c r="Z107" s="1606"/>
    </row>
    <row r="108" spans="1:26" s="1607" customFormat="1" ht="69" customHeight="1">
      <c r="A108" s="1788"/>
      <c r="B108" s="1700" t="s">
        <v>1600</v>
      </c>
      <c r="C108" s="1836"/>
      <c r="D108" s="1833">
        <f t="shared" si="39"/>
        <v>14415.9</v>
      </c>
      <c r="E108" s="1676">
        <v>12606.9</v>
      </c>
      <c r="F108" s="1676">
        <v>1809</v>
      </c>
      <c r="G108" s="732">
        <f t="shared" si="38"/>
        <v>13415.9</v>
      </c>
      <c r="H108" s="1676">
        <v>12606.9</v>
      </c>
      <c r="I108" s="1676">
        <v>809</v>
      </c>
      <c r="J108" s="814">
        <f t="shared" si="40"/>
        <v>0</v>
      </c>
      <c r="K108" s="701"/>
      <c r="L108" s="701"/>
      <c r="M108" s="746">
        <f t="shared" si="3"/>
        <v>0</v>
      </c>
      <c r="N108" s="536"/>
      <c r="O108" s="536"/>
      <c r="P108" s="1593"/>
      <c r="Q108" s="1593"/>
      <c r="R108" s="1600"/>
      <c r="S108" s="1608"/>
      <c r="T108" s="1608"/>
      <c r="U108" s="735"/>
      <c r="V108" s="1565"/>
      <c r="W108" s="1565"/>
      <c r="X108" s="1605"/>
      <c r="Y108" s="1606"/>
      <c r="Z108" s="1606"/>
    </row>
    <row r="109" spans="1:26" s="1607" customFormat="1" ht="72" customHeight="1">
      <c r="A109" s="1788" t="s">
        <v>532</v>
      </c>
      <c r="B109" s="1700" t="s">
        <v>1485</v>
      </c>
      <c r="C109" s="1836" t="s">
        <v>1537</v>
      </c>
      <c r="D109" s="1833">
        <f t="shared" si="39"/>
        <v>14000</v>
      </c>
      <c r="E109" s="1676"/>
      <c r="F109" s="1676">
        <v>14000</v>
      </c>
      <c r="G109" s="732">
        <f t="shared" si="38"/>
        <v>14000</v>
      </c>
      <c r="H109" s="1676"/>
      <c r="I109" s="1676">
        <v>14000</v>
      </c>
      <c r="J109" s="814">
        <f t="shared" si="40"/>
        <v>0</v>
      </c>
      <c r="K109" s="701"/>
      <c r="L109" s="701"/>
      <c r="M109" s="746">
        <f t="shared" si="3"/>
        <v>0</v>
      </c>
      <c r="N109" s="536">
        <f t="shared" si="4"/>
        <v>0</v>
      </c>
      <c r="O109" s="536">
        <f t="shared" si="5"/>
        <v>0</v>
      </c>
      <c r="P109" s="1593" t="s">
        <v>1192</v>
      </c>
      <c r="Q109" s="1593" t="s">
        <v>1203</v>
      </c>
      <c r="R109" s="1600">
        <f t="shared" si="41"/>
        <v>6000</v>
      </c>
      <c r="S109" s="1608">
        <v>0</v>
      </c>
      <c r="T109" s="1608">
        <v>6000</v>
      </c>
      <c r="U109" s="735">
        <f>D109-G109</f>
        <v>0</v>
      </c>
      <c r="V109" s="1565" t="s">
        <v>1481</v>
      </c>
      <c r="W109" s="1565" t="s">
        <v>1487</v>
      </c>
      <c r="X109" s="1605">
        <v>414</v>
      </c>
      <c r="Y109" s="1606"/>
      <c r="Z109" s="1606"/>
    </row>
    <row r="110" spans="1:26" s="1607" customFormat="1" ht="111" customHeight="1">
      <c r="A110" s="1788" t="s">
        <v>161</v>
      </c>
      <c r="B110" s="1701" t="s">
        <v>1486</v>
      </c>
      <c r="C110" s="1836">
        <v>14059</v>
      </c>
      <c r="D110" s="1833">
        <f t="shared" si="39"/>
        <v>16320</v>
      </c>
      <c r="E110" s="1676"/>
      <c r="F110" s="1676">
        <v>16320</v>
      </c>
      <c r="G110" s="732">
        <f t="shared" si="38"/>
        <v>16320</v>
      </c>
      <c r="H110" s="1676"/>
      <c r="I110" s="1676">
        <v>16320</v>
      </c>
      <c r="J110" s="814">
        <f t="shared" si="40"/>
        <v>0</v>
      </c>
      <c r="K110" s="701"/>
      <c r="L110" s="701"/>
      <c r="M110" s="746">
        <f t="shared" si="3"/>
        <v>0</v>
      </c>
      <c r="N110" s="536">
        <f t="shared" si="4"/>
        <v>0</v>
      </c>
      <c r="O110" s="536">
        <f t="shared" si="5"/>
        <v>0</v>
      </c>
      <c r="P110" s="1593" t="s">
        <v>1192</v>
      </c>
      <c r="Q110" s="1593" t="s">
        <v>1204</v>
      </c>
      <c r="R110" s="1600">
        <f t="shared" si="41"/>
        <v>15900</v>
      </c>
      <c r="S110" s="1608">
        <v>0</v>
      </c>
      <c r="T110" s="1608">
        <v>15900</v>
      </c>
      <c r="U110" s="735">
        <f>D110-G110</f>
        <v>0</v>
      </c>
      <c r="V110" s="1565" t="s">
        <v>1481</v>
      </c>
      <c r="W110" s="1565" t="s">
        <v>1487</v>
      </c>
      <c r="X110" s="1605">
        <v>414</v>
      </c>
      <c r="Y110" s="1606"/>
      <c r="Z110" s="1606"/>
    </row>
    <row r="111" spans="1:26" s="1607" customFormat="1" ht="73.5" customHeight="1">
      <c r="A111" s="1788" t="s">
        <v>536</v>
      </c>
      <c r="B111" s="1770" t="s">
        <v>455</v>
      </c>
      <c r="C111" s="1841">
        <v>14057</v>
      </c>
      <c r="D111" s="1833">
        <f t="shared" si="39"/>
        <v>11287.5</v>
      </c>
      <c r="E111" s="854"/>
      <c r="F111" s="854">
        <v>11287.5</v>
      </c>
      <c r="G111" s="732">
        <f t="shared" si="38"/>
        <v>11287.5</v>
      </c>
      <c r="H111" s="854"/>
      <c r="I111" s="854">
        <v>11287.5</v>
      </c>
      <c r="J111" s="814">
        <f t="shared" si="40"/>
        <v>0</v>
      </c>
      <c r="K111" s="1677"/>
      <c r="L111" s="1677"/>
      <c r="M111" s="746">
        <f t="shared" si="3"/>
        <v>0</v>
      </c>
      <c r="N111" s="536">
        <f t="shared" si="4"/>
        <v>0</v>
      </c>
      <c r="O111" s="536">
        <f t="shared" si="5"/>
        <v>0</v>
      </c>
      <c r="P111" s="1593" t="s">
        <v>1192</v>
      </c>
      <c r="Q111" s="1593" t="s">
        <v>1206</v>
      </c>
      <c r="R111" s="1600">
        <f t="shared" si="41"/>
        <v>21276.6</v>
      </c>
      <c r="S111" s="1614">
        <v>20000</v>
      </c>
      <c r="T111" s="1614">
        <v>1276.5999999999999</v>
      </c>
      <c r="U111" s="735"/>
      <c r="V111" s="1565">
        <v>1002</v>
      </c>
      <c r="W111" s="1565" t="s">
        <v>1490</v>
      </c>
      <c r="X111" s="1605">
        <v>414</v>
      </c>
      <c r="Y111" s="1606"/>
      <c r="Z111" s="1606"/>
    </row>
    <row r="112" spans="1:26" s="1607" customFormat="1" ht="43.5" customHeight="1">
      <c r="A112" s="1788" t="s">
        <v>131</v>
      </c>
      <c r="B112" s="1772" t="s">
        <v>1491</v>
      </c>
      <c r="C112" s="1841">
        <v>14089</v>
      </c>
      <c r="D112" s="1833">
        <f t="shared" si="39"/>
        <v>11200</v>
      </c>
      <c r="E112" s="854"/>
      <c r="F112" s="854">
        <v>11200</v>
      </c>
      <c r="G112" s="732">
        <f t="shared" si="38"/>
        <v>11200</v>
      </c>
      <c r="H112" s="854"/>
      <c r="I112" s="854">
        <v>11200</v>
      </c>
      <c r="J112" s="814">
        <f t="shared" si="40"/>
        <v>0</v>
      </c>
      <c r="K112" s="1677"/>
      <c r="L112" s="1677"/>
      <c r="M112" s="746">
        <f t="shared" si="3"/>
        <v>0</v>
      </c>
      <c r="N112" s="536">
        <f t="shared" si="4"/>
        <v>0</v>
      </c>
      <c r="O112" s="536">
        <f t="shared" si="5"/>
        <v>0</v>
      </c>
      <c r="P112" s="1593" t="s">
        <v>1192</v>
      </c>
      <c r="Q112" s="1593" t="s">
        <v>1206</v>
      </c>
      <c r="R112" s="1600">
        <f t="shared" si="41"/>
        <v>21276.6</v>
      </c>
      <c r="S112" s="1614">
        <v>20000</v>
      </c>
      <c r="T112" s="1614">
        <v>1276.5999999999999</v>
      </c>
      <c r="U112" s="735"/>
      <c r="V112" s="1565" t="s">
        <v>1429</v>
      </c>
      <c r="W112" s="1565">
        <v>19000290400</v>
      </c>
      <c r="X112" s="1605">
        <v>414</v>
      </c>
      <c r="Y112" s="1606"/>
      <c r="Z112" s="1606"/>
    </row>
    <row r="113" spans="1:26" s="1607" customFormat="1" ht="68.25" customHeight="1">
      <c r="A113" s="1788" t="s">
        <v>555</v>
      </c>
      <c r="B113" s="1704" t="s">
        <v>1492</v>
      </c>
      <c r="C113" s="1836">
        <v>14091</v>
      </c>
      <c r="D113" s="1833">
        <f t="shared" si="39"/>
        <v>20000</v>
      </c>
      <c r="E113" s="854"/>
      <c r="F113" s="854">
        <v>20000</v>
      </c>
      <c r="G113" s="732">
        <f t="shared" si="38"/>
        <v>20000</v>
      </c>
      <c r="H113" s="854"/>
      <c r="I113" s="854">
        <v>20000</v>
      </c>
      <c r="J113" s="814">
        <f t="shared" si="40"/>
        <v>0</v>
      </c>
      <c r="K113" s="1677"/>
      <c r="L113" s="1677"/>
      <c r="M113" s="746">
        <f t="shared" ref="M113:M211" si="42">IF(J113=0,0,J113/G113*100)</f>
        <v>0</v>
      </c>
      <c r="N113" s="536">
        <f t="shared" ref="N113:N211" si="43">IF(K113=0,0,K113/H113*100)</f>
        <v>0</v>
      </c>
      <c r="O113" s="536">
        <f t="shared" ref="O113:O211" si="44">IF(L113=0,0,L113/I113*100)</f>
        <v>0</v>
      </c>
      <c r="P113" s="1593" t="s">
        <v>1192</v>
      </c>
      <c r="Q113" s="1593" t="s">
        <v>1206</v>
      </c>
      <c r="R113" s="1600">
        <f t="shared" si="41"/>
        <v>21276.6</v>
      </c>
      <c r="S113" s="1614">
        <v>20000</v>
      </c>
      <c r="T113" s="1614">
        <v>1276.5999999999999</v>
      </c>
      <c r="U113" s="735"/>
      <c r="V113" s="1565" t="s">
        <v>1493</v>
      </c>
      <c r="W113" s="1565" t="s">
        <v>1494</v>
      </c>
      <c r="X113" s="1605">
        <v>414</v>
      </c>
      <c r="Y113" s="1606"/>
      <c r="Z113" s="1606"/>
    </row>
    <row r="114" spans="1:26" ht="48" customHeight="1">
      <c r="A114" s="1788" t="s">
        <v>556</v>
      </c>
      <c r="B114" s="1705" t="s">
        <v>1473</v>
      </c>
      <c r="C114" s="1836">
        <v>14090</v>
      </c>
      <c r="D114" s="1833">
        <f t="shared" si="39"/>
        <v>7941.5</v>
      </c>
      <c r="E114" s="854"/>
      <c r="F114" s="854">
        <v>7941.5</v>
      </c>
      <c r="G114" s="732">
        <f t="shared" si="38"/>
        <v>7941.5</v>
      </c>
      <c r="H114" s="854"/>
      <c r="I114" s="854">
        <v>7941.5</v>
      </c>
      <c r="J114" s="534">
        <f t="shared" si="40"/>
        <v>0</v>
      </c>
      <c r="K114" s="698"/>
      <c r="L114" s="698"/>
      <c r="M114" s="746">
        <f t="shared" si="42"/>
        <v>0</v>
      </c>
      <c r="N114" s="536">
        <f t="shared" si="43"/>
        <v>0</v>
      </c>
      <c r="O114" s="536">
        <f t="shared" si="44"/>
        <v>0</v>
      </c>
      <c r="P114" s="1593" t="s">
        <v>1192</v>
      </c>
      <c r="Q114" s="1592" t="s">
        <v>1160</v>
      </c>
      <c r="R114" s="1600">
        <f t="shared" si="41"/>
        <v>359978.2</v>
      </c>
      <c r="S114" s="1614">
        <f>359978.2*0.90202494621</f>
        <v>324709.3</v>
      </c>
      <c r="T114" s="1614">
        <f>359978.2*(1-0.90202494621)</f>
        <v>35268.9</v>
      </c>
      <c r="U114" s="735">
        <f>D114-G114</f>
        <v>0</v>
      </c>
      <c r="V114" s="1565" t="s">
        <v>1474</v>
      </c>
      <c r="W114" s="1565" t="s">
        <v>1475</v>
      </c>
      <c r="X114" s="1565">
        <v>414</v>
      </c>
    </row>
    <row r="115" spans="1:26" ht="43.5" customHeight="1">
      <c r="A115" s="1787" t="s">
        <v>249</v>
      </c>
      <c r="B115" s="1668" t="s">
        <v>1394</v>
      </c>
      <c r="C115" s="1839"/>
      <c r="D115" s="1828">
        <f t="shared" si="39"/>
        <v>5209682.8</v>
      </c>
      <c r="E115" s="1685">
        <f>SUM(E116,E127,E167,E169)</f>
        <v>4022252.6</v>
      </c>
      <c r="F115" s="1685">
        <f>SUM(F116,F127,F167,F169)</f>
        <v>1187430.2</v>
      </c>
      <c r="G115" s="1669">
        <f t="shared" si="38"/>
        <v>5128509</v>
      </c>
      <c r="H115" s="1685">
        <f>SUM(H116,H127,H167,H169)</f>
        <v>4031496.1</v>
      </c>
      <c r="I115" s="1685">
        <f>SUM(I116,I127,I167,I169)</f>
        <v>1097012.8999999999</v>
      </c>
      <c r="J115" s="1669">
        <f t="shared" si="40"/>
        <v>0</v>
      </c>
      <c r="K115" s="1685">
        <f>SUM(K116,K127,K167,K169)</f>
        <v>0</v>
      </c>
      <c r="L115" s="1685">
        <f>SUM(L116,L127,L167,L169)</f>
        <v>0</v>
      </c>
      <c r="M115" s="1670">
        <f t="shared" si="42"/>
        <v>0</v>
      </c>
      <c r="N115" s="1671">
        <f t="shared" si="43"/>
        <v>0</v>
      </c>
      <c r="O115" s="1671">
        <f t="shared" si="44"/>
        <v>0</v>
      </c>
      <c r="P115" s="1599" t="s">
        <v>353</v>
      </c>
      <c r="Q115" s="1599" t="s">
        <v>353</v>
      </c>
      <c r="R115" s="1598" t="e">
        <f t="shared" si="41"/>
        <v>#REF!</v>
      </c>
      <c r="S115" s="1598" t="e">
        <f>SUM(#REF!,#REF!,S95,#REF!,#REF!,#REF!,S89,#REF!,#REF!,S73,S113,S100,#REF!,#REF!,#REF!)</f>
        <v>#REF!</v>
      </c>
      <c r="T115" s="1598" t="e">
        <f>SUM(#REF!,#REF!,T95,#REF!,#REF!,#REF!,T89,#REF!,#REF!,T73,T113,T100,#REF!,#REF!,#REF!)</f>
        <v>#REF!</v>
      </c>
      <c r="U115" s="735">
        <f>D115-G115</f>
        <v>81173.8</v>
      </c>
    </row>
    <row r="116" spans="1:26" ht="43.5" customHeight="1">
      <c r="A116" s="1787" t="s">
        <v>250</v>
      </c>
      <c r="B116" s="1687" t="s">
        <v>1395</v>
      </c>
      <c r="C116" s="1843"/>
      <c r="D116" s="1825">
        <f t="shared" si="39"/>
        <v>2013972.1</v>
      </c>
      <c r="E116" s="1688">
        <f>SUM(E117,E125)</f>
        <v>1288162.6000000001</v>
      </c>
      <c r="F116" s="1688">
        <f t="shared" ref="F116:O116" si="45">SUM(F117,F125)</f>
        <v>725809.5</v>
      </c>
      <c r="G116" s="1688">
        <f t="shared" si="45"/>
        <v>2010246.1</v>
      </c>
      <c r="H116" s="1688">
        <f t="shared" si="45"/>
        <v>1286300.8</v>
      </c>
      <c r="I116" s="1688">
        <f t="shared" si="45"/>
        <v>723945.3</v>
      </c>
      <c r="J116" s="1688">
        <f t="shared" si="45"/>
        <v>0</v>
      </c>
      <c r="K116" s="1688">
        <f t="shared" si="45"/>
        <v>0</v>
      </c>
      <c r="L116" s="1688">
        <f t="shared" si="45"/>
        <v>0</v>
      </c>
      <c r="M116" s="1688">
        <f t="shared" si="45"/>
        <v>0</v>
      </c>
      <c r="N116" s="1688">
        <f t="shared" si="45"/>
        <v>0</v>
      </c>
      <c r="O116" s="1688">
        <f t="shared" si="45"/>
        <v>0</v>
      </c>
      <c r="P116" s="1599"/>
      <c r="Q116" s="1599"/>
      <c r="R116" s="1598"/>
      <c r="S116" s="1598"/>
      <c r="T116" s="1598"/>
      <c r="U116" s="735"/>
      <c r="V116" s="1618"/>
      <c r="W116" s="1618"/>
      <c r="X116" s="1618"/>
    </row>
    <row r="117" spans="1:26" ht="20.25">
      <c r="A117" s="1787"/>
      <c r="B117" s="1687" t="s">
        <v>1461</v>
      </c>
      <c r="C117" s="1843"/>
      <c r="D117" s="1825">
        <f t="shared" si="39"/>
        <v>1966282</v>
      </c>
      <c r="E117" s="1688">
        <f>SUM(E118:E124)</f>
        <v>1251300.8</v>
      </c>
      <c r="F117" s="1688">
        <f>SUM(F118:F124)</f>
        <v>714981.2</v>
      </c>
      <c r="G117" s="1688">
        <f t="shared" si="38"/>
        <v>1962556.1</v>
      </c>
      <c r="H117" s="1688">
        <f>SUM(H118:H124)</f>
        <v>1251300.8</v>
      </c>
      <c r="I117" s="1688">
        <f>SUM(I118:I124)</f>
        <v>711255.3</v>
      </c>
      <c r="J117" s="1688">
        <f t="shared" si="40"/>
        <v>0</v>
      </c>
      <c r="K117" s="1688">
        <f>SUM(K118:K124)</f>
        <v>0</v>
      </c>
      <c r="L117" s="1688">
        <f>SUM(L118:L124)</f>
        <v>0</v>
      </c>
      <c r="M117" s="1689">
        <f t="shared" si="42"/>
        <v>0</v>
      </c>
      <c r="N117" s="1690">
        <f t="shared" si="43"/>
        <v>0</v>
      </c>
      <c r="O117" s="1690">
        <f t="shared" si="44"/>
        <v>0</v>
      </c>
      <c r="P117" s="1599"/>
      <c r="Q117" s="1599"/>
      <c r="R117" s="1598"/>
      <c r="S117" s="1598"/>
      <c r="T117" s="1598"/>
      <c r="U117" s="735"/>
    </row>
    <row r="118" spans="1:26" ht="75.75" customHeight="1">
      <c r="A118" s="1788" t="s">
        <v>162</v>
      </c>
      <c r="B118" s="1705" t="s">
        <v>1459</v>
      </c>
      <c r="C118" s="1831" t="s">
        <v>1547</v>
      </c>
      <c r="D118" s="1826">
        <f t="shared" si="39"/>
        <v>925654.2</v>
      </c>
      <c r="E118" s="854">
        <v>542739</v>
      </c>
      <c r="F118" s="854">
        <v>382915.2</v>
      </c>
      <c r="G118" s="732">
        <f t="shared" si="38"/>
        <v>925654.2</v>
      </c>
      <c r="H118" s="854">
        <v>542739</v>
      </c>
      <c r="I118" s="854">
        <v>382915.2</v>
      </c>
      <c r="J118" s="529">
        <f t="shared" si="40"/>
        <v>0</v>
      </c>
      <c r="K118" s="854"/>
      <c r="L118" s="854"/>
      <c r="M118" s="733">
        <f t="shared" si="42"/>
        <v>0</v>
      </c>
      <c r="N118" s="734">
        <f t="shared" si="43"/>
        <v>0</v>
      </c>
      <c r="O118" s="734">
        <f t="shared" si="44"/>
        <v>0</v>
      </c>
      <c r="P118" s="1593" t="s">
        <v>1192</v>
      </c>
      <c r="Q118" s="1592" t="s">
        <v>1160</v>
      </c>
      <c r="R118" s="1600">
        <f>SUM(S118:T118)</f>
        <v>359978.2</v>
      </c>
      <c r="S118" s="1614">
        <f>359978.2*0.90202494621</f>
        <v>324709.3</v>
      </c>
      <c r="T118" s="1614">
        <f>359978.2*(1-0.90202494621)</f>
        <v>35268.9</v>
      </c>
      <c r="U118" s="735">
        <f>D118-G118</f>
        <v>0</v>
      </c>
      <c r="V118" s="1565" t="s">
        <v>1462</v>
      </c>
      <c r="W118" s="1565" t="s">
        <v>1463</v>
      </c>
      <c r="X118" s="1565">
        <v>414</v>
      </c>
    </row>
    <row r="119" spans="1:26" ht="46.5" customHeight="1">
      <c r="A119" s="1788" t="s">
        <v>545</v>
      </c>
      <c r="B119" s="1705" t="s">
        <v>1460</v>
      </c>
      <c r="C119" s="1831" t="s">
        <v>1547</v>
      </c>
      <c r="D119" s="1826">
        <f t="shared" si="39"/>
        <v>806671.2</v>
      </c>
      <c r="E119" s="854">
        <v>482434.7</v>
      </c>
      <c r="F119" s="854">
        <v>324236.5</v>
      </c>
      <c r="G119" s="732">
        <f t="shared" si="38"/>
        <v>806671.2</v>
      </c>
      <c r="H119" s="854">
        <v>482434.7</v>
      </c>
      <c r="I119" s="854">
        <v>324236.5</v>
      </c>
      <c r="J119" s="529">
        <f t="shared" si="40"/>
        <v>0</v>
      </c>
      <c r="K119" s="854"/>
      <c r="L119" s="854"/>
      <c r="M119" s="733">
        <f t="shared" si="42"/>
        <v>0</v>
      </c>
      <c r="N119" s="734">
        <f t="shared" si="43"/>
        <v>0</v>
      </c>
      <c r="O119" s="734">
        <f t="shared" si="44"/>
        <v>0</v>
      </c>
      <c r="P119" s="1593" t="s">
        <v>1192</v>
      </c>
      <c r="Q119" s="1592" t="s">
        <v>1159</v>
      </c>
      <c r="R119" s="1600">
        <f>SUM(S119:T119)</f>
        <v>319980.59999999998</v>
      </c>
      <c r="S119" s="1614">
        <f>319980.6*0.90202494621</f>
        <v>288630.5</v>
      </c>
      <c r="T119" s="1614">
        <f>319980.6*(1-0.90202494621)</f>
        <v>31350.1</v>
      </c>
      <c r="U119" s="735">
        <f>D119-G119</f>
        <v>0</v>
      </c>
      <c r="V119" s="1565" t="s">
        <v>1462</v>
      </c>
      <c r="W119" s="1565" t="s">
        <v>1463</v>
      </c>
      <c r="X119" s="1565">
        <v>414</v>
      </c>
    </row>
    <row r="120" spans="1:26" ht="46.5" customHeight="1">
      <c r="A120" s="1788"/>
      <c r="B120" s="1705" t="s">
        <v>1595</v>
      </c>
      <c r="C120" s="1831"/>
      <c r="D120" s="1833">
        <f t="shared" si="39"/>
        <v>9921.2000000000007</v>
      </c>
      <c r="E120" s="854">
        <v>9325.9</v>
      </c>
      <c r="F120" s="854">
        <v>595.29999999999995</v>
      </c>
      <c r="G120" s="732">
        <f t="shared" si="38"/>
        <v>10921.2</v>
      </c>
      <c r="H120" s="854">
        <v>9325.9</v>
      </c>
      <c r="I120" s="854">
        <v>1595.3</v>
      </c>
      <c r="J120" s="529">
        <f t="shared" si="40"/>
        <v>0</v>
      </c>
      <c r="K120" s="854"/>
      <c r="L120" s="854"/>
      <c r="M120" s="733">
        <f t="shared" si="42"/>
        <v>0</v>
      </c>
      <c r="N120" s="734"/>
      <c r="O120" s="734"/>
      <c r="P120" s="1593"/>
      <c r="Q120" s="1592"/>
      <c r="R120" s="1600"/>
      <c r="S120" s="1614"/>
      <c r="T120" s="1614"/>
      <c r="U120" s="735"/>
    </row>
    <row r="121" spans="1:26" ht="46.5" customHeight="1">
      <c r="A121" s="1788"/>
      <c r="B121" s="1705" t="s">
        <v>1596</v>
      </c>
      <c r="C121" s="1831"/>
      <c r="D121" s="1833">
        <f t="shared" si="39"/>
        <v>6302.6</v>
      </c>
      <c r="E121" s="854">
        <v>5924.4</v>
      </c>
      <c r="F121" s="854">
        <v>378.2</v>
      </c>
      <c r="G121" s="732">
        <f t="shared" si="38"/>
        <v>6302.6</v>
      </c>
      <c r="H121" s="854">
        <v>5924.4</v>
      </c>
      <c r="I121" s="854">
        <f>1878.2-1500</f>
        <v>378.2</v>
      </c>
      <c r="J121" s="529">
        <f t="shared" si="40"/>
        <v>0</v>
      </c>
      <c r="K121" s="854"/>
      <c r="L121" s="854"/>
      <c r="M121" s="733">
        <f t="shared" si="42"/>
        <v>0</v>
      </c>
      <c r="N121" s="734"/>
      <c r="O121" s="734"/>
      <c r="P121" s="1593"/>
      <c r="Q121" s="1592"/>
      <c r="R121" s="1600"/>
      <c r="S121" s="1614"/>
      <c r="T121" s="1614"/>
      <c r="U121" s="735"/>
    </row>
    <row r="122" spans="1:26" ht="46.5" customHeight="1">
      <c r="A122" s="1788"/>
      <c r="B122" s="1705" t="s">
        <v>1567</v>
      </c>
      <c r="C122" s="1831"/>
      <c r="D122" s="1833">
        <f t="shared" si="39"/>
        <v>4725.8999999999996</v>
      </c>
      <c r="E122" s="854">
        <v>0</v>
      </c>
      <c r="F122" s="854">
        <v>4725.8999999999996</v>
      </c>
      <c r="G122" s="732">
        <f t="shared" si="38"/>
        <v>0</v>
      </c>
      <c r="H122" s="854"/>
      <c r="I122" s="854">
        <v>0</v>
      </c>
      <c r="J122" s="529">
        <f t="shared" si="40"/>
        <v>0</v>
      </c>
      <c r="K122" s="854"/>
      <c r="L122" s="854"/>
      <c r="M122" s="733">
        <f t="shared" si="42"/>
        <v>0</v>
      </c>
      <c r="N122" s="734"/>
      <c r="O122" s="734"/>
      <c r="P122" s="1593"/>
      <c r="Q122" s="1592"/>
      <c r="R122" s="1600"/>
      <c r="S122" s="1614"/>
      <c r="T122" s="1614"/>
      <c r="U122" s="735"/>
    </row>
    <row r="123" spans="1:26" ht="46.5" customHeight="1">
      <c r="A123" s="1788" t="s">
        <v>557</v>
      </c>
      <c r="B123" s="1773" t="s">
        <v>1465</v>
      </c>
      <c r="C123" s="1831" t="s">
        <v>1547</v>
      </c>
      <c r="D123" s="1826">
        <f t="shared" si="39"/>
        <v>109222.6</v>
      </c>
      <c r="E123" s="854">
        <v>108130.3</v>
      </c>
      <c r="F123" s="854">
        <v>1092.3</v>
      </c>
      <c r="G123" s="732">
        <f t="shared" si="38"/>
        <v>109222.6</v>
      </c>
      <c r="H123" s="854">
        <v>108130.3</v>
      </c>
      <c r="I123" s="854">
        <v>1092.3</v>
      </c>
      <c r="J123" s="529">
        <f t="shared" si="40"/>
        <v>0</v>
      </c>
      <c r="K123" s="854"/>
      <c r="L123" s="854"/>
      <c r="M123" s="733">
        <f t="shared" si="42"/>
        <v>0</v>
      </c>
      <c r="N123" s="734">
        <f t="shared" si="43"/>
        <v>0</v>
      </c>
      <c r="O123" s="734">
        <f t="shared" si="44"/>
        <v>0</v>
      </c>
      <c r="P123" s="1593" t="s">
        <v>1192</v>
      </c>
      <c r="Q123" s="1592" t="s">
        <v>1160</v>
      </c>
      <c r="R123" s="1600">
        <f>SUM(S123:T123)</f>
        <v>359978.2</v>
      </c>
      <c r="S123" s="1614">
        <f>359978.2*0.90202494621</f>
        <v>324709.3</v>
      </c>
      <c r="T123" s="1614">
        <f>359978.2*(1-0.90202494621)</f>
        <v>35268.9</v>
      </c>
      <c r="U123" s="735">
        <f>D123-G123</f>
        <v>0</v>
      </c>
      <c r="V123" s="1565" t="s">
        <v>1462</v>
      </c>
      <c r="W123" s="1565" t="s">
        <v>1464</v>
      </c>
      <c r="X123" s="1565">
        <v>414</v>
      </c>
    </row>
    <row r="124" spans="1:26" ht="63.75" customHeight="1">
      <c r="A124" s="1788" t="s">
        <v>558</v>
      </c>
      <c r="B124" s="1773" t="s">
        <v>1466</v>
      </c>
      <c r="C124" s="1831" t="s">
        <v>1547</v>
      </c>
      <c r="D124" s="1826">
        <f t="shared" si="39"/>
        <v>103784.3</v>
      </c>
      <c r="E124" s="854">
        <v>102746.5</v>
      </c>
      <c r="F124" s="854">
        <v>1037.8</v>
      </c>
      <c r="G124" s="732">
        <f t="shared" si="38"/>
        <v>103784.3</v>
      </c>
      <c r="H124" s="854">
        <v>102746.5</v>
      </c>
      <c r="I124" s="854">
        <v>1037.8</v>
      </c>
      <c r="J124" s="529">
        <f t="shared" si="40"/>
        <v>0</v>
      </c>
      <c r="K124" s="854"/>
      <c r="L124" s="854"/>
      <c r="M124" s="733">
        <f t="shared" si="42"/>
        <v>0</v>
      </c>
      <c r="N124" s="734">
        <f t="shared" si="43"/>
        <v>0</v>
      </c>
      <c r="O124" s="734">
        <f t="shared" si="44"/>
        <v>0</v>
      </c>
      <c r="P124" s="1593" t="s">
        <v>1192</v>
      </c>
      <c r="Q124" s="1592" t="s">
        <v>1159</v>
      </c>
      <c r="R124" s="1600">
        <f>SUM(S124:T124)</f>
        <v>319980.59999999998</v>
      </c>
      <c r="S124" s="1614">
        <f>319980.6*0.90202494621</f>
        <v>288630.5</v>
      </c>
      <c r="T124" s="1614">
        <f>319980.6*(1-0.90202494621)</f>
        <v>31350.1</v>
      </c>
      <c r="U124" s="735">
        <f>D124-G124</f>
        <v>0</v>
      </c>
      <c r="V124" s="1565" t="s">
        <v>1462</v>
      </c>
      <c r="W124" s="1565" t="s">
        <v>1464</v>
      </c>
      <c r="X124" s="1565">
        <v>414</v>
      </c>
    </row>
    <row r="125" spans="1:26" ht="20.25">
      <c r="A125" s="1787"/>
      <c r="B125" s="1687" t="s">
        <v>1470</v>
      </c>
      <c r="C125" s="1843"/>
      <c r="D125" s="1825">
        <f t="shared" si="39"/>
        <v>47690.1</v>
      </c>
      <c r="E125" s="1688">
        <f>SUM(E126)</f>
        <v>36861.800000000003</v>
      </c>
      <c r="F125" s="1688">
        <f>SUM(F126)</f>
        <v>10828.3</v>
      </c>
      <c r="G125" s="1688">
        <f t="shared" si="38"/>
        <v>47690</v>
      </c>
      <c r="H125" s="1688">
        <f>SUM(H126)</f>
        <v>35000</v>
      </c>
      <c r="I125" s="1688">
        <f>SUM(I126)</f>
        <v>12690</v>
      </c>
      <c r="J125" s="1688">
        <f t="shared" si="40"/>
        <v>0</v>
      </c>
      <c r="K125" s="1688">
        <f>SUM(K126)</f>
        <v>0</v>
      </c>
      <c r="L125" s="1688">
        <f>SUM(L126)</f>
        <v>0</v>
      </c>
      <c r="M125" s="1689">
        <f t="shared" si="42"/>
        <v>0</v>
      </c>
      <c r="N125" s="1690">
        <f t="shared" si="43"/>
        <v>0</v>
      </c>
      <c r="O125" s="1690">
        <f t="shared" si="44"/>
        <v>0</v>
      </c>
      <c r="P125" s="1599"/>
      <c r="Q125" s="1599"/>
      <c r="R125" s="1598"/>
      <c r="S125" s="1598"/>
      <c r="T125" s="1598"/>
      <c r="U125" s="735"/>
    </row>
    <row r="126" spans="1:26" ht="54.75" customHeight="1">
      <c r="A126" s="1788" t="s">
        <v>559</v>
      </c>
      <c r="B126" s="1705" t="s">
        <v>1472</v>
      </c>
      <c r="C126" s="1836" t="s">
        <v>1549</v>
      </c>
      <c r="D126" s="1826">
        <f t="shared" si="39"/>
        <v>47690.1</v>
      </c>
      <c r="E126" s="854">
        <v>36861.800000000003</v>
      </c>
      <c r="F126" s="854">
        <v>10828.3</v>
      </c>
      <c r="G126" s="732">
        <f t="shared" si="38"/>
        <v>47690</v>
      </c>
      <c r="H126" s="854">
        <v>35000</v>
      </c>
      <c r="I126" s="854">
        <v>12690</v>
      </c>
      <c r="J126" s="534">
        <f t="shared" si="40"/>
        <v>0</v>
      </c>
      <c r="K126" s="698"/>
      <c r="L126" s="698"/>
      <c r="M126" s="746">
        <f t="shared" si="42"/>
        <v>0</v>
      </c>
      <c r="N126" s="536">
        <f t="shared" si="43"/>
        <v>0</v>
      </c>
      <c r="O126" s="536">
        <f t="shared" si="44"/>
        <v>0</v>
      </c>
      <c r="P126" s="1593" t="s">
        <v>1192</v>
      </c>
      <c r="Q126" s="1592" t="s">
        <v>1160</v>
      </c>
      <c r="R126" s="1600">
        <f>SUM(S126:T126)</f>
        <v>359978.2</v>
      </c>
      <c r="S126" s="1614">
        <f>359978.2*0.90202494621</f>
        <v>324709.3</v>
      </c>
      <c r="T126" s="1614">
        <f>359978.2*(1-0.90202494621)</f>
        <v>35268.9</v>
      </c>
      <c r="U126" s="735">
        <f>D126-G126</f>
        <v>0.1</v>
      </c>
      <c r="V126" s="1565">
        <v>801</v>
      </c>
      <c r="W126" s="1565" t="s">
        <v>1471</v>
      </c>
      <c r="X126" s="1565">
        <v>414</v>
      </c>
    </row>
    <row r="127" spans="1:26" ht="64.5" customHeight="1">
      <c r="A127" s="1787" t="s">
        <v>251</v>
      </c>
      <c r="B127" s="1711" t="s">
        <v>1435</v>
      </c>
      <c r="C127" s="1846"/>
      <c r="D127" s="1830">
        <f t="shared" si="39"/>
        <v>3001117</v>
      </c>
      <c r="E127" s="729">
        <f>SUM(E128:E166)</f>
        <v>2734090</v>
      </c>
      <c r="F127" s="729">
        <f t="shared" ref="F127:O127" si="46">SUM(F128:F166)</f>
        <v>267027</v>
      </c>
      <c r="G127" s="729">
        <f t="shared" si="46"/>
        <v>2938158.1</v>
      </c>
      <c r="H127" s="729">
        <f t="shared" si="46"/>
        <v>2745195.3</v>
      </c>
      <c r="I127" s="729">
        <f t="shared" si="46"/>
        <v>192962.8</v>
      </c>
      <c r="J127" s="729">
        <f t="shared" si="46"/>
        <v>0</v>
      </c>
      <c r="K127" s="729">
        <f t="shared" si="46"/>
        <v>0</v>
      </c>
      <c r="L127" s="729">
        <f t="shared" si="46"/>
        <v>0</v>
      </c>
      <c r="M127" s="729">
        <f t="shared" si="46"/>
        <v>0</v>
      </c>
      <c r="N127" s="729">
        <f t="shared" si="46"/>
        <v>0</v>
      </c>
      <c r="O127" s="729">
        <f t="shared" si="46"/>
        <v>0</v>
      </c>
      <c r="P127" s="1593"/>
      <c r="Q127" s="1593"/>
      <c r="R127" s="1623" t="e">
        <f>SUM(S127:T127)</f>
        <v>#REF!</v>
      </c>
      <c r="S127" s="1623" t="e">
        <f>SUM(S132:S166)</f>
        <v>#REF!</v>
      </c>
      <c r="T127" s="1623" t="e">
        <f>SUM(T132:T166)</f>
        <v>#REF!</v>
      </c>
      <c r="U127" s="735">
        <f>D127-G127</f>
        <v>62958.9</v>
      </c>
      <c r="V127" s="2546" t="s">
        <v>1533</v>
      </c>
      <c r="W127" s="2546"/>
      <c r="X127" s="2546"/>
    </row>
    <row r="128" spans="1:26" ht="64.5" customHeight="1">
      <c r="A128" s="1787"/>
      <c r="B128" s="1806" t="s">
        <v>1582</v>
      </c>
      <c r="C128" s="1845"/>
      <c r="D128" s="1833">
        <f t="shared" si="39"/>
        <v>17204.7</v>
      </c>
      <c r="E128" s="802">
        <v>16172.3</v>
      </c>
      <c r="F128" s="802">
        <v>1032.4000000000001</v>
      </c>
      <c r="G128" s="732">
        <f t="shared" si="38"/>
        <v>17204.7</v>
      </c>
      <c r="H128" s="802">
        <v>16172.3</v>
      </c>
      <c r="I128" s="802">
        <v>1032.4000000000001</v>
      </c>
      <c r="J128" s="732">
        <f t="shared" si="40"/>
        <v>0</v>
      </c>
      <c r="K128" s="732"/>
      <c r="L128" s="732"/>
      <c r="M128" s="733">
        <f t="shared" si="42"/>
        <v>0</v>
      </c>
      <c r="N128" s="733"/>
      <c r="O128" s="733"/>
      <c r="P128" s="1593"/>
      <c r="Q128" s="1593"/>
      <c r="R128" s="1623"/>
      <c r="S128" s="1623"/>
      <c r="T128" s="1623"/>
      <c r="U128" s="735"/>
      <c r="V128" s="1783"/>
      <c r="W128" s="1783"/>
      <c r="X128" s="1783"/>
    </row>
    <row r="129" spans="1:26" ht="64.5" customHeight="1">
      <c r="A129" s="1787"/>
      <c r="B129" s="1806" t="s">
        <v>1583</v>
      </c>
      <c r="C129" s="1845"/>
      <c r="D129" s="1833">
        <f t="shared" si="39"/>
        <v>4597</v>
      </c>
      <c r="E129" s="802">
        <v>4321.2</v>
      </c>
      <c r="F129" s="802">
        <v>275.8</v>
      </c>
      <c r="G129" s="732">
        <f t="shared" si="38"/>
        <v>4597</v>
      </c>
      <c r="H129" s="802">
        <v>4321.2</v>
      </c>
      <c r="I129" s="802">
        <v>275.8</v>
      </c>
      <c r="J129" s="732">
        <f t="shared" si="40"/>
        <v>0</v>
      </c>
      <c r="K129" s="732"/>
      <c r="L129" s="732"/>
      <c r="M129" s="733">
        <f t="shared" si="42"/>
        <v>0</v>
      </c>
      <c r="N129" s="733"/>
      <c r="O129" s="733"/>
      <c r="P129" s="1593"/>
      <c r="Q129" s="1593"/>
      <c r="R129" s="1623"/>
      <c r="S129" s="1623"/>
      <c r="T129" s="1623"/>
      <c r="U129" s="735"/>
      <c r="V129" s="1783"/>
      <c r="W129" s="1783"/>
      <c r="X129" s="1783"/>
    </row>
    <row r="130" spans="1:26" ht="64.5" customHeight="1">
      <c r="A130" s="1787"/>
      <c r="B130" s="1806" t="s">
        <v>1585</v>
      </c>
      <c r="C130" s="1845"/>
      <c r="D130" s="1833">
        <f t="shared" si="39"/>
        <v>3935.3</v>
      </c>
      <c r="E130" s="802">
        <v>3699.2</v>
      </c>
      <c r="F130" s="802">
        <v>236.1</v>
      </c>
      <c r="G130" s="732">
        <f t="shared" si="38"/>
        <v>3935.3</v>
      </c>
      <c r="H130" s="802">
        <v>3699.2</v>
      </c>
      <c r="I130" s="802">
        <v>236.1</v>
      </c>
      <c r="J130" s="732">
        <f t="shared" si="40"/>
        <v>0</v>
      </c>
      <c r="K130" s="732"/>
      <c r="L130" s="732"/>
      <c r="M130" s="733">
        <f t="shared" si="42"/>
        <v>0</v>
      </c>
      <c r="N130" s="733"/>
      <c r="O130" s="733"/>
      <c r="P130" s="1593"/>
      <c r="Q130" s="1593"/>
      <c r="R130" s="1623"/>
      <c r="S130" s="1623"/>
      <c r="T130" s="1623"/>
      <c r="U130" s="735"/>
      <c r="V130" s="1783"/>
      <c r="W130" s="1783"/>
      <c r="X130" s="1783"/>
    </row>
    <row r="131" spans="1:26" ht="64.5" customHeight="1">
      <c r="A131" s="1787"/>
      <c r="B131" s="1806" t="s">
        <v>1586</v>
      </c>
      <c r="C131" s="1845"/>
      <c r="D131" s="1833">
        <f t="shared" si="39"/>
        <v>1226.9000000000001</v>
      </c>
      <c r="E131" s="802">
        <v>1153.3</v>
      </c>
      <c r="F131" s="802">
        <v>73.599999999999994</v>
      </c>
      <c r="G131" s="732">
        <f t="shared" si="38"/>
        <v>1226.9000000000001</v>
      </c>
      <c r="H131" s="802">
        <v>1153.3</v>
      </c>
      <c r="I131" s="802">
        <v>73.599999999999994</v>
      </c>
      <c r="J131" s="732">
        <f t="shared" si="40"/>
        <v>0</v>
      </c>
      <c r="K131" s="732"/>
      <c r="L131" s="732"/>
      <c r="M131" s="733">
        <f t="shared" si="42"/>
        <v>0</v>
      </c>
      <c r="N131" s="733"/>
      <c r="O131" s="733"/>
      <c r="P131" s="1593"/>
      <c r="Q131" s="1593"/>
      <c r="R131" s="1623"/>
      <c r="S131" s="1623"/>
      <c r="T131" s="1623"/>
      <c r="U131" s="735"/>
      <c r="V131" s="1783"/>
      <c r="W131" s="1783"/>
      <c r="X131" s="1783"/>
    </row>
    <row r="132" spans="1:26" ht="88.5" customHeight="1">
      <c r="A132" s="1788"/>
      <c r="B132" s="1772" t="s">
        <v>1594</v>
      </c>
      <c r="C132" s="1847"/>
      <c r="D132" s="1833">
        <f t="shared" si="39"/>
        <v>1393</v>
      </c>
      <c r="E132" s="1676">
        <v>0</v>
      </c>
      <c r="F132" s="1676">
        <v>1393</v>
      </c>
      <c r="G132" s="732">
        <f t="shared" si="38"/>
        <v>0</v>
      </c>
      <c r="H132" s="1676">
        <v>0</v>
      </c>
      <c r="I132" s="1676">
        <v>0</v>
      </c>
      <c r="J132" s="732">
        <f t="shared" si="40"/>
        <v>0</v>
      </c>
      <c r="K132" s="1676"/>
      <c r="L132" s="1676"/>
      <c r="M132" s="733">
        <f t="shared" si="42"/>
        <v>0</v>
      </c>
      <c r="N132" s="734"/>
      <c r="O132" s="734"/>
      <c r="P132" s="1593"/>
      <c r="Q132" s="1593"/>
      <c r="R132" s="1600"/>
      <c r="S132" s="1608"/>
      <c r="T132" s="1608"/>
      <c r="U132" s="735"/>
    </row>
    <row r="133" spans="1:26" ht="96" customHeight="1">
      <c r="A133" s="1788"/>
      <c r="B133" s="1772" t="s">
        <v>1593</v>
      </c>
      <c r="C133" s="1847"/>
      <c r="D133" s="1833">
        <f>SUM(E133:F133)</f>
        <v>1519</v>
      </c>
      <c r="E133" s="1676">
        <v>0</v>
      </c>
      <c r="F133" s="1676">
        <v>1519</v>
      </c>
      <c r="G133" s="732">
        <f>SUM(H133:I133)</f>
        <v>0</v>
      </c>
      <c r="H133" s="1676">
        <v>0</v>
      </c>
      <c r="I133" s="1676">
        <v>0</v>
      </c>
      <c r="J133" s="732">
        <f>SUM(K133:L133)</f>
        <v>0</v>
      </c>
      <c r="K133" s="1676"/>
      <c r="L133" s="1676"/>
      <c r="M133" s="733">
        <f>IF(J133=0,0,J133/G133*100)</f>
        <v>0</v>
      </c>
      <c r="N133" s="734"/>
      <c r="O133" s="734"/>
      <c r="P133" s="1593"/>
      <c r="Q133" s="1593"/>
      <c r="R133" s="1600"/>
      <c r="S133" s="1608"/>
      <c r="T133" s="1608"/>
      <c r="U133" s="735"/>
    </row>
    <row r="134" spans="1:26" ht="96" customHeight="1">
      <c r="A134" s="1788"/>
      <c r="B134" s="1772" t="s">
        <v>1608</v>
      </c>
      <c r="C134" s="1847"/>
      <c r="D134" s="1833">
        <f>SUM(E134:F134)</f>
        <v>1519</v>
      </c>
      <c r="E134" s="1676">
        <v>0</v>
      </c>
      <c r="F134" s="1676">
        <v>1519</v>
      </c>
      <c r="G134" s="732">
        <f>SUM(H134:I134)</f>
        <v>0</v>
      </c>
      <c r="H134" s="1676">
        <v>0</v>
      </c>
      <c r="I134" s="1676">
        <v>0</v>
      </c>
      <c r="J134" s="732">
        <f>SUM(K134:L134)</f>
        <v>0</v>
      </c>
      <c r="K134" s="1676"/>
      <c r="L134" s="1676"/>
      <c r="M134" s="733">
        <f>IF(J134=0,0,J134/G134*100)</f>
        <v>0</v>
      </c>
      <c r="N134" s="734"/>
      <c r="O134" s="734"/>
      <c r="P134" s="1593"/>
      <c r="Q134" s="1593"/>
      <c r="R134" s="1600"/>
      <c r="S134" s="1608"/>
      <c r="T134" s="1608"/>
      <c r="U134" s="735"/>
    </row>
    <row r="135" spans="1:26" ht="57" customHeight="1">
      <c r="A135" s="1788"/>
      <c r="B135" s="1772" t="s">
        <v>1592</v>
      </c>
      <c r="C135" s="1847">
        <v>14038</v>
      </c>
      <c r="D135" s="1833">
        <f t="shared" si="39"/>
        <v>2373</v>
      </c>
      <c r="E135" s="1676">
        <v>0</v>
      </c>
      <c r="F135" s="1676">
        <v>2373</v>
      </c>
      <c r="G135" s="732">
        <f t="shared" si="38"/>
        <v>0</v>
      </c>
      <c r="H135" s="1676">
        <v>0</v>
      </c>
      <c r="I135" s="1676">
        <v>0</v>
      </c>
      <c r="J135" s="732">
        <f t="shared" si="40"/>
        <v>0</v>
      </c>
      <c r="K135" s="1676"/>
      <c r="L135" s="1676"/>
      <c r="M135" s="733">
        <f t="shared" si="42"/>
        <v>0</v>
      </c>
      <c r="N135" s="734"/>
      <c r="O135" s="734"/>
      <c r="P135" s="1593"/>
      <c r="Q135" s="1593"/>
      <c r="R135" s="1600"/>
      <c r="S135" s="1608"/>
      <c r="T135" s="1608"/>
      <c r="U135" s="735"/>
    </row>
    <row r="136" spans="1:26" ht="73.5" customHeight="1">
      <c r="A136" s="1788"/>
      <c r="B136" s="1772" t="s">
        <v>1591</v>
      </c>
      <c r="C136" s="1847">
        <v>14098</v>
      </c>
      <c r="D136" s="1833">
        <f>SUM(E136:F136)</f>
        <v>1800</v>
      </c>
      <c r="E136" s="1676">
        <v>0</v>
      </c>
      <c r="F136" s="1676">
        <v>1800</v>
      </c>
      <c r="G136" s="732">
        <f>SUM(H136:I136)</f>
        <v>0</v>
      </c>
      <c r="H136" s="1676">
        <v>0</v>
      </c>
      <c r="I136" s="1676">
        <v>0</v>
      </c>
      <c r="J136" s="732">
        <f>SUM(K136:L136)</f>
        <v>0</v>
      </c>
      <c r="K136" s="1676"/>
      <c r="L136" s="1676"/>
      <c r="M136" s="733">
        <f>IF(J136=0,0,J136/G136*100)</f>
        <v>0</v>
      </c>
      <c r="N136" s="734"/>
      <c r="O136" s="734"/>
      <c r="P136" s="1593"/>
      <c r="Q136" s="1593"/>
      <c r="R136" s="1600"/>
      <c r="S136" s="1608"/>
      <c r="T136" s="1608"/>
      <c r="U136" s="735"/>
    </row>
    <row r="137" spans="1:26" ht="73.5" customHeight="1">
      <c r="A137" s="1788"/>
      <c r="B137" s="1772" t="s">
        <v>1590</v>
      </c>
      <c r="C137" s="1847" t="s">
        <v>1613</v>
      </c>
      <c r="D137" s="1833">
        <f t="shared" si="39"/>
        <v>9872.7000000000007</v>
      </c>
      <c r="E137" s="1676">
        <v>9280.4</v>
      </c>
      <c r="F137" s="1676">
        <v>592.29999999999995</v>
      </c>
      <c r="G137" s="732">
        <f t="shared" si="38"/>
        <v>9872.7000000000007</v>
      </c>
      <c r="H137" s="1676">
        <v>9280.4</v>
      </c>
      <c r="I137" s="1676">
        <v>592.29999999999995</v>
      </c>
      <c r="J137" s="732">
        <f t="shared" si="40"/>
        <v>0</v>
      </c>
      <c r="K137" s="1676"/>
      <c r="L137" s="1676"/>
      <c r="M137" s="733">
        <f t="shared" si="42"/>
        <v>0</v>
      </c>
      <c r="N137" s="734"/>
      <c r="O137" s="734"/>
      <c r="P137" s="1593"/>
      <c r="Q137" s="1593"/>
      <c r="R137" s="1600"/>
      <c r="S137" s="1608"/>
      <c r="T137" s="1608"/>
      <c r="U137" s="735"/>
    </row>
    <row r="138" spans="1:26" ht="107.25" customHeight="1">
      <c r="A138" s="1788"/>
      <c r="B138" s="1772" t="s">
        <v>1584</v>
      </c>
      <c r="C138" s="1847"/>
      <c r="D138" s="1833">
        <f t="shared" si="39"/>
        <v>14615.1</v>
      </c>
      <c r="E138" s="1676">
        <v>13738.1</v>
      </c>
      <c r="F138" s="1676">
        <v>877</v>
      </c>
      <c r="G138" s="732">
        <f t="shared" si="38"/>
        <v>14615.1</v>
      </c>
      <c r="H138" s="1676">
        <v>13738.1</v>
      </c>
      <c r="I138" s="1676">
        <v>877</v>
      </c>
      <c r="J138" s="732">
        <f t="shared" si="40"/>
        <v>0</v>
      </c>
      <c r="K138" s="1676"/>
      <c r="L138" s="1676"/>
      <c r="M138" s="733">
        <f t="shared" si="42"/>
        <v>0</v>
      </c>
      <c r="N138" s="734"/>
      <c r="O138" s="734"/>
      <c r="P138" s="1593"/>
      <c r="Q138" s="1593"/>
      <c r="R138" s="1600"/>
      <c r="S138" s="1608"/>
      <c r="T138" s="1608"/>
      <c r="U138" s="735"/>
    </row>
    <row r="139" spans="1:26" s="484" customFormat="1" ht="67.5" hidden="1" customHeight="1">
      <c r="A139" s="1788" t="s">
        <v>561</v>
      </c>
      <c r="B139" s="1772" t="s">
        <v>704</v>
      </c>
      <c r="C139" s="1831">
        <v>14092</v>
      </c>
      <c r="D139" s="1824">
        <f t="shared" si="39"/>
        <v>0</v>
      </c>
      <c r="E139" s="1676">
        <v>0</v>
      </c>
      <c r="F139" s="1676">
        <v>0</v>
      </c>
      <c r="G139" s="732">
        <f t="shared" si="38"/>
        <v>0</v>
      </c>
      <c r="H139" s="1676">
        <v>0</v>
      </c>
      <c r="I139" s="1676">
        <v>0</v>
      </c>
      <c r="J139" s="732">
        <f t="shared" si="40"/>
        <v>0</v>
      </c>
      <c r="K139" s="1676"/>
      <c r="L139" s="1676"/>
      <c r="M139" s="733">
        <f t="shared" si="42"/>
        <v>0</v>
      </c>
      <c r="N139" s="734">
        <f t="shared" si="43"/>
        <v>0</v>
      </c>
      <c r="O139" s="734">
        <f t="shared" si="44"/>
        <v>0</v>
      </c>
      <c r="P139" s="1593" t="s">
        <v>1291</v>
      </c>
      <c r="Q139" s="1593" t="s">
        <v>1241</v>
      </c>
      <c r="R139" s="1600">
        <f t="shared" ref="R139:R146" si="47">SUM(S139:T139)</f>
        <v>100</v>
      </c>
      <c r="S139" s="1608">
        <v>0</v>
      </c>
      <c r="T139" s="1608">
        <v>100</v>
      </c>
      <c r="U139" s="735">
        <f t="shared" ref="U139:U146" si="48">D139-G139</f>
        <v>0</v>
      </c>
      <c r="V139" s="1565" t="s">
        <v>1429</v>
      </c>
      <c r="W139" s="1565" t="s">
        <v>912</v>
      </c>
      <c r="X139" s="1565">
        <v>414</v>
      </c>
      <c r="Y139" s="1606"/>
      <c r="Z139" s="1606"/>
    </row>
    <row r="140" spans="1:26" s="484" customFormat="1" ht="67.5" hidden="1" customHeight="1">
      <c r="A140" s="1788" t="s">
        <v>563</v>
      </c>
      <c r="B140" s="1772" t="s">
        <v>703</v>
      </c>
      <c r="C140" s="1847"/>
      <c r="D140" s="1824">
        <f t="shared" si="39"/>
        <v>0</v>
      </c>
      <c r="E140" s="1676">
        <v>0</v>
      </c>
      <c r="F140" s="1676">
        <v>0</v>
      </c>
      <c r="G140" s="732">
        <f t="shared" si="38"/>
        <v>0</v>
      </c>
      <c r="H140" s="1676">
        <v>0</v>
      </c>
      <c r="I140" s="1676">
        <v>0</v>
      </c>
      <c r="J140" s="732">
        <f t="shared" si="40"/>
        <v>0</v>
      </c>
      <c r="K140" s="1676"/>
      <c r="L140" s="1676"/>
      <c r="M140" s="733">
        <f t="shared" si="42"/>
        <v>0</v>
      </c>
      <c r="N140" s="734">
        <f t="shared" si="43"/>
        <v>0</v>
      </c>
      <c r="O140" s="734">
        <f t="shared" si="44"/>
        <v>0</v>
      </c>
      <c r="P140" s="1593" t="s">
        <v>1292</v>
      </c>
      <c r="Q140" s="1593" t="s">
        <v>1242</v>
      </c>
      <c r="R140" s="1600">
        <f t="shared" si="47"/>
        <v>1500</v>
      </c>
      <c r="S140" s="1608">
        <v>0</v>
      </c>
      <c r="T140" s="1608">
        <v>1500</v>
      </c>
      <c r="U140" s="735">
        <f t="shared" si="48"/>
        <v>0</v>
      </c>
      <c r="V140" s="1565" t="s">
        <v>1429</v>
      </c>
      <c r="W140" s="1565" t="s">
        <v>912</v>
      </c>
      <c r="X140" s="1565">
        <v>414</v>
      </c>
      <c r="Y140" s="1606"/>
      <c r="Z140" s="1606"/>
    </row>
    <row r="141" spans="1:26" s="484" customFormat="1" ht="90.75" customHeight="1">
      <c r="A141" s="1788" t="s">
        <v>573</v>
      </c>
      <c r="B141" s="1774" t="s">
        <v>1437</v>
      </c>
      <c r="C141" s="1847" t="s">
        <v>1544</v>
      </c>
      <c r="D141" s="1833">
        <f t="shared" si="39"/>
        <v>105852.6</v>
      </c>
      <c r="E141" s="1676">
        <v>69668.800000000003</v>
      </c>
      <c r="F141" s="1676">
        <f>4447+31736.8</f>
        <v>36183.800000000003</v>
      </c>
      <c r="G141" s="732">
        <f t="shared" si="38"/>
        <v>74115.8</v>
      </c>
      <c r="H141" s="1676">
        <v>69668.800000000003</v>
      </c>
      <c r="I141" s="1676">
        <f>4447</f>
        <v>4447</v>
      </c>
      <c r="J141" s="732">
        <f t="shared" si="40"/>
        <v>0</v>
      </c>
      <c r="K141" s="1676"/>
      <c r="L141" s="1676"/>
      <c r="M141" s="733">
        <f t="shared" si="42"/>
        <v>0</v>
      </c>
      <c r="N141" s="734">
        <f t="shared" si="43"/>
        <v>0</v>
      </c>
      <c r="O141" s="734">
        <f t="shared" si="44"/>
        <v>0</v>
      </c>
      <c r="P141" s="1593" t="s">
        <v>1293</v>
      </c>
      <c r="Q141" s="1593" t="s">
        <v>1101</v>
      </c>
      <c r="R141" s="1600">
        <f t="shared" si="47"/>
        <v>100</v>
      </c>
      <c r="S141" s="1608">
        <v>0</v>
      </c>
      <c r="T141" s="1608">
        <v>100</v>
      </c>
      <c r="U141" s="735">
        <f t="shared" si="48"/>
        <v>31736.799999999999</v>
      </c>
      <c r="V141" s="1565" t="s">
        <v>1429</v>
      </c>
      <c r="W141" s="1565" t="s">
        <v>912</v>
      </c>
      <c r="X141" s="1565">
        <v>414</v>
      </c>
      <c r="Y141" s="1606"/>
      <c r="Z141" s="1606"/>
    </row>
    <row r="142" spans="1:26" s="484" customFormat="1" ht="66" hidden="1" customHeight="1">
      <c r="A142" s="1788" t="s">
        <v>624</v>
      </c>
      <c r="B142" s="1768" t="s">
        <v>1438</v>
      </c>
      <c r="C142" s="1847"/>
      <c r="D142" s="1824">
        <f t="shared" si="39"/>
        <v>0</v>
      </c>
      <c r="E142" s="1676"/>
      <c r="F142" s="1676"/>
      <c r="G142" s="732">
        <f t="shared" si="38"/>
        <v>0</v>
      </c>
      <c r="H142" s="1676"/>
      <c r="I142" s="1676"/>
      <c r="J142" s="732">
        <f t="shared" si="40"/>
        <v>0</v>
      </c>
      <c r="K142" s="1676"/>
      <c r="L142" s="1676"/>
      <c r="M142" s="733">
        <f t="shared" si="42"/>
        <v>0</v>
      </c>
      <c r="N142" s="734">
        <f t="shared" si="43"/>
        <v>0</v>
      </c>
      <c r="O142" s="734">
        <f t="shared" si="44"/>
        <v>0</v>
      </c>
      <c r="P142" s="1593" t="s">
        <v>1192</v>
      </c>
      <c r="Q142" s="1593" t="s">
        <v>1243</v>
      </c>
      <c r="R142" s="1600">
        <f t="shared" si="47"/>
        <v>2800</v>
      </c>
      <c r="S142" s="1608">
        <v>0</v>
      </c>
      <c r="T142" s="1608">
        <v>2800</v>
      </c>
      <c r="U142" s="735">
        <f t="shared" si="48"/>
        <v>0</v>
      </c>
      <c r="V142" s="1565" t="s">
        <v>1429</v>
      </c>
      <c r="W142" s="1565" t="s">
        <v>912</v>
      </c>
      <c r="X142" s="1565">
        <v>414</v>
      </c>
      <c r="Y142" s="1606"/>
      <c r="Z142" s="1606"/>
    </row>
    <row r="143" spans="1:26" s="484" customFormat="1" ht="40.5" hidden="1" customHeight="1">
      <c r="A143" s="1788" t="s">
        <v>625</v>
      </c>
      <c r="B143" s="1768" t="s">
        <v>1439</v>
      </c>
      <c r="C143" s="1847"/>
      <c r="D143" s="1824">
        <f t="shared" si="39"/>
        <v>0</v>
      </c>
      <c r="E143" s="1676"/>
      <c r="F143" s="1676"/>
      <c r="G143" s="732">
        <f t="shared" si="38"/>
        <v>0</v>
      </c>
      <c r="H143" s="1676"/>
      <c r="I143" s="1676"/>
      <c r="J143" s="732">
        <f t="shared" si="40"/>
        <v>0</v>
      </c>
      <c r="K143" s="1676"/>
      <c r="L143" s="1676"/>
      <c r="M143" s="733">
        <f t="shared" si="42"/>
        <v>0</v>
      </c>
      <c r="N143" s="734">
        <f t="shared" si="43"/>
        <v>0</v>
      </c>
      <c r="O143" s="734">
        <f t="shared" si="44"/>
        <v>0</v>
      </c>
      <c r="P143" s="1593" t="s">
        <v>1294</v>
      </c>
      <c r="Q143" s="1593" t="s">
        <v>1244</v>
      </c>
      <c r="R143" s="1600">
        <f t="shared" si="47"/>
        <v>3100</v>
      </c>
      <c r="S143" s="1608">
        <v>0</v>
      </c>
      <c r="T143" s="1608">
        <v>3100</v>
      </c>
      <c r="U143" s="735">
        <f t="shared" si="48"/>
        <v>0</v>
      </c>
      <c r="V143" s="1565" t="s">
        <v>1429</v>
      </c>
      <c r="W143" s="1565" t="s">
        <v>912</v>
      </c>
      <c r="X143" s="1565">
        <v>414</v>
      </c>
      <c r="Y143" s="1606"/>
      <c r="Z143" s="1606"/>
    </row>
    <row r="144" spans="1:26" s="484" customFormat="1" ht="40.5" hidden="1" customHeight="1">
      <c r="A144" s="1788" t="s">
        <v>626</v>
      </c>
      <c r="B144" s="1768" t="s">
        <v>1440</v>
      </c>
      <c r="C144" s="1847"/>
      <c r="D144" s="1824">
        <f t="shared" si="39"/>
        <v>0</v>
      </c>
      <c r="E144" s="1676"/>
      <c r="F144" s="1676"/>
      <c r="G144" s="732">
        <f t="shared" si="38"/>
        <v>0</v>
      </c>
      <c r="H144" s="1676"/>
      <c r="I144" s="1676"/>
      <c r="J144" s="732">
        <f t="shared" si="40"/>
        <v>0</v>
      </c>
      <c r="K144" s="1676"/>
      <c r="L144" s="1676"/>
      <c r="M144" s="1816">
        <f t="shared" si="42"/>
        <v>0</v>
      </c>
      <c r="N144" s="1817">
        <f t="shared" si="43"/>
        <v>0</v>
      </c>
      <c r="O144" s="1817">
        <f t="shared" si="44"/>
        <v>0</v>
      </c>
      <c r="P144" s="1593" t="s">
        <v>1192</v>
      </c>
      <c r="Q144" s="1593" t="s">
        <v>1219</v>
      </c>
      <c r="R144" s="1600">
        <f t="shared" si="47"/>
        <v>56697.8</v>
      </c>
      <c r="S144" s="1608">
        <v>53295.9</v>
      </c>
      <c r="T144" s="1608">
        <v>3401.9</v>
      </c>
      <c r="U144" s="735">
        <f t="shared" si="48"/>
        <v>0</v>
      </c>
      <c r="V144" s="1565" t="s">
        <v>1429</v>
      </c>
      <c r="W144" s="1565" t="s">
        <v>912</v>
      </c>
      <c r="X144" s="1565">
        <v>414</v>
      </c>
      <c r="Y144" s="1606"/>
      <c r="Z144" s="1606"/>
    </row>
    <row r="145" spans="1:26" ht="94.5" customHeight="1">
      <c r="A145" s="1788" t="s">
        <v>627</v>
      </c>
      <c r="B145" s="1772" t="s">
        <v>1441</v>
      </c>
      <c r="C145" s="1847" t="s">
        <v>1544</v>
      </c>
      <c r="D145" s="1833">
        <f t="shared" si="39"/>
        <v>18682.400000000001</v>
      </c>
      <c r="E145" s="1676">
        <v>17561.3</v>
      </c>
      <c r="F145" s="1676">
        <v>1121.0999999999999</v>
      </c>
      <c r="G145" s="732">
        <f t="shared" si="38"/>
        <v>18682.400000000001</v>
      </c>
      <c r="H145" s="1676">
        <v>17561.3</v>
      </c>
      <c r="I145" s="1676">
        <v>1121.0999999999999</v>
      </c>
      <c r="J145" s="732">
        <f t="shared" si="40"/>
        <v>0</v>
      </c>
      <c r="K145" s="1676"/>
      <c r="L145" s="1676"/>
      <c r="M145" s="733">
        <f t="shared" si="42"/>
        <v>0</v>
      </c>
      <c r="N145" s="734">
        <f t="shared" si="43"/>
        <v>0</v>
      </c>
      <c r="O145" s="734">
        <f t="shared" si="44"/>
        <v>0</v>
      </c>
      <c r="P145" s="1593" t="s">
        <v>1192</v>
      </c>
      <c r="Q145" s="1593" t="s">
        <v>1251</v>
      </c>
      <c r="R145" s="1600">
        <f t="shared" si="47"/>
        <v>100</v>
      </c>
      <c r="S145" s="1608">
        <v>0</v>
      </c>
      <c r="T145" s="1608">
        <v>100</v>
      </c>
      <c r="U145" s="735">
        <f t="shared" si="48"/>
        <v>0</v>
      </c>
      <c r="V145" s="1565" t="s">
        <v>1429</v>
      </c>
      <c r="W145" s="1565" t="s">
        <v>905</v>
      </c>
      <c r="X145" s="1565">
        <v>414</v>
      </c>
    </row>
    <row r="146" spans="1:26" ht="73.5" customHeight="1">
      <c r="A146" s="1786">
        <v>56</v>
      </c>
      <c r="B146" s="1772" t="s">
        <v>1442</v>
      </c>
      <c r="C146" s="1847" t="s">
        <v>1544</v>
      </c>
      <c r="D146" s="1833">
        <f t="shared" si="39"/>
        <v>12956.3</v>
      </c>
      <c r="E146" s="1676">
        <v>12178.9</v>
      </c>
      <c r="F146" s="1676">
        <v>777.4</v>
      </c>
      <c r="G146" s="732">
        <f t="shared" si="38"/>
        <v>12956.3</v>
      </c>
      <c r="H146" s="1676">
        <v>12178.9</v>
      </c>
      <c r="I146" s="1676">
        <v>777.4</v>
      </c>
      <c r="J146" s="732">
        <f t="shared" si="40"/>
        <v>0</v>
      </c>
      <c r="K146" s="1676"/>
      <c r="L146" s="1676"/>
      <c r="M146" s="733">
        <f t="shared" si="42"/>
        <v>0</v>
      </c>
      <c r="N146" s="734">
        <f t="shared" si="43"/>
        <v>0</v>
      </c>
      <c r="O146" s="734">
        <f t="shared" si="44"/>
        <v>0</v>
      </c>
      <c r="P146" s="1593" t="s">
        <v>1285</v>
      </c>
      <c r="Q146" s="1593" t="s">
        <v>1252</v>
      </c>
      <c r="R146" s="1600">
        <f t="shared" si="47"/>
        <v>100</v>
      </c>
      <c r="S146" s="1608">
        <v>0</v>
      </c>
      <c r="T146" s="1608">
        <v>100</v>
      </c>
      <c r="U146" s="735">
        <f t="shared" si="48"/>
        <v>0</v>
      </c>
      <c r="V146" s="1565" t="s">
        <v>1429</v>
      </c>
      <c r="W146" s="1565" t="s">
        <v>900</v>
      </c>
      <c r="X146" s="1565">
        <v>414</v>
      </c>
    </row>
    <row r="147" spans="1:26" s="484" customFormat="1" ht="59.25" customHeight="1">
      <c r="A147" s="1788" t="s">
        <v>629</v>
      </c>
      <c r="B147" s="1700" t="s">
        <v>776</v>
      </c>
      <c r="C147" s="1831" t="s">
        <v>1545</v>
      </c>
      <c r="D147" s="1833">
        <f t="shared" si="39"/>
        <v>177040.7</v>
      </c>
      <c r="E147" s="854">
        <v>166418.20000000001</v>
      </c>
      <c r="F147" s="854">
        <v>10622.5</v>
      </c>
      <c r="G147" s="732">
        <f t="shared" si="38"/>
        <v>182824.4</v>
      </c>
      <c r="H147" s="854">
        <v>172200</v>
      </c>
      <c r="I147" s="854">
        <v>10624.4</v>
      </c>
      <c r="J147" s="732">
        <f t="shared" si="40"/>
        <v>0</v>
      </c>
      <c r="K147" s="802"/>
      <c r="L147" s="802"/>
      <c r="M147" s="733">
        <f t="shared" si="42"/>
        <v>0</v>
      </c>
      <c r="N147" s="734">
        <f t="shared" si="43"/>
        <v>0</v>
      </c>
      <c r="O147" s="734">
        <f t="shared" si="44"/>
        <v>0</v>
      </c>
      <c r="P147" s="1593" t="s">
        <v>1272</v>
      </c>
      <c r="Q147" s="1593" t="s">
        <v>1273</v>
      </c>
      <c r="R147" s="1600" t="e">
        <f t="shared" ref="R147:R166" si="49">SUM(S147:T147)</f>
        <v>#REF!</v>
      </c>
      <c r="S147" s="1614" t="e">
        <f>27685.1-#REF!</f>
        <v>#REF!</v>
      </c>
      <c r="T147" s="1614" t="e">
        <f>1767.2-#REF!</f>
        <v>#REF!</v>
      </c>
      <c r="U147" s="735">
        <f t="shared" ref="U147:U166" si="50">D147-G147</f>
        <v>-5783.7</v>
      </c>
      <c r="V147" s="1565" t="s">
        <v>1457</v>
      </c>
      <c r="W147" s="1565" t="s">
        <v>1458</v>
      </c>
      <c r="X147" s="1605">
        <v>414</v>
      </c>
      <c r="Y147" s="1606"/>
      <c r="Z147" s="1606"/>
    </row>
    <row r="148" spans="1:26" s="484" customFormat="1" ht="59.25" customHeight="1">
      <c r="A148" s="1788"/>
      <c r="B148" s="1700" t="s">
        <v>1598</v>
      </c>
      <c r="C148" s="1831"/>
      <c r="D148" s="1826">
        <f t="shared" si="39"/>
        <v>20841.599999999999</v>
      </c>
      <c r="E148" s="1676">
        <v>13713.9</v>
      </c>
      <c r="F148" s="1676">
        <v>7127.7</v>
      </c>
      <c r="G148" s="732">
        <f t="shared" si="38"/>
        <v>20841.599999999999</v>
      </c>
      <c r="H148" s="1676">
        <v>13713.9</v>
      </c>
      <c r="I148" s="1676">
        <v>7127.7</v>
      </c>
      <c r="J148" s="529">
        <f t="shared" si="40"/>
        <v>0</v>
      </c>
      <c r="K148" s="1818"/>
      <c r="L148" s="1818"/>
      <c r="M148" s="733">
        <f t="shared" si="42"/>
        <v>0</v>
      </c>
      <c r="N148" s="734">
        <f t="shared" si="43"/>
        <v>0</v>
      </c>
      <c r="O148" s="734">
        <f t="shared" si="44"/>
        <v>0</v>
      </c>
      <c r="P148" s="1593"/>
      <c r="Q148" s="1593"/>
      <c r="R148" s="1600"/>
      <c r="S148" s="1614"/>
      <c r="T148" s="1614"/>
      <c r="U148" s="735"/>
      <c r="V148" s="1565"/>
      <c r="W148" s="1565"/>
      <c r="X148" s="1605"/>
      <c r="Y148" s="1606"/>
      <c r="Z148" s="1606"/>
    </row>
    <row r="149" spans="1:26" s="484" customFormat="1" ht="59.25" customHeight="1">
      <c r="A149" s="1788"/>
      <c r="B149" s="1700" t="s">
        <v>1597</v>
      </c>
      <c r="C149" s="1831"/>
      <c r="D149" s="1826">
        <f>SUM(E149:F149)</f>
        <v>33286.699999999997</v>
      </c>
      <c r="E149" s="1676">
        <v>21902.5</v>
      </c>
      <c r="F149" s="1676">
        <v>11384.2</v>
      </c>
      <c r="G149" s="732">
        <f>SUM(H149:I149)</f>
        <v>33286.699999999997</v>
      </c>
      <c r="H149" s="1676">
        <v>21902.5</v>
      </c>
      <c r="I149" s="1676">
        <v>11384.2</v>
      </c>
      <c r="J149" s="529">
        <f>SUM(K149:L149)</f>
        <v>0</v>
      </c>
      <c r="K149" s="1818"/>
      <c r="L149" s="1818"/>
      <c r="M149" s="733">
        <f t="shared" ref="M149:O150" si="51">IF(J149=0,0,J149/G149*100)</f>
        <v>0</v>
      </c>
      <c r="N149" s="734">
        <f t="shared" si="51"/>
        <v>0</v>
      </c>
      <c r="O149" s="734">
        <f t="shared" si="51"/>
        <v>0</v>
      </c>
      <c r="P149" s="1593"/>
      <c r="Q149" s="1593"/>
      <c r="R149" s="1600"/>
      <c r="S149" s="1614"/>
      <c r="T149" s="1614"/>
      <c r="U149" s="735"/>
      <c r="V149" s="1565"/>
      <c r="W149" s="1565"/>
      <c r="X149" s="1605"/>
      <c r="Y149" s="1606"/>
      <c r="Z149" s="1606"/>
    </row>
    <row r="150" spans="1:26" s="484" customFormat="1" ht="97.5" customHeight="1">
      <c r="A150" s="1788"/>
      <c r="B150" s="1700" t="s">
        <v>1599</v>
      </c>
      <c r="C150" s="1831" t="s">
        <v>1611</v>
      </c>
      <c r="D150" s="1833">
        <f>SUM(E150:F150)</f>
        <v>171408.9</v>
      </c>
      <c r="E150" s="1676">
        <v>161122.70000000001</v>
      </c>
      <c r="F150" s="1676">
        <v>10286.200000000001</v>
      </c>
      <c r="G150" s="732">
        <f>SUM(H150:I150)</f>
        <v>171405.3</v>
      </c>
      <c r="H150" s="1676">
        <v>161122.70000000001</v>
      </c>
      <c r="I150" s="1676">
        <v>10282.6</v>
      </c>
      <c r="J150" s="529">
        <f>SUM(K150:L150)</f>
        <v>0</v>
      </c>
      <c r="K150" s="1818"/>
      <c r="L150" s="1818"/>
      <c r="M150" s="733">
        <f t="shared" si="51"/>
        <v>0</v>
      </c>
      <c r="N150" s="734">
        <f t="shared" si="51"/>
        <v>0</v>
      </c>
      <c r="O150" s="734">
        <f t="shared" si="51"/>
        <v>0</v>
      </c>
      <c r="P150" s="1593"/>
      <c r="Q150" s="1593"/>
      <c r="R150" s="1600"/>
      <c r="S150" s="1614"/>
      <c r="T150" s="1614"/>
      <c r="U150" s="735"/>
      <c r="V150" s="1565"/>
      <c r="W150" s="1565"/>
      <c r="X150" s="1605"/>
      <c r="Y150" s="1606"/>
      <c r="Z150" s="1606"/>
    </row>
    <row r="151" spans="1:26" s="484" customFormat="1" ht="51.75" customHeight="1">
      <c r="A151" s="1788" t="s">
        <v>630</v>
      </c>
      <c r="B151" s="1717" t="s">
        <v>763</v>
      </c>
      <c r="C151" s="1848" t="s">
        <v>1550</v>
      </c>
      <c r="D151" s="1826">
        <f t="shared" si="39"/>
        <v>172153.3</v>
      </c>
      <c r="E151" s="1676">
        <v>161822.39999999999</v>
      </c>
      <c r="F151" s="1676">
        <v>10330.9</v>
      </c>
      <c r="G151" s="732">
        <f t="shared" si="38"/>
        <v>172153.3</v>
      </c>
      <c r="H151" s="1676">
        <v>161822.39999999999</v>
      </c>
      <c r="I151" s="1676">
        <v>10330.9</v>
      </c>
      <c r="J151" s="529">
        <f t="shared" si="40"/>
        <v>0</v>
      </c>
      <c r="K151" s="1818"/>
      <c r="L151" s="1818"/>
      <c r="M151" s="733">
        <f t="shared" si="42"/>
        <v>0</v>
      </c>
      <c r="N151" s="734">
        <f t="shared" si="43"/>
        <v>0</v>
      </c>
      <c r="O151" s="734">
        <f t="shared" si="44"/>
        <v>0</v>
      </c>
      <c r="P151" s="1593" t="s">
        <v>1192</v>
      </c>
      <c r="Q151" s="1593" t="s">
        <v>1219</v>
      </c>
      <c r="R151" s="1600">
        <f t="shared" si="49"/>
        <v>32800</v>
      </c>
      <c r="S151" s="1608">
        <v>30832</v>
      </c>
      <c r="T151" s="1608">
        <v>1968</v>
      </c>
      <c r="U151" s="735">
        <f t="shared" si="50"/>
        <v>0</v>
      </c>
      <c r="V151" s="1565" t="s">
        <v>1477</v>
      </c>
      <c r="W151" s="1565" t="s">
        <v>878</v>
      </c>
      <c r="X151" s="1605">
        <v>414</v>
      </c>
      <c r="Y151" s="1606"/>
      <c r="Z151" s="1606"/>
    </row>
    <row r="152" spans="1:26" s="484" customFormat="1" ht="44.25" customHeight="1">
      <c r="A152" s="1786">
        <v>59</v>
      </c>
      <c r="B152" s="1717" t="s">
        <v>765</v>
      </c>
      <c r="C152" s="1848" t="s">
        <v>1550</v>
      </c>
      <c r="D152" s="1826">
        <f t="shared" si="39"/>
        <v>23300.799999999999</v>
      </c>
      <c r="E152" s="1676">
        <v>21902.5</v>
      </c>
      <c r="F152" s="1676">
        <v>1398.3</v>
      </c>
      <c r="G152" s="732">
        <f t="shared" si="38"/>
        <v>23300.799999999999</v>
      </c>
      <c r="H152" s="1676">
        <v>21902.5</v>
      </c>
      <c r="I152" s="1676">
        <v>1398.3</v>
      </c>
      <c r="J152" s="529">
        <f t="shared" si="40"/>
        <v>0</v>
      </c>
      <c r="K152" s="1818"/>
      <c r="L152" s="1818"/>
      <c r="M152" s="733">
        <f t="shared" si="42"/>
        <v>0</v>
      </c>
      <c r="N152" s="734">
        <f t="shared" si="43"/>
        <v>0</v>
      </c>
      <c r="O152" s="734">
        <f t="shared" si="44"/>
        <v>0</v>
      </c>
      <c r="P152" s="1593" t="s">
        <v>1267</v>
      </c>
      <c r="Q152" s="1593" t="s">
        <v>1219</v>
      </c>
      <c r="R152" s="1600">
        <f t="shared" si="49"/>
        <v>1200</v>
      </c>
      <c r="S152" s="1608">
        <v>1128</v>
      </c>
      <c r="T152" s="1608">
        <v>72</v>
      </c>
      <c r="U152" s="735">
        <f t="shared" si="50"/>
        <v>0</v>
      </c>
      <c r="V152" s="1565" t="s">
        <v>1477</v>
      </c>
      <c r="W152" s="1565" t="s">
        <v>878</v>
      </c>
      <c r="X152" s="1605">
        <v>414</v>
      </c>
      <c r="Y152" s="1606"/>
      <c r="Z152" s="1606"/>
    </row>
    <row r="153" spans="1:26" s="484" customFormat="1" ht="51.75" customHeight="1">
      <c r="A153" s="1786">
        <v>60</v>
      </c>
      <c r="B153" s="1717" t="s">
        <v>766</v>
      </c>
      <c r="C153" s="1848" t="s">
        <v>1550</v>
      </c>
      <c r="D153" s="1826">
        <f t="shared" si="39"/>
        <v>14589.4</v>
      </c>
      <c r="E153" s="1676">
        <v>13713.9</v>
      </c>
      <c r="F153" s="1676">
        <v>875.5</v>
      </c>
      <c r="G153" s="732">
        <f t="shared" si="38"/>
        <v>14589.4</v>
      </c>
      <c r="H153" s="1676">
        <v>13713.9</v>
      </c>
      <c r="I153" s="1676">
        <v>875.5</v>
      </c>
      <c r="J153" s="529">
        <f t="shared" si="40"/>
        <v>0</v>
      </c>
      <c r="K153" s="1818"/>
      <c r="L153" s="1818"/>
      <c r="M153" s="733">
        <f t="shared" si="42"/>
        <v>0</v>
      </c>
      <c r="N153" s="734">
        <f t="shared" si="43"/>
        <v>0</v>
      </c>
      <c r="O153" s="734">
        <f t="shared" si="44"/>
        <v>0</v>
      </c>
      <c r="P153" s="1593" t="s">
        <v>1303</v>
      </c>
      <c r="Q153" s="1593" t="s">
        <v>1268</v>
      </c>
      <c r="R153" s="1600">
        <f t="shared" si="49"/>
        <v>1500</v>
      </c>
      <c r="S153" s="1608">
        <v>1410</v>
      </c>
      <c r="T153" s="1608">
        <v>90</v>
      </c>
      <c r="U153" s="735">
        <f t="shared" si="50"/>
        <v>0</v>
      </c>
      <c r="V153" s="1565" t="s">
        <v>1477</v>
      </c>
      <c r="W153" s="1565" t="s">
        <v>878</v>
      </c>
      <c r="X153" s="1605">
        <v>414</v>
      </c>
      <c r="Y153" s="1606"/>
      <c r="Z153" s="1606"/>
    </row>
    <row r="154" spans="1:26" ht="23.25" customHeight="1">
      <c r="A154" s="1788" t="s">
        <v>781</v>
      </c>
      <c r="B154" s="1700" t="s">
        <v>692</v>
      </c>
      <c r="C154" s="1831"/>
      <c r="D154" s="1826">
        <f t="shared" si="39"/>
        <v>90200</v>
      </c>
      <c r="E154" s="854">
        <v>84777.3</v>
      </c>
      <c r="F154" s="854">
        <v>5422.7</v>
      </c>
      <c r="G154" s="732">
        <f t="shared" si="38"/>
        <v>90200</v>
      </c>
      <c r="H154" s="854">
        <v>84777.3</v>
      </c>
      <c r="I154" s="854">
        <v>5422.7</v>
      </c>
      <c r="J154" s="732">
        <f t="shared" ref="J154:J194" si="52">SUM(K154:L154)</f>
        <v>0</v>
      </c>
      <c r="K154" s="802"/>
      <c r="L154" s="802"/>
      <c r="M154" s="733">
        <f t="shared" si="42"/>
        <v>0</v>
      </c>
      <c r="N154" s="734">
        <f t="shared" si="43"/>
        <v>0</v>
      </c>
      <c r="O154" s="734">
        <f t="shared" si="44"/>
        <v>0</v>
      </c>
      <c r="P154" s="1593" t="s">
        <v>1300</v>
      </c>
      <c r="Q154" s="1593" t="s">
        <v>1263</v>
      </c>
      <c r="R154" s="1600">
        <f t="shared" si="49"/>
        <v>8900</v>
      </c>
      <c r="S154" s="1614">
        <v>0</v>
      </c>
      <c r="T154" s="1614">
        <v>8900</v>
      </c>
      <c r="U154" s="735">
        <f t="shared" si="50"/>
        <v>0</v>
      </c>
      <c r="V154" s="1565" t="s">
        <v>1477</v>
      </c>
      <c r="W154" s="1565" t="s">
        <v>875</v>
      </c>
      <c r="X154" s="1605">
        <v>414</v>
      </c>
    </row>
    <row r="155" spans="1:26" ht="45.75" customHeight="1">
      <c r="A155" s="1788" t="s">
        <v>631</v>
      </c>
      <c r="B155" s="1700" t="s">
        <v>691</v>
      </c>
      <c r="C155" s="1831"/>
      <c r="D155" s="1826">
        <f t="shared" si="39"/>
        <v>195900</v>
      </c>
      <c r="E155" s="854">
        <v>184122.7</v>
      </c>
      <c r="F155" s="854">
        <v>11777.3</v>
      </c>
      <c r="G155" s="732">
        <f t="shared" si="38"/>
        <v>195900</v>
      </c>
      <c r="H155" s="854">
        <v>184122.7</v>
      </c>
      <c r="I155" s="854">
        <v>11777.3</v>
      </c>
      <c r="J155" s="732">
        <f t="shared" si="52"/>
        <v>0</v>
      </c>
      <c r="K155" s="802"/>
      <c r="L155" s="802"/>
      <c r="M155" s="733">
        <f t="shared" si="42"/>
        <v>0</v>
      </c>
      <c r="N155" s="734">
        <f t="shared" si="43"/>
        <v>0</v>
      </c>
      <c r="O155" s="734">
        <f t="shared" si="44"/>
        <v>0</v>
      </c>
      <c r="P155" s="1593" t="s">
        <v>1301</v>
      </c>
      <c r="Q155" s="1593" t="s">
        <v>1264</v>
      </c>
      <c r="R155" s="1600">
        <f t="shared" si="49"/>
        <v>21489</v>
      </c>
      <c r="S155" s="1614">
        <v>0</v>
      </c>
      <c r="T155" s="1614">
        <v>21489</v>
      </c>
      <c r="U155" s="735">
        <f t="shared" si="50"/>
        <v>0</v>
      </c>
      <c r="V155" s="1565" t="s">
        <v>1477</v>
      </c>
      <c r="W155" s="1565" t="s">
        <v>875</v>
      </c>
      <c r="X155" s="1605">
        <v>414</v>
      </c>
    </row>
    <row r="156" spans="1:26" ht="41.25" customHeight="1">
      <c r="A156" s="1788" t="s">
        <v>632</v>
      </c>
      <c r="B156" s="1675" t="s">
        <v>478</v>
      </c>
      <c r="C156" s="1849" t="s">
        <v>1610</v>
      </c>
      <c r="D156" s="1833">
        <f t="shared" si="39"/>
        <v>449354.7</v>
      </c>
      <c r="E156" s="1676">
        <v>422106.8</v>
      </c>
      <c r="F156" s="1803">
        <f>26943+304.9</f>
        <v>27247.9</v>
      </c>
      <c r="G156" s="732">
        <f t="shared" si="38"/>
        <v>449049.8</v>
      </c>
      <c r="H156" s="1676">
        <v>422106.8</v>
      </c>
      <c r="I156" s="1803">
        <f>27247.9-304.9</f>
        <v>26943</v>
      </c>
      <c r="J156" s="732">
        <f t="shared" si="52"/>
        <v>0</v>
      </c>
      <c r="K156" s="1676"/>
      <c r="L156" s="1676"/>
      <c r="M156" s="733">
        <f t="shared" si="42"/>
        <v>0</v>
      </c>
      <c r="N156" s="734">
        <f t="shared" si="43"/>
        <v>0</v>
      </c>
      <c r="O156" s="734">
        <f t="shared" si="44"/>
        <v>0</v>
      </c>
      <c r="P156" s="1593" t="s">
        <v>1298</v>
      </c>
      <c r="Q156" s="1593" t="s">
        <v>1261</v>
      </c>
      <c r="R156" s="1600">
        <f t="shared" si="49"/>
        <v>444195.7</v>
      </c>
      <c r="S156" s="1608">
        <v>417543.8</v>
      </c>
      <c r="T156" s="1624">
        <v>26651.9</v>
      </c>
      <c r="U156" s="735">
        <f t="shared" si="50"/>
        <v>304.89999999999998</v>
      </c>
      <c r="V156" s="1565" t="s">
        <v>1429</v>
      </c>
      <c r="W156" s="1565" t="s">
        <v>898</v>
      </c>
      <c r="X156" s="1565">
        <v>414</v>
      </c>
    </row>
    <row r="157" spans="1:26" s="484" customFormat="1" ht="41.25" customHeight="1">
      <c r="A157" s="1788" t="s">
        <v>633</v>
      </c>
      <c r="B157" s="1701" t="s">
        <v>694</v>
      </c>
      <c r="C157" s="1831" t="s">
        <v>1548</v>
      </c>
      <c r="D157" s="1833">
        <f t="shared" si="39"/>
        <v>315323.09999999998</v>
      </c>
      <c r="E157" s="854">
        <v>296403.8</v>
      </c>
      <c r="F157" s="854">
        <f>18919.3</f>
        <v>18919.3</v>
      </c>
      <c r="G157" s="732">
        <f t="shared" si="38"/>
        <v>315323.09999999998</v>
      </c>
      <c r="H157" s="854">
        <v>296403.8</v>
      </c>
      <c r="I157" s="854">
        <v>18919.3</v>
      </c>
      <c r="J157" s="732">
        <f t="shared" si="52"/>
        <v>0</v>
      </c>
      <c r="K157" s="802"/>
      <c r="L157" s="802"/>
      <c r="M157" s="733">
        <f t="shared" si="42"/>
        <v>0</v>
      </c>
      <c r="N157" s="734">
        <f t="shared" si="43"/>
        <v>0</v>
      </c>
      <c r="O157" s="734">
        <f t="shared" si="44"/>
        <v>0</v>
      </c>
      <c r="P157" s="1593" t="s">
        <v>1272</v>
      </c>
      <c r="Q157" s="1593" t="s">
        <v>1273</v>
      </c>
      <c r="R157" s="1600">
        <f t="shared" si="49"/>
        <v>251200</v>
      </c>
      <c r="S157" s="1614">
        <v>236128</v>
      </c>
      <c r="T157" s="1614">
        <v>15072</v>
      </c>
      <c r="U157" s="735">
        <f t="shared" si="50"/>
        <v>0</v>
      </c>
      <c r="V157" s="1565" t="s">
        <v>1474</v>
      </c>
      <c r="W157" s="1565" t="s">
        <v>1479</v>
      </c>
      <c r="X157" s="1605">
        <v>414</v>
      </c>
      <c r="Y157" s="1606"/>
      <c r="Z157" s="1606"/>
    </row>
    <row r="158" spans="1:26" s="484" customFormat="1" ht="69" customHeight="1">
      <c r="A158" s="1788" t="s">
        <v>634</v>
      </c>
      <c r="B158" s="1701" t="s">
        <v>695</v>
      </c>
      <c r="C158" s="1831"/>
      <c r="D158" s="1833">
        <f t="shared" si="39"/>
        <v>104813.3</v>
      </c>
      <c r="E158" s="854">
        <v>98524.5</v>
      </c>
      <c r="F158" s="854">
        <v>6288.8</v>
      </c>
      <c r="G158" s="732">
        <f t="shared" si="38"/>
        <v>110500</v>
      </c>
      <c r="H158" s="854">
        <v>103848</v>
      </c>
      <c r="I158" s="854">
        <v>6652</v>
      </c>
      <c r="J158" s="732">
        <f t="shared" si="52"/>
        <v>0</v>
      </c>
      <c r="K158" s="802"/>
      <c r="L158" s="802"/>
      <c r="M158" s="733">
        <f t="shared" si="42"/>
        <v>0</v>
      </c>
      <c r="N158" s="734">
        <f t="shared" si="43"/>
        <v>0</v>
      </c>
      <c r="O158" s="734">
        <f t="shared" si="44"/>
        <v>0</v>
      </c>
      <c r="P158" s="1593" t="s">
        <v>1272</v>
      </c>
      <c r="Q158" s="1593" t="s">
        <v>1273</v>
      </c>
      <c r="R158" s="1600" t="e">
        <f t="shared" si="49"/>
        <v>#REF!</v>
      </c>
      <c r="S158" s="1614" t="e">
        <f>133919.9-#REF!</f>
        <v>#REF!</v>
      </c>
      <c r="T158" s="1614" t="e">
        <f>8548.1-#REF!</f>
        <v>#REF!</v>
      </c>
      <c r="U158" s="735">
        <f t="shared" si="50"/>
        <v>-5686.7</v>
      </c>
      <c r="V158" s="1565" t="s">
        <v>1474</v>
      </c>
      <c r="W158" s="1565" t="s">
        <v>1480</v>
      </c>
      <c r="X158" s="1605">
        <v>414</v>
      </c>
      <c r="Y158" s="1606"/>
      <c r="Z158" s="1606"/>
    </row>
    <row r="159" spans="1:26" s="484" customFormat="1" ht="53.25" customHeight="1">
      <c r="A159" s="1788" t="s">
        <v>635</v>
      </c>
      <c r="B159" s="1701" t="s">
        <v>698</v>
      </c>
      <c r="C159" s="1831"/>
      <c r="D159" s="1833">
        <f>SUM(E159:F159)</f>
        <v>698866.8</v>
      </c>
      <c r="E159" s="854">
        <v>628534.1</v>
      </c>
      <c r="F159" s="854">
        <f>30000+40332.7</f>
        <v>70332.7</v>
      </c>
      <c r="G159" s="732">
        <f t="shared" si="38"/>
        <v>668866.80000000005</v>
      </c>
      <c r="H159" s="854">
        <v>628534.1</v>
      </c>
      <c r="I159" s="854">
        <v>40332.699999999997</v>
      </c>
      <c r="J159" s="732">
        <f t="shared" si="52"/>
        <v>0</v>
      </c>
      <c r="K159" s="802"/>
      <c r="L159" s="802"/>
      <c r="M159" s="733">
        <f t="shared" si="42"/>
        <v>0</v>
      </c>
      <c r="N159" s="734">
        <f t="shared" si="43"/>
        <v>0</v>
      </c>
      <c r="O159" s="734">
        <f t="shared" si="44"/>
        <v>0</v>
      </c>
      <c r="P159" s="1593" t="s">
        <v>1306</v>
      </c>
      <c r="Q159" s="1593" t="s">
        <v>1277</v>
      </c>
      <c r="R159" s="1602">
        <f t="shared" si="49"/>
        <v>96270.7</v>
      </c>
      <c r="S159" s="1615">
        <v>90460.9</v>
      </c>
      <c r="T159" s="1615">
        <v>5809.8</v>
      </c>
      <c r="U159" s="735">
        <f t="shared" si="50"/>
        <v>30000</v>
      </c>
      <c r="V159" s="1565" t="s">
        <v>1481</v>
      </c>
      <c r="W159" s="1565" t="s">
        <v>1482</v>
      </c>
      <c r="X159" s="1605">
        <v>414</v>
      </c>
      <c r="Y159" s="1606"/>
      <c r="Z159" s="1606"/>
    </row>
    <row r="160" spans="1:26" s="484" customFormat="1" ht="53.25" customHeight="1">
      <c r="A160" s="1788"/>
      <c r="B160" s="1705" t="s">
        <v>1604</v>
      </c>
      <c r="C160" s="1831"/>
      <c r="D160" s="1833">
        <f t="shared" si="39"/>
        <v>3780</v>
      </c>
      <c r="E160" s="854"/>
      <c r="F160" s="854">
        <v>3780</v>
      </c>
      <c r="G160" s="732">
        <f t="shared" si="38"/>
        <v>0</v>
      </c>
      <c r="H160" s="854"/>
      <c r="I160" s="854">
        <v>0</v>
      </c>
      <c r="J160" s="529">
        <f t="shared" si="52"/>
        <v>0</v>
      </c>
      <c r="K160" s="802"/>
      <c r="L160" s="802"/>
      <c r="M160" s="733">
        <f t="shared" si="42"/>
        <v>0</v>
      </c>
      <c r="N160" s="734"/>
      <c r="O160" s="734"/>
      <c r="P160" s="1593"/>
      <c r="Q160" s="1593"/>
      <c r="R160" s="1602"/>
      <c r="S160" s="1615"/>
      <c r="T160" s="1615"/>
      <c r="U160" s="735"/>
      <c r="V160" s="1565"/>
      <c r="W160" s="1565"/>
      <c r="X160" s="1605"/>
      <c r="Y160" s="1606"/>
      <c r="Z160" s="1606"/>
    </row>
    <row r="161" spans="1:26" s="484" customFormat="1" ht="74.25" customHeight="1">
      <c r="A161" s="1788"/>
      <c r="B161" s="1701" t="s">
        <v>1566</v>
      </c>
      <c r="C161" s="1831"/>
      <c r="D161" s="1826">
        <f>SUM(E161:F161)</f>
        <v>41465.599999999999</v>
      </c>
      <c r="E161" s="854">
        <v>37567.599999999999</v>
      </c>
      <c r="F161" s="854">
        <v>3898</v>
      </c>
      <c r="G161" s="732">
        <f t="shared" si="38"/>
        <v>41465.599999999999</v>
      </c>
      <c r="H161" s="854">
        <v>37567.599999999999</v>
      </c>
      <c r="I161" s="854">
        <v>3898</v>
      </c>
      <c r="J161" s="732">
        <f t="shared" si="52"/>
        <v>0</v>
      </c>
      <c r="K161" s="802"/>
      <c r="L161" s="802"/>
      <c r="M161" s="733">
        <f t="shared" si="42"/>
        <v>0</v>
      </c>
      <c r="N161" s="734"/>
      <c r="O161" s="734"/>
      <c r="P161" s="1593"/>
      <c r="Q161" s="1593"/>
      <c r="R161" s="1602"/>
      <c r="S161" s="1615"/>
      <c r="T161" s="1615"/>
      <c r="U161" s="735"/>
      <c r="V161" s="1565"/>
      <c r="W161" s="1565"/>
      <c r="X161" s="1605"/>
      <c r="Y161" s="1606"/>
      <c r="Z161" s="1606"/>
    </row>
    <row r="162" spans="1:26" ht="73.5" customHeight="1">
      <c r="A162" s="1788" t="s">
        <v>734</v>
      </c>
      <c r="B162" s="1701" t="s">
        <v>697</v>
      </c>
      <c r="C162" s="1831"/>
      <c r="D162" s="1833">
        <f t="shared" si="39"/>
        <v>87999.8</v>
      </c>
      <c r="E162" s="854">
        <v>82693.5</v>
      </c>
      <c r="F162" s="854">
        <v>5306.3</v>
      </c>
      <c r="G162" s="732">
        <f t="shared" si="38"/>
        <v>87999.8</v>
      </c>
      <c r="H162" s="854">
        <v>82693.5</v>
      </c>
      <c r="I162" s="854">
        <v>5306.3</v>
      </c>
      <c r="J162" s="732">
        <f t="shared" si="52"/>
        <v>0</v>
      </c>
      <c r="K162" s="802"/>
      <c r="L162" s="802"/>
      <c r="M162" s="733">
        <f t="shared" si="42"/>
        <v>0</v>
      </c>
      <c r="N162" s="734">
        <f t="shared" si="43"/>
        <v>0</v>
      </c>
      <c r="O162" s="734">
        <f t="shared" si="44"/>
        <v>0</v>
      </c>
      <c r="P162" s="1593" t="s">
        <v>1192</v>
      </c>
      <c r="Q162" s="1593" t="s">
        <v>1278</v>
      </c>
      <c r="R162" s="1600">
        <f t="shared" si="49"/>
        <v>150000</v>
      </c>
      <c r="S162" s="1614">
        <v>140955</v>
      </c>
      <c r="T162" s="1614">
        <v>9045</v>
      </c>
      <c r="U162" s="735">
        <f t="shared" si="50"/>
        <v>0</v>
      </c>
      <c r="V162" s="1565" t="s">
        <v>1481</v>
      </c>
      <c r="W162" s="1565" t="s">
        <v>1483</v>
      </c>
      <c r="X162" s="1605">
        <v>414</v>
      </c>
    </row>
    <row r="163" spans="1:26" ht="73.5" hidden="1" customHeight="1">
      <c r="A163" s="1788"/>
      <c r="B163" s="1701"/>
      <c r="C163" s="1831"/>
      <c r="D163" s="1826"/>
      <c r="E163" s="854"/>
      <c r="F163" s="854"/>
      <c r="G163" s="732"/>
      <c r="H163" s="854"/>
      <c r="I163" s="854"/>
      <c r="J163" s="732"/>
      <c r="K163" s="802"/>
      <c r="L163" s="802"/>
      <c r="M163" s="733"/>
      <c r="N163" s="734"/>
      <c r="O163" s="734"/>
      <c r="P163" s="1593"/>
      <c r="Q163" s="1593"/>
      <c r="R163" s="1600"/>
      <c r="S163" s="1614"/>
      <c r="T163" s="1614"/>
      <c r="U163" s="735"/>
      <c r="X163" s="1605"/>
    </row>
    <row r="164" spans="1:26" ht="79.5" customHeight="1">
      <c r="A164" s="1788"/>
      <c r="B164" s="1701" t="s">
        <v>1589</v>
      </c>
      <c r="C164" s="1831" t="s">
        <v>1544</v>
      </c>
      <c r="D164" s="1833">
        <f>SUM(E164:F164)</f>
        <v>1388.4</v>
      </c>
      <c r="E164" s="854">
        <v>1305.0999999999999</v>
      </c>
      <c r="F164" s="854">
        <v>83.3</v>
      </c>
      <c r="G164" s="732">
        <f>SUM(H164:I164)</f>
        <v>1388.4</v>
      </c>
      <c r="H164" s="854">
        <v>1305.0999999999999</v>
      </c>
      <c r="I164" s="854">
        <v>83.3</v>
      </c>
      <c r="J164" s="732">
        <f>SUM(K164:L164)</f>
        <v>0</v>
      </c>
      <c r="K164" s="802"/>
      <c r="L164" s="802"/>
      <c r="M164" s="733">
        <f>IF(J164=0,0,J164/G164*100)</f>
        <v>0</v>
      </c>
      <c r="N164" s="734">
        <f>IF(K164=0,0,K164/H164*100)</f>
        <v>0</v>
      </c>
      <c r="O164" s="734">
        <f>IF(L164=0,0,L164/I164*100)</f>
        <v>0</v>
      </c>
      <c r="P164" s="1593"/>
      <c r="Q164" s="1593"/>
      <c r="R164" s="1600"/>
      <c r="S164" s="1614"/>
      <c r="T164" s="1614"/>
      <c r="U164" s="735"/>
      <c r="X164" s="1605"/>
    </row>
    <row r="165" spans="1:26" ht="99" customHeight="1">
      <c r="A165" s="1788" t="s">
        <v>735</v>
      </c>
      <c r="B165" s="1701" t="s">
        <v>942</v>
      </c>
      <c r="C165" s="1831"/>
      <c r="D165" s="1833">
        <f t="shared" si="39"/>
        <v>201856.9</v>
      </c>
      <c r="E165" s="854">
        <v>189685</v>
      </c>
      <c r="F165" s="854">
        <v>12171.9</v>
      </c>
      <c r="G165" s="732">
        <f t="shared" si="38"/>
        <v>201856.9</v>
      </c>
      <c r="H165" s="854">
        <v>189685</v>
      </c>
      <c r="I165" s="854">
        <v>12171.9</v>
      </c>
      <c r="J165" s="732">
        <f t="shared" si="52"/>
        <v>0</v>
      </c>
      <c r="K165" s="802"/>
      <c r="L165" s="802"/>
      <c r="M165" s="733">
        <f t="shared" si="42"/>
        <v>0</v>
      </c>
      <c r="N165" s="734">
        <f t="shared" si="43"/>
        <v>0</v>
      </c>
      <c r="O165" s="734">
        <f t="shared" si="44"/>
        <v>0</v>
      </c>
      <c r="P165" s="1593" t="s">
        <v>1192</v>
      </c>
      <c r="Q165" s="1593" t="s">
        <v>1279</v>
      </c>
      <c r="R165" s="1600">
        <f t="shared" si="49"/>
        <v>34500</v>
      </c>
      <c r="S165" s="1614">
        <v>32419.7</v>
      </c>
      <c r="T165" s="1614">
        <v>2080.3000000000002</v>
      </c>
      <c r="U165" s="735">
        <f t="shared" si="50"/>
        <v>0</v>
      </c>
      <c r="V165" s="1565" t="s">
        <v>1481</v>
      </c>
      <c r="W165" s="1565" t="s">
        <v>1484</v>
      </c>
      <c r="X165" s="1605">
        <v>414</v>
      </c>
    </row>
    <row r="166" spans="1:26" s="1626" customFormat="1" ht="42" hidden="1" customHeight="1">
      <c r="A166" s="1788" t="s">
        <v>636</v>
      </c>
      <c r="B166" s="1732" t="s">
        <v>1488</v>
      </c>
      <c r="C166" s="1847"/>
      <c r="D166" s="1824">
        <f t="shared" si="39"/>
        <v>0</v>
      </c>
      <c r="E166" s="854">
        <v>0</v>
      </c>
      <c r="F166" s="854">
        <v>0</v>
      </c>
      <c r="G166" s="732">
        <f t="shared" si="38"/>
        <v>0</v>
      </c>
      <c r="H166" s="854">
        <v>0</v>
      </c>
      <c r="I166" s="854">
        <v>0</v>
      </c>
      <c r="J166" s="732">
        <f t="shared" si="52"/>
        <v>0</v>
      </c>
      <c r="K166" s="802"/>
      <c r="L166" s="802"/>
      <c r="M166" s="733">
        <f t="shared" si="42"/>
        <v>0</v>
      </c>
      <c r="N166" s="734">
        <f t="shared" si="43"/>
        <v>0</v>
      </c>
      <c r="O166" s="734">
        <f t="shared" si="44"/>
        <v>0</v>
      </c>
      <c r="P166" s="1593" t="s">
        <v>1299</v>
      </c>
      <c r="Q166" s="1593" t="s">
        <v>1262</v>
      </c>
      <c r="R166" s="1600">
        <f t="shared" si="49"/>
        <v>9981.4</v>
      </c>
      <c r="S166" s="1614">
        <f>8500+859.8</f>
        <v>9359.7999999999993</v>
      </c>
      <c r="T166" s="1614">
        <f>564.5+57.1</f>
        <v>621.6</v>
      </c>
      <c r="U166" s="735">
        <f t="shared" si="50"/>
        <v>0</v>
      </c>
      <c r="V166" s="1565">
        <v>1002</v>
      </c>
      <c r="W166" s="1565" t="s">
        <v>1489</v>
      </c>
      <c r="X166" s="1565">
        <v>414</v>
      </c>
      <c r="Y166" s="1625"/>
      <c r="Z166" s="1625"/>
    </row>
    <row r="167" spans="1:26" ht="84.75" customHeight="1">
      <c r="A167" s="1787" t="s">
        <v>1515</v>
      </c>
      <c r="B167" s="1687" t="s">
        <v>1513</v>
      </c>
      <c r="C167" s="1843"/>
      <c r="D167" s="1825">
        <f t="shared" ref="D167:D187" si="53">SUM(E167:F167)</f>
        <v>17719.099999999999</v>
      </c>
      <c r="E167" s="1688">
        <f>SUM(E168)</f>
        <v>0</v>
      </c>
      <c r="F167" s="1688">
        <f>SUM(F168)</f>
        <v>17719.099999999999</v>
      </c>
      <c r="G167" s="1688">
        <f t="shared" si="38"/>
        <v>4337</v>
      </c>
      <c r="H167" s="1688">
        <f>SUM(H168)</f>
        <v>0</v>
      </c>
      <c r="I167" s="1688">
        <f>SUM(I168)</f>
        <v>4337</v>
      </c>
      <c r="J167" s="1688">
        <f t="shared" si="52"/>
        <v>0</v>
      </c>
      <c r="K167" s="1688">
        <f>SUM(K168)</f>
        <v>0</v>
      </c>
      <c r="L167" s="1688">
        <f>SUM(L168)</f>
        <v>0</v>
      </c>
      <c r="M167" s="1719">
        <f t="shared" si="42"/>
        <v>0</v>
      </c>
      <c r="N167" s="1719">
        <f t="shared" si="43"/>
        <v>0</v>
      </c>
      <c r="O167" s="1719">
        <f t="shared" si="44"/>
        <v>0</v>
      </c>
      <c r="P167" s="1593"/>
      <c r="Q167" s="1593"/>
      <c r="R167" s="1623" t="e">
        <f>SUM(S167:T167)</f>
        <v>#REF!</v>
      </c>
      <c r="S167" s="1623" t="e">
        <f>SUM(S168:S203)</f>
        <v>#REF!</v>
      </c>
      <c r="T167" s="1623" t="e">
        <f>SUM(T168:T203)</f>
        <v>#REF!</v>
      </c>
      <c r="U167" s="735">
        <f t="shared" ref="U167:U174" si="54">D167-G167</f>
        <v>13382.1</v>
      </c>
    </row>
    <row r="168" spans="1:26" ht="69.75" customHeight="1">
      <c r="A168" s="1788" t="s">
        <v>736</v>
      </c>
      <c r="B168" s="1768" t="s">
        <v>1495</v>
      </c>
      <c r="C168" s="1836">
        <v>30131</v>
      </c>
      <c r="D168" s="1833">
        <f t="shared" si="53"/>
        <v>17719.099999999999</v>
      </c>
      <c r="E168" s="1676"/>
      <c r="F168" s="1676">
        <v>17719.099999999999</v>
      </c>
      <c r="G168" s="732">
        <f t="shared" si="38"/>
        <v>4337</v>
      </c>
      <c r="H168" s="1676"/>
      <c r="I168" s="1676">
        <v>4337</v>
      </c>
      <c r="J168" s="814">
        <f t="shared" si="52"/>
        <v>0</v>
      </c>
      <c r="K168" s="701"/>
      <c r="L168" s="701"/>
      <c r="M168" s="746">
        <f t="shared" si="42"/>
        <v>0</v>
      </c>
      <c r="N168" s="536">
        <f t="shared" si="43"/>
        <v>0</v>
      </c>
      <c r="O168" s="536">
        <f t="shared" si="44"/>
        <v>0</v>
      </c>
      <c r="P168" s="1593" t="s">
        <v>1290</v>
      </c>
      <c r="Q168" s="1593" t="s">
        <v>1240</v>
      </c>
      <c r="R168" s="1600">
        <f>SUM(S168:T168)</f>
        <v>800</v>
      </c>
      <c r="S168" s="1608">
        <v>0</v>
      </c>
      <c r="T168" s="1608">
        <v>800</v>
      </c>
      <c r="U168" s="735">
        <f t="shared" si="54"/>
        <v>13382.1</v>
      </c>
      <c r="V168" s="1565" t="s">
        <v>1429</v>
      </c>
      <c r="W168" s="1565" t="s">
        <v>1496</v>
      </c>
      <c r="X168" s="1565">
        <v>414</v>
      </c>
    </row>
    <row r="169" spans="1:26" ht="31.5" customHeight="1">
      <c r="A169" s="1787" t="s">
        <v>1516</v>
      </c>
      <c r="B169" s="1687" t="s">
        <v>529</v>
      </c>
      <c r="C169" s="1843"/>
      <c r="D169" s="1825">
        <f t="shared" si="53"/>
        <v>176874.6</v>
      </c>
      <c r="E169" s="1688">
        <f>SUM(E170:E172)</f>
        <v>0</v>
      </c>
      <c r="F169" s="1688">
        <f t="shared" ref="F169:O169" si="55">SUM(F170:F172)</f>
        <v>176874.6</v>
      </c>
      <c r="G169" s="1688">
        <f t="shared" si="55"/>
        <v>175767.8</v>
      </c>
      <c r="H169" s="1688">
        <f t="shared" si="55"/>
        <v>0</v>
      </c>
      <c r="I169" s="1688">
        <f t="shared" si="55"/>
        <v>175767.8</v>
      </c>
      <c r="J169" s="1688">
        <f t="shared" si="55"/>
        <v>0</v>
      </c>
      <c r="K169" s="1688">
        <f t="shared" si="55"/>
        <v>0</v>
      </c>
      <c r="L169" s="1688">
        <f t="shared" si="55"/>
        <v>0</v>
      </c>
      <c r="M169" s="1688">
        <f t="shared" si="55"/>
        <v>0</v>
      </c>
      <c r="N169" s="1688">
        <f t="shared" si="55"/>
        <v>0</v>
      </c>
      <c r="O169" s="1688">
        <f t="shared" si="55"/>
        <v>0</v>
      </c>
      <c r="P169" s="1599"/>
      <c r="Q169" s="1599"/>
      <c r="R169" s="1598"/>
      <c r="S169" s="1598"/>
      <c r="T169" s="1598"/>
      <c r="U169" s="735"/>
      <c r="V169" s="1618"/>
      <c r="W169" s="1618"/>
      <c r="X169" s="1618"/>
    </row>
    <row r="170" spans="1:26" s="484" customFormat="1" ht="47.25" customHeight="1">
      <c r="A170" s="1788" t="s">
        <v>737</v>
      </c>
      <c r="B170" s="1772" t="s">
        <v>1469</v>
      </c>
      <c r="C170" s="1847" t="s">
        <v>1546</v>
      </c>
      <c r="D170" s="1833">
        <f t="shared" si="53"/>
        <v>38316.699999999997</v>
      </c>
      <c r="E170" s="1676"/>
      <c r="F170" s="1676">
        <v>38316.699999999997</v>
      </c>
      <c r="G170" s="732">
        <f>SUM(H170:I170)</f>
        <v>38316.699999999997</v>
      </c>
      <c r="H170" s="1676"/>
      <c r="I170" s="1676">
        <v>38316.699999999997</v>
      </c>
      <c r="J170" s="732">
        <f t="shared" si="52"/>
        <v>0</v>
      </c>
      <c r="K170" s="1676"/>
      <c r="L170" s="1676"/>
      <c r="M170" s="733">
        <f t="shared" si="42"/>
        <v>0</v>
      </c>
      <c r="N170" s="734">
        <f t="shared" si="43"/>
        <v>0</v>
      </c>
      <c r="O170" s="734">
        <f t="shared" si="44"/>
        <v>0</v>
      </c>
      <c r="P170" s="1593" t="s">
        <v>1291</v>
      </c>
      <c r="Q170" s="1593" t="s">
        <v>1241</v>
      </c>
      <c r="R170" s="1600">
        <f>SUM(S170:T170)</f>
        <v>100</v>
      </c>
      <c r="S170" s="1608">
        <v>0</v>
      </c>
      <c r="T170" s="1608">
        <v>100</v>
      </c>
      <c r="U170" s="735">
        <f>D170-G170</f>
        <v>0</v>
      </c>
      <c r="V170" s="1565">
        <v>1102</v>
      </c>
      <c r="W170" s="1565" t="s">
        <v>1468</v>
      </c>
      <c r="X170" s="1565">
        <v>414</v>
      </c>
      <c r="Y170" s="1606"/>
      <c r="Z170" s="1606"/>
    </row>
    <row r="171" spans="1:26" ht="64.5" customHeight="1">
      <c r="A171" s="1788" t="s">
        <v>738</v>
      </c>
      <c r="B171" s="1720" t="s">
        <v>707</v>
      </c>
      <c r="C171" s="1831">
        <v>10120</v>
      </c>
      <c r="D171" s="1833">
        <f t="shared" si="53"/>
        <v>123877.5</v>
      </c>
      <c r="E171" s="1676"/>
      <c r="F171" s="1676">
        <v>123877.5</v>
      </c>
      <c r="G171" s="732">
        <f>SUM(H171:I171)</f>
        <v>123877.5</v>
      </c>
      <c r="H171" s="1676"/>
      <c r="I171" s="1676">
        <v>123877.5</v>
      </c>
      <c r="J171" s="732">
        <f t="shared" si="52"/>
        <v>0</v>
      </c>
      <c r="K171" s="1676"/>
      <c r="L171" s="1676"/>
      <c r="M171" s="733">
        <f t="shared" si="42"/>
        <v>0</v>
      </c>
      <c r="N171" s="734">
        <f t="shared" si="43"/>
        <v>0</v>
      </c>
      <c r="O171" s="734">
        <f t="shared" si="44"/>
        <v>0</v>
      </c>
      <c r="P171" s="1593" t="s">
        <v>1192</v>
      </c>
      <c r="Q171" s="1593" t="s">
        <v>1163</v>
      </c>
      <c r="R171" s="1600">
        <f>SUM(S171:T171)</f>
        <v>30000</v>
      </c>
      <c r="S171" s="1608">
        <v>0</v>
      </c>
      <c r="T171" s="1608">
        <v>30000</v>
      </c>
      <c r="U171" s="735">
        <f>D171-G171</f>
        <v>0</v>
      </c>
      <c r="V171" s="1565" t="s">
        <v>1476</v>
      </c>
      <c r="W171" s="1565">
        <v>1550190400</v>
      </c>
      <c r="X171" s="1565">
        <v>414</v>
      </c>
    </row>
    <row r="172" spans="1:26" ht="107.25" customHeight="1">
      <c r="A172" s="1788" t="s">
        <v>739</v>
      </c>
      <c r="B172" s="1768" t="s">
        <v>1478</v>
      </c>
      <c r="C172" s="1831">
        <v>10122</v>
      </c>
      <c r="D172" s="1833">
        <f t="shared" si="53"/>
        <v>14680.4</v>
      </c>
      <c r="E172" s="1676"/>
      <c r="F172" s="1803">
        <v>14680.4</v>
      </c>
      <c r="G172" s="732">
        <f>SUM(H172:I172)</f>
        <v>13573.6</v>
      </c>
      <c r="H172" s="1676"/>
      <c r="I172" s="1803">
        <v>13573.6</v>
      </c>
      <c r="J172" s="732">
        <f t="shared" si="52"/>
        <v>0</v>
      </c>
      <c r="K172" s="1676"/>
      <c r="L172" s="1676"/>
      <c r="M172" s="733">
        <f t="shared" si="42"/>
        <v>0</v>
      </c>
      <c r="N172" s="734">
        <f t="shared" si="43"/>
        <v>0</v>
      </c>
      <c r="O172" s="734">
        <f t="shared" si="44"/>
        <v>0</v>
      </c>
      <c r="P172" s="1593" t="s">
        <v>1298</v>
      </c>
      <c r="Q172" s="1593" t="s">
        <v>1261</v>
      </c>
      <c r="R172" s="1600">
        <f>SUM(S172:T172)</f>
        <v>444195.7</v>
      </c>
      <c r="S172" s="1608">
        <v>417543.8</v>
      </c>
      <c r="T172" s="1624">
        <v>26651.9</v>
      </c>
      <c r="U172" s="735">
        <f>D172-G172</f>
        <v>1106.8</v>
      </c>
      <c r="V172" s="1565" t="s">
        <v>1477</v>
      </c>
      <c r="W172" s="1565">
        <v>1130390400</v>
      </c>
      <c r="X172" s="1565">
        <v>414</v>
      </c>
    </row>
    <row r="173" spans="1:26" s="791" customFormat="1" ht="81.75" customHeight="1">
      <c r="A173" s="2377" t="s">
        <v>456</v>
      </c>
      <c r="B173" s="2377"/>
      <c r="C173" s="1837"/>
      <c r="D173" s="1748">
        <f t="shared" si="53"/>
        <v>1350131.1</v>
      </c>
      <c r="E173" s="1748">
        <f>SUM(E174,E191)</f>
        <v>712457.1</v>
      </c>
      <c r="F173" s="1748">
        <f>SUM(F174,F191)</f>
        <v>637674</v>
      </c>
      <c r="G173" s="1748">
        <f>SUM(H173:I173)</f>
        <v>1095460.1000000001</v>
      </c>
      <c r="H173" s="1748">
        <f>SUM(H174,H191)</f>
        <v>612457.1</v>
      </c>
      <c r="I173" s="1748">
        <f>SUM(I174,I191)</f>
        <v>483003</v>
      </c>
      <c r="J173" s="1748">
        <f t="shared" si="52"/>
        <v>0</v>
      </c>
      <c r="K173" s="1748">
        <f>SUM(K174,K191)</f>
        <v>0</v>
      </c>
      <c r="L173" s="1748">
        <f>SUM(L174,L191)</f>
        <v>0</v>
      </c>
      <c r="M173" s="1749">
        <f t="shared" si="42"/>
        <v>0</v>
      </c>
      <c r="N173" s="1759">
        <f t="shared" si="43"/>
        <v>0</v>
      </c>
      <c r="O173" s="1759">
        <f t="shared" si="44"/>
        <v>0</v>
      </c>
      <c r="P173" s="1282"/>
      <c r="Q173" s="1281" t="s">
        <v>1104</v>
      </c>
      <c r="R173" s="1748" t="e">
        <f>SUM(S173:T173)</f>
        <v>#REF!</v>
      </c>
      <c r="S173" s="1748" t="e">
        <f>SUM(#REF!,S191)</f>
        <v>#REF!</v>
      </c>
      <c r="T173" s="1748" t="e">
        <f>SUM(#REF!,T191)</f>
        <v>#REF!</v>
      </c>
      <c r="U173" s="1760">
        <f t="shared" si="54"/>
        <v>254671</v>
      </c>
      <c r="V173" s="2547"/>
      <c r="W173" s="2547"/>
      <c r="X173" s="2547"/>
      <c r="Y173" s="1814"/>
      <c r="Z173" s="1814"/>
    </row>
    <row r="174" spans="1:26" ht="82.5" customHeight="1">
      <c r="A174" s="1787" t="s">
        <v>6</v>
      </c>
      <c r="B174" s="1754" t="s">
        <v>439</v>
      </c>
      <c r="C174" s="1838"/>
      <c r="D174" s="1755">
        <f t="shared" si="53"/>
        <v>108511</v>
      </c>
      <c r="E174" s="1755">
        <f>E175</f>
        <v>0</v>
      </c>
      <c r="F174" s="1755">
        <f>SUM(F175)</f>
        <v>108511</v>
      </c>
      <c r="G174" s="1755">
        <f>SUM(H174:I174)</f>
        <v>3840</v>
      </c>
      <c r="H174" s="1755">
        <f>H175</f>
        <v>0</v>
      </c>
      <c r="I174" s="1755">
        <f>SUM(I175)</f>
        <v>3840</v>
      </c>
      <c r="J174" s="1755">
        <f t="shared" si="52"/>
        <v>0</v>
      </c>
      <c r="K174" s="1755">
        <f>K175</f>
        <v>0</v>
      </c>
      <c r="L174" s="1755">
        <f>SUM(L175)</f>
        <v>0</v>
      </c>
      <c r="M174" s="1756">
        <f t="shared" si="42"/>
        <v>0</v>
      </c>
      <c r="N174" s="1757">
        <f t="shared" si="43"/>
        <v>0</v>
      </c>
      <c r="O174" s="1757">
        <f t="shared" si="44"/>
        <v>0</v>
      </c>
      <c r="P174" s="1597" t="s">
        <v>353</v>
      </c>
      <c r="Q174" s="1597" t="s">
        <v>353</v>
      </c>
      <c r="R174" s="1596">
        <f>SUM(S174:T174)</f>
        <v>2848</v>
      </c>
      <c r="S174" s="1596">
        <f>SUM(S175)</f>
        <v>0</v>
      </c>
      <c r="T174" s="1596">
        <f>SUM(T175)</f>
        <v>2848</v>
      </c>
      <c r="U174" s="735">
        <f t="shared" si="54"/>
        <v>104671</v>
      </c>
      <c r="V174" s="1658">
        <v>522</v>
      </c>
    </row>
    <row r="175" spans="1:26" ht="38.25" customHeight="1">
      <c r="A175" s="1787" t="s">
        <v>253</v>
      </c>
      <c r="B175" s="1668" t="s">
        <v>1393</v>
      </c>
      <c r="C175" s="1839"/>
      <c r="D175" s="1669">
        <f t="shared" si="53"/>
        <v>108511</v>
      </c>
      <c r="E175" s="1669">
        <f>E189+E176+E187</f>
        <v>0</v>
      </c>
      <c r="F175" s="1669">
        <f>F189+F176+F187</f>
        <v>108511</v>
      </c>
      <c r="G175" s="1669">
        <f t="shared" ref="G175:O175" si="56">G189+G176+G187</f>
        <v>3840</v>
      </c>
      <c r="H175" s="1669">
        <f t="shared" si="56"/>
        <v>0</v>
      </c>
      <c r="I175" s="1669">
        <f t="shared" si="56"/>
        <v>3840</v>
      </c>
      <c r="J175" s="1669">
        <f t="shared" si="56"/>
        <v>0</v>
      </c>
      <c r="K175" s="1669">
        <f t="shared" si="56"/>
        <v>0</v>
      </c>
      <c r="L175" s="1669">
        <f t="shared" si="56"/>
        <v>0</v>
      </c>
      <c r="M175" s="1669">
        <f t="shared" si="56"/>
        <v>0</v>
      </c>
      <c r="N175" s="1669">
        <f t="shared" si="56"/>
        <v>0</v>
      </c>
      <c r="O175" s="1669">
        <f t="shared" si="56"/>
        <v>0</v>
      </c>
      <c r="P175" s="1669">
        <f t="shared" ref="P175:U175" si="57">P189+P176</f>
        <v>0</v>
      </c>
      <c r="Q175" s="1669">
        <f t="shared" si="57"/>
        <v>0</v>
      </c>
      <c r="R175" s="1669">
        <f t="shared" si="57"/>
        <v>2848</v>
      </c>
      <c r="S175" s="1669">
        <f t="shared" si="57"/>
        <v>0</v>
      </c>
      <c r="T175" s="1669">
        <f t="shared" si="57"/>
        <v>2848</v>
      </c>
      <c r="U175" s="1669">
        <f t="shared" si="57"/>
        <v>0</v>
      </c>
    </row>
    <row r="176" spans="1:26" ht="38.25" customHeight="1">
      <c r="A176" s="1787"/>
      <c r="B176" s="1782" t="s">
        <v>283</v>
      </c>
      <c r="C176" s="1831"/>
      <c r="D176" s="1832">
        <f t="shared" si="53"/>
        <v>108011</v>
      </c>
      <c r="E176" s="1674">
        <f t="shared" ref="E176:U176" si="58">SUM(E177:E186)</f>
        <v>0</v>
      </c>
      <c r="F176" s="1674">
        <f t="shared" si="58"/>
        <v>108011</v>
      </c>
      <c r="G176" s="1674">
        <f t="shared" si="58"/>
        <v>3840</v>
      </c>
      <c r="H176" s="1674">
        <f t="shared" si="58"/>
        <v>0</v>
      </c>
      <c r="I176" s="1674">
        <f t="shared" si="58"/>
        <v>3840</v>
      </c>
      <c r="J176" s="1674">
        <f t="shared" si="58"/>
        <v>0</v>
      </c>
      <c r="K176" s="1674">
        <f t="shared" si="58"/>
        <v>0</v>
      </c>
      <c r="L176" s="1674">
        <f t="shared" si="58"/>
        <v>0</v>
      </c>
      <c r="M176" s="539">
        <f t="shared" si="58"/>
        <v>0</v>
      </c>
      <c r="N176" s="539">
        <f t="shared" si="58"/>
        <v>0</v>
      </c>
      <c r="O176" s="539">
        <f t="shared" si="58"/>
        <v>0</v>
      </c>
      <c r="P176" s="539">
        <f t="shared" si="58"/>
        <v>0</v>
      </c>
      <c r="Q176" s="539">
        <f t="shared" si="58"/>
        <v>0</v>
      </c>
      <c r="R176" s="539">
        <f t="shared" si="58"/>
        <v>0</v>
      </c>
      <c r="S176" s="539">
        <f t="shared" si="58"/>
        <v>0</v>
      </c>
      <c r="T176" s="539">
        <f t="shared" si="58"/>
        <v>0</v>
      </c>
      <c r="U176" s="539">
        <f t="shared" si="58"/>
        <v>0</v>
      </c>
    </row>
    <row r="177" spans="1:25" ht="86.25" customHeight="1">
      <c r="A177" s="1787"/>
      <c r="B177" s="1752" t="s">
        <v>1571</v>
      </c>
      <c r="C177" s="1831"/>
      <c r="D177" s="1832">
        <f t="shared" si="53"/>
        <v>10687</v>
      </c>
      <c r="E177" s="1674"/>
      <c r="F177" s="802">
        <v>10687</v>
      </c>
      <c r="G177" s="732">
        <f t="shared" ref="G177:G190" si="59">SUM(H177:I177)</f>
        <v>0</v>
      </c>
      <c r="H177" s="732"/>
      <c r="I177" s="802">
        <v>0</v>
      </c>
      <c r="J177" s="732">
        <f t="shared" ref="J177:J182" si="60">SUM(K177:L177)</f>
        <v>0</v>
      </c>
      <c r="K177" s="732"/>
      <c r="L177" s="802">
        <v>0</v>
      </c>
      <c r="M177" s="814">
        <f t="shared" ref="M177:M182" si="61">SUM(N177:O177)</f>
        <v>0</v>
      </c>
      <c r="N177" s="732"/>
      <c r="O177" s="802">
        <v>0</v>
      </c>
      <c r="P177" s="1808"/>
      <c r="Q177" s="1809"/>
      <c r="R177" s="1598"/>
      <c r="S177" s="1598"/>
      <c r="T177" s="1598"/>
      <c r="U177" s="735"/>
    </row>
    <row r="178" spans="1:25" ht="131.25" customHeight="1">
      <c r="A178" s="1787"/>
      <c r="B178" s="1752" t="s">
        <v>1420</v>
      </c>
      <c r="C178" s="1831">
        <v>24340</v>
      </c>
      <c r="D178" s="1832">
        <f t="shared" si="53"/>
        <v>3840</v>
      </c>
      <c r="E178" s="1674"/>
      <c r="F178" s="802">
        <v>3840</v>
      </c>
      <c r="G178" s="732">
        <f t="shared" si="59"/>
        <v>3840</v>
      </c>
      <c r="H178" s="732"/>
      <c r="I178" s="802">
        <v>3840</v>
      </c>
      <c r="J178" s="732">
        <f t="shared" si="60"/>
        <v>0</v>
      </c>
      <c r="K178" s="732"/>
      <c r="L178" s="802"/>
      <c r="M178" s="814">
        <f t="shared" si="61"/>
        <v>0</v>
      </c>
      <c r="N178" s="732"/>
      <c r="O178" s="802"/>
      <c r="P178" s="1808"/>
      <c r="Q178" s="1809"/>
      <c r="R178" s="1598"/>
      <c r="S178" s="1598"/>
      <c r="T178" s="1598"/>
      <c r="U178" s="735"/>
    </row>
    <row r="179" spans="1:25" ht="86.25" customHeight="1">
      <c r="A179" s="1787"/>
      <c r="B179" s="1752" t="s">
        <v>1576</v>
      </c>
      <c r="C179" s="1831"/>
      <c r="D179" s="1832">
        <f t="shared" si="53"/>
        <v>19800</v>
      </c>
      <c r="E179" s="1674"/>
      <c r="F179" s="802">
        <v>19800</v>
      </c>
      <c r="G179" s="732">
        <f t="shared" si="59"/>
        <v>0</v>
      </c>
      <c r="H179" s="732"/>
      <c r="I179" s="802">
        <v>0</v>
      </c>
      <c r="J179" s="732">
        <f t="shared" si="60"/>
        <v>0</v>
      </c>
      <c r="K179" s="732"/>
      <c r="L179" s="802"/>
      <c r="M179" s="814">
        <f t="shared" si="61"/>
        <v>0</v>
      </c>
      <c r="N179" s="732"/>
      <c r="O179" s="802"/>
      <c r="P179" s="1808"/>
      <c r="Q179" s="1809"/>
      <c r="R179" s="1598"/>
      <c r="S179" s="1598"/>
      <c r="T179" s="1598"/>
      <c r="U179" s="735"/>
    </row>
    <row r="180" spans="1:25" ht="86.25" customHeight="1">
      <c r="A180" s="1787"/>
      <c r="B180" s="1752" t="s">
        <v>1575</v>
      </c>
      <c r="C180" s="1831"/>
      <c r="D180" s="1832">
        <f t="shared" si="53"/>
        <v>7650</v>
      </c>
      <c r="E180" s="1674"/>
      <c r="F180" s="802">
        <v>7650</v>
      </c>
      <c r="G180" s="732">
        <f t="shared" si="59"/>
        <v>0</v>
      </c>
      <c r="H180" s="732"/>
      <c r="I180" s="802">
        <v>0</v>
      </c>
      <c r="J180" s="732">
        <f t="shared" si="60"/>
        <v>0</v>
      </c>
      <c r="K180" s="732"/>
      <c r="L180" s="802"/>
      <c r="M180" s="814">
        <f t="shared" si="61"/>
        <v>0</v>
      </c>
      <c r="N180" s="732"/>
      <c r="O180" s="802"/>
      <c r="P180" s="1808"/>
      <c r="Q180" s="1809"/>
      <c r="R180" s="1598"/>
      <c r="S180" s="1598"/>
      <c r="T180" s="1598"/>
      <c r="U180" s="735"/>
    </row>
    <row r="181" spans="1:25" ht="117.75" customHeight="1">
      <c r="A181" s="1787"/>
      <c r="B181" s="1752" t="s">
        <v>1574</v>
      </c>
      <c r="C181" s="1831"/>
      <c r="D181" s="1832">
        <f t="shared" si="53"/>
        <v>19800</v>
      </c>
      <c r="E181" s="1674"/>
      <c r="F181" s="802">
        <v>19800</v>
      </c>
      <c r="G181" s="732">
        <f t="shared" si="59"/>
        <v>0</v>
      </c>
      <c r="H181" s="732"/>
      <c r="I181" s="802">
        <v>0</v>
      </c>
      <c r="J181" s="732">
        <f t="shared" si="60"/>
        <v>0</v>
      </c>
      <c r="K181" s="732"/>
      <c r="L181" s="802"/>
      <c r="M181" s="814">
        <f t="shared" si="61"/>
        <v>0</v>
      </c>
      <c r="N181" s="732"/>
      <c r="O181" s="802"/>
      <c r="P181" s="1808"/>
      <c r="Q181" s="1809"/>
      <c r="R181" s="1598"/>
      <c r="S181" s="1598"/>
      <c r="T181" s="1598"/>
      <c r="U181" s="735"/>
    </row>
    <row r="182" spans="1:25" ht="86.25" customHeight="1">
      <c r="A182" s="1787"/>
      <c r="B182" s="1752" t="s">
        <v>1573</v>
      </c>
      <c r="C182" s="1831"/>
      <c r="D182" s="1832">
        <f t="shared" si="53"/>
        <v>17670</v>
      </c>
      <c r="E182" s="1674"/>
      <c r="F182" s="802">
        <v>17670</v>
      </c>
      <c r="G182" s="732">
        <f t="shared" si="59"/>
        <v>0</v>
      </c>
      <c r="H182" s="732"/>
      <c r="I182" s="802">
        <v>0</v>
      </c>
      <c r="J182" s="732">
        <f t="shared" si="60"/>
        <v>0</v>
      </c>
      <c r="K182" s="732"/>
      <c r="L182" s="802"/>
      <c r="M182" s="814">
        <f t="shared" si="61"/>
        <v>0</v>
      </c>
      <c r="N182" s="732"/>
      <c r="O182" s="802"/>
      <c r="P182" s="1808"/>
      <c r="Q182" s="1809"/>
      <c r="R182" s="1598"/>
      <c r="S182" s="1598"/>
      <c r="T182" s="1598"/>
      <c r="U182" s="735"/>
    </row>
    <row r="183" spans="1:25" ht="86.25" customHeight="1">
      <c r="A183" s="1787"/>
      <c r="B183" s="1752" t="s">
        <v>1605</v>
      </c>
      <c r="C183" s="1831"/>
      <c r="D183" s="1832">
        <f t="shared" si="53"/>
        <v>1176</v>
      </c>
      <c r="E183" s="1674"/>
      <c r="F183" s="802">
        <v>1176</v>
      </c>
      <c r="G183" s="732">
        <f t="shared" si="59"/>
        <v>0</v>
      </c>
      <c r="H183" s="732"/>
      <c r="I183" s="802">
        <v>0</v>
      </c>
      <c r="J183" s="732">
        <f t="shared" si="52"/>
        <v>0</v>
      </c>
      <c r="K183" s="732"/>
      <c r="L183" s="802"/>
      <c r="M183" s="746">
        <f t="shared" si="42"/>
        <v>0</v>
      </c>
      <c r="N183" s="732"/>
      <c r="O183" s="802"/>
      <c r="P183" s="1808"/>
      <c r="Q183" s="1809"/>
      <c r="R183" s="1598"/>
      <c r="S183" s="1598"/>
      <c r="T183" s="1598"/>
      <c r="U183" s="735"/>
    </row>
    <row r="184" spans="1:25" ht="86.25" customHeight="1">
      <c r="A184" s="1787"/>
      <c r="B184" s="1752" t="s">
        <v>1572</v>
      </c>
      <c r="C184" s="1831"/>
      <c r="D184" s="1832">
        <f t="shared" si="53"/>
        <v>3822</v>
      </c>
      <c r="E184" s="1674"/>
      <c r="F184" s="802">
        <v>3822</v>
      </c>
      <c r="G184" s="732">
        <f t="shared" si="59"/>
        <v>0</v>
      </c>
      <c r="H184" s="732"/>
      <c r="I184" s="802">
        <v>0</v>
      </c>
      <c r="J184" s="732">
        <f>SUM(K184:L184)</f>
        <v>0</v>
      </c>
      <c r="K184" s="732"/>
      <c r="L184" s="802"/>
      <c r="M184" s="814">
        <f>SUM(N184:O184)</f>
        <v>0</v>
      </c>
      <c r="N184" s="732"/>
      <c r="O184" s="802"/>
      <c r="P184" s="1808"/>
      <c r="Q184" s="1809"/>
      <c r="R184" s="1598"/>
      <c r="S184" s="1598"/>
      <c r="T184" s="1598"/>
      <c r="U184" s="735"/>
    </row>
    <row r="185" spans="1:25" ht="38.25" customHeight="1">
      <c r="A185" s="1787"/>
      <c r="B185" s="1752" t="s">
        <v>1570</v>
      </c>
      <c r="C185" s="1831"/>
      <c r="D185" s="1832">
        <f t="shared" si="53"/>
        <v>4116</v>
      </c>
      <c r="E185" s="1674"/>
      <c r="F185" s="802">
        <v>4116</v>
      </c>
      <c r="G185" s="732">
        <f t="shared" si="59"/>
        <v>0</v>
      </c>
      <c r="H185" s="732"/>
      <c r="I185" s="802">
        <v>0</v>
      </c>
      <c r="J185" s="732">
        <f>SUM(K185:L185)</f>
        <v>0</v>
      </c>
      <c r="K185" s="732"/>
      <c r="L185" s="802">
        <v>0</v>
      </c>
      <c r="M185" s="814">
        <f>SUM(N185:O185)</f>
        <v>0</v>
      </c>
      <c r="N185" s="732"/>
      <c r="O185" s="802">
        <v>0</v>
      </c>
      <c r="P185" s="1808"/>
      <c r="Q185" s="1809"/>
      <c r="R185" s="1598"/>
      <c r="S185" s="1598"/>
      <c r="T185" s="1598"/>
      <c r="U185" s="735"/>
    </row>
    <row r="186" spans="1:25" ht="62.25" customHeight="1">
      <c r="A186" s="1787"/>
      <c r="B186" s="1806" t="s">
        <v>1569</v>
      </c>
      <c r="C186" s="1845"/>
      <c r="D186" s="1832">
        <f t="shared" si="53"/>
        <v>19450</v>
      </c>
      <c r="E186" s="732"/>
      <c r="F186" s="802">
        <v>19450</v>
      </c>
      <c r="G186" s="732">
        <f t="shared" si="59"/>
        <v>0</v>
      </c>
      <c r="H186" s="732"/>
      <c r="I186" s="802">
        <v>0</v>
      </c>
      <c r="J186" s="732">
        <f>SUM(K186:L186)</f>
        <v>0</v>
      </c>
      <c r="K186" s="732"/>
      <c r="L186" s="802">
        <v>0</v>
      </c>
      <c r="M186" s="814">
        <f>SUM(N186:O186)</f>
        <v>0</v>
      </c>
      <c r="N186" s="732"/>
      <c r="O186" s="802">
        <v>0</v>
      </c>
      <c r="P186" s="1808"/>
      <c r="Q186" s="1809"/>
      <c r="R186" s="1598"/>
      <c r="S186" s="1598"/>
      <c r="T186" s="1598"/>
      <c r="U186" s="735"/>
    </row>
    <row r="187" spans="1:25" ht="20.25">
      <c r="A187" s="1787"/>
      <c r="B187" s="1782" t="s">
        <v>615</v>
      </c>
      <c r="C187" s="1831">
        <v>24340</v>
      </c>
      <c r="D187" s="732">
        <f t="shared" si="53"/>
        <v>0</v>
      </c>
      <c r="E187" s="1674">
        <f>SUM(E188)</f>
        <v>0</v>
      </c>
      <c r="F187" s="1674">
        <f>SUM(F188)</f>
        <v>0</v>
      </c>
      <c r="G187" s="732">
        <f t="shared" si="59"/>
        <v>0</v>
      </c>
      <c r="H187" s="1674">
        <f>SUM(H188)</f>
        <v>0</v>
      </c>
      <c r="I187" s="1674">
        <f>SUM(I188)</f>
        <v>0</v>
      </c>
      <c r="J187" s="732">
        <f>SUM(K187:L187)</f>
        <v>0</v>
      </c>
      <c r="K187" s="1674">
        <f>SUM(K188)</f>
        <v>0</v>
      </c>
      <c r="L187" s="1674">
        <f>SUM(L188)</f>
        <v>0</v>
      </c>
      <c r="M187" s="746">
        <f t="shared" ref="M187:O188" si="62">IF(J187=0,0,J187/G187*100)</f>
        <v>0</v>
      </c>
      <c r="N187" s="536">
        <f t="shared" si="62"/>
        <v>0</v>
      </c>
      <c r="O187" s="536">
        <f t="shared" si="62"/>
        <v>0</v>
      </c>
      <c r="P187" s="1808"/>
      <c r="Q187" s="1809"/>
      <c r="R187" s="1598"/>
      <c r="S187" s="1598"/>
      <c r="T187" s="1598"/>
      <c r="U187" s="735"/>
    </row>
    <row r="188" spans="1:25" ht="137.25" customHeight="1">
      <c r="A188" s="1787"/>
      <c r="B188" s="1721" t="s">
        <v>1420</v>
      </c>
      <c r="C188" s="1831">
        <v>24340</v>
      </c>
      <c r="D188" s="732"/>
      <c r="E188" s="1676"/>
      <c r="F188" s="1676"/>
      <c r="G188" s="732">
        <f t="shared" si="59"/>
        <v>0</v>
      </c>
      <c r="H188" s="1676"/>
      <c r="I188" s="1676"/>
      <c r="J188" s="732">
        <f>SUM(K188:L188)</f>
        <v>0</v>
      </c>
      <c r="K188" s="802"/>
      <c r="L188" s="802"/>
      <c r="M188" s="746">
        <f t="shared" si="62"/>
        <v>0</v>
      </c>
      <c r="N188" s="536">
        <f t="shared" si="62"/>
        <v>0</v>
      </c>
      <c r="O188" s="536">
        <f t="shared" si="62"/>
        <v>0</v>
      </c>
      <c r="P188" s="1808"/>
      <c r="Q188" s="1809"/>
      <c r="R188" s="1598"/>
      <c r="S188" s="1598"/>
      <c r="T188" s="1598"/>
      <c r="U188" s="735"/>
    </row>
    <row r="189" spans="1:25" ht="20.25">
      <c r="A189" s="1788"/>
      <c r="B189" s="1782" t="s">
        <v>431</v>
      </c>
      <c r="C189" s="1831"/>
      <c r="D189" s="1832">
        <f t="shared" ref="D189:D204" si="63">SUM(E189:F189)</f>
        <v>500</v>
      </c>
      <c r="E189" s="1674">
        <f>SUM(E190)</f>
        <v>0</v>
      </c>
      <c r="F189" s="1674">
        <f>SUM(F190)</f>
        <v>500</v>
      </c>
      <c r="G189" s="732">
        <f t="shared" si="59"/>
        <v>0</v>
      </c>
      <c r="H189" s="1674">
        <f>SUM(H190)</f>
        <v>0</v>
      </c>
      <c r="I189" s="1674">
        <f>SUM(I190)</f>
        <v>0</v>
      </c>
      <c r="J189" s="732">
        <f t="shared" si="52"/>
        <v>0</v>
      </c>
      <c r="K189" s="1674">
        <f>SUM(K190)</f>
        <v>0</v>
      </c>
      <c r="L189" s="1674">
        <f>SUM(L190)</f>
        <v>0</v>
      </c>
      <c r="M189" s="746">
        <f t="shared" si="42"/>
        <v>0</v>
      </c>
      <c r="N189" s="536">
        <f t="shared" si="43"/>
        <v>0</v>
      </c>
      <c r="O189" s="536">
        <f t="shared" si="44"/>
        <v>0</v>
      </c>
      <c r="P189" s="1627"/>
      <c r="R189" s="1602">
        <f>SUM(S189:T189)</f>
        <v>2848</v>
      </c>
      <c r="S189" s="1603">
        <v>0</v>
      </c>
      <c r="T189" s="1603">
        <v>2848</v>
      </c>
      <c r="U189" s="735"/>
    </row>
    <row r="190" spans="1:25" ht="60.75">
      <c r="A190" s="1788" t="s">
        <v>740</v>
      </c>
      <c r="B190" s="1721" t="s">
        <v>1577</v>
      </c>
      <c r="C190" s="1831">
        <v>24340</v>
      </c>
      <c r="D190" s="1832">
        <f t="shared" si="63"/>
        <v>500</v>
      </c>
      <c r="E190" s="1676"/>
      <c r="F190" s="1676">
        <v>500</v>
      </c>
      <c r="G190" s="732">
        <f t="shared" si="59"/>
        <v>0</v>
      </c>
      <c r="H190" s="1676"/>
      <c r="I190" s="1676">
        <v>0</v>
      </c>
      <c r="J190" s="732">
        <f t="shared" si="52"/>
        <v>0</v>
      </c>
      <c r="K190" s="802"/>
      <c r="L190" s="802"/>
      <c r="M190" s="746">
        <f t="shared" si="42"/>
        <v>0</v>
      </c>
      <c r="N190" s="536">
        <f t="shared" si="43"/>
        <v>0</v>
      </c>
      <c r="O190" s="536">
        <f t="shared" si="44"/>
        <v>0</v>
      </c>
      <c r="P190" s="1627"/>
      <c r="R190" s="1602">
        <f>SUM(S190:T190)</f>
        <v>2848</v>
      </c>
      <c r="S190" s="1616">
        <v>0</v>
      </c>
      <c r="T190" s="1616">
        <v>2848</v>
      </c>
      <c r="U190" s="735">
        <f t="shared" ref="U190:U195" si="64">D190-G190</f>
        <v>500</v>
      </c>
      <c r="V190" s="1565" t="s">
        <v>1427</v>
      </c>
      <c r="W190" s="1565">
        <v>1110243180</v>
      </c>
      <c r="X190" s="1565">
        <v>522</v>
      </c>
    </row>
    <row r="191" spans="1:25" ht="73.5" customHeight="1">
      <c r="A191" s="1789" t="s">
        <v>2</v>
      </c>
      <c r="B191" s="547" t="s">
        <v>222</v>
      </c>
      <c r="C191" s="1838"/>
      <c r="D191" s="1755">
        <f t="shared" si="63"/>
        <v>1241620.1000000001</v>
      </c>
      <c r="E191" s="1755">
        <f>SUM(E195,E192)</f>
        <v>712457.1</v>
      </c>
      <c r="F191" s="1755">
        <f t="shared" ref="F191:U191" si="65">SUM(F195,F192)</f>
        <v>529163</v>
      </c>
      <c r="G191" s="1755">
        <f t="shared" si="65"/>
        <v>1091620.1000000001</v>
      </c>
      <c r="H191" s="1755">
        <f t="shared" si="65"/>
        <v>612457.1</v>
      </c>
      <c r="I191" s="1755">
        <f t="shared" si="65"/>
        <v>479163</v>
      </c>
      <c r="J191" s="1755">
        <f t="shared" si="65"/>
        <v>0</v>
      </c>
      <c r="K191" s="1755">
        <f t="shared" si="65"/>
        <v>0</v>
      </c>
      <c r="L191" s="1755">
        <f t="shared" si="65"/>
        <v>0</v>
      </c>
      <c r="M191" s="1755">
        <f t="shared" si="65"/>
        <v>0</v>
      </c>
      <c r="N191" s="1755">
        <f t="shared" si="65"/>
        <v>0</v>
      </c>
      <c r="O191" s="1755">
        <f t="shared" si="65"/>
        <v>0</v>
      </c>
      <c r="P191" s="1755">
        <f t="shared" si="65"/>
        <v>0</v>
      </c>
      <c r="Q191" s="1755">
        <f t="shared" si="65"/>
        <v>0</v>
      </c>
      <c r="R191" s="1755" t="e">
        <f t="shared" si="65"/>
        <v>#REF!</v>
      </c>
      <c r="S191" s="1755" t="e">
        <f t="shared" si="65"/>
        <v>#REF!</v>
      </c>
      <c r="T191" s="1755" t="e">
        <f t="shared" si="65"/>
        <v>#REF!</v>
      </c>
      <c r="U191" s="1755">
        <f t="shared" si="65"/>
        <v>150000</v>
      </c>
      <c r="V191" s="1658" t="s">
        <v>1534</v>
      </c>
      <c r="W191" s="1813">
        <f>1241620.1-D191</f>
        <v>0</v>
      </c>
      <c r="X191" s="1565">
        <f>712457.1-E191</f>
        <v>0</v>
      </c>
      <c r="Y191" s="1815">
        <f>712457.1-F191</f>
        <v>183294.1</v>
      </c>
    </row>
    <row r="192" spans="1:25" ht="35.25" customHeight="1">
      <c r="A192" s="1787" t="s">
        <v>246</v>
      </c>
      <c r="B192" s="1668" t="s">
        <v>1393</v>
      </c>
      <c r="C192" s="1839"/>
      <c r="D192" s="1669">
        <f t="shared" si="63"/>
        <v>130700</v>
      </c>
      <c r="E192" s="1669">
        <f>SUM(E193:E194)</f>
        <v>0</v>
      </c>
      <c r="F192" s="1669">
        <f>SUM(F193:F194)</f>
        <v>130700</v>
      </c>
      <c r="G192" s="1669">
        <f>SUM(H192:I192)</f>
        <v>130700</v>
      </c>
      <c r="H192" s="1669">
        <f>SUM(H193:H194)</f>
        <v>0</v>
      </c>
      <c r="I192" s="1669">
        <f>SUM(I193:I194)</f>
        <v>130700</v>
      </c>
      <c r="J192" s="1669">
        <f t="shared" si="52"/>
        <v>0</v>
      </c>
      <c r="K192" s="1669">
        <f>SUM(K193:K194)</f>
        <v>0</v>
      </c>
      <c r="L192" s="1669">
        <f>SUM(L193:L194)</f>
        <v>0</v>
      </c>
      <c r="M192" s="1670">
        <f t="shared" si="42"/>
        <v>0</v>
      </c>
      <c r="N192" s="1671">
        <f t="shared" si="43"/>
        <v>0</v>
      </c>
      <c r="O192" s="1671">
        <f t="shared" si="44"/>
        <v>0</v>
      </c>
      <c r="P192" s="1599" t="s">
        <v>353</v>
      </c>
      <c r="Q192" s="1599" t="s">
        <v>353</v>
      </c>
      <c r="R192" s="1598" t="e">
        <f t="shared" ref="R192:R206" si="66">SUM(S192:T192)</f>
        <v>#REF!</v>
      </c>
      <c r="S192" s="1598" t="e">
        <f>SUM(S195:S210,S211,#REF!,#REF!,#REF!,#REF!,#REF!,#REF!,S240,#REF!,#REF!,S244,S209,#REF!,S253)</f>
        <v>#REF!</v>
      </c>
      <c r="T192" s="1598" t="e">
        <f>SUM(T195:T210,T211,#REF!,#REF!,#REF!,#REF!,#REF!,#REF!,T240,#REF!,#REF!,T244,T209,#REF!,T253)</f>
        <v>#REF!</v>
      </c>
      <c r="U192" s="735">
        <f t="shared" si="64"/>
        <v>0</v>
      </c>
    </row>
    <row r="193" spans="1:26" ht="25.5" customHeight="1">
      <c r="A193" s="1786"/>
      <c r="B193" s="1724" t="s">
        <v>263</v>
      </c>
      <c r="C193" s="1850">
        <v>10001</v>
      </c>
      <c r="D193" s="1832">
        <f t="shared" si="63"/>
        <v>130000</v>
      </c>
      <c r="E193" s="739">
        <v>0</v>
      </c>
      <c r="F193" s="1819">
        <v>130000</v>
      </c>
      <c r="G193" s="732">
        <f>SUM(H193:I193)</f>
        <v>130000</v>
      </c>
      <c r="H193" s="739">
        <f>E193</f>
        <v>0</v>
      </c>
      <c r="I193" s="739">
        <f>F193</f>
        <v>130000</v>
      </c>
      <c r="J193" s="732">
        <f t="shared" si="52"/>
        <v>0</v>
      </c>
      <c r="K193" s="739"/>
      <c r="L193" s="739"/>
      <c r="M193" s="733">
        <f t="shared" si="42"/>
        <v>0</v>
      </c>
      <c r="N193" s="734">
        <f t="shared" si="43"/>
        <v>0</v>
      </c>
      <c r="O193" s="734">
        <f t="shared" si="44"/>
        <v>0</v>
      </c>
      <c r="P193" s="1627"/>
      <c r="Q193" s="1628" t="s">
        <v>1103</v>
      </c>
      <c r="R193" s="1600">
        <f t="shared" si="66"/>
        <v>92075</v>
      </c>
      <c r="S193" s="1629">
        <v>0</v>
      </c>
      <c r="T193" s="1629">
        <v>92075</v>
      </c>
      <c r="U193" s="735">
        <f t="shared" si="64"/>
        <v>0</v>
      </c>
      <c r="V193" s="1565" t="s">
        <v>1427</v>
      </c>
      <c r="W193" s="1565">
        <v>1110290400</v>
      </c>
      <c r="X193" s="1565">
        <v>414</v>
      </c>
    </row>
    <row r="194" spans="1:26" ht="66.75" customHeight="1">
      <c r="A194" s="1786"/>
      <c r="B194" s="1724" t="s">
        <v>268</v>
      </c>
      <c r="C194" s="1850">
        <v>10044</v>
      </c>
      <c r="D194" s="1832">
        <f t="shared" si="63"/>
        <v>700</v>
      </c>
      <c r="E194" s="1821">
        <v>0</v>
      </c>
      <c r="F194" s="1821">
        <v>700</v>
      </c>
      <c r="G194" s="732">
        <f>SUM(H194:I194)</f>
        <v>700</v>
      </c>
      <c r="H194" s="739">
        <f>E194</f>
        <v>0</v>
      </c>
      <c r="I194" s="739">
        <f>F194</f>
        <v>700</v>
      </c>
      <c r="J194" s="732">
        <f t="shared" si="52"/>
        <v>0</v>
      </c>
      <c r="K194" s="739"/>
      <c r="L194" s="739"/>
      <c r="M194" s="733">
        <f t="shared" si="42"/>
        <v>0</v>
      </c>
      <c r="N194" s="734">
        <f t="shared" si="43"/>
        <v>0</v>
      </c>
      <c r="O194" s="734">
        <f t="shared" si="44"/>
        <v>0</v>
      </c>
      <c r="P194" s="1627"/>
      <c r="Q194" s="1628" t="s">
        <v>1103</v>
      </c>
      <c r="R194" s="1600">
        <f t="shared" si="66"/>
        <v>92075</v>
      </c>
      <c r="S194" s="1629">
        <v>0</v>
      </c>
      <c r="T194" s="1629">
        <v>92075</v>
      </c>
      <c r="U194" s="735">
        <f t="shared" si="64"/>
        <v>0</v>
      </c>
      <c r="V194" s="1565" t="s">
        <v>1427</v>
      </c>
      <c r="W194" s="1565">
        <v>1110290400</v>
      </c>
      <c r="X194" s="1565">
        <v>414</v>
      </c>
    </row>
    <row r="195" spans="1:26" ht="38.25" customHeight="1">
      <c r="A195" s="1787" t="s">
        <v>249</v>
      </c>
      <c r="B195" s="1668" t="s">
        <v>1394</v>
      </c>
      <c r="C195" s="1839"/>
      <c r="D195" s="1669">
        <f t="shared" si="63"/>
        <v>1110920.1000000001</v>
      </c>
      <c r="E195" s="1669">
        <f>E196+E204+E206+E210</f>
        <v>712457.1</v>
      </c>
      <c r="F195" s="1669">
        <f t="shared" ref="F195:O195" si="67">F196+F204+F206+F210</f>
        <v>398463</v>
      </c>
      <c r="G195" s="1669">
        <f t="shared" si="67"/>
        <v>960920.1</v>
      </c>
      <c r="H195" s="1669">
        <f t="shared" si="67"/>
        <v>612457.1</v>
      </c>
      <c r="I195" s="1669">
        <f t="shared" si="67"/>
        <v>348463</v>
      </c>
      <c r="J195" s="1669">
        <f t="shared" si="67"/>
        <v>0</v>
      </c>
      <c r="K195" s="1669">
        <f t="shared" si="67"/>
        <v>0</v>
      </c>
      <c r="L195" s="1669">
        <f t="shared" si="67"/>
        <v>0</v>
      </c>
      <c r="M195" s="1669">
        <f t="shared" si="67"/>
        <v>0</v>
      </c>
      <c r="N195" s="1669">
        <f t="shared" si="67"/>
        <v>0</v>
      </c>
      <c r="O195" s="1669">
        <f t="shared" si="67"/>
        <v>0</v>
      </c>
      <c r="P195" s="1599" t="s">
        <v>353</v>
      </c>
      <c r="Q195" s="1599" t="s">
        <v>353</v>
      </c>
      <c r="R195" s="1598" t="e">
        <f t="shared" si="66"/>
        <v>#REF!</v>
      </c>
      <c r="S195" s="1598" t="e">
        <f>SUM(#REF!,#REF!,#REF!,#REF!,#REF!,#REF!,S154,#REF!,#REF!,S104,S110,S113,#REF!,#REF!,#REF!)</f>
        <v>#REF!</v>
      </c>
      <c r="T195" s="1598" t="e">
        <f>SUM(#REF!,#REF!,#REF!,#REF!,#REF!,#REF!,T154,#REF!,#REF!,T104,T110,T113,#REF!,#REF!,#REF!)</f>
        <v>#REF!</v>
      </c>
      <c r="U195" s="735">
        <f t="shared" si="64"/>
        <v>150000</v>
      </c>
    </row>
    <row r="196" spans="1:26" s="1570" customFormat="1" ht="57" customHeight="1">
      <c r="A196" s="1790" t="s">
        <v>250</v>
      </c>
      <c r="B196" s="1726" t="s">
        <v>446</v>
      </c>
      <c r="C196" s="1851"/>
      <c r="D196" s="1688">
        <f t="shared" si="63"/>
        <v>626642.1</v>
      </c>
      <c r="E196" s="1727">
        <f>SUM(E197:E203)</f>
        <v>437900</v>
      </c>
      <c r="F196" s="1727">
        <f t="shared" ref="F196:O196" si="68">SUM(F197:F203)</f>
        <v>188742.1</v>
      </c>
      <c r="G196" s="1727">
        <f t="shared" si="68"/>
        <v>626642.1</v>
      </c>
      <c r="H196" s="1727">
        <f t="shared" si="68"/>
        <v>437900</v>
      </c>
      <c r="I196" s="1727">
        <f t="shared" si="68"/>
        <v>188742.1</v>
      </c>
      <c r="J196" s="1727">
        <f t="shared" si="68"/>
        <v>0</v>
      </c>
      <c r="K196" s="1727">
        <f t="shared" si="68"/>
        <v>0</v>
      </c>
      <c r="L196" s="1727">
        <f t="shared" si="68"/>
        <v>0</v>
      </c>
      <c r="M196" s="1727">
        <f t="shared" si="68"/>
        <v>0</v>
      </c>
      <c r="N196" s="1727">
        <f t="shared" si="68"/>
        <v>0</v>
      </c>
      <c r="O196" s="1727">
        <f t="shared" si="68"/>
        <v>0</v>
      </c>
      <c r="P196" s="1627"/>
      <c r="Q196" s="1564"/>
      <c r="R196" s="1623">
        <f t="shared" si="66"/>
        <v>732868.4</v>
      </c>
      <c r="S196" s="1630">
        <f>SUM(S197:S203)</f>
        <v>688774.9</v>
      </c>
      <c r="T196" s="1630">
        <f>SUM(T197:T203)</f>
        <v>44093.5</v>
      </c>
      <c r="U196" s="735"/>
      <c r="V196" s="1565"/>
      <c r="W196" s="1565"/>
      <c r="X196" s="1565"/>
      <c r="Y196" s="1613"/>
      <c r="Z196" s="1613"/>
    </row>
    <row r="197" spans="1:26" ht="69.75" customHeight="1">
      <c r="A197" s="1786">
        <v>75</v>
      </c>
      <c r="B197" s="1732" t="s">
        <v>1497</v>
      </c>
      <c r="C197" s="1841" t="s">
        <v>1543</v>
      </c>
      <c r="D197" s="1832">
        <f t="shared" si="63"/>
        <v>5536.4</v>
      </c>
      <c r="E197" s="1820">
        <v>5203.8999999999996</v>
      </c>
      <c r="F197" s="1821">
        <v>332.5</v>
      </c>
      <c r="G197" s="732">
        <f t="shared" ref="G197:G231" si="69">SUM(H197:I197)</f>
        <v>5536.4</v>
      </c>
      <c r="H197" s="739">
        <f t="shared" ref="H197:H203" si="70">E197</f>
        <v>5203.8999999999996</v>
      </c>
      <c r="I197" s="739">
        <f t="shared" ref="I197:I203" si="71">F197</f>
        <v>332.5</v>
      </c>
      <c r="J197" s="814">
        <f t="shared" ref="J197:J231" si="72">SUM(K197:L197)</f>
        <v>0</v>
      </c>
      <c r="K197" s="845"/>
      <c r="L197" s="739"/>
      <c r="M197" s="746">
        <f t="shared" si="42"/>
        <v>0</v>
      </c>
      <c r="N197" s="536">
        <f t="shared" si="43"/>
        <v>0</v>
      </c>
      <c r="O197" s="536">
        <f t="shared" si="44"/>
        <v>0</v>
      </c>
      <c r="P197" s="1627"/>
      <c r="R197" s="1600">
        <f t="shared" si="66"/>
        <v>152635.4</v>
      </c>
      <c r="S197" s="1631">
        <v>143361.29999999999</v>
      </c>
      <c r="T197" s="1629">
        <v>9274.1</v>
      </c>
      <c r="U197" s="735">
        <f t="shared" ref="U197:U205" si="73">D197-G197</f>
        <v>0</v>
      </c>
      <c r="V197" s="1565" t="s">
        <v>1427</v>
      </c>
      <c r="W197" s="1565" t="s">
        <v>1012</v>
      </c>
      <c r="X197" s="1565">
        <v>414</v>
      </c>
    </row>
    <row r="198" spans="1:26" ht="69.75" customHeight="1">
      <c r="A198" s="1786">
        <v>76</v>
      </c>
      <c r="B198" s="1732" t="s">
        <v>1498</v>
      </c>
      <c r="C198" s="1841" t="s">
        <v>1543</v>
      </c>
      <c r="D198" s="1832">
        <f t="shared" si="63"/>
        <v>10545.6</v>
      </c>
      <c r="E198" s="1820">
        <v>9912.2999999999993</v>
      </c>
      <c r="F198" s="1821">
        <v>633.29999999999995</v>
      </c>
      <c r="G198" s="732">
        <f t="shared" si="69"/>
        <v>10545.6</v>
      </c>
      <c r="H198" s="739">
        <f t="shared" si="70"/>
        <v>9912.2999999999993</v>
      </c>
      <c r="I198" s="739">
        <f t="shared" si="71"/>
        <v>633.29999999999995</v>
      </c>
      <c r="J198" s="814">
        <f t="shared" si="72"/>
        <v>0</v>
      </c>
      <c r="K198" s="845"/>
      <c r="L198" s="739"/>
      <c r="M198" s="746">
        <f t="shared" si="42"/>
        <v>0</v>
      </c>
      <c r="N198" s="536">
        <f t="shared" si="43"/>
        <v>0</v>
      </c>
      <c r="O198" s="536">
        <f t="shared" si="44"/>
        <v>0</v>
      </c>
      <c r="P198" s="1627"/>
      <c r="R198" s="1600">
        <f t="shared" si="66"/>
        <v>452152</v>
      </c>
      <c r="S198" s="1631">
        <v>425019.2</v>
      </c>
      <c r="T198" s="1629">
        <v>27132.799999999999</v>
      </c>
      <c r="U198" s="735">
        <f t="shared" si="73"/>
        <v>0</v>
      </c>
      <c r="V198" s="1565" t="s">
        <v>1427</v>
      </c>
      <c r="W198" s="1565" t="s">
        <v>1504</v>
      </c>
      <c r="X198" s="1565">
        <v>414</v>
      </c>
    </row>
    <row r="199" spans="1:26" ht="69.75" customHeight="1">
      <c r="A199" s="1786">
        <v>77</v>
      </c>
      <c r="B199" s="1732" t="s">
        <v>1499</v>
      </c>
      <c r="C199" s="1841" t="s">
        <v>1543</v>
      </c>
      <c r="D199" s="1832">
        <f t="shared" si="63"/>
        <v>50668.2</v>
      </c>
      <c r="E199" s="1821">
        <v>47625.599999999999</v>
      </c>
      <c r="F199" s="1821">
        <v>3042.6</v>
      </c>
      <c r="G199" s="732">
        <f t="shared" si="69"/>
        <v>50668.2</v>
      </c>
      <c r="H199" s="739">
        <f t="shared" si="70"/>
        <v>47625.599999999999</v>
      </c>
      <c r="I199" s="739">
        <f t="shared" si="71"/>
        <v>3042.6</v>
      </c>
      <c r="J199" s="732">
        <f t="shared" si="72"/>
        <v>0</v>
      </c>
      <c r="K199" s="739"/>
      <c r="L199" s="739"/>
      <c r="M199" s="733">
        <f t="shared" si="42"/>
        <v>0</v>
      </c>
      <c r="N199" s="734">
        <f t="shared" si="43"/>
        <v>0</v>
      </c>
      <c r="O199" s="734">
        <f t="shared" si="44"/>
        <v>0</v>
      </c>
      <c r="P199" s="1627"/>
      <c r="R199" s="1600">
        <f t="shared" si="66"/>
        <v>50107.7</v>
      </c>
      <c r="S199" s="1629">
        <v>47101.2</v>
      </c>
      <c r="T199" s="1629">
        <v>3006.5</v>
      </c>
      <c r="U199" s="735">
        <f t="shared" si="73"/>
        <v>0</v>
      </c>
      <c r="V199" s="1565" t="s">
        <v>1427</v>
      </c>
      <c r="W199" s="1565" t="s">
        <v>1014</v>
      </c>
      <c r="X199" s="1565">
        <v>414</v>
      </c>
    </row>
    <row r="200" spans="1:26" ht="69.75" customHeight="1">
      <c r="A200" s="1786">
        <v>78</v>
      </c>
      <c r="B200" s="1732" t="s">
        <v>1500</v>
      </c>
      <c r="C200" s="1841" t="s">
        <v>1543</v>
      </c>
      <c r="D200" s="1832">
        <f t="shared" si="63"/>
        <v>19820</v>
      </c>
      <c r="E200" s="1821">
        <v>18629.8</v>
      </c>
      <c r="F200" s="1821">
        <v>1190.2</v>
      </c>
      <c r="G200" s="732">
        <f t="shared" si="69"/>
        <v>19820</v>
      </c>
      <c r="H200" s="739">
        <f t="shared" si="70"/>
        <v>18629.8</v>
      </c>
      <c r="I200" s="739">
        <f t="shared" si="71"/>
        <v>1190.2</v>
      </c>
      <c r="J200" s="732">
        <f t="shared" si="72"/>
        <v>0</v>
      </c>
      <c r="K200" s="739"/>
      <c r="L200" s="739"/>
      <c r="M200" s="733">
        <f t="shared" si="42"/>
        <v>0</v>
      </c>
      <c r="N200" s="734">
        <f t="shared" si="43"/>
        <v>0</v>
      </c>
      <c r="O200" s="734">
        <f t="shared" si="44"/>
        <v>0</v>
      </c>
      <c r="P200" s="1627"/>
      <c r="R200" s="1600">
        <f t="shared" si="66"/>
        <v>24786.3</v>
      </c>
      <c r="S200" s="1629">
        <v>23299.1</v>
      </c>
      <c r="T200" s="1629">
        <v>1487.2</v>
      </c>
      <c r="U200" s="735">
        <f t="shared" si="73"/>
        <v>0</v>
      </c>
      <c r="V200" s="1565" t="s">
        <v>1427</v>
      </c>
      <c r="W200" s="1565" t="s">
        <v>1015</v>
      </c>
      <c r="X200" s="1565">
        <v>414</v>
      </c>
    </row>
    <row r="201" spans="1:26" ht="69.75" customHeight="1">
      <c r="A201" s="1786">
        <v>79</v>
      </c>
      <c r="B201" s="1732" t="s">
        <v>1501</v>
      </c>
      <c r="C201" s="1841" t="s">
        <v>1505</v>
      </c>
      <c r="D201" s="1832">
        <f t="shared" si="63"/>
        <v>38330</v>
      </c>
      <c r="E201" s="1821">
        <v>36028.400000000001</v>
      </c>
      <c r="F201" s="1821">
        <v>2301.6</v>
      </c>
      <c r="G201" s="732">
        <f t="shared" si="69"/>
        <v>38330</v>
      </c>
      <c r="H201" s="739">
        <f t="shared" si="70"/>
        <v>36028.400000000001</v>
      </c>
      <c r="I201" s="739">
        <f t="shared" si="71"/>
        <v>2301.6</v>
      </c>
      <c r="J201" s="732">
        <f t="shared" si="72"/>
        <v>0</v>
      </c>
      <c r="K201" s="739"/>
      <c r="L201" s="739"/>
      <c r="M201" s="733">
        <f t="shared" si="42"/>
        <v>0</v>
      </c>
      <c r="N201" s="734">
        <f t="shared" si="43"/>
        <v>0</v>
      </c>
      <c r="O201" s="734">
        <f t="shared" si="44"/>
        <v>0</v>
      </c>
      <c r="P201" s="1627"/>
      <c r="R201" s="1600">
        <f t="shared" si="66"/>
        <v>12843.6</v>
      </c>
      <c r="S201" s="1629">
        <v>12072.9</v>
      </c>
      <c r="T201" s="1629">
        <v>770.7</v>
      </c>
      <c r="U201" s="735">
        <f t="shared" si="73"/>
        <v>0</v>
      </c>
      <c r="V201" s="1565" t="s">
        <v>1427</v>
      </c>
      <c r="W201" s="1565" t="s">
        <v>1505</v>
      </c>
      <c r="X201" s="1565">
        <v>414</v>
      </c>
    </row>
    <row r="202" spans="1:26" ht="40.5">
      <c r="A202" s="1786">
        <v>80</v>
      </c>
      <c r="B202" s="1732" t="s">
        <v>1502</v>
      </c>
      <c r="C202" s="1841" t="s">
        <v>1542</v>
      </c>
      <c r="D202" s="1832">
        <f t="shared" si="63"/>
        <v>99120.7</v>
      </c>
      <c r="E202" s="1821">
        <v>74778.8</v>
      </c>
      <c r="F202" s="1821">
        <v>24341.9</v>
      </c>
      <c r="G202" s="732">
        <f t="shared" si="69"/>
        <v>99120.7</v>
      </c>
      <c r="H202" s="739">
        <f t="shared" si="70"/>
        <v>74778.8</v>
      </c>
      <c r="I202" s="739">
        <f t="shared" si="71"/>
        <v>24341.9</v>
      </c>
      <c r="J202" s="732">
        <f t="shared" si="72"/>
        <v>0</v>
      </c>
      <c r="K202" s="739"/>
      <c r="L202" s="739"/>
      <c r="M202" s="733">
        <f t="shared" si="42"/>
        <v>0</v>
      </c>
      <c r="N202" s="734">
        <f t="shared" si="43"/>
        <v>0</v>
      </c>
      <c r="O202" s="734">
        <f t="shared" si="44"/>
        <v>0</v>
      </c>
      <c r="P202" s="1627"/>
      <c r="R202" s="1600">
        <f t="shared" si="66"/>
        <v>30843.4</v>
      </c>
      <c r="S202" s="1629">
        <v>28992.799999999999</v>
      </c>
      <c r="T202" s="1629">
        <v>1850.6</v>
      </c>
      <c r="U202" s="735">
        <f t="shared" si="73"/>
        <v>0</v>
      </c>
      <c r="V202" s="1565" t="s">
        <v>1427</v>
      </c>
      <c r="W202" s="1565" t="s">
        <v>1008</v>
      </c>
      <c r="X202" s="1565">
        <v>414</v>
      </c>
    </row>
    <row r="203" spans="1:26" ht="45" customHeight="1">
      <c r="A203" s="1786">
        <v>81</v>
      </c>
      <c r="B203" s="1775" t="s">
        <v>1503</v>
      </c>
      <c r="C203" s="1847" t="s">
        <v>1542</v>
      </c>
      <c r="D203" s="1832">
        <f t="shared" si="63"/>
        <v>402621.2</v>
      </c>
      <c r="E203" s="1821">
        <v>245721.2</v>
      </c>
      <c r="F203" s="1821">
        <v>156900</v>
      </c>
      <c r="G203" s="732">
        <f t="shared" si="69"/>
        <v>402621.2</v>
      </c>
      <c r="H203" s="739">
        <f t="shared" si="70"/>
        <v>245721.2</v>
      </c>
      <c r="I203" s="739">
        <f t="shared" si="71"/>
        <v>156900</v>
      </c>
      <c r="J203" s="732">
        <f t="shared" si="72"/>
        <v>0</v>
      </c>
      <c r="K203" s="739"/>
      <c r="L203" s="739"/>
      <c r="M203" s="733">
        <f t="shared" si="42"/>
        <v>0</v>
      </c>
      <c r="N203" s="734">
        <f t="shared" si="43"/>
        <v>0</v>
      </c>
      <c r="O203" s="734">
        <f t="shared" si="44"/>
        <v>0</v>
      </c>
      <c r="P203" s="1627"/>
      <c r="R203" s="1600">
        <f t="shared" si="66"/>
        <v>9500</v>
      </c>
      <c r="S203" s="1629">
        <v>8928.4</v>
      </c>
      <c r="T203" s="1629">
        <v>571.6</v>
      </c>
      <c r="U203" s="735">
        <f t="shared" si="73"/>
        <v>0</v>
      </c>
      <c r="V203" s="1565" t="s">
        <v>1427</v>
      </c>
      <c r="W203" s="1565" t="s">
        <v>1506</v>
      </c>
      <c r="X203" s="1565">
        <v>414</v>
      </c>
    </row>
    <row r="204" spans="1:26" ht="76.5" customHeight="1">
      <c r="A204" s="1790" t="s">
        <v>251</v>
      </c>
      <c r="B204" s="1729" t="s">
        <v>1514</v>
      </c>
      <c r="C204" s="1843"/>
      <c r="D204" s="1688">
        <f t="shared" si="63"/>
        <v>63829.8</v>
      </c>
      <c r="E204" s="1688">
        <f>E205</f>
        <v>60000</v>
      </c>
      <c r="F204" s="1688">
        <f t="shared" ref="F204:O204" si="74">F205</f>
        <v>3829.8</v>
      </c>
      <c r="G204" s="1688">
        <f t="shared" si="74"/>
        <v>63829.8</v>
      </c>
      <c r="H204" s="1688">
        <f t="shared" si="74"/>
        <v>60000</v>
      </c>
      <c r="I204" s="1688">
        <f t="shared" si="74"/>
        <v>3829.8</v>
      </c>
      <c r="J204" s="1688">
        <f t="shared" si="74"/>
        <v>0</v>
      </c>
      <c r="K204" s="1688">
        <f t="shared" si="74"/>
        <v>0</v>
      </c>
      <c r="L204" s="1688">
        <f t="shared" si="74"/>
        <v>0</v>
      </c>
      <c r="M204" s="1688">
        <f t="shared" si="74"/>
        <v>0</v>
      </c>
      <c r="N204" s="1688">
        <f t="shared" si="74"/>
        <v>0</v>
      </c>
      <c r="O204" s="1688">
        <f t="shared" si="74"/>
        <v>0</v>
      </c>
      <c r="P204" s="1627"/>
      <c r="R204" s="1632">
        <f t="shared" si="66"/>
        <v>60106.400000000001</v>
      </c>
      <c r="S204" s="1633">
        <f>S205</f>
        <v>56500</v>
      </c>
      <c r="T204" s="1633">
        <f>T205</f>
        <v>3606.4</v>
      </c>
      <c r="U204" s="735">
        <f t="shared" si="73"/>
        <v>0</v>
      </c>
    </row>
    <row r="205" spans="1:26" ht="44.25" customHeight="1">
      <c r="A205" s="1786">
        <v>82</v>
      </c>
      <c r="B205" s="1732" t="s">
        <v>623</v>
      </c>
      <c r="C205" s="1841" t="s">
        <v>1541</v>
      </c>
      <c r="D205" s="1832">
        <f t="shared" ref="D205:D231" si="75">SUM(E205:F205)</f>
        <v>63829.8</v>
      </c>
      <c r="E205" s="1820">
        <v>60000</v>
      </c>
      <c r="F205" s="1821">
        <v>3829.8</v>
      </c>
      <c r="G205" s="732">
        <f t="shared" si="69"/>
        <v>63829.8</v>
      </c>
      <c r="H205" s="739">
        <f>E205</f>
        <v>60000</v>
      </c>
      <c r="I205" s="739">
        <f>F205</f>
        <v>3829.8</v>
      </c>
      <c r="J205" s="814">
        <f t="shared" si="72"/>
        <v>0</v>
      </c>
      <c r="K205" s="845"/>
      <c r="L205" s="739"/>
      <c r="M205" s="746">
        <f t="shared" si="42"/>
        <v>0</v>
      </c>
      <c r="N205" s="536">
        <f t="shared" si="43"/>
        <v>0</v>
      </c>
      <c r="O205" s="536">
        <f t="shared" si="44"/>
        <v>0</v>
      </c>
      <c r="P205" s="1627"/>
      <c r="R205" s="1600">
        <f t="shared" si="66"/>
        <v>60106.400000000001</v>
      </c>
      <c r="S205" s="1631">
        <v>56500</v>
      </c>
      <c r="T205" s="1629">
        <v>3606.4</v>
      </c>
      <c r="U205" s="735">
        <f t="shared" si="73"/>
        <v>0</v>
      </c>
      <c r="V205" s="1565" t="s">
        <v>1427</v>
      </c>
      <c r="W205" s="1565" t="s">
        <v>1507</v>
      </c>
      <c r="X205" s="1565">
        <v>414</v>
      </c>
    </row>
    <row r="206" spans="1:26" ht="92.25" customHeight="1">
      <c r="A206" s="1790" t="s">
        <v>1515</v>
      </c>
      <c r="B206" s="1729" t="s">
        <v>1508</v>
      </c>
      <c r="C206" s="1843"/>
      <c r="D206" s="1688">
        <f>SUM(E206:F206)</f>
        <v>416310.9</v>
      </c>
      <c r="E206" s="1688">
        <f>E209+E208+E207</f>
        <v>214557.1</v>
      </c>
      <c r="F206" s="1688">
        <f t="shared" ref="F206:O206" si="76">F209+F208+F207</f>
        <v>201753.8</v>
      </c>
      <c r="G206" s="1688">
        <f t="shared" si="76"/>
        <v>266310.90000000002</v>
      </c>
      <c r="H206" s="1688">
        <f t="shared" si="76"/>
        <v>114557.1</v>
      </c>
      <c r="I206" s="1688">
        <f t="shared" si="76"/>
        <v>151753.79999999999</v>
      </c>
      <c r="J206" s="1688">
        <f t="shared" si="76"/>
        <v>0</v>
      </c>
      <c r="K206" s="1688">
        <f t="shared" si="76"/>
        <v>0</v>
      </c>
      <c r="L206" s="1688">
        <f t="shared" si="76"/>
        <v>0</v>
      </c>
      <c r="M206" s="1688">
        <f t="shared" si="76"/>
        <v>0</v>
      </c>
      <c r="N206" s="1688">
        <f t="shared" si="76"/>
        <v>0</v>
      </c>
      <c r="O206" s="1688">
        <f t="shared" si="76"/>
        <v>0</v>
      </c>
      <c r="P206" s="1627"/>
      <c r="R206" s="1634" t="e">
        <f t="shared" si="66"/>
        <v>#REF!</v>
      </c>
      <c r="S206" s="1635" t="e">
        <f>S209+#REF!</f>
        <v>#REF!</v>
      </c>
      <c r="T206" s="1635">
        <v>0</v>
      </c>
      <c r="U206" s="735"/>
    </row>
    <row r="207" spans="1:26" ht="68.25" customHeight="1">
      <c r="A207" s="1790"/>
      <c r="B207" s="1793" t="s">
        <v>1607</v>
      </c>
      <c r="C207" s="1831">
        <v>10134</v>
      </c>
      <c r="D207" s="1832">
        <f>SUM(E207:F207)</f>
        <v>50000</v>
      </c>
      <c r="E207" s="1820">
        <v>0</v>
      </c>
      <c r="F207" s="1821">
        <v>50000</v>
      </c>
      <c r="G207" s="732">
        <f>SUM(H207:I207)</f>
        <v>0</v>
      </c>
      <c r="H207" s="739">
        <f>E207</f>
        <v>0</v>
      </c>
      <c r="I207" s="739">
        <v>0</v>
      </c>
      <c r="J207" s="814">
        <f>SUM(K207:L207)</f>
        <v>0</v>
      </c>
      <c r="K207" s="845"/>
      <c r="L207" s="739">
        <v>0</v>
      </c>
      <c r="M207" s="746">
        <f t="shared" ref="M207:O208" si="77">IF(J207=0,0,J207/G207*100)</f>
        <v>0</v>
      </c>
      <c r="N207" s="536">
        <f t="shared" si="77"/>
        <v>0</v>
      </c>
      <c r="O207" s="536">
        <f t="shared" si="77"/>
        <v>0</v>
      </c>
      <c r="P207" s="1627"/>
      <c r="R207" s="1634"/>
      <c r="S207" s="1635"/>
      <c r="T207" s="1635"/>
      <c r="U207" s="735"/>
    </row>
    <row r="208" spans="1:26" ht="44.25" customHeight="1">
      <c r="A208" s="1790"/>
      <c r="B208" s="1793" t="s">
        <v>1606</v>
      </c>
      <c r="C208" s="1831" t="s">
        <v>1609</v>
      </c>
      <c r="D208" s="1832">
        <f>SUM(E208:F208)</f>
        <v>100000</v>
      </c>
      <c r="E208" s="1820">
        <v>100000</v>
      </c>
      <c r="F208" s="1821">
        <v>0</v>
      </c>
      <c r="G208" s="732">
        <f>SUM(H208:I208)</f>
        <v>0</v>
      </c>
      <c r="H208" s="739">
        <v>0</v>
      </c>
      <c r="I208" s="739">
        <v>0</v>
      </c>
      <c r="J208" s="814">
        <f>SUM(K208:L208)</f>
        <v>0</v>
      </c>
      <c r="K208" s="845"/>
      <c r="L208" s="739">
        <v>0</v>
      </c>
      <c r="M208" s="746">
        <f t="shared" si="77"/>
        <v>0</v>
      </c>
      <c r="N208" s="536">
        <f t="shared" si="77"/>
        <v>0</v>
      </c>
      <c r="O208" s="536">
        <f t="shared" si="77"/>
        <v>0</v>
      </c>
      <c r="P208" s="1627"/>
      <c r="R208" s="1634"/>
      <c r="S208" s="1635"/>
      <c r="T208" s="1635"/>
      <c r="U208" s="735"/>
    </row>
    <row r="209" spans="1:26" ht="90.75" customHeight="1">
      <c r="A209" s="1786">
        <v>83</v>
      </c>
      <c r="B209" s="1732" t="s">
        <v>1509</v>
      </c>
      <c r="C209" s="1841" t="s">
        <v>1540</v>
      </c>
      <c r="D209" s="1832">
        <f t="shared" si="75"/>
        <v>266310.90000000002</v>
      </c>
      <c r="E209" s="1820">
        <v>114557.1</v>
      </c>
      <c r="F209" s="1821">
        <v>151753.79999999999</v>
      </c>
      <c r="G209" s="732">
        <f t="shared" si="69"/>
        <v>266310.90000000002</v>
      </c>
      <c r="H209" s="739">
        <f>E209</f>
        <v>114557.1</v>
      </c>
      <c r="I209" s="739">
        <f>F209</f>
        <v>151753.79999999999</v>
      </c>
      <c r="J209" s="814">
        <f t="shared" si="72"/>
        <v>0</v>
      </c>
      <c r="K209" s="845"/>
      <c r="L209" s="739">
        <v>0</v>
      </c>
      <c r="M209" s="746">
        <f t="shared" si="42"/>
        <v>0</v>
      </c>
      <c r="N209" s="536">
        <f t="shared" si="43"/>
        <v>0</v>
      </c>
      <c r="O209" s="536">
        <f t="shared" si="44"/>
        <v>0</v>
      </c>
      <c r="P209" s="1627"/>
      <c r="R209" s="1600">
        <f t="shared" ref="R209:R214" si="78">SUM(S209:T209)</f>
        <v>300000</v>
      </c>
      <c r="S209" s="1631">
        <v>300000</v>
      </c>
      <c r="T209" s="1629">
        <v>0</v>
      </c>
      <c r="U209" s="735"/>
      <c r="V209" s="1565" t="s">
        <v>1427</v>
      </c>
      <c r="W209" s="1565" t="s">
        <v>1510</v>
      </c>
      <c r="X209" s="1565">
        <v>414</v>
      </c>
    </row>
    <row r="210" spans="1:26" ht="96" customHeight="1">
      <c r="A210" s="1787" t="s">
        <v>1516</v>
      </c>
      <c r="B210" s="1687" t="s">
        <v>1513</v>
      </c>
      <c r="C210" s="1852">
        <v>10119</v>
      </c>
      <c r="D210" s="1688">
        <f t="shared" si="75"/>
        <v>4137.3</v>
      </c>
      <c r="E210" s="1688">
        <f>E211</f>
        <v>0</v>
      </c>
      <c r="F210" s="1688">
        <f>F211</f>
        <v>4137.3</v>
      </c>
      <c r="G210" s="1688">
        <f t="shared" si="69"/>
        <v>4137.3</v>
      </c>
      <c r="H210" s="1688">
        <f>H211</f>
        <v>0</v>
      </c>
      <c r="I210" s="1688">
        <f>I211</f>
        <v>4137.3</v>
      </c>
      <c r="J210" s="1688">
        <f t="shared" si="72"/>
        <v>0</v>
      </c>
      <c r="K210" s="1688">
        <f>K211</f>
        <v>0</v>
      </c>
      <c r="L210" s="1688">
        <f>L211</f>
        <v>0</v>
      </c>
      <c r="M210" s="1719">
        <f t="shared" si="42"/>
        <v>0</v>
      </c>
      <c r="N210" s="1719">
        <f t="shared" si="43"/>
        <v>0</v>
      </c>
      <c r="O210" s="1719">
        <f t="shared" si="44"/>
        <v>0</v>
      </c>
      <c r="P210" s="1593"/>
      <c r="Q210" s="1593"/>
      <c r="R210" s="1623" t="e">
        <f t="shared" si="78"/>
        <v>#REF!</v>
      </c>
      <c r="S210" s="1623" t="e">
        <f>SUM(S211:S238)</f>
        <v>#REF!</v>
      </c>
      <c r="T210" s="1623" t="e">
        <f>SUM(T211:T238)</f>
        <v>#REF!</v>
      </c>
      <c r="U210" s="735">
        <f>D210-G210</f>
        <v>0</v>
      </c>
    </row>
    <row r="211" spans="1:26" ht="60.75" customHeight="1">
      <c r="A211" s="1788" t="s">
        <v>745</v>
      </c>
      <c r="B211" s="1732" t="s">
        <v>1511</v>
      </c>
      <c r="C211" s="1836">
        <v>10119</v>
      </c>
      <c r="D211" s="1832">
        <f t="shared" si="75"/>
        <v>4137.3</v>
      </c>
      <c r="E211" s="1822">
        <v>0</v>
      </c>
      <c r="F211" s="1822">
        <v>4137.3</v>
      </c>
      <c r="G211" s="732">
        <f t="shared" si="69"/>
        <v>4137.3</v>
      </c>
      <c r="H211" s="739">
        <f>E211</f>
        <v>0</v>
      </c>
      <c r="I211" s="739">
        <f>F211</f>
        <v>4137.3</v>
      </c>
      <c r="J211" s="814">
        <f t="shared" si="72"/>
        <v>0</v>
      </c>
      <c r="K211" s="701"/>
      <c r="L211" s="701"/>
      <c r="M211" s="746">
        <f t="shared" si="42"/>
        <v>0</v>
      </c>
      <c r="N211" s="536">
        <f t="shared" si="43"/>
        <v>0</v>
      </c>
      <c r="O211" s="536">
        <f t="shared" si="44"/>
        <v>0</v>
      </c>
      <c r="P211" s="1593" t="s">
        <v>1290</v>
      </c>
      <c r="Q211" s="1593" t="s">
        <v>1240</v>
      </c>
      <c r="R211" s="1600">
        <f t="shared" si="78"/>
        <v>800</v>
      </c>
      <c r="S211" s="1608">
        <v>0</v>
      </c>
      <c r="T211" s="1608">
        <v>800</v>
      </c>
      <c r="U211" s="735">
        <f>D211-G211</f>
        <v>0</v>
      </c>
      <c r="V211" s="1565" t="s">
        <v>1429</v>
      </c>
      <c r="W211" s="1565" t="s">
        <v>1526</v>
      </c>
      <c r="X211" s="1565">
        <v>414</v>
      </c>
    </row>
    <row r="212" spans="1:26" s="791" customFormat="1" ht="54.75" customHeight="1">
      <c r="A212" s="2377" t="s">
        <v>1421</v>
      </c>
      <c r="B212" s="2377"/>
      <c r="C212" s="1837"/>
      <c r="D212" s="1748">
        <f t="shared" si="75"/>
        <v>62500</v>
      </c>
      <c r="E212" s="1748">
        <f>E213</f>
        <v>0</v>
      </c>
      <c r="F212" s="1748">
        <f>SUM(F213)</f>
        <v>62500</v>
      </c>
      <c r="G212" s="1748">
        <f t="shared" si="69"/>
        <v>0</v>
      </c>
      <c r="H212" s="1748">
        <f>H213</f>
        <v>0</v>
      </c>
      <c r="I212" s="1748">
        <f>SUM(I213)</f>
        <v>0</v>
      </c>
      <c r="J212" s="1748">
        <f t="shared" si="72"/>
        <v>0</v>
      </c>
      <c r="K212" s="1748">
        <f>SUM(K213)</f>
        <v>0</v>
      </c>
      <c r="L212" s="1748">
        <f>SUM(L213)</f>
        <v>0</v>
      </c>
      <c r="M212" s="1749">
        <f t="shared" ref="M212:O213" si="79">IF(J212=0,0,J212/G212*100)</f>
        <v>0</v>
      </c>
      <c r="N212" s="1759">
        <f t="shared" si="79"/>
        <v>0</v>
      </c>
      <c r="O212" s="1759">
        <f t="shared" si="79"/>
        <v>0</v>
      </c>
      <c r="P212" s="1282"/>
      <c r="Q212" s="1281" t="s">
        <v>1104</v>
      </c>
      <c r="R212" s="1748" t="e">
        <f t="shared" si="78"/>
        <v>#REF!</v>
      </c>
      <c r="S212" s="1748" t="e">
        <f>SUM(#REF!,S232)</f>
        <v>#REF!</v>
      </c>
      <c r="T212" s="1748" t="e">
        <f>SUM(#REF!,T232)</f>
        <v>#REF!</v>
      </c>
      <c r="U212" s="1760">
        <f>D212-G212</f>
        <v>62500</v>
      </c>
      <c r="V212" s="1549"/>
      <c r="W212" s="1549"/>
      <c r="X212" s="1549"/>
      <c r="Y212" s="1751"/>
      <c r="Z212" s="1751"/>
    </row>
    <row r="213" spans="1:26" ht="101.25" customHeight="1">
      <c r="A213" s="1787" t="s">
        <v>6</v>
      </c>
      <c r="B213" s="1754" t="s">
        <v>439</v>
      </c>
      <c r="C213" s="1838"/>
      <c r="D213" s="1755">
        <f t="shared" si="75"/>
        <v>62500</v>
      </c>
      <c r="E213" s="1755">
        <f>SUM(E214,E227)</f>
        <v>0</v>
      </c>
      <c r="F213" s="1755">
        <f>SUM(F214,F227)</f>
        <v>62500</v>
      </c>
      <c r="G213" s="1755">
        <f t="shared" si="69"/>
        <v>0</v>
      </c>
      <c r="H213" s="1755">
        <f>SUM(H214,H227)</f>
        <v>0</v>
      </c>
      <c r="I213" s="1755">
        <f>SUM(I214,I227)</f>
        <v>0</v>
      </c>
      <c r="J213" s="1755">
        <f t="shared" si="72"/>
        <v>0</v>
      </c>
      <c r="K213" s="1755">
        <f>SUM(K214)</f>
        <v>0</v>
      </c>
      <c r="L213" s="1755">
        <f>SUM(L214)</f>
        <v>0</v>
      </c>
      <c r="M213" s="1756">
        <f t="shared" si="79"/>
        <v>0</v>
      </c>
      <c r="N213" s="1757">
        <f t="shared" si="79"/>
        <v>0</v>
      </c>
      <c r="O213" s="1757">
        <f t="shared" si="79"/>
        <v>0</v>
      </c>
      <c r="P213" s="1597" t="s">
        <v>353</v>
      </c>
      <c r="Q213" s="1597" t="s">
        <v>353</v>
      </c>
      <c r="R213" s="1596" t="e">
        <f t="shared" si="78"/>
        <v>#REF!</v>
      </c>
      <c r="S213" s="1596" t="e">
        <f>SUM(S214)</f>
        <v>#REF!</v>
      </c>
      <c r="T213" s="1596" t="e">
        <f>SUM(T214)</f>
        <v>#REF!</v>
      </c>
      <c r="U213" s="735">
        <f>D213-G213</f>
        <v>62500</v>
      </c>
    </row>
    <row r="214" spans="1:26" ht="36.75" customHeight="1">
      <c r="A214" s="1787" t="s">
        <v>253</v>
      </c>
      <c r="B214" s="1668" t="s">
        <v>1393</v>
      </c>
      <c r="C214" s="1839"/>
      <c r="D214" s="1669">
        <f>SUM(E214:F214)</f>
        <v>48000</v>
      </c>
      <c r="E214" s="1669">
        <f>SUM(E225,E219+E215+E217+E221+E223)</f>
        <v>0</v>
      </c>
      <c r="F214" s="1669">
        <f t="shared" ref="F214:O214" si="80">SUM(F225,F219+F215+F217+F221+F223)</f>
        <v>48000</v>
      </c>
      <c r="G214" s="1669">
        <f t="shared" si="80"/>
        <v>0</v>
      </c>
      <c r="H214" s="1669">
        <f t="shared" si="80"/>
        <v>0</v>
      </c>
      <c r="I214" s="1669">
        <f t="shared" si="80"/>
        <v>0</v>
      </c>
      <c r="J214" s="1669">
        <f t="shared" si="80"/>
        <v>0</v>
      </c>
      <c r="K214" s="1669">
        <f t="shared" si="80"/>
        <v>0</v>
      </c>
      <c r="L214" s="1669">
        <f t="shared" si="80"/>
        <v>0</v>
      </c>
      <c r="M214" s="1669">
        <f t="shared" si="80"/>
        <v>0</v>
      </c>
      <c r="N214" s="1669">
        <f t="shared" si="80"/>
        <v>0</v>
      </c>
      <c r="O214" s="1669">
        <f t="shared" si="80"/>
        <v>0</v>
      </c>
      <c r="P214" s="1599" t="s">
        <v>353</v>
      </c>
      <c r="Q214" s="1599" t="s">
        <v>353</v>
      </c>
      <c r="R214" s="1598" t="e">
        <f t="shared" si="78"/>
        <v>#REF!</v>
      </c>
      <c r="S214" s="1598" t="e">
        <f>SUM(S219:S248,S249,S252,#REF!,S254,S244,S256,S266,S269,#REF!,#REF!,S273,S242,#REF!,S282)</f>
        <v>#REF!</v>
      </c>
      <c r="T214" s="1598" t="e">
        <f>SUM(T219:T248,T249,T252,#REF!,T254,T244,T256,T266,T269,#REF!,#REF!,T273,T242,#REF!,T282)</f>
        <v>#REF!</v>
      </c>
      <c r="U214" s="735">
        <f>D214-G214</f>
        <v>48000</v>
      </c>
    </row>
    <row r="215" spans="1:26" s="484" customFormat="1" ht="36.75" customHeight="1">
      <c r="A215" s="1787"/>
      <c r="B215" s="1804" t="s">
        <v>46</v>
      </c>
      <c r="C215" s="1845"/>
      <c r="D215" s="1832">
        <f>SUM(E215:F215)</f>
        <v>25000</v>
      </c>
      <c r="E215" s="539">
        <f>SUM(E216)</f>
        <v>0</v>
      </c>
      <c r="F215" s="539">
        <f>SUM(F216)</f>
        <v>25000</v>
      </c>
      <c r="G215" s="814">
        <f>SUM(H215:I215)</f>
        <v>0</v>
      </c>
      <c r="H215" s="539">
        <f>SUM(H216)</f>
        <v>0</v>
      </c>
      <c r="I215" s="539">
        <f>SUM(I216)</f>
        <v>0</v>
      </c>
      <c r="J215" s="814">
        <f>SUM(K215:L215)</f>
        <v>0</v>
      </c>
      <c r="K215" s="539">
        <f>SUM(K216)</f>
        <v>0</v>
      </c>
      <c r="L215" s="539">
        <f>SUM(L216)</f>
        <v>0</v>
      </c>
      <c r="M215" s="746">
        <f t="shared" ref="M215:M226" si="81">IF(J215=0,0,J215/G215*100)</f>
        <v>0</v>
      </c>
      <c r="N215" s="536">
        <f t="shared" ref="N215:N226" si="82">IF(K215=0,0,K215/H215*100)</f>
        <v>0</v>
      </c>
      <c r="O215" s="536">
        <f t="shared" ref="O215:O226" si="83">IF(L215=0,0,L215/I215*100)</f>
        <v>0</v>
      </c>
      <c r="P215" s="1812"/>
      <c r="Q215" s="1794"/>
      <c r="R215" s="1600"/>
      <c r="S215" s="1600"/>
      <c r="T215" s="1600"/>
      <c r="U215" s="735"/>
      <c r="V215" s="1605"/>
      <c r="W215" s="1605"/>
      <c r="X215" s="1605"/>
      <c r="Y215" s="1606"/>
      <c r="Z215" s="1606"/>
    </row>
    <row r="216" spans="1:26" s="484" customFormat="1" ht="72.75" customHeight="1">
      <c r="A216" s="1787"/>
      <c r="B216" s="1806" t="s">
        <v>1578</v>
      </c>
      <c r="C216" s="1831">
        <v>24381</v>
      </c>
      <c r="D216" s="1832">
        <f>SUM(E216:F216)</f>
        <v>25000</v>
      </c>
      <c r="E216" s="701">
        <v>0</v>
      </c>
      <c r="F216" s="701">
        <v>25000</v>
      </c>
      <c r="G216" s="814">
        <f>SUM(H216:I216)</f>
        <v>0</v>
      </c>
      <c r="H216" s="701">
        <v>0</v>
      </c>
      <c r="I216" s="701">
        <v>0</v>
      </c>
      <c r="J216" s="814">
        <f>SUM(K216:L216)</f>
        <v>0</v>
      </c>
      <c r="K216" s="1677"/>
      <c r="L216" s="1677"/>
      <c r="M216" s="746">
        <f t="shared" si="81"/>
        <v>0</v>
      </c>
      <c r="N216" s="536">
        <f t="shared" si="82"/>
        <v>0</v>
      </c>
      <c r="O216" s="536">
        <f t="shared" si="83"/>
        <v>0</v>
      </c>
      <c r="P216" s="1812"/>
      <c r="Q216" s="1794"/>
      <c r="R216" s="1600"/>
      <c r="S216" s="1600"/>
      <c r="T216" s="1600"/>
      <c r="U216" s="735"/>
      <c r="V216" s="1605"/>
      <c r="W216" s="1605"/>
      <c r="X216" s="1605"/>
      <c r="Y216" s="1606"/>
      <c r="Z216" s="1606"/>
    </row>
    <row r="217" spans="1:26" s="484" customFormat="1" ht="20.25">
      <c r="A217" s="1787"/>
      <c r="B217" s="1804" t="s">
        <v>583</v>
      </c>
      <c r="C217" s="1845"/>
      <c r="D217" s="1832">
        <f>SUM(E217:F217)</f>
        <v>3500</v>
      </c>
      <c r="E217" s="539">
        <f>SUM(E218)</f>
        <v>0</v>
      </c>
      <c r="F217" s="539">
        <f>SUM(F218)</f>
        <v>3500</v>
      </c>
      <c r="G217" s="814">
        <f>SUM(H217:I217)</f>
        <v>0</v>
      </c>
      <c r="H217" s="539">
        <f>SUM(H218)</f>
        <v>0</v>
      </c>
      <c r="I217" s="539">
        <f>SUM(I218)</f>
        <v>0</v>
      </c>
      <c r="J217" s="814">
        <f>SUM(K217:L217)</f>
        <v>0</v>
      </c>
      <c r="K217" s="539">
        <f>SUM(K218)</f>
        <v>0</v>
      </c>
      <c r="L217" s="539">
        <f>SUM(L218)</f>
        <v>0</v>
      </c>
      <c r="M217" s="746">
        <f t="shared" si="81"/>
        <v>0</v>
      </c>
      <c r="N217" s="536">
        <f t="shared" si="82"/>
        <v>0</v>
      </c>
      <c r="O217" s="536">
        <f t="shared" si="83"/>
        <v>0</v>
      </c>
      <c r="P217" s="1812"/>
      <c r="Q217" s="1794"/>
      <c r="R217" s="1600"/>
      <c r="S217" s="1600"/>
      <c r="T217" s="1600"/>
      <c r="U217" s="735"/>
      <c r="V217" s="1605"/>
      <c r="W217" s="1605"/>
      <c r="X217" s="1605"/>
      <c r="Y217" s="1606"/>
      <c r="Z217" s="1606"/>
    </row>
    <row r="218" spans="1:26" s="484" customFormat="1" ht="72.75" customHeight="1">
      <c r="A218" s="1787"/>
      <c r="B218" s="1806" t="s">
        <v>1579</v>
      </c>
      <c r="C218" s="1845"/>
      <c r="D218" s="1832">
        <f>SUM(E218:F218)</f>
        <v>3500</v>
      </c>
      <c r="E218" s="701">
        <v>0</v>
      </c>
      <c r="F218" s="701">
        <v>3500</v>
      </c>
      <c r="G218" s="814">
        <f>SUM(H218:I218)</f>
        <v>0</v>
      </c>
      <c r="H218" s="701">
        <v>0</v>
      </c>
      <c r="I218" s="701">
        <v>0</v>
      </c>
      <c r="J218" s="814">
        <f>SUM(K218:L218)</f>
        <v>0</v>
      </c>
      <c r="K218" s="1677"/>
      <c r="L218" s="1677"/>
      <c r="M218" s="746">
        <f t="shared" si="81"/>
        <v>0</v>
      </c>
      <c r="N218" s="536">
        <f t="shared" si="82"/>
        <v>0</v>
      </c>
      <c r="O218" s="536">
        <f t="shared" si="83"/>
        <v>0</v>
      </c>
      <c r="P218" s="1812"/>
      <c r="Q218" s="1794"/>
      <c r="R218" s="1600"/>
      <c r="S218" s="1600"/>
      <c r="T218" s="1600"/>
      <c r="U218" s="735"/>
      <c r="V218" s="1605"/>
      <c r="W218" s="1605"/>
      <c r="X218" s="1605"/>
      <c r="Y218" s="1606"/>
      <c r="Z218" s="1606"/>
    </row>
    <row r="219" spans="1:26" ht="20.25">
      <c r="A219" s="1788"/>
      <c r="B219" s="1673" t="s">
        <v>68</v>
      </c>
      <c r="C219" s="1836"/>
      <c r="D219" s="1832">
        <f t="shared" si="75"/>
        <v>2500</v>
      </c>
      <c r="E219" s="539">
        <f>SUM(E220)</f>
        <v>0</v>
      </c>
      <c r="F219" s="539">
        <f>SUM(F220)</f>
        <v>2500</v>
      </c>
      <c r="G219" s="814">
        <f t="shared" si="69"/>
        <v>0</v>
      </c>
      <c r="H219" s="539">
        <f>SUM(H220)</f>
        <v>0</v>
      </c>
      <c r="I219" s="539">
        <f>SUM(I220)</f>
        <v>0</v>
      </c>
      <c r="J219" s="814">
        <f t="shared" si="72"/>
        <v>0</v>
      </c>
      <c r="K219" s="539">
        <f>SUM(K220)</f>
        <v>0</v>
      </c>
      <c r="L219" s="539">
        <f>SUM(L220)</f>
        <v>0</v>
      </c>
      <c r="M219" s="746">
        <f t="shared" si="81"/>
        <v>0</v>
      </c>
      <c r="N219" s="536">
        <f t="shared" si="82"/>
        <v>0</v>
      </c>
      <c r="O219" s="536">
        <f t="shared" si="83"/>
        <v>0</v>
      </c>
      <c r="P219" s="1627"/>
      <c r="R219" s="1602">
        <f>SUM(S219:T219)</f>
        <v>2848</v>
      </c>
      <c r="S219" s="1603">
        <v>0</v>
      </c>
      <c r="T219" s="1603">
        <v>2848</v>
      </c>
      <c r="U219" s="735"/>
    </row>
    <row r="220" spans="1:26" ht="49.5" customHeight="1">
      <c r="A220" s="1788"/>
      <c r="B220" s="1732" t="s">
        <v>1422</v>
      </c>
      <c r="C220" s="1836"/>
      <c r="D220" s="1832">
        <f t="shared" si="75"/>
        <v>2500</v>
      </c>
      <c r="E220" s="701">
        <v>0</v>
      </c>
      <c r="F220" s="701">
        <v>2500</v>
      </c>
      <c r="G220" s="814">
        <f t="shared" si="69"/>
        <v>0</v>
      </c>
      <c r="H220" s="701">
        <v>0</v>
      </c>
      <c r="I220" s="701">
        <v>0</v>
      </c>
      <c r="J220" s="814">
        <f t="shared" si="72"/>
        <v>0</v>
      </c>
      <c r="K220" s="1677"/>
      <c r="L220" s="1677"/>
      <c r="M220" s="746">
        <f t="shared" si="81"/>
        <v>0</v>
      </c>
      <c r="N220" s="536">
        <f t="shared" si="82"/>
        <v>0</v>
      </c>
      <c r="O220" s="536">
        <f t="shared" si="83"/>
        <v>0</v>
      </c>
      <c r="P220" s="1627"/>
      <c r="R220" s="1602">
        <f>SUM(S220:T220)</f>
        <v>2848</v>
      </c>
      <c r="S220" s="1616">
        <v>0</v>
      </c>
      <c r="T220" s="1616">
        <v>2848</v>
      </c>
      <c r="U220" s="735">
        <f>D220-G220</f>
        <v>2500</v>
      </c>
      <c r="V220" s="1565">
        <v>1102</v>
      </c>
      <c r="W220" s="1565" t="s">
        <v>1426</v>
      </c>
      <c r="X220" s="1565">
        <v>522</v>
      </c>
    </row>
    <row r="221" spans="1:26" ht="20.25">
      <c r="A221" s="1788"/>
      <c r="B221" s="1782" t="s">
        <v>431</v>
      </c>
      <c r="C221" s="1836"/>
      <c r="D221" s="1832">
        <f>SUM(E221:F221)</f>
        <v>4000</v>
      </c>
      <c r="E221" s="539">
        <f>SUM(E222)</f>
        <v>0</v>
      </c>
      <c r="F221" s="539">
        <f>SUM(F222)</f>
        <v>4000</v>
      </c>
      <c r="G221" s="814">
        <f>SUM(H221:I221)</f>
        <v>0</v>
      </c>
      <c r="H221" s="539">
        <f>SUM(H222)</f>
        <v>0</v>
      </c>
      <c r="I221" s="539">
        <f>SUM(I222)</f>
        <v>0</v>
      </c>
      <c r="J221" s="814">
        <f>SUM(K221:L221)</f>
        <v>0</v>
      </c>
      <c r="K221" s="539">
        <f>SUM(K222)</f>
        <v>0</v>
      </c>
      <c r="L221" s="539">
        <f>SUM(L222)</f>
        <v>0</v>
      </c>
      <c r="M221" s="746">
        <f t="shared" si="81"/>
        <v>0</v>
      </c>
      <c r="N221" s="536">
        <f t="shared" si="82"/>
        <v>0</v>
      </c>
      <c r="O221" s="536">
        <f t="shared" si="83"/>
        <v>0</v>
      </c>
      <c r="P221" s="1627"/>
      <c r="R221" s="1602"/>
      <c r="S221" s="1616"/>
      <c r="T221" s="1616"/>
      <c r="U221" s="735"/>
    </row>
    <row r="222" spans="1:26" ht="68.25" customHeight="1">
      <c r="A222" s="1788"/>
      <c r="B222" s="1732" t="s">
        <v>1580</v>
      </c>
      <c r="C222" s="1836"/>
      <c r="D222" s="1832">
        <f>SUM(E222:F222)</f>
        <v>4000</v>
      </c>
      <c r="E222" s="701">
        <v>0</v>
      </c>
      <c r="F222" s="701">
        <v>4000</v>
      </c>
      <c r="G222" s="814">
        <f>SUM(H222:I222)</f>
        <v>0</v>
      </c>
      <c r="H222" s="701">
        <v>0</v>
      </c>
      <c r="I222" s="701">
        <v>0</v>
      </c>
      <c r="J222" s="814">
        <f>SUM(K222:L222)</f>
        <v>0</v>
      </c>
      <c r="K222" s="1677"/>
      <c r="L222" s="1677"/>
      <c r="M222" s="746">
        <f t="shared" si="81"/>
        <v>0</v>
      </c>
      <c r="N222" s="536">
        <f t="shared" si="82"/>
        <v>0</v>
      </c>
      <c r="O222" s="536">
        <f t="shared" si="83"/>
        <v>0</v>
      </c>
      <c r="P222" s="1627"/>
      <c r="R222" s="1602"/>
      <c r="S222" s="1616"/>
      <c r="T222" s="1616"/>
      <c r="U222" s="735"/>
    </row>
    <row r="223" spans="1:26" ht="20.25">
      <c r="A223" s="1788"/>
      <c r="B223" s="1782" t="s">
        <v>90</v>
      </c>
      <c r="C223" s="1836"/>
      <c r="D223" s="1832">
        <f>SUM(E223:F223)</f>
        <v>3000</v>
      </c>
      <c r="E223" s="539">
        <f>SUM(E224)</f>
        <v>0</v>
      </c>
      <c r="F223" s="539">
        <f>SUM(F224)</f>
        <v>3000</v>
      </c>
      <c r="G223" s="814">
        <f>SUM(H223:I223)</f>
        <v>0</v>
      </c>
      <c r="H223" s="539">
        <f>SUM(H224)</f>
        <v>0</v>
      </c>
      <c r="I223" s="539">
        <f>SUM(I224)</f>
        <v>0</v>
      </c>
      <c r="J223" s="814">
        <f>SUM(K223:L223)</f>
        <v>0</v>
      </c>
      <c r="K223" s="539">
        <f>SUM(K224)</f>
        <v>0</v>
      </c>
      <c r="L223" s="539">
        <f>SUM(L224)</f>
        <v>0</v>
      </c>
      <c r="M223" s="746">
        <f t="shared" si="81"/>
        <v>0</v>
      </c>
      <c r="N223" s="536">
        <f t="shared" si="82"/>
        <v>0</v>
      </c>
      <c r="O223" s="536">
        <f t="shared" si="83"/>
        <v>0</v>
      </c>
      <c r="P223" s="1627"/>
      <c r="R223" s="1602"/>
      <c r="S223" s="1616"/>
      <c r="T223" s="1616"/>
      <c r="U223" s="735"/>
    </row>
    <row r="224" spans="1:26" ht="68.25" customHeight="1">
      <c r="A224" s="1788"/>
      <c r="B224" s="1732" t="s">
        <v>1581</v>
      </c>
      <c r="C224" s="1836"/>
      <c r="D224" s="1832">
        <f>SUM(E224:F224)</f>
        <v>3000</v>
      </c>
      <c r="E224" s="701">
        <v>0</v>
      </c>
      <c r="F224" s="701">
        <v>3000</v>
      </c>
      <c r="G224" s="814">
        <f>SUM(H224:I224)</f>
        <v>0</v>
      </c>
      <c r="H224" s="701">
        <v>0</v>
      </c>
      <c r="I224" s="701">
        <v>0</v>
      </c>
      <c r="J224" s="814">
        <f>SUM(K224:L224)</f>
        <v>0</v>
      </c>
      <c r="K224" s="1677"/>
      <c r="L224" s="1677"/>
      <c r="M224" s="746">
        <f t="shared" si="81"/>
        <v>0</v>
      </c>
      <c r="N224" s="536">
        <f t="shared" si="82"/>
        <v>0</v>
      </c>
      <c r="O224" s="536">
        <f t="shared" si="83"/>
        <v>0</v>
      </c>
      <c r="P224" s="1627"/>
      <c r="R224" s="1602"/>
      <c r="S224" s="1616"/>
      <c r="T224" s="1616"/>
      <c r="U224" s="735"/>
    </row>
    <row r="225" spans="1:26" ht="20.25">
      <c r="A225" s="1788"/>
      <c r="B225" s="1673" t="s">
        <v>457</v>
      </c>
      <c r="C225" s="1836">
        <v>24371</v>
      </c>
      <c r="D225" s="1832">
        <f t="shared" si="75"/>
        <v>10000</v>
      </c>
      <c r="E225" s="539">
        <f>SUM(E226)</f>
        <v>0</v>
      </c>
      <c r="F225" s="539">
        <f>SUM(F226)</f>
        <v>10000</v>
      </c>
      <c r="G225" s="814">
        <f t="shared" si="69"/>
        <v>0</v>
      </c>
      <c r="H225" s="539">
        <f>SUM(H226)</f>
        <v>0</v>
      </c>
      <c r="I225" s="539">
        <f>SUM(I226)</f>
        <v>0</v>
      </c>
      <c r="J225" s="814">
        <f t="shared" si="72"/>
        <v>0</v>
      </c>
      <c r="K225" s="539">
        <f>SUM(K226)</f>
        <v>0</v>
      </c>
      <c r="L225" s="539">
        <f>SUM(L226)</f>
        <v>0</v>
      </c>
      <c r="M225" s="746">
        <f t="shared" si="81"/>
        <v>0</v>
      </c>
      <c r="N225" s="536">
        <f t="shared" si="82"/>
        <v>0</v>
      </c>
      <c r="O225" s="536">
        <f t="shared" si="83"/>
        <v>0</v>
      </c>
      <c r="P225" s="1627"/>
      <c r="R225" s="1602">
        <f>SUM(S225:T225)</f>
        <v>2848</v>
      </c>
      <c r="S225" s="1603">
        <v>0</v>
      </c>
      <c r="T225" s="1603">
        <v>2848</v>
      </c>
      <c r="U225" s="735"/>
    </row>
    <row r="226" spans="1:26" ht="101.25">
      <c r="A226" s="1788" t="s">
        <v>747</v>
      </c>
      <c r="B226" s="1732" t="s">
        <v>1424</v>
      </c>
      <c r="C226" s="1836">
        <v>24371</v>
      </c>
      <c r="D226" s="1832">
        <f t="shared" si="75"/>
        <v>10000</v>
      </c>
      <c r="E226" s="701">
        <v>0</v>
      </c>
      <c r="F226" s="701">
        <v>10000</v>
      </c>
      <c r="G226" s="814">
        <f t="shared" si="69"/>
        <v>0</v>
      </c>
      <c r="H226" s="701">
        <v>0</v>
      </c>
      <c r="I226" s="701"/>
      <c r="J226" s="814">
        <f t="shared" si="72"/>
        <v>0</v>
      </c>
      <c r="K226" s="1677"/>
      <c r="L226" s="1677"/>
      <c r="M226" s="746">
        <f t="shared" si="81"/>
        <v>0</v>
      </c>
      <c r="N226" s="536">
        <f t="shared" si="82"/>
        <v>0</v>
      </c>
      <c r="O226" s="536">
        <f t="shared" si="83"/>
        <v>0</v>
      </c>
      <c r="P226" s="1627"/>
      <c r="R226" s="1602">
        <f>SUM(S226:T226)</f>
        <v>2848</v>
      </c>
      <c r="S226" s="1616">
        <v>0</v>
      </c>
      <c r="T226" s="1616">
        <v>2848</v>
      </c>
      <c r="U226" s="735">
        <f>D226-G226</f>
        <v>10000</v>
      </c>
      <c r="V226" s="1565">
        <v>1103</v>
      </c>
      <c r="W226" s="1565" t="s">
        <v>1425</v>
      </c>
      <c r="X226" s="1565">
        <v>522</v>
      </c>
    </row>
    <row r="227" spans="1:26" ht="40.5" customHeight="1">
      <c r="A227" s="1787" t="s">
        <v>254</v>
      </c>
      <c r="B227" s="1687" t="s">
        <v>1394</v>
      </c>
      <c r="C227" s="1853">
        <v>24372</v>
      </c>
      <c r="D227" s="1688">
        <f t="shared" si="75"/>
        <v>14500</v>
      </c>
      <c r="E227" s="1688">
        <f t="shared" ref="E227:O227" si="84">E230+E228</f>
        <v>0</v>
      </c>
      <c r="F227" s="1688">
        <f t="shared" si="84"/>
        <v>14500</v>
      </c>
      <c r="G227" s="1688">
        <f t="shared" si="84"/>
        <v>0</v>
      </c>
      <c r="H227" s="1688">
        <f t="shared" si="84"/>
        <v>0</v>
      </c>
      <c r="I227" s="1688">
        <f t="shared" si="84"/>
        <v>0</v>
      </c>
      <c r="J227" s="1688">
        <f t="shared" si="84"/>
        <v>0</v>
      </c>
      <c r="K227" s="1688">
        <f t="shared" si="84"/>
        <v>0</v>
      </c>
      <c r="L227" s="1688">
        <f t="shared" si="84"/>
        <v>0</v>
      </c>
      <c r="M227" s="1688">
        <f t="shared" si="84"/>
        <v>0</v>
      </c>
      <c r="N227" s="1688">
        <f t="shared" si="84"/>
        <v>0</v>
      </c>
      <c r="O227" s="1688">
        <f t="shared" si="84"/>
        <v>0</v>
      </c>
      <c r="P227" s="1599" t="s">
        <v>353</v>
      </c>
      <c r="Q227" s="1599" t="s">
        <v>353</v>
      </c>
      <c r="R227" s="1598" t="e">
        <f>SUM(S227:T227)</f>
        <v>#REF!</v>
      </c>
      <c r="S227" s="1598" t="e">
        <f>SUM(#REF!,#REF!,S146,#REF!,#REF!,#REF!,S175,#REF!,#REF!,S139,S142,S145,#REF!,#REF!,#REF!)</f>
        <v>#REF!</v>
      </c>
      <c r="T227" s="1598" t="e">
        <f>SUM(#REF!,#REF!,T146,#REF!,#REF!,#REF!,T175,#REF!,#REF!,T139,T142,T145,#REF!,#REF!,#REF!)</f>
        <v>#REF!</v>
      </c>
      <c r="U227" s="735">
        <f>D227-G227</f>
        <v>14500</v>
      </c>
      <c r="V227" s="1605"/>
      <c r="W227" s="1605"/>
      <c r="X227" s="1605"/>
      <c r="Y227" s="1606"/>
      <c r="Z227" s="1606"/>
    </row>
    <row r="228" spans="1:26" s="1810" customFormat="1" ht="40.5" customHeight="1">
      <c r="A228" s="1788"/>
      <c r="B228" s="1782" t="s">
        <v>283</v>
      </c>
      <c r="C228" s="1840"/>
      <c r="D228" s="732">
        <f>SUM(E228:F228)</f>
        <v>0</v>
      </c>
      <c r="E228" s="539">
        <f>SUM(E229)</f>
        <v>0</v>
      </c>
      <c r="F228" s="539">
        <f>SUM(F229)</f>
        <v>0</v>
      </c>
      <c r="G228" s="814">
        <f>SUM(H228:I228)</f>
        <v>0</v>
      </c>
      <c r="H228" s="539">
        <f>SUM(H229)</f>
        <v>0</v>
      </c>
      <c r="I228" s="539">
        <f>SUM(I229)</f>
        <v>0</v>
      </c>
      <c r="J228" s="814">
        <f>SUM(K228:L228)</f>
        <v>0</v>
      </c>
      <c r="K228" s="539">
        <f>SUM(K229)</f>
        <v>0</v>
      </c>
      <c r="L228" s="539">
        <f>SUM(L229)</f>
        <v>0</v>
      </c>
      <c r="M228" s="746">
        <f>IF(J228=0,0,J228/G228*100)</f>
        <v>0</v>
      </c>
      <c r="N228" s="536">
        <f>IF(K228=0,0,K228/H228*100)</f>
        <v>0</v>
      </c>
      <c r="O228" s="536">
        <f>IF(L228=0,0,L228/I228*100)</f>
        <v>0</v>
      </c>
      <c r="P228" s="1808"/>
      <c r="Q228" s="1809"/>
      <c r="R228" s="1598"/>
      <c r="S228" s="1598"/>
      <c r="T228" s="1598"/>
      <c r="U228" s="735"/>
      <c r="V228" s="1605"/>
      <c r="W228" s="1605"/>
      <c r="X228" s="1605"/>
      <c r="Y228" s="1606"/>
      <c r="Z228" s="1606"/>
    </row>
    <row r="229" spans="1:26" s="1810" customFormat="1" ht="20.25">
      <c r="A229" s="1788" t="s">
        <v>748</v>
      </c>
      <c r="B229" s="1732"/>
      <c r="C229" s="1841"/>
      <c r="D229" s="732"/>
      <c r="E229" s="701"/>
      <c r="F229" s="701"/>
      <c r="G229" s="814"/>
      <c r="H229" s="701"/>
      <c r="I229" s="701"/>
      <c r="J229" s="814"/>
      <c r="K229" s="1677"/>
      <c r="L229" s="1677"/>
      <c r="M229" s="746"/>
      <c r="N229" s="536"/>
      <c r="O229" s="536"/>
      <c r="P229" s="1808"/>
      <c r="Q229" s="1809"/>
      <c r="R229" s="1598"/>
      <c r="S229" s="1598"/>
      <c r="T229" s="1598"/>
      <c r="U229" s="735"/>
      <c r="V229" s="1605">
        <v>1102</v>
      </c>
      <c r="W229" s="1605" t="s">
        <v>1426</v>
      </c>
      <c r="X229" s="1605">
        <v>522</v>
      </c>
      <c r="Y229" s="1606"/>
      <c r="Z229" s="1606"/>
    </row>
    <row r="230" spans="1:26" ht="20.25">
      <c r="A230" s="1788"/>
      <c r="B230" s="1673" t="s">
        <v>615</v>
      </c>
      <c r="C230" s="1840"/>
      <c r="D230" s="1832">
        <f t="shared" si="75"/>
        <v>14500</v>
      </c>
      <c r="E230" s="539">
        <f>SUM(E231)</f>
        <v>0</v>
      </c>
      <c r="F230" s="539">
        <f>SUM(F231)</f>
        <v>14500</v>
      </c>
      <c r="G230" s="814">
        <f t="shared" si="69"/>
        <v>0</v>
      </c>
      <c r="H230" s="539">
        <f>SUM(H231)</f>
        <v>0</v>
      </c>
      <c r="I230" s="539">
        <f>SUM(I231)</f>
        <v>0</v>
      </c>
      <c r="J230" s="814">
        <f t="shared" si="72"/>
        <v>0</v>
      </c>
      <c r="K230" s="539">
        <f>SUM(K231)</f>
        <v>0</v>
      </c>
      <c r="L230" s="539">
        <f>SUM(L231)</f>
        <v>0</v>
      </c>
      <c r="M230" s="746">
        <f t="shared" ref="M230:O231" si="85">IF(J230=0,0,J230/G230*100)</f>
        <v>0</v>
      </c>
      <c r="N230" s="536">
        <f t="shared" si="85"/>
        <v>0</v>
      </c>
      <c r="O230" s="536">
        <f t="shared" si="85"/>
        <v>0</v>
      </c>
      <c r="P230" s="1627"/>
      <c r="R230" s="1602">
        <f>SUM(S230:T230)</f>
        <v>2848</v>
      </c>
      <c r="S230" s="1603">
        <v>0</v>
      </c>
      <c r="T230" s="1603">
        <v>2848</v>
      </c>
      <c r="U230" s="735"/>
    </row>
    <row r="231" spans="1:26" ht="21.75" customHeight="1">
      <c r="A231" s="1788" t="s">
        <v>748</v>
      </c>
      <c r="B231" s="1732" t="s">
        <v>1423</v>
      </c>
      <c r="C231" s="1841">
        <v>24372</v>
      </c>
      <c r="D231" s="1832">
        <f t="shared" si="75"/>
        <v>14500</v>
      </c>
      <c r="E231" s="701">
        <v>0</v>
      </c>
      <c r="F231" s="701">
        <v>14500</v>
      </c>
      <c r="G231" s="814">
        <f t="shared" si="69"/>
        <v>0</v>
      </c>
      <c r="H231" s="701">
        <v>0</v>
      </c>
      <c r="I231" s="701">
        <v>0</v>
      </c>
      <c r="J231" s="814">
        <f t="shared" si="72"/>
        <v>0</v>
      </c>
      <c r="K231" s="1677"/>
      <c r="L231" s="1677"/>
      <c r="M231" s="746">
        <f t="shared" si="85"/>
        <v>0</v>
      </c>
      <c r="N231" s="536">
        <f t="shared" si="85"/>
        <v>0</v>
      </c>
      <c r="O231" s="536">
        <f t="shared" si="85"/>
        <v>0</v>
      </c>
      <c r="P231" s="1627"/>
      <c r="R231" s="1602">
        <f>SUM(S231:T231)</f>
        <v>2848</v>
      </c>
      <c r="S231" s="1616">
        <v>0</v>
      </c>
      <c r="T231" s="1616">
        <v>2848</v>
      </c>
      <c r="U231" s="735">
        <f>D231-G231</f>
        <v>14500</v>
      </c>
      <c r="V231" s="1565">
        <v>1102</v>
      </c>
      <c r="W231" s="1565" t="s">
        <v>1426</v>
      </c>
      <c r="X231" s="1565">
        <v>522</v>
      </c>
    </row>
    <row r="232" spans="1:26" ht="52.5" customHeight="1">
      <c r="A232" s="1791"/>
      <c r="B232" s="1735"/>
      <c r="C232" s="1854"/>
      <c r="D232" s="1736"/>
      <c r="E232" s="1737"/>
      <c r="F232" s="1737"/>
      <c r="G232" s="1736"/>
      <c r="H232" s="1737"/>
      <c r="I232" s="1737"/>
      <c r="J232" s="1736"/>
      <c r="K232" s="1738"/>
      <c r="L232" s="1738"/>
      <c r="M232" s="1739"/>
      <c r="N232" s="1740"/>
      <c r="O232" s="1740"/>
      <c r="P232" s="1627"/>
      <c r="R232" s="1636"/>
      <c r="S232" s="1637"/>
      <c r="T232" s="1637"/>
      <c r="U232" s="735">
        <f>D232-G232</f>
        <v>0</v>
      </c>
    </row>
    <row r="233" spans="1:26" ht="37.5" customHeight="1">
      <c r="A233" s="2532" t="s">
        <v>432</v>
      </c>
      <c r="B233" s="2532"/>
      <c r="C233" s="1855"/>
      <c r="D233" s="1741"/>
      <c r="E233" s="1742"/>
      <c r="F233" s="1742"/>
      <c r="G233" s="1741"/>
      <c r="H233" s="1742"/>
      <c r="I233" s="1742"/>
      <c r="J233" s="1743"/>
      <c r="K233" s="1744"/>
      <c r="L233" s="1744"/>
      <c r="M233" s="1745"/>
      <c r="N233" s="1746"/>
      <c r="O233" s="1746"/>
      <c r="P233" s="1659"/>
      <c r="R233" s="1639"/>
      <c r="S233" s="1638"/>
      <c r="T233" s="1638"/>
      <c r="U233" s="735">
        <f>D233-G233</f>
        <v>0</v>
      </c>
    </row>
    <row r="234" spans="1:26" s="1570" customFormat="1" ht="24.75" customHeight="1">
      <c r="A234" s="2534" t="s">
        <v>1520</v>
      </c>
      <c r="B234" s="2534"/>
      <c r="C234" s="1840"/>
      <c r="D234" s="801">
        <f t="shared" ref="D234:D239" si="86">SUM(E234:F234)</f>
        <v>3094596.9</v>
      </c>
      <c r="E234" s="732">
        <f>SUM(E75,E116)</f>
        <v>2349702.5</v>
      </c>
      <c r="F234" s="732">
        <f>SUM(F75,F116)</f>
        <v>744894.4</v>
      </c>
      <c r="G234" s="801">
        <f t="shared" ref="G234:G239" si="87">SUM(H234:I234)</f>
        <v>2986358.6</v>
      </c>
      <c r="H234" s="732">
        <f>SUM(H75,H116)</f>
        <v>2244372.6</v>
      </c>
      <c r="I234" s="732">
        <f>SUM(I75,I116)</f>
        <v>741986</v>
      </c>
      <c r="J234" s="801">
        <f t="shared" ref="J234:J239" si="88">SUM(K234:L234)</f>
        <v>11565.6</v>
      </c>
      <c r="K234" s="732">
        <f>SUM(K75,K116)</f>
        <v>11449.9</v>
      </c>
      <c r="L234" s="732">
        <f>SUM(L75,L116)</f>
        <v>115.7</v>
      </c>
      <c r="M234" s="801">
        <f t="shared" ref="M234:M239" si="89">IF(J234=0,0,J234/G234*100)</f>
        <v>0.4</v>
      </c>
      <c r="N234" s="732">
        <f t="shared" ref="N234:N239" si="90">IF(K234=0,0,K234/H234*100)</f>
        <v>0.5</v>
      </c>
      <c r="O234" s="732">
        <f t="shared" ref="O234:O239" si="91">IF(L234=0,0,L234/I234*100)</f>
        <v>0</v>
      </c>
      <c r="P234" s="1762"/>
      <c r="Q234" s="1763"/>
      <c r="R234" s="1620" t="e">
        <f t="shared" ref="R234:R239" si="92">SUM(S234:T234)</f>
        <v>#REF!</v>
      </c>
      <c r="S234" s="1600" t="e">
        <f>SUM(#REF!,#REF!,S119,S118,#REF!,#REF!,#REF!)-12300.3</f>
        <v>#REF!</v>
      </c>
      <c r="T234" s="1602" t="e">
        <f>SUM(#REF!,#REF!,T119,T118,#REF!,#REF!,#REF!)</f>
        <v>#REF!</v>
      </c>
      <c r="U234" s="1764">
        <f>D234-G234</f>
        <v>108238.3</v>
      </c>
      <c r="V234" s="1658"/>
      <c r="W234" s="1658"/>
      <c r="X234" s="1658"/>
      <c r="Y234" s="1613"/>
      <c r="Z234" s="1613"/>
    </row>
    <row r="235" spans="1:26" ht="51.75" customHeight="1">
      <c r="A235" s="1792"/>
      <c r="B235" s="1752" t="s">
        <v>1521</v>
      </c>
      <c r="C235" s="1836"/>
      <c r="D235" s="801">
        <f>SUM(E235:F235)</f>
        <v>970536.9</v>
      </c>
      <c r="E235" s="802">
        <f>E80</f>
        <v>960817.5</v>
      </c>
      <c r="F235" s="802">
        <f>F80</f>
        <v>9719.4</v>
      </c>
      <c r="G235" s="801">
        <f t="shared" si="87"/>
        <v>866024.6</v>
      </c>
      <c r="H235" s="802">
        <f>H80</f>
        <v>857349.4</v>
      </c>
      <c r="I235" s="802">
        <f>I80</f>
        <v>8675.2000000000007</v>
      </c>
      <c r="J235" s="801">
        <f t="shared" si="88"/>
        <v>11565.6</v>
      </c>
      <c r="K235" s="802">
        <f>K80</f>
        <v>11449.9</v>
      </c>
      <c r="L235" s="802">
        <f>L80</f>
        <v>115.7</v>
      </c>
      <c r="M235" s="801">
        <f t="shared" si="89"/>
        <v>1.3</v>
      </c>
      <c r="N235" s="802">
        <f t="shared" si="90"/>
        <v>1.3</v>
      </c>
      <c r="O235" s="802">
        <f t="shared" si="91"/>
        <v>1.3</v>
      </c>
      <c r="P235" s="1627"/>
      <c r="R235" s="1620"/>
      <c r="S235" s="1619"/>
      <c r="T235" s="1609"/>
      <c r="U235" s="735"/>
    </row>
    <row r="236" spans="1:26" s="1570" customFormat="1" ht="76.5" customHeight="1">
      <c r="A236" s="2534" t="s">
        <v>1528</v>
      </c>
      <c r="B236" s="2534"/>
      <c r="C236" s="1840"/>
      <c r="D236" s="801">
        <f t="shared" si="86"/>
        <v>4129756.2</v>
      </c>
      <c r="E236" s="732">
        <f>SUM(E127,E167,E196,E204,E206,E210)</f>
        <v>3446547.1</v>
      </c>
      <c r="F236" s="732">
        <f>SUM(F127,F167,F196,F204,F206,F210)</f>
        <v>683209.1</v>
      </c>
      <c r="G236" s="801">
        <f t="shared" si="87"/>
        <v>1035742.1</v>
      </c>
      <c r="H236" s="732">
        <f>SUM(H77,H118)</f>
        <v>643461.4</v>
      </c>
      <c r="I236" s="732">
        <f>SUM(I77,I118)</f>
        <v>392280.7</v>
      </c>
      <c r="J236" s="801">
        <f t="shared" si="88"/>
        <v>0</v>
      </c>
      <c r="K236" s="732">
        <f>SUM(K77,K118)</f>
        <v>0</v>
      </c>
      <c r="L236" s="732">
        <f>SUM(L77,L118)</f>
        <v>0</v>
      </c>
      <c r="M236" s="801">
        <f>IF(J236=0,0,J236/G236*100)</f>
        <v>0</v>
      </c>
      <c r="N236" s="732">
        <f>IF(K236=0,0,K236/H236*100)</f>
        <v>0</v>
      </c>
      <c r="O236" s="732">
        <f>IF(L236=0,0,L236/I236*100)</f>
        <v>0</v>
      </c>
      <c r="P236" s="1762"/>
      <c r="Q236" s="1763"/>
      <c r="R236" s="1620" t="e">
        <f>SUM(S236:T236)</f>
        <v>#REF!</v>
      </c>
      <c r="S236" s="1600" t="e">
        <f>SUM(#REF!,#REF!,S124,S123,#REF!,#REF!,#REF!)-12300.3</f>
        <v>#REF!</v>
      </c>
      <c r="T236" s="1602" t="e">
        <f>SUM(#REF!,#REF!,T124,T123,#REF!,#REF!,#REF!)</f>
        <v>#REF!</v>
      </c>
      <c r="U236" s="1764">
        <f>D236-G236</f>
        <v>3094014.1</v>
      </c>
      <c r="V236" s="1658"/>
      <c r="W236" s="1658"/>
      <c r="X236" s="1658"/>
      <c r="Y236" s="1613"/>
      <c r="Z236" s="1613"/>
    </row>
    <row r="237" spans="1:26" ht="72.75" customHeight="1">
      <c r="A237" s="1793"/>
      <c r="B237" s="1704" t="s">
        <v>1527</v>
      </c>
      <c r="C237" s="1836"/>
      <c r="D237" s="741">
        <f t="shared" si="86"/>
        <v>3627759.1</v>
      </c>
      <c r="E237" s="1677">
        <f>SUM(E127,E196)</f>
        <v>3171990</v>
      </c>
      <c r="F237" s="1677">
        <f>SUM(F127,F196)</f>
        <v>455769.1</v>
      </c>
      <c r="G237" s="741">
        <f t="shared" si="87"/>
        <v>3564800.2</v>
      </c>
      <c r="H237" s="1677">
        <f>SUM(H196,H127)</f>
        <v>3183095.3</v>
      </c>
      <c r="I237" s="1677">
        <f>SUM(I196,I127)</f>
        <v>381704.9</v>
      </c>
      <c r="J237" s="741">
        <f t="shared" si="88"/>
        <v>0</v>
      </c>
      <c r="K237" s="1677">
        <f>SUM(K196,K127)</f>
        <v>0</v>
      </c>
      <c r="L237" s="1677">
        <f>SUM(L196,L127)</f>
        <v>0</v>
      </c>
      <c r="M237" s="801">
        <f t="shared" si="89"/>
        <v>0</v>
      </c>
      <c r="N237" s="802">
        <f t="shared" si="90"/>
        <v>0</v>
      </c>
      <c r="O237" s="802">
        <f t="shared" si="91"/>
        <v>0</v>
      </c>
      <c r="P237" s="1627"/>
      <c r="R237" s="1640" t="e">
        <f t="shared" si="92"/>
        <v>#REF!</v>
      </c>
      <c r="S237" s="1609" t="e">
        <f>S127+#REF!+S196+#REF!-#REF!</f>
        <v>#REF!</v>
      </c>
      <c r="T237" s="1609" t="e">
        <f>T127+#REF!+T196+#REF!-#REF!</f>
        <v>#REF!</v>
      </c>
      <c r="U237" s="735">
        <f>D237-G237</f>
        <v>62958.9</v>
      </c>
    </row>
    <row r="238" spans="1:26" s="1570" customFormat="1" ht="20.25">
      <c r="A238" s="2534" t="s">
        <v>1529</v>
      </c>
      <c r="B238" s="2534"/>
      <c r="C238" s="1840"/>
      <c r="D238" s="741">
        <f t="shared" si="86"/>
        <v>777071.8</v>
      </c>
      <c r="E238" s="814">
        <f>SUM(E15,E89,E175,E192,E214)</f>
        <v>12606.9</v>
      </c>
      <c r="F238" s="814">
        <f>SUM(F15,F89,F175,F192,F214)</f>
        <v>764464.9</v>
      </c>
      <c r="G238" s="741">
        <f t="shared" si="87"/>
        <v>475548.4</v>
      </c>
      <c r="H238" s="814">
        <f>SUM(H15,H89,H175,H192,H214)</f>
        <v>12606.9</v>
      </c>
      <c r="I238" s="814">
        <f>SUM(I15,I89,I175,I192,I214)</f>
        <v>462941.5</v>
      </c>
      <c r="J238" s="741">
        <f t="shared" si="88"/>
        <v>0</v>
      </c>
      <c r="K238" s="814">
        <f>SUM(K15,K89,K175,K192,K214)</f>
        <v>0</v>
      </c>
      <c r="L238" s="814">
        <f>SUM(L15,L89,L175,L192,L214)</f>
        <v>0</v>
      </c>
      <c r="M238" s="801">
        <f t="shared" si="89"/>
        <v>0</v>
      </c>
      <c r="N238" s="732">
        <f t="shared" si="90"/>
        <v>0</v>
      </c>
      <c r="O238" s="732">
        <f t="shared" si="91"/>
        <v>0</v>
      </c>
      <c r="P238" s="1762"/>
      <c r="Q238" s="1763"/>
      <c r="R238" s="1640" t="e">
        <f t="shared" si="92"/>
        <v>#REF!</v>
      </c>
      <c r="S238" s="1602" t="e">
        <f>SUM(#REF!)</f>
        <v>#REF!</v>
      </c>
      <c r="T238" s="1602" t="e">
        <f>SUM(#REF!)</f>
        <v>#REF!</v>
      </c>
      <c r="U238" s="1764">
        <f>D238-G238</f>
        <v>301523.40000000002</v>
      </c>
      <c r="V238" s="1658"/>
      <c r="W238" s="1658"/>
      <c r="X238" s="1658"/>
      <c r="Y238" s="1613"/>
      <c r="Z238" s="1613"/>
    </row>
    <row r="239" spans="1:26" s="1570" customFormat="1" ht="30.75" customHeight="1">
      <c r="A239" s="2536" t="s">
        <v>529</v>
      </c>
      <c r="B239" s="2536"/>
      <c r="C239" s="1840"/>
      <c r="D239" s="746">
        <f t="shared" si="86"/>
        <v>331972.90000000002</v>
      </c>
      <c r="E239" s="534">
        <f>E12-E234-E236-E238</f>
        <v>92068.7</v>
      </c>
      <c r="F239" s="534">
        <f>F12-F234-F236-F238</f>
        <v>239904.2</v>
      </c>
      <c r="G239" s="746">
        <f t="shared" si="87"/>
        <v>619282.5</v>
      </c>
      <c r="H239" s="534">
        <f>H12-H234-H237-H238</f>
        <v>266625.8</v>
      </c>
      <c r="I239" s="534">
        <f>I12-I234-I237-I238</f>
        <v>352656.7</v>
      </c>
      <c r="J239" s="746">
        <f t="shared" si="88"/>
        <v>0</v>
      </c>
      <c r="K239" s="534">
        <f>K12-K234-K237-K238</f>
        <v>0</v>
      </c>
      <c r="L239" s="534">
        <f>L12-L234-L237-L238</f>
        <v>0</v>
      </c>
      <c r="M239" s="801">
        <f t="shared" si="89"/>
        <v>0</v>
      </c>
      <c r="N239" s="732">
        <f t="shared" si="90"/>
        <v>0</v>
      </c>
      <c r="O239" s="732">
        <f t="shared" si="91"/>
        <v>0</v>
      </c>
      <c r="P239" s="1763"/>
      <c r="Q239" s="1763"/>
      <c r="R239" s="1604" t="e">
        <f t="shared" si="92"/>
        <v>#REF!</v>
      </c>
      <c r="S239" s="1611" t="e">
        <f>S12-#REF!-S234-S237-S238</f>
        <v>#REF!</v>
      </c>
      <c r="T239" s="1611" t="e">
        <f>T12-#REF!-T234-T237-T238</f>
        <v>#REF!</v>
      </c>
      <c r="U239" s="1765" t="s">
        <v>813</v>
      </c>
      <c r="V239" s="1766"/>
      <c r="W239" s="1766"/>
      <c r="X239" s="1658"/>
      <c r="Y239" s="1613"/>
      <c r="Z239" s="1613"/>
    </row>
    <row r="240" spans="1:26" ht="35.25" customHeight="1">
      <c r="A240" s="1794"/>
      <c r="B240" s="1644"/>
      <c r="C240" s="1856"/>
      <c r="D240" s="1645"/>
      <c r="E240" s="1645"/>
      <c r="F240" s="1645"/>
      <c r="G240" s="1645"/>
      <c r="H240" s="1645"/>
      <c r="I240" s="1645"/>
      <c r="J240" s="1645"/>
      <c r="K240" s="1645"/>
      <c r="L240" s="1645"/>
      <c r="M240" s="1645"/>
      <c r="N240" s="1645"/>
      <c r="O240" s="1645"/>
      <c r="U240" s="1641"/>
      <c r="V240" s="1642"/>
      <c r="W240" s="1642"/>
    </row>
    <row r="241" spans="1:26" s="892" customFormat="1" ht="39.75" customHeight="1">
      <c r="A241" s="1795"/>
      <c r="B241" s="892" t="s">
        <v>310</v>
      </c>
      <c r="C241" s="1857"/>
      <c r="D241" s="1555"/>
      <c r="E241" s="1556"/>
      <c r="F241" s="1557"/>
      <c r="G241" s="1558"/>
      <c r="H241" s="1559"/>
      <c r="I241" s="1559"/>
      <c r="J241" s="1560"/>
      <c r="K241" s="1556"/>
      <c r="L241" s="1767"/>
      <c r="M241" s="1556"/>
      <c r="N241" s="1561" t="s">
        <v>613</v>
      </c>
      <c r="O241" s="1562"/>
      <c r="P241" s="1544"/>
      <c r="Q241" s="1544"/>
      <c r="R241" s="1544"/>
      <c r="S241" s="1544"/>
      <c r="T241" s="1544"/>
      <c r="U241" s="1552"/>
      <c r="V241" s="1553"/>
      <c r="W241" s="1553"/>
      <c r="X241" s="1550"/>
      <c r="Y241" s="1545"/>
      <c r="Z241" s="1545"/>
    </row>
    <row r="242" spans="1:26" ht="78.75" customHeight="1">
      <c r="A242" s="1794"/>
      <c r="B242" s="712" t="s">
        <v>1390</v>
      </c>
      <c r="D242" s="1648"/>
      <c r="E242" s="1647"/>
      <c r="F242" s="1649"/>
      <c r="G242" s="1649"/>
      <c r="H242" s="1650"/>
      <c r="I242" s="1650"/>
      <c r="J242" s="1651"/>
      <c r="K242" s="1650"/>
      <c r="L242" s="2535"/>
      <c r="M242" s="2535"/>
      <c r="N242" s="1647"/>
      <c r="O242" s="1647"/>
      <c r="U242" s="1641"/>
      <c r="V242" s="1642"/>
      <c r="W242" s="1642"/>
    </row>
    <row r="243" spans="1:26" ht="88.5" customHeight="1">
      <c r="D243" s="1648"/>
      <c r="E243" s="1648"/>
      <c r="F243" s="1647"/>
      <c r="G243" s="1647"/>
      <c r="H243" s="1647"/>
      <c r="I243" s="1652"/>
      <c r="J243" s="1648"/>
      <c r="K243" s="1648"/>
      <c r="L243" s="1652"/>
      <c r="U243" s="1641"/>
      <c r="V243" s="1642"/>
      <c r="W243" s="1642"/>
    </row>
    <row r="244" spans="1:26" ht="45" customHeight="1">
      <c r="D244" s="992"/>
      <c r="F244" s="1646"/>
      <c r="G244" s="1653"/>
      <c r="H244" s="725"/>
      <c r="U244" s="1641"/>
      <c r="V244" s="1642"/>
      <c r="W244" s="1642"/>
    </row>
    <row r="245" spans="1:26" ht="58.5" customHeight="1">
      <c r="F245" s="1654"/>
      <c r="U245" s="1655"/>
      <c r="V245" s="1642"/>
      <c r="W245" s="1642"/>
    </row>
    <row r="246" spans="1:26" s="1657" customFormat="1" ht="46.5" customHeight="1">
      <c r="A246" s="1785"/>
      <c r="B246" s="712"/>
      <c r="C246" s="1834"/>
      <c r="D246" s="1570"/>
      <c r="E246" s="712"/>
      <c r="F246" s="1654"/>
      <c r="G246" s="1570"/>
      <c r="H246" s="712"/>
      <c r="I246" s="712"/>
      <c r="J246" s="1569"/>
      <c r="K246" s="712"/>
      <c r="L246" s="712"/>
      <c r="M246" s="1570"/>
      <c r="N246" s="712"/>
      <c r="O246" s="712"/>
      <c r="P246" s="1564"/>
      <c r="Q246" s="1564"/>
      <c r="R246" s="1564"/>
      <c r="S246" s="1564"/>
      <c r="T246" s="1564"/>
      <c r="U246" s="1656"/>
      <c r="V246" s="1642"/>
      <c r="W246" s="1642"/>
      <c r="X246" s="1546"/>
    </row>
    <row r="247" spans="1:26" s="1657" customFormat="1" ht="47.25" customHeight="1">
      <c r="A247" s="1785"/>
      <c r="B247" s="712"/>
      <c r="C247" s="1834"/>
      <c r="D247" s="1570"/>
      <c r="E247" s="712"/>
      <c r="F247" s="712"/>
      <c r="G247" s="1570"/>
      <c r="H247" s="712"/>
      <c r="I247" s="712"/>
      <c r="J247" s="1569"/>
      <c r="K247" s="712"/>
      <c r="L247" s="712"/>
      <c r="M247" s="1570"/>
      <c r="N247" s="712"/>
      <c r="O247" s="712"/>
      <c r="P247" s="1564"/>
      <c r="Q247" s="1564"/>
      <c r="R247" s="1564"/>
      <c r="S247" s="1564"/>
      <c r="T247" s="1564"/>
      <c r="U247" s="1655"/>
      <c r="V247" s="1642"/>
      <c r="W247" s="1642"/>
      <c r="X247" s="1546"/>
    </row>
    <row r="248" spans="1:26" s="1657" customFormat="1" ht="45" customHeight="1">
      <c r="A248" s="1785"/>
      <c r="B248" s="712"/>
      <c r="C248" s="1834"/>
      <c r="D248" s="1570"/>
      <c r="E248" s="712"/>
      <c r="F248" s="712"/>
      <c r="G248" s="1570"/>
      <c r="H248" s="712"/>
      <c r="I248" s="712"/>
      <c r="J248" s="1569"/>
      <c r="K248" s="712"/>
      <c r="L248" s="712"/>
      <c r="M248" s="1570"/>
      <c r="N248" s="712"/>
      <c r="O248" s="712"/>
      <c r="P248" s="1564"/>
      <c r="Q248" s="1564"/>
      <c r="R248" s="1564"/>
      <c r="S248" s="1564"/>
      <c r="T248" s="1564"/>
      <c r="U248" s="712"/>
      <c r="V248" s="1642"/>
      <c r="W248" s="1642"/>
      <c r="X248" s="1546"/>
    </row>
    <row r="249" spans="1:26" s="1657" customFormat="1" ht="56.25" customHeight="1">
      <c r="A249" s="1785"/>
      <c r="B249" s="712"/>
      <c r="C249" s="1834"/>
      <c r="D249" s="1570"/>
      <c r="E249" s="712"/>
      <c r="F249" s="712"/>
      <c r="G249" s="1570"/>
      <c r="H249" s="712"/>
      <c r="I249" s="712"/>
      <c r="J249" s="1569"/>
      <c r="K249" s="712"/>
      <c r="L249" s="712"/>
      <c r="M249" s="1570"/>
      <c r="N249" s="712"/>
      <c r="O249" s="712"/>
      <c r="P249" s="1564"/>
      <c r="Q249" s="1564"/>
      <c r="R249" s="1564"/>
      <c r="S249" s="1564"/>
      <c r="T249" s="1564"/>
      <c r="U249" s="712"/>
      <c r="V249" s="1565"/>
      <c r="W249" s="1565"/>
      <c r="X249" s="1546"/>
    </row>
  </sheetData>
  <autoFilter ref="A11:O239"/>
  <mergeCells count="36">
    <mergeCell ref="V127:X127"/>
    <mergeCell ref="V88:X88"/>
    <mergeCell ref="V173:X173"/>
    <mergeCell ref="C9:C10"/>
    <mergeCell ref="Q68:Q69"/>
    <mergeCell ref="Q8:U8"/>
    <mergeCell ref="A7:O7"/>
    <mergeCell ref="A9:A10"/>
    <mergeCell ref="H9:I9"/>
    <mergeCell ref="J9:J10"/>
    <mergeCell ref="R9:R10"/>
    <mergeCell ref="S9:T9"/>
    <mergeCell ref="K9:L9"/>
    <mergeCell ref="M9:M10"/>
    <mergeCell ref="N9:O9"/>
    <mergeCell ref="P9:P10"/>
    <mergeCell ref="B9:B10"/>
    <mergeCell ref="D9:D10"/>
    <mergeCell ref="E9:F9"/>
    <mergeCell ref="G9:G10"/>
    <mergeCell ref="Q9:Q10"/>
    <mergeCell ref="A1:B1"/>
    <mergeCell ref="L1:O1"/>
    <mergeCell ref="J3:M3"/>
    <mergeCell ref="A5:O5"/>
    <mergeCell ref="A6:O6"/>
    <mergeCell ref="A212:B212"/>
    <mergeCell ref="A233:B233"/>
    <mergeCell ref="N8:O8"/>
    <mergeCell ref="A236:B236"/>
    <mergeCell ref="L242:M242"/>
    <mergeCell ref="A173:B173"/>
    <mergeCell ref="A234:B234"/>
    <mergeCell ref="A238:B238"/>
    <mergeCell ref="A239:B239"/>
    <mergeCell ref="A13:B13"/>
  </mergeCells>
  <pageMargins left="0.31496062992125984" right="0.31496062992125984" top="0.47244094488188981" bottom="0.66" header="0.47244094488188981" footer="0.62"/>
  <pageSetup paperSize="9" scale="31" fitToHeight="10" orientation="landscape" r:id="rId1"/>
</worksheet>
</file>

<file path=xl/worksheets/sheet36.xml><?xml version="1.0" encoding="utf-8"?>
<worksheet xmlns="http://schemas.openxmlformats.org/spreadsheetml/2006/main" xmlns:r="http://schemas.openxmlformats.org/officeDocument/2006/relationships">
  <dimension ref="C5:H16"/>
  <sheetViews>
    <sheetView topLeftCell="A5" workbookViewId="0">
      <selection activeCell="C8" sqref="C8"/>
    </sheetView>
  </sheetViews>
  <sheetFormatPr defaultColWidth="9.140625" defaultRowHeight="18.75"/>
  <cols>
    <col min="1" max="2" width="9.140625" style="1536"/>
    <col min="3" max="3" width="57.5703125" style="1537" customWidth="1"/>
    <col min="4" max="4" width="14.5703125" style="1536" hidden="1" customWidth="1"/>
    <col min="5" max="5" width="14.5703125" style="1536" customWidth="1"/>
    <col min="6" max="6" width="14.5703125" style="1536" hidden="1" customWidth="1"/>
    <col min="7" max="7" width="14.5703125" style="1536" customWidth="1"/>
    <col min="8" max="16384" width="9.140625" style="1536"/>
  </cols>
  <sheetData>
    <row r="5" spans="3:8" ht="106.5" customHeight="1">
      <c r="C5" s="2551" t="s">
        <v>1385</v>
      </c>
      <c r="D5" s="2552"/>
      <c r="E5" s="2552"/>
      <c r="F5" s="2552"/>
      <c r="G5" s="1541"/>
    </row>
    <row r="7" spans="3:8">
      <c r="C7" s="1539"/>
      <c r="D7" s="1539" t="s">
        <v>1384</v>
      </c>
      <c r="E7" s="1539" t="s">
        <v>1384</v>
      </c>
      <c r="F7" s="1539" t="s">
        <v>237</v>
      </c>
      <c r="G7" s="1539" t="s">
        <v>237</v>
      </c>
    </row>
    <row r="8" spans="3:8" ht="58.5" customHeight="1">
      <c r="C8" s="1539" t="s">
        <v>1386</v>
      </c>
      <c r="D8" s="1540">
        <f>SUM('справка АИП (2)'!D234:D234)</f>
        <v>3094596.9</v>
      </c>
      <c r="E8" s="1540">
        <f>D8/1000</f>
        <v>3094.6</v>
      </c>
      <c r="F8" s="1540">
        <f>SUM('справка АИП (2)'!J234:J234)</f>
        <v>11565.6</v>
      </c>
      <c r="G8" s="1540">
        <f t="shared" ref="G8:G13" si="0">F8/1000</f>
        <v>11.6</v>
      </c>
      <c r="H8" s="1536">
        <v>1000</v>
      </c>
    </row>
    <row r="9" spans="3:8" ht="37.5">
      <c r="C9" s="1539" t="s">
        <v>1387</v>
      </c>
      <c r="D9" s="1540">
        <f>'справка АИП (2)'!D237</f>
        <v>3627759.1</v>
      </c>
      <c r="E9" s="1540">
        <f>D9/1000</f>
        <v>3627.8</v>
      </c>
      <c r="F9" s="1540">
        <f>'справка АИП (2)'!J237</f>
        <v>0</v>
      </c>
      <c r="G9" s="1540">
        <f t="shared" si="0"/>
        <v>0</v>
      </c>
    </row>
    <row r="10" spans="3:8">
      <c r="C10" s="1539" t="s">
        <v>1388</v>
      </c>
      <c r="D10" s="1540">
        <f>'справка АИП (2)'!D238</f>
        <v>777071.8</v>
      </c>
      <c r="E10" s="1540">
        <f>D10/1000</f>
        <v>777.1</v>
      </c>
      <c r="F10" s="1540">
        <f>'справка АИП (2)'!J238</f>
        <v>0</v>
      </c>
      <c r="G10" s="1540">
        <f t="shared" si="0"/>
        <v>0</v>
      </c>
    </row>
    <row r="11" spans="3:8">
      <c r="C11" s="1539" t="s">
        <v>1389</v>
      </c>
      <c r="D11" s="1540">
        <f>'справка АИП (2)'!D173-'справка АИП (2)'!D196</f>
        <v>723489</v>
      </c>
      <c r="E11" s="1540">
        <f>D11/1000</f>
        <v>723.5</v>
      </c>
      <c r="F11" s="1540">
        <f>'справка АИП (2)'!J173-'справка АИП (2)'!J196</f>
        <v>0</v>
      </c>
      <c r="G11" s="1540">
        <f t="shared" si="0"/>
        <v>0</v>
      </c>
    </row>
    <row r="12" spans="3:8">
      <c r="C12" s="1539" t="s">
        <v>529</v>
      </c>
      <c r="D12" s="1540" t="e">
        <f>'справка АИП (2)'!D239-Диаграмма!D11+'справка АИП (2)'!#REF!-'справка АИП (2)'!#REF!</f>
        <v>#REF!</v>
      </c>
      <c r="E12" s="1540" t="e">
        <f>D12/1000+0.1</f>
        <v>#REF!</v>
      </c>
      <c r="F12" s="1540" t="e">
        <f>'справка АИП (2)'!J239-Диаграмма!F11+'справка АИП (2)'!#REF!-'справка АИП (2)'!#REF!</f>
        <v>#REF!</v>
      </c>
      <c r="G12" s="1540" t="e">
        <f t="shared" si="0"/>
        <v>#REF!</v>
      </c>
    </row>
    <row r="13" spans="3:8">
      <c r="C13" s="1542"/>
      <c r="D13" s="1543"/>
      <c r="E13" s="1543">
        <f>D13/1000</f>
        <v>0</v>
      </c>
      <c r="F13" s="1543"/>
      <c r="G13" s="1543">
        <f t="shared" si="0"/>
        <v>0</v>
      </c>
    </row>
    <row r="14" spans="3:8">
      <c r="C14" s="1542"/>
      <c r="D14" s="1543" t="e">
        <f>SUM(D8:D12)</f>
        <v>#REF!</v>
      </c>
      <c r="E14" s="1543" t="e">
        <f>SUM(E8:E13)</f>
        <v>#REF!</v>
      </c>
      <c r="F14" s="1543" t="e">
        <f>SUM(F8:F13)</f>
        <v>#REF!</v>
      </c>
      <c r="G14" s="1543" t="e">
        <f>SUM(G8:G13)</f>
        <v>#REF!</v>
      </c>
    </row>
    <row r="15" spans="3:8">
      <c r="C15" s="1542"/>
      <c r="D15" s="1543"/>
      <c r="E15" s="1543"/>
      <c r="F15" s="1543"/>
      <c r="G15" s="1543"/>
    </row>
    <row r="16" spans="3:8">
      <c r="D16" s="1538"/>
      <c r="E16" s="1538"/>
      <c r="F16" s="1538"/>
      <c r="G16" s="1538"/>
    </row>
  </sheetData>
  <mergeCells count="1">
    <mergeCell ref="C5:F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sheetPr>
    <pageSetUpPr fitToPage="1"/>
  </sheetPr>
  <dimension ref="A1:V168"/>
  <sheetViews>
    <sheetView view="pageBreakPreview" zoomScale="60" zoomScaleNormal="80" workbookViewId="0">
      <selection activeCell="H147" sqref="H147"/>
    </sheetView>
  </sheetViews>
  <sheetFormatPr defaultColWidth="9.140625" defaultRowHeight="18.75"/>
  <cols>
    <col min="1" max="1" width="14.42578125" style="1567" customWidth="1"/>
    <col min="2" max="2" width="82.140625" style="712" customWidth="1"/>
    <col min="3" max="3" width="18.28515625" style="1570" customWidth="1"/>
    <col min="4" max="5" width="18.28515625" style="712" customWidth="1"/>
    <col min="6" max="6" width="18.7109375" style="1570" customWidth="1"/>
    <col min="7" max="8" width="18.28515625" style="712" bestFit="1" customWidth="1"/>
    <col min="9" max="9" width="16.85546875" style="1569" customWidth="1"/>
    <col min="10" max="11" width="16.85546875" style="712" customWidth="1"/>
    <col min="12" max="12" width="16.85546875" style="1570" customWidth="1"/>
    <col min="13" max="14" width="16.85546875" style="712" customWidth="1"/>
    <col min="15" max="16" width="40.7109375" style="1564" hidden="1" customWidth="1"/>
    <col min="17" max="17" width="40.7109375" style="712" customWidth="1"/>
    <col min="18" max="18" width="11.7109375" style="1565" customWidth="1"/>
    <col min="19" max="19" width="23.7109375" style="1565" customWidth="1"/>
    <col min="20" max="20" width="11.85546875" style="1565" customWidth="1"/>
    <col min="21" max="21" width="25.85546875" style="1566" customWidth="1"/>
    <col min="22" max="22" width="35.140625" style="1566" customWidth="1"/>
    <col min="23" max="16384" width="9.140625" style="712"/>
  </cols>
  <sheetData>
    <row r="1" spans="1:22">
      <c r="A1" s="2537"/>
      <c r="B1" s="2537"/>
      <c r="C1" s="1563"/>
      <c r="D1" s="1563"/>
      <c r="E1" s="1563"/>
      <c r="F1" s="1563"/>
      <c r="G1" s="1563"/>
      <c r="H1" s="1563"/>
      <c r="I1" s="1563"/>
      <c r="K1" s="2538" t="s">
        <v>513</v>
      </c>
      <c r="L1" s="2538"/>
      <c r="M1" s="2538"/>
      <c r="N1" s="2538"/>
    </row>
    <row r="2" spans="1:22" hidden="1">
      <c r="B2" s="1777"/>
      <c r="C2" s="1569"/>
      <c r="D2" s="1777"/>
      <c r="E2" s="1777"/>
      <c r="L2" s="1569"/>
    </row>
    <row r="3" spans="1:22" s="1575" customFormat="1" hidden="1">
      <c r="A3" s="1571"/>
      <c r="B3" s="1572"/>
      <c r="C3" s="1573"/>
      <c r="D3" s="1574"/>
      <c r="E3" s="1574"/>
      <c r="F3" s="1573"/>
      <c r="G3" s="1574"/>
      <c r="H3" s="1574"/>
      <c r="I3" s="2538"/>
      <c r="J3" s="2538"/>
      <c r="K3" s="2538"/>
      <c r="L3" s="2538"/>
      <c r="N3" s="1576"/>
      <c r="O3" s="1577"/>
      <c r="P3" s="1577"/>
      <c r="R3" s="1578"/>
      <c r="S3" s="1578"/>
      <c r="T3" s="1579"/>
      <c r="U3" s="1580"/>
      <c r="V3" s="1580"/>
    </row>
    <row r="4" spans="1:22" s="1575" customFormat="1" ht="43.5" hidden="1" customHeight="1">
      <c r="A4" s="1571"/>
      <c r="B4" s="1572"/>
      <c r="C4" s="1581">
        <f>6162009.6</f>
        <v>6162009.5999999996</v>
      </c>
      <c r="D4" s="1574"/>
      <c r="E4" s="1574"/>
      <c r="F4" s="1581">
        <v>5873905</v>
      </c>
      <c r="G4" s="1582"/>
      <c r="H4" s="1582"/>
      <c r="I4" s="1583">
        <v>2407625.6</v>
      </c>
      <c r="J4" s="1582"/>
      <c r="K4" s="1582"/>
      <c r="L4" s="1584"/>
      <c r="N4" s="1576"/>
      <c r="O4" s="1577"/>
      <c r="P4" s="1577"/>
      <c r="R4" s="1578"/>
      <c r="S4" s="1578"/>
      <c r="T4" s="1579"/>
      <c r="U4" s="1580"/>
      <c r="V4" s="1580"/>
    </row>
    <row r="5" spans="1:22" s="1575" customFormat="1" ht="28.5" customHeight="1">
      <c r="A5" s="2361" t="s">
        <v>5</v>
      </c>
      <c r="B5" s="2361"/>
      <c r="C5" s="2361"/>
      <c r="D5" s="2361"/>
      <c r="E5" s="2361"/>
      <c r="F5" s="2361"/>
      <c r="G5" s="2361"/>
      <c r="H5" s="2361"/>
      <c r="I5" s="2361"/>
      <c r="J5" s="2361"/>
      <c r="K5" s="2361"/>
      <c r="L5" s="2361"/>
      <c r="M5" s="2361"/>
      <c r="N5" s="2361"/>
      <c r="O5" s="1585"/>
      <c r="P5" s="1585"/>
      <c r="Q5" s="1585"/>
      <c r="R5" s="1586"/>
      <c r="S5" s="1586"/>
      <c r="T5" s="1579"/>
      <c r="U5" s="1580"/>
      <c r="V5" s="1580"/>
    </row>
    <row r="6" spans="1:22" s="1575" customFormat="1" ht="38.25" customHeight="1">
      <c r="A6" s="2361" t="s">
        <v>236</v>
      </c>
      <c r="B6" s="2361"/>
      <c r="C6" s="2361"/>
      <c r="D6" s="2361"/>
      <c r="E6" s="2361"/>
      <c r="F6" s="2361"/>
      <c r="G6" s="2361"/>
      <c r="H6" s="2361"/>
      <c r="I6" s="2361"/>
      <c r="J6" s="2361"/>
      <c r="K6" s="2361"/>
      <c r="L6" s="2361"/>
      <c r="M6" s="2361"/>
      <c r="N6" s="2361"/>
      <c r="O6" s="1585"/>
      <c r="P6" s="1585"/>
      <c r="Q6" s="1585"/>
      <c r="R6" s="1586"/>
      <c r="S6" s="1586"/>
      <c r="T6" s="1579"/>
      <c r="U6" s="1580"/>
      <c r="V6" s="1580"/>
    </row>
    <row r="7" spans="1:22" s="1575" customFormat="1" ht="38.25" customHeight="1">
      <c r="A7" s="2361" t="s">
        <v>1530</v>
      </c>
      <c r="B7" s="2361"/>
      <c r="C7" s="2361"/>
      <c r="D7" s="2361"/>
      <c r="E7" s="2361"/>
      <c r="F7" s="2361"/>
      <c r="G7" s="2361"/>
      <c r="H7" s="2361"/>
      <c r="I7" s="2361"/>
      <c r="J7" s="2361"/>
      <c r="K7" s="2361"/>
      <c r="L7" s="2361"/>
      <c r="M7" s="2361"/>
      <c r="N7" s="2361"/>
      <c r="O7" s="1585"/>
      <c r="P7" s="1585"/>
      <c r="Q7" s="1585"/>
      <c r="R7" s="1586"/>
      <c r="S7" s="1586"/>
      <c r="T7" s="1579"/>
      <c r="U7" s="1580"/>
      <c r="V7" s="1580"/>
    </row>
    <row r="8" spans="1:22" s="1575" customFormat="1" ht="25.5" customHeight="1">
      <c r="A8" s="1571"/>
      <c r="B8" s="1571"/>
      <c r="C8" s="1587"/>
      <c r="D8" s="1660"/>
      <c r="E8" s="1661"/>
      <c r="F8" s="1587"/>
      <c r="G8" s="1588"/>
      <c r="H8" s="1589"/>
      <c r="I8" s="1590"/>
      <c r="J8" s="1591"/>
      <c r="K8" s="1591"/>
      <c r="L8" s="1585"/>
      <c r="M8" s="2533" t="s">
        <v>377</v>
      </c>
      <c r="N8" s="2533"/>
      <c r="O8" s="1577"/>
      <c r="P8" s="2533"/>
      <c r="Q8" s="2533"/>
      <c r="R8" s="1578"/>
      <c r="S8" s="1578"/>
      <c r="T8" s="1579"/>
      <c r="U8" s="1580"/>
      <c r="V8" s="1580"/>
    </row>
    <row r="9" spans="1:22" ht="70.5" customHeight="1">
      <c r="A9" s="2553" t="s">
        <v>18</v>
      </c>
      <c r="B9" s="2545" t="s">
        <v>0</v>
      </c>
      <c r="C9" s="2541" t="s">
        <v>1374</v>
      </c>
      <c r="D9" s="2540" t="s">
        <v>257</v>
      </c>
      <c r="E9" s="2540"/>
      <c r="F9" s="2541" t="s">
        <v>442</v>
      </c>
      <c r="G9" s="2540" t="s">
        <v>257</v>
      </c>
      <c r="H9" s="2540"/>
      <c r="I9" s="2541" t="s">
        <v>237</v>
      </c>
      <c r="J9" s="2540" t="s">
        <v>257</v>
      </c>
      <c r="K9" s="2540"/>
      <c r="L9" s="2541" t="s">
        <v>1313</v>
      </c>
      <c r="M9" s="2540" t="s">
        <v>257</v>
      </c>
      <c r="N9" s="2540"/>
      <c r="O9" s="2543" t="s">
        <v>1110</v>
      </c>
      <c r="P9" s="2543" t="s">
        <v>1106</v>
      </c>
    </row>
    <row r="10" spans="1:22" ht="150" customHeight="1">
      <c r="A10" s="2553"/>
      <c r="B10" s="2545"/>
      <c r="C10" s="2541"/>
      <c r="D10" s="1662" t="s">
        <v>1074</v>
      </c>
      <c r="E10" s="1662" t="s">
        <v>258</v>
      </c>
      <c r="F10" s="2541"/>
      <c r="G10" s="1662" t="s">
        <v>1074</v>
      </c>
      <c r="H10" s="1662" t="s">
        <v>258</v>
      </c>
      <c r="I10" s="2541"/>
      <c r="J10" s="1662" t="s">
        <v>1074</v>
      </c>
      <c r="K10" s="1662" t="s">
        <v>258</v>
      </c>
      <c r="L10" s="2541"/>
      <c r="M10" s="1662" t="s">
        <v>1074</v>
      </c>
      <c r="N10" s="1662" t="s">
        <v>258</v>
      </c>
      <c r="O10" s="2544"/>
      <c r="P10" s="2544"/>
    </row>
    <row r="11" spans="1:22" ht="20.25">
      <c r="A11" s="1776">
        <v>1</v>
      </c>
      <c r="B11" s="1776">
        <v>2</v>
      </c>
      <c r="C11" s="1776">
        <v>3</v>
      </c>
      <c r="D11" s="1776">
        <v>4</v>
      </c>
      <c r="E11" s="1776">
        <v>5</v>
      </c>
      <c r="F11" s="1664">
        <v>7</v>
      </c>
      <c r="G11" s="1664">
        <v>8</v>
      </c>
      <c r="H11" s="1664">
        <v>9</v>
      </c>
      <c r="I11" s="1664">
        <v>10</v>
      </c>
      <c r="J11" s="1664">
        <v>11</v>
      </c>
      <c r="K11" s="1664">
        <v>12</v>
      </c>
      <c r="L11" s="1664">
        <v>13</v>
      </c>
      <c r="M11" s="1664">
        <v>14</v>
      </c>
      <c r="N11" s="1664">
        <v>15</v>
      </c>
      <c r="O11" s="1593">
        <v>10</v>
      </c>
      <c r="P11" s="1593">
        <v>11</v>
      </c>
      <c r="Q11" s="712" t="s">
        <v>791</v>
      </c>
    </row>
    <row r="12" spans="1:22" s="791" customFormat="1" ht="45" customHeight="1">
      <c r="A12" s="1232"/>
      <c r="B12" s="710" t="s">
        <v>10</v>
      </c>
      <c r="C12" s="1748">
        <f>SUM(D12:E12)</f>
        <v>7436087.4000000004</v>
      </c>
      <c r="D12" s="1748">
        <f>SUM(D13,D117,D141)</f>
        <v>5444723.9000000004</v>
      </c>
      <c r="E12" s="1748">
        <f>SUM(E13,E117,E141)</f>
        <v>1991363.5</v>
      </c>
      <c r="F12" s="1748">
        <f t="shared" ref="F12:F17" si="0">SUM(G12:H12)</f>
        <v>6322749.5999999996</v>
      </c>
      <c r="G12" s="1748">
        <f>SUM(G13,G117,G141)</f>
        <v>4832266.8</v>
      </c>
      <c r="H12" s="1748">
        <f>SUM(H13,H117,H141)</f>
        <v>1490482.8</v>
      </c>
      <c r="I12" s="1748">
        <f>SUM(J12:K12)</f>
        <v>0</v>
      </c>
      <c r="J12" s="1748">
        <f>SUM(J13,J117,J141)</f>
        <v>0</v>
      </c>
      <c r="K12" s="1748">
        <f>SUM(K13,K117,K141)</f>
        <v>0</v>
      </c>
      <c r="L12" s="1749">
        <f>IF(I12=0,0,I12/F12*100)</f>
        <v>0</v>
      </c>
      <c r="M12" s="1749">
        <f>IF(J12=0,0,J12/G12*100)</f>
        <v>0</v>
      </c>
      <c r="N12" s="1749">
        <f>IF(K12=0,0,K12/H12*100)</f>
        <v>0</v>
      </c>
      <c r="O12" s="1232" t="s">
        <v>353</v>
      </c>
      <c r="P12" s="1232"/>
      <c r="Q12" s="1750">
        <f t="shared" ref="Q12:Q49" si="1">C12-F12</f>
        <v>1113337.8</v>
      </c>
      <c r="R12" s="1549"/>
      <c r="S12" s="1549"/>
      <c r="T12" s="1549"/>
      <c r="U12" s="1751"/>
      <c r="V12" s="1751"/>
    </row>
    <row r="13" spans="1:22" s="791" customFormat="1" ht="79.5" customHeight="1">
      <c r="A13" s="2377" t="s">
        <v>453</v>
      </c>
      <c r="B13" s="2377"/>
      <c r="C13" s="1748">
        <f>SUM(D13:E13)</f>
        <v>6317949.5999999996</v>
      </c>
      <c r="D13" s="1748">
        <f>SUM(D14,D56)</f>
        <v>4832266.8</v>
      </c>
      <c r="E13" s="1748">
        <f>SUM(E14,E56)</f>
        <v>1485682.8</v>
      </c>
      <c r="F13" s="1748">
        <f t="shared" si="0"/>
        <v>6317949.5999999996</v>
      </c>
      <c r="G13" s="1748">
        <f>SUM(G14,G56)</f>
        <v>4832266.8</v>
      </c>
      <c r="H13" s="1748">
        <f>SUM(H14,H56)</f>
        <v>1485682.8</v>
      </c>
      <c r="I13" s="1748">
        <f>SUM(J13:K13)</f>
        <v>0</v>
      </c>
      <c r="J13" s="1748">
        <f>SUM(J14,J56)</f>
        <v>0</v>
      </c>
      <c r="K13" s="1748">
        <f>SUM(K14,K56)</f>
        <v>0</v>
      </c>
      <c r="L13" s="1749">
        <f t="shared" ref="L13:N76" si="2">IF(I13=0,0,I13/F13*100)</f>
        <v>0</v>
      </c>
      <c r="M13" s="1759">
        <f t="shared" si="2"/>
        <v>0</v>
      </c>
      <c r="N13" s="1759">
        <f t="shared" si="2"/>
        <v>0</v>
      </c>
      <c r="O13" s="1232" t="s">
        <v>353</v>
      </c>
      <c r="P13" s="1232" t="s">
        <v>353</v>
      </c>
      <c r="Q13" s="1750">
        <f t="shared" si="1"/>
        <v>0</v>
      </c>
      <c r="R13" s="1549"/>
      <c r="S13" s="1549"/>
      <c r="T13" s="1549"/>
      <c r="U13" s="1751"/>
      <c r="V13" s="1751"/>
    </row>
    <row r="14" spans="1:22" ht="102" customHeight="1">
      <c r="A14" s="1753" t="s">
        <v>6</v>
      </c>
      <c r="B14" s="1754" t="s">
        <v>439</v>
      </c>
      <c r="C14" s="1755">
        <f>SUM(D14:E14)</f>
        <v>1216272.7</v>
      </c>
      <c r="D14" s="1755">
        <f>SUM(D15,D49)</f>
        <v>999116.3</v>
      </c>
      <c r="E14" s="1755">
        <f>SUM(E15,E49)</f>
        <v>217156.4</v>
      </c>
      <c r="F14" s="1755">
        <f t="shared" si="0"/>
        <v>1216272.7</v>
      </c>
      <c r="G14" s="1755">
        <f>SUM(G15,G49)</f>
        <v>999116.3</v>
      </c>
      <c r="H14" s="1755">
        <f>SUM(H15,H49)</f>
        <v>217156.4</v>
      </c>
      <c r="I14" s="1755">
        <f>SUM(J14:K14)</f>
        <v>0</v>
      </c>
      <c r="J14" s="1755">
        <f>SUM(J15,J49)</f>
        <v>0</v>
      </c>
      <c r="K14" s="1755">
        <f>SUM(K15,K49)</f>
        <v>0</v>
      </c>
      <c r="L14" s="1756">
        <f t="shared" si="2"/>
        <v>0</v>
      </c>
      <c r="M14" s="1757">
        <f t="shared" si="2"/>
        <v>0</v>
      </c>
      <c r="N14" s="1757">
        <f t="shared" si="2"/>
        <v>0</v>
      </c>
      <c r="O14" s="632" t="s">
        <v>353</v>
      </c>
      <c r="P14" s="632" t="s">
        <v>353</v>
      </c>
      <c r="Q14" s="735">
        <f t="shared" si="1"/>
        <v>0</v>
      </c>
    </row>
    <row r="15" spans="1:22" ht="39" customHeight="1">
      <c r="A15" s="1667" t="s">
        <v>253</v>
      </c>
      <c r="B15" s="1668" t="s">
        <v>1393</v>
      </c>
      <c r="C15" s="1669">
        <f t="shared" ref="C15:C49" si="3">SUM(D15:E15)</f>
        <v>198702.3</v>
      </c>
      <c r="D15" s="1669">
        <f>SUM(D16,D19,D21,D23,D25,D27,D29,D31,D33,D35,D37,D39,D45)</f>
        <v>0</v>
      </c>
      <c r="E15" s="1669">
        <f>SUM(E16,E19,E21,E23,E25,E27,E29,E31,E33,E35,E37,E39,E45)</f>
        <v>198702.3</v>
      </c>
      <c r="F15" s="1669">
        <f t="shared" si="0"/>
        <v>198702.3</v>
      </c>
      <c r="G15" s="1669">
        <f>SUM(G16,G19,G21,G23,G25,G27,G29,G31,G33,G35,G37,G39,G45)</f>
        <v>0</v>
      </c>
      <c r="H15" s="1669">
        <f>SUM(H16,H19,H21,H23,H25,H27,H29,H31,H33,H35,H37,H39,H45)</f>
        <v>198702.3</v>
      </c>
      <c r="I15" s="1669">
        <f t="shared" ref="I15:I49" si="4">SUM(J15:K15)</f>
        <v>0</v>
      </c>
      <c r="J15" s="1669">
        <f>SUM(J16,J19,J21,J23,J25,J27,J29,J31,J33,J35,J37,J39,J45)</f>
        <v>0</v>
      </c>
      <c r="K15" s="1669">
        <f>SUM(K16,K19,K21,K23,K25,K27,K29,K31,K33,K35,K37,K39,K45)</f>
        <v>0</v>
      </c>
      <c r="L15" s="1670">
        <f t="shared" si="2"/>
        <v>0</v>
      </c>
      <c r="M15" s="1671">
        <f t="shared" si="2"/>
        <v>0</v>
      </c>
      <c r="N15" s="1671">
        <f t="shared" si="2"/>
        <v>0</v>
      </c>
      <c r="O15" s="1599" t="s">
        <v>353</v>
      </c>
      <c r="P15" s="1599" t="s">
        <v>353</v>
      </c>
      <c r="Q15" s="735">
        <f t="shared" si="1"/>
        <v>0</v>
      </c>
    </row>
    <row r="16" spans="1:22" s="1607" customFormat="1" ht="20.25">
      <c r="A16" s="1672"/>
      <c r="B16" s="1778" t="s">
        <v>709</v>
      </c>
      <c r="C16" s="732">
        <f t="shared" si="3"/>
        <v>52150</v>
      </c>
      <c r="D16" s="1674">
        <f>SUM(D17:D18)</f>
        <v>0</v>
      </c>
      <c r="E16" s="1674">
        <f>SUM(E17:E18)</f>
        <v>52150</v>
      </c>
      <c r="F16" s="732">
        <f t="shared" si="0"/>
        <v>52150</v>
      </c>
      <c r="G16" s="1674">
        <f>SUM(G17:G18)</f>
        <v>0</v>
      </c>
      <c r="H16" s="1674">
        <f>SUM(H17:H18)</f>
        <v>52150</v>
      </c>
      <c r="I16" s="732">
        <f t="shared" si="4"/>
        <v>0</v>
      </c>
      <c r="J16" s="1674">
        <f>SUM(J17:J18)</f>
        <v>0</v>
      </c>
      <c r="K16" s="1674">
        <f>SUM(K17:K18)</f>
        <v>0</v>
      </c>
      <c r="L16" s="746">
        <f t="shared" si="2"/>
        <v>0</v>
      </c>
      <c r="M16" s="536">
        <f t="shared" si="2"/>
        <v>0</v>
      </c>
      <c r="N16" s="536">
        <f t="shared" si="2"/>
        <v>0</v>
      </c>
      <c r="O16" s="1593" t="s">
        <v>353</v>
      </c>
      <c r="P16" s="1593" t="s">
        <v>353</v>
      </c>
      <c r="Q16" s="735">
        <f t="shared" si="1"/>
        <v>0</v>
      </c>
      <c r="R16" s="1565"/>
      <c r="S16" s="1565"/>
      <c r="T16" s="1605"/>
      <c r="U16" s="1606"/>
      <c r="V16" s="1606"/>
    </row>
    <row r="17" spans="1:22" s="1607" customFormat="1" ht="66" customHeight="1">
      <c r="A17" s="1672" t="s">
        <v>538</v>
      </c>
      <c r="B17" s="1675" t="s">
        <v>1397</v>
      </c>
      <c r="C17" s="732">
        <f>SUM(D17:E17)</f>
        <v>10500</v>
      </c>
      <c r="D17" s="1676"/>
      <c r="E17" s="1676">
        <v>10500</v>
      </c>
      <c r="F17" s="732">
        <f t="shared" si="0"/>
        <v>10500</v>
      </c>
      <c r="G17" s="1676"/>
      <c r="H17" s="1676">
        <v>10500</v>
      </c>
      <c r="I17" s="814">
        <f>SUM(J17:K17)</f>
        <v>0</v>
      </c>
      <c r="J17" s="1677"/>
      <c r="K17" s="1677"/>
      <c r="L17" s="746">
        <f t="shared" si="2"/>
        <v>0</v>
      </c>
      <c r="M17" s="536">
        <f t="shared" si="2"/>
        <v>0</v>
      </c>
      <c r="N17" s="536">
        <f t="shared" si="2"/>
        <v>0</v>
      </c>
      <c r="O17" s="1593" t="s">
        <v>1171</v>
      </c>
      <c r="P17" s="1593" t="s">
        <v>1116</v>
      </c>
      <c r="Q17" s="735">
        <f t="shared" si="1"/>
        <v>0</v>
      </c>
      <c r="R17" s="1565" t="s">
        <v>1429</v>
      </c>
      <c r="S17" s="1565" t="s">
        <v>1432</v>
      </c>
      <c r="T17" s="1605">
        <v>522</v>
      </c>
      <c r="U17" s="1606"/>
      <c r="V17" s="1606"/>
    </row>
    <row r="18" spans="1:22" s="1607" customFormat="1" ht="66.75" customHeight="1">
      <c r="A18" s="1672" t="s">
        <v>539</v>
      </c>
      <c r="B18" s="1768" t="s">
        <v>1399</v>
      </c>
      <c r="C18" s="732">
        <f t="shared" si="3"/>
        <v>41650</v>
      </c>
      <c r="D18" s="1676"/>
      <c r="E18" s="1676">
        <v>41650</v>
      </c>
      <c r="F18" s="732">
        <f t="shared" ref="F18:F49" si="5">SUM(G18:H18)</f>
        <v>41650</v>
      </c>
      <c r="G18" s="1676"/>
      <c r="H18" s="1676">
        <v>41650</v>
      </c>
      <c r="I18" s="814">
        <f t="shared" si="4"/>
        <v>0</v>
      </c>
      <c r="J18" s="1677"/>
      <c r="K18" s="1677"/>
      <c r="L18" s="746">
        <f t="shared" si="2"/>
        <v>0</v>
      </c>
      <c r="M18" s="536">
        <f t="shared" si="2"/>
        <v>0</v>
      </c>
      <c r="N18" s="536">
        <f t="shared" si="2"/>
        <v>0</v>
      </c>
      <c r="O18" s="1593" t="s">
        <v>1171</v>
      </c>
      <c r="P18" s="1593" t="s">
        <v>1116</v>
      </c>
      <c r="Q18" s="735">
        <f t="shared" si="1"/>
        <v>0</v>
      </c>
      <c r="R18" s="1565" t="s">
        <v>1429</v>
      </c>
      <c r="S18" s="1565" t="s">
        <v>1430</v>
      </c>
      <c r="T18" s="1605">
        <v>522</v>
      </c>
      <c r="U18" s="1606"/>
      <c r="V18" s="1606"/>
    </row>
    <row r="19" spans="1:22" s="1570" customFormat="1" ht="20.25">
      <c r="A19" s="1672"/>
      <c r="B19" s="1678" t="s">
        <v>712</v>
      </c>
      <c r="C19" s="732">
        <f t="shared" si="3"/>
        <v>19000</v>
      </c>
      <c r="D19" s="1674">
        <f>SUM(D20)</f>
        <v>0</v>
      </c>
      <c r="E19" s="1674">
        <f>SUM(E20)</f>
        <v>19000</v>
      </c>
      <c r="F19" s="732">
        <f t="shared" si="5"/>
        <v>19000</v>
      </c>
      <c r="G19" s="1674">
        <f>SUM(G20)</f>
        <v>0</v>
      </c>
      <c r="H19" s="1674">
        <f>SUM(H20)</f>
        <v>19000</v>
      </c>
      <c r="I19" s="814">
        <f t="shared" si="4"/>
        <v>0</v>
      </c>
      <c r="J19" s="534">
        <f>SUM(J20)</f>
        <v>0</v>
      </c>
      <c r="K19" s="534">
        <f>SUM(K20)</f>
        <v>0</v>
      </c>
      <c r="L19" s="746">
        <f t="shared" si="2"/>
        <v>0</v>
      </c>
      <c r="M19" s="746">
        <f t="shared" si="2"/>
        <v>0</v>
      </c>
      <c r="N19" s="746">
        <f t="shared" si="2"/>
        <v>0</v>
      </c>
      <c r="O19" s="1593" t="s">
        <v>353</v>
      </c>
      <c r="P19" s="1612" t="s">
        <v>353</v>
      </c>
      <c r="Q19" s="735">
        <f t="shared" si="1"/>
        <v>0</v>
      </c>
      <c r="R19" s="1565" t="s">
        <v>1429</v>
      </c>
      <c r="S19" s="1565" t="s">
        <v>1430</v>
      </c>
      <c r="T19" s="1565">
        <v>522</v>
      </c>
      <c r="U19" s="1613"/>
      <c r="V19" s="1613"/>
    </row>
    <row r="20" spans="1:22" ht="56.25" customHeight="1">
      <c r="A20" s="1672" t="s">
        <v>19</v>
      </c>
      <c r="B20" s="1732" t="s">
        <v>713</v>
      </c>
      <c r="C20" s="732">
        <f t="shared" si="3"/>
        <v>19000</v>
      </c>
      <c r="D20" s="854"/>
      <c r="E20" s="854">
        <v>19000</v>
      </c>
      <c r="F20" s="732">
        <f t="shared" si="5"/>
        <v>19000</v>
      </c>
      <c r="G20" s="854"/>
      <c r="H20" s="854">
        <v>19000</v>
      </c>
      <c r="I20" s="814">
        <f t="shared" si="4"/>
        <v>0</v>
      </c>
      <c r="J20" s="1677"/>
      <c r="K20" s="1677"/>
      <c r="L20" s="746">
        <f t="shared" si="2"/>
        <v>0</v>
      </c>
      <c r="M20" s="536">
        <f t="shared" si="2"/>
        <v>0</v>
      </c>
      <c r="N20" s="536">
        <f t="shared" si="2"/>
        <v>0</v>
      </c>
      <c r="O20" s="1593" t="s">
        <v>1171</v>
      </c>
      <c r="P20" s="1593" t="s">
        <v>1111</v>
      </c>
      <c r="Q20" s="735">
        <f t="shared" si="1"/>
        <v>0</v>
      </c>
      <c r="R20" s="1565" t="s">
        <v>1429</v>
      </c>
      <c r="S20" s="1565" t="s">
        <v>1430</v>
      </c>
      <c r="T20" s="1565">
        <v>522</v>
      </c>
    </row>
    <row r="21" spans="1:22" s="1570" customFormat="1" ht="20.25">
      <c r="A21" s="1672"/>
      <c r="B21" s="1678" t="s">
        <v>1406</v>
      </c>
      <c r="C21" s="732">
        <f t="shared" si="3"/>
        <v>18602.2</v>
      </c>
      <c r="D21" s="1674">
        <f>SUM(D22)</f>
        <v>0</v>
      </c>
      <c r="E21" s="1674">
        <f>SUM(E22)</f>
        <v>18602.2</v>
      </c>
      <c r="F21" s="732">
        <f t="shared" si="5"/>
        <v>18602.2</v>
      </c>
      <c r="G21" s="1674">
        <f>SUM(G22)</f>
        <v>0</v>
      </c>
      <c r="H21" s="1674">
        <f>SUM(H22)</f>
        <v>18602.2</v>
      </c>
      <c r="I21" s="814">
        <f t="shared" si="4"/>
        <v>0</v>
      </c>
      <c r="J21" s="534">
        <f>SUM(J22)</f>
        <v>0</v>
      </c>
      <c r="K21" s="534">
        <f>SUM(K22)</f>
        <v>0</v>
      </c>
      <c r="L21" s="746">
        <f t="shared" si="2"/>
        <v>0</v>
      </c>
      <c r="M21" s="746">
        <f t="shared" si="2"/>
        <v>0</v>
      </c>
      <c r="N21" s="746">
        <f t="shared" si="2"/>
        <v>0</v>
      </c>
      <c r="O21" s="1593" t="s">
        <v>353</v>
      </c>
      <c r="P21" s="1612" t="s">
        <v>353</v>
      </c>
      <c r="Q21" s="735">
        <f t="shared" si="1"/>
        <v>0</v>
      </c>
      <c r="R21" s="1565" t="s">
        <v>1429</v>
      </c>
      <c r="S21" s="1565" t="s">
        <v>1430</v>
      </c>
      <c r="T21" s="1565">
        <v>522</v>
      </c>
      <c r="U21" s="1613"/>
      <c r="V21" s="1613"/>
    </row>
    <row r="22" spans="1:22" ht="64.5" customHeight="1">
      <c r="A22" s="1672" t="s">
        <v>20</v>
      </c>
      <c r="B22" s="1683" t="s">
        <v>1407</v>
      </c>
      <c r="C22" s="732">
        <f t="shared" si="3"/>
        <v>18602.2</v>
      </c>
      <c r="D22" s="854"/>
      <c r="E22" s="854">
        <v>18602.2</v>
      </c>
      <c r="F22" s="732">
        <f t="shared" si="5"/>
        <v>18602.2</v>
      </c>
      <c r="G22" s="854"/>
      <c r="H22" s="854">
        <v>18602.2</v>
      </c>
      <c r="I22" s="814">
        <f t="shared" si="4"/>
        <v>0</v>
      </c>
      <c r="J22" s="1677"/>
      <c r="K22" s="1677"/>
      <c r="L22" s="746">
        <f t="shared" si="2"/>
        <v>0</v>
      </c>
      <c r="M22" s="536">
        <f t="shared" si="2"/>
        <v>0</v>
      </c>
      <c r="N22" s="536">
        <f t="shared" si="2"/>
        <v>0</v>
      </c>
      <c r="O22" s="1593" t="s">
        <v>1171</v>
      </c>
      <c r="P22" s="1593" t="s">
        <v>1111</v>
      </c>
      <c r="Q22" s="735">
        <f t="shared" si="1"/>
        <v>0</v>
      </c>
      <c r="R22" s="1565" t="s">
        <v>1429</v>
      </c>
      <c r="S22" s="1565" t="s">
        <v>1430</v>
      </c>
      <c r="T22" s="1565">
        <v>522</v>
      </c>
    </row>
    <row r="23" spans="1:22" s="1607" customFormat="1" ht="20.25">
      <c r="A23" s="1672"/>
      <c r="B23" s="1778" t="s">
        <v>46</v>
      </c>
      <c r="C23" s="732">
        <f t="shared" si="3"/>
        <v>12500</v>
      </c>
      <c r="D23" s="1674">
        <f>SUM(D24)</f>
        <v>0</v>
      </c>
      <c r="E23" s="1674">
        <f>SUM(E24)</f>
        <v>12500</v>
      </c>
      <c r="F23" s="732">
        <f t="shared" si="5"/>
        <v>12500</v>
      </c>
      <c r="G23" s="1674">
        <f>SUM(G24)</f>
        <v>0</v>
      </c>
      <c r="H23" s="1674">
        <f>SUM(H24)</f>
        <v>12500</v>
      </c>
      <c r="I23" s="814">
        <f t="shared" si="4"/>
        <v>0</v>
      </c>
      <c r="J23" s="539">
        <f>SUM(J24)</f>
        <v>0</v>
      </c>
      <c r="K23" s="539">
        <f>SUM(K24)</f>
        <v>0</v>
      </c>
      <c r="L23" s="746">
        <f t="shared" si="2"/>
        <v>0</v>
      </c>
      <c r="M23" s="536">
        <f t="shared" si="2"/>
        <v>0</v>
      </c>
      <c r="N23" s="536">
        <f t="shared" si="2"/>
        <v>0</v>
      </c>
      <c r="O23" s="1593" t="s">
        <v>353</v>
      </c>
      <c r="P23" s="1593" t="s">
        <v>353</v>
      </c>
      <c r="Q23" s="735">
        <f t="shared" si="1"/>
        <v>0</v>
      </c>
      <c r="R23" s="1565"/>
      <c r="S23" s="1565"/>
      <c r="T23" s="1605"/>
      <c r="U23" s="1606"/>
      <c r="V23" s="1606"/>
    </row>
    <row r="24" spans="1:22" s="1607" customFormat="1" ht="89.25" customHeight="1">
      <c r="A24" s="1672" t="s">
        <v>467</v>
      </c>
      <c r="B24" s="1675" t="s">
        <v>1517</v>
      </c>
      <c r="C24" s="732">
        <f t="shared" si="3"/>
        <v>12500</v>
      </c>
      <c r="D24" s="1676"/>
      <c r="E24" s="1676">
        <v>12500</v>
      </c>
      <c r="F24" s="732">
        <f t="shared" si="5"/>
        <v>12500</v>
      </c>
      <c r="G24" s="1676"/>
      <c r="H24" s="1676">
        <v>12500</v>
      </c>
      <c r="I24" s="814">
        <f t="shared" si="4"/>
        <v>0</v>
      </c>
      <c r="J24" s="1677"/>
      <c r="K24" s="1677"/>
      <c r="L24" s="746">
        <f t="shared" si="2"/>
        <v>0</v>
      </c>
      <c r="M24" s="536">
        <f t="shared" si="2"/>
        <v>0</v>
      </c>
      <c r="N24" s="536">
        <f t="shared" si="2"/>
        <v>0</v>
      </c>
      <c r="O24" s="1593" t="s">
        <v>1184</v>
      </c>
      <c r="P24" s="1593" t="s">
        <v>1136</v>
      </c>
      <c r="Q24" s="735">
        <f t="shared" si="1"/>
        <v>0</v>
      </c>
      <c r="R24" s="1565" t="s">
        <v>1429</v>
      </c>
      <c r="S24" s="1565" t="s">
        <v>1430</v>
      </c>
      <c r="T24" s="1565">
        <v>522</v>
      </c>
      <c r="U24" s="1606"/>
      <c r="V24" s="1606"/>
    </row>
    <row r="25" spans="1:22" s="1570" customFormat="1" ht="20.25">
      <c r="A25" s="1672"/>
      <c r="B25" s="1678" t="s">
        <v>583</v>
      </c>
      <c r="C25" s="732">
        <f t="shared" si="3"/>
        <v>2500</v>
      </c>
      <c r="D25" s="1674">
        <f>SUM(D26)</f>
        <v>0</v>
      </c>
      <c r="E25" s="1674">
        <f>SUM(E26)</f>
        <v>2500</v>
      </c>
      <c r="F25" s="732">
        <f t="shared" si="5"/>
        <v>2500</v>
      </c>
      <c r="G25" s="1674">
        <f>SUM(G26)</f>
        <v>0</v>
      </c>
      <c r="H25" s="1674">
        <f>SUM(H26)</f>
        <v>2500</v>
      </c>
      <c r="I25" s="814">
        <f t="shared" si="4"/>
        <v>0</v>
      </c>
      <c r="J25" s="534">
        <f>SUM(J26)</f>
        <v>0</v>
      </c>
      <c r="K25" s="534">
        <f>SUM(K26)</f>
        <v>0</v>
      </c>
      <c r="L25" s="746">
        <f t="shared" si="2"/>
        <v>0</v>
      </c>
      <c r="M25" s="746">
        <f t="shared" si="2"/>
        <v>0</v>
      </c>
      <c r="N25" s="746">
        <f t="shared" si="2"/>
        <v>0</v>
      </c>
      <c r="O25" s="1593" t="s">
        <v>353</v>
      </c>
      <c r="P25" s="1612" t="s">
        <v>353</v>
      </c>
      <c r="Q25" s="735">
        <f t="shared" si="1"/>
        <v>0</v>
      </c>
      <c r="R25" s="1565" t="s">
        <v>1429</v>
      </c>
      <c r="S25" s="1565" t="s">
        <v>1430</v>
      </c>
      <c r="T25" s="1565">
        <v>522</v>
      </c>
      <c r="U25" s="1613"/>
      <c r="V25" s="1613"/>
    </row>
    <row r="26" spans="1:22" ht="51.75" customHeight="1">
      <c r="A26" s="1672" t="s">
        <v>468</v>
      </c>
      <c r="B26" s="1769" t="s">
        <v>1403</v>
      </c>
      <c r="C26" s="732">
        <f t="shared" si="3"/>
        <v>2500</v>
      </c>
      <c r="D26" s="854"/>
      <c r="E26" s="854">
        <v>2500</v>
      </c>
      <c r="F26" s="732">
        <f t="shared" si="5"/>
        <v>2500</v>
      </c>
      <c r="G26" s="854"/>
      <c r="H26" s="854">
        <v>2500</v>
      </c>
      <c r="I26" s="814">
        <f t="shared" si="4"/>
        <v>0</v>
      </c>
      <c r="J26" s="1677"/>
      <c r="K26" s="1677"/>
      <c r="L26" s="746">
        <f t="shared" si="2"/>
        <v>0</v>
      </c>
      <c r="M26" s="536">
        <f t="shared" si="2"/>
        <v>0</v>
      </c>
      <c r="N26" s="536">
        <f t="shared" si="2"/>
        <v>0</v>
      </c>
      <c r="O26" s="1593" t="s">
        <v>1171</v>
      </c>
      <c r="P26" s="1593" t="s">
        <v>1111</v>
      </c>
      <c r="Q26" s="735">
        <f t="shared" si="1"/>
        <v>0</v>
      </c>
      <c r="R26" s="1565" t="s">
        <v>1429</v>
      </c>
      <c r="S26" s="1565" t="s">
        <v>1430</v>
      </c>
      <c r="T26" s="1565">
        <v>522</v>
      </c>
    </row>
    <row r="27" spans="1:22" ht="20.25">
      <c r="A27" s="1681"/>
      <c r="B27" s="1778" t="s">
        <v>68</v>
      </c>
      <c r="C27" s="732">
        <f t="shared" si="3"/>
        <v>8734.5</v>
      </c>
      <c r="D27" s="1674">
        <f>SUM(D28)</f>
        <v>0</v>
      </c>
      <c r="E27" s="1674">
        <f>SUM(E28)</f>
        <v>8734.5</v>
      </c>
      <c r="F27" s="732">
        <f t="shared" si="5"/>
        <v>8734.5</v>
      </c>
      <c r="G27" s="1674">
        <f>SUM(G28)</f>
        <v>0</v>
      </c>
      <c r="H27" s="1674">
        <f>SUM(H28)</f>
        <v>8734.5</v>
      </c>
      <c r="I27" s="814">
        <f t="shared" si="4"/>
        <v>0</v>
      </c>
      <c r="J27" s="539">
        <f>SUM(J28)</f>
        <v>0</v>
      </c>
      <c r="K27" s="539">
        <f>SUM(K28)</f>
        <v>0</v>
      </c>
      <c r="L27" s="746">
        <f t="shared" si="2"/>
        <v>0</v>
      </c>
      <c r="M27" s="536">
        <f t="shared" si="2"/>
        <v>0</v>
      </c>
      <c r="N27" s="536">
        <f t="shared" si="2"/>
        <v>0</v>
      </c>
      <c r="O27" s="1593" t="s">
        <v>353</v>
      </c>
      <c r="P27" s="1593" t="s">
        <v>353</v>
      </c>
      <c r="Q27" s="735">
        <f t="shared" si="1"/>
        <v>0</v>
      </c>
    </row>
    <row r="28" spans="1:22" ht="66.75" customHeight="1">
      <c r="A28" s="1672" t="s">
        <v>685</v>
      </c>
      <c r="B28" s="1770" t="s">
        <v>1522</v>
      </c>
      <c r="C28" s="732">
        <f t="shared" si="3"/>
        <v>8734.5</v>
      </c>
      <c r="D28" s="1676"/>
      <c r="E28" s="1676">
        <v>8734.5</v>
      </c>
      <c r="F28" s="732">
        <f t="shared" si="5"/>
        <v>8734.5</v>
      </c>
      <c r="G28" s="1676"/>
      <c r="H28" s="1676">
        <v>8734.5</v>
      </c>
      <c r="I28" s="814">
        <f t="shared" si="4"/>
        <v>0</v>
      </c>
      <c r="J28" s="1677"/>
      <c r="K28" s="1677"/>
      <c r="L28" s="746">
        <f t="shared" si="2"/>
        <v>0</v>
      </c>
      <c r="M28" s="536">
        <f t="shared" si="2"/>
        <v>0</v>
      </c>
      <c r="N28" s="536">
        <f t="shared" si="2"/>
        <v>0</v>
      </c>
      <c r="O28" s="1593" t="s">
        <v>1176</v>
      </c>
      <c r="P28" s="1593" t="s">
        <v>1125</v>
      </c>
      <c r="Q28" s="735">
        <f t="shared" si="1"/>
        <v>0</v>
      </c>
      <c r="R28" s="1565" t="s">
        <v>1429</v>
      </c>
      <c r="S28" s="1565" t="s">
        <v>1431</v>
      </c>
      <c r="T28" s="1605">
        <v>522</v>
      </c>
    </row>
    <row r="29" spans="1:22" s="1570" customFormat="1" ht="20.25">
      <c r="A29" s="1672"/>
      <c r="B29" s="1678" t="s">
        <v>1408</v>
      </c>
      <c r="C29" s="732">
        <f t="shared" si="3"/>
        <v>11495</v>
      </c>
      <c r="D29" s="1674">
        <f>SUM(D30)</f>
        <v>0</v>
      </c>
      <c r="E29" s="1674">
        <f>SUM(E30)</f>
        <v>11495</v>
      </c>
      <c r="F29" s="732">
        <f t="shared" si="5"/>
        <v>11495</v>
      </c>
      <c r="G29" s="1674">
        <f>SUM(G30)</f>
        <v>0</v>
      </c>
      <c r="H29" s="1674">
        <f>SUM(H30)</f>
        <v>11495</v>
      </c>
      <c r="I29" s="814">
        <f t="shared" si="4"/>
        <v>0</v>
      </c>
      <c r="J29" s="534">
        <f>SUM(J30)</f>
        <v>0</v>
      </c>
      <c r="K29" s="534">
        <f>SUM(K30)</f>
        <v>0</v>
      </c>
      <c r="L29" s="746">
        <f t="shared" si="2"/>
        <v>0</v>
      </c>
      <c r="M29" s="746">
        <f t="shared" si="2"/>
        <v>0</v>
      </c>
      <c r="N29" s="746">
        <f t="shared" si="2"/>
        <v>0</v>
      </c>
      <c r="O29" s="1593" t="s">
        <v>353</v>
      </c>
      <c r="P29" s="1612" t="s">
        <v>353</v>
      </c>
      <c r="Q29" s="735">
        <f t="shared" si="1"/>
        <v>0</v>
      </c>
      <c r="R29" s="1565" t="s">
        <v>1429</v>
      </c>
      <c r="S29" s="1565" t="s">
        <v>1430</v>
      </c>
      <c r="T29" s="1565">
        <v>522</v>
      </c>
      <c r="U29" s="1613"/>
      <c r="V29" s="1613"/>
    </row>
    <row r="30" spans="1:22" ht="41.25" customHeight="1">
      <c r="A30" s="1672" t="s">
        <v>687</v>
      </c>
      <c r="B30" s="1683" t="s">
        <v>1409</v>
      </c>
      <c r="C30" s="732">
        <f t="shared" si="3"/>
        <v>11495</v>
      </c>
      <c r="D30" s="854"/>
      <c r="E30" s="854">
        <v>11495</v>
      </c>
      <c r="F30" s="732">
        <f t="shared" si="5"/>
        <v>11495</v>
      </c>
      <c r="G30" s="854"/>
      <c r="H30" s="854">
        <v>11495</v>
      </c>
      <c r="I30" s="814">
        <f t="shared" si="4"/>
        <v>0</v>
      </c>
      <c r="J30" s="1677"/>
      <c r="K30" s="1677"/>
      <c r="L30" s="746">
        <f t="shared" si="2"/>
        <v>0</v>
      </c>
      <c r="M30" s="536">
        <f t="shared" si="2"/>
        <v>0</v>
      </c>
      <c r="N30" s="536">
        <f t="shared" si="2"/>
        <v>0</v>
      </c>
      <c r="O30" s="1593" t="s">
        <v>1171</v>
      </c>
      <c r="P30" s="1593" t="s">
        <v>1111</v>
      </c>
      <c r="Q30" s="735">
        <f t="shared" si="1"/>
        <v>0</v>
      </c>
      <c r="R30" s="1565" t="s">
        <v>1429</v>
      </c>
      <c r="S30" s="1565" t="s">
        <v>1430</v>
      </c>
      <c r="T30" s="1565">
        <v>522</v>
      </c>
    </row>
    <row r="31" spans="1:22" s="1570" customFormat="1" ht="20.25">
      <c r="A31" s="1672"/>
      <c r="B31" s="1678" t="s">
        <v>729</v>
      </c>
      <c r="C31" s="732">
        <f t="shared" si="3"/>
        <v>4500</v>
      </c>
      <c r="D31" s="1674">
        <f>SUM(D32)</f>
        <v>0</v>
      </c>
      <c r="E31" s="1674">
        <f>SUM(E32)</f>
        <v>4500</v>
      </c>
      <c r="F31" s="732">
        <f t="shared" si="5"/>
        <v>4500</v>
      </c>
      <c r="G31" s="1674">
        <f>SUM(G32)</f>
        <v>0</v>
      </c>
      <c r="H31" s="1674">
        <f>SUM(H32)</f>
        <v>4500</v>
      </c>
      <c r="I31" s="814">
        <f t="shared" si="4"/>
        <v>0</v>
      </c>
      <c r="J31" s="534">
        <f>SUM(J32)</f>
        <v>0</v>
      </c>
      <c r="K31" s="534">
        <f>SUM(K32)</f>
        <v>0</v>
      </c>
      <c r="L31" s="746">
        <f t="shared" si="2"/>
        <v>0</v>
      </c>
      <c r="M31" s="746">
        <f t="shared" si="2"/>
        <v>0</v>
      </c>
      <c r="N31" s="746">
        <f t="shared" si="2"/>
        <v>0</v>
      </c>
      <c r="O31" s="1593" t="s">
        <v>353</v>
      </c>
      <c r="P31" s="1612" t="s">
        <v>353</v>
      </c>
      <c r="Q31" s="735">
        <f t="shared" si="1"/>
        <v>0</v>
      </c>
      <c r="R31" s="1565" t="s">
        <v>1429</v>
      </c>
      <c r="S31" s="1565" t="s">
        <v>1430</v>
      </c>
      <c r="T31" s="1565">
        <v>522</v>
      </c>
      <c r="U31" s="1613"/>
      <c r="V31" s="1613"/>
    </row>
    <row r="32" spans="1:22" ht="43.5" customHeight="1">
      <c r="A32" s="1672" t="s">
        <v>686</v>
      </c>
      <c r="B32" s="1768" t="s">
        <v>1405</v>
      </c>
      <c r="C32" s="732">
        <f t="shared" si="3"/>
        <v>4500</v>
      </c>
      <c r="D32" s="854"/>
      <c r="E32" s="854">
        <v>4500</v>
      </c>
      <c r="F32" s="732">
        <f t="shared" si="5"/>
        <v>4500</v>
      </c>
      <c r="G32" s="854"/>
      <c r="H32" s="854">
        <v>4500</v>
      </c>
      <c r="I32" s="814">
        <f t="shared" si="4"/>
        <v>0</v>
      </c>
      <c r="J32" s="1677"/>
      <c r="K32" s="1677"/>
      <c r="L32" s="746">
        <f t="shared" si="2"/>
        <v>0</v>
      </c>
      <c r="M32" s="536">
        <f t="shared" si="2"/>
        <v>0</v>
      </c>
      <c r="N32" s="536">
        <f t="shared" si="2"/>
        <v>0</v>
      </c>
      <c r="O32" s="1593" t="s">
        <v>1171</v>
      </c>
      <c r="P32" s="1593" t="s">
        <v>1111</v>
      </c>
      <c r="Q32" s="735">
        <f t="shared" si="1"/>
        <v>0</v>
      </c>
      <c r="R32" s="1565" t="s">
        <v>1429</v>
      </c>
      <c r="S32" s="1565" t="s">
        <v>1430</v>
      </c>
      <c r="T32" s="1565">
        <v>522</v>
      </c>
    </row>
    <row r="33" spans="1:22" s="1570" customFormat="1" ht="20.25">
      <c r="A33" s="1672"/>
      <c r="B33" s="1678" t="s">
        <v>12</v>
      </c>
      <c r="C33" s="732">
        <f t="shared" si="3"/>
        <v>6835</v>
      </c>
      <c r="D33" s="1674">
        <f>SUM(D34)</f>
        <v>0</v>
      </c>
      <c r="E33" s="1674">
        <f>SUM(E34)</f>
        <v>6835</v>
      </c>
      <c r="F33" s="732">
        <f t="shared" si="5"/>
        <v>6835</v>
      </c>
      <c r="G33" s="1674">
        <f>SUM(G34)</f>
        <v>0</v>
      </c>
      <c r="H33" s="1674">
        <f>SUM(H34)</f>
        <v>6835</v>
      </c>
      <c r="I33" s="814">
        <f t="shared" si="4"/>
        <v>0</v>
      </c>
      <c r="J33" s="534">
        <f>SUM(J34)</f>
        <v>0</v>
      </c>
      <c r="K33" s="534">
        <f>SUM(K34)</f>
        <v>0</v>
      </c>
      <c r="L33" s="746">
        <f t="shared" si="2"/>
        <v>0</v>
      </c>
      <c r="M33" s="746">
        <f t="shared" si="2"/>
        <v>0</v>
      </c>
      <c r="N33" s="746">
        <f t="shared" si="2"/>
        <v>0</v>
      </c>
      <c r="O33" s="1593" t="s">
        <v>353</v>
      </c>
      <c r="P33" s="1612" t="s">
        <v>353</v>
      </c>
      <c r="Q33" s="735">
        <f t="shared" si="1"/>
        <v>0</v>
      </c>
      <c r="R33" s="1565" t="s">
        <v>1429</v>
      </c>
      <c r="S33" s="1565" t="s">
        <v>1430</v>
      </c>
      <c r="T33" s="1565">
        <v>522</v>
      </c>
      <c r="U33" s="1613"/>
      <c r="V33" s="1613"/>
    </row>
    <row r="34" spans="1:22" ht="44.25" customHeight="1">
      <c r="A34" s="1672" t="s">
        <v>688</v>
      </c>
      <c r="B34" s="1768" t="s">
        <v>1402</v>
      </c>
      <c r="C34" s="732">
        <f t="shared" si="3"/>
        <v>6835</v>
      </c>
      <c r="D34" s="854"/>
      <c r="E34" s="854">
        <v>6835</v>
      </c>
      <c r="F34" s="732">
        <f t="shared" si="5"/>
        <v>6835</v>
      </c>
      <c r="G34" s="854"/>
      <c r="H34" s="854">
        <v>6835</v>
      </c>
      <c r="I34" s="814">
        <f t="shared" si="4"/>
        <v>0</v>
      </c>
      <c r="J34" s="1677"/>
      <c r="K34" s="1677"/>
      <c r="L34" s="746">
        <f t="shared" si="2"/>
        <v>0</v>
      </c>
      <c r="M34" s="536">
        <f t="shared" si="2"/>
        <v>0</v>
      </c>
      <c r="N34" s="536">
        <f t="shared" si="2"/>
        <v>0</v>
      </c>
      <c r="O34" s="1593" t="s">
        <v>1171</v>
      </c>
      <c r="P34" s="1593" t="s">
        <v>1111</v>
      </c>
      <c r="Q34" s="735">
        <f t="shared" si="1"/>
        <v>0</v>
      </c>
      <c r="R34" s="1565" t="s">
        <v>1429</v>
      </c>
      <c r="S34" s="1565" t="s">
        <v>1430</v>
      </c>
      <c r="T34" s="1565">
        <v>522</v>
      </c>
    </row>
    <row r="35" spans="1:22" s="1570" customFormat="1" ht="20.25">
      <c r="A35" s="1672"/>
      <c r="B35" s="1678" t="s">
        <v>90</v>
      </c>
      <c r="C35" s="732">
        <f t="shared" si="3"/>
        <v>1300</v>
      </c>
      <c r="D35" s="1674">
        <f>SUM(D36)</f>
        <v>0</v>
      </c>
      <c r="E35" s="1674">
        <f>SUM(E36)</f>
        <v>1300</v>
      </c>
      <c r="F35" s="732">
        <f t="shared" si="5"/>
        <v>1300</v>
      </c>
      <c r="G35" s="1674">
        <f>SUM(G36)</f>
        <v>0</v>
      </c>
      <c r="H35" s="1674">
        <f>SUM(H36)</f>
        <v>1300</v>
      </c>
      <c r="I35" s="814">
        <f t="shared" si="4"/>
        <v>0</v>
      </c>
      <c r="J35" s="534">
        <f>SUM(J36)</f>
        <v>0</v>
      </c>
      <c r="K35" s="534">
        <f>SUM(K36)</f>
        <v>0</v>
      </c>
      <c r="L35" s="746">
        <f t="shared" si="2"/>
        <v>0</v>
      </c>
      <c r="M35" s="746">
        <f t="shared" si="2"/>
        <v>0</v>
      </c>
      <c r="N35" s="746">
        <f t="shared" si="2"/>
        <v>0</v>
      </c>
      <c r="O35" s="1593" t="s">
        <v>353</v>
      </c>
      <c r="P35" s="1612" t="s">
        <v>353</v>
      </c>
      <c r="Q35" s="735">
        <f t="shared" si="1"/>
        <v>0</v>
      </c>
      <c r="R35" s="1565" t="s">
        <v>1429</v>
      </c>
      <c r="S35" s="1565" t="s">
        <v>1430</v>
      </c>
      <c r="T35" s="1565">
        <v>522</v>
      </c>
      <c r="U35" s="1613"/>
      <c r="V35" s="1613"/>
    </row>
    <row r="36" spans="1:22" ht="69.75" customHeight="1">
      <c r="A36" s="1672" t="s">
        <v>98</v>
      </c>
      <c r="B36" s="1732" t="s">
        <v>1404</v>
      </c>
      <c r="C36" s="732">
        <f t="shared" si="3"/>
        <v>1300</v>
      </c>
      <c r="D36" s="854"/>
      <c r="E36" s="854">
        <v>1300</v>
      </c>
      <c r="F36" s="732">
        <f t="shared" si="5"/>
        <v>1300</v>
      </c>
      <c r="G36" s="854"/>
      <c r="H36" s="854">
        <v>1300</v>
      </c>
      <c r="I36" s="814">
        <f t="shared" si="4"/>
        <v>0</v>
      </c>
      <c r="J36" s="1677"/>
      <c r="K36" s="1677"/>
      <c r="L36" s="746">
        <f t="shared" si="2"/>
        <v>0</v>
      </c>
      <c r="M36" s="536">
        <f t="shared" si="2"/>
        <v>0</v>
      </c>
      <c r="N36" s="536">
        <f t="shared" si="2"/>
        <v>0</v>
      </c>
      <c r="O36" s="1593" t="s">
        <v>1171</v>
      </c>
      <c r="P36" s="1593" t="s">
        <v>1111</v>
      </c>
      <c r="Q36" s="735">
        <f t="shared" si="1"/>
        <v>0</v>
      </c>
      <c r="R36" s="1565" t="s">
        <v>1429</v>
      </c>
      <c r="S36" s="1565" t="s">
        <v>1430</v>
      </c>
      <c r="T36" s="1565">
        <v>522</v>
      </c>
    </row>
    <row r="37" spans="1:22" s="1607" customFormat="1" ht="20.25">
      <c r="A37" s="1672"/>
      <c r="B37" s="1778" t="s">
        <v>1401</v>
      </c>
      <c r="C37" s="732">
        <f t="shared" si="3"/>
        <v>10192</v>
      </c>
      <c r="D37" s="1674">
        <f>SUM(D38)</f>
        <v>0</v>
      </c>
      <c r="E37" s="1674">
        <f>SUM(E38)</f>
        <v>10192</v>
      </c>
      <c r="F37" s="732">
        <f t="shared" si="5"/>
        <v>10192</v>
      </c>
      <c r="G37" s="1674">
        <f>SUM(G38)</f>
        <v>0</v>
      </c>
      <c r="H37" s="1674">
        <f>SUM(H38)</f>
        <v>10192</v>
      </c>
      <c r="I37" s="814">
        <f t="shared" si="4"/>
        <v>0</v>
      </c>
      <c r="J37" s="539">
        <f>SUM(J38)</f>
        <v>0</v>
      </c>
      <c r="K37" s="539">
        <f>SUM(K38)</f>
        <v>0</v>
      </c>
      <c r="L37" s="746">
        <f t="shared" si="2"/>
        <v>0</v>
      </c>
      <c r="M37" s="536">
        <f t="shared" si="2"/>
        <v>0</v>
      </c>
      <c r="N37" s="536">
        <f t="shared" si="2"/>
        <v>0</v>
      </c>
      <c r="O37" s="1593" t="s">
        <v>353</v>
      </c>
      <c r="P37" s="1593" t="s">
        <v>353</v>
      </c>
      <c r="Q37" s="735">
        <f t="shared" si="1"/>
        <v>0</v>
      </c>
      <c r="R37" s="1565" t="s">
        <v>1429</v>
      </c>
      <c r="S37" s="1565" t="s">
        <v>1430</v>
      </c>
      <c r="T37" s="1565">
        <v>522</v>
      </c>
      <c r="U37" s="1606"/>
      <c r="V37" s="1606"/>
    </row>
    <row r="38" spans="1:22" s="1607" customFormat="1" ht="53.25" customHeight="1">
      <c r="A38" s="1672" t="s">
        <v>99</v>
      </c>
      <c r="B38" s="1675" t="s">
        <v>1518</v>
      </c>
      <c r="C38" s="732">
        <f t="shared" si="3"/>
        <v>10192</v>
      </c>
      <c r="D38" s="1676"/>
      <c r="E38" s="1676">
        <v>10192</v>
      </c>
      <c r="F38" s="732">
        <f t="shared" si="5"/>
        <v>10192</v>
      </c>
      <c r="G38" s="1676"/>
      <c r="H38" s="1676">
        <v>10192</v>
      </c>
      <c r="I38" s="814">
        <f t="shared" si="4"/>
        <v>0</v>
      </c>
      <c r="J38" s="1677"/>
      <c r="K38" s="1677"/>
      <c r="L38" s="746">
        <f t="shared" si="2"/>
        <v>0</v>
      </c>
      <c r="M38" s="536">
        <f t="shared" si="2"/>
        <v>0</v>
      </c>
      <c r="N38" s="536">
        <f t="shared" si="2"/>
        <v>0</v>
      </c>
      <c r="O38" s="1593" t="s">
        <v>1171</v>
      </c>
      <c r="P38" s="1593" t="s">
        <v>1116</v>
      </c>
      <c r="Q38" s="735">
        <f t="shared" si="1"/>
        <v>0</v>
      </c>
      <c r="R38" s="1565" t="s">
        <v>1429</v>
      </c>
      <c r="S38" s="1565" t="s">
        <v>1430</v>
      </c>
      <c r="T38" s="1565">
        <v>522</v>
      </c>
      <c r="U38" s="1606"/>
      <c r="V38" s="1606"/>
    </row>
    <row r="39" spans="1:22" ht="20.25">
      <c r="A39" s="1672"/>
      <c r="B39" s="1778" t="s">
        <v>457</v>
      </c>
      <c r="C39" s="732">
        <f t="shared" si="3"/>
        <v>23800</v>
      </c>
      <c r="D39" s="539">
        <f>SUM(D40:D44)</f>
        <v>0</v>
      </c>
      <c r="E39" s="539">
        <f>SUM(E40:E44)</f>
        <v>23800</v>
      </c>
      <c r="F39" s="732">
        <f t="shared" si="5"/>
        <v>23800</v>
      </c>
      <c r="G39" s="539">
        <f>SUM(G40:G44)</f>
        <v>0</v>
      </c>
      <c r="H39" s="539">
        <f>SUM(H40:H44)</f>
        <v>23800</v>
      </c>
      <c r="I39" s="814">
        <f t="shared" si="4"/>
        <v>0</v>
      </c>
      <c r="J39" s="539">
        <f>SUM(J40:J44)</f>
        <v>0</v>
      </c>
      <c r="K39" s="539">
        <f>SUM(K40:K44)</f>
        <v>0</v>
      </c>
      <c r="L39" s="746">
        <f t="shared" si="2"/>
        <v>0</v>
      </c>
      <c r="M39" s="536">
        <f t="shared" si="2"/>
        <v>0</v>
      </c>
      <c r="N39" s="536">
        <f t="shared" si="2"/>
        <v>0</v>
      </c>
      <c r="O39" s="1593" t="s">
        <v>353</v>
      </c>
      <c r="P39" s="1593" t="s">
        <v>353</v>
      </c>
      <c r="Q39" s="735">
        <f t="shared" si="1"/>
        <v>0</v>
      </c>
      <c r="R39" s="1565" t="s">
        <v>1429</v>
      </c>
      <c r="S39" s="1565" t="s">
        <v>1430</v>
      </c>
      <c r="T39" s="1565">
        <v>522</v>
      </c>
    </row>
    <row r="40" spans="1:22" ht="84" customHeight="1">
      <c r="A40" s="1672" t="s">
        <v>100</v>
      </c>
      <c r="B40" s="1732" t="s">
        <v>1419</v>
      </c>
      <c r="C40" s="732">
        <f t="shared" si="3"/>
        <v>7000</v>
      </c>
      <c r="D40" s="1676"/>
      <c r="E40" s="1676">
        <v>7000</v>
      </c>
      <c r="F40" s="732">
        <f t="shared" si="5"/>
        <v>7000</v>
      </c>
      <c r="G40" s="1676"/>
      <c r="H40" s="1676">
        <v>7000</v>
      </c>
      <c r="I40" s="534">
        <f t="shared" si="4"/>
        <v>0</v>
      </c>
      <c r="J40" s="698"/>
      <c r="K40" s="698"/>
      <c r="L40" s="746">
        <f t="shared" si="2"/>
        <v>0</v>
      </c>
      <c r="M40" s="536">
        <f t="shared" si="2"/>
        <v>0</v>
      </c>
      <c r="N40" s="536">
        <f t="shared" si="2"/>
        <v>0</v>
      </c>
      <c r="O40" s="1593" t="s">
        <v>1171</v>
      </c>
      <c r="P40" s="1592" t="s">
        <v>1137</v>
      </c>
      <c r="Q40" s="735">
        <f t="shared" si="1"/>
        <v>0</v>
      </c>
      <c r="R40" s="1565" t="s">
        <v>1429</v>
      </c>
      <c r="S40" s="1565" t="s">
        <v>1430</v>
      </c>
      <c r="T40" s="1565">
        <v>522</v>
      </c>
    </row>
    <row r="41" spans="1:22" ht="105.75" customHeight="1">
      <c r="A41" s="1672" t="s">
        <v>101</v>
      </c>
      <c r="B41" s="1732" t="s">
        <v>1417</v>
      </c>
      <c r="C41" s="732">
        <f t="shared" si="3"/>
        <v>7000</v>
      </c>
      <c r="D41" s="1676"/>
      <c r="E41" s="1676">
        <v>7000</v>
      </c>
      <c r="F41" s="732">
        <f t="shared" si="5"/>
        <v>7000</v>
      </c>
      <c r="G41" s="1676"/>
      <c r="H41" s="1676">
        <v>7000</v>
      </c>
      <c r="I41" s="534">
        <f t="shared" si="4"/>
        <v>0</v>
      </c>
      <c r="J41" s="698"/>
      <c r="K41" s="698"/>
      <c r="L41" s="746">
        <f t="shared" si="2"/>
        <v>0</v>
      </c>
      <c r="M41" s="536">
        <f t="shared" si="2"/>
        <v>0</v>
      </c>
      <c r="N41" s="536">
        <f t="shared" si="2"/>
        <v>0</v>
      </c>
      <c r="O41" s="1593" t="s">
        <v>1171</v>
      </c>
      <c r="P41" s="1592" t="s">
        <v>1137</v>
      </c>
      <c r="Q41" s="735">
        <f t="shared" si="1"/>
        <v>0</v>
      </c>
      <c r="R41" s="1565" t="s">
        <v>1429</v>
      </c>
      <c r="S41" s="1565" t="s">
        <v>1430</v>
      </c>
      <c r="T41" s="1565">
        <v>522</v>
      </c>
    </row>
    <row r="42" spans="1:22" ht="105.75" customHeight="1">
      <c r="A42" s="1672" t="s">
        <v>102</v>
      </c>
      <c r="B42" s="1732" t="s">
        <v>1418</v>
      </c>
      <c r="C42" s="732">
        <f t="shared" si="3"/>
        <v>2100</v>
      </c>
      <c r="D42" s="1676"/>
      <c r="E42" s="1676">
        <v>2100</v>
      </c>
      <c r="F42" s="732">
        <f t="shared" si="5"/>
        <v>2100</v>
      </c>
      <c r="G42" s="1676"/>
      <c r="H42" s="1676">
        <v>2100</v>
      </c>
      <c r="I42" s="534">
        <f t="shared" si="4"/>
        <v>0</v>
      </c>
      <c r="J42" s="698"/>
      <c r="K42" s="698"/>
      <c r="L42" s="746">
        <f t="shared" si="2"/>
        <v>0</v>
      </c>
      <c r="M42" s="536">
        <f t="shared" si="2"/>
        <v>0</v>
      </c>
      <c r="N42" s="536">
        <f t="shared" si="2"/>
        <v>0</v>
      </c>
      <c r="O42" s="1593" t="s">
        <v>1171</v>
      </c>
      <c r="P42" s="1592" t="s">
        <v>1137</v>
      </c>
      <c r="Q42" s="735">
        <f t="shared" si="1"/>
        <v>0</v>
      </c>
      <c r="R42" s="1565" t="s">
        <v>1429</v>
      </c>
      <c r="S42" s="1565" t="s">
        <v>1430</v>
      </c>
      <c r="T42" s="1565">
        <v>522</v>
      </c>
    </row>
    <row r="43" spans="1:22" ht="134.25" customHeight="1">
      <c r="A43" s="1672" t="s">
        <v>103</v>
      </c>
      <c r="B43" s="1771" t="s">
        <v>1415</v>
      </c>
      <c r="C43" s="732">
        <f t="shared" si="3"/>
        <v>4480</v>
      </c>
      <c r="D43" s="1676"/>
      <c r="E43" s="1676">
        <v>4480</v>
      </c>
      <c r="F43" s="732">
        <f t="shared" si="5"/>
        <v>4480</v>
      </c>
      <c r="G43" s="1676"/>
      <c r="H43" s="1676">
        <v>4480</v>
      </c>
      <c r="I43" s="534">
        <f t="shared" si="4"/>
        <v>0</v>
      </c>
      <c r="J43" s="698"/>
      <c r="K43" s="698"/>
      <c r="L43" s="746">
        <f t="shared" si="2"/>
        <v>0</v>
      </c>
      <c r="M43" s="536">
        <f t="shared" si="2"/>
        <v>0</v>
      </c>
      <c r="N43" s="536">
        <f t="shared" si="2"/>
        <v>0</v>
      </c>
      <c r="O43" s="1593" t="s">
        <v>1171</v>
      </c>
      <c r="P43" s="2550" t="s">
        <v>1138</v>
      </c>
      <c r="Q43" s="735">
        <f t="shared" si="1"/>
        <v>0</v>
      </c>
      <c r="R43" s="1565" t="s">
        <v>1428</v>
      </c>
      <c r="S43" s="1565" t="s">
        <v>1433</v>
      </c>
      <c r="T43" s="1565">
        <v>522</v>
      </c>
    </row>
    <row r="44" spans="1:22" ht="134.25" customHeight="1">
      <c r="A44" s="1672" t="s">
        <v>107</v>
      </c>
      <c r="B44" s="1771" t="s">
        <v>1416</v>
      </c>
      <c r="C44" s="732">
        <f t="shared" si="3"/>
        <v>3220</v>
      </c>
      <c r="D44" s="1676"/>
      <c r="E44" s="1676">
        <v>3220</v>
      </c>
      <c r="F44" s="732">
        <f t="shared" si="5"/>
        <v>3220</v>
      </c>
      <c r="G44" s="1676"/>
      <c r="H44" s="1676">
        <v>3220</v>
      </c>
      <c r="I44" s="534">
        <f t="shared" si="4"/>
        <v>0</v>
      </c>
      <c r="J44" s="698"/>
      <c r="K44" s="698"/>
      <c r="L44" s="746">
        <f t="shared" si="2"/>
        <v>0</v>
      </c>
      <c r="M44" s="536">
        <f t="shared" si="2"/>
        <v>0</v>
      </c>
      <c r="N44" s="536">
        <f t="shared" si="2"/>
        <v>0</v>
      </c>
      <c r="O44" s="1593" t="s">
        <v>1171</v>
      </c>
      <c r="P44" s="2550"/>
      <c r="Q44" s="735">
        <f t="shared" si="1"/>
        <v>0</v>
      </c>
      <c r="R44" s="1565" t="s">
        <v>1428</v>
      </c>
      <c r="S44" s="1565" t="s">
        <v>1433</v>
      </c>
      <c r="T44" s="1565">
        <v>522</v>
      </c>
    </row>
    <row r="45" spans="1:22" s="1607" customFormat="1" ht="20.25">
      <c r="A45" s="1672"/>
      <c r="B45" s="1778" t="s">
        <v>1400</v>
      </c>
      <c r="C45" s="732">
        <f t="shared" si="3"/>
        <v>27093.599999999999</v>
      </c>
      <c r="D45" s="1674">
        <f>SUM(D46:D48)</f>
        <v>0</v>
      </c>
      <c r="E45" s="1674">
        <f>SUM(E46:E48)</f>
        <v>27093.599999999999</v>
      </c>
      <c r="F45" s="732">
        <f t="shared" si="5"/>
        <v>27093.599999999999</v>
      </c>
      <c r="G45" s="1674">
        <f>SUM(G46:G48)</f>
        <v>0</v>
      </c>
      <c r="H45" s="1674">
        <f>SUM(H46:H48)</f>
        <v>27093.599999999999</v>
      </c>
      <c r="I45" s="814">
        <f t="shared" si="4"/>
        <v>0</v>
      </c>
      <c r="J45" s="539">
        <f>SUM(J46:J48)</f>
        <v>0</v>
      </c>
      <c r="K45" s="539">
        <f>SUM(K46:K48)</f>
        <v>0</v>
      </c>
      <c r="L45" s="746">
        <f t="shared" si="2"/>
        <v>0</v>
      </c>
      <c r="M45" s="536">
        <f t="shared" si="2"/>
        <v>0</v>
      </c>
      <c r="N45" s="536">
        <f t="shared" si="2"/>
        <v>0</v>
      </c>
      <c r="O45" s="1593" t="s">
        <v>353</v>
      </c>
      <c r="P45" s="1593" t="s">
        <v>353</v>
      </c>
      <c r="Q45" s="735">
        <f t="shared" si="1"/>
        <v>0</v>
      </c>
      <c r="R45" s="1565"/>
      <c r="S45" s="1565"/>
      <c r="T45" s="1605"/>
      <c r="U45" s="1606"/>
      <c r="V45" s="1606"/>
    </row>
    <row r="46" spans="1:22" s="1607" customFormat="1" ht="44.25" customHeight="1">
      <c r="A46" s="1672" t="s">
        <v>108</v>
      </c>
      <c r="B46" s="1675" t="s">
        <v>1398</v>
      </c>
      <c r="C46" s="732">
        <f t="shared" si="3"/>
        <v>7000</v>
      </c>
      <c r="D46" s="1676"/>
      <c r="E46" s="1676">
        <v>7000</v>
      </c>
      <c r="F46" s="732">
        <f t="shared" si="5"/>
        <v>7000</v>
      </c>
      <c r="G46" s="1676"/>
      <c r="H46" s="1676">
        <v>7000</v>
      </c>
      <c r="I46" s="814">
        <f t="shared" si="4"/>
        <v>0</v>
      </c>
      <c r="J46" s="1677"/>
      <c r="K46" s="1677"/>
      <c r="L46" s="746">
        <f t="shared" si="2"/>
        <v>0</v>
      </c>
      <c r="M46" s="536">
        <f t="shared" si="2"/>
        <v>0</v>
      </c>
      <c r="N46" s="536">
        <f t="shared" si="2"/>
        <v>0</v>
      </c>
      <c r="O46" s="1593" t="s">
        <v>1171</v>
      </c>
      <c r="P46" s="1593" t="s">
        <v>1116</v>
      </c>
      <c r="Q46" s="735">
        <f t="shared" si="1"/>
        <v>0</v>
      </c>
      <c r="R46" s="1565" t="s">
        <v>1429</v>
      </c>
      <c r="S46" s="1565" t="s">
        <v>1430</v>
      </c>
      <c r="T46" s="1565">
        <v>522</v>
      </c>
      <c r="U46" s="1606"/>
      <c r="V46" s="1606"/>
    </row>
    <row r="47" spans="1:22" s="1607" customFormat="1" ht="53.25" customHeight="1">
      <c r="A47" s="1672" t="s">
        <v>109</v>
      </c>
      <c r="B47" s="1675" t="s">
        <v>1413</v>
      </c>
      <c r="C47" s="732">
        <f t="shared" si="3"/>
        <v>6338.1</v>
      </c>
      <c r="D47" s="1676"/>
      <c r="E47" s="701">
        <v>6338.1</v>
      </c>
      <c r="F47" s="732">
        <f t="shared" si="5"/>
        <v>6338.1</v>
      </c>
      <c r="G47" s="1676"/>
      <c r="H47" s="701">
        <v>6338.1</v>
      </c>
      <c r="I47" s="814">
        <f t="shared" si="4"/>
        <v>0</v>
      </c>
      <c r="J47" s="1677"/>
      <c r="K47" s="1677"/>
      <c r="L47" s="746">
        <f t="shared" si="2"/>
        <v>0</v>
      </c>
      <c r="M47" s="536">
        <f t="shared" si="2"/>
        <v>0</v>
      </c>
      <c r="N47" s="536">
        <f t="shared" si="2"/>
        <v>0</v>
      </c>
      <c r="O47" s="1593" t="s">
        <v>1171</v>
      </c>
      <c r="P47" s="1593" t="s">
        <v>1116</v>
      </c>
      <c r="Q47" s="735">
        <f t="shared" si="1"/>
        <v>0</v>
      </c>
      <c r="R47" s="1565" t="s">
        <v>1429</v>
      </c>
      <c r="S47" s="1565" t="s">
        <v>1430</v>
      </c>
      <c r="T47" s="1565">
        <v>522</v>
      </c>
      <c r="U47" s="1606"/>
      <c r="V47" s="1606"/>
    </row>
    <row r="48" spans="1:22" s="1607" customFormat="1" ht="52.5" customHeight="1">
      <c r="A48" s="1672" t="s">
        <v>117</v>
      </c>
      <c r="B48" s="1768" t="s">
        <v>1414</v>
      </c>
      <c r="C48" s="732">
        <f t="shared" si="3"/>
        <v>13755.5</v>
      </c>
      <c r="D48" s="1676"/>
      <c r="E48" s="701">
        <v>13755.5</v>
      </c>
      <c r="F48" s="732">
        <f t="shared" si="5"/>
        <v>13755.5</v>
      </c>
      <c r="G48" s="1676"/>
      <c r="H48" s="701">
        <v>13755.5</v>
      </c>
      <c r="I48" s="814">
        <f t="shared" si="4"/>
        <v>0</v>
      </c>
      <c r="J48" s="1677"/>
      <c r="K48" s="1677"/>
      <c r="L48" s="746">
        <f t="shared" si="2"/>
        <v>0</v>
      </c>
      <c r="M48" s="536">
        <f t="shared" si="2"/>
        <v>0</v>
      </c>
      <c r="N48" s="536">
        <f t="shared" si="2"/>
        <v>0</v>
      </c>
      <c r="O48" s="1593" t="s">
        <v>1171</v>
      </c>
      <c r="P48" s="1593" t="s">
        <v>1116</v>
      </c>
      <c r="Q48" s="735">
        <f t="shared" si="1"/>
        <v>0</v>
      </c>
      <c r="R48" s="1565" t="s">
        <v>1429</v>
      </c>
      <c r="S48" s="1565" t="s">
        <v>1430</v>
      </c>
      <c r="T48" s="1565">
        <v>522</v>
      </c>
      <c r="U48" s="1606"/>
      <c r="V48" s="1606"/>
    </row>
    <row r="49" spans="1:22" ht="31.5" customHeight="1">
      <c r="A49" s="1667" t="s">
        <v>254</v>
      </c>
      <c r="B49" s="1668" t="s">
        <v>1394</v>
      </c>
      <c r="C49" s="1669">
        <f t="shared" si="3"/>
        <v>1017570.4</v>
      </c>
      <c r="D49" s="1685">
        <f>SUM(D50)</f>
        <v>999116.3</v>
      </c>
      <c r="E49" s="1685">
        <f>SUM(E50)</f>
        <v>18454.099999999999</v>
      </c>
      <c r="F49" s="1669">
        <f t="shared" si="5"/>
        <v>1017570.4</v>
      </c>
      <c r="G49" s="1685">
        <f>SUM(G50)</f>
        <v>999116.3</v>
      </c>
      <c r="H49" s="1685">
        <f>SUM(H50)</f>
        <v>18454.099999999999</v>
      </c>
      <c r="I49" s="1669">
        <f t="shared" si="4"/>
        <v>0</v>
      </c>
      <c r="J49" s="1669">
        <f>SUM(J50)</f>
        <v>0</v>
      </c>
      <c r="K49" s="1669">
        <f>SUM(K50)</f>
        <v>0</v>
      </c>
      <c r="L49" s="1670">
        <f t="shared" si="2"/>
        <v>0</v>
      </c>
      <c r="M49" s="1671">
        <f t="shared" si="2"/>
        <v>0</v>
      </c>
      <c r="N49" s="1671">
        <f t="shared" si="2"/>
        <v>0</v>
      </c>
      <c r="O49" s="1599" t="s">
        <v>353</v>
      </c>
      <c r="P49" s="1599" t="s">
        <v>353</v>
      </c>
      <c r="Q49" s="735">
        <f t="shared" si="1"/>
        <v>0</v>
      </c>
    </row>
    <row r="50" spans="1:22" ht="42" customHeight="1">
      <c r="A50" s="1686" t="s">
        <v>1519</v>
      </c>
      <c r="B50" s="1687" t="s">
        <v>1395</v>
      </c>
      <c r="C50" s="1688">
        <f t="shared" ref="C50:C59" si="6">SUM(D50:E50)</f>
        <v>1017570.4</v>
      </c>
      <c r="D50" s="1688">
        <f>SUM(D51,D54)</f>
        <v>999116.3</v>
      </c>
      <c r="E50" s="1688">
        <f>SUM(E51,E54)</f>
        <v>18454.099999999999</v>
      </c>
      <c r="F50" s="1688">
        <f t="shared" ref="F50:F59" si="7">SUM(G50:H50)</f>
        <v>1017570.4</v>
      </c>
      <c r="G50" s="1688">
        <f>SUM(G51,G54)</f>
        <v>999116.3</v>
      </c>
      <c r="H50" s="1688">
        <f>SUM(H51,H54)</f>
        <v>18454.099999999999</v>
      </c>
      <c r="I50" s="1688">
        <f t="shared" ref="I50:I59" si="8">SUM(J50:K50)</f>
        <v>0</v>
      </c>
      <c r="J50" s="1688">
        <f>SUM(J51,J54)</f>
        <v>0</v>
      </c>
      <c r="K50" s="1688">
        <f>SUM(K51,K54)</f>
        <v>0</v>
      </c>
      <c r="L50" s="1689">
        <f t="shared" si="2"/>
        <v>0</v>
      </c>
      <c r="M50" s="1690">
        <f t="shared" si="2"/>
        <v>0</v>
      </c>
      <c r="N50" s="1690">
        <f t="shared" si="2"/>
        <v>0</v>
      </c>
      <c r="O50" s="1599"/>
      <c r="P50" s="1599"/>
      <c r="Q50" s="735"/>
      <c r="R50" s="1618"/>
      <c r="S50" s="1618"/>
      <c r="T50" s="1618"/>
    </row>
    <row r="51" spans="1:22" ht="31.5" customHeight="1">
      <c r="A51" s="1686"/>
      <c r="B51" s="1687" t="s">
        <v>1396</v>
      </c>
      <c r="C51" s="1688">
        <f t="shared" si="6"/>
        <v>110087.9</v>
      </c>
      <c r="D51" s="1688">
        <f>D52</f>
        <v>100722.4</v>
      </c>
      <c r="E51" s="1688">
        <f>E52</f>
        <v>9365.5</v>
      </c>
      <c r="F51" s="1688">
        <f t="shared" si="7"/>
        <v>110087.9</v>
      </c>
      <c r="G51" s="1688">
        <f>G52</f>
        <v>100722.4</v>
      </c>
      <c r="H51" s="1688">
        <f>H52</f>
        <v>9365.5</v>
      </c>
      <c r="I51" s="1688">
        <f t="shared" si="8"/>
        <v>0</v>
      </c>
      <c r="J51" s="1688">
        <f>J52</f>
        <v>0</v>
      </c>
      <c r="K51" s="1688">
        <f>K52</f>
        <v>0</v>
      </c>
      <c r="L51" s="1689">
        <f t="shared" si="2"/>
        <v>0</v>
      </c>
      <c r="M51" s="1690">
        <f t="shared" si="2"/>
        <v>0</v>
      </c>
      <c r="N51" s="1690">
        <f t="shared" si="2"/>
        <v>0</v>
      </c>
      <c r="O51" s="1599"/>
      <c r="P51" s="1599"/>
      <c r="Q51" s="735"/>
    </row>
    <row r="52" spans="1:22" ht="20.25">
      <c r="A52" s="1672"/>
      <c r="B52" s="1778" t="s">
        <v>457</v>
      </c>
      <c r="C52" s="732">
        <f t="shared" si="6"/>
        <v>110087.9</v>
      </c>
      <c r="D52" s="539">
        <f>SUM(D53)</f>
        <v>100722.4</v>
      </c>
      <c r="E52" s="539">
        <f>SUM(E53)</f>
        <v>9365.5</v>
      </c>
      <c r="F52" s="732">
        <f t="shared" si="7"/>
        <v>110087.9</v>
      </c>
      <c r="G52" s="539">
        <f>SUM(G53)</f>
        <v>100722.4</v>
      </c>
      <c r="H52" s="539">
        <f>SUM(H53)</f>
        <v>9365.5</v>
      </c>
      <c r="I52" s="732">
        <f t="shared" si="8"/>
        <v>0</v>
      </c>
      <c r="J52" s="539">
        <f>SUM(J53)</f>
        <v>0</v>
      </c>
      <c r="K52" s="539">
        <f>SUM(K53)</f>
        <v>0</v>
      </c>
      <c r="L52" s="746">
        <f t="shared" si="2"/>
        <v>0</v>
      </c>
      <c r="M52" s="536">
        <f t="shared" si="2"/>
        <v>0</v>
      </c>
      <c r="N52" s="536">
        <f t="shared" si="2"/>
        <v>0</v>
      </c>
      <c r="O52" s="1593" t="s">
        <v>353</v>
      </c>
      <c r="P52" s="1593" t="s">
        <v>353</v>
      </c>
      <c r="Q52" s="735">
        <f>C52-F52</f>
        <v>0</v>
      </c>
      <c r="R52" s="1565" t="s">
        <v>1429</v>
      </c>
      <c r="S52" s="1565" t="s">
        <v>1430</v>
      </c>
      <c r="T52" s="1565">
        <v>522</v>
      </c>
    </row>
    <row r="53" spans="1:22" s="484" customFormat="1" ht="69" customHeight="1">
      <c r="A53" s="1672" t="s">
        <v>118</v>
      </c>
      <c r="B53" s="1691" t="s">
        <v>1392</v>
      </c>
      <c r="C53" s="732">
        <f t="shared" si="6"/>
        <v>110087.9</v>
      </c>
      <c r="D53" s="854">
        <v>100722.4</v>
      </c>
      <c r="E53" s="854">
        <v>9365.5</v>
      </c>
      <c r="F53" s="732">
        <f t="shared" si="7"/>
        <v>110087.9</v>
      </c>
      <c r="G53" s="854">
        <v>100722.4</v>
      </c>
      <c r="H53" s="854">
        <v>9365.5</v>
      </c>
      <c r="I53" s="732">
        <f t="shared" si="8"/>
        <v>0</v>
      </c>
      <c r="J53" s="802"/>
      <c r="K53" s="802"/>
      <c r="L53" s="733">
        <f t="shared" si="2"/>
        <v>0</v>
      </c>
      <c r="M53" s="734">
        <f t="shared" si="2"/>
        <v>0</v>
      </c>
      <c r="N53" s="734">
        <f t="shared" si="2"/>
        <v>0</v>
      </c>
      <c r="O53" s="1593" t="s">
        <v>1171</v>
      </c>
      <c r="P53" s="1593" t="s">
        <v>1107</v>
      </c>
      <c r="Q53" s="735">
        <f>C53-F53</f>
        <v>0</v>
      </c>
      <c r="R53" s="1565" t="s">
        <v>1428</v>
      </c>
      <c r="S53" s="1565" t="s">
        <v>1432</v>
      </c>
      <c r="T53" s="1605">
        <v>522</v>
      </c>
      <c r="U53" s="1606"/>
      <c r="V53" s="1606"/>
    </row>
    <row r="54" spans="1:22" ht="32.25" customHeight="1">
      <c r="A54" s="1686"/>
      <c r="B54" s="1687" t="s">
        <v>1410</v>
      </c>
      <c r="C54" s="1688">
        <f t="shared" si="6"/>
        <v>907482.5</v>
      </c>
      <c r="D54" s="1761">
        <f>SUM(D55)</f>
        <v>898393.9</v>
      </c>
      <c r="E54" s="1761">
        <f>SUM(E55)</f>
        <v>9088.6</v>
      </c>
      <c r="F54" s="1688">
        <f t="shared" si="7"/>
        <v>907482.5</v>
      </c>
      <c r="G54" s="1761">
        <f>SUM(G55)</f>
        <v>898393.9</v>
      </c>
      <c r="H54" s="1761">
        <f>SUM(H55)</f>
        <v>9088.6</v>
      </c>
      <c r="I54" s="1688">
        <f t="shared" si="8"/>
        <v>0</v>
      </c>
      <c r="J54" s="1761">
        <f>SUM(J55)</f>
        <v>0</v>
      </c>
      <c r="K54" s="1761">
        <f>SUM(K55)</f>
        <v>0</v>
      </c>
      <c r="L54" s="1689">
        <f t="shared" si="2"/>
        <v>0</v>
      </c>
      <c r="M54" s="1690">
        <f t="shared" si="2"/>
        <v>0</v>
      </c>
      <c r="N54" s="1690">
        <f t="shared" si="2"/>
        <v>0</v>
      </c>
      <c r="O54" s="1599"/>
      <c r="P54" s="1599"/>
      <c r="Q54" s="735"/>
    </row>
    <row r="55" spans="1:22" s="484" customFormat="1" ht="156" customHeight="1">
      <c r="A55" s="1672" t="s">
        <v>154</v>
      </c>
      <c r="B55" s="1691" t="s">
        <v>1412</v>
      </c>
      <c r="C55" s="732">
        <f t="shared" si="6"/>
        <v>907482.5</v>
      </c>
      <c r="D55" s="854">
        <v>898393.9</v>
      </c>
      <c r="E55" s="854">
        <v>9088.6</v>
      </c>
      <c r="F55" s="732">
        <f t="shared" si="7"/>
        <v>907482.5</v>
      </c>
      <c r="G55" s="854">
        <v>898393.9</v>
      </c>
      <c r="H55" s="854">
        <v>9088.6</v>
      </c>
      <c r="I55" s="732">
        <f t="shared" si="8"/>
        <v>0</v>
      </c>
      <c r="J55" s="802"/>
      <c r="K55" s="802"/>
      <c r="L55" s="733">
        <f t="shared" si="2"/>
        <v>0</v>
      </c>
      <c r="M55" s="734">
        <f t="shared" si="2"/>
        <v>0</v>
      </c>
      <c r="N55" s="734">
        <f t="shared" si="2"/>
        <v>0</v>
      </c>
      <c r="O55" s="1593" t="s">
        <v>1171</v>
      </c>
      <c r="P55" s="1593" t="s">
        <v>1107</v>
      </c>
      <c r="Q55" s="735">
        <f>C55-F55</f>
        <v>0</v>
      </c>
      <c r="R55" s="1565" t="s">
        <v>1428</v>
      </c>
      <c r="S55" s="1565" t="s">
        <v>1411</v>
      </c>
      <c r="T55" s="1605">
        <v>522</v>
      </c>
      <c r="U55" s="1606"/>
      <c r="V55" s="1606"/>
    </row>
    <row r="56" spans="1:22" ht="107.25" customHeight="1">
      <c r="A56" s="1753" t="s">
        <v>2</v>
      </c>
      <c r="B56" s="1754" t="s">
        <v>1434</v>
      </c>
      <c r="C56" s="1755">
        <f t="shared" si="6"/>
        <v>5101676.9000000004</v>
      </c>
      <c r="D56" s="1755">
        <f>SUM(D57,D79)</f>
        <v>3833150.5</v>
      </c>
      <c r="E56" s="1755">
        <f>SUM(E57,E79)</f>
        <v>1268526.3999999999</v>
      </c>
      <c r="F56" s="1755">
        <f t="shared" si="7"/>
        <v>5101676.9000000004</v>
      </c>
      <c r="G56" s="1755">
        <f>SUM(G57,G79)</f>
        <v>3833150.5</v>
      </c>
      <c r="H56" s="1755">
        <f>SUM(H57,H79)</f>
        <v>1268526.3999999999</v>
      </c>
      <c r="I56" s="1755">
        <f t="shared" si="8"/>
        <v>0</v>
      </c>
      <c r="J56" s="1755">
        <f>SUM(J57,J79)</f>
        <v>0</v>
      </c>
      <c r="K56" s="1755">
        <f>SUM(K57,K79)</f>
        <v>0</v>
      </c>
      <c r="L56" s="1756">
        <f t="shared" si="2"/>
        <v>0</v>
      </c>
      <c r="M56" s="1757">
        <f t="shared" si="2"/>
        <v>0</v>
      </c>
      <c r="N56" s="1757">
        <f t="shared" si="2"/>
        <v>0</v>
      </c>
      <c r="O56" s="1622" t="s">
        <v>353</v>
      </c>
      <c r="P56" s="1622" t="s">
        <v>353</v>
      </c>
      <c r="Q56" s="735">
        <f>C56-F56</f>
        <v>0</v>
      </c>
    </row>
    <row r="57" spans="1:22" ht="35.25" customHeight="1">
      <c r="A57" s="1667" t="s">
        <v>246</v>
      </c>
      <c r="B57" s="1668" t="s">
        <v>1393</v>
      </c>
      <c r="C57" s="1669">
        <f t="shared" si="6"/>
        <v>203330.9</v>
      </c>
      <c r="D57" s="1669">
        <f>D58</f>
        <v>0</v>
      </c>
      <c r="E57" s="1669">
        <f>E58</f>
        <v>203330.9</v>
      </c>
      <c r="F57" s="1669">
        <f t="shared" si="7"/>
        <v>203330.9</v>
      </c>
      <c r="G57" s="1669">
        <f>G58</f>
        <v>0</v>
      </c>
      <c r="H57" s="1669">
        <f>H58</f>
        <v>203330.9</v>
      </c>
      <c r="I57" s="1669">
        <f t="shared" si="8"/>
        <v>0</v>
      </c>
      <c r="J57" s="1669">
        <f>J58</f>
        <v>0</v>
      </c>
      <c r="K57" s="1669">
        <f>K58</f>
        <v>0</v>
      </c>
      <c r="L57" s="1670">
        <f t="shared" si="2"/>
        <v>0</v>
      </c>
      <c r="M57" s="1671">
        <f t="shared" si="2"/>
        <v>0</v>
      </c>
      <c r="N57" s="1671">
        <f t="shared" si="2"/>
        <v>0</v>
      </c>
      <c r="O57" s="1599" t="s">
        <v>353</v>
      </c>
      <c r="P57" s="1599" t="s">
        <v>353</v>
      </c>
      <c r="Q57" s="735">
        <f>C57-F57</f>
        <v>0</v>
      </c>
    </row>
    <row r="58" spans="1:22" ht="35.25" customHeight="1">
      <c r="A58" s="1686" t="s">
        <v>247</v>
      </c>
      <c r="B58" s="1687" t="s">
        <v>529</v>
      </c>
      <c r="C58" s="1688">
        <f t="shared" si="6"/>
        <v>203330.9</v>
      </c>
      <c r="D58" s="1688">
        <f>SUM(D59:D78)</f>
        <v>0</v>
      </c>
      <c r="E58" s="1688">
        <f>SUM(E59:E78)</f>
        <v>203330.9</v>
      </c>
      <c r="F58" s="1688">
        <f t="shared" si="7"/>
        <v>203330.9</v>
      </c>
      <c r="G58" s="1688">
        <f>SUM(G59:G78)</f>
        <v>0</v>
      </c>
      <c r="H58" s="1688">
        <f>SUM(H59:H78)</f>
        <v>203330.9</v>
      </c>
      <c r="I58" s="1688">
        <f t="shared" si="8"/>
        <v>0</v>
      </c>
      <c r="J58" s="1688">
        <f>SUM(J59:J78)</f>
        <v>0</v>
      </c>
      <c r="K58" s="1688">
        <f>SUM(K59:K78)</f>
        <v>0</v>
      </c>
      <c r="L58" s="1689">
        <f t="shared" si="2"/>
        <v>0</v>
      </c>
      <c r="M58" s="1690">
        <f t="shared" si="2"/>
        <v>0</v>
      </c>
      <c r="N58" s="1690">
        <f t="shared" si="2"/>
        <v>0</v>
      </c>
      <c r="O58" s="1599"/>
      <c r="P58" s="1599"/>
      <c r="Q58" s="735"/>
      <c r="R58" s="1618"/>
      <c r="S58" s="1618"/>
      <c r="T58" s="1618"/>
    </row>
    <row r="59" spans="1:22" ht="74.25" customHeight="1">
      <c r="A59" s="1672" t="s">
        <v>155</v>
      </c>
      <c r="B59" s="1768" t="s">
        <v>1443</v>
      </c>
      <c r="C59" s="732">
        <f t="shared" si="6"/>
        <v>7800</v>
      </c>
      <c r="D59" s="1676"/>
      <c r="E59" s="1676">
        <v>7800</v>
      </c>
      <c r="F59" s="732">
        <f t="shared" si="7"/>
        <v>7800</v>
      </c>
      <c r="G59" s="1676"/>
      <c r="H59" s="1676">
        <v>7800</v>
      </c>
      <c r="I59" s="814">
        <f t="shared" si="8"/>
        <v>0</v>
      </c>
      <c r="J59" s="701"/>
      <c r="K59" s="701"/>
      <c r="L59" s="746">
        <f t="shared" si="2"/>
        <v>0</v>
      </c>
      <c r="M59" s="536">
        <f t="shared" si="2"/>
        <v>0</v>
      </c>
      <c r="N59" s="536">
        <f t="shared" si="2"/>
        <v>0</v>
      </c>
      <c r="O59" s="1593" t="s">
        <v>1290</v>
      </c>
      <c r="P59" s="1593" t="s">
        <v>1240</v>
      </c>
      <c r="Q59" s="735">
        <f>C59-F59</f>
        <v>0</v>
      </c>
      <c r="R59" s="1565" t="s">
        <v>1429</v>
      </c>
      <c r="S59" s="1565">
        <v>1820190400</v>
      </c>
      <c r="T59" s="1565">
        <v>414</v>
      </c>
    </row>
    <row r="60" spans="1:22" ht="85.5" customHeight="1">
      <c r="A60" s="1672" t="s">
        <v>156</v>
      </c>
      <c r="B60" s="1768" t="s">
        <v>1444</v>
      </c>
      <c r="C60" s="732">
        <f t="shared" ref="C60:C121" si="9">SUM(D60:E60)</f>
        <v>841.2</v>
      </c>
      <c r="D60" s="1676"/>
      <c r="E60" s="1676">
        <v>841.2</v>
      </c>
      <c r="F60" s="732">
        <f t="shared" ref="F60:F68" si="10">SUM(G60:H60)</f>
        <v>841.2</v>
      </c>
      <c r="G60" s="1676"/>
      <c r="H60" s="1676">
        <v>841.2</v>
      </c>
      <c r="I60" s="814">
        <f t="shared" ref="I60:I123" si="11">SUM(J60:K60)</f>
        <v>0</v>
      </c>
      <c r="J60" s="701"/>
      <c r="K60" s="701"/>
      <c r="L60" s="746">
        <f t="shared" si="2"/>
        <v>0</v>
      </c>
      <c r="M60" s="536">
        <f t="shared" si="2"/>
        <v>0</v>
      </c>
      <c r="N60" s="536">
        <f t="shared" si="2"/>
        <v>0</v>
      </c>
      <c r="O60" s="1593" t="s">
        <v>1290</v>
      </c>
      <c r="P60" s="1593" t="s">
        <v>1240</v>
      </c>
      <c r="Q60" s="735">
        <f t="shared" ref="Q60:Q69" si="12">C60-F60</f>
        <v>0</v>
      </c>
      <c r="R60" s="1565" t="s">
        <v>1429</v>
      </c>
      <c r="S60" s="1565">
        <v>1820190400</v>
      </c>
      <c r="T60" s="1565">
        <v>414</v>
      </c>
    </row>
    <row r="61" spans="1:22" ht="48" customHeight="1">
      <c r="A61" s="1672" t="s">
        <v>122</v>
      </c>
      <c r="B61" s="1768" t="s">
        <v>1446</v>
      </c>
      <c r="C61" s="732">
        <f t="shared" si="9"/>
        <v>3420</v>
      </c>
      <c r="D61" s="1676"/>
      <c r="E61" s="1676">
        <v>3420</v>
      </c>
      <c r="F61" s="732">
        <f t="shared" si="10"/>
        <v>3420</v>
      </c>
      <c r="G61" s="1676"/>
      <c r="H61" s="1676">
        <v>3420</v>
      </c>
      <c r="I61" s="814">
        <f t="shared" si="11"/>
        <v>0</v>
      </c>
      <c r="J61" s="701"/>
      <c r="K61" s="701"/>
      <c r="L61" s="746">
        <f t="shared" si="2"/>
        <v>0</v>
      </c>
      <c r="M61" s="536">
        <f t="shared" si="2"/>
        <v>0</v>
      </c>
      <c r="N61" s="536">
        <f t="shared" si="2"/>
        <v>0</v>
      </c>
      <c r="O61" s="1593" t="s">
        <v>1290</v>
      </c>
      <c r="P61" s="1593" t="s">
        <v>1240</v>
      </c>
      <c r="Q61" s="735">
        <f t="shared" si="12"/>
        <v>0</v>
      </c>
      <c r="R61" s="1565" t="s">
        <v>1429</v>
      </c>
      <c r="S61" s="1565" t="s">
        <v>1445</v>
      </c>
      <c r="T61" s="1565">
        <v>414</v>
      </c>
    </row>
    <row r="62" spans="1:22" ht="48" customHeight="1">
      <c r="A62" s="1672" t="s">
        <v>123</v>
      </c>
      <c r="B62" s="1768" t="s">
        <v>1447</v>
      </c>
      <c r="C62" s="732">
        <f>SUM(D62:E62)</f>
        <v>2710</v>
      </c>
      <c r="D62" s="1676"/>
      <c r="E62" s="1676">
        <v>2710</v>
      </c>
      <c r="F62" s="732">
        <f t="shared" si="10"/>
        <v>2710</v>
      </c>
      <c r="G62" s="1676"/>
      <c r="H62" s="1676">
        <v>2710</v>
      </c>
      <c r="I62" s="814">
        <f>SUM(J62:K62)</f>
        <v>0</v>
      </c>
      <c r="J62" s="701"/>
      <c r="K62" s="701"/>
      <c r="L62" s="746">
        <f t="shared" si="2"/>
        <v>0</v>
      </c>
      <c r="M62" s="536">
        <f t="shared" si="2"/>
        <v>0</v>
      </c>
      <c r="N62" s="536">
        <f t="shared" si="2"/>
        <v>0</v>
      </c>
      <c r="O62" s="1593" t="s">
        <v>1290</v>
      </c>
      <c r="P62" s="1593" t="s">
        <v>1240</v>
      </c>
      <c r="Q62" s="735">
        <f>C62-F62</f>
        <v>0</v>
      </c>
      <c r="R62" s="1565" t="s">
        <v>1429</v>
      </c>
      <c r="S62" s="1565" t="s">
        <v>1445</v>
      </c>
      <c r="T62" s="1565">
        <v>414</v>
      </c>
    </row>
    <row r="63" spans="1:22" ht="48" customHeight="1">
      <c r="A63" s="1672" t="s">
        <v>124</v>
      </c>
      <c r="B63" s="1768" t="s">
        <v>1448</v>
      </c>
      <c r="C63" s="732">
        <f t="shared" si="9"/>
        <v>2930</v>
      </c>
      <c r="D63" s="1676"/>
      <c r="E63" s="1676">
        <v>2930</v>
      </c>
      <c r="F63" s="732">
        <f t="shared" si="10"/>
        <v>2930</v>
      </c>
      <c r="G63" s="1676"/>
      <c r="H63" s="1676">
        <v>2930</v>
      </c>
      <c r="I63" s="814">
        <f t="shared" si="11"/>
        <v>0</v>
      </c>
      <c r="J63" s="701"/>
      <c r="K63" s="701"/>
      <c r="L63" s="746">
        <f t="shared" si="2"/>
        <v>0</v>
      </c>
      <c r="M63" s="536">
        <f t="shared" si="2"/>
        <v>0</v>
      </c>
      <c r="N63" s="536">
        <f t="shared" si="2"/>
        <v>0</v>
      </c>
      <c r="O63" s="1593" t="s">
        <v>1290</v>
      </c>
      <c r="P63" s="1593" t="s">
        <v>1240</v>
      </c>
      <c r="Q63" s="735">
        <f t="shared" si="12"/>
        <v>0</v>
      </c>
      <c r="R63" s="1565" t="s">
        <v>1429</v>
      </c>
      <c r="S63" s="1565" t="s">
        <v>1445</v>
      </c>
      <c r="T63" s="1565">
        <v>414</v>
      </c>
    </row>
    <row r="64" spans="1:22" ht="48" customHeight="1">
      <c r="A64" s="1672" t="s">
        <v>125</v>
      </c>
      <c r="B64" s="1768" t="s">
        <v>1449</v>
      </c>
      <c r="C64" s="732">
        <f t="shared" si="9"/>
        <v>5180</v>
      </c>
      <c r="D64" s="1676"/>
      <c r="E64" s="1676">
        <v>5180</v>
      </c>
      <c r="F64" s="732">
        <f t="shared" si="10"/>
        <v>5180</v>
      </c>
      <c r="G64" s="1676"/>
      <c r="H64" s="1676">
        <v>5180</v>
      </c>
      <c r="I64" s="814">
        <f t="shared" si="11"/>
        <v>0</v>
      </c>
      <c r="J64" s="701"/>
      <c r="K64" s="701"/>
      <c r="L64" s="746">
        <f t="shared" si="2"/>
        <v>0</v>
      </c>
      <c r="M64" s="536">
        <f t="shared" si="2"/>
        <v>0</v>
      </c>
      <c r="N64" s="536">
        <f t="shared" si="2"/>
        <v>0</v>
      </c>
      <c r="O64" s="1593" t="s">
        <v>1290</v>
      </c>
      <c r="P64" s="1593" t="s">
        <v>1240</v>
      </c>
      <c r="Q64" s="735">
        <f t="shared" si="12"/>
        <v>0</v>
      </c>
      <c r="R64" s="1565" t="s">
        <v>1429</v>
      </c>
      <c r="S64" s="1565" t="s">
        <v>1445</v>
      </c>
      <c r="T64" s="1565">
        <v>414</v>
      </c>
    </row>
    <row r="65" spans="1:22" ht="48" customHeight="1">
      <c r="A65" s="1672" t="s">
        <v>126</v>
      </c>
      <c r="B65" s="1768" t="s">
        <v>1450</v>
      </c>
      <c r="C65" s="732">
        <f>SUM(D65:E65)</f>
        <v>2930</v>
      </c>
      <c r="D65" s="1676"/>
      <c r="E65" s="1676">
        <v>2930</v>
      </c>
      <c r="F65" s="732">
        <f t="shared" si="10"/>
        <v>2930</v>
      </c>
      <c r="G65" s="1676"/>
      <c r="H65" s="1676">
        <v>2930</v>
      </c>
      <c r="I65" s="814">
        <f>SUM(J65:K65)</f>
        <v>0</v>
      </c>
      <c r="J65" s="701"/>
      <c r="K65" s="701"/>
      <c r="L65" s="746">
        <f t="shared" si="2"/>
        <v>0</v>
      </c>
      <c r="M65" s="536">
        <f t="shared" si="2"/>
        <v>0</v>
      </c>
      <c r="N65" s="536">
        <f t="shared" si="2"/>
        <v>0</v>
      </c>
      <c r="O65" s="1593" t="s">
        <v>1290</v>
      </c>
      <c r="P65" s="1593" t="s">
        <v>1240</v>
      </c>
      <c r="Q65" s="735">
        <f>C65-F65</f>
        <v>0</v>
      </c>
      <c r="R65" s="1565" t="s">
        <v>1429</v>
      </c>
      <c r="S65" s="1565" t="s">
        <v>1445</v>
      </c>
      <c r="T65" s="1565">
        <v>414</v>
      </c>
    </row>
    <row r="66" spans="1:22" ht="48" customHeight="1">
      <c r="A66" s="1672" t="s">
        <v>127</v>
      </c>
      <c r="B66" s="1768" t="s">
        <v>1451</v>
      </c>
      <c r="C66" s="732">
        <f>SUM(D66:E66)</f>
        <v>2090</v>
      </c>
      <c r="D66" s="1676"/>
      <c r="E66" s="1676">
        <v>2090</v>
      </c>
      <c r="F66" s="732">
        <f t="shared" si="10"/>
        <v>2090</v>
      </c>
      <c r="G66" s="1676"/>
      <c r="H66" s="1676">
        <v>2090</v>
      </c>
      <c r="I66" s="814">
        <f>SUM(J66:K66)</f>
        <v>0</v>
      </c>
      <c r="J66" s="701"/>
      <c r="K66" s="701"/>
      <c r="L66" s="746">
        <f t="shared" si="2"/>
        <v>0</v>
      </c>
      <c r="M66" s="536">
        <f t="shared" si="2"/>
        <v>0</v>
      </c>
      <c r="N66" s="536">
        <f t="shared" si="2"/>
        <v>0</v>
      </c>
      <c r="O66" s="1593" t="s">
        <v>1290</v>
      </c>
      <c r="P66" s="1593" t="s">
        <v>1240</v>
      </c>
      <c r="Q66" s="735">
        <f>C66-F66</f>
        <v>0</v>
      </c>
      <c r="R66" s="1565" t="s">
        <v>1429</v>
      </c>
      <c r="S66" s="1565" t="s">
        <v>1445</v>
      </c>
      <c r="T66" s="1565">
        <v>414</v>
      </c>
    </row>
    <row r="67" spans="1:22" ht="48" customHeight="1">
      <c r="A67" s="1672" t="s">
        <v>128</v>
      </c>
      <c r="B67" s="1768" t="s">
        <v>1452</v>
      </c>
      <c r="C67" s="732">
        <f>SUM(D67:E67)</f>
        <v>2230</v>
      </c>
      <c r="D67" s="1676"/>
      <c r="E67" s="1676">
        <v>2230</v>
      </c>
      <c r="F67" s="732">
        <f t="shared" si="10"/>
        <v>2230</v>
      </c>
      <c r="G67" s="1676"/>
      <c r="H67" s="1676">
        <v>2230</v>
      </c>
      <c r="I67" s="814">
        <f>SUM(J67:K67)</f>
        <v>0</v>
      </c>
      <c r="J67" s="701"/>
      <c r="K67" s="701"/>
      <c r="L67" s="746">
        <f t="shared" si="2"/>
        <v>0</v>
      </c>
      <c r="M67" s="536">
        <f t="shared" si="2"/>
        <v>0</v>
      </c>
      <c r="N67" s="536">
        <f t="shared" si="2"/>
        <v>0</v>
      </c>
      <c r="O67" s="1593" t="s">
        <v>1290</v>
      </c>
      <c r="P67" s="1593" t="s">
        <v>1240</v>
      </c>
      <c r="Q67" s="735">
        <f>C67-F67</f>
        <v>0</v>
      </c>
      <c r="R67" s="1565" t="s">
        <v>1429</v>
      </c>
      <c r="S67" s="1565" t="s">
        <v>1445</v>
      </c>
      <c r="T67" s="1565">
        <v>414</v>
      </c>
    </row>
    <row r="68" spans="1:22" ht="48" customHeight="1">
      <c r="A68" s="1672" t="s">
        <v>158</v>
      </c>
      <c r="B68" s="1768" t="s">
        <v>1453</v>
      </c>
      <c r="C68" s="732">
        <f>SUM(D68:E68)</f>
        <v>1650</v>
      </c>
      <c r="D68" s="1676"/>
      <c r="E68" s="1676">
        <v>1650</v>
      </c>
      <c r="F68" s="732">
        <f t="shared" si="10"/>
        <v>1650</v>
      </c>
      <c r="G68" s="1676"/>
      <c r="H68" s="1676">
        <v>1650</v>
      </c>
      <c r="I68" s="814">
        <f>SUM(J68:K68)</f>
        <v>0</v>
      </c>
      <c r="J68" s="701"/>
      <c r="K68" s="701"/>
      <c r="L68" s="746">
        <f t="shared" si="2"/>
        <v>0</v>
      </c>
      <c r="M68" s="536">
        <f t="shared" si="2"/>
        <v>0</v>
      </c>
      <c r="N68" s="536">
        <f t="shared" si="2"/>
        <v>0</v>
      </c>
      <c r="O68" s="1593" t="s">
        <v>1290</v>
      </c>
      <c r="P68" s="1593" t="s">
        <v>1240</v>
      </c>
      <c r="Q68" s="735">
        <f>C68-F68</f>
        <v>0</v>
      </c>
      <c r="R68" s="1565" t="s">
        <v>1429</v>
      </c>
      <c r="S68" s="1565" t="s">
        <v>1445</v>
      </c>
      <c r="T68" s="1565">
        <v>414</v>
      </c>
    </row>
    <row r="69" spans="1:22" ht="48" customHeight="1">
      <c r="A69" s="1672" t="s">
        <v>129</v>
      </c>
      <c r="B69" s="1768" t="s">
        <v>1454</v>
      </c>
      <c r="C69" s="732">
        <f t="shared" si="9"/>
        <v>2930</v>
      </c>
      <c r="D69" s="1676"/>
      <c r="E69" s="1676">
        <v>2930</v>
      </c>
      <c r="F69" s="732">
        <f t="shared" ref="F69:F112" si="13">SUM(G69:H69)</f>
        <v>2930</v>
      </c>
      <c r="G69" s="1676"/>
      <c r="H69" s="1676">
        <v>2930</v>
      </c>
      <c r="I69" s="814">
        <f t="shared" si="11"/>
        <v>0</v>
      </c>
      <c r="J69" s="701"/>
      <c r="K69" s="701"/>
      <c r="L69" s="746">
        <f t="shared" si="2"/>
        <v>0</v>
      </c>
      <c r="M69" s="536">
        <f t="shared" si="2"/>
        <v>0</v>
      </c>
      <c r="N69" s="536">
        <f t="shared" si="2"/>
        <v>0</v>
      </c>
      <c r="O69" s="1593" t="s">
        <v>1290</v>
      </c>
      <c r="P69" s="1593" t="s">
        <v>1240</v>
      </c>
      <c r="Q69" s="735">
        <f t="shared" si="12"/>
        <v>0</v>
      </c>
      <c r="R69" s="1565" t="s">
        <v>1429</v>
      </c>
      <c r="S69" s="1565" t="s">
        <v>1445</v>
      </c>
      <c r="T69" s="1565">
        <v>414</v>
      </c>
    </row>
    <row r="70" spans="1:22" ht="67.5" customHeight="1">
      <c r="A70" s="1672" t="s">
        <v>159</v>
      </c>
      <c r="B70" s="1770" t="s">
        <v>1456</v>
      </c>
      <c r="C70" s="732">
        <f t="shared" si="9"/>
        <v>48540.7</v>
      </c>
      <c r="D70" s="1676"/>
      <c r="E70" s="1676">
        <v>48540.7</v>
      </c>
      <c r="F70" s="732">
        <f t="shared" si="13"/>
        <v>48540.7</v>
      </c>
      <c r="G70" s="1676"/>
      <c r="H70" s="1676">
        <v>48540.7</v>
      </c>
      <c r="I70" s="814">
        <f t="shared" si="11"/>
        <v>0</v>
      </c>
      <c r="J70" s="701"/>
      <c r="K70" s="701"/>
      <c r="L70" s="746">
        <f t="shared" si="2"/>
        <v>0</v>
      </c>
      <c r="M70" s="536">
        <f t="shared" si="2"/>
        <v>0</v>
      </c>
      <c r="N70" s="536">
        <f t="shared" si="2"/>
        <v>0</v>
      </c>
      <c r="O70" s="1593" t="s">
        <v>1290</v>
      </c>
      <c r="P70" s="1593" t="s">
        <v>1240</v>
      </c>
      <c r="Q70" s="735">
        <f>C70-F70</f>
        <v>0</v>
      </c>
      <c r="R70" s="1565" t="s">
        <v>1429</v>
      </c>
      <c r="S70" s="1565" t="s">
        <v>1455</v>
      </c>
      <c r="T70" s="1565">
        <v>414</v>
      </c>
    </row>
    <row r="71" spans="1:22" ht="27.75" customHeight="1">
      <c r="A71" s="1672" t="s">
        <v>130</v>
      </c>
      <c r="B71" s="1768" t="s">
        <v>1467</v>
      </c>
      <c r="C71" s="732">
        <f t="shared" si="9"/>
        <v>3150</v>
      </c>
      <c r="D71" s="1676"/>
      <c r="E71" s="1676">
        <v>3150</v>
      </c>
      <c r="F71" s="732">
        <f t="shared" si="13"/>
        <v>3150</v>
      </c>
      <c r="G71" s="1676"/>
      <c r="H71" s="1676">
        <v>3150</v>
      </c>
      <c r="I71" s="814">
        <f t="shared" si="11"/>
        <v>0</v>
      </c>
      <c r="J71" s="701"/>
      <c r="K71" s="701"/>
      <c r="L71" s="746">
        <f t="shared" si="2"/>
        <v>0</v>
      </c>
      <c r="M71" s="536">
        <f t="shared" si="2"/>
        <v>0</v>
      </c>
      <c r="N71" s="536">
        <f t="shared" si="2"/>
        <v>0</v>
      </c>
      <c r="O71" s="1593" t="s">
        <v>1290</v>
      </c>
      <c r="P71" s="1593" t="s">
        <v>1240</v>
      </c>
      <c r="Q71" s="735">
        <f>C71-F71</f>
        <v>0</v>
      </c>
      <c r="R71" s="1565">
        <v>1102</v>
      </c>
      <c r="S71" s="1565" t="s">
        <v>1468</v>
      </c>
      <c r="T71" s="1565">
        <v>414</v>
      </c>
    </row>
    <row r="72" spans="1:22" s="1607" customFormat="1" ht="95.25" customHeight="1">
      <c r="A72" s="1672" t="s">
        <v>160</v>
      </c>
      <c r="B72" s="1700" t="s">
        <v>1523</v>
      </c>
      <c r="C72" s="732">
        <f t="shared" si="9"/>
        <v>14000</v>
      </c>
      <c r="D72" s="1676"/>
      <c r="E72" s="1676">
        <v>14000</v>
      </c>
      <c r="F72" s="732">
        <f t="shared" si="13"/>
        <v>14000</v>
      </c>
      <c r="G72" s="1676"/>
      <c r="H72" s="1676">
        <v>14000</v>
      </c>
      <c r="I72" s="814">
        <f t="shared" si="11"/>
        <v>0</v>
      </c>
      <c r="J72" s="701"/>
      <c r="K72" s="701"/>
      <c r="L72" s="746">
        <f t="shared" si="2"/>
        <v>0</v>
      </c>
      <c r="M72" s="536">
        <f t="shared" si="2"/>
        <v>0</v>
      </c>
      <c r="N72" s="536">
        <f t="shared" si="2"/>
        <v>0</v>
      </c>
      <c r="O72" s="1593" t="s">
        <v>1192</v>
      </c>
      <c r="P72" s="1593" t="s">
        <v>1203</v>
      </c>
      <c r="Q72" s="735">
        <f>C72-F72</f>
        <v>0</v>
      </c>
      <c r="R72" s="1565" t="s">
        <v>1474</v>
      </c>
      <c r="S72" s="1565" t="s">
        <v>1475</v>
      </c>
      <c r="T72" s="1605">
        <v>414</v>
      </c>
      <c r="U72" s="1606"/>
      <c r="V72" s="1606"/>
    </row>
    <row r="73" spans="1:22" s="1607" customFormat="1" ht="72" customHeight="1">
      <c r="A73" s="1672" t="s">
        <v>532</v>
      </c>
      <c r="B73" s="1700" t="s">
        <v>1485</v>
      </c>
      <c r="C73" s="732">
        <f t="shared" si="9"/>
        <v>14000</v>
      </c>
      <c r="D73" s="1676"/>
      <c r="E73" s="1676">
        <v>14000</v>
      </c>
      <c r="F73" s="732">
        <f t="shared" si="13"/>
        <v>14000</v>
      </c>
      <c r="G73" s="1676"/>
      <c r="H73" s="1676">
        <v>14000</v>
      </c>
      <c r="I73" s="814">
        <f t="shared" si="11"/>
        <v>0</v>
      </c>
      <c r="J73" s="701"/>
      <c r="K73" s="701"/>
      <c r="L73" s="746">
        <f t="shared" si="2"/>
        <v>0</v>
      </c>
      <c r="M73" s="536">
        <f t="shared" si="2"/>
        <v>0</v>
      </c>
      <c r="N73" s="536">
        <f t="shared" si="2"/>
        <v>0</v>
      </c>
      <c r="O73" s="1593" t="s">
        <v>1192</v>
      </c>
      <c r="P73" s="1593" t="s">
        <v>1203</v>
      </c>
      <c r="Q73" s="735">
        <f>C73-F73</f>
        <v>0</v>
      </c>
      <c r="R73" s="1565" t="s">
        <v>1481</v>
      </c>
      <c r="S73" s="1565" t="s">
        <v>1487</v>
      </c>
      <c r="T73" s="1605">
        <v>414</v>
      </c>
      <c r="U73" s="1606"/>
      <c r="V73" s="1606"/>
    </row>
    <row r="74" spans="1:22" s="1607" customFormat="1" ht="111" customHeight="1">
      <c r="A74" s="1672" t="s">
        <v>161</v>
      </c>
      <c r="B74" s="1701" t="s">
        <v>1486</v>
      </c>
      <c r="C74" s="732">
        <f t="shared" si="9"/>
        <v>38500</v>
      </c>
      <c r="D74" s="1676"/>
      <c r="E74" s="1676">
        <v>38500</v>
      </c>
      <c r="F74" s="732">
        <f t="shared" si="13"/>
        <v>38500</v>
      </c>
      <c r="G74" s="1676"/>
      <c r="H74" s="1676">
        <v>38500</v>
      </c>
      <c r="I74" s="814">
        <f t="shared" si="11"/>
        <v>0</v>
      </c>
      <c r="J74" s="701"/>
      <c r="K74" s="701"/>
      <c r="L74" s="746">
        <f t="shared" si="2"/>
        <v>0</v>
      </c>
      <c r="M74" s="536">
        <f t="shared" si="2"/>
        <v>0</v>
      </c>
      <c r="N74" s="536">
        <f t="shared" si="2"/>
        <v>0</v>
      </c>
      <c r="O74" s="1593" t="s">
        <v>1192</v>
      </c>
      <c r="P74" s="1593" t="s">
        <v>1204</v>
      </c>
      <c r="Q74" s="735">
        <f>C74-F74</f>
        <v>0</v>
      </c>
      <c r="R74" s="1565" t="s">
        <v>1481</v>
      </c>
      <c r="S74" s="1565" t="s">
        <v>1487</v>
      </c>
      <c r="T74" s="1605">
        <v>414</v>
      </c>
      <c r="U74" s="1606"/>
      <c r="V74" s="1606"/>
    </row>
    <row r="75" spans="1:22" s="1607" customFormat="1" ht="73.5" customHeight="1">
      <c r="A75" s="1672" t="s">
        <v>536</v>
      </c>
      <c r="B75" s="1770" t="s">
        <v>455</v>
      </c>
      <c r="C75" s="732">
        <f t="shared" si="9"/>
        <v>11287.5</v>
      </c>
      <c r="D75" s="854"/>
      <c r="E75" s="854">
        <v>11287.5</v>
      </c>
      <c r="F75" s="732">
        <f t="shared" si="13"/>
        <v>11287.5</v>
      </c>
      <c r="G75" s="854"/>
      <c r="H75" s="854">
        <v>11287.5</v>
      </c>
      <c r="I75" s="814">
        <f t="shared" si="11"/>
        <v>0</v>
      </c>
      <c r="J75" s="1677"/>
      <c r="K75" s="1677"/>
      <c r="L75" s="746">
        <f t="shared" si="2"/>
        <v>0</v>
      </c>
      <c r="M75" s="536">
        <f t="shared" si="2"/>
        <v>0</v>
      </c>
      <c r="N75" s="536">
        <f t="shared" si="2"/>
        <v>0</v>
      </c>
      <c r="O75" s="1593" t="s">
        <v>1192</v>
      </c>
      <c r="P75" s="1593" t="s">
        <v>1206</v>
      </c>
      <c r="Q75" s="735"/>
      <c r="R75" s="1565">
        <v>1002</v>
      </c>
      <c r="S75" s="1565" t="s">
        <v>1490</v>
      </c>
      <c r="T75" s="1605">
        <v>414</v>
      </c>
      <c r="U75" s="1606"/>
      <c r="V75" s="1606"/>
    </row>
    <row r="76" spans="1:22" s="1607" customFormat="1" ht="43.5" customHeight="1">
      <c r="A76" s="1672" t="s">
        <v>131</v>
      </c>
      <c r="B76" s="1772" t="s">
        <v>1491</v>
      </c>
      <c r="C76" s="732">
        <f t="shared" si="9"/>
        <v>11200</v>
      </c>
      <c r="D76" s="854"/>
      <c r="E76" s="854">
        <v>11200</v>
      </c>
      <c r="F76" s="732">
        <f t="shared" si="13"/>
        <v>11200</v>
      </c>
      <c r="G76" s="854"/>
      <c r="H76" s="854">
        <v>11200</v>
      </c>
      <c r="I76" s="814">
        <f t="shared" si="11"/>
        <v>0</v>
      </c>
      <c r="J76" s="1677"/>
      <c r="K76" s="1677"/>
      <c r="L76" s="746">
        <f t="shared" si="2"/>
        <v>0</v>
      </c>
      <c r="M76" s="536">
        <f t="shared" si="2"/>
        <v>0</v>
      </c>
      <c r="N76" s="536">
        <f t="shared" si="2"/>
        <v>0</v>
      </c>
      <c r="O76" s="1593" t="s">
        <v>1192</v>
      </c>
      <c r="P76" s="1593" t="s">
        <v>1206</v>
      </c>
      <c r="Q76" s="735"/>
      <c r="R76" s="1565" t="s">
        <v>1429</v>
      </c>
      <c r="S76" s="1565">
        <v>19000290400</v>
      </c>
      <c r="T76" s="1605">
        <v>414</v>
      </c>
      <c r="U76" s="1606"/>
      <c r="V76" s="1606"/>
    </row>
    <row r="77" spans="1:22" s="1607" customFormat="1" ht="68.25" customHeight="1">
      <c r="A77" s="1672" t="s">
        <v>555</v>
      </c>
      <c r="B77" s="1704" t="s">
        <v>1492</v>
      </c>
      <c r="C77" s="732">
        <f t="shared" si="9"/>
        <v>20000</v>
      </c>
      <c r="D77" s="854"/>
      <c r="E77" s="854">
        <v>20000</v>
      </c>
      <c r="F77" s="732">
        <f t="shared" si="13"/>
        <v>20000</v>
      </c>
      <c r="G77" s="854"/>
      <c r="H77" s="854">
        <v>20000</v>
      </c>
      <c r="I77" s="814">
        <f t="shared" si="11"/>
        <v>0</v>
      </c>
      <c r="J77" s="1677"/>
      <c r="K77" s="1677"/>
      <c r="L77" s="746">
        <f t="shared" ref="L77:N140" si="14">IF(I77=0,0,I77/F77*100)</f>
        <v>0</v>
      </c>
      <c r="M77" s="536">
        <f t="shared" si="14"/>
        <v>0</v>
      </c>
      <c r="N77" s="536">
        <f t="shared" si="14"/>
        <v>0</v>
      </c>
      <c r="O77" s="1593" t="s">
        <v>1192</v>
      </c>
      <c r="P77" s="1593" t="s">
        <v>1206</v>
      </c>
      <c r="Q77" s="735"/>
      <c r="R77" s="1565" t="s">
        <v>1493</v>
      </c>
      <c r="S77" s="1565" t="s">
        <v>1494</v>
      </c>
      <c r="T77" s="1605">
        <v>414</v>
      </c>
      <c r="U77" s="1606"/>
      <c r="V77" s="1606"/>
    </row>
    <row r="78" spans="1:22" ht="48" customHeight="1">
      <c r="A78" s="1672" t="s">
        <v>556</v>
      </c>
      <c r="B78" s="1705" t="s">
        <v>1473</v>
      </c>
      <c r="C78" s="732">
        <f t="shared" si="9"/>
        <v>7941.5</v>
      </c>
      <c r="D78" s="854"/>
      <c r="E78" s="854">
        <v>7941.5</v>
      </c>
      <c r="F78" s="732">
        <f t="shared" si="13"/>
        <v>7941.5</v>
      </c>
      <c r="G78" s="854"/>
      <c r="H78" s="854">
        <v>7941.5</v>
      </c>
      <c r="I78" s="534">
        <f t="shared" si="11"/>
        <v>0</v>
      </c>
      <c r="J78" s="698"/>
      <c r="K78" s="698"/>
      <c r="L78" s="746">
        <f t="shared" si="14"/>
        <v>0</v>
      </c>
      <c r="M78" s="536">
        <f t="shared" si="14"/>
        <v>0</v>
      </c>
      <c r="N78" s="536">
        <f t="shared" si="14"/>
        <v>0</v>
      </c>
      <c r="O78" s="1593" t="s">
        <v>1192</v>
      </c>
      <c r="P78" s="1592" t="s">
        <v>1160</v>
      </c>
      <c r="Q78" s="735">
        <f>C78-F78</f>
        <v>0</v>
      </c>
      <c r="R78" s="1565" t="s">
        <v>1474</v>
      </c>
      <c r="S78" s="1565" t="s">
        <v>1475</v>
      </c>
      <c r="T78" s="1565">
        <v>414</v>
      </c>
    </row>
    <row r="79" spans="1:22" ht="43.5" customHeight="1">
      <c r="A79" s="1667" t="s">
        <v>249</v>
      </c>
      <c r="B79" s="1668" t="s">
        <v>1394</v>
      </c>
      <c r="C79" s="1669">
        <f t="shared" si="9"/>
        <v>4898346</v>
      </c>
      <c r="D79" s="1685">
        <f>SUM(D80,D88,D111,D113)</f>
        <v>3833150.5</v>
      </c>
      <c r="E79" s="1685">
        <f>SUM(E80,E88,E111,E113)</f>
        <v>1065195.5</v>
      </c>
      <c r="F79" s="1669">
        <f t="shared" si="13"/>
        <v>4898346</v>
      </c>
      <c r="G79" s="1685">
        <f>SUM(G80,G88,G111,G113)</f>
        <v>3833150.5</v>
      </c>
      <c r="H79" s="1685">
        <f>SUM(H80,H88,H111,H113)</f>
        <v>1065195.5</v>
      </c>
      <c r="I79" s="1669">
        <f t="shared" si="11"/>
        <v>0</v>
      </c>
      <c r="J79" s="1685">
        <f>SUM(J80,J88,J111,J113)</f>
        <v>0</v>
      </c>
      <c r="K79" s="1685">
        <f>SUM(K80,K88,K111,K113)</f>
        <v>0</v>
      </c>
      <c r="L79" s="1670">
        <f t="shared" si="14"/>
        <v>0</v>
      </c>
      <c r="M79" s="1671">
        <f t="shared" si="14"/>
        <v>0</v>
      </c>
      <c r="N79" s="1671">
        <f t="shared" si="14"/>
        <v>0</v>
      </c>
      <c r="O79" s="1599" t="s">
        <v>353</v>
      </c>
      <c r="P79" s="1599" t="s">
        <v>353</v>
      </c>
      <c r="Q79" s="735">
        <f>C79-F79</f>
        <v>0</v>
      </c>
    </row>
    <row r="80" spans="1:22" ht="43.5" customHeight="1">
      <c r="A80" s="1686" t="s">
        <v>250</v>
      </c>
      <c r="B80" s="1687" t="s">
        <v>1395</v>
      </c>
      <c r="C80" s="1688">
        <f t="shared" si="9"/>
        <v>1993022.3</v>
      </c>
      <c r="D80" s="1688">
        <f>SUM(D81,D86)</f>
        <v>1271050.5</v>
      </c>
      <c r="E80" s="1688">
        <f>SUM(E81,E86)</f>
        <v>721971.8</v>
      </c>
      <c r="F80" s="1688">
        <f t="shared" si="13"/>
        <v>1993022.3</v>
      </c>
      <c r="G80" s="1688">
        <f>SUM(G81,G86)</f>
        <v>1271050.5</v>
      </c>
      <c r="H80" s="1688">
        <f>SUM(H81,H86)</f>
        <v>721971.8</v>
      </c>
      <c r="I80" s="1688">
        <f t="shared" si="11"/>
        <v>0</v>
      </c>
      <c r="J80" s="1688">
        <f>SUM(J81,J86)</f>
        <v>0</v>
      </c>
      <c r="K80" s="1688">
        <f>SUM(K81,K86)</f>
        <v>0</v>
      </c>
      <c r="L80" s="1689">
        <f t="shared" si="14"/>
        <v>0</v>
      </c>
      <c r="M80" s="1690">
        <f t="shared" si="14"/>
        <v>0</v>
      </c>
      <c r="N80" s="1690">
        <f t="shared" si="14"/>
        <v>0</v>
      </c>
      <c r="O80" s="1599"/>
      <c r="P80" s="1599"/>
      <c r="Q80" s="735"/>
      <c r="R80" s="1618"/>
      <c r="S80" s="1618"/>
      <c r="T80" s="1618"/>
    </row>
    <row r="81" spans="1:22" ht="20.25">
      <c r="A81" s="1686"/>
      <c r="B81" s="1687" t="s">
        <v>1461</v>
      </c>
      <c r="C81" s="1688">
        <f t="shared" si="9"/>
        <v>1945332.3</v>
      </c>
      <c r="D81" s="1688">
        <f>SUM(D82:D85)</f>
        <v>1236050.5</v>
      </c>
      <c r="E81" s="1688">
        <f>SUM(E82:E85)</f>
        <v>709281.8</v>
      </c>
      <c r="F81" s="1688">
        <f t="shared" si="13"/>
        <v>1945332.3</v>
      </c>
      <c r="G81" s="1688">
        <f>SUM(G82:G85)</f>
        <v>1236050.5</v>
      </c>
      <c r="H81" s="1688">
        <f>SUM(H82:H85)</f>
        <v>709281.8</v>
      </c>
      <c r="I81" s="1688">
        <f t="shared" si="11"/>
        <v>0</v>
      </c>
      <c r="J81" s="1688">
        <f>SUM(J82:J85)</f>
        <v>0</v>
      </c>
      <c r="K81" s="1688">
        <f>SUM(K82:K85)</f>
        <v>0</v>
      </c>
      <c r="L81" s="1689">
        <f t="shared" si="14"/>
        <v>0</v>
      </c>
      <c r="M81" s="1690">
        <f t="shared" si="14"/>
        <v>0</v>
      </c>
      <c r="N81" s="1690">
        <f t="shared" si="14"/>
        <v>0</v>
      </c>
      <c r="O81" s="1599"/>
      <c r="P81" s="1599"/>
      <c r="Q81" s="735"/>
    </row>
    <row r="82" spans="1:22" ht="75.75" customHeight="1">
      <c r="A82" s="1672" t="s">
        <v>162</v>
      </c>
      <c r="B82" s="1705" t="s">
        <v>1459</v>
      </c>
      <c r="C82" s="732">
        <f t="shared" si="9"/>
        <v>925654.2</v>
      </c>
      <c r="D82" s="854">
        <v>542739</v>
      </c>
      <c r="E82" s="854">
        <v>382915.2</v>
      </c>
      <c r="F82" s="732">
        <f t="shared" si="13"/>
        <v>925654.2</v>
      </c>
      <c r="G82" s="854">
        <v>542739</v>
      </c>
      <c r="H82" s="854">
        <v>382915.2</v>
      </c>
      <c r="I82" s="534">
        <f t="shared" si="11"/>
        <v>0</v>
      </c>
      <c r="J82" s="698"/>
      <c r="K82" s="698"/>
      <c r="L82" s="746">
        <f t="shared" si="14"/>
        <v>0</v>
      </c>
      <c r="M82" s="536">
        <f t="shared" si="14"/>
        <v>0</v>
      </c>
      <c r="N82" s="536">
        <f t="shared" si="14"/>
        <v>0</v>
      </c>
      <c r="O82" s="1593" t="s">
        <v>1192</v>
      </c>
      <c r="P82" s="1592" t="s">
        <v>1160</v>
      </c>
      <c r="Q82" s="735">
        <f>C82-F82</f>
        <v>0</v>
      </c>
      <c r="R82" s="1565" t="s">
        <v>1462</v>
      </c>
      <c r="S82" s="1565" t="s">
        <v>1463</v>
      </c>
      <c r="T82" s="1565">
        <v>414</v>
      </c>
    </row>
    <row r="83" spans="1:22" ht="46.5" customHeight="1">
      <c r="A83" s="1672" t="s">
        <v>545</v>
      </c>
      <c r="B83" s="1705" t="s">
        <v>1460</v>
      </c>
      <c r="C83" s="732">
        <f t="shared" si="9"/>
        <v>806671.2</v>
      </c>
      <c r="D83" s="854">
        <v>482434.7</v>
      </c>
      <c r="E83" s="854">
        <v>324236.5</v>
      </c>
      <c r="F83" s="732">
        <f t="shared" si="13"/>
        <v>806671.2</v>
      </c>
      <c r="G83" s="854">
        <v>482434.7</v>
      </c>
      <c r="H83" s="854">
        <v>324236.5</v>
      </c>
      <c r="I83" s="534">
        <f t="shared" si="11"/>
        <v>0</v>
      </c>
      <c r="J83" s="698"/>
      <c r="K83" s="698"/>
      <c r="L83" s="746">
        <f t="shared" si="14"/>
        <v>0</v>
      </c>
      <c r="M83" s="536">
        <f t="shared" si="14"/>
        <v>0</v>
      </c>
      <c r="N83" s="536">
        <f t="shared" si="14"/>
        <v>0</v>
      </c>
      <c r="O83" s="1593" t="s">
        <v>1192</v>
      </c>
      <c r="P83" s="1592" t="s">
        <v>1159</v>
      </c>
      <c r="Q83" s="735">
        <f>C83-F83</f>
        <v>0</v>
      </c>
      <c r="R83" s="1565" t="s">
        <v>1462</v>
      </c>
      <c r="S83" s="1565" t="s">
        <v>1463</v>
      </c>
      <c r="T83" s="1565">
        <v>414</v>
      </c>
    </row>
    <row r="84" spans="1:22" ht="46.5" customHeight="1">
      <c r="A84" s="1672" t="s">
        <v>557</v>
      </c>
      <c r="B84" s="1773" t="s">
        <v>1465</v>
      </c>
      <c r="C84" s="732">
        <f t="shared" si="9"/>
        <v>109222.6</v>
      </c>
      <c r="D84" s="854">
        <v>108130.3</v>
      </c>
      <c r="E84" s="854">
        <v>1092.3</v>
      </c>
      <c r="F84" s="732">
        <f t="shared" si="13"/>
        <v>109222.6</v>
      </c>
      <c r="G84" s="854">
        <v>108130.3</v>
      </c>
      <c r="H84" s="854">
        <v>1092.3</v>
      </c>
      <c r="I84" s="534">
        <f t="shared" si="11"/>
        <v>0</v>
      </c>
      <c r="J84" s="698"/>
      <c r="K84" s="698"/>
      <c r="L84" s="746">
        <f t="shared" si="14"/>
        <v>0</v>
      </c>
      <c r="M84" s="536">
        <f t="shared" si="14"/>
        <v>0</v>
      </c>
      <c r="N84" s="536">
        <f t="shared" si="14"/>
        <v>0</v>
      </c>
      <c r="O84" s="1593" t="s">
        <v>1192</v>
      </c>
      <c r="P84" s="1592" t="s">
        <v>1160</v>
      </c>
      <c r="Q84" s="735">
        <f>C84-F84</f>
        <v>0</v>
      </c>
      <c r="R84" s="1565" t="s">
        <v>1462</v>
      </c>
      <c r="S84" s="1565" t="s">
        <v>1464</v>
      </c>
      <c r="T84" s="1565">
        <v>414</v>
      </c>
    </row>
    <row r="85" spans="1:22" ht="63.75" customHeight="1">
      <c r="A85" s="1672" t="s">
        <v>558</v>
      </c>
      <c r="B85" s="1773" t="s">
        <v>1466</v>
      </c>
      <c r="C85" s="732">
        <f t="shared" si="9"/>
        <v>103784.3</v>
      </c>
      <c r="D85" s="854">
        <v>102746.5</v>
      </c>
      <c r="E85" s="854">
        <v>1037.8</v>
      </c>
      <c r="F85" s="732">
        <f t="shared" si="13"/>
        <v>103784.3</v>
      </c>
      <c r="G85" s="854">
        <v>102746.5</v>
      </c>
      <c r="H85" s="854">
        <v>1037.8</v>
      </c>
      <c r="I85" s="534">
        <f t="shared" si="11"/>
        <v>0</v>
      </c>
      <c r="J85" s="698"/>
      <c r="K85" s="698"/>
      <c r="L85" s="746">
        <f t="shared" si="14"/>
        <v>0</v>
      </c>
      <c r="M85" s="536">
        <f t="shared" si="14"/>
        <v>0</v>
      </c>
      <c r="N85" s="536">
        <f t="shared" si="14"/>
        <v>0</v>
      </c>
      <c r="O85" s="1593" t="s">
        <v>1192</v>
      </c>
      <c r="P85" s="1592" t="s">
        <v>1159</v>
      </c>
      <c r="Q85" s="735">
        <f>C85-F85</f>
        <v>0</v>
      </c>
      <c r="R85" s="1565" t="s">
        <v>1462</v>
      </c>
      <c r="S85" s="1565" t="s">
        <v>1464</v>
      </c>
      <c r="T85" s="1565">
        <v>414</v>
      </c>
    </row>
    <row r="86" spans="1:22" ht="20.25">
      <c r="A86" s="1686"/>
      <c r="B86" s="1687" t="s">
        <v>1470</v>
      </c>
      <c r="C86" s="1688">
        <f t="shared" si="9"/>
        <v>47690</v>
      </c>
      <c r="D86" s="1688">
        <f>SUM(D87)</f>
        <v>35000</v>
      </c>
      <c r="E86" s="1688">
        <f>SUM(E87)</f>
        <v>12690</v>
      </c>
      <c r="F86" s="1688">
        <f t="shared" si="13"/>
        <v>47690</v>
      </c>
      <c r="G86" s="1688">
        <f>SUM(G87)</f>
        <v>35000</v>
      </c>
      <c r="H86" s="1688">
        <f>SUM(H87)</f>
        <v>12690</v>
      </c>
      <c r="I86" s="1688">
        <f t="shared" si="11"/>
        <v>0</v>
      </c>
      <c r="J86" s="1688">
        <f>SUM(J87)</f>
        <v>0</v>
      </c>
      <c r="K86" s="1688">
        <f>SUM(K87)</f>
        <v>0</v>
      </c>
      <c r="L86" s="1689">
        <f t="shared" si="14"/>
        <v>0</v>
      </c>
      <c r="M86" s="1690">
        <f t="shared" si="14"/>
        <v>0</v>
      </c>
      <c r="N86" s="1690">
        <f t="shared" si="14"/>
        <v>0</v>
      </c>
      <c r="O86" s="1599"/>
      <c r="P86" s="1599"/>
      <c r="Q86" s="735"/>
    </row>
    <row r="87" spans="1:22" ht="54.75" customHeight="1">
      <c r="A87" s="1672" t="s">
        <v>559</v>
      </c>
      <c r="B87" s="1705" t="s">
        <v>1472</v>
      </c>
      <c r="C87" s="732">
        <f t="shared" si="9"/>
        <v>47690</v>
      </c>
      <c r="D87" s="854">
        <v>35000</v>
      </c>
      <c r="E87" s="854">
        <v>12690</v>
      </c>
      <c r="F87" s="732">
        <f t="shared" si="13"/>
        <v>47690</v>
      </c>
      <c r="G87" s="854">
        <v>35000</v>
      </c>
      <c r="H87" s="854">
        <v>12690</v>
      </c>
      <c r="I87" s="534">
        <f t="shared" si="11"/>
        <v>0</v>
      </c>
      <c r="J87" s="698"/>
      <c r="K87" s="698"/>
      <c r="L87" s="746">
        <f t="shared" si="14"/>
        <v>0</v>
      </c>
      <c r="M87" s="536">
        <f t="shared" si="14"/>
        <v>0</v>
      </c>
      <c r="N87" s="536">
        <f t="shared" si="14"/>
        <v>0</v>
      </c>
      <c r="O87" s="1593" t="s">
        <v>1192</v>
      </c>
      <c r="P87" s="1592" t="s">
        <v>1160</v>
      </c>
      <c r="Q87" s="735">
        <f>C87-F87</f>
        <v>0</v>
      </c>
      <c r="R87" s="1565">
        <v>801</v>
      </c>
      <c r="S87" s="1565" t="s">
        <v>1471</v>
      </c>
      <c r="T87" s="1565">
        <v>414</v>
      </c>
    </row>
    <row r="88" spans="1:22" ht="64.5" customHeight="1">
      <c r="A88" s="1733" t="s">
        <v>251</v>
      </c>
      <c r="B88" s="1711" t="s">
        <v>1435</v>
      </c>
      <c r="C88" s="729">
        <f t="shared" si="9"/>
        <v>2725218.9</v>
      </c>
      <c r="D88" s="729">
        <f>SUM(D89:D110)</f>
        <v>2562100</v>
      </c>
      <c r="E88" s="729">
        <f>SUM(E89:E110)</f>
        <v>163118.9</v>
      </c>
      <c r="F88" s="729">
        <f t="shared" si="13"/>
        <v>2725218.9</v>
      </c>
      <c r="G88" s="729">
        <f>SUM(G89:G110)</f>
        <v>2562100</v>
      </c>
      <c r="H88" s="729">
        <f>SUM(H89:H110)</f>
        <v>163118.9</v>
      </c>
      <c r="I88" s="729">
        <f t="shared" si="11"/>
        <v>0</v>
      </c>
      <c r="J88" s="729">
        <f>SUM(J89:J110)</f>
        <v>0</v>
      </c>
      <c r="K88" s="729">
        <f>SUM(K89:K110)</f>
        <v>0</v>
      </c>
      <c r="L88" s="737">
        <f t="shared" si="14"/>
        <v>0</v>
      </c>
      <c r="M88" s="737">
        <f t="shared" si="14"/>
        <v>0</v>
      </c>
      <c r="N88" s="737">
        <f t="shared" si="14"/>
        <v>0</v>
      </c>
      <c r="O88" s="1593"/>
      <c r="P88" s="1593"/>
      <c r="Q88" s="735">
        <f t="shared" ref="Q88:Q119" si="15">C88-F88</f>
        <v>0</v>
      </c>
    </row>
    <row r="89" spans="1:22" ht="73.5" customHeight="1">
      <c r="A89" s="1672" t="s">
        <v>560</v>
      </c>
      <c r="B89" s="1772" t="s">
        <v>1436</v>
      </c>
      <c r="C89" s="732">
        <f t="shared" si="9"/>
        <v>2762</v>
      </c>
      <c r="D89" s="1676">
        <v>2596.1999999999998</v>
      </c>
      <c r="E89" s="1676">
        <v>165.8</v>
      </c>
      <c r="F89" s="732">
        <f t="shared" si="13"/>
        <v>2762</v>
      </c>
      <c r="G89" s="1676">
        <v>2596.1999999999998</v>
      </c>
      <c r="H89" s="1676">
        <v>165.8</v>
      </c>
      <c r="I89" s="814">
        <f t="shared" si="11"/>
        <v>0</v>
      </c>
      <c r="J89" s="701"/>
      <c r="K89" s="701"/>
      <c r="L89" s="746">
        <f t="shared" si="14"/>
        <v>0</v>
      </c>
      <c r="M89" s="536">
        <f t="shared" si="14"/>
        <v>0</v>
      </c>
      <c r="N89" s="536">
        <f t="shared" si="14"/>
        <v>0</v>
      </c>
      <c r="O89" s="1593" t="s">
        <v>1290</v>
      </c>
      <c r="P89" s="1593" t="s">
        <v>1240</v>
      </c>
      <c r="Q89" s="735">
        <f t="shared" si="15"/>
        <v>0</v>
      </c>
      <c r="R89" s="1565" t="s">
        <v>1429</v>
      </c>
      <c r="S89" s="1565" t="s">
        <v>912</v>
      </c>
      <c r="T89" s="1565">
        <v>414</v>
      </c>
    </row>
    <row r="90" spans="1:22" s="484" customFormat="1" ht="67.5" customHeight="1">
      <c r="A90" s="1672" t="s">
        <v>561</v>
      </c>
      <c r="B90" s="1772" t="s">
        <v>704</v>
      </c>
      <c r="C90" s="732">
        <f t="shared" si="9"/>
        <v>1500</v>
      </c>
      <c r="D90" s="1676">
        <v>1410</v>
      </c>
      <c r="E90" s="1676">
        <v>90</v>
      </c>
      <c r="F90" s="732">
        <f t="shared" si="13"/>
        <v>1500</v>
      </c>
      <c r="G90" s="1676">
        <v>1410</v>
      </c>
      <c r="H90" s="1676">
        <v>90</v>
      </c>
      <c r="I90" s="814">
        <f t="shared" si="11"/>
        <v>0</v>
      </c>
      <c r="J90" s="701"/>
      <c r="K90" s="701"/>
      <c r="L90" s="746">
        <f t="shared" si="14"/>
        <v>0</v>
      </c>
      <c r="M90" s="536">
        <f t="shared" si="14"/>
        <v>0</v>
      </c>
      <c r="N90" s="536">
        <f t="shared" si="14"/>
        <v>0</v>
      </c>
      <c r="O90" s="1593" t="s">
        <v>1291</v>
      </c>
      <c r="P90" s="1593" t="s">
        <v>1241</v>
      </c>
      <c r="Q90" s="735">
        <f t="shared" si="15"/>
        <v>0</v>
      </c>
      <c r="R90" s="1565" t="s">
        <v>1429</v>
      </c>
      <c r="S90" s="1565" t="s">
        <v>912</v>
      </c>
      <c r="T90" s="1565">
        <v>414</v>
      </c>
      <c r="U90" s="1606"/>
      <c r="V90" s="1606"/>
    </row>
    <row r="91" spans="1:22" s="484" customFormat="1" ht="67.5" customHeight="1">
      <c r="A91" s="1672" t="s">
        <v>563</v>
      </c>
      <c r="B91" s="1772" t="s">
        <v>703</v>
      </c>
      <c r="C91" s="732">
        <f t="shared" si="9"/>
        <v>2800</v>
      </c>
      <c r="D91" s="1676">
        <v>2632</v>
      </c>
      <c r="E91" s="1676">
        <v>168</v>
      </c>
      <c r="F91" s="732">
        <f t="shared" si="13"/>
        <v>2800</v>
      </c>
      <c r="G91" s="1676">
        <v>2632</v>
      </c>
      <c r="H91" s="1676">
        <v>168</v>
      </c>
      <c r="I91" s="814">
        <f t="shared" si="11"/>
        <v>0</v>
      </c>
      <c r="J91" s="701"/>
      <c r="K91" s="701"/>
      <c r="L91" s="746">
        <f t="shared" si="14"/>
        <v>0</v>
      </c>
      <c r="M91" s="536">
        <f t="shared" si="14"/>
        <v>0</v>
      </c>
      <c r="N91" s="536">
        <f t="shared" si="14"/>
        <v>0</v>
      </c>
      <c r="O91" s="1593" t="s">
        <v>1292</v>
      </c>
      <c r="P91" s="1593" t="s">
        <v>1242</v>
      </c>
      <c r="Q91" s="735">
        <f t="shared" si="15"/>
        <v>0</v>
      </c>
      <c r="R91" s="1565" t="s">
        <v>1429</v>
      </c>
      <c r="S91" s="1565" t="s">
        <v>912</v>
      </c>
      <c r="T91" s="1565">
        <v>414</v>
      </c>
      <c r="U91" s="1606"/>
      <c r="V91" s="1606"/>
    </row>
    <row r="92" spans="1:22" s="484" customFormat="1" ht="90.75" customHeight="1">
      <c r="A92" s="1672" t="s">
        <v>573</v>
      </c>
      <c r="B92" s="1774" t="s">
        <v>1437</v>
      </c>
      <c r="C92" s="732">
        <f t="shared" si="9"/>
        <v>3761.3</v>
      </c>
      <c r="D92" s="1676">
        <v>3535.6</v>
      </c>
      <c r="E92" s="1676">
        <v>225.7</v>
      </c>
      <c r="F92" s="732">
        <f t="shared" si="13"/>
        <v>3761.3</v>
      </c>
      <c r="G92" s="1676">
        <v>3535.6</v>
      </c>
      <c r="H92" s="1676">
        <v>225.7</v>
      </c>
      <c r="I92" s="814">
        <f t="shared" si="11"/>
        <v>0</v>
      </c>
      <c r="J92" s="701"/>
      <c r="K92" s="701"/>
      <c r="L92" s="746">
        <f t="shared" si="14"/>
        <v>0</v>
      </c>
      <c r="M92" s="536">
        <f t="shared" si="14"/>
        <v>0</v>
      </c>
      <c r="N92" s="536">
        <f t="shared" si="14"/>
        <v>0</v>
      </c>
      <c r="O92" s="1593" t="s">
        <v>1293</v>
      </c>
      <c r="P92" s="1593" t="s">
        <v>1101</v>
      </c>
      <c r="Q92" s="735">
        <f t="shared" si="15"/>
        <v>0</v>
      </c>
      <c r="R92" s="1565" t="s">
        <v>1429</v>
      </c>
      <c r="S92" s="1565" t="s">
        <v>912</v>
      </c>
      <c r="T92" s="1565">
        <v>414</v>
      </c>
      <c r="U92" s="1606"/>
      <c r="V92" s="1606"/>
    </row>
    <row r="93" spans="1:22" s="484" customFormat="1" ht="66" customHeight="1">
      <c r="A93" s="1672" t="s">
        <v>624</v>
      </c>
      <c r="B93" s="1768" t="s">
        <v>1438</v>
      </c>
      <c r="C93" s="732">
        <f t="shared" si="9"/>
        <v>13100</v>
      </c>
      <c r="D93" s="1676">
        <v>12314</v>
      </c>
      <c r="E93" s="1676">
        <v>786</v>
      </c>
      <c r="F93" s="732">
        <f t="shared" si="13"/>
        <v>13100</v>
      </c>
      <c r="G93" s="1676">
        <v>12314</v>
      </c>
      <c r="H93" s="1676">
        <v>786</v>
      </c>
      <c r="I93" s="814">
        <f t="shared" si="11"/>
        <v>0</v>
      </c>
      <c r="J93" s="701"/>
      <c r="K93" s="701"/>
      <c r="L93" s="746">
        <f t="shared" si="14"/>
        <v>0</v>
      </c>
      <c r="M93" s="536">
        <f t="shared" si="14"/>
        <v>0</v>
      </c>
      <c r="N93" s="536">
        <f t="shared" si="14"/>
        <v>0</v>
      </c>
      <c r="O93" s="1593" t="s">
        <v>1192</v>
      </c>
      <c r="P93" s="1593" t="s">
        <v>1243</v>
      </c>
      <c r="Q93" s="735">
        <f t="shared" si="15"/>
        <v>0</v>
      </c>
      <c r="R93" s="1565" t="s">
        <v>1429</v>
      </c>
      <c r="S93" s="1565" t="s">
        <v>912</v>
      </c>
      <c r="T93" s="1565">
        <v>414</v>
      </c>
      <c r="U93" s="1606"/>
      <c r="V93" s="1606"/>
    </row>
    <row r="94" spans="1:22" s="484" customFormat="1" ht="40.5" customHeight="1">
      <c r="A94" s="1672" t="s">
        <v>625</v>
      </c>
      <c r="B94" s="1768" t="s">
        <v>1439</v>
      </c>
      <c r="C94" s="732">
        <f t="shared" si="9"/>
        <v>28500</v>
      </c>
      <c r="D94" s="1676">
        <v>26790</v>
      </c>
      <c r="E94" s="1676">
        <v>1710</v>
      </c>
      <c r="F94" s="732">
        <f t="shared" si="13"/>
        <v>28500</v>
      </c>
      <c r="G94" s="1676">
        <v>26790</v>
      </c>
      <c r="H94" s="1676">
        <v>1710</v>
      </c>
      <c r="I94" s="814">
        <f t="shared" si="11"/>
        <v>0</v>
      </c>
      <c r="J94" s="701"/>
      <c r="K94" s="701"/>
      <c r="L94" s="746">
        <f t="shared" si="14"/>
        <v>0</v>
      </c>
      <c r="M94" s="536">
        <f t="shared" si="14"/>
        <v>0</v>
      </c>
      <c r="N94" s="536">
        <f t="shared" si="14"/>
        <v>0</v>
      </c>
      <c r="O94" s="1593" t="s">
        <v>1294</v>
      </c>
      <c r="P94" s="1593" t="s">
        <v>1244</v>
      </c>
      <c r="Q94" s="735">
        <f t="shared" si="15"/>
        <v>0</v>
      </c>
      <c r="R94" s="1565" t="s">
        <v>1429</v>
      </c>
      <c r="S94" s="1565" t="s">
        <v>912</v>
      </c>
      <c r="T94" s="1565">
        <v>414</v>
      </c>
      <c r="U94" s="1606"/>
      <c r="V94" s="1606"/>
    </row>
    <row r="95" spans="1:22" s="484" customFormat="1" ht="40.5" customHeight="1">
      <c r="A95" s="1672" t="s">
        <v>626</v>
      </c>
      <c r="B95" s="1768" t="s">
        <v>1440</v>
      </c>
      <c r="C95" s="732">
        <f t="shared" si="9"/>
        <v>5300</v>
      </c>
      <c r="D95" s="1676">
        <v>4982</v>
      </c>
      <c r="E95" s="1676">
        <v>318</v>
      </c>
      <c r="F95" s="732">
        <f t="shared" si="13"/>
        <v>5300</v>
      </c>
      <c r="G95" s="1676">
        <v>4982</v>
      </c>
      <c r="H95" s="1676">
        <v>318</v>
      </c>
      <c r="I95" s="814">
        <f t="shared" si="11"/>
        <v>0</v>
      </c>
      <c r="J95" s="701"/>
      <c r="K95" s="701"/>
      <c r="L95" s="1715">
        <f t="shared" si="14"/>
        <v>0</v>
      </c>
      <c r="M95" s="1716">
        <f t="shared" si="14"/>
        <v>0</v>
      </c>
      <c r="N95" s="1716">
        <f t="shared" si="14"/>
        <v>0</v>
      </c>
      <c r="O95" s="1593" t="s">
        <v>1192</v>
      </c>
      <c r="P95" s="1593" t="s">
        <v>1219</v>
      </c>
      <c r="Q95" s="735">
        <f t="shared" si="15"/>
        <v>0</v>
      </c>
      <c r="R95" s="1565" t="s">
        <v>1429</v>
      </c>
      <c r="S95" s="1565" t="s">
        <v>912</v>
      </c>
      <c r="T95" s="1565">
        <v>414</v>
      </c>
      <c r="U95" s="1606"/>
      <c r="V95" s="1606"/>
    </row>
    <row r="96" spans="1:22" ht="94.5" customHeight="1">
      <c r="A96" s="1672" t="s">
        <v>627</v>
      </c>
      <c r="B96" s="1772" t="s">
        <v>1441</v>
      </c>
      <c r="C96" s="732">
        <f t="shared" si="9"/>
        <v>18682.400000000001</v>
      </c>
      <c r="D96" s="1676">
        <v>17561.3</v>
      </c>
      <c r="E96" s="1676">
        <v>1121.0999999999999</v>
      </c>
      <c r="F96" s="732">
        <f t="shared" si="13"/>
        <v>18682.400000000001</v>
      </c>
      <c r="G96" s="1676">
        <v>17561.3</v>
      </c>
      <c r="H96" s="1676">
        <v>1121.0999999999999</v>
      </c>
      <c r="I96" s="814">
        <f t="shared" si="11"/>
        <v>0</v>
      </c>
      <c r="J96" s="701"/>
      <c r="K96" s="701"/>
      <c r="L96" s="746">
        <f t="shared" si="14"/>
        <v>0</v>
      </c>
      <c r="M96" s="536">
        <f t="shared" si="14"/>
        <v>0</v>
      </c>
      <c r="N96" s="536">
        <f t="shared" si="14"/>
        <v>0</v>
      </c>
      <c r="O96" s="1593" t="s">
        <v>1192</v>
      </c>
      <c r="P96" s="1593" t="s">
        <v>1251</v>
      </c>
      <c r="Q96" s="735">
        <f t="shared" si="15"/>
        <v>0</v>
      </c>
      <c r="R96" s="1565" t="s">
        <v>1429</v>
      </c>
      <c r="S96" s="1565" t="s">
        <v>905</v>
      </c>
      <c r="T96" s="1565">
        <v>414</v>
      </c>
    </row>
    <row r="97" spans="1:22" ht="73.5" customHeight="1">
      <c r="A97" s="1776">
        <v>56</v>
      </c>
      <c r="B97" s="1772" t="s">
        <v>1442</v>
      </c>
      <c r="C97" s="732">
        <f t="shared" si="9"/>
        <v>12956.3</v>
      </c>
      <c r="D97" s="1676">
        <v>12178.9</v>
      </c>
      <c r="E97" s="1676">
        <v>777.4</v>
      </c>
      <c r="F97" s="732">
        <f t="shared" si="13"/>
        <v>12956.3</v>
      </c>
      <c r="G97" s="1676">
        <v>12178.9</v>
      </c>
      <c r="H97" s="1676">
        <v>777.4</v>
      </c>
      <c r="I97" s="814">
        <f t="shared" si="11"/>
        <v>0</v>
      </c>
      <c r="J97" s="701"/>
      <c r="K97" s="701"/>
      <c r="L97" s="746">
        <f t="shared" si="14"/>
        <v>0</v>
      </c>
      <c r="M97" s="536">
        <f t="shared" si="14"/>
        <v>0</v>
      </c>
      <c r="N97" s="536">
        <f t="shared" si="14"/>
        <v>0</v>
      </c>
      <c r="O97" s="1593" t="s">
        <v>1285</v>
      </c>
      <c r="P97" s="1593" t="s">
        <v>1252</v>
      </c>
      <c r="Q97" s="735">
        <f t="shared" si="15"/>
        <v>0</v>
      </c>
      <c r="R97" s="1565" t="s">
        <v>1429</v>
      </c>
      <c r="S97" s="1565" t="s">
        <v>900</v>
      </c>
      <c r="T97" s="1565">
        <v>414</v>
      </c>
    </row>
    <row r="98" spans="1:22" s="484" customFormat="1" ht="45.75" customHeight="1">
      <c r="A98" s="1672" t="s">
        <v>629</v>
      </c>
      <c r="B98" s="1700" t="s">
        <v>776</v>
      </c>
      <c r="C98" s="732">
        <f t="shared" si="9"/>
        <v>182824.4</v>
      </c>
      <c r="D98" s="854">
        <v>172200</v>
      </c>
      <c r="E98" s="854">
        <v>10624.4</v>
      </c>
      <c r="F98" s="732">
        <f t="shared" si="13"/>
        <v>182824.4</v>
      </c>
      <c r="G98" s="854">
        <v>172200</v>
      </c>
      <c r="H98" s="854">
        <v>10624.4</v>
      </c>
      <c r="I98" s="814">
        <f t="shared" si="11"/>
        <v>0</v>
      </c>
      <c r="J98" s="1677"/>
      <c r="K98" s="1677"/>
      <c r="L98" s="746">
        <f t="shared" si="14"/>
        <v>0</v>
      </c>
      <c r="M98" s="536">
        <f t="shared" si="14"/>
        <v>0</v>
      </c>
      <c r="N98" s="536">
        <f t="shared" si="14"/>
        <v>0</v>
      </c>
      <c r="O98" s="1593" t="s">
        <v>1272</v>
      </c>
      <c r="P98" s="1593" t="s">
        <v>1273</v>
      </c>
      <c r="Q98" s="735">
        <f t="shared" si="15"/>
        <v>0</v>
      </c>
      <c r="R98" s="1565" t="s">
        <v>1457</v>
      </c>
      <c r="S98" s="1565" t="s">
        <v>1458</v>
      </c>
      <c r="T98" s="1605">
        <v>414</v>
      </c>
      <c r="U98" s="1606"/>
      <c r="V98" s="1606"/>
    </row>
    <row r="99" spans="1:22" s="484" customFormat="1" ht="23.25" customHeight="1">
      <c r="A99" s="1672" t="s">
        <v>630</v>
      </c>
      <c r="B99" s="1717" t="s">
        <v>763</v>
      </c>
      <c r="C99" s="732">
        <f t="shared" si="9"/>
        <v>309700</v>
      </c>
      <c r="D99" s="1676">
        <v>291062</v>
      </c>
      <c r="E99" s="1676">
        <v>18638</v>
      </c>
      <c r="F99" s="732">
        <f t="shared" si="13"/>
        <v>309700</v>
      </c>
      <c r="G99" s="1676">
        <v>291062</v>
      </c>
      <c r="H99" s="1676">
        <v>18638</v>
      </c>
      <c r="I99" s="534">
        <f t="shared" si="11"/>
        <v>0</v>
      </c>
      <c r="J99" s="545"/>
      <c r="K99" s="545"/>
      <c r="L99" s="746">
        <f t="shared" si="14"/>
        <v>0</v>
      </c>
      <c r="M99" s="536">
        <f t="shared" si="14"/>
        <v>0</v>
      </c>
      <c r="N99" s="536">
        <f t="shared" si="14"/>
        <v>0</v>
      </c>
      <c r="O99" s="1593" t="s">
        <v>1192</v>
      </c>
      <c r="P99" s="1593" t="s">
        <v>1219</v>
      </c>
      <c r="Q99" s="735">
        <f t="shared" si="15"/>
        <v>0</v>
      </c>
      <c r="R99" s="1565" t="s">
        <v>1477</v>
      </c>
      <c r="S99" s="1565" t="s">
        <v>878</v>
      </c>
      <c r="T99" s="1605">
        <v>414</v>
      </c>
      <c r="U99" s="1606"/>
      <c r="V99" s="1606"/>
    </row>
    <row r="100" spans="1:22" s="484" customFormat="1" ht="23.25" customHeight="1">
      <c r="A100" s="1776">
        <v>59</v>
      </c>
      <c r="B100" s="1717" t="s">
        <v>765</v>
      </c>
      <c r="C100" s="732">
        <f t="shared" si="9"/>
        <v>4800</v>
      </c>
      <c r="D100" s="1676">
        <v>4511.1000000000004</v>
      </c>
      <c r="E100" s="1676">
        <v>288.89999999999998</v>
      </c>
      <c r="F100" s="732">
        <f t="shared" si="13"/>
        <v>4800</v>
      </c>
      <c r="G100" s="1676">
        <v>4511.1000000000004</v>
      </c>
      <c r="H100" s="1676">
        <v>288.89999999999998</v>
      </c>
      <c r="I100" s="534">
        <f t="shared" si="11"/>
        <v>0</v>
      </c>
      <c r="J100" s="545"/>
      <c r="K100" s="545"/>
      <c r="L100" s="746">
        <f t="shared" si="14"/>
        <v>0</v>
      </c>
      <c r="M100" s="536">
        <f t="shared" si="14"/>
        <v>0</v>
      </c>
      <c r="N100" s="536">
        <f t="shared" si="14"/>
        <v>0</v>
      </c>
      <c r="O100" s="1593" t="s">
        <v>1267</v>
      </c>
      <c r="P100" s="1593" t="s">
        <v>1219</v>
      </c>
      <c r="Q100" s="735">
        <f t="shared" si="15"/>
        <v>0</v>
      </c>
      <c r="R100" s="1565" t="s">
        <v>1477</v>
      </c>
      <c r="S100" s="1565" t="s">
        <v>878</v>
      </c>
      <c r="T100" s="1605">
        <v>414</v>
      </c>
      <c r="U100" s="1606"/>
      <c r="V100" s="1606"/>
    </row>
    <row r="101" spans="1:22" s="484" customFormat="1" ht="23.25" customHeight="1">
      <c r="A101" s="1776">
        <v>60</v>
      </c>
      <c r="B101" s="1717" t="s">
        <v>766</v>
      </c>
      <c r="C101" s="732">
        <f t="shared" si="9"/>
        <v>6200</v>
      </c>
      <c r="D101" s="1676">
        <v>5826.9</v>
      </c>
      <c r="E101" s="1676">
        <v>373.1</v>
      </c>
      <c r="F101" s="732">
        <f t="shared" si="13"/>
        <v>6200</v>
      </c>
      <c r="G101" s="1676">
        <v>5826.9</v>
      </c>
      <c r="H101" s="1676">
        <v>373.1</v>
      </c>
      <c r="I101" s="534">
        <f t="shared" si="11"/>
        <v>0</v>
      </c>
      <c r="J101" s="545"/>
      <c r="K101" s="545"/>
      <c r="L101" s="746">
        <f t="shared" si="14"/>
        <v>0</v>
      </c>
      <c r="M101" s="536">
        <f t="shared" si="14"/>
        <v>0</v>
      </c>
      <c r="N101" s="536">
        <f t="shared" si="14"/>
        <v>0</v>
      </c>
      <c r="O101" s="1593" t="s">
        <v>1303</v>
      </c>
      <c r="P101" s="1593" t="s">
        <v>1268</v>
      </c>
      <c r="Q101" s="735">
        <f t="shared" si="15"/>
        <v>0</v>
      </c>
      <c r="R101" s="1565" t="s">
        <v>1477</v>
      </c>
      <c r="S101" s="1565" t="s">
        <v>878</v>
      </c>
      <c r="T101" s="1605">
        <v>414</v>
      </c>
      <c r="U101" s="1606"/>
      <c r="V101" s="1606"/>
    </row>
    <row r="102" spans="1:22" ht="23.25" customHeight="1">
      <c r="A102" s="1672" t="s">
        <v>781</v>
      </c>
      <c r="B102" s="1700" t="s">
        <v>692</v>
      </c>
      <c r="C102" s="814">
        <f t="shared" si="9"/>
        <v>90200</v>
      </c>
      <c r="D102" s="698">
        <v>84777.3</v>
      </c>
      <c r="E102" s="698">
        <v>5422.7</v>
      </c>
      <c r="F102" s="814">
        <f t="shared" si="13"/>
        <v>90200</v>
      </c>
      <c r="G102" s="698">
        <v>84777.3</v>
      </c>
      <c r="H102" s="698">
        <v>5422.7</v>
      </c>
      <c r="I102" s="814">
        <f t="shared" si="11"/>
        <v>0</v>
      </c>
      <c r="J102" s="1677"/>
      <c r="K102" s="1677"/>
      <c r="L102" s="746">
        <f t="shared" si="14"/>
        <v>0</v>
      </c>
      <c r="M102" s="536">
        <f t="shared" si="14"/>
        <v>0</v>
      </c>
      <c r="N102" s="536">
        <f t="shared" si="14"/>
        <v>0</v>
      </c>
      <c r="O102" s="1593" t="s">
        <v>1300</v>
      </c>
      <c r="P102" s="1593" t="s">
        <v>1263</v>
      </c>
      <c r="Q102" s="735">
        <f t="shared" si="15"/>
        <v>0</v>
      </c>
      <c r="R102" s="1565" t="s">
        <v>1477</v>
      </c>
      <c r="S102" s="1565" t="s">
        <v>875</v>
      </c>
      <c r="T102" s="1605">
        <v>414</v>
      </c>
    </row>
    <row r="103" spans="1:22" ht="45.75" customHeight="1">
      <c r="A103" s="1672" t="s">
        <v>631</v>
      </c>
      <c r="B103" s="1700" t="s">
        <v>691</v>
      </c>
      <c r="C103" s="814">
        <f t="shared" si="9"/>
        <v>195900</v>
      </c>
      <c r="D103" s="698">
        <v>184122.7</v>
      </c>
      <c r="E103" s="698">
        <v>11777.3</v>
      </c>
      <c r="F103" s="814">
        <f t="shared" si="13"/>
        <v>195900</v>
      </c>
      <c r="G103" s="698">
        <v>184122.7</v>
      </c>
      <c r="H103" s="698">
        <v>11777.3</v>
      </c>
      <c r="I103" s="814">
        <f t="shared" si="11"/>
        <v>0</v>
      </c>
      <c r="J103" s="1677"/>
      <c r="K103" s="1677"/>
      <c r="L103" s="746">
        <f t="shared" si="14"/>
        <v>0</v>
      </c>
      <c r="M103" s="536">
        <f t="shared" si="14"/>
        <v>0</v>
      </c>
      <c r="N103" s="536">
        <f t="shared" si="14"/>
        <v>0</v>
      </c>
      <c r="O103" s="1593" t="s">
        <v>1301</v>
      </c>
      <c r="P103" s="1593" t="s">
        <v>1264</v>
      </c>
      <c r="Q103" s="735">
        <f t="shared" si="15"/>
        <v>0</v>
      </c>
      <c r="R103" s="1565" t="s">
        <v>1477</v>
      </c>
      <c r="S103" s="1565" t="s">
        <v>875</v>
      </c>
      <c r="T103" s="1605">
        <v>414</v>
      </c>
    </row>
    <row r="104" spans="1:22" ht="41.25" customHeight="1">
      <c r="A104" s="1672" t="s">
        <v>632</v>
      </c>
      <c r="B104" s="1675" t="s">
        <v>478</v>
      </c>
      <c r="C104" s="814">
        <f t="shared" si="9"/>
        <v>449049.8</v>
      </c>
      <c r="D104" s="701">
        <v>422106.8</v>
      </c>
      <c r="E104" s="1718">
        <v>26943</v>
      </c>
      <c r="F104" s="814">
        <f t="shared" si="13"/>
        <v>449049.8</v>
      </c>
      <c r="G104" s="701">
        <v>422106.8</v>
      </c>
      <c r="H104" s="1718">
        <v>26943</v>
      </c>
      <c r="I104" s="814">
        <f t="shared" si="11"/>
        <v>0</v>
      </c>
      <c r="J104" s="701"/>
      <c r="K104" s="701"/>
      <c r="L104" s="746">
        <f t="shared" si="14"/>
        <v>0</v>
      </c>
      <c r="M104" s="536">
        <f t="shared" si="14"/>
        <v>0</v>
      </c>
      <c r="N104" s="536">
        <f t="shared" si="14"/>
        <v>0</v>
      </c>
      <c r="O104" s="1593" t="s">
        <v>1298</v>
      </c>
      <c r="P104" s="1593" t="s">
        <v>1261</v>
      </c>
      <c r="Q104" s="735">
        <f t="shared" si="15"/>
        <v>0</v>
      </c>
      <c r="R104" s="1565" t="s">
        <v>1429</v>
      </c>
      <c r="S104" s="1565" t="s">
        <v>898</v>
      </c>
      <c r="T104" s="1565">
        <v>414</v>
      </c>
    </row>
    <row r="105" spans="1:22" s="484" customFormat="1" ht="41.25" customHeight="1">
      <c r="A105" s="1672" t="s">
        <v>633</v>
      </c>
      <c r="B105" s="1701" t="s">
        <v>694</v>
      </c>
      <c r="C105" s="732">
        <f t="shared" si="9"/>
        <v>115500</v>
      </c>
      <c r="D105" s="854">
        <v>108552</v>
      </c>
      <c r="E105" s="854">
        <v>6948</v>
      </c>
      <c r="F105" s="732">
        <f t="shared" si="13"/>
        <v>115500</v>
      </c>
      <c r="G105" s="854">
        <v>108552</v>
      </c>
      <c r="H105" s="854">
        <v>6948</v>
      </c>
      <c r="I105" s="814">
        <f t="shared" si="11"/>
        <v>0</v>
      </c>
      <c r="J105" s="1677"/>
      <c r="K105" s="1677"/>
      <c r="L105" s="746">
        <f t="shared" si="14"/>
        <v>0</v>
      </c>
      <c r="M105" s="536">
        <f t="shared" si="14"/>
        <v>0</v>
      </c>
      <c r="N105" s="536">
        <f t="shared" si="14"/>
        <v>0</v>
      </c>
      <c r="O105" s="1593" t="s">
        <v>1272</v>
      </c>
      <c r="P105" s="1593" t="s">
        <v>1273</v>
      </c>
      <c r="Q105" s="735">
        <f t="shared" si="15"/>
        <v>0</v>
      </c>
      <c r="R105" s="1565" t="s">
        <v>1474</v>
      </c>
      <c r="S105" s="1565" t="s">
        <v>1479</v>
      </c>
      <c r="T105" s="1605">
        <v>414</v>
      </c>
      <c r="U105" s="1606"/>
      <c r="V105" s="1606"/>
    </row>
    <row r="106" spans="1:22" s="484" customFormat="1" ht="69" customHeight="1">
      <c r="A106" s="1672" t="s">
        <v>634</v>
      </c>
      <c r="B106" s="1701" t="s">
        <v>695</v>
      </c>
      <c r="C106" s="732">
        <f t="shared" si="9"/>
        <v>110500</v>
      </c>
      <c r="D106" s="854">
        <v>103848</v>
      </c>
      <c r="E106" s="854">
        <v>6652</v>
      </c>
      <c r="F106" s="732">
        <f t="shared" si="13"/>
        <v>110500</v>
      </c>
      <c r="G106" s="854">
        <v>103848</v>
      </c>
      <c r="H106" s="854">
        <v>6652</v>
      </c>
      <c r="I106" s="814">
        <f t="shared" si="11"/>
        <v>0</v>
      </c>
      <c r="J106" s="1677"/>
      <c r="K106" s="1677"/>
      <c r="L106" s="746">
        <f t="shared" si="14"/>
        <v>0</v>
      </c>
      <c r="M106" s="536">
        <f t="shared" si="14"/>
        <v>0</v>
      </c>
      <c r="N106" s="536">
        <f t="shared" si="14"/>
        <v>0</v>
      </c>
      <c r="O106" s="1593" t="s">
        <v>1272</v>
      </c>
      <c r="P106" s="1593" t="s">
        <v>1273</v>
      </c>
      <c r="Q106" s="735">
        <f t="shared" si="15"/>
        <v>0</v>
      </c>
      <c r="R106" s="1565" t="s">
        <v>1474</v>
      </c>
      <c r="S106" s="1565" t="s">
        <v>1480</v>
      </c>
      <c r="T106" s="1605">
        <v>414</v>
      </c>
      <c r="U106" s="1606"/>
      <c r="V106" s="1606"/>
    </row>
    <row r="107" spans="1:22" s="484" customFormat="1" ht="53.25" customHeight="1">
      <c r="A107" s="1672" t="s">
        <v>635</v>
      </c>
      <c r="B107" s="1701" t="s">
        <v>698</v>
      </c>
      <c r="C107" s="814">
        <f t="shared" si="9"/>
        <v>326625.7</v>
      </c>
      <c r="D107" s="698">
        <v>307281.5</v>
      </c>
      <c r="E107" s="698">
        <v>19344.2</v>
      </c>
      <c r="F107" s="814">
        <f t="shared" si="13"/>
        <v>326625.7</v>
      </c>
      <c r="G107" s="698">
        <v>307281.5</v>
      </c>
      <c r="H107" s="698">
        <v>19344.2</v>
      </c>
      <c r="I107" s="814">
        <f t="shared" si="11"/>
        <v>0</v>
      </c>
      <c r="J107" s="1677"/>
      <c r="K107" s="1677"/>
      <c r="L107" s="746">
        <f t="shared" si="14"/>
        <v>0</v>
      </c>
      <c r="M107" s="536">
        <f t="shared" si="14"/>
        <v>0</v>
      </c>
      <c r="N107" s="536">
        <f t="shared" si="14"/>
        <v>0</v>
      </c>
      <c r="O107" s="1593" t="s">
        <v>1306</v>
      </c>
      <c r="P107" s="1593" t="s">
        <v>1277</v>
      </c>
      <c r="Q107" s="735">
        <f t="shared" si="15"/>
        <v>0</v>
      </c>
      <c r="R107" s="1565" t="s">
        <v>1481</v>
      </c>
      <c r="S107" s="1565" t="s">
        <v>1482</v>
      </c>
      <c r="T107" s="1605">
        <v>414</v>
      </c>
      <c r="U107" s="1606"/>
      <c r="V107" s="1606"/>
    </row>
    <row r="108" spans="1:22" ht="73.5" customHeight="1">
      <c r="A108" s="1672" t="s">
        <v>734</v>
      </c>
      <c r="B108" s="1701" t="s">
        <v>697</v>
      </c>
      <c r="C108" s="732">
        <f t="shared" si="9"/>
        <v>37500</v>
      </c>
      <c r="D108" s="854">
        <v>35238.699999999997</v>
      </c>
      <c r="E108" s="854">
        <v>2261.3000000000002</v>
      </c>
      <c r="F108" s="732">
        <f t="shared" si="13"/>
        <v>37500</v>
      </c>
      <c r="G108" s="854">
        <v>35238.699999999997</v>
      </c>
      <c r="H108" s="854">
        <v>2261.3000000000002</v>
      </c>
      <c r="I108" s="814">
        <f t="shared" si="11"/>
        <v>0</v>
      </c>
      <c r="J108" s="1677"/>
      <c r="K108" s="1677"/>
      <c r="L108" s="746">
        <f t="shared" si="14"/>
        <v>0</v>
      </c>
      <c r="M108" s="536">
        <f t="shared" si="14"/>
        <v>0</v>
      </c>
      <c r="N108" s="536">
        <f t="shared" si="14"/>
        <v>0</v>
      </c>
      <c r="O108" s="1593" t="s">
        <v>1192</v>
      </c>
      <c r="P108" s="1593" t="s">
        <v>1278</v>
      </c>
      <c r="Q108" s="735">
        <f t="shared" si="15"/>
        <v>0</v>
      </c>
      <c r="R108" s="1565" t="s">
        <v>1481</v>
      </c>
      <c r="S108" s="1565" t="s">
        <v>1483</v>
      </c>
      <c r="T108" s="1605">
        <v>414</v>
      </c>
    </row>
    <row r="109" spans="1:22" ht="99" customHeight="1">
      <c r="A109" s="1672" t="s">
        <v>735</v>
      </c>
      <c r="B109" s="1701" t="s">
        <v>942</v>
      </c>
      <c r="C109" s="732">
        <f t="shared" si="9"/>
        <v>201857</v>
      </c>
      <c r="D109" s="854">
        <v>189685</v>
      </c>
      <c r="E109" s="854">
        <v>12172</v>
      </c>
      <c r="F109" s="732">
        <f t="shared" si="13"/>
        <v>201857</v>
      </c>
      <c r="G109" s="854">
        <v>189685</v>
      </c>
      <c r="H109" s="854">
        <v>12172</v>
      </c>
      <c r="I109" s="814">
        <f t="shared" si="11"/>
        <v>0</v>
      </c>
      <c r="J109" s="1677"/>
      <c r="K109" s="1677"/>
      <c r="L109" s="746">
        <f t="shared" si="14"/>
        <v>0</v>
      </c>
      <c r="M109" s="536">
        <f t="shared" si="14"/>
        <v>0</v>
      </c>
      <c r="N109" s="536">
        <f t="shared" si="14"/>
        <v>0</v>
      </c>
      <c r="O109" s="1593" t="s">
        <v>1192</v>
      </c>
      <c r="P109" s="1593" t="s">
        <v>1279</v>
      </c>
      <c r="Q109" s="735">
        <f t="shared" si="15"/>
        <v>0</v>
      </c>
      <c r="R109" s="1565" t="s">
        <v>1481</v>
      </c>
      <c r="S109" s="1565" t="s">
        <v>1484</v>
      </c>
      <c r="T109" s="1605">
        <v>414</v>
      </c>
    </row>
    <row r="110" spans="1:22" s="1626" customFormat="1" ht="42" customHeight="1">
      <c r="A110" s="1672" t="s">
        <v>636</v>
      </c>
      <c r="B110" s="1732" t="s">
        <v>1488</v>
      </c>
      <c r="C110" s="814">
        <f t="shared" si="9"/>
        <v>605200</v>
      </c>
      <c r="D110" s="698">
        <v>568888</v>
      </c>
      <c r="E110" s="698">
        <v>36312</v>
      </c>
      <c r="F110" s="814">
        <f t="shared" si="13"/>
        <v>605200</v>
      </c>
      <c r="G110" s="698">
        <v>568888</v>
      </c>
      <c r="H110" s="698">
        <v>36312</v>
      </c>
      <c r="I110" s="814">
        <f t="shared" si="11"/>
        <v>0</v>
      </c>
      <c r="J110" s="1677"/>
      <c r="K110" s="1677"/>
      <c r="L110" s="746">
        <f t="shared" si="14"/>
        <v>0</v>
      </c>
      <c r="M110" s="536">
        <f t="shared" si="14"/>
        <v>0</v>
      </c>
      <c r="N110" s="536">
        <f t="shared" si="14"/>
        <v>0</v>
      </c>
      <c r="O110" s="1593" t="s">
        <v>1299</v>
      </c>
      <c r="P110" s="1593" t="s">
        <v>1262</v>
      </c>
      <c r="Q110" s="735">
        <f t="shared" si="15"/>
        <v>0</v>
      </c>
      <c r="R110" s="1565">
        <v>1002</v>
      </c>
      <c r="S110" s="1565" t="s">
        <v>1489</v>
      </c>
      <c r="T110" s="1565">
        <v>414</v>
      </c>
      <c r="U110" s="1625"/>
      <c r="V110" s="1625"/>
    </row>
    <row r="111" spans="1:22" ht="84.75" customHeight="1">
      <c r="A111" s="1686" t="s">
        <v>1515</v>
      </c>
      <c r="B111" s="1687" t="s">
        <v>1513</v>
      </c>
      <c r="C111" s="1688">
        <f t="shared" si="9"/>
        <v>4337</v>
      </c>
      <c r="D111" s="1688">
        <f>SUM(D112)</f>
        <v>0</v>
      </c>
      <c r="E111" s="1688">
        <f>SUM(E112)</f>
        <v>4337</v>
      </c>
      <c r="F111" s="1688">
        <f t="shared" si="13"/>
        <v>4337</v>
      </c>
      <c r="G111" s="1688">
        <f>SUM(G112)</f>
        <v>0</v>
      </c>
      <c r="H111" s="1688">
        <f>SUM(H112)</f>
        <v>4337</v>
      </c>
      <c r="I111" s="1688">
        <f t="shared" si="11"/>
        <v>0</v>
      </c>
      <c r="J111" s="1688">
        <f>SUM(J112)</f>
        <v>0</v>
      </c>
      <c r="K111" s="1688">
        <f>SUM(K112)</f>
        <v>0</v>
      </c>
      <c r="L111" s="1719">
        <f t="shared" si="14"/>
        <v>0</v>
      </c>
      <c r="M111" s="1719">
        <f t="shared" si="14"/>
        <v>0</v>
      </c>
      <c r="N111" s="1719">
        <f t="shared" si="14"/>
        <v>0</v>
      </c>
      <c r="O111" s="1593"/>
      <c r="P111" s="1593"/>
      <c r="Q111" s="735">
        <f t="shared" si="15"/>
        <v>0</v>
      </c>
    </row>
    <row r="112" spans="1:22" ht="69.75" customHeight="1">
      <c r="A112" s="1672" t="s">
        <v>736</v>
      </c>
      <c r="B112" s="1768" t="s">
        <v>1495</v>
      </c>
      <c r="C112" s="732">
        <f t="shared" si="9"/>
        <v>4337</v>
      </c>
      <c r="D112" s="1676"/>
      <c r="E112" s="1676">
        <v>4337</v>
      </c>
      <c r="F112" s="732">
        <f t="shared" si="13"/>
        <v>4337</v>
      </c>
      <c r="G112" s="1676"/>
      <c r="H112" s="1676">
        <v>4337</v>
      </c>
      <c r="I112" s="814">
        <f t="shared" si="11"/>
        <v>0</v>
      </c>
      <c r="J112" s="701"/>
      <c r="K112" s="701"/>
      <c r="L112" s="746">
        <f t="shared" si="14"/>
        <v>0</v>
      </c>
      <c r="M112" s="536">
        <f t="shared" si="14"/>
        <v>0</v>
      </c>
      <c r="N112" s="536">
        <f t="shared" si="14"/>
        <v>0</v>
      </c>
      <c r="O112" s="1593" t="s">
        <v>1290</v>
      </c>
      <c r="P112" s="1593" t="s">
        <v>1240</v>
      </c>
      <c r="Q112" s="735">
        <f t="shared" si="15"/>
        <v>0</v>
      </c>
      <c r="R112" s="1565" t="s">
        <v>1429</v>
      </c>
      <c r="S112" s="1565" t="s">
        <v>1496</v>
      </c>
      <c r="T112" s="1565">
        <v>414</v>
      </c>
    </row>
    <row r="113" spans="1:22" ht="31.5" customHeight="1">
      <c r="A113" s="1686" t="s">
        <v>1516</v>
      </c>
      <c r="B113" s="1687" t="s">
        <v>529</v>
      </c>
      <c r="C113" s="1688">
        <f>SUM(D113:E113)</f>
        <v>175767.8</v>
      </c>
      <c r="D113" s="1688">
        <f>SUM(D114:D116)</f>
        <v>0</v>
      </c>
      <c r="E113" s="1688">
        <f>SUM(E114:E116)</f>
        <v>175767.8</v>
      </c>
      <c r="F113" s="1688">
        <f t="shared" ref="F113:F126" si="16">SUM(G113:H113)</f>
        <v>175767.8</v>
      </c>
      <c r="G113" s="1688">
        <f>SUM(G114:G116)</f>
        <v>0</v>
      </c>
      <c r="H113" s="1688">
        <f>SUM(H114:H116)</f>
        <v>175767.8</v>
      </c>
      <c r="I113" s="1688">
        <f t="shared" si="11"/>
        <v>0</v>
      </c>
      <c r="J113" s="1688">
        <f>SUM(J114:J116)</f>
        <v>0</v>
      </c>
      <c r="K113" s="1688">
        <f>SUM(K114:K116)</f>
        <v>0</v>
      </c>
      <c r="L113" s="1689">
        <f t="shared" si="14"/>
        <v>0</v>
      </c>
      <c r="M113" s="1690">
        <f t="shared" si="14"/>
        <v>0</v>
      </c>
      <c r="N113" s="1690">
        <f t="shared" si="14"/>
        <v>0</v>
      </c>
      <c r="O113" s="1599"/>
      <c r="P113" s="1599"/>
      <c r="Q113" s="735"/>
      <c r="R113" s="1618"/>
      <c r="S113" s="1618"/>
      <c r="T113" s="1618"/>
    </row>
    <row r="114" spans="1:22" s="484" customFormat="1" ht="47.25" customHeight="1">
      <c r="A114" s="1672" t="s">
        <v>737</v>
      </c>
      <c r="B114" s="1772" t="s">
        <v>1469</v>
      </c>
      <c r="C114" s="732">
        <f>SUM(D114:E114)</f>
        <v>38316.699999999997</v>
      </c>
      <c r="D114" s="1676"/>
      <c r="E114" s="1676">
        <v>38316.699999999997</v>
      </c>
      <c r="F114" s="732">
        <f t="shared" si="16"/>
        <v>38316.699999999997</v>
      </c>
      <c r="G114" s="1676"/>
      <c r="H114" s="1676">
        <v>38316.699999999997</v>
      </c>
      <c r="I114" s="814">
        <f t="shared" si="11"/>
        <v>0</v>
      </c>
      <c r="J114" s="701"/>
      <c r="K114" s="701"/>
      <c r="L114" s="746">
        <f t="shared" si="14"/>
        <v>0</v>
      </c>
      <c r="M114" s="536">
        <f t="shared" si="14"/>
        <v>0</v>
      </c>
      <c r="N114" s="536">
        <f t="shared" si="14"/>
        <v>0</v>
      </c>
      <c r="O114" s="1593" t="s">
        <v>1291</v>
      </c>
      <c r="P114" s="1593" t="s">
        <v>1241</v>
      </c>
      <c r="Q114" s="735">
        <f>C114-F114</f>
        <v>0</v>
      </c>
      <c r="R114" s="1565">
        <v>1102</v>
      </c>
      <c r="S114" s="1565" t="s">
        <v>1468</v>
      </c>
      <c r="T114" s="1565">
        <v>414</v>
      </c>
      <c r="U114" s="1606"/>
      <c r="V114" s="1606"/>
    </row>
    <row r="115" spans="1:22" ht="64.5" customHeight="1">
      <c r="A115" s="1672" t="s">
        <v>738</v>
      </c>
      <c r="B115" s="1720" t="s">
        <v>707</v>
      </c>
      <c r="C115" s="732">
        <f>SUM(D115:E115)</f>
        <v>123877.5</v>
      </c>
      <c r="D115" s="1676"/>
      <c r="E115" s="1676">
        <v>123877.5</v>
      </c>
      <c r="F115" s="732">
        <f t="shared" si="16"/>
        <v>123877.5</v>
      </c>
      <c r="G115" s="1676"/>
      <c r="H115" s="1676">
        <v>123877.5</v>
      </c>
      <c r="I115" s="814">
        <f t="shared" si="11"/>
        <v>0</v>
      </c>
      <c r="J115" s="701"/>
      <c r="K115" s="701"/>
      <c r="L115" s="746">
        <f t="shared" si="14"/>
        <v>0</v>
      </c>
      <c r="M115" s="536">
        <f t="shared" si="14"/>
        <v>0</v>
      </c>
      <c r="N115" s="536">
        <f t="shared" si="14"/>
        <v>0</v>
      </c>
      <c r="O115" s="1593" t="s">
        <v>1192</v>
      </c>
      <c r="P115" s="1593" t="s">
        <v>1163</v>
      </c>
      <c r="Q115" s="735">
        <f>C115-F115</f>
        <v>0</v>
      </c>
      <c r="R115" s="1565" t="s">
        <v>1476</v>
      </c>
      <c r="S115" s="1565">
        <v>1550190400</v>
      </c>
      <c r="T115" s="1565">
        <v>414</v>
      </c>
    </row>
    <row r="116" spans="1:22" ht="107.25" customHeight="1">
      <c r="A116" s="1672" t="s">
        <v>739</v>
      </c>
      <c r="B116" s="1768" t="s">
        <v>1478</v>
      </c>
      <c r="C116" s="814">
        <f>SUM(D116:E116)</f>
        <v>13573.6</v>
      </c>
      <c r="D116" s="701"/>
      <c r="E116" s="1718">
        <v>13573.6</v>
      </c>
      <c r="F116" s="814">
        <f t="shared" si="16"/>
        <v>13573.6</v>
      </c>
      <c r="G116" s="701"/>
      <c r="H116" s="1718">
        <v>13573.6</v>
      </c>
      <c r="I116" s="814">
        <f t="shared" si="11"/>
        <v>0</v>
      </c>
      <c r="J116" s="701"/>
      <c r="K116" s="701"/>
      <c r="L116" s="746">
        <f t="shared" si="14"/>
        <v>0</v>
      </c>
      <c r="M116" s="536">
        <f t="shared" si="14"/>
        <v>0</v>
      </c>
      <c r="N116" s="536">
        <f t="shared" si="14"/>
        <v>0</v>
      </c>
      <c r="O116" s="1593" t="s">
        <v>1298</v>
      </c>
      <c r="P116" s="1593" t="s">
        <v>1261</v>
      </c>
      <c r="Q116" s="735">
        <f>C116-F116</f>
        <v>0</v>
      </c>
      <c r="R116" s="1565" t="s">
        <v>1477</v>
      </c>
      <c r="S116" s="1565">
        <v>1130390400</v>
      </c>
      <c r="T116" s="1565">
        <v>414</v>
      </c>
    </row>
    <row r="117" spans="1:22" s="791" customFormat="1" ht="81.75" customHeight="1">
      <c r="A117" s="2377" t="s">
        <v>456</v>
      </c>
      <c r="B117" s="2377"/>
      <c r="C117" s="1748">
        <f t="shared" si="9"/>
        <v>1091137.8</v>
      </c>
      <c r="D117" s="1748">
        <f>SUM(D118,D122)</f>
        <v>612457.1</v>
      </c>
      <c r="E117" s="1748">
        <f>SUM(E118,E122)</f>
        <v>478680.7</v>
      </c>
      <c r="F117" s="1748">
        <f t="shared" si="16"/>
        <v>4800</v>
      </c>
      <c r="G117" s="1748">
        <f>SUM(G118,G122)</f>
        <v>0</v>
      </c>
      <c r="H117" s="1748">
        <f>SUM(H118,H122)</f>
        <v>4800</v>
      </c>
      <c r="I117" s="1748">
        <f t="shared" si="11"/>
        <v>0</v>
      </c>
      <c r="J117" s="1748">
        <f>SUM(J118,J122)</f>
        <v>0</v>
      </c>
      <c r="K117" s="1748">
        <f>SUM(K118,K122)</f>
        <v>0</v>
      </c>
      <c r="L117" s="1749">
        <f t="shared" si="14"/>
        <v>0</v>
      </c>
      <c r="M117" s="1759">
        <f t="shared" si="14"/>
        <v>0</v>
      </c>
      <c r="N117" s="1759">
        <f t="shared" si="14"/>
        <v>0</v>
      </c>
      <c r="O117" s="1282"/>
      <c r="P117" s="1281" t="s">
        <v>1104</v>
      </c>
      <c r="Q117" s="1760">
        <f t="shared" si="15"/>
        <v>1086337.8</v>
      </c>
      <c r="R117" s="1549"/>
      <c r="S117" s="1549"/>
      <c r="T117" s="1549"/>
      <c r="U117" s="1751"/>
      <c r="V117" s="1751"/>
    </row>
    <row r="118" spans="1:22" ht="82.5" customHeight="1">
      <c r="A118" s="1753" t="s">
        <v>6</v>
      </c>
      <c r="B118" s="1754" t="s">
        <v>439</v>
      </c>
      <c r="C118" s="1755">
        <f t="shared" si="9"/>
        <v>4800</v>
      </c>
      <c r="D118" s="1755">
        <f>D119</f>
        <v>0</v>
      </c>
      <c r="E118" s="1755">
        <f>SUM(E119)</f>
        <v>4800</v>
      </c>
      <c r="F118" s="1755">
        <f t="shared" si="16"/>
        <v>4800</v>
      </c>
      <c r="G118" s="1755">
        <f>G119</f>
        <v>0</v>
      </c>
      <c r="H118" s="1755">
        <f>SUM(H119)</f>
        <v>4800</v>
      </c>
      <c r="I118" s="1755">
        <f t="shared" si="11"/>
        <v>0</v>
      </c>
      <c r="J118" s="1755">
        <f>J119</f>
        <v>0</v>
      </c>
      <c r="K118" s="1755">
        <f>SUM(K119)</f>
        <v>0</v>
      </c>
      <c r="L118" s="1756">
        <f t="shared" si="14"/>
        <v>0</v>
      </c>
      <c r="M118" s="1757">
        <f t="shared" si="14"/>
        <v>0</v>
      </c>
      <c r="N118" s="1757">
        <f t="shared" si="14"/>
        <v>0</v>
      </c>
      <c r="O118" s="1597" t="s">
        <v>353</v>
      </c>
      <c r="P118" s="1597" t="s">
        <v>353</v>
      </c>
      <c r="Q118" s="735">
        <f t="shared" si="15"/>
        <v>0</v>
      </c>
    </row>
    <row r="119" spans="1:22" ht="38.25" customHeight="1">
      <c r="A119" s="1667" t="s">
        <v>253</v>
      </c>
      <c r="B119" s="1668" t="s">
        <v>1393</v>
      </c>
      <c r="C119" s="1669">
        <f t="shared" si="9"/>
        <v>4800</v>
      </c>
      <c r="D119" s="1669">
        <f>D120</f>
        <v>0</v>
      </c>
      <c r="E119" s="1669">
        <f>E120</f>
        <v>4800</v>
      </c>
      <c r="F119" s="1669">
        <f t="shared" si="16"/>
        <v>4800</v>
      </c>
      <c r="G119" s="1669">
        <f>G120</f>
        <v>0</v>
      </c>
      <c r="H119" s="1669">
        <f>H120</f>
        <v>4800</v>
      </c>
      <c r="I119" s="1669">
        <f t="shared" si="11"/>
        <v>0</v>
      </c>
      <c r="J119" s="1669">
        <f>J120</f>
        <v>0</v>
      </c>
      <c r="K119" s="1669">
        <f>K120</f>
        <v>0</v>
      </c>
      <c r="L119" s="1670">
        <f t="shared" si="14"/>
        <v>0</v>
      </c>
      <c r="M119" s="1671">
        <f t="shared" si="14"/>
        <v>0</v>
      </c>
      <c r="N119" s="1671">
        <f t="shared" si="14"/>
        <v>0</v>
      </c>
      <c r="O119" s="1599" t="s">
        <v>353</v>
      </c>
      <c r="P119" s="1599" t="s">
        <v>353</v>
      </c>
      <c r="Q119" s="735">
        <f t="shared" si="15"/>
        <v>0</v>
      </c>
    </row>
    <row r="120" spans="1:22" ht="20.25">
      <c r="A120" s="1672"/>
      <c r="B120" s="1778" t="s">
        <v>615</v>
      </c>
      <c r="C120" s="814">
        <f t="shared" si="9"/>
        <v>4800</v>
      </c>
      <c r="D120" s="539">
        <f>SUM(D121)</f>
        <v>0</v>
      </c>
      <c r="E120" s="539">
        <f>SUM(E121)</f>
        <v>4800</v>
      </c>
      <c r="F120" s="814">
        <f t="shared" si="16"/>
        <v>4800</v>
      </c>
      <c r="G120" s="539">
        <f>SUM(G121)</f>
        <v>0</v>
      </c>
      <c r="H120" s="539">
        <f>SUM(H121)</f>
        <v>4800</v>
      </c>
      <c r="I120" s="814">
        <f t="shared" si="11"/>
        <v>0</v>
      </c>
      <c r="J120" s="539">
        <f>SUM(J121)</f>
        <v>0</v>
      </c>
      <c r="K120" s="539">
        <f>SUM(K121)</f>
        <v>0</v>
      </c>
      <c r="L120" s="746">
        <f t="shared" si="14"/>
        <v>0</v>
      </c>
      <c r="M120" s="536">
        <f t="shared" si="14"/>
        <v>0</v>
      </c>
      <c r="N120" s="536">
        <f t="shared" si="14"/>
        <v>0</v>
      </c>
      <c r="O120" s="1627"/>
      <c r="Q120" s="735"/>
    </row>
    <row r="121" spans="1:22" ht="131.25" customHeight="1">
      <c r="A121" s="1672" t="s">
        <v>740</v>
      </c>
      <c r="B121" s="1721" t="s">
        <v>1420</v>
      </c>
      <c r="C121" s="814">
        <f t="shared" si="9"/>
        <v>4800</v>
      </c>
      <c r="D121" s="701"/>
      <c r="E121" s="701">
        <v>4800</v>
      </c>
      <c r="F121" s="814">
        <f t="shared" si="16"/>
        <v>4800</v>
      </c>
      <c r="G121" s="701"/>
      <c r="H121" s="701">
        <v>4800</v>
      </c>
      <c r="I121" s="814">
        <f t="shared" si="11"/>
        <v>0</v>
      </c>
      <c r="J121" s="1677"/>
      <c r="K121" s="1677"/>
      <c r="L121" s="746">
        <f t="shared" si="14"/>
        <v>0</v>
      </c>
      <c r="M121" s="536">
        <f t="shared" si="14"/>
        <v>0</v>
      </c>
      <c r="N121" s="536">
        <f t="shared" si="14"/>
        <v>0</v>
      </c>
      <c r="O121" s="1627"/>
      <c r="Q121" s="735">
        <f t="shared" ref="Q121:Q126" si="17">C121-F121</f>
        <v>0</v>
      </c>
      <c r="R121" s="1565" t="s">
        <v>1427</v>
      </c>
      <c r="S121" s="1565">
        <v>1110243180</v>
      </c>
      <c r="T121" s="1565">
        <v>522</v>
      </c>
    </row>
    <row r="122" spans="1:22" ht="73.5" customHeight="1">
      <c r="A122" s="1758" t="s">
        <v>2</v>
      </c>
      <c r="B122" s="547" t="s">
        <v>222</v>
      </c>
      <c r="C122" s="1755">
        <f>SUM(D122:E122)</f>
        <v>1086337.8</v>
      </c>
      <c r="D122" s="1755">
        <f>SUM(D126,D123)</f>
        <v>612457.1</v>
      </c>
      <c r="E122" s="1755">
        <f>SUM(E126,E123)</f>
        <v>473880.7</v>
      </c>
      <c r="F122" s="1755">
        <f t="shared" si="16"/>
        <v>0</v>
      </c>
      <c r="G122" s="1755">
        <f>SUM(G126,G123)</f>
        <v>0</v>
      </c>
      <c r="H122" s="1755">
        <f>SUM(H126,H123)</f>
        <v>0</v>
      </c>
      <c r="I122" s="1755">
        <f t="shared" si="11"/>
        <v>0</v>
      </c>
      <c r="J122" s="1755">
        <f>SUM(J126,J123)</f>
        <v>0</v>
      </c>
      <c r="K122" s="1755">
        <f>SUM(K126,K123)</f>
        <v>0</v>
      </c>
      <c r="L122" s="1756">
        <f t="shared" si="14"/>
        <v>0</v>
      </c>
      <c r="M122" s="1757">
        <f t="shared" si="14"/>
        <v>0</v>
      </c>
      <c r="N122" s="1757">
        <f t="shared" si="14"/>
        <v>0</v>
      </c>
      <c r="O122" s="1627"/>
      <c r="Q122" s="735">
        <f t="shared" si="17"/>
        <v>1086337.8</v>
      </c>
    </row>
    <row r="123" spans="1:22" ht="35.25" customHeight="1">
      <c r="A123" s="1667" t="s">
        <v>246</v>
      </c>
      <c r="B123" s="1668" t="s">
        <v>1393</v>
      </c>
      <c r="C123" s="1669">
        <f>SUM(D123:E123)</f>
        <v>140700</v>
      </c>
      <c r="D123" s="1669">
        <f>SUM(D124:D125)</f>
        <v>0</v>
      </c>
      <c r="E123" s="1669">
        <f>SUM(E124:E125)</f>
        <v>140700</v>
      </c>
      <c r="F123" s="1669">
        <f t="shared" si="16"/>
        <v>0</v>
      </c>
      <c r="G123" s="1669">
        <f>SUM(G124:G125)</f>
        <v>0</v>
      </c>
      <c r="H123" s="1669">
        <f>SUM(H124:H125)</f>
        <v>0</v>
      </c>
      <c r="I123" s="1669">
        <f t="shared" si="11"/>
        <v>0</v>
      </c>
      <c r="J123" s="1669">
        <f>SUM(J124:J125)</f>
        <v>0</v>
      </c>
      <c r="K123" s="1669">
        <f>SUM(K124:K125)</f>
        <v>0</v>
      </c>
      <c r="L123" s="1670">
        <f t="shared" si="14"/>
        <v>0</v>
      </c>
      <c r="M123" s="1671">
        <f t="shared" si="14"/>
        <v>0</v>
      </c>
      <c r="N123" s="1671">
        <f t="shared" si="14"/>
        <v>0</v>
      </c>
      <c r="O123" s="1599" t="s">
        <v>353</v>
      </c>
      <c r="P123" s="1599" t="s">
        <v>353</v>
      </c>
      <c r="Q123" s="735">
        <f t="shared" si="17"/>
        <v>140700</v>
      </c>
    </row>
    <row r="124" spans="1:22" ht="25.5" customHeight="1">
      <c r="A124" s="1776"/>
      <c r="B124" s="1724" t="s">
        <v>263</v>
      </c>
      <c r="C124" s="732">
        <f>SUM(D124:E124)</f>
        <v>140000</v>
      </c>
      <c r="D124" s="739">
        <v>0</v>
      </c>
      <c r="E124" s="739">
        <v>140000</v>
      </c>
      <c r="F124" s="732">
        <f t="shared" si="16"/>
        <v>0</v>
      </c>
      <c r="G124" s="739"/>
      <c r="H124" s="739"/>
      <c r="I124" s="732">
        <f>SUM(J124:K124)</f>
        <v>0</v>
      </c>
      <c r="J124" s="739"/>
      <c r="K124" s="739"/>
      <c r="L124" s="733">
        <f t="shared" si="14"/>
        <v>0</v>
      </c>
      <c r="M124" s="734">
        <f t="shared" si="14"/>
        <v>0</v>
      </c>
      <c r="N124" s="734">
        <f t="shared" si="14"/>
        <v>0</v>
      </c>
      <c r="O124" s="1627"/>
      <c r="P124" s="1628" t="s">
        <v>1103</v>
      </c>
      <c r="Q124" s="735">
        <f t="shared" si="17"/>
        <v>140000</v>
      </c>
      <c r="R124" s="1565" t="s">
        <v>1427</v>
      </c>
      <c r="S124" s="1565">
        <v>1110290400</v>
      </c>
      <c r="T124" s="1565">
        <v>414</v>
      </c>
    </row>
    <row r="125" spans="1:22" ht="66.75" customHeight="1">
      <c r="A125" s="1776"/>
      <c r="B125" s="1724" t="s">
        <v>268</v>
      </c>
      <c r="C125" s="732">
        <f>SUM(D125:E125)</f>
        <v>700</v>
      </c>
      <c r="D125" s="739">
        <v>0</v>
      </c>
      <c r="E125" s="739">
        <v>700</v>
      </c>
      <c r="F125" s="732">
        <f t="shared" si="16"/>
        <v>0</v>
      </c>
      <c r="G125" s="739"/>
      <c r="H125" s="739"/>
      <c r="I125" s="732">
        <f>SUM(J125:K125)</f>
        <v>0</v>
      </c>
      <c r="J125" s="739"/>
      <c r="K125" s="739"/>
      <c r="L125" s="733">
        <f t="shared" si="14"/>
        <v>0</v>
      </c>
      <c r="M125" s="734">
        <f t="shared" si="14"/>
        <v>0</v>
      </c>
      <c r="N125" s="734">
        <f t="shared" si="14"/>
        <v>0</v>
      </c>
      <c r="O125" s="1627"/>
      <c r="P125" s="1628" t="s">
        <v>1103</v>
      </c>
      <c r="Q125" s="735">
        <f t="shared" si="17"/>
        <v>700</v>
      </c>
      <c r="R125" s="1565" t="s">
        <v>1427</v>
      </c>
      <c r="S125" s="1565">
        <v>1110290400</v>
      </c>
      <c r="T125" s="1565">
        <v>414</v>
      </c>
    </row>
    <row r="126" spans="1:22" ht="38.25" customHeight="1">
      <c r="A126" s="1667" t="s">
        <v>249</v>
      </c>
      <c r="B126" s="1668" t="s">
        <v>1394</v>
      </c>
      <c r="C126" s="1669">
        <f>SUM(D126:E126)</f>
        <v>945637.8</v>
      </c>
      <c r="D126" s="1669">
        <f t="shared" ref="D126:K126" si="18">SUM(D127,D135,D137,D139)</f>
        <v>612457.1</v>
      </c>
      <c r="E126" s="1669">
        <f t="shared" si="18"/>
        <v>333180.7</v>
      </c>
      <c r="F126" s="1669">
        <f t="shared" si="16"/>
        <v>0</v>
      </c>
      <c r="G126" s="1669">
        <f>SUM(G127,G135,G137,G139)</f>
        <v>0</v>
      </c>
      <c r="H126" s="1669">
        <f>SUM(H127,H135,H137,H139)</f>
        <v>0</v>
      </c>
      <c r="I126" s="1669">
        <f t="shared" si="18"/>
        <v>0</v>
      </c>
      <c r="J126" s="1669">
        <f t="shared" si="18"/>
        <v>0</v>
      </c>
      <c r="K126" s="1669">
        <f t="shared" si="18"/>
        <v>0</v>
      </c>
      <c r="L126" s="1670">
        <f t="shared" si="14"/>
        <v>0</v>
      </c>
      <c r="M126" s="1671">
        <f t="shared" si="14"/>
        <v>0</v>
      </c>
      <c r="N126" s="1671">
        <f t="shared" si="14"/>
        <v>0</v>
      </c>
      <c r="O126" s="1599" t="s">
        <v>353</v>
      </c>
      <c r="P126" s="1599" t="s">
        <v>353</v>
      </c>
      <c r="Q126" s="735">
        <f t="shared" si="17"/>
        <v>945637.8</v>
      </c>
    </row>
    <row r="127" spans="1:22" s="1570" customFormat="1" ht="57" customHeight="1">
      <c r="A127" s="1725" t="s">
        <v>250</v>
      </c>
      <c r="B127" s="1726" t="s">
        <v>446</v>
      </c>
      <c r="C127" s="1688">
        <f t="shared" ref="C127:C150" si="19">SUM(D127:E127)</f>
        <v>609600.1</v>
      </c>
      <c r="D127" s="1727">
        <f>SUM(D128:D134)</f>
        <v>437900</v>
      </c>
      <c r="E127" s="1727">
        <f>SUM(E128:E134)</f>
        <v>171700.1</v>
      </c>
      <c r="F127" s="1688">
        <f t="shared" ref="F127:F150" si="20">SUM(G127:H127)</f>
        <v>0</v>
      </c>
      <c r="G127" s="1727">
        <f>SUM(G128:G134)</f>
        <v>0</v>
      </c>
      <c r="H127" s="1727">
        <f>SUM(H128:H134)</f>
        <v>0</v>
      </c>
      <c r="I127" s="1688">
        <f t="shared" ref="I127:I150" si="21">SUM(J127:K127)</f>
        <v>0</v>
      </c>
      <c r="J127" s="1727">
        <f>SUM(J128:J134)</f>
        <v>0</v>
      </c>
      <c r="K127" s="1727">
        <f>SUM(K128:K134)</f>
        <v>0</v>
      </c>
      <c r="L127" s="1719">
        <f t="shared" si="14"/>
        <v>0</v>
      </c>
      <c r="M127" s="1719">
        <f t="shared" si="14"/>
        <v>0</v>
      </c>
      <c r="N127" s="1719">
        <f t="shared" si="14"/>
        <v>0</v>
      </c>
      <c r="O127" s="1627"/>
      <c r="P127" s="1564"/>
      <c r="Q127" s="735"/>
      <c r="R127" s="1565"/>
      <c r="S127" s="1565"/>
      <c r="T127" s="1565"/>
      <c r="U127" s="1613"/>
      <c r="V127" s="1613"/>
    </row>
    <row r="128" spans="1:22" ht="69.75" customHeight="1">
      <c r="A128" s="1776">
        <v>75</v>
      </c>
      <c r="B128" s="1732" t="s">
        <v>1497</v>
      </c>
      <c r="C128" s="732">
        <f t="shared" si="19"/>
        <v>5536.3</v>
      </c>
      <c r="D128" s="845">
        <v>5204.1000000000004</v>
      </c>
      <c r="E128" s="739">
        <v>332.2</v>
      </c>
      <c r="F128" s="732">
        <f t="shared" si="20"/>
        <v>0</v>
      </c>
      <c r="G128" s="845"/>
      <c r="H128" s="739"/>
      <c r="I128" s="814">
        <f t="shared" si="21"/>
        <v>0</v>
      </c>
      <c r="J128" s="845"/>
      <c r="K128" s="739"/>
      <c r="L128" s="746">
        <f t="shared" si="14"/>
        <v>0</v>
      </c>
      <c r="M128" s="536">
        <f t="shared" si="14"/>
        <v>0</v>
      </c>
      <c r="N128" s="536">
        <f t="shared" si="14"/>
        <v>0</v>
      </c>
      <c r="O128" s="1627"/>
      <c r="Q128" s="735">
        <f t="shared" ref="Q128:Q136" si="22">C128-F128</f>
        <v>5536.3</v>
      </c>
      <c r="R128" s="1565" t="s">
        <v>1427</v>
      </c>
      <c r="S128" s="1565" t="s">
        <v>1012</v>
      </c>
      <c r="T128" s="1565">
        <v>414</v>
      </c>
    </row>
    <row r="129" spans="1:22" ht="69.75" customHeight="1">
      <c r="A129" s="1776">
        <v>76</v>
      </c>
      <c r="B129" s="1732" t="s">
        <v>1498</v>
      </c>
      <c r="C129" s="732">
        <f t="shared" si="19"/>
        <v>10545.6</v>
      </c>
      <c r="D129" s="845">
        <v>9912.7999999999993</v>
      </c>
      <c r="E129" s="739">
        <v>632.79999999999995</v>
      </c>
      <c r="F129" s="732">
        <f t="shared" si="20"/>
        <v>0</v>
      </c>
      <c r="G129" s="845"/>
      <c r="H129" s="739"/>
      <c r="I129" s="814">
        <f t="shared" si="21"/>
        <v>0</v>
      </c>
      <c r="J129" s="845"/>
      <c r="K129" s="739"/>
      <c r="L129" s="746">
        <f t="shared" si="14"/>
        <v>0</v>
      </c>
      <c r="M129" s="536">
        <f t="shared" si="14"/>
        <v>0</v>
      </c>
      <c r="N129" s="536">
        <f t="shared" si="14"/>
        <v>0</v>
      </c>
      <c r="O129" s="1627"/>
      <c r="Q129" s="735">
        <f t="shared" si="22"/>
        <v>10545.6</v>
      </c>
      <c r="R129" s="1565" t="s">
        <v>1427</v>
      </c>
      <c r="S129" s="1565" t="s">
        <v>1504</v>
      </c>
      <c r="T129" s="1565">
        <v>414</v>
      </c>
    </row>
    <row r="130" spans="1:22" ht="69.75" customHeight="1">
      <c r="A130" s="1776">
        <v>77</v>
      </c>
      <c r="B130" s="1732" t="s">
        <v>1499</v>
      </c>
      <c r="C130" s="732">
        <f t="shared" si="19"/>
        <v>50668.2</v>
      </c>
      <c r="D130" s="739">
        <v>47622.1</v>
      </c>
      <c r="E130" s="739">
        <v>3046.1</v>
      </c>
      <c r="F130" s="732">
        <f t="shared" si="20"/>
        <v>0</v>
      </c>
      <c r="G130" s="739"/>
      <c r="H130" s="739"/>
      <c r="I130" s="732">
        <f t="shared" si="21"/>
        <v>0</v>
      </c>
      <c r="J130" s="739"/>
      <c r="K130" s="739"/>
      <c r="L130" s="733">
        <f t="shared" si="14"/>
        <v>0</v>
      </c>
      <c r="M130" s="734">
        <f t="shared" si="14"/>
        <v>0</v>
      </c>
      <c r="N130" s="734">
        <f t="shared" si="14"/>
        <v>0</v>
      </c>
      <c r="O130" s="1627"/>
      <c r="Q130" s="735">
        <f t="shared" si="22"/>
        <v>50668.2</v>
      </c>
      <c r="R130" s="1565" t="s">
        <v>1427</v>
      </c>
      <c r="S130" s="1565" t="s">
        <v>1014</v>
      </c>
      <c r="T130" s="1565">
        <v>414</v>
      </c>
    </row>
    <row r="131" spans="1:22" ht="69.75" customHeight="1">
      <c r="A131" s="1776">
        <v>78</v>
      </c>
      <c r="B131" s="1732" t="s">
        <v>1500</v>
      </c>
      <c r="C131" s="732">
        <f t="shared" si="19"/>
        <v>19820</v>
      </c>
      <c r="D131" s="739">
        <v>18630.8</v>
      </c>
      <c r="E131" s="739">
        <v>1189.2</v>
      </c>
      <c r="F131" s="732">
        <f t="shared" si="20"/>
        <v>0</v>
      </c>
      <c r="G131" s="739"/>
      <c r="H131" s="739"/>
      <c r="I131" s="732">
        <f t="shared" si="21"/>
        <v>0</v>
      </c>
      <c r="J131" s="739"/>
      <c r="K131" s="739"/>
      <c r="L131" s="733">
        <f t="shared" si="14"/>
        <v>0</v>
      </c>
      <c r="M131" s="734">
        <f t="shared" si="14"/>
        <v>0</v>
      </c>
      <c r="N131" s="734">
        <f t="shared" si="14"/>
        <v>0</v>
      </c>
      <c r="O131" s="1627"/>
      <c r="Q131" s="735">
        <f t="shared" si="22"/>
        <v>19820</v>
      </c>
      <c r="R131" s="1565" t="s">
        <v>1427</v>
      </c>
      <c r="S131" s="1565" t="s">
        <v>1015</v>
      </c>
      <c r="T131" s="1565">
        <v>414</v>
      </c>
    </row>
    <row r="132" spans="1:22" ht="69.75" customHeight="1">
      <c r="A132" s="1776">
        <v>79</v>
      </c>
      <c r="B132" s="1732" t="s">
        <v>1501</v>
      </c>
      <c r="C132" s="732">
        <f t="shared" si="19"/>
        <v>38330</v>
      </c>
      <c r="D132" s="739">
        <v>36030.199999999997</v>
      </c>
      <c r="E132" s="739">
        <v>2299.8000000000002</v>
      </c>
      <c r="F132" s="732">
        <f t="shared" si="20"/>
        <v>0</v>
      </c>
      <c r="G132" s="739"/>
      <c r="H132" s="739"/>
      <c r="I132" s="732">
        <f t="shared" si="21"/>
        <v>0</v>
      </c>
      <c r="J132" s="739"/>
      <c r="K132" s="739"/>
      <c r="L132" s="733">
        <f t="shared" si="14"/>
        <v>0</v>
      </c>
      <c r="M132" s="734">
        <f t="shared" si="14"/>
        <v>0</v>
      </c>
      <c r="N132" s="734">
        <f t="shared" si="14"/>
        <v>0</v>
      </c>
      <c r="O132" s="1627"/>
      <c r="Q132" s="735">
        <f t="shared" si="22"/>
        <v>38330</v>
      </c>
      <c r="R132" s="1565" t="s">
        <v>1427</v>
      </c>
      <c r="S132" s="1565" t="s">
        <v>1505</v>
      </c>
      <c r="T132" s="1565">
        <v>414</v>
      </c>
    </row>
    <row r="133" spans="1:22" ht="40.5">
      <c r="A133" s="1776">
        <v>80</v>
      </c>
      <c r="B133" s="1732" t="s">
        <v>1502</v>
      </c>
      <c r="C133" s="732">
        <f t="shared" si="19"/>
        <v>122100</v>
      </c>
      <c r="D133" s="739">
        <v>114800</v>
      </c>
      <c r="E133" s="739">
        <v>7300</v>
      </c>
      <c r="F133" s="732">
        <f t="shared" si="20"/>
        <v>0</v>
      </c>
      <c r="G133" s="739"/>
      <c r="H133" s="739"/>
      <c r="I133" s="732">
        <f t="shared" si="21"/>
        <v>0</v>
      </c>
      <c r="J133" s="739"/>
      <c r="K133" s="739"/>
      <c r="L133" s="733">
        <f t="shared" si="14"/>
        <v>0</v>
      </c>
      <c r="M133" s="734">
        <f t="shared" si="14"/>
        <v>0</v>
      </c>
      <c r="N133" s="734">
        <f t="shared" si="14"/>
        <v>0</v>
      </c>
      <c r="O133" s="1627"/>
      <c r="Q133" s="735">
        <f t="shared" si="22"/>
        <v>122100</v>
      </c>
      <c r="R133" s="1565" t="s">
        <v>1427</v>
      </c>
      <c r="S133" s="1565" t="s">
        <v>1008</v>
      </c>
      <c r="T133" s="1565">
        <v>414</v>
      </c>
    </row>
    <row r="134" spans="1:22" ht="45" customHeight="1">
      <c r="A134" s="1776">
        <v>81</v>
      </c>
      <c r="B134" s="1775" t="s">
        <v>1503</v>
      </c>
      <c r="C134" s="732">
        <f t="shared" si="19"/>
        <v>362600</v>
      </c>
      <c r="D134" s="739">
        <v>205700</v>
      </c>
      <c r="E134" s="739">
        <v>156900</v>
      </c>
      <c r="F134" s="732">
        <f t="shared" si="20"/>
        <v>0</v>
      </c>
      <c r="G134" s="739"/>
      <c r="H134" s="739"/>
      <c r="I134" s="732">
        <f t="shared" si="21"/>
        <v>0</v>
      </c>
      <c r="J134" s="739"/>
      <c r="K134" s="739"/>
      <c r="L134" s="733">
        <f t="shared" si="14"/>
        <v>0</v>
      </c>
      <c r="M134" s="734">
        <f t="shared" si="14"/>
        <v>0</v>
      </c>
      <c r="N134" s="734">
        <f t="shared" si="14"/>
        <v>0</v>
      </c>
      <c r="O134" s="1627"/>
      <c r="Q134" s="735">
        <f t="shared" si="22"/>
        <v>362600</v>
      </c>
      <c r="R134" s="1565" t="s">
        <v>1427</v>
      </c>
      <c r="S134" s="1565" t="s">
        <v>1506</v>
      </c>
      <c r="T134" s="1565">
        <v>414</v>
      </c>
    </row>
    <row r="135" spans="1:22" ht="76.5" customHeight="1">
      <c r="A135" s="1725" t="s">
        <v>251</v>
      </c>
      <c r="B135" s="1729" t="s">
        <v>1514</v>
      </c>
      <c r="C135" s="1688">
        <f t="shared" si="19"/>
        <v>63829.8</v>
      </c>
      <c r="D135" s="1688">
        <f>D136</f>
        <v>60000</v>
      </c>
      <c r="E135" s="1688">
        <f>E136</f>
        <v>3829.8</v>
      </c>
      <c r="F135" s="1688">
        <f t="shared" si="20"/>
        <v>0</v>
      </c>
      <c r="G135" s="1688">
        <f>G136</f>
        <v>0</v>
      </c>
      <c r="H135" s="1688">
        <f>H136</f>
        <v>0</v>
      </c>
      <c r="I135" s="1688">
        <f t="shared" si="21"/>
        <v>0</v>
      </c>
      <c r="J135" s="1688">
        <f>J136</f>
        <v>0</v>
      </c>
      <c r="K135" s="1688">
        <f>K136</f>
        <v>0</v>
      </c>
      <c r="L135" s="1730">
        <f t="shared" si="14"/>
        <v>0</v>
      </c>
      <c r="M135" s="1731">
        <f t="shared" si="14"/>
        <v>0</v>
      </c>
      <c r="N135" s="1731">
        <f t="shared" si="14"/>
        <v>0</v>
      </c>
      <c r="O135" s="1627"/>
      <c r="Q135" s="735">
        <f t="shared" si="22"/>
        <v>63829.8</v>
      </c>
    </row>
    <row r="136" spans="1:22" ht="44.25" customHeight="1">
      <c r="A136" s="1776">
        <v>82</v>
      </c>
      <c r="B136" s="1732" t="s">
        <v>623</v>
      </c>
      <c r="C136" s="732">
        <f t="shared" si="19"/>
        <v>63829.8</v>
      </c>
      <c r="D136" s="845">
        <v>60000</v>
      </c>
      <c r="E136" s="739">
        <v>3829.8</v>
      </c>
      <c r="F136" s="732">
        <f t="shared" si="20"/>
        <v>0</v>
      </c>
      <c r="G136" s="845"/>
      <c r="H136" s="739"/>
      <c r="I136" s="814">
        <f t="shared" si="21"/>
        <v>0</v>
      </c>
      <c r="J136" s="845"/>
      <c r="K136" s="739"/>
      <c r="L136" s="746">
        <f t="shared" si="14"/>
        <v>0</v>
      </c>
      <c r="M136" s="536">
        <f t="shared" si="14"/>
        <v>0</v>
      </c>
      <c r="N136" s="536">
        <f t="shared" si="14"/>
        <v>0</v>
      </c>
      <c r="O136" s="1627"/>
      <c r="Q136" s="735">
        <f t="shared" si="22"/>
        <v>63829.8</v>
      </c>
      <c r="R136" s="1565" t="s">
        <v>1427</v>
      </c>
      <c r="S136" s="1565" t="s">
        <v>1507</v>
      </c>
      <c r="T136" s="1565">
        <v>414</v>
      </c>
    </row>
    <row r="137" spans="1:22" ht="92.25" customHeight="1">
      <c r="A137" s="1725" t="s">
        <v>1515</v>
      </c>
      <c r="B137" s="1729" t="s">
        <v>1508</v>
      </c>
      <c r="C137" s="1688">
        <f t="shared" si="19"/>
        <v>268070.59999999998</v>
      </c>
      <c r="D137" s="1688">
        <f>D138</f>
        <v>114557.1</v>
      </c>
      <c r="E137" s="1688">
        <f>E138</f>
        <v>153513.5</v>
      </c>
      <c r="F137" s="1688">
        <f t="shared" si="20"/>
        <v>0</v>
      </c>
      <c r="G137" s="1688">
        <f>G138</f>
        <v>0</v>
      </c>
      <c r="H137" s="1688">
        <f>H138</f>
        <v>0</v>
      </c>
      <c r="I137" s="1688">
        <f t="shared" si="21"/>
        <v>0</v>
      </c>
      <c r="J137" s="1688">
        <f>J138</f>
        <v>0</v>
      </c>
      <c r="K137" s="1688">
        <f>K138</f>
        <v>0</v>
      </c>
      <c r="L137" s="1719">
        <f t="shared" si="14"/>
        <v>0</v>
      </c>
      <c r="M137" s="1719">
        <f t="shared" si="14"/>
        <v>0</v>
      </c>
      <c r="N137" s="1719">
        <f t="shared" si="14"/>
        <v>0</v>
      </c>
      <c r="O137" s="1627"/>
      <c r="Q137" s="735"/>
    </row>
    <row r="138" spans="1:22" ht="90.75" customHeight="1">
      <c r="A138" s="1776">
        <v>83</v>
      </c>
      <c r="B138" s="1732" t="s">
        <v>1509</v>
      </c>
      <c r="C138" s="732">
        <f t="shared" si="19"/>
        <v>268070.59999999998</v>
      </c>
      <c r="D138" s="845">
        <v>114557.1</v>
      </c>
      <c r="E138" s="739">
        <v>153513.5</v>
      </c>
      <c r="F138" s="732">
        <f t="shared" si="20"/>
        <v>0</v>
      </c>
      <c r="G138" s="845"/>
      <c r="H138" s="739"/>
      <c r="I138" s="814">
        <f t="shared" si="21"/>
        <v>0</v>
      </c>
      <c r="J138" s="845"/>
      <c r="K138" s="739">
        <v>0</v>
      </c>
      <c r="L138" s="746">
        <f t="shared" si="14"/>
        <v>0</v>
      </c>
      <c r="M138" s="536">
        <f t="shared" si="14"/>
        <v>0</v>
      </c>
      <c r="N138" s="536">
        <f t="shared" si="14"/>
        <v>0</v>
      </c>
      <c r="O138" s="1627"/>
      <c r="Q138" s="735"/>
      <c r="R138" s="1565" t="s">
        <v>1427</v>
      </c>
      <c r="S138" s="1565" t="s">
        <v>1510</v>
      </c>
      <c r="T138" s="1565">
        <v>414</v>
      </c>
    </row>
    <row r="139" spans="1:22" ht="96" customHeight="1">
      <c r="A139" s="1686" t="s">
        <v>1516</v>
      </c>
      <c r="B139" s="1687" t="s">
        <v>1513</v>
      </c>
      <c r="C139" s="1688">
        <f t="shared" si="19"/>
        <v>4137.3</v>
      </c>
      <c r="D139" s="1688">
        <f>D140</f>
        <v>0</v>
      </c>
      <c r="E139" s="1688">
        <f>E140</f>
        <v>4137.3</v>
      </c>
      <c r="F139" s="1688">
        <f t="shared" si="20"/>
        <v>0</v>
      </c>
      <c r="G139" s="1688">
        <f>G140</f>
        <v>0</v>
      </c>
      <c r="H139" s="1688">
        <f>H140</f>
        <v>0</v>
      </c>
      <c r="I139" s="1688">
        <f t="shared" si="21"/>
        <v>0</v>
      </c>
      <c r="J139" s="1688">
        <f>J140</f>
        <v>0</v>
      </c>
      <c r="K139" s="1688">
        <f>K140</f>
        <v>0</v>
      </c>
      <c r="L139" s="1719">
        <f t="shared" si="14"/>
        <v>0</v>
      </c>
      <c r="M139" s="1719">
        <f t="shared" si="14"/>
        <v>0</v>
      </c>
      <c r="N139" s="1719">
        <f t="shared" si="14"/>
        <v>0</v>
      </c>
      <c r="O139" s="1593"/>
      <c r="P139" s="1593"/>
      <c r="Q139" s="735">
        <f>C139-F139</f>
        <v>4137.3</v>
      </c>
    </row>
    <row r="140" spans="1:22" ht="60.75" customHeight="1">
      <c r="A140" s="1672" t="s">
        <v>745</v>
      </c>
      <c r="B140" s="1732" t="s">
        <v>1511</v>
      </c>
      <c r="C140" s="732">
        <f t="shared" si="19"/>
        <v>4137.3</v>
      </c>
      <c r="D140" s="1676"/>
      <c r="E140" s="1676">
        <v>4137.3</v>
      </c>
      <c r="F140" s="732">
        <f t="shared" si="20"/>
        <v>0</v>
      </c>
      <c r="G140" s="1676"/>
      <c r="H140" s="1676"/>
      <c r="I140" s="814">
        <f t="shared" si="21"/>
        <v>0</v>
      </c>
      <c r="J140" s="701"/>
      <c r="K140" s="701"/>
      <c r="L140" s="746">
        <f t="shared" si="14"/>
        <v>0</v>
      </c>
      <c r="M140" s="536">
        <f t="shared" si="14"/>
        <v>0</v>
      </c>
      <c r="N140" s="536">
        <f t="shared" si="14"/>
        <v>0</v>
      </c>
      <c r="O140" s="1593" t="s">
        <v>1290</v>
      </c>
      <c r="P140" s="1593" t="s">
        <v>1240</v>
      </c>
      <c r="Q140" s="735">
        <f>C140-F140</f>
        <v>4137.3</v>
      </c>
      <c r="R140" s="1565" t="s">
        <v>1429</v>
      </c>
      <c r="S140" s="1565" t="s">
        <v>1526</v>
      </c>
      <c r="T140" s="1565">
        <v>414</v>
      </c>
    </row>
    <row r="141" spans="1:22" s="791" customFormat="1" ht="54.75" customHeight="1">
      <c r="A141" s="2377" t="s">
        <v>1421</v>
      </c>
      <c r="B141" s="2377"/>
      <c r="C141" s="1748">
        <f t="shared" si="19"/>
        <v>27000</v>
      </c>
      <c r="D141" s="1748">
        <f>D142</f>
        <v>0</v>
      </c>
      <c r="E141" s="1748">
        <f>SUM(E142)</f>
        <v>27000</v>
      </c>
      <c r="F141" s="1748">
        <f t="shared" si="20"/>
        <v>0</v>
      </c>
      <c r="G141" s="1748">
        <f>G142</f>
        <v>0</v>
      </c>
      <c r="H141" s="1748">
        <f>SUM(H142)</f>
        <v>0</v>
      </c>
      <c r="I141" s="1748">
        <f t="shared" si="21"/>
        <v>0</v>
      </c>
      <c r="J141" s="1748">
        <f>SUM(J142)</f>
        <v>0</v>
      </c>
      <c r="K141" s="1748">
        <f>SUM(K142)</f>
        <v>0</v>
      </c>
      <c r="L141" s="1749">
        <f t="shared" ref="L141:N150" si="23">IF(I141=0,0,I141/F141*100)</f>
        <v>0</v>
      </c>
      <c r="M141" s="1759">
        <f t="shared" si="23"/>
        <v>0</v>
      </c>
      <c r="N141" s="1759">
        <f t="shared" si="23"/>
        <v>0</v>
      </c>
      <c r="O141" s="1282"/>
      <c r="P141" s="1281" t="s">
        <v>1104</v>
      </c>
      <c r="Q141" s="1760">
        <f>C141-F141</f>
        <v>27000</v>
      </c>
      <c r="R141" s="1549"/>
      <c r="S141" s="1549"/>
      <c r="T141" s="1549"/>
      <c r="U141" s="1751"/>
      <c r="V141" s="1751"/>
    </row>
    <row r="142" spans="1:22" ht="101.25" customHeight="1">
      <c r="A142" s="1753" t="s">
        <v>6</v>
      </c>
      <c r="B142" s="1754" t="s">
        <v>439</v>
      </c>
      <c r="C142" s="1755">
        <f t="shared" si="19"/>
        <v>27000</v>
      </c>
      <c r="D142" s="1755">
        <f>SUM(D143,D148)</f>
        <v>0</v>
      </c>
      <c r="E142" s="1755">
        <f>SUM(E143,E148)</f>
        <v>27000</v>
      </c>
      <c r="F142" s="1755">
        <f t="shared" si="20"/>
        <v>0</v>
      </c>
      <c r="G142" s="1755">
        <f>SUM(G143,G148)</f>
        <v>0</v>
      </c>
      <c r="H142" s="1755">
        <f>SUM(H143,H148)</f>
        <v>0</v>
      </c>
      <c r="I142" s="1755">
        <f t="shared" si="21"/>
        <v>0</v>
      </c>
      <c r="J142" s="1755">
        <f>SUM(J143)</f>
        <v>0</v>
      </c>
      <c r="K142" s="1755">
        <f>SUM(K143)</f>
        <v>0</v>
      </c>
      <c r="L142" s="1756">
        <f t="shared" si="23"/>
        <v>0</v>
      </c>
      <c r="M142" s="1757">
        <f t="shared" si="23"/>
        <v>0</v>
      </c>
      <c r="N142" s="1757">
        <f t="shared" si="23"/>
        <v>0</v>
      </c>
      <c r="O142" s="1597" t="s">
        <v>353</v>
      </c>
      <c r="P142" s="1597" t="s">
        <v>353</v>
      </c>
      <c r="Q142" s="735">
        <f>C142-F142</f>
        <v>27000</v>
      </c>
    </row>
    <row r="143" spans="1:22" ht="36.75" customHeight="1">
      <c r="A143" s="1667" t="s">
        <v>253</v>
      </c>
      <c r="B143" s="1668" t="s">
        <v>1393</v>
      </c>
      <c r="C143" s="1669">
        <f t="shared" si="19"/>
        <v>12500</v>
      </c>
      <c r="D143" s="1669">
        <f>SUM(D146,D144)</f>
        <v>0</v>
      </c>
      <c r="E143" s="1669">
        <f>SUM(E146,E144)</f>
        <v>12500</v>
      </c>
      <c r="F143" s="1669">
        <f t="shared" si="20"/>
        <v>0</v>
      </c>
      <c r="G143" s="1669">
        <f>SUM(G146,G144)</f>
        <v>0</v>
      </c>
      <c r="H143" s="1669">
        <f>SUM(H146,H144)</f>
        <v>0</v>
      </c>
      <c r="I143" s="1669">
        <f t="shared" si="21"/>
        <v>0</v>
      </c>
      <c r="J143" s="1669">
        <f>SUM(J146,J144,J149)</f>
        <v>0</v>
      </c>
      <c r="K143" s="1669">
        <f>SUM(K146,K144,K149)</f>
        <v>0</v>
      </c>
      <c r="L143" s="1670">
        <f t="shared" si="23"/>
        <v>0</v>
      </c>
      <c r="M143" s="1671">
        <f t="shared" si="23"/>
        <v>0</v>
      </c>
      <c r="N143" s="1671">
        <f t="shared" si="23"/>
        <v>0</v>
      </c>
      <c r="O143" s="1599" t="s">
        <v>353</v>
      </c>
      <c r="P143" s="1599" t="s">
        <v>353</v>
      </c>
      <c r="Q143" s="735">
        <f>C143-F143</f>
        <v>12500</v>
      </c>
    </row>
    <row r="144" spans="1:22" ht="20.25">
      <c r="A144" s="1672"/>
      <c r="B144" s="1778" t="s">
        <v>68</v>
      </c>
      <c r="C144" s="814">
        <f t="shared" si="19"/>
        <v>2500</v>
      </c>
      <c r="D144" s="539">
        <f>SUM(D145)</f>
        <v>0</v>
      </c>
      <c r="E144" s="539">
        <f>SUM(E145)</f>
        <v>2500</v>
      </c>
      <c r="F144" s="814">
        <f t="shared" si="20"/>
        <v>0</v>
      </c>
      <c r="G144" s="539">
        <f>SUM(G145)</f>
        <v>0</v>
      </c>
      <c r="H144" s="539">
        <f>SUM(H145)</f>
        <v>0</v>
      </c>
      <c r="I144" s="814">
        <f t="shared" si="21"/>
        <v>0</v>
      </c>
      <c r="J144" s="539">
        <f>SUM(J145)</f>
        <v>0</v>
      </c>
      <c r="K144" s="539">
        <f>SUM(K145)</f>
        <v>0</v>
      </c>
      <c r="L144" s="746">
        <f t="shared" si="23"/>
        <v>0</v>
      </c>
      <c r="M144" s="536">
        <f t="shared" si="23"/>
        <v>0</v>
      </c>
      <c r="N144" s="536">
        <f t="shared" si="23"/>
        <v>0</v>
      </c>
      <c r="O144" s="1627"/>
      <c r="Q144" s="735"/>
    </row>
    <row r="145" spans="1:22" ht="49.5" customHeight="1">
      <c r="A145" s="1672" t="s">
        <v>746</v>
      </c>
      <c r="B145" s="1732" t="s">
        <v>1422</v>
      </c>
      <c r="C145" s="814">
        <f t="shared" si="19"/>
        <v>2500</v>
      </c>
      <c r="D145" s="701">
        <v>0</v>
      </c>
      <c r="E145" s="701">
        <v>2500</v>
      </c>
      <c r="F145" s="814">
        <f t="shared" si="20"/>
        <v>0</v>
      </c>
      <c r="G145" s="701">
        <v>0</v>
      </c>
      <c r="H145" s="701">
        <v>0</v>
      </c>
      <c r="I145" s="814">
        <f t="shared" si="21"/>
        <v>0</v>
      </c>
      <c r="J145" s="1677"/>
      <c r="K145" s="1677"/>
      <c r="L145" s="746">
        <f t="shared" si="23"/>
        <v>0</v>
      </c>
      <c r="M145" s="536">
        <f t="shared" si="23"/>
        <v>0</v>
      </c>
      <c r="N145" s="536">
        <f t="shared" si="23"/>
        <v>0</v>
      </c>
      <c r="O145" s="1627"/>
      <c r="Q145" s="735">
        <f>C145-F145</f>
        <v>2500</v>
      </c>
      <c r="R145" s="1565">
        <v>1102</v>
      </c>
      <c r="S145" s="1565" t="s">
        <v>1426</v>
      </c>
      <c r="T145" s="1565">
        <v>522</v>
      </c>
    </row>
    <row r="146" spans="1:22" ht="20.25">
      <c r="A146" s="1672"/>
      <c r="B146" s="1778" t="s">
        <v>457</v>
      </c>
      <c r="C146" s="814">
        <f t="shared" si="19"/>
        <v>10000</v>
      </c>
      <c r="D146" s="539">
        <f>SUM(D147)</f>
        <v>0</v>
      </c>
      <c r="E146" s="539">
        <f>SUM(E147)</f>
        <v>10000</v>
      </c>
      <c r="F146" s="814">
        <f t="shared" si="20"/>
        <v>0</v>
      </c>
      <c r="G146" s="539">
        <f>SUM(G147)</f>
        <v>0</v>
      </c>
      <c r="H146" s="539">
        <f>SUM(H147)</f>
        <v>0</v>
      </c>
      <c r="I146" s="814">
        <f t="shared" si="21"/>
        <v>0</v>
      </c>
      <c r="J146" s="539">
        <f>SUM(J147)</f>
        <v>0</v>
      </c>
      <c r="K146" s="539">
        <f>SUM(K147)</f>
        <v>0</v>
      </c>
      <c r="L146" s="746">
        <f t="shared" si="23"/>
        <v>0</v>
      </c>
      <c r="M146" s="536">
        <f t="shared" si="23"/>
        <v>0</v>
      </c>
      <c r="N146" s="536">
        <f t="shared" si="23"/>
        <v>0</v>
      </c>
      <c r="O146" s="1627"/>
      <c r="Q146" s="735"/>
    </row>
    <row r="147" spans="1:22" ht="101.25">
      <c r="A147" s="1672" t="s">
        <v>747</v>
      </c>
      <c r="B147" s="1732" t="s">
        <v>1424</v>
      </c>
      <c r="C147" s="814">
        <f t="shared" si="19"/>
        <v>10000</v>
      </c>
      <c r="D147" s="701">
        <v>0</v>
      </c>
      <c r="E147" s="701">
        <v>10000</v>
      </c>
      <c r="F147" s="814">
        <f t="shared" si="20"/>
        <v>0</v>
      </c>
      <c r="G147" s="701">
        <v>0</v>
      </c>
      <c r="H147" s="701">
        <v>0</v>
      </c>
      <c r="I147" s="814">
        <f t="shared" si="21"/>
        <v>0</v>
      </c>
      <c r="J147" s="1677"/>
      <c r="K147" s="1677"/>
      <c r="L147" s="746">
        <f t="shared" si="23"/>
        <v>0</v>
      </c>
      <c r="M147" s="536">
        <f t="shared" si="23"/>
        <v>0</v>
      </c>
      <c r="N147" s="536">
        <f t="shared" si="23"/>
        <v>0</v>
      </c>
      <c r="O147" s="1627"/>
      <c r="Q147" s="735">
        <f>C147-F147</f>
        <v>10000</v>
      </c>
      <c r="R147" s="1565">
        <v>1103</v>
      </c>
      <c r="S147" s="1565" t="s">
        <v>1425</v>
      </c>
      <c r="T147" s="1565">
        <v>522</v>
      </c>
    </row>
    <row r="148" spans="1:22" ht="40.5" customHeight="1">
      <c r="A148" s="1667" t="s">
        <v>254</v>
      </c>
      <c r="B148" s="1668" t="s">
        <v>1394</v>
      </c>
      <c r="C148" s="1669">
        <f t="shared" si="19"/>
        <v>14500</v>
      </c>
      <c r="D148" s="1669">
        <f>D149</f>
        <v>0</v>
      </c>
      <c r="E148" s="1669">
        <f>E149</f>
        <v>14500</v>
      </c>
      <c r="F148" s="1669">
        <f t="shared" si="20"/>
        <v>0</v>
      </c>
      <c r="G148" s="1669">
        <f>G149</f>
        <v>0</v>
      </c>
      <c r="H148" s="1669">
        <f>H149</f>
        <v>0</v>
      </c>
      <c r="I148" s="1669">
        <f t="shared" si="21"/>
        <v>0</v>
      </c>
      <c r="J148" s="1669">
        <f>J149</f>
        <v>0</v>
      </c>
      <c r="K148" s="1669">
        <f>K149</f>
        <v>0</v>
      </c>
      <c r="L148" s="1670">
        <f t="shared" si="23"/>
        <v>0</v>
      </c>
      <c r="M148" s="1671">
        <f t="shared" si="23"/>
        <v>0</v>
      </c>
      <c r="N148" s="1671">
        <f t="shared" si="23"/>
        <v>0</v>
      </c>
      <c r="O148" s="1599" t="s">
        <v>353</v>
      </c>
      <c r="P148" s="1599" t="s">
        <v>353</v>
      </c>
      <c r="Q148" s="735">
        <f>C148-F148</f>
        <v>14500</v>
      </c>
    </row>
    <row r="149" spans="1:22" ht="20.25">
      <c r="A149" s="1672"/>
      <c r="B149" s="1778" t="s">
        <v>615</v>
      </c>
      <c r="C149" s="814">
        <f t="shared" si="19"/>
        <v>14500</v>
      </c>
      <c r="D149" s="539">
        <f>SUM(D150)</f>
        <v>0</v>
      </c>
      <c r="E149" s="539">
        <f>SUM(E150)</f>
        <v>14500</v>
      </c>
      <c r="F149" s="814">
        <f t="shared" si="20"/>
        <v>0</v>
      </c>
      <c r="G149" s="539">
        <f>SUM(G150)</f>
        <v>0</v>
      </c>
      <c r="H149" s="539">
        <f>SUM(H150)</f>
        <v>0</v>
      </c>
      <c r="I149" s="814">
        <f t="shared" si="21"/>
        <v>0</v>
      </c>
      <c r="J149" s="539">
        <f>SUM(J150)</f>
        <v>0</v>
      </c>
      <c r="K149" s="539">
        <f>SUM(K150)</f>
        <v>0</v>
      </c>
      <c r="L149" s="746">
        <f t="shared" si="23"/>
        <v>0</v>
      </c>
      <c r="M149" s="536">
        <f t="shared" si="23"/>
        <v>0</v>
      </c>
      <c r="N149" s="536">
        <f t="shared" si="23"/>
        <v>0</v>
      </c>
      <c r="O149" s="1627"/>
      <c r="Q149" s="735"/>
    </row>
    <row r="150" spans="1:22" ht="21.75" customHeight="1">
      <c r="A150" s="1672" t="s">
        <v>748</v>
      </c>
      <c r="B150" s="1732" t="s">
        <v>1423</v>
      </c>
      <c r="C150" s="814">
        <f t="shared" si="19"/>
        <v>14500</v>
      </c>
      <c r="D150" s="701">
        <v>0</v>
      </c>
      <c r="E150" s="701">
        <v>14500</v>
      </c>
      <c r="F150" s="814">
        <f t="shared" si="20"/>
        <v>0</v>
      </c>
      <c r="G150" s="701">
        <v>0</v>
      </c>
      <c r="H150" s="701">
        <v>0</v>
      </c>
      <c r="I150" s="814">
        <f t="shared" si="21"/>
        <v>0</v>
      </c>
      <c r="J150" s="1677"/>
      <c r="K150" s="1677"/>
      <c r="L150" s="746">
        <f>IF(I150=0,0,I150/F150*100)</f>
        <v>0</v>
      </c>
      <c r="M150" s="536">
        <f t="shared" si="23"/>
        <v>0</v>
      </c>
      <c r="N150" s="536">
        <f t="shared" si="23"/>
        <v>0</v>
      </c>
      <c r="O150" s="1627"/>
      <c r="Q150" s="735">
        <f>C150-F150</f>
        <v>14500</v>
      </c>
      <c r="R150" s="1565">
        <v>1102</v>
      </c>
      <c r="S150" s="1565" t="s">
        <v>1426</v>
      </c>
      <c r="T150" s="1565">
        <v>522</v>
      </c>
    </row>
    <row r="151" spans="1:22" ht="52.5" customHeight="1">
      <c r="A151" s="1734"/>
      <c r="B151" s="1735"/>
      <c r="C151" s="1736"/>
      <c r="D151" s="1737"/>
      <c r="E151" s="1737"/>
      <c r="F151" s="1736"/>
      <c r="G151" s="1737"/>
      <c r="H151" s="1737"/>
      <c r="I151" s="1736"/>
      <c r="J151" s="1738"/>
      <c r="K151" s="1738"/>
      <c r="L151" s="1739"/>
      <c r="M151" s="1740"/>
      <c r="N151" s="1740"/>
      <c r="O151" s="1627"/>
      <c r="Q151" s="735">
        <f>C151-F151</f>
        <v>0</v>
      </c>
    </row>
    <row r="152" spans="1:22" ht="37.5" customHeight="1">
      <c r="A152" s="2532" t="s">
        <v>432</v>
      </c>
      <c r="B152" s="2532"/>
      <c r="C152" s="1741"/>
      <c r="D152" s="1780"/>
      <c r="E152" s="1780"/>
      <c r="F152" s="1741"/>
      <c r="G152" s="1780"/>
      <c r="H152" s="1780"/>
      <c r="I152" s="1743"/>
      <c r="J152" s="1744"/>
      <c r="K152" s="1744"/>
      <c r="L152" s="1745"/>
      <c r="M152" s="1746"/>
      <c r="N152" s="1746"/>
      <c r="O152" s="1659"/>
      <c r="Q152" s="735">
        <f>C152-F152</f>
        <v>0</v>
      </c>
    </row>
    <row r="153" spans="1:22" s="1570" customFormat="1" ht="24.75" customHeight="1">
      <c r="A153" s="2534" t="s">
        <v>1520</v>
      </c>
      <c r="B153" s="2534"/>
      <c r="C153" s="801">
        <f t="shared" ref="C153:C158" si="24">SUM(D153:E153)</f>
        <v>3010592.7</v>
      </c>
      <c r="D153" s="732">
        <f>SUM(D50,D80)</f>
        <v>2270166.7999999998</v>
      </c>
      <c r="E153" s="732">
        <f>SUM(E50,E80)</f>
        <v>740425.9</v>
      </c>
      <c r="F153" s="801">
        <f t="shared" ref="F153:F158" si="25">SUM(G153:H153)</f>
        <v>3010592.7</v>
      </c>
      <c r="G153" s="732">
        <f>SUM(G50,G80)</f>
        <v>2270166.7999999998</v>
      </c>
      <c r="H153" s="732">
        <f>SUM(H50,H80)</f>
        <v>740425.9</v>
      </c>
      <c r="I153" s="801">
        <f t="shared" ref="I153:I158" si="26">SUM(J153:K153)</f>
        <v>0</v>
      </c>
      <c r="J153" s="732">
        <f>SUM(J50,J80)</f>
        <v>0</v>
      </c>
      <c r="K153" s="732">
        <f>SUM(K50,K80)</f>
        <v>0</v>
      </c>
      <c r="L153" s="801">
        <f t="shared" ref="L153:N158" si="27">IF(I153=0,0,I153/F153*100)</f>
        <v>0</v>
      </c>
      <c r="M153" s="732">
        <f t="shared" si="27"/>
        <v>0</v>
      </c>
      <c r="N153" s="732">
        <f t="shared" si="27"/>
        <v>0</v>
      </c>
      <c r="O153" s="1762"/>
      <c r="P153" s="1763"/>
      <c r="Q153" s="1764">
        <f>C153-F153</f>
        <v>0</v>
      </c>
      <c r="R153" s="1658"/>
      <c r="S153" s="1658"/>
      <c r="T153" s="1658"/>
      <c r="U153" s="1613"/>
      <c r="V153" s="1613"/>
    </row>
    <row r="154" spans="1:22" ht="51.75" customHeight="1">
      <c r="A154" s="1752"/>
      <c r="B154" s="1752" t="s">
        <v>1521</v>
      </c>
      <c r="C154" s="801">
        <f t="shared" si="24"/>
        <v>907482.5</v>
      </c>
      <c r="D154" s="802">
        <f>D55</f>
        <v>898393.9</v>
      </c>
      <c r="E154" s="802">
        <f>E55</f>
        <v>9088.6</v>
      </c>
      <c r="F154" s="801">
        <f t="shared" si="25"/>
        <v>907482.5</v>
      </c>
      <c r="G154" s="802">
        <f>G55</f>
        <v>898393.9</v>
      </c>
      <c r="H154" s="802">
        <f>H55</f>
        <v>9088.6</v>
      </c>
      <c r="I154" s="801">
        <f t="shared" si="26"/>
        <v>0</v>
      </c>
      <c r="J154" s="802">
        <f>J55</f>
        <v>0</v>
      </c>
      <c r="K154" s="802">
        <f>K55</f>
        <v>0</v>
      </c>
      <c r="L154" s="801">
        <f t="shared" si="27"/>
        <v>0</v>
      </c>
      <c r="M154" s="802">
        <f t="shared" si="27"/>
        <v>0</v>
      </c>
      <c r="N154" s="802">
        <f t="shared" si="27"/>
        <v>0</v>
      </c>
      <c r="O154" s="1627"/>
      <c r="Q154" s="735"/>
    </row>
    <row r="155" spans="1:22" s="1570" customFormat="1" ht="76.5" customHeight="1">
      <c r="A155" s="2534" t="s">
        <v>1528</v>
      </c>
      <c r="B155" s="2534"/>
      <c r="C155" s="801">
        <f t="shared" si="24"/>
        <v>3675193.7</v>
      </c>
      <c r="D155" s="732">
        <f>SUM(D88,D111,D127,D135,D137,D139)</f>
        <v>3174557.1</v>
      </c>
      <c r="E155" s="732">
        <f>SUM(E88,E111,E127,E135,E137,E139)</f>
        <v>500636.6</v>
      </c>
      <c r="F155" s="801">
        <f t="shared" si="25"/>
        <v>1035742.1</v>
      </c>
      <c r="G155" s="732">
        <f>SUM(G52,G82)</f>
        <v>643461.4</v>
      </c>
      <c r="H155" s="732">
        <f>SUM(H52,H82)</f>
        <v>392280.7</v>
      </c>
      <c r="I155" s="801">
        <f t="shared" si="26"/>
        <v>0</v>
      </c>
      <c r="J155" s="732">
        <f>SUM(J52,J82)</f>
        <v>0</v>
      </c>
      <c r="K155" s="732">
        <f>SUM(K52,K82)</f>
        <v>0</v>
      </c>
      <c r="L155" s="801">
        <f>IF(I155=0,0,I155/F155*100)</f>
        <v>0</v>
      </c>
      <c r="M155" s="732">
        <f>IF(J155=0,0,J155/G155*100)</f>
        <v>0</v>
      </c>
      <c r="N155" s="732">
        <f>IF(K155=0,0,K155/H155*100)</f>
        <v>0</v>
      </c>
      <c r="O155" s="1762"/>
      <c r="P155" s="1763"/>
      <c r="Q155" s="1764">
        <f>C155-F155</f>
        <v>2639451.6</v>
      </c>
      <c r="R155" s="1658"/>
      <c r="S155" s="1658"/>
      <c r="T155" s="1658"/>
      <c r="U155" s="1613"/>
      <c r="V155" s="1613"/>
    </row>
    <row r="156" spans="1:22" ht="72.75" customHeight="1">
      <c r="A156" s="1704"/>
      <c r="B156" s="1704" t="s">
        <v>1527</v>
      </c>
      <c r="C156" s="741">
        <f t="shared" si="24"/>
        <v>3334819</v>
      </c>
      <c r="D156" s="1677">
        <f>SUM(D88,D127)</f>
        <v>3000000</v>
      </c>
      <c r="E156" s="1677">
        <f>SUM(E88,E127)</f>
        <v>334819</v>
      </c>
      <c r="F156" s="741">
        <f t="shared" si="25"/>
        <v>2725218.9</v>
      </c>
      <c r="G156" s="1677">
        <f>SUM(G127,G88)</f>
        <v>2562100</v>
      </c>
      <c r="H156" s="1677">
        <f>SUM(H127,H88)</f>
        <v>163118.9</v>
      </c>
      <c r="I156" s="741">
        <f t="shared" si="26"/>
        <v>0</v>
      </c>
      <c r="J156" s="1677">
        <f>SUM(J127,J88)</f>
        <v>0</v>
      </c>
      <c r="K156" s="1677">
        <f>SUM(K127,K88)</f>
        <v>0</v>
      </c>
      <c r="L156" s="801">
        <f t="shared" si="27"/>
        <v>0</v>
      </c>
      <c r="M156" s="802">
        <f t="shared" si="27"/>
        <v>0</v>
      </c>
      <c r="N156" s="802">
        <f t="shared" si="27"/>
        <v>0</v>
      </c>
      <c r="O156" s="1627"/>
      <c r="Q156" s="735">
        <f>C156-F156</f>
        <v>609600.1</v>
      </c>
    </row>
    <row r="157" spans="1:22" s="1570" customFormat="1" ht="20.25">
      <c r="A157" s="2534" t="s">
        <v>1529</v>
      </c>
      <c r="B157" s="2534"/>
      <c r="C157" s="741">
        <f t="shared" si="24"/>
        <v>560033.19999999995</v>
      </c>
      <c r="D157" s="814">
        <f>SUM(D15,D57,D119,D123,D143)</f>
        <v>0</v>
      </c>
      <c r="E157" s="814">
        <f>SUM(E15,E57,E119,E123,E143)</f>
        <v>560033.19999999995</v>
      </c>
      <c r="F157" s="741">
        <f t="shared" si="25"/>
        <v>406833.2</v>
      </c>
      <c r="G157" s="814">
        <f>SUM(G15,G57,G119,G123,G143)</f>
        <v>0</v>
      </c>
      <c r="H157" s="814">
        <f>SUM(H15,H57,H119,H123,H143)</f>
        <v>406833.2</v>
      </c>
      <c r="I157" s="741">
        <f t="shared" si="26"/>
        <v>0</v>
      </c>
      <c r="J157" s="814">
        <f>SUM(J15,J57,J119,J123,J143)</f>
        <v>0</v>
      </c>
      <c r="K157" s="814">
        <f>SUM(K15,K57,K119,K123,K143)</f>
        <v>0</v>
      </c>
      <c r="L157" s="801">
        <f t="shared" si="27"/>
        <v>0</v>
      </c>
      <c r="M157" s="732">
        <f t="shared" si="27"/>
        <v>0</v>
      </c>
      <c r="N157" s="732">
        <f t="shared" si="27"/>
        <v>0</v>
      </c>
      <c r="O157" s="1762"/>
      <c r="P157" s="1763"/>
      <c r="Q157" s="1764">
        <f>C157-F157</f>
        <v>153200</v>
      </c>
      <c r="R157" s="1658"/>
      <c r="S157" s="1658"/>
      <c r="T157" s="1658"/>
      <c r="U157" s="1613"/>
      <c r="V157" s="1613"/>
    </row>
    <row r="158" spans="1:22" s="1570" customFormat="1" ht="30.75" customHeight="1">
      <c r="A158" s="2536" t="s">
        <v>529</v>
      </c>
      <c r="B158" s="2536"/>
      <c r="C158" s="746">
        <f t="shared" si="24"/>
        <v>190267.8</v>
      </c>
      <c r="D158" s="534">
        <f>D12-D153-D155-D157</f>
        <v>0</v>
      </c>
      <c r="E158" s="534">
        <f>E12-E153-E155-E157</f>
        <v>190267.8</v>
      </c>
      <c r="F158" s="746">
        <f t="shared" si="25"/>
        <v>180104.8</v>
      </c>
      <c r="G158" s="534">
        <f>G12-G153-G156-G157</f>
        <v>0</v>
      </c>
      <c r="H158" s="534">
        <f>H12-H153-H156-H157</f>
        <v>180104.8</v>
      </c>
      <c r="I158" s="746">
        <f t="shared" si="26"/>
        <v>0</v>
      </c>
      <c r="J158" s="534">
        <f>J12-J153-J156-J157</f>
        <v>0</v>
      </c>
      <c r="K158" s="534">
        <f>K12-K153-K156-K157</f>
        <v>0</v>
      </c>
      <c r="L158" s="801">
        <f t="shared" si="27"/>
        <v>0</v>
      </c>
      <c r="M158" s="732">
        <f t="shared" si="27"/>
        <v>0</v>
      </c>
      <c r="N158" s="732">
        <f t="shared" si="27"/>
        <v>0</v>
      </c>
      <c r="O158" s="1763"/>
      <c r="P158" s="1763"/>
      <c r="Q158" s="1765" t="s">
        <v>813</v>
      </c>
      <c r="R158" s="1766"/>
      <c r="S158" s="1766"/>
      <c r="T158" s="1658"/>
      <c r="U158" s="1613"/>
      <c r="V158" s="1613"/>
    </row>
    <row r="159" spans="1:22" ht="35.25" customHeight="1">
      <c r="A159" s="1643"/>
      <c r="B159" s="1644"/>
      <c r="C159" s="1645"/>
      <c r="D159" s="1645"/>
      <c r="E159" s="1645"/>
      <c r="F159" s="1645"/>
      <c r="G159" s="1645"/>
      <c r="H159" s="1645"/>
      <c r="I159" s="1645"/>
      <c r="J159" s="1645"/>
      <c r="K159" s="1645"/>
      <c r="L159" s="1645"/>
      <c r="M159" s="1645"/>
      <c r="N159" s="1645"/>
      <c r="Q159" s="1641"/>
      <c r="R159" s="1642"/>
      <c r="S159" s="1642"/>
    </row>
    <row r="160" spans="1:22" s="892" customFormat="1" ht="39.75" customHeight="1">
      <c r="A160" s="1554"/>
      <c r="B160" s="892" t="s">
        <v>310</v>
      </c>
      <c r="C160" s="1555"/>
      <c r="D160" s="1556"/>
      <c r="E160" s="1557"/>
      <c r="F160" s="1558"/>
      <c r="G160" s="1559"/>
      <c r="H160" s="1559"/>
      <c r="I160" s="1560"/>
      <c r="J160" s="1556"/>
      <c r="K160" s="1767"/>
      <c r="L160" s="1556"/>
      <c r="M160" s="1561" t="s">
        <v>613</v>
      </c>
      <c r="N160" s="1562"/>
      <c r="O160" s="1544"/>
      <c r="P160" s="1544"/>
      <c r="Q160" s="1552"/>
      <c r="R160" s="1553"/>
      <c r="S160" s="1553"/>
      <c r="T160" s="1550"/>
      <c r="U160" s="1545"/>
      <c r="V160" s="1545"/>
    </row>
    <row r="161" spans="1:20" ht="78.75" customHeight="1">
      <c r="A161" s="1643"/>
      <c r="B161" s="712" t="s">
        <v>1390</v>
      </c>
      <c r="C161" s="1648"/>
      <c r="D161" s="1647"/>
      <c r="E161" s="1649"/>
      <c r="F161" s="1649"/>
      <c r="G161" s="1650"/>
      <c r="H161" s="1650"/>
      <c r="I161" s="1651"/>
      <c r="J161" s="1650"/>
      <c r="K161" s="2535"/>
      <c r="L161" s="2535"/>
      <c r="M161" s="1647"/>
      <c r="N161" s="1647"/>
      <c r="Q161" s="1641"/>
      <c r="R161" s="1642"/>
      <c r="S161" s="1642"/>
    </row>
    <row r="162" spans="1:20" ht="88.5" customHeight="1">
      <c r="C162" s="1648"/>
      <c r="D162" s="1648"/>
      <c r="E162" s="1647"/>
      <c r="F162" s="1647"/>
      <c r="G162" s="1647"/>
      <c r="H162" s="1652"/>
      <c r="I162" s="1648"/>
      <c r="J162" s="1648"/>
      <c r="K162" s="1652"/>
      <c r="Q162" s="1641"/>
      <c r="R162" s="1642"/>
      <c r="S162" s="1642"/>
    </row>
    <row r="163" spans="1:20" ht="45" customHeight="1">
      <c r="C163" s="992"/>
      <c r="E163" s="1779"/>
      <c r="F163" s="1653"/>
      <c r="G163" s="725"/>
      <c r="Q163" s="1641"/>
      <c r="R163" s="1642"/>
      <c r="S163" s="1642"/>
    </row>
    <row r="164" spans="1:20" ht="58.5" customHeight="1">
      <c r="E164" s="1654"/>
      <c r="Q164" s="1655"/>
      <c r="R164" s="1642"/>
      <c r="S164" s="1642"/>
    </row>
    <row r="165" spans="1:20" s="1657" customFormat="1" ht="46.5" customHeight="1">
      <c r="A165" s="1567"/>
      <c r="B165" s="712"/>
      <c r="C165" s="1570"/>
      <c r="D165" s="712"/>
      <c r="E165" s="1654"/>
      <c r="F165" s="1570"/>
      <c r="G165" s="712"/>
      <c r="H165" s="712"/>
      <c r="I165" s="1569"/>
      <c r="J165" s="712"/>
      <c r="K165" s="712"/>
      <c r="L165" s="1570"/>
      <c r="M165" s="712"/>
      <c r="N165" s="712"/>
      <c r="O165" s="1564"/>
      <c r="P165" s="1564"/>
      <c r="Q165" s="1656"/>
      <c r="R165" s="1642"/>
      <c r="S165" s="1642"/>
      <c r="T165" s="1546"/>
    </row>
    <row r="166" spans="1:20" s="1657" customFormat="1" ht="47.25" customHeight="1">
      <c r="A166" s="1567"/>
      <c r="B166" s="712"/>
      <c r="C166" s="1570"/>
      <c r="D166" s="712"/>
      <c r="E166" s="712"/>
      <c r="F166" s="1570"/>
      <c r="G166" s="712"/>
      <c r="H166" s="712"/>
      <c r="I166" s="1569"/>
      <c r="J166" s="712"/>
      <c r="K166" s="712"/>
      <c r="L166" s="1570"/>
      <c r="M166" s="712"/>
      <c r="N166" s="712"/>
      <c r="O166" s="1564"/>
      <c r="P166" s="1564"/>
      <c r="Q166" s="1655"/>
      <c r="R166" s="1642"/>
      <c r="S166" s="1642"/>
      <c r="T166" s="1546"/>
    </row>
    <row r="167" spans="1:20" s="1657" customFormat="1" ht="45" customHeight="1">
      <c r="A167" s="1567"/>
      <c r="B167" s="712"/>
      <c r="C167" s="1570"/>
      <c r="D167" s="712"/>
      <c r="E167" s="712"/>
      <c r="F167" s="1570"/>
      <c r="G167" s="712"/>
      <c r="H167" s="712"/>
      <c r="I167" s="1569"/>
      <c r="J167" s="712"/>
      <c r="K167" s="712"/>
      <c r="L167" s="1570"/>
      <c r="M167" s="712"/>
      <c r="N167" s="712"/>
      <c r="O167" s="1564"/>
      <c r="P167" s="1564"/>
      <c r="Q167" s="712"/>
      <c r="R167" s="1642"/>
      <c r="S167" s="1642"/>
      <c r="T167" s="1546"/>
    </row>
    <row r="168" spans="1:20" s="1657" customFormat="1" ht="56.25" customHeight="1">
      <c r="A168" s="1567"/>
      <c r="B168" s="712"/>
      <c r="C168" s="1570"/>
      <c r="D168" s="712"/>
      <c r="E168" s="712"/>
      <c r="F168" s="1570"/>
      <c r="G168" s="712"/>
      <c r="H168" s="712"/>
      <c r="I168" s="1569"/>
      <c r="J168" s="712"/>
      <c r="K168" s="712"/>
      <c r="L168" s="1570"/>
      <c r="M168" s="712"/>
      <c r="N168" s="712"/>
      <c r="O168" s="1564"/>
      <c r="P168" s="1564"/>
      <c r="Q168" s="712"/>
      <c r="R168" s="1565"/>
      <c r="S168" s="1565"/>
      <c r="T168" s="1546"/>
    </row>
  </sheetData>
  <autoFilter ref="S1:S168"/>
  <mergeCells count="30">
    <mergeCell ref="A158:B158"/>
    <mergeCell ref="K161:L161"/>
    <mergeCell ref="A13:B13"/>
    <mergeCell ref="P43:P44"/>
    <mergeCell ref="A117:B117"/>
    <mergeCell ref="A141:B141"/>
    <mergeCell ref="A152:B152"/>
    <mergeCell ref="A153:B153"/>
    <mergeCell ref="A157:B157"/>
    <mergeCell ref="A155:B155"/>
    <mergeCell ref="A7:N7"/>
    <mergeCell ref="O9:O10"/>
    <mergeCell ref="P9:P10"/>
    <mergeCell ref="M8:N8"/>
    <mergeCell ref="P8:Q8"/>
    <mergeCell ref="C9:C10"/>
    <mergeCell ref="D9:E9"/>
    <mergeCell ref="F9:F10"/>
    <mergeCell ref="G9:H9"/>
    <mergeCell ref="B9:B10"/>
    <mergeCell ref="L9:L10"/>
    <mergeCell ref="M9:N9"/>
    <mergeCell ref="I9:I10"/>
    <mergeCell ref="J9:K9"/>
    <mergeCell ref="A9:A10"/>
    <mergeCell ref="A1:B1"/>
    <mergeCell ref="K1:N1"/>
    <mergeCell ref="I3:L3"/>
    <mergeCell ref="A5:N5"/>
    <mergeCell ref="A6:N6"/>
  </mergeCells>
  <pageMargins left="0.31496062992125984" right="0.31496062992125984" top="0.47244094488188981" bottom="0.66" header="0.47244094488188981" footer="0.62"/>
  <pageSetup paperSize="9" scale="46" fitToHeight="1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Y167"/>
  <sheetViews>
    <sheetView zoomScale="80" zoomScaleNormal="80" workbookViewId="0">
      <selection activeCell="A14" sqref="A1:IV65536"/>
    </sheetView>
  </sheetViews>
  <sheetFormatPr defaultColWidth="9.140625" defaultRowHeight="18.75"/>
  <cols>
    <col min="1" max="1" width="14.42578125" style="1567" customWidth="1"/>
    <col min="2" max="2" width="78.5703125" style="712" customWidth="1"/>
    <col min="3" max="3" width="18.28515625" style="1570" customWidth="1"/>
    <col min="4" max="5" width="18.28515625" style="712" customWidth="1"/>
    <col min="6" max="6" width="16.85546875" style="1570" customWidth="1"/>
    <col min="7" max="8" width="16.85546875" style="712" customWidth="1"/>
    <col min="9" max="9" width="16.85546875" style="1569" customWidth="1"/>
    <col min="10" max="11" width="16.85546875" style="712" customWidth="1"/>
    <col min="12" max="12" width="16.85546875" style="1570" customWidth="1"/>
    <col min="13" max="14" width="16.85546875" style="712" customWidth="1"/>
    <col min="15" max="15" width="43" style="1564" hidden="1" customWidth="1"/>
    <col min="16" max="19" width="25.140625" style="1564" hidden="1" customWidth="1"/>
    <col min="20" max="20" width="21.42578125" style="712" hidden="1" customWidth="1"/>
    <col min="21" max="21" width="11.7109375" style="1565" customWidth="1"/>
    <col min="22" max="22" width="32.28515625" style="1565" customWidth="1"/>
    <col min="23" max="23" width="11.85546875" style="1565" customWidth="1"/>
    <col min="24" max="24" width="25.85546875" style="1566" customWidth="1"/>
    <col min="25" max="25" width="35.140625" style="1566" customWidth="1"/>
    <col min="26" max="16384" width="9.140625" style="712"/>
  </cols>
  <sheetData>
    <row r="1" spans="1:25">
      <c r="A1" s="2537"/>
      <c r="B1" s="2537"/>
      <c r="C1" s="1563"/>
      <c r="D1" s="1563"/>
      <c r="E1" s="1563"/>
      <c r="F1" s="1563"/>
      <c r="G1" s="1563"/>
      <c r="H1" s="1563"/>
      <c r="I1" s="1563"/>
      <c r="K1" s="2538" t="s">
        <v>513</v>
      </c>
      <c r="L1" s="2538"/>
      <c r="M1" s="2538"/>
      <c r="N1" s="2538"/>
    </row>
    <row r="2" spans="1:25" hidden="1">
      <c r="B2" s="1568"/>
      <c r="C2" s="1569"/>
      <c r="D2" s="1568"/>
      <c r="E2" s="1568"/>
      <c r="L2" s="1569"/>
    </row>
    <row r="3" spans="1:25" s="1575" customFormat="1" hidden="1">
      <c r="A3" s="1571"/>
      <c r="B3" s="1572"/>
      <c r="C3" s="1573"/>
      <c r="D3" s="1574"/>
      <c r="E3" s="1574"/>
      <c r="F3" s="1573"/>
      <c r="G3" s="1574"/>
      <c r="H3" s="1574"/>
      <c r="I3" s="2538"/>
      <c r="J3" s="2538"/>
      <c r="K3" s="2538"/>
      <c r="L3" s="2538"/>
      <c r="N3" s="1576"/>
      <c r="O3" s="1577"/>
      <c r="P3" s="1577"/>
      <c r="Q3" s="1577"/>
      <c r="R3" s="1577"/>
      <c r="S3" s="1577"/>
      <c r="U3" s="1578"/>
      <c r="V3" s="1578"/>
      <c r="W3" s="1579"/>
      <c r="X3" s="1580"/>
      <c r="Y3" s="1580"/>
    </row>
    <row r="4" spans="1:25" s="1575" customFormat="1" ht="43.5" hidden="1" customHeight="1">
      <c r="A4" s="1571"/>
      <c r="B4" s="1572"/>
      <c r="C4" s="1581">
        <f>6162009.6</f>
        <v>6162009.5999999996</v>
      </c>
      <c r="D4" s="1574"/>
      <c r="E4" s="1574"/>
      <c r="F4" s="1581">
        <v>5873905</v>
      </c>
      <c r="G4" s="1582"/>
      <c r="H4" s="1582"/>
      <c r="I4" s="1583">
        <v>2407625.6</v>
      </c>
      <c r="J4" s="1582"/>
      <c r="K4" s="1582"/>
      <c r="L4" s="1584"/>
      <c r="N4" s="1576"/>
      <c r="O4" s="1577"/>
      <c r="P4" s="1577"/>
      <c r="Q4" s="1577"/>
      <c r="R4" s="1577"/>
      <c r="S4" s="1577"/>
      <c r="U4" s="1578"/>
      <c r="V4" s="1578"/>
      <c r="W4" s="1579"/>
      <c r="X4" s="1580"/>
      <c r="Y4" s="1580"/>
    </row>
    <row r="5" spans="1:25" s="1575" customFormat="1" ht="28.5" customHeight="1">
      <c r="A5" s="2361" t="s">
        <v>5</v>
      </c>
      <c r="B5" s="2361"/>
      <c r="C5" s="2361"/>
      <c r="D5" s="2361"/>
      <c r="E5" s="2361"/>
      <c r="F5" s="2361"/>
      <c r="G5" s="2361"/>
      <c r="H5" s="2361"/>
      <c r="I5" s="2361"/>
      <c r="J5" s="2361"/>
      <c r="K5" s="2361"/>
      <c r="L5" s="2361"/>
      <c r="M5" s="2361"/>
      <c r="N5" s="2361"/>
      <c r="O5" s="1585"/>
      <c r="P5" s="1585"/>
      <c r="Q5" s="1585"/>
      <c r="R5" s="1585"/>
      <c r="S5" s="1585"/>
      <c r="T5" s="1585"/>
      <c r="U5" s="1586"/>
      <c r="V5" s="1586"/>
      <c r="W5" s="1579"/>
      <c r="X5" s="1580"/>
      <c r="Y5" s="1580"/>
    </row>
    <row r="6" spans="1:25" s="1575" customFormat="1" ht="38.25" customHeight="1">
      <c r="A6" s="2361" t="s">
        <v>236</v>
      </c>
      <c r="B6" s="2361"/>
      <c r="C6" s="2361"/>
      <c r="D6" s="2361"/>
      <c r="E6" s="2361"/>
      <c r="F6" s="2361"/>
      <c r="G6" s="2361"/>
      <c r="H6" s="2361"/>
      <c r="I6" s="2361"/>
      <c r="J6" s="2361"/>
      <c r="K6" s="2361"/>
      <c r="L6" s="2361"/>
      <c r="M6" s="2361"/>
      <c r="N6" s="2361"/>
      <c r="O6" s="1585"/>
      <c r="P6" s="1585"/>
      <c r="Q6" s="1585"/>
      <c r="R6" s="1585"/>
      <c r="S6" s="1585"/>
      <c r="T6" s="1585"/>
      <c r="U6" s="1586"/>
      <c r="V6" s="1586"/>
      <c r="W6" s="1579"/>
      <c r="X6" s="1580"/>
      <c r="Y6" s="1580"/>
    </row>
    <row r="7" spans="1:25" s="1575" customFormat="1" ht="38.25" customHeight="1">
      <c r="A7" s="2361" t="s">
        <v>1391</v>
      </c>
      <c r="B7" s="2361"/>
      <c r="C7" s="2361"/>
      <c r="D7" s="2361"/>
      <c r="E7" s="2361"/>
      <c r="F7" s="2361"/>
      <c r="G7" s="2361"/>
      <c r="H7" s="2361"/>
      <c r="I7" s="2361"/>
      <c r="J7" s="2361"/>
      <c r="K7" s="2361"/>
      <c r="L7" s="2361"/>
      <c r="M7" s="2361"/>
      <c r="N7" s="2361"/>
      <c r="O7" s="1585"/>
      <c r="P7" s="1585"/>
      <c r="Q7" s="1585"/>
      <c r="R7" s="1585"/>
      <c r="S7" s="1585"/>
      <c r="T7" s="1585"/>
      <c r="U7" s="1586"/>
      <c r="V7" s="1586"/>
      <c r="W7" s="1579"/>
      <c r="X7" s="1580"/>
      <c r="Y7" s="1580"/>
    </row>
    <row r="8" spans="1:25" s="1575" customFormat="1" ht="25.5" customHeight="1">
      <c r="A8" s="1571"/>
      <c r="B8" s="1571"/>
      <c r="C8" s="1587"/>
      <c r="D8" s="1660"/>
      <c r="E8" s="1661"/>
      <c r="F8" s="1587"/>
      <c r="G8" s="1588"/>
      <c r="H8" s="1589"/>
      <c r="I8" s="1590"/>
      <c r="J8" s="1591"/>
      <c r="K8" s="1591"/>
      <c r="L8" s="1585"/>
      <c r="M8" s="2533" t="s">
        <v>377</v>
      </c>
      <c r="N8" s="2533"/>
      <c r="O8" s="1577"/>
      <c r="P8" s="2533"/>
      <c r="Q8" s="2533"/>
      <c r="R8" s="2533"/>
      <c r="S8" s="2533"/>
      <c r="T8" s="2533"/>
      <c r="U8" s="1578"/>
      <c r="V8" s="1578"/>
      <c r="W8" s="1579"/>
      <c r="X8" s="1580"/>
      <c r="Y8" s="1580"/>
    </row>
    <row r="9" spans="1:25" ht="70.5" customHeight="1">
      <c r="A9" s="2553" t="s">
        <v>18</v>
      </c>
      <c r="B9" s="2545" t="s">
        <v>0</v>
      </c>
      <c r="C9" s="2541" t="s">
        <v>1374</v>
      </c>
      <c r="D9" s="2540" t="s">
        <v>257</v>
      </c>
      <c r="E9" s="2540"/>
      <c r="F9" s="2541" t="s">
        <v>442</v>
      </c>
      <c r="G9" s="2540" t="s">
        <v>257</v>
      </c>
      <c r="H9" s="2540"/>
      <c r="I9" s="2560" t="s">
        <v>237</v>
      </c>
      <c r="J9" s="2540" t="s">
        <v>257</v>
      </c>
      <c r="K9" s="2540"/>
      <c r="L9" s="2541" t="s">
        <v>1313</v>
      </c>
      <c r="M9" s="2540" t="s">
        <v>257</v>
      </c>
      <c r="N9" s="2540"/>
      <c r="O9" s="2543" t="s">
        <v>1110</v>
      </c>
      <c r="P9" s="2543" t="s">
        <v>1106</v>
      </c>
      <c r="Q9" s="2374" t="s">
        <v>1374</v>
      </c>
      <c r="R9" s="2542" t="s">
        <v>257</v>
      </c>
      <c r="S9" s="2542"/>
    </row>
    <row r="10" spans="1:25" ht="150" customHeight="1">
      <c r="A10" s="2553"/>
      <c r="B10" s="2545"/>
      <c r="C10" s="2541"/>
      <c r="D10" s="1662" t="s">
        <v>1074</v>
      </c>
      <c r="E10" s="1662" t="s">
        <v>258</v>
      </c>
      <c r="F10" s="2541"/>
      <c r="G10" s="1662" t="s">
        <v>1074</v>
      </c>
      <c r="H10" s="1662" t="s">
        <v>258</v>
      </c>
      <c r="I10" s="2561"/>
      <c r="J10" s="1662" t="s">
        <v>1074</v>
      </c>
      <c r="K10" s="1662" t="s">
        <v>258</v>
      </c>
      <c r="L10" s="2541"/>
      <c r="M10" s="1662" t="s">
        <v>1074</v>
      </c>
      <c r="N10" s="1662" t="s">
        <v>258</v>
      </c>
      <c r="O10" s="2544"/>
      <c r="P10" s="2544"/>
      <c r="Q10" s="2374"/>
      <c r="R10" s="709" t="s">
        <v>1074</v>
      </c>
      <c r="S10" s="709" t="s">
        <v>258</v>
      </c>
    </row>
    <row r="11" spans="1:25" ht="20.25">
      <c r="A11" s="1663">
        <v>1</v>
      </c>
      <c r="B11" s="1663">
        <v>2</v>
      </c>
      <c r="C11" s="1663">
        <v>3</v>
      </c>
      <c r="D11" s="1663">
        <v>4</v>
      </c>
      <c r="E11" s="1663">
        <v>5</v>
      </c>
      <c r="F11" s="1664">
        <v>7</v>
      </c>
      <c r="G11" s="1664">
        <v>8</v>
      </c>
      <c r="H11" s="1664">
        <v>9</v>
      </c>
      <c r="I11" s="1664">
        <v>10</v>
      </c>
      <c r="J11" s="1664">
        <v>11</v>
      </c>
      <c r="K11" s="1664">
        <v>12</v>
      </c>
      <c r="L11" s="1664">
        <v>13</v>
      </c>
      <c r="M11" s="1664">
        <v>14</v>
      </c>
      <c r="N11" s="1664">
        <v>15</v>
      </c>
      <c r="O11" s="1593">
        <v>10</v>
      </c>
      <c r="P11" s="1593">
        <v>11</v>
      </c>
      <c r="Q11" s="1593"/>
      <c r="R11" s="1593"/>
      <c r="S11" s="1593"/>
      <c r="T11" s="712" t="s">
        <v>791</v>
      </c>
    </row>
    <row r="12" spans="1:25" s="791" customFormat="1" ht="45" customHeight="1">
      <c r="A12" s="1232"/>
      <c r="B12" s="710" t="s">
        <v>10</v>
      </c>
      <c r="C12" s="1748">
        <f>SUM(D12:E12)</f>
        <v>7436087.4000000004</v>
      </c>
      <c r="D12" s="1748">
        <f>SUM(D13,D117,D141)</f>
        <v>5444723.9000000004</v>
      </c>
      <c r="E12" s="1748">
        <f>SUM(E13,E117,E141)</f>
        <v>1991363.5</v>
      </c>
      <c r="F12" s="1748">
        <f>SUM(G12:H12)</f>
        <v>0</v>
      </c>
      <c r="G12" s="1748">
        <f>SUM(G13,G117,G141)</f>
        <v>0</v>
      </c>
      <c r="H12" s="1748">
        <f>SUM(H13,H117,H141)</f>
        <v>0</v>
      </c>
      <c r="I12" s="1748">
        <f>SUM(J12:K12)</f>
        <v>0</v>
      </c>
      <c r="J12" s="1748">
        <f>SUM(J13,J117,J141)</f>
        <v>0</v>
      </c>
      <c r="K12" s="1748">
        <f>SUM(K13,K117,K141)</f>
        <v>0</v>
      </c>
      <c r="L12" s="1749">
        <f>IF(I12=0,0,I12/F12*100)</f>
        <v>0</v>
      </c>
      <c r="M12" s="1749">
        <f t="shared" ref="M12:N38" si="0">IF(J12=0,0,J12/G12*100)</f>
        <v>0</v>
      </c>
      <c r="N12" s="1749">
        <f t="shared" si="0"/>
        <v>0</v>
      </c>
      <c r="O12" s="1232" t="s">
        <v>353</v>
      </c>
      <c r="P12" s="1232"/>
      <c r="Q12" s="1748" t="e">
        <f t="shared" ref="Q12:Q49" si="1">SUM(R12:S12)</f>
        <v>#REF!</v>
      </c>
      <c r="R12" s="1748" t="e">
        <f>SUM(R13,R117,#REF!)</f>
        <v>#REF!</v>
      </c>
      <c r="S12" s="1748" t="e">
        <f>SUM(S13,S117,#REF!)</f>
        <v>#REF!</v>
      </c>
      <c r="T12" s="1750">
        <f t="shared" ref="T12:T49" si="2">C12-F12</f>
        <v>7436087.4000000004</v>
      </c>
      <c r="U12" s="1549"/>
      <c r="V12" s="1549"/>
      <c r="W12" s="1549"/>
      <c r="X12" s="1751"/>
      <c r="Y12" s="1751"/>
    </row>
    <row r="13" spans="1:25" ht="53.25" customHeight="1">
      <c r="A13" s="2558" t="s">
        <v>453</v>
      </c>
      <c r="B13" s="2558"/>
      <c r="C13" s="722">
        <f>SUM(D13:E13)</f>
        <v>6317949.5999999996</v>
      </c>
      <c r="D13" s="722">
        <f>SUM(D14,D56)</f>
        <v>4832266.8</v>
      </c>
      <c r="E13" s="722">
        <f>SUM(E14,E56)</f>
        <v>1485682.8</v>
      </c>
      <c r="F13" s="722">
        <f>SUM(G13:H13)</f>
        <v>0</v>
      </c>
      <c r="G13" s="722">
        <f>SUM(G14,G56)</f>
        <v>0</v>
      </c>
      <c r="H13" s="722">
        <f>SUM(H14,H56)</f>
        <v>0</v>
      </c>
      <c r="I13" s="722">
        <f>SUM(J13:K13)</f>
        <v>0</v>
      </c>
      <c r="J13" s="722">
        <f>SUM(J14,J56)</f>
        <v>0</v>
      </c>
      <c r="K13" s="722">
        <f>SUM(K14,K56)</f>
        <v>0</v>
      </c>
      <c r="L13" s="723">
        <f t="shared" ref="L13:N76" si="3">IF(I13=0,0,I13/F13*100)</f>
        <v>0</v>
      </c>
      <c r="M13" s="724">
        <f t="shared" si="0"/>
        <v>0</v>
      </c>
      <c r="N13" s="724">
        <f t="shared" si="0"/>
        <v>0</v>
      </c>
      <c r="O13" s="643" t="s">
        <v>353</v>
      </c>
      <c r="P13" s="643" t="s">
        <v>353</v>
      </c>
      <c r="Q13" s="1594" t="e">
        <f t="shared" si="1"/>
        <v>#REF!</v>
      </c>
      <c r="R13" s="1594" t="e">
        <f>SUM(R14,R56)</f>
        <v>#REF!</v>
      </c>
      <c r="S13" s="1594" t="e">
        <f>SUM(S14,S56)</f>
        <v>#REF!</v>
      </c>
      <c r="T13" s="1595">
        <f t="shared" si="2"/>
        <v>6317949.5999999996</v>
      </c>
    </row>
    <row r="14" spans="1:25" ht="102" customHeight="1">
      <c r="A14" s="1665" t="s">
        <v>6</v>
      </c>
      <c r="B14" s="1666" t="s">
        <v>439</v>
      </c>
      <c r="C14" s="726">
        <f>SUM(D14:E14)</f>
        <v>1216272.7</v>
      </c>
      <c r="D14" s="726">
        <f>SUM(D15,D49)</f>
        <v>999116.3</v>
      </c>
      <c r="E14" s="726">
        <f>SUM(E15,E49)</f>
        <v>217156.4</v>
      </c>
      <c r="F14" s="726">
        <f>SUM(G14:H14)</f>
        <v>0</v>
      </c>
      <c r="G14" s="726">
        <f>SUM(G15,G49)</f>
        <v>0</v>
      </c>
      <c r="H14" s="726">
        <f>SUM(H15,H49)</f>
        <v>0</v>
      </c>
      <c r="I14" s="726">
        <f>SUM(J14:K14)</f>
        <v>0</v>
      </c>
      <c r="J14" s="726">
        <f>SUM(J15,J49)</f>
        <v>0</v>
      </c>
      <c r="K14" s="726">
        <f>SUM(K15,K49)</f>
        <v>0</v>
      </c>
      <c r="L14" s="727">
        <f t="shared" si="3"/>
        <v>0</v>
      </c>
      <c r="M14" s="728">
        <f t="shared" si="0"/>
        <v>0</v>
      </c>
      <c r="N14" s="728">
        <f t="shared" si="0"/>
        <v>0</v>
      </c>
      <c r="O14" s="1597" t="s">
        <v>353</v>
      </c>
      <c r="P14" s="1597" t="s">
        <v>353</v>
      </c>
      <c r="Q14" s="1596" t="e">
        <f t="shared" si="1"/>
        <v>#REF!</v>
      </c>
      <c r="R14" s="1596" t="e">
        <f>SUM(R15)</f>
        <v>#REF!</v>
      </c>
      <c r="S14" s="1596" t="e">
        <f>SUM(S15)</f>
        <v>#REF!</v>
      </c>
      <c r="T14" s="735">
        <f t="shared" si="2"/>
        <v>1216272.7</v>
      </c>
    </row>
    <row r="15" spans="1:25" ht="39" customHeight="1">
      <c r="A15" s="1667" t="s">
        <v>253</v>
      </c>
      <c r="B15" s="1668" t="s">
        <v>1393</v>
      </c>
      <c r="C15" s="1669">
        <f t="shared" ref="C15:C49" si="4">SUM(D15:E15)</f>
        <v>198702.3</v>
      </c>
      <c r="D15" s="1669">
        <f>SUM(D16,D19,D21,D23,D25,D27,D29,D31,D33,D35,D37,D39,D45)</f>
        <v>0</v>
      </c>
      <c r="E15" s="1669">
        <f>SUM(E16,E19,E21,E23,E25,E27,E29,E31,E33,E35,E37,E39,E45)</f>
        <v>198702.3</v>
      </c>
      <c r="F15" s="1669">
        <f t="shared" ref="F15:F49" si="5">SUM(G15:H15)</f>
        <v>0</v>
      </c>
      <c r="G15" s="1669">
        <f>SUM(G16,G19,G21,G23,G25,G27,G29,G31,G33,G35,G37,G39,G45)</f>
        <v>0</v>
      </c>
      <c r="H15" s="1669">
        <f>SUM(H16,H19,H21,H23,H25,H27,H29,H31,H33,H35,H37,H39,H45)</f>
        <v>0</v>
      </c>
      <c r="I15" s="1669">
        <f t="shared" ref="I15:I49" si="6">SUM(J15:K15)</f>
        <v>0</v>
      </c>
      <c r="J15" s="1669">
        <f>SUM(J16,J19,J21,J23,J25,J27,J29,J31,J33,J35,J37,J39,J45)</f>
        <v>0</v>
      </c>
      <c r="K15" s="1669">
        <f>SUM(K16,K19,K21,K23,K25,K27,K29,K31,K33,K35,K37,K39,K45)</f>
        <v>0</v>
      </c>
      <c r="L15" s="1670">
        <f t="shared" si="3"/>
        <v>0</v>
      </c>
      <c r="M15" s="1671">
        <f t="shared" si="0"/>
        <v>0</v>
      </c>
      <c r="N15" s="1671">
        <f t="shared" si="0"/>
        <v>0</v>
      </c>
      <c r="O15" s="1599" t="s">
        <v>353</v>
      </c>
      <c r="P15" s="1599" t="s">
        <v>353</v>
      </c>
      <c r="Q15" s="1598" t="e">
        <f t="shared" si="1"/>
        <v>#REF!</v>
      </c>
      <c r="R15" s="1598" t="e">
        <f>SUM(R37:R44,#REF!,#REF!,R33,#REF!,R27,#REF!,#REF!,#REF!,R16,#REF!,#REF!,R23,#REF!,#REF!)</f>
        <v>#REF!</v>
      </c>
      <c r="S15" s="1598" t="e">
        <f>SUM(S37:S44,#REF!,#REF!,S33,#REF!,S27,#REF!,#REF!,#REF!,S16,#REF!,#REF!,S23,#REF!,#REF!)</f>
        <v>#REF!</v>
      </c>
      <c r="T15" s="735">
        <f t="shared" si="2"/>
        <v>198702.3</v>
      </c>
    </row>
    <row r="16" spans="1:25" s="1607" customFormat="1" ht="20.25">
      <c r="A16" s="1672"/>
      <c r="B16" s="1673" t="s">
        <v>709</v>
      </c>
      <c r="C16" s="732">
        <f t="shared" si="4"/>
        <v>52150</v>
      </c>
      <c r="D16" s="1674">
        <f>SUM(D17:D18)</f>
        <v>0</v>
      </c>
      <c r="E16" s="1674">
        <f>SUM(E17:E18)</f>
        <v>52150</v>
      </c>
      <c r="F16" s="732">
        <f t="shared" si="5"/>
        <v>0</v>
      </c>
      <c r="G16" s="1674">
        <f>SUM(G17:G18)</f>
        <v>0</v>
      </c>
      <c r="H16" s="1674">
        <f>SUM(H17:H18)</f>
        <v>0</v>
      </c>
      <c r="I16" s="732">
        <f t="shared" si="6"/>
        <v>0</v>
      </c>
      <c r="J16" s="1674">
        <f>SUM(J17:J18)</f>
        <v>0</v>
      </c>
      <c r="K16" s="1674">
        <f>SUM(K17:K18)</f>
        <v>0</v>
      </c>
      <c r="L16" s="746">
        <f t="shared" si="3"/>
        <v>0</v>
      </c>
      <c r="M16" s="536">
        <f t="shared" si="0"/>
        <v>0</v>
      </c>
      <c r="N16" s="536">
        <f t="shared" si="0"/>
        <v>0</v>
      </c>
      <c r="O16" s="1593" t="s">
        <v>353</v>
      </c>
      <c r="P16" s="1593" t="s">
        <v>353</v>
      </c>
      <c r="Q16" s="1600" t="e">
        <f t="shared" si="1"/>
        <v>#REF!</v>
      </c>
      <c r="R16" s="1601" t="e">
        <f>SUM(#REF!)</f>
        <v>#REF!</v>
      </c>
      <c r="S16" s="1601" t="e">
        <f>SUM(#REF!)</f>
        <v>#REF!</v>
      </c>
      <c r="T16" s="735">
        <f t="shared" si="2"/>
        <v>52150</v>
      </c>
      <c r="U16" s="1565"/>
      <c r="V16" s="1565"/>
      <c r="W16" s="1605"/>
      <c r="X16" s="1606"/>
      <c r="Y16" s="1606"/>
    </row>
    <row r="17" spans="1:25" s="1607" customFormat="1" ht="66" customHeight="1">
      <c r="A17" s="1672" t="s">
        <v>538</v>
      </c>
      <c r="B17" s="1675" t="s">
        <v>1397</v>
      </c>
      <c r="C17" s="732">
        <f t="shared" si="4"/>
        <v>10500</v>
      </c>
      <c r="D17" s="1676"/>
      <c r="E17" s="1676">
        <v>10500</v>
      </c>
      <c r="F17" s="814">
        <f t="shared" si="5"/>
        <v>0</v>
      </c>
      <c r="G17" s="536"/>
      <c r="H17" s="536"/>
      <c r="I17" s="814">
        <f t="shared" si="6"/>
        <v>0</v>
      </c>
      <c r="J17" s="1677"/>
      <c r="K17" s="1677"/>
      <c r="L17" s="746">
        <f t="shared" si="3"/>
        <v>0</v>
      </c>
      <c r="M17" s="536">
        <f t="shared" si="0"/>
        <v>0</v>
      </c>
      <c r="N17" s="536">
        <f t="shared" si="0"/>
        <v>0</v>
      </c>
      <c r="O17" s="1593" t="s">
        <v>1171</v>
      </c>
      <c r="P17" s="1593" t="s">
        <v>1116</v>
      </c>
      <c r="Q17" s="1600">
        <f t="shared" si="1"/>
        <v>4500</v>
      </c>
      <c r="R17" s="1608">
        <v>0</v>
      </c>
      <c r="S17" s="1608">
        <v>4500</v>
      </c>
      <c r="T17" s="735">
        <f t="shared" si="2"/>
        <v>10500</v>
      </c>
      <c r="U17" s="1565" t="s">
        <v>1429</v>
      </c>
      <c r="V17" s="1565" t="s">
        <v>1432</v>
      </c>
      <c r="W17" s="1605">
        <v>522</v>
      </c>
      <c r="X17" s="1606"/>
      <c r="Y17" s="1606"/>
    </row>
    <row r="18" spans="1:25" s="1607" customFormat="1" ht="66.75" customHeight="1">
      <c r="A18" s="1672" t="s">
        <v>539</v>
      </c>
      <c r="B18" s="1547" t="s">
        <v>1399</v>
      </c>
      <c r="C18" s="732">
        <f t="shared" si="4"/>
        <v>41650</v>
      </c>
      <c r="D18" s="1676"/>
      <c r="E18" s="1676">
        <v>41650</v>
      </c>
      <c r="F18" s="814">
        <f t="shared" si="5"/>
        <v>0</v>
      </c>
      <c r="G18" s="536"/>
      <c r="H18" s="536"/>
      <c r="I18" s="814">
        <f t="shared" si="6"/>
        <v>0</v>
      </c>
      <c r="J18" s="1677"/>
      <c r="K18" s="1677"/>
      <c r="L18" s="746">
        <f t="shared" si="3"/>
        <v>0</v>
      </c>
      <c r="M18" s="536">
        <f t="shared" si="0"/>
        <v>0</v>
      </c>
      <c r="N18" s="536">
        <f t="shared" si="0"/>
        <v>0</v>
      </c>
      <c r="O18" s="1593" t="s">
        <v>1171</v>
      </c>
      <c r="P18" s="1593" t="s">
        <v>1116</v>
      </c>
      <c r="Q18" s="1600">
        <f t="shared" si="1"/>
        <v>4500</v>
      </c>
      <c r="R18" s="1608">
        <v>0</v>
      </c>
      <c r="S18" s="1608">
        <v>4500</v>
      </c>
      <c r="T18" s="735">
        <f t="shared" si="2"/>
        <v>41650</v>
      </c>
      <c r="U18" s="1565" t="s">
        <v>1429</v>
      </c>
      <c r="V18" s="1565" t="s">
        <v>1430</v>
      </c>
      <c r="W18" s="1605">
        <v>522</v>
      </c>
      <c r="X18" s="1606"/>
      <c r="Y18" s="1606"/>
    </row>
    <row r="19" spans="1:25" s="1570" customFormat="1" ht="20.25">
      <c r="A19" s="1672"/>
      <c r="B19" s="1678" t="s">
        <v>712</v>
      </c>
      <c r="C19" s="732">
        <f t="shared" si="4"/>
        <v>19000</v>
      </c>
      <c r="D19" s="1674">
        <f>SUM(D20)</f>
        <v>0</v>
      </c>
      <c r="E19" s="1674">
        <f>SUM(E20)</f>
        <v>19000</v>
      </c>
      <c r="F19" s="732">
        <f t="shared" si="5"/>
        <v>0</v>
      </c>
      <c r="G19" s="529">
        <f>SUM(G20)</f>
        <v>0</v>
      </c>
      <c r="H19" s="529">
        <f>SUM(H20)</f>
        <v>0</v>
      </c>
      <c r="I19" s="814">
        <f t="shared" si="6"/>
        <v>0</v>
      </c>
      <c r="J19" s="534">
        <f>SUM(J20)</f>
        <v>0</v>
      </c>
      <c r="K19" s="534">
        <f>SUM(K20)</f>
        <v>0</v>
      </c>
      <c r="L19" s="746">
        <f t="shared" si="3"/>
        <v>0</v>
      </c>
      <c r="M19" s="746">
        <f t="shared" si="0"/>
        <v>0</v>
      </c>
      <c r="N19" s="746">
        <f t="shared" si="0"/>
        <v>0</v>
      </c>
      <c r="O19" s="1593" t="s">
        <v>353</v>
      </c>
      <c r="P19" s="1612" t="s">
        <v>353</v>
      </c>
      <c r="Q19" s="1600">
        <f t="shared" si="1"/>
        <v>4725.8999999999996</v>
      </c>
      <c r="R19" s="1610">
        <f>SUM(R20:R20)</f>
        <v>0</v>
      </c>
      <c r="S19" s="1610">
        <f>SUM(S20:S20)</f>
        <v>4725.8999999999996</v>
      </c>
      <c r="T19" s="735">
        <f t="shared" si="2"/>
        <v>19000</v>
      </c>
      <c r="U19" s="1565" t="s">
        <v>1429</v>
      </c>
      <c r="V19" s="1565" t="s">
        <v>1430</v>
      </c>
      <c r="W19" s="1565">
        <v>522</v>
      </c>
      <c r="X19" s="1613"/>
      <c r="Y19" s="1613"/>
    </row>
    <row r="20" spans="1:25" ht="27.75" customHeight="1">
      <c r="A20" s="1672" t="s">
        <v>19</v>
      </c>
      <c r="B20" s="1551" t="s">
        <v>713</v>
      </c>
      <c r="C20" s="732">
        <f t="shared" si="4"/>
        <v>19000</v>
      </c>
      <c r="D20" s="854"/>
      <c r="E20" s="854">
        <v>19000</v>
      </c>
      <c r="F20" s="814">
        <f t="shared" si="5"/>
        <v>0</v>
      </c>
      <c r="G20" s="536"/>
      <c r="H20" s="536"/>
      <c r="I20" s="814">
        <f t="shared" si="6"/>
        <v>0</v>
      </c>
      <c r="J20" s="1677"/>
      <c r="K20" s="1677"/>
      <c r="L20" s="746">
        <f t="shared" si="3"/>
        <v>0</v>
      </c>
      <c r="M20" s="536">
        <f t="shared" si="0"/>
        <v>0</v>
      </c>
      <c r="N20" s="536">
        <f t="shared" si="0"/>
        <v>0</v>
      </c>
      <c r="O20" s="1593" t="s">
        <v>1171</v>
      </c>
      <c r="P20" s="1593" t="s">
        <v>1111</v>
      </c>
      <c r="Q20" s="1600">
        <f t="shared" si="1"/>
        <v>4725.8999999999996</v>
      </c>
      <c r="R20" s="1614">
        <v>0</v>
      </c>
      <c r="S20" s="1614">
        <v>4725.8999999999996</v>
      </c>
      <c r="T20" s="735">
        <f t="shared" si="2"/>
        <v>19000</v>
      </c>
      <c r="U20" s="1565" t="s">
        <v>1429</v>
      </c>
      <c r="V20" s="1565" t="s">
        <v>1430</v>
      </c>
      <c r="W20" s="1565">
        <v>522</v>
      </c>
    </row>
    <row r="21" spans="1:25" s="1570" customFormat="1" ht="20.25">
      <c r="A21" s="1672"/>
      <c r="B21" s="1678" t="s">
        <v>1406</v>
      </c>
      <c r="C21" s="732">
        <f t="shared" si="4"/>
        <v>18602.2</v>
      </c>
      <c r="D21" s="1674">
        <f>SUM(D22)</f>
        <v>0</v>
      </c>
      <c r="E21" s="1674">
        <f>SUM(E22)</f>
        <v>18602.2</v>
      </c>
      <c r="F21" s="732">
        <f t="shared" si="5"/>
        <v>0</v>
      </c>
      <c r="G21" s="529">
        <f>SUM(G22)</f>
        <v>0</v>
      </c>
      <c r="H21" s="529">
        <f>SUM(H22)</f>
        <v>0</v>
      </c>
      <c r="I21" s="814">
        <f t="shared" si="6"/>
        <v>0</v>
      </c>
      <c r="J21" s="534">
        <f>SUM(J22)</f>
        <v>0</v>
      </c>
      <c r="K21" s="534">
        <f>SUM(K22)</f>
        <v>0</v>
      </c>
      <c r="L21" s="746">
        <f t="shared" si="3"/>
        <v>0</v>
      </c>
      <c r="M21" s="746">
        <f t="shared" si="0"/>
        <v>0</v>
      </c>
      <c r="N21" s="746">
        <f t="shared" si="0"/>
        <v>0</v>
      </c>
      <c r="O21" s="1593" t="s">
        <v>353</v>
      </c>
      <c r="P21" s="1612" t="s">
        <v>353</v>
      </c>
      <c r="Q21" s="1600">
        <f t="shared" si="1"/>
        <v>4725.8999999999996</v>
      </c>
      <c r="R21" s="1610">
        <f>SUM(R22:R22)</f>
        <v>0</v>
      </c>
      <c r="S21" s="1610">
        <f>SUM(S22:S22)</f>
        <v>4725.8999999999996</v>
      </c>
      <c r="T21" s="735">
        <f t="shared" si="2"/>
        <v>18602.2</v>
      </c>
      <c r="U21" s="1565" t="s">
        <v>1429</v>
      </c>
      <c r="V21" s="1565" t="s">
        <v>1430</v>
      </c>
      <c r="W21" s="1565">
        <v>522</v>
      </c>
      <c r="X21" s="1613"/>
      <c r="Y21" s="1613"/>
    </row>
    <row r="22" spans="1:25" ht="64.5" customHeight="1">
      <c r="A22" s="1672" t="s">
        <v>20</v>
      </c>
      <c r="B22" s="1679" t="s">
        <v>1407</v>
      </c>
      <c r="C22" s="732">
        <f t="shared" si="4"/>
        <v>18602.2</v>
      </c>
      <c r="D22" s="854"/>
      <c r="E22" s="854">
        <v>18602.2</v>
      </c>
      <c r="F22" s="814">
        <f t="shared" si="5"/>
        <v>0</v>
      </c>
      <c r="G22" s="536"/>
      <c r="H22" s="536"/>
      <c r="I22" s="814">
        <f t="shared" si="6"/>
        <v>0</v>
      </c>
      <c r="J22" s="1677"/>
      <c r="K22" s="1677"/>
      <c r="L22" s="746">
        <f t="shared" si="3"/>
        <v>0</v>
      </c>
      <c r="M22" s="536">
        <f t="shared" si="0"/>
        <v>0</v>
      </c>
      <c r="N22" s="536">
        <f t="shared" si="0"/>
        <v>0</v>
      </c>
      <c r="O22" s="1593" t="s">
        <v>1171</v>
      </c>
      <c r="P22" s="1593" t="s">
        <v>1111</v>
      </c>
      <c r="Q22" s="1600">
        <f t="shared" si="1"/>
        <v>4725.8999999999996</v>
      </c>
      <c r="R22" s="1614">
        <v>0</v>
      </c>
      <c r="S22" s="1614">
        <v>4725.8999999999996</v>
      </c>
      <c r="T22" s="735">
        <f t="shared" si="2"/>
        <v>18602.2</v>
      </c>
      <c r="U22" s="1565" t="s">
        <v>1429</v>
      </c>
      <c r="V22" s="1565" t="s">
        <v>1430</v>
      </c>
      <c r="W22" s="1565">
        <v>522</v>
      </c>
    </row>
    <row r="23" spans="1:25" s="1607" customFormat="1" ht="20.25">
      <c r="A23" s="1672"/>
      <c r="B23" s="1673" t="s">
        <v>46</v>
      </c>
      <c r="C23" s="732">
        <f t="shared" si="4"/>
        <v>12500</v>
      </c>
      <c r="D23" s="1674">
        <f>SUM(D24)</f>
        <v>0</v>
      </c>
      <c r="E23" s="1674">
        <f>SUM(E24)</f>
        <v>12500</v>
      </c>
      <c r="F23" s="732">
        <f t="shared" si="5"/>
        <v>0</v>
      </c>
      <c r="G23" s="1674">
        <f>SUM(G24)</f>
        <v>0</v>
      </c>
      <c r="H23" s="1674">
        <f>SUM(H24)</f>
        <v>0</v>
      </c>
      <c r="I23" s="814">
        <f t="shared" si="6"/>
        <v>0</v>
      </c>
      <c r="J23" s="539">
        <f>SUM(J24)</f>
        <v>0</v>
      </c>
      <c r="K23" s="539">
        <f>SUM(K24)</f>
        <v>0</v>
      </c>
      <c r="L23" s="746">
        <f t="shared" si="3"/>
        <v>0</v>
      </c>
      <c r="M23" s="536">
        <f t="shared" si="0"/>
        <v>0</v>
      </c>
      <c r="N23" s="536">
        <f t="shared" si="0"/>
        <v>0</v>
      </c>
      <c r="O23" s="1593" t="s">
        <v>353</v>
      </c>
      <c r="P23" s="1593" t="s">
        <v>353</v>
      </c>
      <c r="Q23" s="1600">
        <f t="shared" si="1"/>
        <v>12500</v>
      </c>
      <c r="R23" s="1601">
        <f>R24</f>
        <v>0</v>
      </c>
      <c r="S23" s="1601">
        <f>S24</f>
        <v>12500</v>
      </c>
      <c r="T23" s="735">
        <f t="shared" si="2"/>
        <v>12500</v>
      </c>
      <c r="U23" s="1565"/>
      <c r="V23" s="1565"/>
      <c r="W23" s="1605"/>
      <c r="X23" s="1606"/>
      <c r="Y23" s="1606"/>
    </row>
    <row r="24" spans="1:25" s="1607" customFormat="1" ht="89.25" customHeight="1">
      <c r="A24" s="1672" t="s">
        <v>467</v>
      </c>
      <c r="B24" s="1675" t="s">
        <v>1517</v>
      </c>
      <c r="C24" s="732">
        <f t="shared" si="4"/>
        <v>12500</v>
      </c>
      <c r="D24" s="1676"/>
      <c r="E24" s="1676">
        <v>12500</v>
      </c>
      <c r="F24" s="814">
        <f t="shared" si="5"/>
        <v>0</v>
      </c>
      <c r="G24" s="536"/>
      <c r="H24" s="536"/>
      <c r="I24" s="814">
        <f t="shared" si="6"/>
        <v>0</v>
      </c>
      <c r="J24" s="1677"/>
      <c r="K24" s="1677"/>
      <c r="L24" s="746">
        <f t="shared" si="3"/>
        <v>0</v>
      </c>
      <c r="M24" s="536">
        <f t="shared" si="0"/>
        <v>0</v>
      </c>
      <c r="N24" s="536">
        <f t="shared" si="0"/>
        <v>0</v>
      </c>
      <c r="O24" s="1593" t="s">
        <v>1184</v>
      </c>
      <c r="P24" s="1593" t="s">
        <v>1136</v>
      </c>
      <c r="Q24" s="1600">
        <f t="shared" si="1"/>
        <v>12500</v>
      </c>
      <c r="R24" s="1608">
        <v>0</v>
      </c>
      <c r="S24" s="1608">
        <v>12500</v>
      </c>
      <c r="T24" s="735">
        <f t="shared" si="2"/>
        <v>12500</v>
      </c>
      <c r="U24" s="1565" t="s">
        <v>1429</v>
      </c>
      <c r="V24" s="1565" t="s">
        <v>1430</v>
      </c>
      <c r="W24" s="1565">
        <v>522</v>
      </c>
      <c r="X24" s="1606"/>
      <c r="Y24" s="1606"/>
    </row>
    <row r="25" spans="1:25" s="1570" customFormat="1" ht="20.25">
      <c r="A25" s="1672"/>
      <c r="B25" s="1678" t="s">
        <v>583</v>
      </c>
      <c r="C25" s="732">
        <f t="shared" si="4"/>
        <v>2500</v>
      </c>
      <c r="D25" s="1674">
        <f>SUM(D26)</f>
        <v>0</v>
      </c>
      <c r="E25" s="1674">
        <f>SUM(E26)</f>
        <v>2500</v>
      </c>
      <c r="F25" s="732">
        <f t="shared" si="5"/>
        <v>0</v>
      </c>
      <c r="G25" s="529">
        <f>SUM(G26)</f>
        <v>0</v>
      </c>
      <c r="H25" s="529">
        <f>SUM(H26)</f>
        <v>0</v>
      </c>
      <c r="I25" s="814">
        <f t="shared" si="6"/>
        <v>0</v>
      </c>
      <c r="J25" s="534">
        <f>SUM(J26)</f>
        <v>0</v>
      </c>
      <c r="K25" s="534">
        <f>SUM(K26)</f>
        <v>0</v>
      </c>
      <c r="L25" s="746">
        <f t="shared" si="3"/>
        <v>0</v>
      </c>
      <c r="M25" s="746">
        <f t="shared" si="0"/>
        <v>0</v>
      </c>
      <c r="N25" s="746">
        <f t="shared" si="0"/>
        <v>0</v>
      </c>
      <c r="O25" s="1593" t="s">
        <v>353</v>
      </c>
      <c r="P25" s="1612" t="s">
        <v>353</v>
      </c>
      <c r="Q25" s="1600">
        <f t="shared" si="1"/>
        <v>4725.8999999999996</v>
      </c>
      <c r="R25" s="1610">
        <f>SUM(R26:R26)</f>
        <v>0</v>
      </c>
      <c r="S25" s="1610">
        <f>SUM(S26:S26)</f>
        <v>4725.8999999999996</v>
      </c>
      <c r="T25" s="735">
        <f t="shared" si="2"/>
        <v>2500</v>
      </c>
      <c r="U25" s="1565" t="s">
        <v>1429</v>
      </c>
      <c r="V25" s="1565" t="s">
        <v>1430</v>
      </c>
      <c r="W25" s="1565">
        <v>522</v>
      </c>
      <c r="X25" s="1613"/>
      <c r="Y25" s="1613"/>
    </row>
    <row r="26" spans="1:25" ht="51.75" customHeight="1">
      <c r="A26" s="1672" t="s">
        <v>468</v>
      </c>
      <c r="B26" s="1680" t="s">
        <v>1403</v>
      </c>
      <c r="C26" s="732">
        <f t="shared" si="4"/>
        <v>2500</v>
      </c>
      <c r="D26" s="854"/>
      <c r="E26" s="854">
        <v>2500</v>
      </c>
      <c r="F26" s="814">
        <f t="shared" si="5"/>
        <v>0</v>
      </c>
      <c r="G26" s="536"/>
      <c r="H26" s="536"/>
      <c r="I26" s="814">
        <f t="shared" si="6"/>
        <v>0</v>
      </c>
      <c r="J26" s="1677"/>
      <c r="K26" s="1677"/>
      <c r="L26" s="746">
        <f t="shared" si="3"/>
        <v>0</v>
      </c>
      <c r="M26" s="536">
        <f t="shared" si="0"/>
        <v>0</v>
      </c>
      <c r="N26" s="536">
        <f t="shared" si="0"/>
        <v>0</v>
      </c>
      <c r="O26" s="1593" t="s">
        <v>1171</v>
      </c>
      <c r="P26" s="1593" t="s">
        <v>1111</v>
      </c>
      <c r="Q26" s="1600">
        <f t="shared" si="1"/>
        <v>4725.8999999999996</v>
      </c>
      <c r="R26" s="1614">
        <v>0</v>
      </c>
      <c r="S26" s="1614">
        <v>4725.8999999999996</v>
      </c>
      <c r="T26" s="735">
        <f t="shared" si="2"/>
        <v>2500</v>
      </c>
      <c r="U26" s="1565" t="s">
        <v>1429</v>
      </c>
      <c r="V26" s="1565" t="s">
        <v>1430</v>
      </c>
      <c r="W26" s="1565">
        <v>522</v>
      </c>
    </row>
    <row r="27" spans="1:25" ht="20.25">
      <c r="A27" s="1681"/>
      <c r="B27" s="1673" t="s">
        <v>68</v>
      </c>
      <c r="C27" s="732">
        <f t="shared" si="4"/>
        <v>8734.5</v>
      </c>
      <c r="D27" s="1674">
        <f>SUM(D28)</f>
        <v>0</v>
      </c>
      <c r="E27" s="1674">
        <f>SUM(E28)</f>
        <v>8734.5</v>
      </c>
      <c r="F27" s="732">
        <f t="shared" si="5"/>
        <v>0</v>
      </c>
      <c r="G27" s="1674">
        <f>SUM(G28)</f>
        <v>0</v>
      </c>
      <c r="H27" s="1674">
        <f>SUM(H28)</f>
        <v>0</v>
      </c>
      <c r="I27" s="814">
        <f t="shared" si="6"/>
        <v>0</v>
      </c>
      <c r="J27" s="539">
        <f>SUM(J28)</f>
        <v>0</v>
      </c>
      <c r="K27" s="539">
        <f>SUM(K28)</f>
        <v>0</v>
      </c>
      <c r="L27" s="746">
        <f t="shared" si="3"/>
        <v>0</v>
      </c>
      <c r="M27" s="536">
        <f t="shared" si="0"/>
        <v>0</v>
      </c>
      <c r="N27" s="536">
        <f t="shared" si="0"/>
        <v>0</v>
      </c>
      <c r="O27" s="1593" t="s">
        <v>353</v>
      </c>
      <c r="P27" s="1593" t="s">
        <v>353</v>
      </c>
      <c r="Q27" s="1600">
        <f t="shared" si="1"/>
        <v>1041.5999999999999</v>
      </c>
      <c r="R27" s="1601">
        <f>SUM(R28:R28)</f>
        <v>0</v>
      </c>
      <c r="S27" s="1601">
        <f>SUM(S28:S28)</f>
        <v>1041.5999999999999</v>
      </c>
      <c r="T27" s="735">
        <f t="shared" si="2"/>
        <v>8734.5</v>
      </c>
    </row>
    <row r="28" spans="1:25" ht="66.75" customHeight="1">
      <c r="A28" s="1672" t="s">
        <v>685</v>
      </c>
      <c r="B28" s="1682" t="s">
        <v>1522</v>
      </c>
      <c r="C28" s="732">
        <f t="shared" si="4"/>
        <v>8734.5</v>
      </c>
      <c r="D28" s="1676"/>
      <c r="E28" s="1676">
        <v>8734.5</v>
      </c>
      <c r="F28" s="814">
        <f t="shared" si="5"/>
        <v>0</v>
      </c>
      <c r="G28" s="536"/>
      <c r="H28" s="536"/>
      <c r="I28" s="814">
        <f t="shared" si="6"/>
        <v>0</v>
      </c>
      <c r="J28" s="1677"/>
      <c r="K28" s="1677"/>
      <c r="L28" s="746">
        <f t="shared" si="3"/>
        <v>0</v>
      </c>
      <c r="M28" s="536">
        <f t="shared" si="0"/>
        <v>0</v>
      </c>
      <c r="N28" s="536">
        <f t="shared" si="0"/>
        <v>0</v>
      </c>
      <c r="O28" s="1593" t="s">
        <v>1176</v>
      </c>
      <c r="P28" s="1593" t="s">
        <v>1125</v>
      </c>
      <c r="Q28" s="1600">
        <f t="shared" si="1"/>
        <v>1041.5999999999999</v>
      </c>
      <c r="R28" s="1608">
        <v>0</v>
      </c>
      <c r="S28" s="1608">
        <v>1041.5999999999999</v>
      </c>
      <c r="T28" s="735">
        <f t="shared" si="2"/>
        <v>8734.5</v>
      </c>
      <c r="U28" s="1565" t="s">
        <v>1429</v>
      </c>
      <c r="V28" s="1565" t="s">
        <v>1431</v>
      </c>
      <c r="W28" s="1605">
        <v>522</v>
      </c>
    </row>
    <row r="29" spans="1:25" s="1570" customFormat="1" ht="20.25">
      <c r="A29" s="1672"/>
      <c r="B29" s="1678" t="s">
        <v>1408</v>
      </c>
      <c r="C29" s="732">
        <f t="shared" si="4"/>
        <v>11495</v>
      </c>
      <c r="D29" s="1674">
        <f>SUM(D30)</f>
        <v>0</v>
      </c>
      <c r="E29" s="1674">
        <f>SUM(E30)</f>
        <v>11495</v>
      </c>
      <c r="F29" s="732">
        <f t="shared" si="5"/>
        <v>0</v>
      </c>
      <c r="G29" s="529">
        <f>SUM(G30)</f>
        <v>0</v>
      </c>
      <c r="H29" s="529">
        <f>SUM(H30)</f>
        <v>0</v>
      </c>
      <c r="I29" s="814">
        <f t="shared" si="6"/>
        <v>0</v>
      </c>
      <c r="J29" s="534">
        <f>SUM(J30)</f>
        <v>0</v>
      </c>
      <c r="K29" s="534">
        <f>SUM(K30)</f>
        <v>0</v>
      </c>
      <c r="L29" s="746">
        <f t="shared" si="3"/>
        <v>0</v>
      </c>
      <c r="M29" s="746">
        <f t="shared" si="0"/>
        <v>0</v>
      </c>
      <c r="N29" s="746">
        <f t="shared" si="0"/>
        <v>0</v>
      </c>
      <c r="O29" s="1593" t="s">
        <v>353</v>
      </c>
      <c r="P29" s="1612" t="s">
        <v>353</v>
      </c>
      <c r="Q29" s="1600">
        <f t="shared" si="1"/>
        <v>4725.8999999999996</v>
      </c>
      <c r="R29" s="1610">
        <f>SUM(R30:R30)</f>
        <v>0</v>
      </c>
      <c r="S29" s="1610">
        <f>SUM(S30:S30)</f>
        <v>4725.8999999999996</v>
      </c>
      <c r="T29" s="735">
        <f t="shared" si="2"/>
        <v>11495</v>
      </c>
      <c r="U29" s="1565" t="s">
        <v>1429</v>
      </c>
      <c r="V29" s="1565" t="s">
        <v>1430</v>
      </c>
      <c r="W29" s="1565">
        <v>522</v>
      </c>
      <c r="X29" s="1613"/>
      <c r="Y29" s="1613"/>
    </row>
    <row r="30" spans="1:25" ht="41.25" customHeight="1">
      <c r="A30" s="1672" t="s">
        <v>687</v>
      </c>
      <c r="B30" s="1683" t="s">
        <v>1409</v>
      </c>
      <c r="C30" s="732">
        <f t="shared" si="4"/>
        <v>11495</v>
      </c>
      <c r="D30" s="854"/>
      <c r="E30" s="854">
        <v>11495</v>
      </c>
      <c r="F30" s="814">
        <f t="shared" si="5"/>
        <v>0</v>
      </c>
      <c r="G30" s="536"/>
      <c r="H30" s="536"/>
      <c r="I30" s="814">
        <f t="shared" si="6"/>
        <v>0</v>
      </c>
      <c r="J30" s="1677"/>
      <c r="K30" s="1677"/>
      <c r="L30" s="746">
        <f t="shared" si="3"/>
        <v>0</v>
      </c>
      <c r="M30" s="536">
        <f t="shared" si="0"/>
        <v>0</v>
      </c>
      <c r="N30" s="536">
        <f t="shared" si="0"/>
        <v>0</v>
      </c>
      <c r="O30" s="1593" t="s">
        <v>1171</v>
      </c>
      <c r="P30" s="1593" t="s">
        <v>1111</v>
      </c>
      <c r="Q30" s="1600">
        <f t="shared" si="1"/>
        <v>4725.8999999999996</v>
      </c>
      <c r="R30" s="1614">
        <v>0</v>
      </c>
      <c r="S30" s="1614">
        <v>4725.8999999999996</v>
      </c>
      <c r="T30" s="735">
        <f t="shared" si="2"/>
        <v>11495</v>
      </c>
      <c r="U30" s="1565" t="s">
        <v>1429</v>
      </c>
      <c r="V30" s="1565" t="s">
        <v>1430</v>
      </c>
      <c r="W30" s="1565">
        <v>522</v>
      </c>
    </row>
    <row r="31" spans="1:25" s="1570" customFormat="1" ht="20.25">
      <c r="A31" s="1672"/>
      <c r="B31" s="1678" t="s">
        <v>729</v>
      </c>
      <c r="C31" s="732">
        <f t="shared" si="4"/>
        <v>4500</v>
      </c>
      <c r="D31" s="1674">
        <f>SUM(D32)</f>
        <v>0</v>
      </c>
      <c r="E31" s="1674">
        <f>SUM(E32)</f>
        <v>4500</v>
      </c>
      <c r="F31" s="732">
        <f t="shared" si="5"/>
        <v>0</v>
      </c>
      <c r="G31" s="529">
        <f>SUM(G32)</f>
        <v>0</v>
      </c>
      <c r="H31" s="529">
        <f>SUM(H32)</f>
        <v>0</v>
      </c>
      <c r="I31" s="814">
        <f t="shared" si="6"/>
        <v>0</v>
      </c>
      <c r="J31" s="534">
        <f>SUM(J32)</f>
        <v>0</v>
      </c>
      <c r="K31" s="534">
        <f>SUM(K32)</f>
        <v>0</v>
      </c>
      <c r="L31" s="746">
        <f t="shared" si="3"/>
        <v>0</v>
      </c>
      <c r="M31" s="746">
        <f t="shared" si="0"/>
        <v>0</v>
      </c>
      <c r="N31" s="746">
        <f t="shared" si="0"/>
        <v>0</v>
      </c>
      <c r="O31" s="1593" t="s">
        <v>353</v>
      </c>
      <c r="P31" s="1612" t="s">
        <v>353</v>
      </c>
      <c r="Q31" s="1600">
        <f t="shared" si="1"/>
        <v>4725.8999999999996</v>
      </c>
      <c r="R31" s="1610">
        <f>SUM(R32:R32)</f>
        <v>0</v>
      </c>
      <c r="S31" s="1610">
        <f>SUM(S32:S32)</f>
        <v>4725.8999999999996</v>
      </c>
      <c r="T31" s="735">
        <f t="shared" si="2"/>
        <v>4500</v>
      </c>
      <c r="U31" s="1565" t="s">
        <v>1429</v>
      </c>
      <c r="V31" s="1565" t="s">
        <v>1430</v>
      </c>
      <c r="W31" s="1565">
        <v>522</v>
      </c>
      <c r="X31" s="1613"/>
      <c r="Y31" s="1613"/>
    </row>
    <row r="32" spans="1:25" ht="43.5" customHeight="1">
      <c r="A32" s="1672" t="s">
        <v>686</v>
      </c>
      <c r="B32" s="1547" t="s">
        <v>1405</v>
      </c>
      <c r="C32" s="732">
        <f t="shared" si="4"/>
        <v>4500</v>
      </c>
      <c r="D32" s="854"/>
      <c r="E32" s="854">
        <v>4500</v>
      </c>
      <c r="F32" s="814">
        <f t="shared" si="5"/>
        <v>0</v>
      </c>
      <c r="G32" s="536"/>
      <c r="H32" s="536"/>
      <c r="I32" s="814">
        <f t="shared" si="6"/>
        <v>0</v>
      </c>
      <c r="J32" s="1677"/>
      <c r="K32" s="1677"/>
      <c r="L32" s="746">
        <f t="shared" si="3"/>
        <v>0</v>
      </c>
      <c r="M32" s="536">
        <f t="shared" si="0"/>
        <v>0</v>
      </c>
      <c r="N32" s="536">
        <f t="shared" si="0"/>
        <v>0</v>
      </c>
      <c r="O32" s="1593" t="s">
        <v>1171</v>
      </c>
      <c r="P32" s="1593" t="s">
        <v>1111</v>
      </c>
      <c r="Q32" s="1600">
        <f t="shared" si="1"/>
        <v>4725.8999999999996</v>
      </c>
      <c r="R32" s="1614">
        <v>0</v>
      </c>
      <c r="S32" s="1614">
        <v>4725.8999999999996</v>
      </c>
      <c r="T32" s="735">
        <f t="shared" si="2"/>
        <v>4500</v>
      </c>
      <c r="U32" s="1565" t="s">
        <v>1429</v>
      </c>
      <c r="V32" s="1565" t="s">
        <v>1430</v>
      </c>
      <c r="W32" s="1565">
        <v>522</v>
      </c>
    </row>
    <row r="33" spans="1:25" s="1570" customFormat="1" ht="20.25">
      <c r="A33" s="1672"/>
      <c r="B33" s="1678" t="s">
        <v>12</v>
      </c>
      <c r="C33" s="732">
        <f t="shared" si="4"/>
        <v>6835</v>
      </c>
      <c r="D33" s="1674">
        <f>SUM(D34)</f>
        <v>0</v>
      </c>
      <c r="E33" s="1674">
        <f>SUM(E34)</f>
        <v>6835</v>
      </c>
      <c r="F33" s="732">
        <f t="shared" si="5"/>
        <v>0</v>
      </c>
      <c r="G33" s="529">
        <f>SUM(G34)</f>
        <v>0</v>
      </c>
      <c r="H33" s="529">
        <f>SUM(H34)</f>
        <v>0</v>
      </c>
      <c r="I33" s="814">
        <f t="shared" si="6"/>
        <v>0</v>
      </c>
      <c r="J33" s="534">
        <f>SUM(J34)</f>
        <v>0</v>
      </c>
      <c r="K33" s="534">
        <f>SUM(K34)</f>
        <v>0</v>
      </c>
      <c r="L33" s="746">
        <f t="shared" si="3"/>
        <v>0</v>
      </c>
      <c r="M33" s="746">
        <f t="shared" si="0"/>
        <v>0</v>
      </c>
      <c r="N33" s="746">
        <f t="shared" si="0"/>
        <v>0</v>
      </c>
      <c r="O33" s="1593" t="s">
        <v>353</v>
      </c>
      <c r="P33" s="1612" t="s">
        <v>353</v>
      </c>
      <c r="Q33" s="1600">
        <f t="shared" si="1"/>
        <v>4725.8999999999996</v>
      </c>
      <c r="R33" s="1610">
        <f>SUM(R34:R34)</f>
        <v>0</v>
      </c>
      <c r="S33" s="1610">
        <f>SUM(S34:S34)</f>
        <v>4725.8999999999996</v>
      </c>
      <c r="T33" s="735">
        <f t="shared" si="2"/>
        <v>6835</v>
      </c>
      <c r="U33" s="1565" t="s">
        <v>1429</v>
      </c>
      <c r="V33" s="1565" t="s">
        <v>1430</v>
      </c>
      <c r="W33" s="1565">
        <v>522</v>
      </c>
      <c r="X33" s="1613"/>
      <c r="Y33" s="1613"/>
    </row>
    <row r="34" spans="1:25" ht="44.25" customHeight="1">
      <c r="A34" s="1672" t="s">
        <v>688</v>
      </c>
      <c r="B34" s="1547" t="s">
        <v>1402</v>
      </c>
      <c r="C34" s="732">
        <f t="shared" si="4"/>
        <v>6835</v>
      </c>
      <c r="D34" s="854"/>
      <c r="E34" s="854">
        <v>6835</v>
      </c>
      <c r="F34" s="814">
        <f t="shared" si="5"/>
        <v>0</v>
      </c>
      <c r="G34" s="536"/>
      <c r="H34" s="536"/>
      <c r="I34" s="814">
        <f t="shared" si="6"/>
        <v>0</v>
      </c>
      <c r="J34" s="1677"/>
      <c r="K34" s="1677"/>
      <c r="L34" s="746">
        <f t="shared" si="3"/>
        <v>0</v>
      </c>
      <c r="M34" s="536">
        <f t="shared" si="0"/>
        <v>0</v>
      </c>
      <c r="N34" s="536">
        <f t="shared" si="0"/>
        <v>0</v>
      </c>
      <c r="O34" s="1593" t="s">
        <v>1171</v>
      </c>
      <c r="P34" s="1593" t="s">
        <v>1111</v>
      </c>
      <c r="Q34" s="1600">
        <f t="shared" si="1"/>
        <v>4725.8999999999996</v>
      </c>
      <c r="R34" s="1614">
        <v>0</v>
      </c>
      <c r="S34" s="1614">
        <v>4725.8999999999996</v>
      </c>
      <c r="T34" s="735">
        <f t="shared" si="2"/>
        <v>6835</v>
      </c>
      <c r="U34" s="1565" t="s">
        <v>1429</v>
      </c>
      <c r="V34" s="1565" t="s">
        <v>1430</v>
      </c>
      <c r="W34" s="1565">
        <v>522</v>
      </c>
    </row>
    <row r="35" spans="1:25" s="1570" customFormat="1" ht="20.25">
      <c r="A35" s="1672"/>
      <c r="B35" s="1678" t="s">
        <v>90</v>
      </c>
      <c r="C35" s="732">
        <f t="shared" si="4"/>
        <v>1300</v>
      </c>
      <c r="D35" s="1674">
        <f>SUM(D36)</f>
        <v>0</v>
      </c>
      <c r="E35" s="1674">
        <f>SUM(E36)</f>
        <v>1300</v>
      </c>
      <c r="F35" s="732">
        <f t="shared" si="5"/>
        <v>0</v>
      </c>
      <c r="G35" s="529">
        <f>SUM(G36)</f>
        <v>0</v>
      </c>
      <c r="H35" s="529">
        <f>SUM(H36)</f>
        <v>0</v>
      </c>
      <c r="I35" s="814">
        <f t="shared" si="6"/>
        <v>0</v>
      </c>
      <c r="J35" s="534">
        <f>SUM(J36)</f>
        <v>0</v>
      </c>
      <c r="K35" s="534">
        <f>SUM(K36)</f>
        <v>0</v>
      </c>
      <c r="L35" s="746">
        <f t="shared" si="3"/>
        <v>0</v>
      </c>
      <c r="M35" s="746">
        <f t="shared" si="0"/>
        <v>0</v>
      </c>
      <c r="N35" s="746">
        <f t="shared" si="0"/>
        <v>0</v>
      </c>
      <c r="O35" s="1593" t="s">
        <v>353</v>
      </c>
      <c r="P35" s="1612" t="s">
        <v>353</v>
      </c>
      <c r="Q35" s="1600">
        <f t="shared" si="1"/>
        <v>4725.8999999999996</v>
      </c>
      <c r="R35" s="1610">
        <f>SUM(R36:R36)</f>
        <v>0</v>
      </c>
      <c r="S35" s="1610">
        <f>SUM(S36:S36)</f>
        <v>4725.8999999999996</v>
      </c>
      <c r="T35" s="735">
        <f t="shared" si="2"/>
        <v>1300</v>
      </c>
      <c r="U35" s="1565" t="s">
        <v>1429</v>
      </c>
      <c r="V35" s="1565" t="s">
        <v>1430</v>
      </c>
      <c r="W35" s="1565">
        <v>522</v>
      </c>
      <c r="X35" s="1613"/>
      <c r="Y35" s="1613"/>
    </row>
    <row r="36" spans="1:25" ht="69.75" customHeight="1">
      <c r="A36" s="1672" t="s">
        <v>98</v>
      </c>
      <c r="B36" s="1548" t="s">
        <v>1404</v>
      </c>
      <c r="C36" s="732">
        <f t="shared" si="4"/>
        <v>1300</v>
      </c>
      <c r="D36" s="854"/>
      <c r="E36" s="854">
        <v>1300</v>
      </c>
      <c r="F36" s="814">
        <f t="shared" si="5"/>
        <v>0</v>
      </c>
      <c r="G36" s="536"/>
      <c r="H36" s="536"/>
      <c r="I36" s="814">
        <f t="shared" si="6"/>
        <v>0</v>
      </c>
      <c r="J36" s="1677"/>
      <c r="K36" s="1677"/>
      <c r="L36" s="746">
        <f t="shared" si="3"/>
        <v>0</v>
      </c>
      <c r="M36" s="536">
        <f t="shared" si="0"/>
        <v>0</v>
      </c>
      <c r="N36" s="536">
        <f t="shared" si="0"/>
        <v>0</v>
      </c>
      <c r="O36" s="1593" t="s">
        <v>1171</v>
      </c>
      <c r="P36" s="1593" t="s">
        <v>1111</v>
      </c>
      <c r="Q36" s="1600">
        <f t="shared" si="1"/>
        <v>4725.8999999999996</v>
      </c>
      <c r="R36" s="1614">
        <v>0</v>
      </c>
      <c r="S36" s="1614">
        <v>4725.8999999999996</v>
      </c>
      <c r="T36" s="735">
        <f t="shared" si="2"/>
        <v>1300</v>
      </c>
      <c r="U36" s="1565" t="s">
        <v>1429</v>
      </c>
      <c r="V36" s="1565" t="s">
        <v>1430</v>
      </c>
      <c r="W36" s="1565">
        <v>522</v>
      </c>
    </row>
    <row r="37" spans="1:25" s="1607" customFormat="1" ht="20.25">
      <c r="A37" s="1672"/>
      <c r="B37" s="1673" t="s">
        <v>1401</v>
      </c>
      <c r="C37" s="732">
        <f t="shared" si="4"/>
        <v>10192</v>
      </c>
      <c r="D37" s="1674">
        <f>SUM(D38)</f>
        <v>0</v>
      </c>
      <c r="E37" s="1674">
        <f>SUM(E38)</f>
        <v>10192</v>
      </c>
      <c r="F37" s="732">
        <f t="shared" si="5"/>
        <v>0</v>
      </c>
      <c r="G37" s="1674">
        <f>SUM(G38)</f>
        <v>0</v>
      </c>
      <c r="H37" s="1674">
        <f>SUM(H38)</f>
        <v>0</v>
      </c>
      <c r="I37" s="814">
        <f t="shared" si="6"/>
        <v>0</v>
      </c>
      <c r="J37" s="539">
        <f>SUM(J38)</f>
        <v>0</v>
      </c>
      <c r="K37" s="539">
        <f>SUM(K38)</f>
        <v>0</v>
      </c>
      <c r="L37" s="746">
        <f t="shared" si="3"/>
        <v>0</v>
      </c>
      <c r="M37" s="536">
        <f t="shared" si="0"/>
        <v>0</v>
      </c>
      <c r="N37" s="536">
        <f t="shared" si="0"/>
        <v>0</v>
      </c>
      <c r="O37" s="1593" t="s">
        <v>353</v>
      </c>
      <c r="P37" s="1593" t="s">
        <v>353</v>
      </c>
      <c r="Q37" s="1600">
        <f t="shared" si="1"/>
        <v>12500</v>
      </c>
      <c r="R37" s="1601">
        <f>SUM(R23:R23)</f>
        <v>0</v>
      </c>
      <c r="S37" s="1601">
        <f>SUM(S23:S23)</f>
        <v>12500</v>
      </c>
      <c r="T37" s="735">
        <f t="shared" si="2"/>
        <v>10192</v>
      </c>
      <c r="U37" s="1565" t="s">
        <v>1429</v>
      </c>
      <c r="V37" s="1565" t="s">
        <v>1430</v>
      </c>
      <c r="W37" s="1565">
        <v>522</v>
      </c>
      <c r="X37" s="1606"/>
      <c r="Y37" s="1606"/>
    </row>
    <row r="38" spans="1:25" s="1607" customFormat="1" ht="53.25" customHeight="1">
      <c r="A38" s="1672" t="s">
        <v>99</v>
      </c>
      <c r="B38" s="1675" t="s">
        <v>1518</v>
      </c>
      <c r="C38" s="732">
        <f t="shared" si="4"/>
        <v>10192</v>
      </c>
      <c r="D38" s="1676"/>
      <c r="E38" s="1676">
        <v>10192</v>
      </c>
      <c r="F38" s="814">
        <f t="shared" si="5"/>
        <v>0</v>
      </c>
      <c r="G38" s="536"/>
      <c r="H38" s="536"/>
      <c r="I38" s="814">
        <f t="shared" si="6"/>
        <v>0</v>
      </c>
      <c r="J38" s="1677"/>
      <c r="K38" s="1677"/>
      <c r="L38" s="746">
        <f t="shared" si="3"/>
        <v>0</v>
      </c>
      <c r="M38" s="536">
        <f t="shared" si="0"/>
        <v>0</v>
      </c>
      <c r="N38" s="536">
        <f t="shared" si="0"/>
        <v>0</v>
      </c>
      <c r="O38" s="1593" t="s">
        <v>1171</v>
      </c>
      <c r="P38" s="1593" t="s">
        <v>1116</v>
      </c>
      <c r="Q38" s="1600">
        <f t="shared" si="1"/>
        <v>4368</v>
      </c>
      <c r="R38" s="1608">
        <v>0</v>
      </c>
      <c r="S38" s="1608">
        <v>4368</v>
      </c>
      <c r="T38" s="735">
        <f t="shared" si="2"/>
        <v>10192</v>
      </c>
      <c r="U38" s="1565" t="s">
        <v>1429</v>
      </c>
      <c r="V38" s="1565" t="s">
        <v>1430</v>
      </c>
      <c r="W38" s="1565">
        <v>522</v>
      </c>
      <c r="X38" s="1606"/>
      <c r="Y38" s="1606"/>
    </row>
    <row r="39" spans="1:25" ht="20.25">
      <c r="A39" s="1672"/>
      <c r="B39" s="1673" t="s">
        <v>457</v>
      </c>
      <c r="C39" s="732">
        <f t="shared" si="4"/>
        <v>23800</v>
      </c>
      <c r="D39" s="539">
        <f>SUM(D40:D44)</f>
        <v>0</v>
      </c>
      <c r="E39" s="539">
        <f>SUM(E40:E44)</f>
        <v>23800</v>
      </c>
      <c r="F39" s="732">
        <f t="shared" si="5"/>
        <v>0</v>
      </c>
      <c r="G39" s="539">
        <f>SUM(G40:G44)</f>
        <v>0</v>
      </c>
      <c r="H39" s="539">
        <f>SUM(H40:H44)</f>
        <v>0</v>
      </c>
      <c r="I39" s="814">
        <f t="shared" si="6"/>
        <v>0</v>
      </c>
      <c r="J39" s="539">
        <f>SUM(J40:J44)</f>
        <v>0</v>
      </c>
      <c r="K39" s="539">
        <f>SUM(K40:K44)</f>
        <v>0</v>
      </c>
      <c r="L39" s="746">
        <f t="shared" si="3"/>
        <v>0</v>
      </c>
      <c r="M39" s="536">
        <f t="shared" si="3"/>
        <v>0</v>
      </c>
      <c r="N39" s="536">
        <f t="shared" si="3"/>
        <v>0</v>
      </c>
      <c r="O39" s="1593" t="s">
        <v>353</v>
      </c>
      <c r="P39" s="1593" t="s">
        <v>353</v>
      </c>
      <c r="Q39" s="1600">
        <f t="shared" si="1"/>
        <v>10200</v>
      </c>
      <c r="R39" s="1603">
        <f>SUM(R40:R44)</f>
        <v>0</v>
      </c>
      <c r="S39" s="1603">
        <f>SUM(S40:S44)</f>
        <v>10200</v>
      </c>
      <c r="T39" s="735">
        <f t="shared" si="2"/>
        <v>23800</v>
      </c>
      <c r="U39" s="1565" t="s">
        <v>1429</v>
      </c>
      <c r="V39" s="1565" t="s">
        <v>1430</v>
      </c>
      <c r="W39" s="1565">
        <v>522</v>
      </c>
    </row>
    <row r="40" spans="1:25" ht="84" customHeight="1">
      <c r="A40" s="1672" t="s">
        <v>100</v>
      </c>
      <c r="B40" s="1551" t="s">
        <v>1419</v>
      </c>
      <c r="C40" s="732">
        <f t="shared" si="4"/>
        <v>7000</v>
      </c>
      <c r="D40" s="1676"/>
      <c r="E40" s="1676">
        <v>7000</v>
      </c>
      <c r="F40" s="814">
        <f t="shared" si="5"/>
        <v>0</v>
      </c>
      <c r="G40" s="536"/>
      <c r="H40" s="536"/>
      <c r="I40" s="534">
        <f t="shared" si="6"/>
        <v>0</v>
      </c>
      <c r="J40" s="698"/>
      <c r="K40" s="698"/>
      <c r="L40" s="746">
        <f t="shared" si="3"/>
        <v>0</v>
      </c>
      <c r="M40" s="536">
        <f t="shared" si="3"/>
        <v>0</v>
      </c>
      <c r="N40" s="536">
        <f t="shared" si="3"/>
        <v>0</v>
      </c>
      <c r="O40" s="1593" t="s">
        <v>1171</v>
      </c>
      <c r="P40" s="1592" t="s">
        <v>1137</v>
      </c>
      <c r="Q40" s="1600">
        <f t="shared" si="1"/>
        <v>3000</v>
      </c>
      <c r="R40" s="1608">
        <v>0</v>
      </c>
      <c r="S40" s="1608">
        <v>3000</v>
      </c>
      <c r="T40" s="735">
        <f t="shared" si="2"/>
        <v>7000</v>
      </c>
      <c r="U40" s="1565" t="s">
        <v>1429</v>
      </c>
      <c r="V40" s="1565" t="s">
        <v>1430</v>
      </c>
      <c r="W40" s="1565">
        <v>522</v>
      </c>
    </row>
    <row r="41" spans="1:25" ht="105.75" customHeight="1">
      <c r="A41" s="1672" t="s">
        <v>101</v>
      </c>
      <c r="B41" s="1551" t="s">
        <v>1417</v>
      </c>
      <c r="C41" s="732">
        <f t="shared" si="4"/>
        <v>7000</v>
      </c>
      <c r="D41" s="1676"/>
      <c r="E41" s="1676">
        <v>7000</v>
      </c>
      <c r="F41" s="814">
        <f t="shared" si="5"/>
        <v>0</v>
      </c>
      <c r="G41" s="536"/>
      <c r="H41" s="536"/>
      <c r="I41" s="534">
        <f t="shared" si="6"/>
        <v>0</v>
      </c>
      <c r="J41" s="698"/>
      <c r="K41" s="698"/>
      <c r="L41" s="746">
        <f t="shared" si="3"/>
        <v>0</v>
      </c>
      <c r="M41" s="536">
        <f t="shared" si="3"/>
        <v>0</v>
      </c>
      <c r="N41" s="536">
        <f t="shared" si="3"/>
        <v>0</v>
      </c>
      <c r="O41" s="1593" t="s">
        <v>1171</v>
      </c>
      <c r="P41" s="1592" t="s">
        <v>1137</v>
      </c>
      <c r="Q41" s="1600">
        <f t="shared" si="1"/>
        <v>3000</v>
      </c>
      <c r="R41" s="1608">
        <v>0</v>
      </c>
      <c r="S41" s="1608">
        <v>3000</v>
      </c>
      <c r="T41" s="735">
        <f t="shared" si="2"/>
        <v>7000</v>
      </c>
      <c r="U41" s="1565" t="s">
        <v>1429</v>
      </c>
      <c r="V41" s="1565" t="s">
        <v>1430</v>
      </c>
      <c r="W41" s="1565">
        <v>522</v>
      </c>
    </row>
    <row r="42" spans="1:25" ht="105.75" customHeight="1">
      <c r="A42" s="1672" t="s">
        <v>102</v>
      </c>
      <c r="B42" s="1551" t="s">
        <v>1418</v>
      </c>
      <c r="C42" s="732">
        <f t="shared" si="4"/>
        <v>2100</v>
      </c>
      <c r="D42" s="1676"/>
      <c r="E42" s="1676">
        <v>2100</v>
      </c>
      <c r="F42" s="814">
        <f t="shared" si="5"/>
        <v>0</v>
      </c>
      <c r="G42" s="536"/>
      <c r="H42" s="536"/>
      <c r="I42" s="534">
        <f t="shared" si="6"/>
        <v>0</v>
      </c>
      <c r="J42" s="698"/>
      <c r="K42" s="698"/>
      <c r="L42" s="746">
        <f t="shared" si="3"/>
        <v>0</v>
      </c>
      <c r="M42" s="536">
        <f t="shared" si="3"/>
        <v>0</v>
      </c>
      <c r="N42" s="536">
        <f t="shared" si="3"/>
        <v>0</v>
      </c>
      <c r="O42" s="1593" t="s">
        <v>1171</v>
      </c>
      <c r="P42" s="1592" t="s">
        <v>1137</v>
      </c>
      <c r="Q42" s="1600">
        <f t="shared" si="1"/>
        <v>900</v>
      </c>
      <c r="R42" s="1608">
        <v>0</v>
      </c>
      <c r="S42" s="1608">
        <v>900</v>
      </c>
      <c r="T42" s="735">
        <f t="shared" si="2"/>
        <v>2100</v>
      </c>
      <c r="U42" s="1565" t="s">
        <v>1429</v>
      </c>
      <c r="V42" s="1565" t="s">
        <v>1430</v>
      </c>
      <c r="W42" s="1565">
        <v>522</v>
      </c>
    </row>
    <row r="43" spans="1:25" ht="134.25" customHeight="1">
      <c r="A43" s="1672" t="s">
        <v>103</v>
      </c>
      <c r="B43" s="1684" t="s">
        <v>1415</v>
      </c>
      <c r="C43" s="732">
        <f t="shared" si="4"/>
        <v>4480</v>
      </c>
      <c r="D43" s="1676"/>
      <c r="E43" s="1676">
        <v>4480</v>
      </c>
      <c r="F43" s="814">
        <f t="shared" si="5"/>
        <v>0</v>
      </c>
      <c r="G43" s="536"/>
      <c r="H43" s="536"/>
      <c r="I43" s="534">
        <f t="shared" si="6"/>
        <v>0</v>
      </c>
      <c r="J43" s="698"/>
      <c r="K43" s="698"/>
      <c r="L43" s="746">
        <f t="shared" si="3"/>
        <v>0</v>
      </c>
      <c r="M43" s="536">
        <f t="shared" si="3"/>
        <v>0</v>
      </c>
      <c r="N43" s="536">
        <f t="shared" si="3"/>
        <v>0</v>
      </c>
      <c r="O43" s="1593" t="s">
        <v>1171</v>
      </c>
      <c r="P43" s="2550" t="s">
        <v>1138</v>
      </c>
      <c r="Q43" s="1600">
        <f t="shared" si="1"/>
        <v>1920</v>
      </c>
      <c r="R43" s="1608">
        <v>0</v>
      </c>
      <c r="S43" s="1608">
        <v>1920</v>
      </c>
      <c r="T43" s="735">
        <f t="shared" si="2"/>
        <v>4480</v>
      </c>
      <c r="U43" s="1565" t="s">
        <v>1428</v>
      </c>
      <c r="V43" s="1565" t="s">
        <v>1433</v>
      </c>
      <c r="W43" s="1565">
        <v>522</v>
      </c>
    </row>
    <row r="44" spans="1:25" ht="134.25" customHeight="1">
      <c r="A44" s="1672" t="s">
        <v>107</v>
      </c>
      <c r="B44" s="1684" t="s">
        <v>1416</v>
      </c>
      <c r="C44" s="732">
        <f t="shared" si="4"/>
        <v>3220</v>
      </c>
      <c r="D44" s="1676"/>
      <c r="E44" s="1676">
        <v>3220</v>
      </c>
      <c r="F44" s="814">
        <f t="shared" si="5"/>
        <v>0</v>
      </c>
      <c r="G44" s="536"/>
      <c r="H44" s="536"/>
      <c r="I44" s="534">
        <f t="shared" si="6"/>
        <v>0</v>
      </c>
      <c r="J44" s="698"/>
      <c r="K44" s="698"/>
      <c r="L44" s="746">
        <f t="shared" si="3"/>
        <v>0</v>
      </c>
      <c r="M44" s="536">
        <f t="shared" si="3"/>
        <v>0</v>
      </c>
      <c r="N44" s="536">
        <f t="shared" si="3"/>
        <v>0</v>
      </c>
      <c r="O44" s="1593" t="s">
        <v>1171</v>
      </c>
      <c r="P44" s="2550"/>
      <c r="Q44" s="1600">
        <f t="shared" si="1"/>
        <v>1380</v>
      </c>
      <c r="R44" s="1608">
        <v>0</v>
      </c>
      <c r="S44" s="1608">
        <v>1380</v>
      </c>
      <c r="T44" s="735">
        <f t="shared" si="2"/>
        <v>3220</v>
      </c>
      <c r="U44" s="1565" t="s">
        <v>1428</v>
      </c>
      <c r="V44" s="1565" t="s">
        <v>1433</v>
      </c>
      <c r="W44" s="1565">
        <v>522</v>
      </c>
    </row>
    <row r="45" spans="1:25" s="1607" customFormat="1" ht="20.25">
      <c r="A45" s="1672"/>
      <c r="B45" s="1673" t="s">
        <v>1400</v>
      </c>
      <c r="C45" s="732">
        <f t="shared" si="4"/>
        <v>27093.599999999999</v>
      </c>
      <c r="D45" s="1674">
        <f>SUM(D46:D48)</f>
        <v>0</v>
      </c>
      <c r="E45" s="1674">
        <f>SUM(E46:E48)</f>
        <v>27093.599999999999</v>
      </c>
      <c r="F45" s="732">
        <f t="shared" si="5"/>
        <v>0</v>
      </c>
      <c r="G45" s="1674">
        <f>SUM(G46:G48)</f>
        <v>0</v>
      </c>
      <c r="H45" s="1674">
        <f>SUM(H46:H48)</f>
        <v>0</v>
      </c>
      <c r="I45" s="814">
        <f t="shared" si="6"/>
        <v>0</v>
      </c>
      <c r="J45" s="539">
        <f>SUM(J46:J48)</f>
        <v>0</v>
      </c>
      <c r="K45" s="539">
        <f>SUM(K46:K48)</f>
        <v>0</v>
      </c>
      <c r="L45" s="746">
        <f t="shared" si="3"/>
        <v>0</v>
      </c>
      <c r="M45" s="536">
        <f t="shared" si="3"/>
        <v>0</v>
      </c>
      <c r="N45" s="536">
        <f t="shared" si="3"/>
        <v>0</v>
      </c>
      <c r="O45" s="1593" t="s">
        <v>353</v>
      </c>
      <c r="P45" s="1593" t="s">
        <v>353</v>
      </c>
      <c r="Q45" s="1600" t="e">
        <f t="shared" si="1"/>
        <v>#REF!</v>
      </c>
      <c r="R45" s="1601" t="e">
        <f>SUM(#REF!)</f>
        <v>#REF!</v>
      </c>
      <c r="S45" s="1601" t="e">
        <f>SUM(#REF!)</f>
        <v>#REF!</v>
      </c>
      <c r="T45" s="735">
        <f t="shared" si="2"/>
        <v>27093.599999999999</v>
      </c>
      <c r="U45" s="1565"/>
      <c r="V45" s="1565"/>
      <c r="W45" s="1605"/>
      <c r="X45" s="1606"/>
      <c r="Y45" s="1606"/>
    </row>
    <row r="46" spans="1:25" s="1607" customFormat="1" ht="44.25" customHeight="1">
      <c r="A46" s="1672" t="s">
        <v>108</v>
      </c>
      <c r="B46" s="1675" t="s">
        <v>1398</v>
      </c>
      <c r="C46" s="732">
        <f t="shared" si="4"/>
        <v>7000</v>
      </c>
      <c r="D46" s="1676"/>
      <c r="E46" s="1676">
        <v>7000</v>
      </c>
      <c r="F46" s="814">
        <f t="shared" si="5"/>
        <v>0</v>
      </c>
      <c r="G46" s="536"/>
      <c r="H46" s="536"/>
      <c r="I46" s="814">
        <f t="shared" si="6"/>
        <v>0</v>
      </c>
      <c r="J46" s="1677"/>
      <c r="K46" s="1677"/>
      <c r="L46" s="746">
        <f t="shared" si="3"/>
        <v>0</v>
      </c>
      <c r="M46" s="536">
        <f t="shared" si="3"/>
        <v>0</v>
      </c>
      <c r="N46" s="536">
        <f t="shared" si="3"/>
        <v>0</v>
      </c>
      <c r="O46" s="1593" t="s">
        <v>1171</v>
      </c>
      <c r="P46" s="1593" t="s">
        <v>1116</v>
      </c>
      <c r="Q46" s="1600">
        <f t="shared" si="1"/>
        <v>3000</v>
      </c>
      <c r="R46" s="1608">
        <v>0</v>
      </c>
      <c r="S46" s="1608">
        <v>3000</v>
      </c>
      <c r="T46" s="735">
        <f t="shared" si="2"/>
        <v>7000</v>
      </c>
      <c r="U46" s="1565" t="s">
        <v>1429</v>
      </c>
      <c r="V46" s="1565" t="s">
        <v>1430</v>
      </c>
      <c r="W46" s="1565">
        <v>522</v>
      </c>
      <c r="X46" s="1606"/>
      <c r="Y46" s="1606"/>
    </row>
    <row r="47" spans="1:25" s="1607" customFormat="1" ht="53.25" customHeight="1">
      <c r="A47" s="1672" t="s">
        <v>109</v>
      </c>
      <c r="B47" s="1675" t="s">
        <v>1413</v>
      </c>
      <c r="C47" s="732">
        <f t="shared" si="4"/>
        <v>6338.1</v>
      </c>
      <c r="D47" s="1676"/>
      <c r="E47" s="701">
        <v>6338.1</v>
      </c>
      <c r="F47" s="814">
        <f t="shared" si="5"/>
        <v>0</v>
      </c>
      <c r="G47" s="536"/>
      <c r="H47" s="536"/>
      <c r="I47" s="814">
        <f t="shared" si="6"/>
        <v>0</v>
      </c>
      <c r="J47" s="1677"/>
      <c r="K47" s="1677"/>
      <c r="L47" s="746">
        <f t="shared" si="3"/>
        <v>0</v>
      </c>
      <c r="M47" s="536">
        <f t="shared" si="3"/>
        <v>0</v>
      </c>
      <c r="N47" s="536">
        <f t="shared" si="3"/>
        <v>0</v>
      </c>
      <c r="O47" s="1593" t="s">
        <v>1171</v>
      </c>
      <c r="P47" s="1593" t="s">
        <v>1116</v>
      </c>
      <c r="Q47" s="1600">
        <f t="shared" si="1"/>
        <v>2716.4</v>
      </c>
      <c r="R47" s="1608">
        <v>0</v>
      </c>
      <c r="S47" s="1617">
        <v>2716.4</v>
      </c>
      <c r="T47" s="735">
        <f t="shared" si="2"/>
        <v>6338.1</v>
      </c>
      <c r="U47" s="1565" t="s">
        <v>1429</v>
      </c>
      <c r="V47" s="1565" t="s">
        <v>1430</v>
      </c>
      <c r="W47" s="1565">
        <v>522</v>
      </c>
      <c r="X47" s="1606"/>
      <c r="Y47" s="1606"/>
    </row>
    <row r="48" spans="1:25" s="1607" customFormat="1" ht="52.5" customHeight="1">
      <c r="A48" s="1672" t="s">
        <v>117</v>
      </c>
      <c r="B48" s="1547" t="s">
        <v>1414</v>
      </c>
      <c r="C48" s="732">
        <f t="shared" si="4"/>
        <v>13755.5</v>
      </c>
      <c r="D48" s="1676"/>
      <c r="E48" s="701">
        <v>13755.5</v>
      </c>
      <c r="F48" s="814">
        <f t="shared" si="5"/>
        <v>0</v>
      </c>
      <c r="G48" s="536"/>
      <c r="H48" s="536"/>
      <c r="I48" s="814">
        <f t="shared" si="6"/>
        <v>0</v>
      </c>
      <c r="J48" s="1677"/>
      <c r="K48" s="1677"/>
      <c r="L48" s="746">
        <f t="shared" si="3"/>
        <v>0</v>
      </c>
      <c r="M48" s="536">
        <f t="shared" si="3"/>
        <v>0</v>
      </c>
      <c r="N48" s="536">
        <f t="shared" si="3"/>
        <v>0</v>
      </c>
      <c r="O48" s="1593" t="s">
        <v>1171</v>
      </c>
      <c r="P48" s="1593" t="s">
        <v>1116</v>
      </c>
      <c r="Q48" s="1600">
        <f t="shared" si="1"/>
        <v>2716.4</v>
      </c>
      <c r="R48" s="1608">
        <v>0</v>
      </c>
      <c r="S48" s="1617">
        <v>2716.4</v>
      </c>
      <c r="T48" s="735">
        <f t="shared" si="2"/>
        <v>13755.5</v>
      </c>
      <c r="U48" s="1565" t="s">
        <v>1429</v>
      </c>
      <c r="V48" s="1565" t="s">
        <v>1430</v>
      </c>
      <c r="W48" s="1565">
        <v>522</v>
      </c>
      <c r="X48" s="1606"/>
      <c r="Y48" s="1606"/>
    </row>
    <row r="49" spans="1:25" ht="31.5" customHeight="1">
      <c r="A49" s="1667" t="s">
        <v>254</v>
      </c>
      <c r="B49" s="1668" t="s">
        <v>1394</v>
      </c>
      <c r="C49" s="1669">
        <f t="shared" si="4"/>
        <v>1017570.4</v>
      </c>
      <c r="D49" s="1685">
        <f>SUM(D50)</f>
        <v>999116.3</v>
      </c>
      <c r="E49" s="1685">
        <f>SUM(E50)</f>
        <v>18454.099999999999</v>
      </c>
      <c r="F49" s="1669">
        <f t="shared" si="5"/>
        <v>0</v>
      </c>
      <c r="G49" s="1669">
        <f>SUM(G50)</f>
        <v>0</v>
      </c>
      <c r="H49" s="1669">
        <f>SUM(H50)</f>
        <v>0</v>
      </c>
      <c r="I49" s="1669">
        <f t="shared" si="6"/>
        <v>0</v>
      </c>
      <c r="J49" s="1669">
        <f>SUM(J50)</f>
        <v>0</v>
      </c>
      <c r="K49" s="1669">
        <f>SUM(K50)</f>
        <v>0</v>
      </c>
      <c r="L49" s="1670">
        <f t="shared" si="3"/>
        <v>0</v>
      </c>
      <c r="M49" s="1671">
        <f t="shared" si="3"/>
        <v>0</v>
      </c>
      <c r="N49" s="1671">
        <f t="shared" si="3"/>
        <v>0</v>
      </c>
      <c r="O49" s="1599" t="s">
        <v>353</v>
      </c>
      <c r="P49" s="1599" t="s">
        <v>353</v>
      </c>
      <c r="Q49" s="1598" t="e">
        <f t="shared" si="1"/>
        <v>#REF!</v>
      </c>
      <c r="R49" s="1598" t="e">
        <f>SUM(#REF!,#REF!,R33,#REF!,#REF!,#REF!,R27,#REF!,#REF!,R18,R47,R38,#REF!,#REF!,#REF!)</f>
        <v>#REF!</v>
      </c>
      <c r="S49" s="1598" t="e">
        <f>SUM(#REF!,#REF!,S33,#REF!,#REF!,#REF!,S27,#REF!,#REF!,S18,S47,S38,#REF!,#REF!,#REF!)</f>
        <v>#REF!</v>
      </c>
      <c r="T49" s="735">
        <f t="shared" si="2"/>
        <v>1017570.4</v>
      </c>
    </row>
    <row r="50" spans="1:25" ht="42" customHeight="1">
      <c r="A50" s="1686" t="s">
        <v>1519</v>
      </c>
      <c r="B50" s="1687" t="s">
        <v>1395</v>
      </c>
      <c r="C50" s="1688">
        <f t="shared" ref="C50:C58" si="7">SUM(D50:E50)</f>
        <v>1017570.4</v>
      </c>
      <c r="D50" s="1688">
        <f>SUM(D51,D54)</f>
        <v>999116.3</v>
      </c>
      <c r="E50" s="1688">
        <f>SUM(E51,E54)</f>
        <v>18454.099999999999</v>
      </c>
      <c r="F50" s="1688">
        <f t="shared" ref="F50:F58" si="8">SUM(G50:H50)</f>
        <v>0</v>
      </c>
      <c r="G50" s="1688">
        <f>SUM(G51,G54)</f>
        <v>0</v>
      </c>
      <c r="H50" s="1688">
        <f>SUM(H51,H54)</f>
        <v>0</v>
      </c>
      <c r="I50" s="1688">
        <f t="shared" ref="I50:I58" si="9">SUM(J50:K50)</f>
        <v>0</v>
      </c>
      <c r="J50" s="1688">
        <f>SUM(J51,J54)</f>
        <v>0</v>
      </c>
      <c r="K50" s="1688">
        <f>SUM(K51,K54)</f>
        <v>0</v>
      </c>
      <c r="L50" s="1689">
        <f t="shared" si="3"/>
        <v>0</v>
      </c>
      <c r="M50" s="1690">
        <f t="shared" si="3"/>
        <v>0</v>
      </c>
      <c r="N50" s="1690">
        <f t="shared" si="3"/>
        <v>0</v>
      </c>
      <c r="O50" s="1599"/>
      <c r="P50" s="1599"/>
      <c r="Q50" s="1598"/>
      <c r="R50" s="1598"/>
      <c r="S50" s="1598"/>
      <c r="T50" s="735"/>
      <c r="U50" s="1618"/>
      <c r="V50" s="1618"/>
      <c r="W50" s="1618"/>
    </row>
    <row r="51" spans="1:25" ht="31.5" customHeight="1">
      <c r="A51" s="1686"/>
      <c r="B51" s="1687" t="s">
        <v>1396</v>
      </c>
      <c r="C51" s="1688">
        <f t="shared" si="7"/>
        <v>110087.9</v>
      </c>
      <c r="D51" s="1688">
        <f>D52</f>
        <v>100722.4</v>
      </c>
      <c r="E51" s="1688">
        <f>E52</f>
        <v>9365.5</v>
      </c>
      <c r="F51" s="1688">
        <f t="shared" si="8"/>
        <v>0</v>
      </c>
      <c r="G51" s="1688">
        <f>G52</f>
        <v>0</v>
      </c>
      <c r="H51" s="1688">
        <f>H52</f>
        <v>0</v>
      </c>
      <c r="I51" s="1688">
        <f t="shared" si="9"/>
        <v>0</v>
      </c>
      <c r="J51" s="1688">
        <f>J52</f>
        <v>0</v>
      </c>
      <c r="K51" s="1688">
        <f>K52</f>
        <v>0</v>
      </c>
      <c r="L51" s="1689">
        <f t="shared" si="3"/>
        <v>0</v>
      </c>
      <c r="M51" s="1690">
        <f t="shared" si="3"/>
        <v>0</v>
      </c>
      <c r="N51" s="1690">
        <f t="shared" si="3"/>
        <v>0</v>
      </c>
      <c r="O51" s="1599"/>
      <c r="P51" s="1599"/>
      <c r="Q51" s="1598"/>
      <c r="R51" s="1598"/>
      <c r="S51" s="1598"/>
      <c r="T51" s="735"/>
    </row>
    <row r="52" spans="1:25" ht="20.25">
      <c r="A52" s="1672"/>
      <c r="B52" s="1673" t="s">
        <v>457</v>
      </c>
      <c r="C52" s="732">
        <f t="shared" si="7"/>
        <v>110087.9</v>
      </c>
      <c r="D52" s="539">
        <f>SUM(D53)</f>
        <v>100722.4</v>
      </c>
      <c r="E52" s="539">
        <f>SUM(E53)</f>
        <v>9365.5</v>
      </c>
      <c r="F52" s="732">
        <f t="shared" si="8"/>
        <v>0</v>
      </c>
      <c r="G52" s="539">
        <f>SUM(G53)</f>
        <v>0</v>
      </c>
      <c r="H52" s="539">
        <f>SUM(H53)</f>
        <v>0</v>
      </c>
      <c r="I52" s="732">
        <f t="shared" si="9"/>
        <v>0</v>
      </c>
      <c r="J52" s="539">
        <f>SUM(J53)</f>
        <v>0</v>
      </c>
      <c r="K52" s="539">
        <f>SUM(K53)</f>
        <v>0</v>
      </c>
      <c r="L52" s="746">
        <f t="shared" si="3"/>
        <v>0</v>
      </c>
      <c r="M52" s="536">
        <f t="shared" si="3"/>
        <v>0</v>
      </c>
      <c r="N52" s="536">
        <f t="shared" si="3"/>
        <v>0</v>
      </c>
      <c r="O52" s="1593" t="s">
        <v>353</v>
      </c>
      <c r="P52" s="1593" t="s">
        <v>353</v>
      </c>
      <c r="Q52" s="1600" t="e">
        <f>SUM(R52:S52)</f>
        <v>#REF!</v>
      </c>
      <c r="R52" s="1603" t="e">
        <f>SUM(R53:R57)</f>
        <v>#REF!</v>
      </c>
      <c r="S52" s="1603" t="e">
        <f>SUM(S53:S57)</f>
        <v>#REF!</v>
      </c>
      <c r="T52" s="735">
        <f t="shared" ref="T52:T57" si="10">C52-F52</f>
        <v>110087.9</v>
      </c>
      <c r="U52" s="1565" t="s">
        <v>1429</v>
      </c>
      <c r="V52" s="1565" t="s">
        <v>1430</v>
      </c>
      <c r="W52" s="1565">
        <v>522</v>
      </c>
    </row>
    <row r="53" spans="1:25" s="484" customFormat="1" ht="69" customHeight="1">
      <c r="A53" s="1672" t="s">
        <v>118</v>
      </c>
      <c r="B53" s="1691" t="s">
        <v>1392</v>
      </c>
      <c r="C53" s="732">
        <f t="shared" si="7"/>
        <v>110087.9</v>
      </c>
      <c r="D53" s="854">
        <v>100722.4</v>
      </c>
      <c r="E53" s="854">
        <v>9365.5</v>
      </c>
      <c r="F53" s="732">
        <f t="shared" si="8"/>
        <v>0</v>
      </c>
      <c r="G53" s="854"/>
      <c r="H53" s="854"/>
      <c r="I53" s="732">
        <f t="shared" si="9"/>
        <v>0</v>
      </c>
      <c r="J53" s="802"/>
      <c r="K53" s="802"/>
      <c r="L53" s="733">
        <f t="shared" si="3"/>
        <v>0</v>
      </c>
      <c r="M53" s="734">
        <f t="shared" si="3"/>
        <v>0</v>
      </c>
      <c r="N53" s="734">
        <f t="shared" si="3"/>
        <v>0</v>
      </c>
      <c r="O53" s="1593" t="s">
        <v>1171</v>
      </c>
      <c r="P53" s="1593" t="s">
        <v>1107</v>
      </c>
      <c r="Q53" s="1600">
        <f>SUM(R53:S53)</f>
        <v>43468.4</v>
      </c>
      <c r="R53" s="1614">
        <v>43033.7</v>
      </c>
      <c r="S53" s="1614">
        <v>434.7</v>
      </c>
      <c r="T53" s="735">
        <f t="shared" si="10"/>
        <v>110087.9</v>
      </c>
      <c r="U53" s="1565" t="s">
        <v>1428</v>
      </c>
      <c r="V53" s="1565" t="s">
        <v>1432</v>
      </c>
      <c r="W53" s="1605">
        <v>522</v>
      </c>
      <c r="X53" s="1606"/>
      <c r="Y53" s="1606"/>
    </row>
    <row r="54" spans="1:25" ht="32.25" customHeight="1">
      <c r="A54" s="1686"/>
      <c r="B54" s="1687" t="s">
        <v>1410</v>
      </c>
      <c r="C54" s="732">
        <f t="shared" si="7"/>
        <v>907482.5</v>
      </c>
      <c r="D54" s="539">
        <f>SUM(D55)</f>
        <v>898393.9</v>
      </c>
      <c r="E54" s="539">
        <f>SUM(E55)</f>
        <v>9088.6</v>
      </c>
      <c r="F54" s="732">
        <f t="shared" si="8"/>
        <v>0</v>
      </c>
      <c r="G54" s="539">
        <f>SUM(G55)</f>
        <v>0</v>
      </c>
      <c r="H54" s="539">
        <f>SUM(H55)</f>
        <v>0</v>
      </c>
      <c r="I54" s="732">
        <f t="shared" si="9"/>
        <v>0</v>
      </c>
      <c r="J54" s="539">
        <f>SUM(J55)</f>
        <v>0</v>
      </c>
      <c r="K54" s="539">
        <f>SUM(K55)</f>
        <v>0</v>
      </c>
      <c r="L54" s="801">
        <f t="shared" si="3"/>
        <v>0</v>
      </c>
      <c r="M54" s="1692">
        <f t="shared" si="3"/>
        <v>0</v>
      </c>
      <c r="N54" s="1692">
        <f t="shared" si="3"/>
        <v>0</v>
      </c>
      <c r="O54" s="1599"/>
      <c r="P54" s="1599"/>
      <c r="Q54" s="1598"/>
      <c r="R54" s="1598"/>
      <c r="S54" s="1598"/>
      <c r="T54" s="735"/>
    </row>
    <row r="55" spans="1:25" s="484" customFormat="1" ht="156" customHeight="1">
      <c r="A55" s="1672" t="s">
        <v>154</v>
      </c>
      <c r="B55" s="1691" t="s">
        <v>1412</v>
      </c>
      <c r="C55" s="732">
        <f t="shared" si="7"/>
        <v>907482.5</v>
      </c>
      <c r="D55" s="854">
        <v>898393.9</v>
      </c>
      <c r="E55" s="854">
        <v>9088.6</v>
      </c>
      <c r="F55" s="732">
        <f t="shared" si="8"/>
        <v>0</v>
      </c>
      <c r="G55" s="854"/>
      <c r="H55" s="854"/>
      <c r="I55" s="732">
        <f t="shared" si="9"/>
        <v>0</v>
      </c>
      <c r="J55" s="802"/>
      <c r="K55" s="802"/>
      <c r="L55" s="733">
        <f t="shared" si="3"/>
        <v>0</v>
      </c>
      <c r="M55" s="734">
        <f t="shared" si="3"/>
        <v>0</v>
      </c>
      <c r="N55" s="734">
        <f t="shared" si="3"/>
        <v>0</v>
      </c>
      <c r="O55" s="1593" t="s">
        <v>1171</v>
      </c>
      <c r="P55" s="1593" t="s">
        <v>1107</v>
      </c>
      <c r="Q55" s="1600">
        <f>SUM(R55:S55)</f>
        <v>43468.4</v>
      </c>
      <c r="R55" s="1614">
        <v>43033.7</v>
      </c>
      <c r="S55" s="1614">
        <v>434.7</v>
      </c>
      <c r="T55" s="735">
        <f>C55-F55</f>
        <v>907482.5</v>
      </c>
      <c r="U55" s="1565" t="s">
        <v>1428</v>
      </c>
      <c r="V55" s="1565" t="s">
        <v>1411</v>
      </c>
      <c r="W55" s="1605">
        <v>522</v>
      </c>
      <c r="X55" s="1606"/>
      <c r="Y55" s="1606"/>
    </row>
    <row r="56" spans="1:25" ht="107.25" customHeight="1">
      <c r="A56" s="1693" t="s">
        <v>2</v>
      </c>
      <c r="B56" s="1694" t="s">
        <v>1434</v>
      </c>
      <c r="C56" s="1695">
        <f t="shared" si="7"/>
        <v>5101676.9000000004</v>
      </c>
      <c r="D56" s="1695">
        <f>SUM(D57,D79)</f>
        <v>3833150.5</v>
      </c>
      <c r="E56" s="1695">
        <f>SUM(E57,E79)</f>
        <v>1268526.3999999999</v>
      </c>
      <c r="F56" s="1695">
        <f t="shared" si="8"/>
        <v>0</v>
      </c>
      <c r="G56" s="1695">
        <f>SUM(G57,G79)</f>
        <v>0</v>
      </c>
      <c r="H56" s="1695">
        <f>SUM(H57,H79)</f>
        <v>0</v>
      </c>
      <c r="I56" s="1695">
        <f t="shared" si="9"/>
        <v>0</v>
      </c>
      <c r="J56" s="1695">
        <f>SUM(J57,J79)</f>
        <v>0</v>
      </c>
      <c r="K56" s="1695">
        <f>SUM(K57,K79)</f>
        <v>0</v>
      </c>
      <c r="L56" s="1696">
        <f t="shared" si="3"/>
        <v>0</v>
      </c>
      <c r="M56" s="1697">
        <f t="shared" si="3"/>
        <v>0</v>
      </c>
      <c r="N56" s="1697">
        <f t="shared" si="3"/>
        <v>0</v>
      </c>
      <c r="O56" s="1622" t="s">
        <v>353</v>
      </c>
      <c r="P56" s="1622" t="s">
        <v>353</v>
      </c>
      <c r="Q56" s="1621" t="e">
        <f>SUM(R56:S56)</f>
        <v>#REF!</v>
      </c>
      <c r="R56" s="1621" t="e">
        <f>#REF!</f>
        <v>#REF!</v>
      </c>
      <c r="S56" s="1621" t="e">
        <f>#REF!</f>
        <v>#REF!</v>
      </c>
      <c r="T56" s="735">
        <f t="shared" si="10"/>
        <v>5101676.9000000004</v>
      </c>
    </row>
    <row r="57" spans="1:25" ht="35.25" customHeight="1">
      <c r="A57" s="1667" t="s">
        <v>246</v>
      </c>
      <c r="B57" s="1668" t="s">
        <v>1393</v>
      </c>
      <c r="C57" s="1669">
        <f t="shared" si="7"/>
        <v>203330.9</v>
      </c>
      <c r="D57" s="1669">
        <f>D58</f>
        <v>0</v>
      </c>
      <c r="E57" s="1669">
        <f>E58</f>
        <v>203330.9</v>
      </c>
      <c r="F57" s="1669">
        <f t="shared" si="8"/>
        <v>0</v>
      </c>
      <c r="G57" s="1669">
        <f>G58</f>
        <v>0</v>
      </c>
      <c r="H57" s="1669">
        <f>H58</f>
        <v>0</v>
      </c>
      <c r="I57" s="1669">
        <f t="shared" si="9"/>
        <v>0</v>
      </c>
      <c r="J57" s="1669">
        <f>J58</f>
        <v>0</v>
      </c>
      <c r="K57" s="1669">
        <f>K58</f>
        <v>0</v>
      </c>
      <c r="L57" s="1670">
        <f t="shared" si="3"/>
        <v>0</v>
      </c>
      <c r="M57" s="1671">
        <f t="shared" si="3"/>
        <v>0</v>
      </c>
      <c r="N57" s="1671">
        <f t="shared" si="3"/>
        <v>0</v>
      </c>
      <c r="O57" s="1599" t="s">
        <v>353</v>
      </c>
      <c r="P57" s="1599" t="s">
        <v>353</v>
      </c>
      <c r="Q57" s="1598" t="e">
        <f>SUM(R57:S57)</f>
        <v>#REF!</v>
      </c>
      <c r="R57" s="1598" t="e">
        <f>SUM(#REF!,#REF!,#REF!,R83,#REF!,#REF!,#REF!,#REF!,#REF!,#REF!,#REF!,#REF!,#REF!,#REF!,#REF!)</f>
        <v>#REF!</v>
      </c>
      <c r="S57" s="1598" t="e">
        <f>SUM(#REF!,#REF!,#REF!,S83,#REF!,#REF!,#REF!,#REF!,#REF!,#REF!,#REF!,#REF!,#REF!,#REF!,#REF!)</f>
        <v>#REF!</v>
      </c>
      <c r="T57" s="735">
        <f t="shared" si="10"/>
        <v>203330.9</v>
      </c>
    </row>
    <row r="58" spans="1:25" ht="35.25" customHeight="1">
      <c r="A58" s="1686" t="s">
        <v>247</v>
      </c>
      <c r="B58" s="1687" t="s">
        <v>529</v>
      </c>
      <c r="C58" s="1688">
        <f t="shared" si="7"/>
        <v>203330.9</v>
      </c>
      <c r="D58" s="1688">
        <f>SUM(D59:D78)</f>
        <v>0</v>
      </c>
      <c r="E58" s="1688">
        <f>SUM(E59:E78)</f>
        <v>203330.9</v>
      </c>
      <c r="F58" s="1688">
        <f t="shared" si="8"/>
        <v>0</v>
      </c>
      <c r="G58" s="1688">
        <f>SUM(G59:G78)</f>
        <v>0</v>
      </c>
      <c r="H58" s="1688">
        <f>SUM(H59:H78)</f>
        <v>0</v>
      </c>
      <c r="I58" s="1688">
        <f t="shared" si="9"/>
        <v>0</v>
      </c>
      <c r="J58" s="1688">
        <f>SUM(J59:J78)</f>
        <v>0</v>
      </c>
      <c r="K58" s="1688">
        <f>SUM(K59:K78)</f>
        <v>0</v>
      </c>
      <c r="L58" s="1689">
        <f t="shared" si="3"/>
        <v>0</v>
      </c>
      <c r="M58" s="1690">
        <f t="shared" si="3"/>
        <v>0</v>
      </c>
      <c r="N58" s="1690">
        <f t="shared" si="3"/>
        <v>0</v>
      </c>
      <c r="O58" s="1599"/>
      <c r="P58" s="1599"/>
      <c r="Q58" s="1598"/>
      <c r="R58" s="1598"/>
      <c r="S58" s="1598"/>
      <c r="T58" s="735"/>
      <c r="U58" s="1618"/>
      <c r="V58" s="1618"/>
      <c r="W58" s="1618"/>
    </row>
    <row r="59" spans="1:25" ht="74.25" customHeight="1">
      <c r="A59" s="1698" t="s">
        <v>155</v>
      </c>
      <c r="B59" s="1547" t="s">
        <v>1443</v>
      </c>
      <c r="C59" s="732">
        <f t="shared" ref="C59:C71" si="11">SUM(D59:E59)</f>
        <v>7800</v>
      </c>
      <c r="D59" s="1676"/>
      <c r="E59" s="1676">
        <v>7800</v>
      </c>
      <c r="F59" s="814">
        <f t="shared" ref="F59:F71" si="12">SUM(G59:H59)</f>
        <v>0</v>
      </c>
      <c r="G59" s="536"/>
      <c r="H59" s="536"/>
      <c r="I59" s="814">
        <f t="shared" ref="I59:I71" si="13">SUM(J59:K59)</f>
        <v>0</v>
      </c>
      <c r="J59" s="701"/>
      <c r="K59" s="701"/>
      <c r="L59" s="746">
        <f t="shared" si="3"/>
        <v>0</v>
      </c>
      <c r="M59" s="536">
        <f t="shared" si="3"/>
        <v>0</v>
      </c>
      <c r="N59" s="536">
        <f t="shared" si="3"/>
        <v>0</v>
      </c>
      <c r="O59" s="1593" t="s">
        <v>1290</v>
      </c>
      <c r="P59" s="1593" t="s">
        <v>1240</v>
      </c>
      <c r="Q59" s="1600">
        <f t="shared" ref="Q59:Q71" si="14">SUM(R59:S59)</f>
        <v>800</v>
      </c>
      <c r="R59" s="1608">
        <v>0</v>
      </c>
      <c r="S59" s="1608">
        <v>800</v>
      </c>
      <c r="T59" s="735">
        <f t="shared" ref="T59:T71" si="15">C59-F59</f>
        <v>7800</v>
      </c>
      <c r="U59" s="1565" t="s">
        <v>1429</v>
      </c>
      <c r="V59" s="1565">
        <v>1820190400</v>
      </c>
      <c r="W59" s="1565">
        <v>414</v>
      </c>
    </row>
    <row r="60" spans="1:25" ht="85.5" customHeight="1">
      <c r="A60" s="1698" t="s">
        <v>156</v>
      </c>
      <c r="B60" s="1547" t="s">
        <v>1444</v>
      </c>
      <c r="C60" s="732">
        <f t="shared" si="11"/>
        <v>841.2</v>
      </c>
      <c r="D60" s="1676"/>
      <c r="E60" s="1676">
        <v>841.2</v>
      </c>
      <c r="F60" s="814">
        <f t="shared" si="12"/>
        <v>0</v>
      </c>
      <c r="G60" s="536"/>
      <c r="H60" s="536"/>
      <c r="I60" s="814">
        <f t="shared" si="13"/>
        <v>0</v>
      </c>
      <c r="J60" s="701"/>
      <c r="K60" s="701"/>
      <c r="L60" s="746">
        <f t="shared" si="3"/>
        <v>0</v>
      </c>
      <c r="M60" s="536">
        <f t="shared" si="3"/>
        <v>0</v>
      </c>
      <c r="N60" s="536">
        <f t="shared" si="3"/>
        <v>0</v>
      </c>
      <c r="O60" s="1593" t="s">
        <v>1290</v>
      </c>
      <c r="P60" s="1593" t="s">
        <v>1240</v>
      </c>
      <c r="Q60" s="1600">
        <f t="shared" si="14"/>
        <v>800</v>
      </c>
      <c r="R60" s="1608">
        <v>0</v>
      </c>
      <c r="S60" s="1608">
        <v>800</v>
      </c>
      <c r="T60" s="735">
        <f t="shared" si="15"/>
        <v>841.2</v>
      </c>
      <c r="U60" s="1565" t="s">
        <v>1429</v>
      </c>
      <c r="V60" s="1565">
        <v>1820190400</v>
      </c>
      <c r="W60" s="1565">
        <v>414</v>
      </c>
    </row>
    <row r="61" spans="1:25" ht="48" customHeight="1">
      <c r="A61" s="1698" t="s">
        <v>122</v>
      </c>
      <c r="B61" s="1699" t="s">
        <v>1446</v>
      </c>
      <c r="C61" s="732">
        <f t="shared" si="11"/>
        <v>3420</v>
      </c>
      <c r="D61" s="1676"/>
      <c r="E61" s="1676">
        <v>3420</v>
      </c>
      <c r="F61" s="814">
        <f t="shared" si="12"/>
        <v>0</v>
      </c>
      <c r="G61" s="536"/>
      <c r="H61" s="536"/>
      <c r="I61" s="814">
        <f t="shared" si="13"/>
        <v>0</v>
      </c>
      <c r="J61" s="701"/>
      <c r="K61" s="701"/>
      <c r="L61" s="746">
        <f t="shared" si="3"/>
        <v>0</v>
      </c>
      <c r="M61" s="536">
        <f t="shared" si="3"/>
        <v>0</v>
      </c>
      <c r="N61" s="536">
        <f t="shared" si="3"/>
        <v>0</v>
      </c>
      <c r="O61" s="1593" t="s">
        <v>1290</v>
      </c>
      <c r="P61" s="1593" t="s">
        <v>1240</v>
      </c>
      <c r="Q61" s="1600">
        <f t="shared" si="14"/>
        <v>800</v>
      </c>
      <c r="R61" s="1608">
        <v>0</v>
      </c>
      <c r="S61" s="1608">
        <v>800</v>
      </c>
      <c r="T61" s="735">
        <f t="shared" si="15"/>
        <v>3420</v>
      </c>
      <c r="U61" s="1565" t="s">
        <v>1429</v>
      </c>
      <c r="V61" s="1565" t="s">
        <v>1445</v>
      </c>
      <c r="W61" s="1565">
        <v>414</v>
      </c>
    </row>
    <row r="62" spans="1:25" ht="48" customHeight="1">
      <c r="A62" s="1698" t="s">
        <v>123</v>
      </c>
      <c r="B62" s="1699" t="s">
        <v>1447</v>
      </c>
      <c r="C62" s="732">
        <f t="shared" si="11"/>
        <v>2710</v>
      </c>
      <c r="D62" s="1676"/>
      <c r="E62" s="1676">
        <v>2710</v>
      </c>
      <c r="F62" s="814">
        <f t="shared" si="12"/>
        <v>0</v>
      </c>
      <c r="G62" s="536"/>
      <c r="H62" s="536"/>
      <c r="I62" s="814">
        <f t="shared" si="13"/>
        <v>0</v>
      </c>
      <c r="J62" s="701"/>
      <c r="K62" s="701"/>
      <c r="L62" s="746">
        <f t="shared" si="3"/>
        <v>0</v>
      </c>
      <c r="M62" s="536">
        <f t="shared" si="3"/>
        <v>0</v>
      </c>
      <c r="N62" s="536">
        <f t="shared" si="3"/>
        <v>0</v>
      </c>
      <c r="O62" s="1593" t="s">
        <v>1290</v>
      </c>
      <c r="P62" s="1593" t="s">
        <v>1240</v>
      </c>
      <c r="Q62" s="1600">
        <f t="shared" si="14"/>
        <v>800</v>
      </c>
      <c r="R62" s="1608">
        <v>0</v>
      </c>
      <c r="S62" s="1608">
        <v>800</v>
      </c>
      <c r="T62" s="735">
        <f t="shared" si="15"/>
        <v>2710</v>
      </c>
      <c r="U62" s="1565" t="s">
        <v>1429</v>
      </c>
      <c r="V62" s="1565" t="s">
        <v>1445</v>
      </c>
      <c r="W62" s="1565">
        <v>414</v>
      </c>
    </row>
    <row r="63" spans="1:25" ht="48" customHeight="1">
      <c r="A63" s="1698" t="s">
        <v>124</v>
      </c>
      <c r="B63" s="1699" t="s">
        <v>1448</v>
      </c>
      <c r="C63" s="732">
        <f t="shared" si="11"/>
        <v>2930</v>
      </c>
      <c r="D63" s="1676"/>
      <c r="E63" s="1676">
        <v>2930</v>
      </c>
      <c r="F63" s="814">
        <f t="shared" si="12"/>
        <v>0</v>
      </c>
      <c r="G63" s="536"/>
      <c r="H63" s="536"/>
      <c r="I63" s="814">
        <f t="shared" si="13"/>
        <v>0</v>
      </c>
      <c r="J63" s="701"/>
      <c r="K63" s="701"/>
      <c r="L63" s="746">
        <f t="shared" si="3"/>
        <v>0</v>
      </c>
      <c r="M63" s="536">
        <f t="shared" si="3"/>
        <v>0</v>
      </c>
      <c r="N63" s="536">
        <f t="shared" si="3"/>
        <v>0</v>
      </c>
      <c r="O63" s="1593" t="s">
        <v>1290</v>
      </c>
      <c r="P63" s="1593" t="s">
        <v>1240</v>
      </c>
      <c r="Q63" s="1600">
        <f t="shared" si="14"/>
        <v>800</v>
      </c>
      <c r="R63" s="1608">
        <v>0</v>
      </c>
      <c r="S63" s="1608">
        <v>800</v>
      </c>
      <c r="T63" s="735">
        <f t="shared" si="15"/>
        <v>2930</v>
      </c>
      <c r="U63" s="1565" t="s">
        <v>1429</v>
      </c>
      <c r="V63" s="1565" t="s">
        <v>1445</v>
      </c>
      <c r="W63" s="1565">
        <v>414</v>
      </c>
    </row>
    <row r="64" spans="1:25" ht="48" customHeight="1">
      <c r="A64" s="1698" t="s">
        <v>125</v>
      </c>
      <c r="B64" s="1699" t="s">
        <v>1449</v>
      </c>
      <c r="C64" s="732">
        <f t="shared" si="11"/>
        <v>5180</v>
      </c>
      <c r="D64" s="1676"/>
      <c r="E64" s="1676">
        <v>5180</v>
      </c>
      <c r="F64" s="814">
        <f t="shared" si="12"/>
        <v>0</v>
      </c>
      <c r="G64" s="536"/>
      <c r="H64" s="536"/>
      <c r="I64" s="814">
        <f t="shared" si="13"/>
        <v>0</v>
      </c>
      <c r="J64" s="701"/>
      <c r="K64" s="701"/>
      <c r="L64" s="746">
        <f t="shared" si="3"/>
        <v>0</v>
      </c>
      <c r="M64" s="536">
        <f t="shared" si="3"/>
        <v>0</v>
      </c>
      <c r="N64" s="536">
        <f t="shared" si="3"/>
        <v>0</v>
      </c>
      <c r="O64" s="1593" t="s">
        <v>1290</v>
      </c>
      <c r="P64" s="1593" t="s">
        <v>1240</v>
      </c>
      <c r="Q64" s="1600">
        <f t="shared" si="14"/>
        <v>800</v>
      </c>
      <c r="R64" s="1608">
        <v>0</v>
      </c>
      <c r="S64" s="1608">
        <v>800</v>
      </c>
      <c r="T64" s="735">
        <f t="shared" si="15"/>
        <v>5180</v>
      </c>
      <c r="U64" s="1565" t="s">
        <v>1429</v>
      </c>
      <c r="V64" s="1565" t="s">
        <v>1445</v>
      </c>
      <c r="W64" s="1565">
        <v>414</v>
      </c>
    </row>
    <row r="65" spans="1:25" ht="48" customHeight="1">
      <c r="A65" s="1698" t="s">
        <v>126</v>
      </c>
      <c r="B65" s="1699" t="s">
        <v>1450</v>
      </c>
      <c r="C65" s="732">
        <f t="shared" si="11"/>
        <v>2930</v>
      </c>
      <c r="D65" s="1676"/>
      <c r="E65" s="1676">
        <v>2930</v>
      </c>
      <c r="F65" s="814">
        <f t="shared" si="12"/>
        <v>0</v>
      </c>
      <c r="G65" s="536"/>
      <c r="H65" s="536"/>
      <c r="I65" s="814">
        <f t="shared" si="13"/>
        <v>0</v>
      </c>
      <c r="J65" s="701"/>
      <c r="K65" s="701"/>
      <c r="L65" s="746">
        <f t="shared" si="3"/>
        <v>0</v>
      </c>
      <c r="M65" s="536">
        <f t="shared" si="3"/>
        <v>0</v>
      </c>
      <c r="N65" s="536">
        <f t="shared" si="3"/>
        <v>0</v>
      </c>
      <c r="O65" s="1593" t="s">
        <v>1290</v>
      </c>
      <c r="P65" s="1593" t="s">
        <v>1240</v>
      </c>
      <c r="Q65" s="1600">
        <f t="shared" si="14"/>
        <v>800</v>
      </c>
      <c r="R65" s="1608">
        <v>0</v>
      </c>
      <c r="S65" s="1608">
        <v>800</v>
      </c>
      <c r="T65" s="735">
        <f t="shared" si="15"/>
        <v>2930</v>
      </c>
      <c r="U65" s="1565" t="s">
        <v>1429</v>
      </c>
      <c r="V65" s="1565" t="s">
        <v>1445</v>
      </c>
      <c r="W65" s="1565">
        <v>414</v>
      </c>
    </row>
    <row r="66" spans="1:25" ht="48" customHeight="1">
      <c r="A66" s="1698" t="s">
        <v>127</v>
      </c>
      <c r="B66" s="1699" t="s">
        <v>1451</v>
      </c>
      <c r="C66" s="732">
        <f t="shared" si="11"/>
        <v>2090</v>
      </c>
      <c r="D66" s="1676"/>
      <c r="E66" s="1676">
        <v>2090</v>
      </c>
      <c r="F66" s="814">
        <f t="shared" si="12"/>
        <v>0</v>
      </c>
      <c r="G66" s="536"/>
      <c r="H66" s="536"/>
      <c r="I66" s="814">
        <f t="shared" si="13"/>
        <v>0</v>
      </c>
      <c r="J66" s="701"/>
      <c r="K66" s="701"/>
      <c r="L66" s="746">
        <f t="shared" si="3"/>
        <v>0</v>
      </c>
      <c r="M66" s="536">
        <f t="shared" si="3"/>
        <v>0</v>
      </c>
      <c r="N66" s="536">
        <f t="shared" si="3"/>
        <v>0</v>
      </c>
      <c r="O66" s="1593" t="s">
        <v>1290</v>
      </c>
      <c r="P66" s="1593" t="s">
        <v>1240</v>
      </c>
      <c r="Q66" s="1600">
        <f t="shared" si="14"/>
        <v>800</v>
      </c>
      <c r="R66" s="1608">
        <v>0</v>
      </c>
      <c r="S66" s="1608">
        <v>800</v>
      </c>
      <c r="T66" s="735">
        <f t="shared" si="15"/>
        <v>2090</v>
      </c>
      <c r="U66" s="1565" t="s">
        <v>1429</v>
      </c>
      <c r="V66" s="1565" t="s">
        <v>1445</v>
      </c>
      <c r="W66" s="1565">
        <v>414</v>
      </c>
    </row>
    <row r="67" spans="1:25" ht="48" customHeight="1">
      <c r="A67" s="1698" t="s">
        <v>128</v>
      </c>
      <c r="B67" s="1699" t="s">
        <v>1452</v>
      </c>
      <c r="C67" s="732">
        <f t="shared" si="11"/>
        <v>2230</v>
      </c>
      <c r="D67" s="1676"/>
      <c r="E67" s="1676">
        <v>2230</v>
      </c>
      <c r="F67" s="814">
        <f t="shared" si="12"/>
        <v>0</v>
      </c>
      <c r="G67" s="536"/>
      <c r="H67" s="536"/>
      <c r="I67" s="814">
        <f t="shared" si="13"/>
        <v>0</v>
      </c>
      <c r="J67" s="701"/>
      <c r="K67" s="701"/>
      <c r="L67" s="746">
        <f t="shared" si="3"/>
        <v>0</v>
      </c>
      <c r="M67" s="536">
        <f t="shared" si="3"/>
        <v>0</v>
      </c>
      <c r="N67" s="536">
        <f t="shared" si="3"/>
        <v>0</v>
      </c>
      <c r="O67" s="1593" t="s">
        <v>1290</v>
      </c>
      <c r="P67" s="1593" t="s">
        <v>1240</v>
      </c>
      <c r="Q67" s="1600">
        <f t="shared" si="14"/>
        <v>800</v>
      </c>
      <c r="R67" s="1608">
        <v>0</v>
      </c>
      <c r="S67" s="1608">
        <v>800</v>
      </c>
      <c r="T67" s="735">
        <f t="shared" si="15"/>
        <v>2230</v>
      </c>
      <c r="U67" s="1565" t="s">
        <v>1429</v>
      </c>
      <c r="V67" s="1565" t="s">
        <v>1445</v>
      </c>
      <c r="W67" s="1565">
        <v>414</v>
      </c>
    </row>
    <row r="68" spans="1:25" ht="48" customHeight="1">
      <c r="A68" s="1698" t="s">
        <v>158</v>
      </c>
      <c r="B68" s="1699" t="s">
        <v>1453</v>
      </c>
      <c r="C68" s="732">
        <f t="shared" si="11"/>
        <v>1650</v>
      </c>
      <c r="D68" s="1676"/>
      <c r="E68" s="1676">
        <v>1650</v>
      </c>
      <c r="F68" s="814">
        <f t="shared" si="12"/>
        <v>0</v>
      </c>
      <c r="G68" s="536"/>
      <c r="H68" s="536"/>
      <c r="I68" s="814">
        <f t="shared" si="13"/>
        <v>0</v>
      </c>
      <c r="J68" s="701"/>
      <c r="K68" s="701"/>
      <c r="L68" s="746">
        <f t="shared" si="3"/>
        <v>0</v>
      </c>
      <c r="M68" s="536">
        <f t="shared" si="3"/>
        <v>0</v>
      </c>
      <c r="N68" s="536">
        <f t="shared" si="3"/>
        <v>0</v>
      </c>
      <c r="O68" s="1593" t="s">
        <v>1290</v>
      </c>
      <c r="P68" s="1593" t="s">
        <v>1240</v>
      </c>
      <c r="Q68" s="1600">
        <f t="shared" si="14"/>
        <v>800</v>
      </c>
      <c r="R68" s="1608">
        <v>0</v>
      </c>
      <c r="S68" s="1608">
        <v>800</v>
      </c>
      <c r="T68" s="735">
        <f t="shared" si="15"/>
        <v>1650</v>
      </c>
      <c r="U68" s="1565" t="s">
        <v>1429</v>
      </c>
      <c r="V68" s="1565" t="s">
        <v>1445</v>
      </c>
      <c r="W68" s="1565">
        <v>414</v>
      </c>
    </row>
    <row r="69" spans="1:25" ht="48" customHeight="1">
      <c r="A69" s="1698" t="s">
        <v>129</v>
      </c>
      <c r="B69" s="1699" t="s">
        <v>1454</v>
      </c>
      <c r="C69" s="732">
        <f t="shared" si="11"/>
        <v>2930</v>
      </c>
      <c r="D69" s="1676"/>
      <c r="E69" s="1676">
        <v>2930</v>
      </c>
      <c r="F69" s="814">
        <f t="shared" si="12"/>
        <v>0</v>
      </c>
      <c r="G69" s="536"/>
      <c r="H69" s="536"/>
      <c r="I69" s="814">
        <f t="shared" si="13"/>
        <v>0</v>
      </c>
      <c r="J69" s="701"/>
      <c r="K69" s="701"/>
      <c r="L69" s="746">
        <f t="shared" si="3"/>
        <v>0</v>
      </c>
      <c r="M69" s="536">
        <f t="shared" si="3"/>
        <v>0</v>
      </c>
      <c r="N69" s="536">
        <f t="shared" si="3"/>
        <v>0</v>
      </c>
      <c r="O69" s="1593" t="s">
        <v>1290</v>
      </c>
      <c r="P69" s="1593" t="s">
        <v>1240</v>
      </c>
      <c r="Q69" s="1600">
        <f t="shared" si="14"/>
        <v>800</v>
      </c>
      <c r="R69" s="1608">
        <v>0</v>
      </c>
      <c r="S69" s="1608">
        <v>800</v>
      </c>
      <c r="T69" s="735">
        <f t="shared" si="15"/>
        <v>2930</v>
      </c>
      <c r="U69" s="1565" t="s">
        <v>1429</v>
      </c>
      <c r="V69" s="1565" t="s">
        <v>1445</v>
      </c>
      <c r="W69" s="1565">
        <v>414</v>
      </c>
    </row>
    <row r="70" spans="1:25" ht="67.5" customHeight="1">
      <c r="A70" s="1698" t="s">
        <v>159</v>
      </c>
      <c r="B70" s="1682" t="s">
        <v>1456</v>
      </c>
      <c r="C70" s="732">
        <f t="shared" si="11"/>
        <v>48540.7</v>
      </c>
      <c r="D70" s="1676"/>
      <c r="E70" s="1676">
        <v>48540.7</v>
      </c>
      <c r="F70" s="814">
        <f t="shared" si="12"/>
        <v>0</v>
      </c>
      <c r="G70" s="536"/>
      <c r="H70" s="536"/>
      <c r="I70" s="814">
        <f t="shared" si="13"/>
        <v>0</v>
      </c>
      <c r="J70" s="701"/>
      <c r="K70" s="701"/>
      <c r="L70" s="746">
        <f t="shared" si="3"/>
        <v>0</v>
      </c>
      <c r="M70" s="536">
        <f t="shared" si="3"/>
        <v>0</v>
      </c>
      <c r="N70" s="536">
        <f t="shared" si="3"/>
        <v>0</v>
      </c>
      <c r="O70" s="1593" t="s">
        <v>1290</v>
      </c>
      <c r="P70" s="1593" t="s">
        <v>1240</v>
      </c>
      <c r="Q70" s="1600">
        <f t="shared" si="14"/>
        <v>800</v>
      </c>
      <c r="R70" s="1608">
        <v>0</v>
      </c>
      <c r="S70" s="1608">
        <v>800</v>
      </c>
      <c r="T70" s="735">
        <f t="shared" si="15"/>
        <v>48540.7</v>
      </c>
      <c r="U70" s="1565" t="s">
        <v>1429</v>
      </c>
      <c r="V70" s="1565" t="s">
        <v>1455</v>
      </c>
      <c r="W70" s="1565">
        <v>414</v>
      </c>
    </row>
    <row r="71" spans="1:25" ht="27.75" customHeight="1">
      <c r="A71" s="1698" t="s">
        <v>130</v>
      </c>
      <c r="B71" s="1547" t="s">
        <v>1467</v>
      </c>
      <c r="C71" s="732">
        <f t="shared" si="11"/>
        <v>3150</v>
      </c>
      <c r="D71" s="1676"/>
      <c r="E71" s="1676">
        <v>3150</v>
      </c>
      <c r="F71" s="814">
        <f t="shared" si="12"/>
        <v>0</v>
      </c>
      <c r="G71" s="536"/>
      <c r="H71" s="536"/>
      <c r="I71" s="814">
        <f t="shared" si="13"/>
        <v>0</v>
      </c>
      <c r="J71" s="701"/>
      <c r="K71" s="701"/>
      <c r="L71" s="746">
        <f t="shared" si="3"/>
        <v>0</v>
      </c>
      <c r="M71" s="536">
        <f t="shared" si="3"/>
        <v>0</v>
      </c>
      <c r="N71" s="536">
        <f t="shared" si="3"/>
        <v>0</v>
      </c>
      <c r="O71" s="1593" t="s">
        <v>1290</v>
      </c>
      <c r="P71" s="1593" t="s">
        <v>1240</v>
      </c>
      <c r="Q71" s="1600">
        <f t="shared" si="14"/>
        <v>800</v>
      </c>
      <c r="R71" s="1608">
        <v>0</v>
      </c>
      <c r="S71" s="1608">
        <v>800</v>
      </c>
      <c r="T71" s="735">
        <f t="shared" si="15"/>
        <v>3150</v>
      </c>
      <c r="U71" s="1565">
        <v>1102</v>
      </c>
      <c r="V71" s="1565" t="s">
        <v>1468</v>
      </c>
      <c r="W71" s="1565">
        <v>414</v>
      </c>
    </row>
    <row r="72" spans="1:25" s="1607" customFormat="1" ht="95.25" customHeight="1">
      <c r="A72" s="1672" t="s">
        <v>160</v>
      </c>
      <c r="B72" s="1700" t="s">
        <v>1523</v>
      </c>
      <c r="C72" s="732">
        <f>SUM(D72:E72)</f>
        <v>14000</v>
      </c>
      <c r="D72" s="1676"/>
      <c r="E72" s="1676">
        <v>14000</v>
      </c>
      <c r="F72" s="814">
        <f>SUM(G72:H72)</f>
        <v>0</v>
      </c>
      <c r="G72" s="536"/>
      <c r="H72" s="536"/>
      <c r="I72" s="814">
        <f>SUM(J72:K72)</f>
        <v>0</v>
      </c>
      <c r="J72" s="701"/>
      <c r="K72" s="701"/>
      <c r="L72" s="746">
        <f t="shared" si="3"/>
        <v>0</v>
      </c>
      <c r="M72" s="536">
        <f t="shared" si="3"/>
        <v>0</v>
      </c>
      <c r="N72" s="536">
        <f t="shared" si="3"/>
        <v>0</v>
      </c>
      <c r="O72" s="1593" t="s">
        <v>1192</v>
      </c>
      <c r="P72" s="1593" t="s">
        <v>1203</v>
      </c>
      <c r="Q72" s="1600">
        <f t="shared" ref="Q72:Q79" si="16">SUM(R72:S72)</f>
        <v>5100</v>
      </c>
      <c r="R72" s="1608">
        <v>0</v>
      </c>
      <c r="S72" s="1608">
        <v>5100</v>
      </c>
      <c r="T72" s="735">
        <f>C72-F72</f>
        <v>14000</v>
      </c>
      <c r="U72" s="1565" t="s">
        <v>1474</v>
      </c>
      <c r="V72" s="1565" t="s">
        <v>1475</v>
      </c>
      <c r="W72" s="1605">
        <v>414</v>
      </c>
      <c r="X72" s="1606"/>
      <c r="Y72" s="1606"/>
    </row>
    <row r="73" spans="1:25" s="1607" customFormat="1" ht="72" customHeight="1">
      <c r="A73" s="1672" t="s">
        <v>532</v>
      </c>
      <c r="B73" s="1700" t="s">
        <v>1485</v>
      </c>
      <c r="C73" s="732">
        <f>SUM(D73:E73)</f>
        <v>14000</v>
      </c>
      <c r="D73" s="1676"/>
      <c r="E73" s="1676">
        <v>14000</v>
      </c>
      <c r="F73" s="814">
        <f>SUM(G73:H73)</f>
        <v>0</v>
      </c>
      <c r="G73" s="536"/>
      <c r="H73" s="536"/>
      <c r="I73" s="814">
        <f>SUM(J73:K73)</f>
        <v>0</v>
      </c>
      <c r="J73" s="701"/>
      <c r="K73" s="701"/>
      <c r="L73" s="746">
        <f t="shared" si="3"/>
        <v>0</v>
      </c>
      <c r="M73" s="536">
        <f t="shared" si="3"/>
        <v>0</v>
      </c>
      <c r="N73" s="536">
        <f t="shared" si="3"/>
        <v>0</v>
      </c>
      <c r="O73" s="1593" t="s">
        <v>1192</v>
      </c>
      <c r="P73" s="1593" t="s">
        <v>1203</v>
      </c>
      <c r="Q73" s="1600">
        <f t="shared" si="16"/>
        <v>6000</v>
      </c>
      <c r="R73" s="1608">
        <v>0</v>
      </c>
      <c r="S73" s="1608">
        <v>6000</v>
      </c>
      <c r="T73" s="735">
        <f>C73-F73</f>
        <v>14000</v>
      </c>
      <c r="U73" s="1565" t="s">
        <v>1481</v>
      </c>
      <c r="V73" s="1565" t="s">
        <v>1487</v>
      </c>
      <c r="W73" s="1605">
        <v>414</v>
      </c>
      <c r="X73" s="1606"/>
      <c r="Y73" s="1606"/>
    </row>
    <row r="74" spans="1:25" s="1607" customFormat="1" ht="111" customHeight="1">
      <c r="A74" s="1672" t="s">
        <v>161</v>
      </c>
      <c r="B74" s="1701" t="s">
        <v>1486</v>
      </c>
      <c r="C74" s="732">
        <f>SUM(D74:E74)</f>
        <v>38500</v>
      </c>
      <c r="D74" s="1676"/>
      <c r="E74" s="1676">
        <v>38500</v>
      </c>
      <c r="F74" s="814">
        <f>SUM(G74:H74)</f>
        <v>0</v>
      </c>
      <c r="G74" s="536"/>
      <c r="H74" s="536"/>
      <c r="I74" s="814">
        <f>SUM(J74:K74)</f>
        <v>0</v>
      </c>
      <c r="J74" s="701"/>
      <c r="K74" s="701"/>
      <c r="L74" s="746">
        <f t="shared" si="3"/>
        <v>0</v>
      </c>
      <c r="M74" s="536">
        <f t="shared" si="3"/>
        <v>0</v>
      </c>
      <c r="N74" s="536">
        <f t="shared" si="3"/>
        <v>0</v>
      </c>
      <c r="O74" s="1593" t="s">
        <v>1192</v>
      </c>
      <c r="P74" s="1593" t="s">
        <v>1204</v>
      </c>
      <c r="Q74" s="1600">
        <f t="shared" si="16"/>
        <v>15900</v>
      </c>
      <c r="R74" s="1608">
        <v>0</v>
      </c>
      <c r="S74" s="1608">
        <v>15900</v>
      </c>
      <c r="T74" s="735">
        <f>C74-F74</f>
        <v>38500</v>
      </c>
      <c r="U74" s="1565" t="s">
        <v>1481</v>
      </c>
      <c r="V74" s="1565" t="s">
        <v>1487</v>
      </c>
      <c r="W74" s="1605">
        <v>414</v>
      </c>
      <c r="X74" s="1606"/>
      <c r="Y74" s="1606"/>
    </row>
    <row r="75" spans="1:25" s="1607" customFormat="1" ht="73.5" customHeight="1">
      <c r="A75" s="1672" t="s">
        <v>536</v>
      </c>
      <c r="B75" s="1702" t="s">
        <v>455</v>
      </c>
      <c r="C75" s="732">
        <f t="shared" ref="C75:C80" si="17">SUM(D75:E75)</f>
        <v>11287.5</v>
      </c>
      <c r="D75" s="854"/>
      <c r="E75" s="854">
        <v>11287.5</v>
      </c>
      <c r="F75" s="814">
        <f t="shared" ref="F75:F80" si="18">SUM(G75:H75)</f>
        <v>0</v>
      </c>
      <c r="G75" s="536"/>
      <c r="H75" s="536"/>
      <c r="I75" s="814">
        <f t="shared" ref="I75:I80" si="19">SUM(J75:K75)</f>
        <v>0</v>
      </c>
      <c r="J75" s="1677"/>
      <c r="K75" s="1677"/>
      <c r="L75" s="746">
        <f t="shared" si="3"/>
        <v>0</v>
      </c>
      <c r="M75" s="536">
        <f t="shared" si="3"/>
        <v>0</v>
      </c>
      <c r="N75" s="536">
        <f t="shared" si="3"/>
        <v>0</v>
      </c>
      <c r="O75" s="1593" t="s">
        <v>1192</v>
      </c>
      <c r="P75" s="1593" t="s">
        <v>1206</v>
      </c>
      <c r="Q75" s="1600">
        <f t="shared" si="16"/>
        <v>21276.6</v>
      </c>
      <c r="R75" s="1614">
        <v>20000</v>
      </c>
      <c r="S75" s="1614">
        <v>1276.5999999999999</v>
      </c>
      <c r="T75" s="735"/>
      <c r="U75" s="1565">
        <v>1002</v>
      </c>
      <c r="V75" s="1565" t="s">
        <v>1490</v>
      </c>
      <c r="W75" s="1605">
        <v>414</v>
      </c>
      <c r="X75" s="1606"/>
      <c r="Y75" s="1606"/>
    </row>
    <row r="76" spans="1:25" s="1607" customFormat="1" ht="43.5" customHeight="1">
      <c r="A76" s="1672" t="s">
        <v>131</v>
      </c>
      <c r="B76" s="1703" t="s">
        <v>1491</v>
      </c>
      <c r="C76" s="732">
        <f t="shared" si="17"/>
        <v>11200</v>
      </c>
      <c r="D76" s="854"/>
      <c r="E76" s="854">
        <v>11200</v>
      </c>
      <c r="F76" s="814">
        <f t="shared" si="18"/>
        <v>0</v>
      </c>
      <c r="G76" s="536"/>
      <c r="H76" s="536"/>
      <c r="I76" s="814">
        <f t="shared" si="19"/>
        <v>0</v>
      </c>
      <c r="J76" s="1677"/>
      <c r="K76" s="1677"/>
      <c r="L76" s="746">
        <f t="shared" si="3"/>
        <v>0</v>
      </c>
      <c r="M76" s="536">
        <f t="shared" si="3"/>
        <v>0</v>
      </c>
      <c r="N76" s="536">
        <f t="shared" si="3"/>
        <v>0</v>
      </c>
      <c r="O76" s="1593" t="s">
        <v>1192</v>
      </c>
      <c r="P76" s="1593" t="s">
        <v>1206</v>
      </c>
      <c r="Q76" s="1600">
        <f t="shared" si="16"/>
        <v>21276.6</v>
      </c>
      <c r="R76" s="1614">
        <v>20000</v>
      </c>
      <c r="S76" s="1614">
        <v>1276.5999999999999</v>
      </c>
      <c r="T76" s="735"/>
      <c r="U76" s="1565" t="s">
        <v>1429</v>
      </c>
      <c r="V76" s="1565">
        <v>19000290400</v>
      </c>
      <c r="W76" s="1605">
        <v>414</v>
      </c>
      <c r="X76" s="1606"/>
      <c r="Y76" s="1606"/>
    </row>
    <row r="77" spans="1:25" s="1607" customFormat="1" ht="68.25" customHeight="1">
      <c r="A77" s="1672" t="s">
        <v>555</v>
      </c>
      <c r="B77" s="1704" t="s">
        <v>1492</v>
      </c>
      <c r="C77" s="732">
        <f t="shared" si="17"/>
        <v>20000</v>
      </c>
      <c r="D77" s="854"/>
      <c r="E77" s="854">
        <v>20000</v>
      </c>
      <c r="F77" s="814">
        <f t="shared" si="18"/>
        <v>0</v>
      </c>
      <c r="G77" s="536"/>
      <c r="H77" s="536"/>
      <c r="I77" s="814">
        <f t="shared" si="19"/>
        <v>0</v>
      </c>
      <c r="J77" s="1677"/>
      <c r="K77" s="1677"/>
      <c r="L77" s="746">
        <f t="shared" ref="L77:N140" si="20">IF(I77=0,0,I77/F77*100)</f>
        <v>0</v>
      </c>
      <c r="M77" s="536">
        <f t="shared" si="20"/>
        <v>0</v>
      </c>
      <c r="N77" s="536">
        <f t="shared" si="20"/>
        <v>0</v>
      </c>
      <c r="O77" s="1593" t="s">
        <v>1192</v>
      </c>
      <c r="P77" s="1593" t="s">
        <v>1206</v>
      </c>
      <c r="Q77" s="1600">
        <f t="shared" si="16"/>
        <v>21276.6</v>
      </c>
      <c r="R77" s="1614">
        <v>20000</v>
      </c>
      <c r="S77" s="1614">
        <v>1276.5999999999999</v>
      </c>
      <c r="T77" s="735"/>
      <c r="U77" s="1565" t="s">
        <v>1493</v>
      </c>
      <c r="V77" s="1565" t="s">
        <v>1494</v>
      </c>
      <c r="W77" s="1605">
        <v>414</v>
      </c>
      <c r="X77" s="1606"/>
      <c r="Y77" s="1606"/>
    </row>
    <row r="78" spans="1:25" ht="48" customHeight="1">
      <c r="A78" s="1672" t="s">
        <v>556</v>
      </c>
      <c r="B78" s="1705" t="s">
        <v>1473</v>
      </c>
      <c r="C78" s="732">
        <f>SUM(D78:E78)</f>
        <v>7941.5</v>
      </c>
      <c r="D78" s="854"/>
      <c r="E78" s="854">
        <v>7941.5</v>
      </c>
      <c r="F78" s="814">
        <f>SUM(G78:H78)</f>
        <v>0</v>
      </c>
      <c r="G78" s="536"/>
      <c r="H78" s="536"/>
      <c r="I78" s="534">
        <f>SUM(J78:K78)</f>
        <v>0</v>
      </c>
      <c r="J78" s="698"/>
      <c r="K78" s="698"/>
      <c r="L78" s="746">
        <f t="shared" si="20"/>
        <v>0</v>
      </c>
      <c r="M78" s="536">
        <f t="shared" si="20"/>
        <v>0</v>
      </c>
      <c r="N78" s="536">
        <f t="shared" si="20"/>
        <v>0</v>
      </c>
      <c r="O78" s="1593" t="s">
        <v>1192</v>
      </c>
      <c r="P78" s="1592" t="s">
        <v>1160</v>
      </c>
      <c r="Q78" s="1600">
        <f t="shared" si="16"/>
        <v>359978.2</v>
      </c>
      <c r="R78" s="1614">
        <f>359978.2*0.90202494621</f>
        <v>324709.3</v>
      </c>
      <c r="S78" s="1614">
        <f>359978.2*(1-0.90202494621)</f>
        <v>35268.9</v>
      </c>
      <c r="T78" s="735">
        <f>C78-F78</f>
        <v>7941.5</v>
      </c>
      <c r="U78" s="1565" t="s">
        <v>1474</v>
      </c>
      <c r="V78" s="1565" t="s">
        <v>1475</v>
      </c>
      <c r="W78" s="1565">
        <v>414</v>
      </c>
    </row>
    <row r="79" spans="1:25" ht="43.5" customHeight="1">
      <c r="A79" s="1667" t="s">
        <v>249</v>
      </c>
      <c r="B79" s="1668" t="s">
        <v>1394</v>
      </c>
      <c r="C79" s="1669">
        <f>SUM(D79:E79)</f>
        <v>4898346</v>
      </c>
      <c r="D79" s="1685">
        <f>SUM(D80,D88,D111,D113)</f>
        <v>3833150.5</v>
      </c>
      <c r="E79" s="1685">
        <f>SUM(E80,E88,E111,E113)</f>
        <v>1065195.5</v>
      </c>
      <c r="F79" s="1669">
        <f>SUM(G79:H79)</f>
        <v>0</v>
      </c>
      <c r="G79" s="1685">
        <f>SUM(G80,G88,G111,G113)</f>
        <v>0</v>
      </c>
      <c r="H79" s="1685">
        <f>SUM(H80,H88,H111,H113)</f>
        <v>0</v>
      </c>
      <c r="I79" s="1669">
        <f>SUM(J79:K79)</f>
        <v>0</v>
      </c>
      <c r="J79" s="1685">
        <f>SUM(J80,J88,J111,J113)</f>
        <v>0</v>
      </c>
      <c r="K79" s="1685">
        <f>SUM(K80,K88,K111,K113)</f>
        <v>0</v>
      </c>
      <c r="L79" s="1670">
        <f t="shared" si="20"/>
        <v>0</v>
      </c>
      <c r="M79" s="1671">
        <f t="shared" si="20"/>
        <v>0</v>
      </c>
      <c r="N79" s="1671">
        <f t="shared" si="20"/>
        <v>0</v>
      </c>
      <c r="O79" s="1599" t="s">
        <v>353</v>
      </c>
      <c r="P79" s="1599" t="s">
        <v>353</v>
      </c>
      <c r="Q79" s="1598" t="e">
        <f t="shared" si="16"/>
        <v>#REF!</v>
      </c>
      <c r="R79" s="1598" t="e">
        <f>SUM(#REF!,#REF!,R63,#REF!,#REF!,#REF!,R57,#REF!,#REF!,R48,R77,R68,#REF!,#REF!,#REF!)</f>
        <v>#REF!</v>
      </c>
      <c r="S79" s="1598" t="e">
        <f>SUM(#REF!,#REF!,S63,#REF!,#REF!,#REF!,S57,#REF!,#REF!,S48,S77,S68,#REF!,#REF!,#REF!)</f>
        <v>#REF!</v>
      </c>
      <c r="T79" s="735">
        <f>C79-F79</f>
        <v>4898346</v>
      </c>
    </row>
    <row r="80" spans="1:25" ht="43.5" customHeight="1">
      <c r="A80" s="1686" t="s">
        <v>250</v>
      </c>
      <c r="B80" s="1687" t="s">
        <v>1395</v>
      </c>
      <c r="C80" s="1688">
        <f t="shared" si="17"/>
        <v>1993022.3</v>
      </c>
      <c r="D80" s="1688">
        <f>SUM(D81,D86)</f>
        <v>1271050.5</v>
      </c>
      <c r="E80" s="1688">
        <f>SUM(E81,E86)</f>
        <v>721971.8</v>
      </c>
      <c r="F80" s="1688">
        <f t="shared" si="18"/>
        <v>0</v>
      </c>
      <c r="G80" s="1688">
        <f>SUM(G81,G86)</f>
        <v>0</v>
      </c>
      <c r="H80" s="1688">
        <f>SUM(H81,H86)</f>
        <v>0</v>
      </c>
      <c r="I80" s="1688">
        <f t="shared" si="19"/>
        <v>0</v>
      </c>
      <c r="J80" s="1688">
        <f>SUM(J81,J86)</f>
        <v>0</v>
      </c>
      <c r="K80" s="1688">
        <f>SUM(K81,K86)</f>
        <v>0</v>
      </c>
      <c r="L80" s="1689">
        <f t="shared" si="20"/>
        <v>0</v>
      </c>
      <c r="M80" s="1690">
        <f t="shared" si="20"/>
        <v>0</v>
      </c>
      <c r="N80" s="1690">
        <f t="shared" si="20"/>
        <v>0</v>
      </c>
      <c r="O80" s="1599"/>
      <c r="P80" s="1599"/>
      <c r="Q80" s="1598"/>
      <c r="R80" s="1598"/>
      <c r="S80" s="1598"/>
      <c r="T80" s="735"/>
      <c r="U80" s="1618"/>
      <c r="V80" s="1618"/>
      <c r="W80" s="1618"/>
    </row>
    <row r="81" spans="1:25" ht="20.25">
      <c r="A81" s="1686"/>
      <c r="B81" s="1687" t="s">
        <v>1461</v>
      </c>
      <c r="C81" s="1688">
        <f t="shared" ref="C81:C110" si="21">SUM(D81:E81)</f>
        <v>1945332.3</v>
      </c>
      <c r="D81" s="1688">
        <f>SUM(D82:D85)</f>
        <v>1236050.5</v>
      </c>
      <c r="E81" s="1688">
        <f>SUM(E82:E85)</f>
        <v>709281.8</v>
      </c>
      <c r="F81" s="1688">
        <f t="shared" ref="F81:F87" si="22">SUM(G81:H81)</f>
        <v>0</v>
      </c>
      <c r="G81" s="1688">
        <f>SUM(G82:G85)</f>
        <v>0</v>
      </c>
      <c r="H81" s="1688">
        <f>SUM(H82:H85)</f>
        <v>0</v>
      </c>
      <c r="I81" s="1688">
        <f t="shared" ref="I81:I87" si="23">SUM(J81:K81)</f>
        <v>0</v>
      </c>
      <c r="J81" s="1688">
        <f>SUM(J82:J85)</f>
        <v>0</v>
      </c>
      <c r="K81" s="1688">
        <f>SUM(K82:K85)</f>
        <v>0</v>
      </c>
      <c r="L81" s="1689">
        <f t="shared" si="20"/>
        <v>0</v>
      </c>
      <c r="M81" s="1690">
        <f t="shared" si="20"/>
        <v>0</v>
      </c>
      <c r="N81" s="1690">
        <f t="shared" si="20"/>
        <v>0</v>
      </c>
      <c r="O81" s="1599"/>
      <c r="P81" s="1599"/>
      <c r="Q81" s="1598"/>
      <c r="R81" s="1598"/>
      <c r="S81" s="1598"/>
      <c r="T81" s="735"/>
    </row>
    <row r="82" spans="1:25" ht="75.75" customHeight="1">
      <c r="A82" s="1672" t="s">
        <v>162</v>
      </c>
      <c r="B82" s="1705" t="s">
        <v>1459</v>
      </c>
      <c r="C82" s="732">
        <f t="shared" si="21"/>
        <v>925654.2</v>
      </c>
      <c r="D82" s="854">
        <v>542739</v>
      </c>
      <c r="E82" s="854">
        <v>382915.2</v>
      </c>
      <c r="F82" s="814">
        <f t="shared" si="22"/>
        <v>0</v>
      </c>
      <c r="G82" s="536"/>
      <c r="H82" s="536"/>
      <c r="I82" s="534">
        <f t="shared" si="23"/>
        <v>0</v>
      </c>
      <c r="J82" s="698"/>
      <c r="K82" s="698"/>
      <c r="L82" s="746">
        <f t="shared" si="20"/>
        <v>0</v>
      </c>
      <c r="M82" s="536">
        <f t="shared" si="20"/>
        <v>0</v>
      </c>
      <c r="N82" s="536">
        <f t="shared" si="20"/>
        <v>0</v>
      </c>
      <c r="O82" s="1593" t="s">
        <v>1192</v>
      </c>
      <c r="P82" s="1592" t="s">
        <v>1160</v>
      </c>
      <c r="Q82" s="1600">
        <f>SUM(R82:S82)</f>
        <v>359978.2</v>
      </c>
      <c r="R82" s="1614">
        <f>359978.2*0.90202494621</f>
        <v>324709.3</v>
      </c>
      <c r="S82" s="1614">
        <f>359978.2*(1-0.90202494621)</f>
        <v>35268.9</v>
      </c>
      <c r="T82" s="735">
        <f>C82-F82</f>
        <v>925654.2</v>
      </c>
      <c r="U82" s="1565" t="s">
        <v>1462</v>
      </c>
      <c r="V82" s="1565" t="s">
        <v>1463</v>
      </c>
      <c r="W82" s="1565">
        <v>414</v>
      </c>
    </row>
    <row r="83" spans="1:25" ht="46.5" customHeight="1">
      <c r="A83" s="1672" t="s">
        <v>545</v>
      </c>
      <c r="B83" s="1705" t="s">
        <v>1460</v>
      </c>
      <c r="C83" s="732">
        <f t="shared" si="21"/>
        <v>806671.2</v>
      </c>
      <c r="D83" s="854">
        <v>482434.7</v>
      </c>
      <c r="E83" s="854">
        <v>324236.5</v>
      </c>
      <c r="F83" s="814">
        <f t="shared" si="22"/>
        <v>0</v>
      </c>
      <c r="G83" s="536"/>
      <c r="H83" s="536"/>
      <c r="I83" s="534">
        <f t="shared" si="23"/>
        <v>0</v>
      </c>
      <c r="J83" s="698"/>
      <c r="K83" s="698"/>
      <c r="L83" s="746">
        <f t="shared" si="20"/>
        <v>0</v>
      </c>
      <c r="M83" s="536">
        <f t="shared" si="20"/>
        <v>0</v>
      </c>
      <c r="N83" s="536">
        <f t="shared" si="20"/>
        <v>0</v>
      </c>
      <c r="O83" s="1593" t="s">
        <v>1192</v>
      </c>
      <c r="P83" s="1592" t="s">
        <v>1159</v>
      </c>
      <c r="Q83" s="1600">
        <f>SUM(R83:S83)</f>
        <v>319980.59999999998</v>
      </c>
      <c r="R83" s="1614">
        <f>319980.6*0.90202494621</f>
        <v>288630.5</v>
      </c>
      <c r="S83" s="1614">
        <f>319980.6*(1-0.90202494621)</f>
        <v>31350.1</v>
      </c>
      <c r="T83" s="735">
        <f>C83-F83</f>
        <v>806671.2</v>
      </c>
      <c r="U83" s="1565" t="s">
        <v>1462</v>
      </c>
      <c r="V83" s="1565" t="s">
        <v>1463</v>
      </c>
      <c r="W83" s="1565">
        <v>414</v>
      </c>
    </row>
    <row r="84" spans="1:25" ht="46.5" customHeight="1">
      <c r="A84" s="1672" t="s">
        <v>557</v>
      </c>
      <c r="B84" s="1706" t="s">
        <v>1465</v>
      </c>
      <c r="C84" s="732">
        <f t="shared" si="21"/>
        <v>109222.6</v>
      </c>
      <c r="D84" s="854">
        <v>108130.3</v>
      </c>
      <c r="E84" s="854">
        <v>1092.3</v>
      </c>
      <c r="F84" s="814">
        <f t="shared" si="22"/>
        <v>0</v>
      </c>
      <c r="G84" s="536"/>
      <c r="H84" s="536"/>
      <c r="I84" s="534">
        <f t="shared" si="23"/>
        <v>0</v>
      </c>
      <c r="J84" s="698"/>
      <c r="K84" s="698"/>
      <c r="L84" s="746">
        <f t="shared" si="20"/>
        <v>0</v>
      </c>
      <c r="M84" s="536">
        <f t="shared" si="20"/>
        <v>0</v>
      </c>
      <c r="N84" s="536">
        <f t="shared" si="20"/>
        <v>0</v>
      </c>
      <c r="O84" s="1593" t="s">
        <v>1192</v>
      </c>
      <c r="P84" s="1592" t="s">
        <v>1160</v>
      </c>
      <c r="Q84" s="1600">
        <f>SUM(R84:S84)</f>
        <v>359978.2</v>
      </c>
      <c r="R84" s="1614">
        <f>359978.2*0.90202494621</f>
        <v>324709.3</v>
      </c>
      <c r="S84" s="1614">
        <f>359978.2*(1-0.90202494621)</f>
        <v>35268.9</v>
      </c>
      <c r="T84" s="735">
        <f>C84-F84</f>
        <v>109222.6</v>
      </c>
      <c r="U84" s="1565" t="s">
        <v>1462</v>
      </c>
      <c r="V84" s="1565" t="s">
        <v>1464</v>
      </c>
      <c r="W84" s="1565">
        <v>414</v>
      </c>
    </row>
    <row r="85" spans="1:25" ht="63.75" customHeight="1">
      <c r="A85" s="1672" t="s">
        <v>558</v>
      </c>
      <c r="B85" s="1706" t="s">
        <v>1466</v>
      </c>
      <c r="C85" s="732">
        <f t="shared" si="21"/>
        <v>103784.3</v>
      </c>
      <c r="D85" s="854">
        <v>102746.5</v>
      </c>
      <c r="E85" s="854">
        <v>1037.8</v>
      </c>
      <c r="F85" s="814">
        <f t="shared" si="22"/>
        <v>0</v>
      </c>
      <c r="G85" s="536"/>
      <c r="H85" s="536"/>
      <c r="I85" s="1707">
        <f t="shared" si="23"/>
        <v>0</v>
      </c>
      <c r="J85" s="1708"/>
      <c r="K85" s="1708"/>
      <c r="L85" s="1709">
        <f t="shared" si="20"/>
        <v>0</v>
      </c>
      <c r="M85" s="1710">
        <f t="shared" si="20"/>
        <v>0</v>
      </c>
      <c r="N85" s="1710">
        <f t="shared" si="20"/>
        <v>0</v>
      </c>
      <c r="O85" s="1593" t="s">
        <v>1192</v>
      </c>
      <c r="P85" s="1592" t="s">
        <v>1159</v>
      </c>
      <c r="Q85" s="1600">
        <f>SUM(R85:S85)</f>
        <v>319980.59999999998</v>
      </c>
      <c r="R85" s="1614">
        <f>319980.6*0.90202494621</f>
        <v>288630.5</v>
      </c>
      <c r="S85" s="1614">
        <f>319980.6*(1-0.90202494621)</f>
        <v>31350.1</v>
      </c>
      <c r="T85" s="735">
        <f>C85-F85</f>
        <v>103784.3</v>
      </c>
      <c r="U85" s="1565" t="s">
        <v>1462</v>
      </c>
      <c r="V85" s="1565" t="s">
        <v>1464</v>
      </c>
      <c r="W85" s="1565">
        <v>414</v>
      </c>
    </row>
    <row r="86" spans="1:25" ht="20.25">
      <c r="A86" s="1686"/>
      <c r="B86" s="1687" t="s">
        <v>1470</v>
      </c>
      <c r="C86" s="1688">
        <f t="shared" si="21"/>
        <v>47690</v>
      </c>
      <c r="D86" s="1688">
        <f>SUM(D87)</f>
        <v>35000</v>
      </c>
      <c r="E86" s="1688">
        <f>SUM(E87)</f>
        <v>12690</v>
      </c>
      <c r="F86" s="1688">
        <f t="shared" si="22"/>
        <v>0</v>
      </c>
      <c r="G86" s="1688">
        <f>SUM(G87)</f>
        <v>0</v>
      </c>
      <c r="H86" s="1688">
        <f>SUM(H87)</f>
        <v>0</v>
      </c>
      <c r="I86" s="1688">
        <f t="shared" si="23"/>
        <v>0</v>
      </c>
      <c r="J86" s="1688">
        <f>SUM(J87)</f>
        <v>0</v>
      </c>
      <c r="K86" s="1688">
        <f>SUM(K87)</f>
        <v>0</v>
      </c>
      <c r="L86" s="1689">
        <f t="shared" si="20"/>
        <v>0</v>
      </c>
      <c r="M86" s="1690">
        <f t="shared" si="20"/>
        <v>0</v>
      </c>
      <c r="N86" s="1690">
        <f t="shared" si="20"/>
        <v>0</v>
      </c>
      <c r="O86" s="1599"/>
      <c r="P86" s="1599"/>
      <c r="Q86" s="1598"/>
      <c r="R86" s="1598"/>
      <c r="S86" s="1598"/>
      <c r="T86" s="735"/>
    </row>
    <row r="87" spans="1:25" ht="54.75" customHeight="1">
      <c r="A87" s="1672" t="s">
        <v>559</v>
      </c>
      <c r="B87" s="1705" t="s">
        <v>1472</v>
      </c>
      <c r="C87" s="732">
        <f t="shared" si="21"/>
        <v>47690</v>
      </c>
      <c r="D87" s="854">
        <v>35000</v>
      </c>
      <c r="E87" s="854">
        <v>12690</v>
      </c>
      <c r="F87" s="814">
        <f t="shared" si="22"/>
        <v>0</v>
      </c>
      <c r="G87" s="536"/>
      <c r="H87" s="536"/>
      <c r="I87" s="534">
        <f t="shared" si="23"/>
        <v>0</v>
      </c>
      <c r="J87" s="698"/>
      <c r="K87" s="698"/>
      <c r="L87" s="746">
        <f t="shared" si="20"/>
        <v>0</v>
      </c>
      <c r="M87" s="536">
        <f t="shared" si="20"/>
        <v>0</v>
      </c>
      <c r="N87" s="536">
        <f t="shared" si="20"/>
        <v>0</v>
      </c>
      <c r="O87" s="1593" t="s">
        <v>1192</v>
      </c>
      <c r="P87" s="1592" t="s">
        <v>1160</v>
      </c>
      <c r="Q87" s="1600">
        <f>SUM(R87:S87)</f>
        <v>359978.2</v>
      </c>
      <c r="R87" s="1614">
        <f>359978.2*0.90202494621</f>
        <v>324709.3</v>
      </c>
      <c r="S87" s="1614">
        <f>359978.2*(1-0.90202494621)</f>
        <v>35268.9</v>
      </c>
      <c r="T87" s="735">
        <f>C87-F87</f>
        <v>47690</v>
      </c>
      <c r="U87" s="1565">
        <v>801</v>
      </c>
      <c r="V87" s="1565" t="s">
        <v>1471</v>
      </c>
      <c r="W87" s="1565">
        <v>414</v>
      </c>
    </row>
    <row r="88" spans="1:25" ht="64.5" customHeight="1">
      <c r="A88" s="1686" t="s">
        <v>251</v>
      </c>
      <c r="B88" s="1711" t="s">
        <v>1435</v>
      </c>
      <c r="C88" s="729">
        <f t="shared" si="21"/>
        <v>2725218.9</v>
      </c>
      <c r="D88" s="729">
        <f>SUM(D89:D110)</f>
        <v>2562100</v>
      </c>
      <c r="E88" s="729">
        <f>SUM(E89:E110)</f>
        <v>163118.9</v>
      </c>
      <c r="F88" s="729">
        <f t="shared" ref="F88:F97" si="24">SUM(G88:H88)</f>
        <v>0</v>
      </c>
      <c r="G88" s="729">
        <f>SUM(G89:G110)</f>
        <v>0</v>
      </c>
      <c r="H88" s="729">
        <f>SUM(H89:H110)</f>
        <v>0</v>
      </c>
      <c r="I88" s="729">
        <f t="shared" ref="I88:I97" si="25">SUM(J88:K88)</f>
        <v>0</v>
      </c>
      <c r="J88" s="729">
        <f>SUM(J89:J110)</f>
        <v>0</v>
      </c>
      <c r="K88" s="729">
        <f>SUM(K89:K110)</f>
        <v>0</v>
      </c>
      <c r="L88" s="737">
        <f t="shared" si="20"/>
        <v>0</v>
      </c>
      <c r="M88" s="737">
        <f t="shared" si="20"/>
        <v>0</v>
      </c>
      <c r="N88" s="737">
        <f t="shared" si="20"/>
        <v>0</v>
      </c>
      <c r="O88" s="1593"/>
      <c r="P88" s="1593"/>
      <c r="Q88" s="1623" t="e">
        <f t="shared" ref="Q88:Q97" si="26">SUM(R88:S88)</f>
        <v>#REF!</v>
      </c>
      <c r="R88" s="1623" t="e">
        <f>SUM(R89:R110)</f>
        <v>#REF!</v>
      </c>
      <c r="S88" s="1623" t="e">
        <f>SUM(S89:S110)</f>
        <v>#REF!</v>
      </c>
      <c r="T88" s="735">
        <f t="shared" ref="T88:T97" si="27">C88-F88</f>
        <v>2725218.9</v>
      </c>
    </row>
    <row r="89" spans="1:25" ht="73.5" customHeight="1">
      <c r="A89" s="1698" t="s">
        <v>560</v>
      </c>
      <c r="B89" s="1712" t="s">
        <v>1436</v>
      </c>
      <c r="C89" s="732">
        <f t="shared" si="21"/>
        <v>2762</v>
      </c>
      <c r="D89" s="1676">
        <v>2596.1999999999998</v>
      </c>
      <c r="E89" s="1676">
        <v>165.8</v>
      </c>
      <c r="F89" s="814">
        <f t="shared" si="24"/>
        <v>0</v>
      </c>
      <c r="G89" s="536"/>
      <c r="H89" s="536"/>
      <c r="I89" s="814">
        <f t="shared" si="25"/>
        <v>0</v>
      </c>
      <c r="J89" s="701"/>
      <c r="K89" s="701"/>
      <c r="L89" s="746">
        <f t="shared" si="20"/>
        <v>0</v>
      </c>
      <c r="M89" s="536">
        <f t="shared" si="20"/>
        <v>0</v>
      </c>
      <c r="N89" s="536">
        <f t="shared" si="20"/>
        <v>0</v>
      </c>
      <c r="O89" s="1593" t="s">
        <v>1290</v>
      </c>
      <c r="P89" s="1593" t="s">
        <v>1240</v>
      </c>
      <c r="Q89" s="1600">
        <f t="shared" si="26"/>
        <v>800</v>
      </c>
      <c r="R89" s="1608">
        <v>0</v>
      </c>
      <c r="S89" s="1608">
        <v>800</v>
      </c>
      <c r="T89" s="735">
        <f t="shared" si="27"/>
        <v>2762</v>
      </c>
      <c r="U89" s="1565" t="s">
        <v>1429</v>
      </c>
      <c r="V89" s="1565" t="s">
        <v>912</v>
      </c>
      <c r="W89" s="1565">
        <v>414</v>
      </c>
    </row>
    <row r="90" spans="1:25" s="484" customFormat="1" ht="67.5" customHeight="1">
      <c r="A90" s="1698" t="s">
        <v>561</v>
      </c>
      <c r="B90" s="1712" t="s">
        <v>704</v>
      </c>
      <c r="C90" s="732">
        <f t="shared" si="21"/>
        <v>1500</v>
      </c>
      <c r="D90" s="1676">
        <v>1410</v>
      </c>
      <c r="E90" s="1676">
        <v>90</v>
      </c>
      <c r="F90" s="814">
        <f t="shared" si="24"/>
        <v>0</v>
      </c>
      <c r="G90" s="536"/>
      <c r="H90" s="536"/>
      <c r="I90" s="814">
        <f t="shared" si="25"/>
        <v>0</v>
      </c>
      <c r="J90" s="701"/>
      <c r="K90" s="701"/>
      <c r="L90" s="746">
        <f t="shared" si="20"/>
        <v>0</v>
      </c>
      <c r="M90" s="536">
        <f t="shared" si="20"/>
        <v>0</v>
      </c>
      <c r="N90" s="536">
        <f t="shared" si="20"/>
        <v>0</v>
      </c>
      <c r="O90" s="1593" t="s">
        <v>1291</v>
      </c>
      <c r="P90" s="1593" t="s">
        <v>1241</v>
      </c>
      <c r="Q90" s="1600">
        <f t="shared" si="26"/>
        <v>100</v>
      </c>
      <c r="R90" s="1608">
        <v>0</v>
      </c>
      <c r="S90" s="1608">
        <v>100</v>
      </c>
      <c r="T90" s="735">
        <f t="shared" si="27"/>
        <v>1500</v>
      </c>
      <c r="U90" s="1565" t="s">
        <v>1429</v>
      </c>
      <c r="V90" s="1565" t="s">
        <v>912</v>
      </c>
      <c r="W90" s="1565">
        <v>414</v>
      </c>
      <c r="X90" s="1606"/>
      <c r="Y90" s="1606"/>
    </row>
    <row r="91" spans="1:25" s="484" customFormat="1" ht="67.5" customHeight="1">
      <c r="A91" s="1698" t="s">
        <v>563</v>
      </c>
      <c r="B91" s="1712" t="s">
        <v>703</v>
      </c>
      <c r="C91" s="732">
        <f t="shared" si="21"/>
        <v>2800</v>
      </c>
      <c r="D91" s="1676">
        <v>2632</v>
      </c>
      <c r="E91" s="1676">
        <v>168</v>
      </c>
      <c r="F91" s="814">
        <f t="shared" si="24"/>
        <v>0</v>
      </c>
      <c r="G91" s="536"/>
      <c r="H91" s="536"/>
      <c r="I91" s="814">
        <f t="shared" si="25"/>
        <v>0</v>
      </c>
      <c r="J91" s="701"/>
      <c r="K91" s="701"/>
      <c r="L91" s="746">
        <f t="shared" si="20"/>
        <v>0</v>
      </c>
      <c r="M91" s="536">
        <f t="shared" si="20"/>
        <v>0</v>
      </c>
      <c r="N91" s="536">
        <f t="shared" si="20"/>
        <v>0</v>
      </c>
      <c r="O91" s="1593" t="s">
        <v>1292</v>
      </c>
      <c r="P91" s="1593" t="s">
        <v>1242</v>
      </c>
      <c r="Q91" s="1600">
        <f t="shared" si="26"/>
        <v>1500</v>
      </c>
      <c r="R91" s="1608">
        <v>0</v>
      </c>
      <c r="S91" s="1608">
        <v>1500</v>
      </c>
      <c r="T91" s="735">
        <f t="shared" si="27"/>
        <v>2800</v>
      </c>
      <c r="U91" s="1565" t="s">
        <v>1429</v>
      </c>
      <c r="V91" s="1565" t="s">
        <v>912</v>
      </c>
      <c r="W91" s="1565">
        <v>414</v>
      </c>
      <c r="X91" s="1606"/>
      <c r="Y91" s="1606"/>
    </row>
    <row r="92" spans="1:25" s="484" customFormat="1" ht="90.75" customHeight="1">
      <c r="A92" s="1672" t="s">
        <v>573</v>
      </c>
      <c r="B92" s="1713" t="s">
        <v>1437</v>
      </c>
      <c r="C92" s="732">
        <f t="shared" si="21"/>
        <v>3761.3</v>
      </c>
      <c r="D92" s="1676">
        <v>3535.6</v>
      </c>
      <c r="E92" s="1676">
        <v>225.7</v>
      </c>
      <c r="F92" s="814">
        <f t="shared" si="24"/>
        <v>0</v>
      </c>
      <c r="G92" s="536"/>
      <c r="H92" s="536"/>
      <c r="I92" s="814">
        <f t="shared" si="25"/>
        <v>0</v>
      </c>
      <c r="J92" s="701"/>
      <c r="K92" s="701"/>
      <c r="L92" s="746">
        <f t="shared" si="20"/>
        <v>0</v>
      </c>
      <c r="M92" s="536">
        <f t="shared" si="20"/>
        <v>0</v>
      </c>
      <c r="N92" s="536">
        <f t="shared" si="20"/>
        <v>0</v>
      </c>
      <c r="O92" s="1593" t="s">
        <v>1293</v>
      </c>
      <c r="P92" s="1593" t="s">
        <v>1101</v>
      </c>
      <c r="Q92" s="1600">
        <f t="shared" si="26"/>
        <v>100</v>
      </c>
      <c r="R92" s="1608">
        <v>0</v>
      </c>
      <c r="S92" s="1608">
        <v>100</v>
      </c>
      <c r="T92" s="735">
        <f t="shared" si="27"/>
        <v>3761.3</v>
      </c>
      <c r="U92" s="1565" t="s">
        <v>1429</v>
      </c>
      <c r="V92" s="1565" t="s">
        <v>912</v>
      </c>
      <c r="W92" s="1565">
        <v>414</v>
      </c>
      <c r="X92" s="1606"/>
      <c r="Y92" s="1606"/>
    </row>
    <row r="93" spans="1:25" s="484" customFormat="1" ht="66" customHeight="1">
      <c r="A93" s="1672" t="s">
        <v>624</v>
      </c>
      <c r="B93" s="1714" t="s">
        <v>1438</v>
      </c>
      <c r="C93" s="732">
        <f t="shared" si="21"/>
        <v>13100</v>
      </c>
      <c r="D93" s="1676">
        <v>12314</v>
      </c>
      <c r="E93" s="1676">
        <v>786</v>
      </c>
      <c r="F93" s="814">
        <f t="shared" si="24"/>
        <v>0</v>
      </c>
      <c r="G93" s="536"/>
      <c r="H93" s="536"/>
      <c r="I93" s="814">
        <f t="shared" si="25"/>
        <v>0</v>
      </c>
      <c r="J93" s="701"/>
      <c r="K93" s="701"/>
      <c r="L93" s="746">
        <f t="shared" si="20"/>
        <v>0</v>
      </c>
      <c r="M93" s="536">
        <f t="shared" si="20"/>
        <v>0</v>
      </c>
      <c r="N93" s="536">
        <f t="shared" si="20"/>
        <v>0</v>
      </c>
      <c r="O93" s="1593" t="s">
        <v>1192</v>
      </c>
      <c r="P93" s="1593" t="s">
        <v>1243</v>
      </c>
      <c r="Q93" s="1600">
        <f t="shared" si="26"/>
        <v>2800</v>
      </c>
      <c r="R93" s="1608">
        <v>0</v>
      </c>
      <c r="S93" s="1608">
        <v>2800</v>
      </c>
      <c r="T93" s="735">
        <f t="shared" si="27"/>
        <v>13100</v>
      </c>
      <c r="U93" s="1565" t="s">
        <v>1429</v>
      </c>
      <c r="V93" s="1565" t="s">
        <v>912</v>
      </c>
      <c r="W93" s="1565">
        <v>414</v>
      </c>
      <c r="X93" s="1606"/>
      <c r="Y93" s="1606"/>
    </row>
    <row r="94" spans="1:25" s="484" customFormat="1" ht="40.5" customHeight="1">
      <c r="A94" s="1672" t="s">
        <v>625</v>
      </c>
      <c r="B94" s="1714" t="s">
        <v>1439</v>
      </c>
      <c r="C94" s="732">
        <f t="shared" si="21"/>
        <v>28500</v>
      </c>
      <c r="D94" s="1676">
        <v>26790</v>
      </c>
      <c r="E94" s="1676">
        <v>1710</v>
      </c>
      <c r="F94" s="814">
        <f t="shared" si="24"/>
        <v>0</v>
      </c>
      <c r="G94" s="536"/>
      <c r="H94" s="536"/>
      <c r="I94" s="814">
        <f t="shared" si="25"/>
        <v>0</v>
      </c>
      <c r="J94" s="701"/>
      <c r="K94" s="701"/>
      <c r="L94" s="746">
        <f t="shared" si="20"/>
        <v>0</v>
      </c>
      <c r="M94" s="536">
        <f t="shared" si="20"/>
        <v>0</v>
      </c>
      <c r="N94" s="536">
        <f t="shared" si="20"/>
        <v>0</v>
      </c>
      <c r="O94" s="1593" t="s">
        <v>1294</v>
      </c>
      <c r="P94" s="1593" t="s">
        <v>1244</v>
      </c>
      <c r="Q94" s="1600">
        <f t="shared" si="26"/>
        <v>3100</v>
      </c>
      <c r="R94" s="1608">
        <v>0</v>
      </c>
      <c r="S94" s="1608">
        <v>3100</v>
      </c>
      <c r="T94" s="735">
        <f t="shared" si="27"/>
        <v>28500</v>
      </c>
      <c r="U94" s="1565" t="s">
        <v>1429</v>
      </c>
      <c r="V94" s="1565" t="s">
        <v>912</v>
      </c>
      <c r="W94" s="1565">
        <v>414</v>
      </c>
      <c r="X94" s="1606"/>
      <c r="Y94" s="1606"/>
    </row>
    <row r="95" spans="1:25" s="484" customFormat="1" ht="40.5" customHeight="1">
      <c r="A95" s="1672" t="s">
        <v>626</v>
      </c>
      <c r="B95" s="1714" t="s">
        <v>1440</v>
      </c>
      <c r="C95" s="732">
        <f t="shared" si="21"/>
        <v>5300</v>
      </c>
      <c r="D95" s="1676">
        <v>4982</v>
      </c>
      <c r="E95" s="1676">
        <v>318</v>
      </c>
      <c r="F95" s="814">
        <f t="shared" si="24"/>
        <v>0</v>
      </c>
      <c r="G95" s="536"/>
      <c r="H95" s="536"/>
      <c r="I95" s="814">
        <f t="shared" si="25"/>
        <v>0</v>
      </c>
      <c r="J95" s="701"/>
      <c r="K95" s="701"/>
      <c r="L95" s="1715">
        <f t="shared" si="20"/>
        <v>0</v>
      </c>
      <c r="M95" s="1716">
        <f t="shared" si="20"/>
        <v>0</v>
      </c>
      <c r="N95" s="1716">
        <f t="shared" si="20"/>
        <v>0</v>
      </c>
      <c r="O95" s="1593" t="s">
        <v>1192</v>
      </c>
      <c r="P95" s="1593" t="s">
        <v>1219</v>
      </c>
      <c r="Q95" s="1600">
        <f t="shared" si="26"/>
        <v>56697.8</v>
      </c>
      <c r="R95" s="1608">
        <v>53295.9</v>
      </c>
      <c r="S95" s="1608">
        <v>3401.9</v>
      </c>
      <c r="T95" s="735">
        <f t="shared" si="27"/>
        <v>5300</v>
      </c>
      <c r="U95" s="1565" t="s">
        <v>1429</v>
      </c>
      <c r="V95" s="1565" t="s">
        <v>912</v>
      </c>
      <c r="W95" s="1565">
        <v>414</v>
      </c>
      <c r="X95" s="1606"/>
      <c r="Y95" s="1606"/>
    </row>
    <row r="96" spans="1:25" ht="94.5" customHeight="1">
      <c r="A96" s="1672" t="s">
        <v>627</v>
      </c>
      <c r="B96" s="1712" t="s">
        <v>1441</v>
      </c>
      <c r="C96" s="732">
        <f t="shared" si="21"/>
        <v>18682.400000000001</v>
      </c>
      <c r="D96" s="1676">
        <v>17561.3</v>
      </c>
      <c r="E96" s="1676">
        <v>1121.0999999999999</v>
      </c>
      <c r="F96" s="814">
        <f t="shared" si="24"/>
        <v>0</v>
      </c>
      <c r="G96" s="536"/>
      <c r="H96" s="536"/>
      <c r="I96" s="814">
        <f t="shared" si="25"/>
        <v>0</v>
      </c>
      <c r="J96" s="701"/>
      <c r="K96" s="701"/>
      <c r="L96" s="746">
        <f t="shared" si="20"/>
        <v>0</v>
      </c>
      <c r="M96" s="536">
        <f t="shared" si="20"/>
        <v>0</v>
      </c>
      <c r="N96" s="536">
        <f t="shared" si="20"/>
        <v>0</v>
      </c>
      <c r="O96" s="1593" t="s">
        <v>1192</v>
      </c>
      <c r="P96" s="1593" t="s">
        <v>1251</v>
      </c>
      <c r="Q96" s="1600">
        <f t="shared" si="26"/>
        <v>100</v>
      </c>
      <c r="R96" s="1608">
        <v>0</v>
      </c>
      <c r="S96" s="1608">
        <v>100</v>
      </c>
      <c r="T96" s="735">
        <f t="shared" si="27"/>
        <v>18682.400000000001</v>
      </c>
      <c r="U96" s="1565" t="s">
        <v>1429</v>
      </c>
      <c r="V96" s="1565" t="s">
        <v>905</v>
      </c>
      <c r="W96" s="1565">
        <v>414</v>
      </c>
    </row>
    <row r="97" spans="1:25" ht="73.5" customHeight="1">
      <c r="A97" s="1663">
        <v>56</v>
      </c>
      <c r="B97" s="1712" t="s">
        <v>1442</v>
      </c>
      <c r="C97" s="732">
        <f t="shared" si="21"/>
        <v>12956.3</v>
      </c>
      <c r="D97" s="1676">
        <v>12178.9</v>
      </c>
      <c r="E97" s="1676">
        <v>777.4</v>
      </c>
      <c r="F97" s="814">
        <f t="shared" si="24"/>
        <v>0</v>
      </c>
      <c r="G97" s="536"/>
      <c r="H97" s="536"/>
      <c r="I97" s="814">
        <f t="shared" si="25"/>
        <v>0</v>
      </c>
      <c r="J97" s="701"/>
      <c r="K97" s="701"/>
      <c r="L97" s="746">
        <f t="shared" si="20"/>
        <v>0</v>
      </c>
      <c r="M97" s="536">
        <f t="shared" si="20"/>
        <v>0</v>
      </c>
      <c r="N97" s="536">
        <f t="shared" si="20"/>
        <v>0</v>
      </c>
      <c r="O97" s="1593" t="s">
        <v>1285</v>
      </c>
      <c r="P97" s="1593" t="s">
        <v>1252</v>
      </c>
      <c r="Q97" s="1600">
        <f t="shared" si="26"/>
        <v>100</v>
      </c>
      <c r="R97" s="1608">
        <v>0</v>
      </c>
      <c r="S97" s="1608">
        <v>100</v>
      </c>
      <c r="T97" s="735">
        <f t="shared" si="27"/>
        <v>12956.3</v>
      </c>
      <c r="U97" s="1565" t="s">
        <v>1429</v>
      </c>
      <c r="V97" s="1565" t="s">
        <v>900</v>
      </c>
      <c r="W97" s="1565">
        <v>414</v>
      </c>
    </row>
    <row r="98" spans="1:25" s="484" customFormat="1" ht="45.75" customHeight="1">
      <c r="A98" s="1672" t="s">
        <v>629</v>
      </c>
      <c r="B98" s="1700" t="s">
        <v>776</v>
      </c>
      <c r="C98" s="732">
        <f t="shared" si="21"/>
        <v>182824.4</v>
      </c>
      <c r="D98" s="854">
        <v>172200</v>
      </c>
      <c r="E98" s="854">
        <v>10624.4</v>
      </c>
      <c r="F98" s="814">
        <f t="shared" ref="F98:F110" si="28">SUM(G98:H98)</f>
        <v>0</v>
      </c>
      <c r="G98" s="536"/>
      <c r="H98" s="536"/>
      <c r="I98" s="814">
        <f t="shared" ref="I98:I110" si="29">SUM(J98:K98)</f>
        <v>0</v>
      </c>
      <c r="J98" s="1677"/>
      <c r="K98" s="1677"/>
      <c r="L98" s="746">
        <f t="shared" si="20"/>
        <v>0</v>
      </c>
      <c r="M98" s="536">
        <f t="shared" si="20"/>
        <v>0</v>
      </c>
      <c r="N98" s="536">
        <f t="shared" si="20"/>
        <v>0</v>
      </c>
      <c r="O98" s="1593" t="s">
        <v>1272</v>
      </c>
      <c r="P98" s="1593" t="s">
        <v>1273</v>
      </c>
      <c r="Q98" s="1600" t="e">
        <f t="shared" ref="Q98:Q110" si="30">SUM(R98:S98)</f>
        <v>#REF!</v>
      </c>
      <c r="R98" s="1614" t="e">
        <f>27685.1-#REF!</f>
        <v>#REF!</v>
      </c>
      <c r="S98" s="1614" t="e">
        <f>1767.2-#REF!</f>
        <v>#REF!</v>
      </c>
      <c r="T98" s="735">
        <f t="shared" ref="T98:T110" si="31">C98-F98</f>
        <v>182824.4</v>
      </c>
      <c r="U98" s="1565" t="s">
        <v>1457</v>
      </c>
      <c r="V98" s="1565" t="s">
        <v>1458</v>
      </c>
      <c r="W98" s="1605">
        <v>414</v>
      </c>
      <c r="X98" s="1606"/>
      <c r="Y98" s="1606"/>
    </row>
    <row r="99" spans="1:25" s="484" customFormat="1" ht="23.25" customHeight="1">
      <c r="A99" s="1672" t="s">
        <v>630</v>
      </c>
      <c r="B99" s="1717" t="s">
        <v>763</v>
      </c>
      <c r="C99" s="732">
        <f t="shared" si="21"/>
        <v>309700</v>
      </c>
      <c r="D99" s="1676">
        <v>291062</v>
      </c>
      <c r="E99" s="1676">
        <v>18638</v>
      </c>
      <c r="F99" s="814">
        <f t="shared" si="28"/>
        <v>0</v>
      </c>
      <c r="G99" s="536"/>
      <c r="H99" s="536"/>
      <c r="I99" s="534">
        <f t="shared" si="29"/>
        <v>0</v>
      </c>
      <c r="J99" s="545"/>
      <c r="K99" s="545"/>
      <c r="L99" s="746">
        <f t="shared" si="20"/>
        <v>0</v>
      </c>
      <c r="M99" s="536">
        <f t="shared" si="20"/>
        <v>0</v>
      </c>
      <c r="N99" s="536">
        <f t="shared" si="20"/>
        <v>0</v>
      </c>
      <c r="O99" s="1593" t="s">
        <v>1192</v>
      </c>
      <c r="P99" s="1593" t="s">
        <v>1219</v>
      </c>
      <c r="Q99" s="1600">
        <f t="shared" si="30"/>
        <v>32800</v>
      </c>
      <c r="R99" s="1608">
        <v>30832</v>
      </c>
      <c r="S99" s="1608">
        <v>1968</v>
      </c>
      <c r="T99" s="735">
        <f t="shared" si="31"/>
        <v>309700</v>
      </c>
      <c r="U99" s="1565" t="s">
        <v>1477</v>
      </c>
      <c r="V99" s="1565" t="s">
        <v>878</v>
      </c>
      <c r="W99" s="1605">
        <v>414</v>
      </c>
      <c r="X99" s="1606"/>
      <c r="Y99" s="1606"/>
    </row>
    <row r="100" spans="1:25" s="484" customFormat="1" ht="23.25" customHeight="1">
      <c r="A100" s="1663">
        <v>59</v>
      </c>
      <c r="B100" s="1717" t="s">
        <v>765</v>
      </c>
      <c r="C100" s="732">
        <f t="shared" si="21"/>
        <v>4800</v>
      </c>
      <c r="D100" s="1676">
        <v>4511.1000000000004</v>
      </c>
      <c r="E100" s="1676">
        <v>288.89999999999998</v>
      </c>
      <c r="F100" s="814">
        <f t="shared" si="28"/>
        <v>0</v>
      </c>
      <c r="G100" s="536"/>
      <c r="H100" s="536"/>
      <c r="I100" s="534">
        <f t="shared" si="29"/>
        <v>0</v>
      </c>
      <c r="J100" s="545"/>
      <c r="K100" s="545"/>
      <c r="L100" s="746">
        <f t="shared" si="20"/>
        <v>0</v>
      </c>
      <c r="M100" s="536">
        <f t="shared" si="20"/>
        <v>0</v>
      </c>
      <c r="N100" s="536">
        <f t="shared" si="20"/>
        <v>0</v>
      </c>
      <c r="O100" s="1593" t="s">
        <v>1267</v>
      </c>
      <c r="P100" s="1593" t="s">
        <v>1219</v>
      </c>
      <c r="Q100" s="1600">
        <f t="shared" si="30"/>
        <v>1200</v>
      </c>
      <c r="R100" s="1608">
        <v>1128</v>
      </c>
      <c r="S100" s="1608">
        <v>72</v>
      </c>
      <c r="T100" s="735">
        <f t="shared" si="31"/>
        <v>4800</v>
      </c>
      <c r="U100" s="1565" t="s">
        <v>1477</v>
      </c>
      <c r="V100" s="1565" t="s">
        <v>878</v>
      </c>
      <c r="W100" s="1605">
        <v>414</v>
      </c>
      <c r="X100" s="1606"/>
      <c r="Y100" s="1606"/>
    </row>
    <row r="101" spans="1:25" s="484" customFormat="1" ht="23.25" customHeight="1">
      <c r="A101" s="1663">
        <v>60</v>
      </c>
      <c r="B101" s="1717" t="s">
        <v>766</v>
      </c>
      <c r="C101" s="732">
        <f t="shared" si="21"/>
        <v>6200</v>
      </c>
      <c r="D101" s="1676">
        <v>5826.9</v>
      </c>
      <c r="E101" s="1676">
        <v>373.1</v>
      </c>
      <c r="F101" s="814">
        <f t="shared" si="28"/>
        <v>0</v>
      </c>
      <c r="G101" s="536"/>
      <c r="H101" s="536"/>
      <c r="I101" s="534">
        <f t="shared" si="29"/>
        <v>0</v>
      </c>
      <c r="J101" s="545"/>
      <c r="K101" s="545"/>
      <c r="L101" s="746">
        <f t="shared" si="20"/>
        <v>0</v>
      </c>
      <c r="M101" s="536">
        <f t="shared" si="20"/>
        <v>0</v>
      </c>
      <c r="N101" s="536">
        <f t="shared" si="20"/>
        <v>0</v>
      </c>
      <c r="O101" s="1593" t="s">
        <v>1303</v>
      </c>
      <c r="P101" s="1593" t="s">
        <v>1268</v>
      </c>
      <c r="Q101" s="1600">
        <f t="shared" si="30"/>
        <v>1500</v>
      </c>
      <c r="R101" s="1608">
        <v>1410</v>
      </c>
      <c r="S101" s="1608">
        <v>90</v>
      </c>
      <c r="T101" s="735">
        <f t="shared" si="31"/>
        <v>6200</v>
      </c>
      <c r="U101" s="1565" t="s">
        <v>1477</v>
      </c>
      <c r="V101" s="1565" t="s">
        <v>878</v>
      </c>
      <c r="W101" s="1605">
        <v>414</v>
      </c>
      <c r="X101" s="1606"/>
      <c r="Y101" s="1606"/>
    </row>
    <row r="102" spans="1:25" ht="23.25" customHeight="1">
      <c r="A102" s="1698" t="s">
        <v>781</v>
      </c>
      <c r="B102" s="1700" t="s">
        <v>692</v>
      </c>
      <c r="C102" s="814">
        <f t="shared" si="21"/>
        <v>90200</v>
      </c>
      <c r="D102" s="698">
        <v>84777.3</v>
      </c>
      <c r="E102" s="698">
        <v>5422.7</v>
      </c>
      <c r="F102" s="814">
        <f t="shared" si="28"/>
        <v>0</v>
      </c>
      <c r="G102" s="536"/>
      <c r="H102" s="536"/>
      <c r="I102" s="814">
        <f t="shared" si="29"/>
        <v>0</v>
      </c>
      <c r="J102" s="1677"/>
      <c r="K102" s="1677"/>
      <c r="L102" s="746">
        <f t="shared" si="20"/>
        <v>0</v>
      </c>
      <c r="M102" s="536">
        <f t="shared" si="20"/>
        <v>0</v>
      </c>
      <c r="N102" s="536">
        <f t="shared" si="20"/>
        <v>0</v>
      </c>
      <c r="O102" s="1593" t="s">
        <v>1300</v>
      </c>
      <c r="P102" s="1593" t="s">
        <v>1263</v>
      </c>
      <c r="Q102" s="1600">
        <f t="shared" si="30"/>
        <v>8900</v>
      </c>
      <c r="R102" s="1614">
        <v>0</v>
      </c>
      <c r="S102" s="1614">
        <v>8900</v>
      </c>
      <c r="T102" s="735">
        <f t="shared" si="31"/>
        <v>90200</v>
      </c>
      <c r="U102" s="1565" t="s">
        <v>1477</v>
      </c>
      <c r="V102" s="1565" t="s">
        <v>875</v>
      </c>
      <c r="W102" s="1605">
        <v>414</v>
      </c>
    </row>
    <row r="103" spans="1:25" ht="45.75" customHeight="1">
      <c r="A103" s="1672" t="s">
        <v>631</v>
      </c>
      <c r="B103" s="1700" t="s">
        <v>691</v>
      </c>
      <c r="C103" s="814">
        <f t="shared" si="21"/>
        <v>195900</v>
      </c>
      <c r="D103" s="698">
        <v>184122.7</v>
      </c>
      <c r="E103" s="698">
        <v>11777.3</v>
      </c>
      <c r="F103" s="814">
        <f t="shared" si="28"/>
        <v>0</v>
      </c>
      <c r="G103" s="536"/>
      <c r="H103" s="536"/>
      <c r="I103" s="814">
        <f t="shared" si="29"/>
        <v>0</v>
      </c>
      <c r="J103" s="1677"/>
      <c r="K103" s="1677"/>
      <c r="L103" s="746">
        <f t="shared" si="20"/>
        <v>0</v>
      </c>
      <c r="M103" s="536">
        <f t="shared" si="20"/>
        <v>0</v>
      </c>
      <c r="N103" s="536">
        <f t="shared" si="20"/>
        <v>0</v>
      </c>
      <c r="O103" s="1593" t="s">
        <v>1301</v>
      </c>
      <c r="P103" s="1593" t="s">
        <v>1264</v>
      </c>
      <c r="Q103" s="1600">
        <f t="shared" si="30"/>
        <v>21489</v>
      </c>
      <c r="R103" s="1614">
        <v>0</v>
      </c>
      <c r="S103" s="1614">
        <v>21489</v>
      </c>
      <c r="T103" s="735">
        <f t="shared" si="31"/>
        <v>195900</v>
      </c>
      <c r="U103" s="1565" t="s">
        <v>1477</v>
      </c>
      <c r="V103" s="1565" t="s">
        <v>875</v>
      </c>
      <c r="W103" s="1605">
        <v>414</v>
      </c>
    </row>
    <row r="104" spans="1:25" ht="41.25" customHeight="1">
      <c r="A104" s="1672" t="s">
        <v>632</v>
      </c>
      <c r="B104" s="1675" t="s">
        <v>478</v>
      </c>
      <c r="C104" s="814">
        <f t="shared" si="21"/>
        <v>449049.8</v>
      </c>
      <c r="D104" s="701">
        <v>422106.8</v>
      </c>
      <c r="E104" s="1718">
        <v>26943</v>
      </c>
      <c r="F104" s="814">
        <f t="shared" si="28"/>
        <v>0</v>
      </c>
      <c r="G104" s="536"/>
      <c r="H104" s="536"/>
      <c r="I104" s="814">
        <f t="shared" si="29"/>
        <v>0</v>
      </c>
      <c r="J104" s="701"/>
      <c r="K104" s="701"/>
      <c r="L104" s="746">
        <f t="shared" si="20"/>
        <v>0</v>
      </c>
      <c r="M104" s="536">
        <f t="shared" si="20"/>
        <v>0</v>
      </c>
      <c r="N104" s="536">
        <f t="shared" si="20"/>
        <v>0</v>
      </c>
      <c r="O104" s="1593" t="s">
        <v>1298</v>
      </c>
      <c r="P104" s="1593" t="s">
        <v>1261</v>
      </c>
      <c r="Q104" s="1600">
        <f t="shared" si="30"/>
        <v>444195.7</v>
      </c>
      <c r="R104" s="1608">
        <v>417543.8</v>
      </c>
      <c r="S104" s="1624">
        <v>26651.9</v>
      </c>
      <c r="T104" s="735">
        <f t="shared" si="31"/>
        <v>449049.8</v>
      </c>
      <c r="U104" s="1565" t="s">
        <v>1429</v>
      </c>
      <c r="V104" s="1565" t="s">
        <v>898</v>
      </c>
      <c r="W104" s="1565">
        <v>414</v>
      </c>
    </row>
    <row r="105" spans="1:25" s="484" customFormat="1" ht="41.25" customHeight="1">
      <c r="A105" s="1672" t="s">
        <v>633</v>
      </c>
      <c r="B105" s="1701" t="s">
        <v>694</v>
      </c>
      <c r="C105" s="732">
        <f t="shared" si="21"/>
        <v>115500</v>
      </c>
      <c r="D105" s="854">
        <v>108552</v>
      </c>
      <c r="E105" s="854">
        <v>6948</v>
      </c>
      <c r="F105" s="814">
        <f t="shared" si="28"/>
        <v>0</v>
      </c>
      <c r="G105" s="536"/>
      <c r="H105" s="536"/>
      <c r="I105" s="814">
        <f t="shared" si="29"/>
        <v>0</v>
      </c>
      <c r="J105" s="1677"/>
      <c r="K105" s="1677"/>
      <c r="L105" s="746">
        <f t="shared" si="20"/>
        <v>0</v>
      </c>
      <c r="M105" s="536">
        <f t="shared" si="20"/>
        <v>0</v>
      </c>
      <c r="N105" s="536">
        <f t="shared" si="20"/>
        <v>0</v>
      </c>
      <c r="O105" s="1593" t="s">
        <v>1272</v>
      </c>
      <c r="P105" s="1593" t="s">
        <v>1273</v>
      </c>
      <c r="Q105" s="1600">
        <f t="shared" si="30"/>
        <v>251200</v>
      </c>
      <c r="R105" s="1614">
        <v>236128</v>
      </c>
      <c r="S105" s="1614">
        <v>15072</v>
      </c>
      <c r="T105" s="735">
        <f t="shared" si="31"/>
        <v>115500</v>
      </c>
      <c r="U105" s="1565" t="s">
        <v>1474</v>
      </c>
      <c r="V105" s="1565" t="s">
        <v>1479</v>
      </c>
      <c r="W105" s="1605">
        <v>414</v>
      </c>
      <c r="X105" s="1606"/>
      <c r="Y105" s="1606"/>
    </row>
    <row r="106" spans="1:25" s="484" customFormat="1" ht="69" customHeight="1">
      <c r="A106" s="1672" t="s">
        <v>634</v>
      </c>
      <c r="B106" s="1701" t="s">
        <v>695</v>
      </c>
      <c r="C106" s="732">
        <f t="shared" si="21"/>
        <v>110500</v>
      </c>
      <c r="D106" s="854">
        <v>103848</v>
      </c>
      <c r="E106" s="854">
        <v>6652</v>
      </c>
      <c r="F106" s="814">
        <f t="shared" si="28"/>
        <v>0</v>
      </c>
      <c r="G106" s="536"/>
      <c r="H106" s="536"/>
      <c r="I106" s="814">
        <f t="shared" si="29"/>
        <v>0</v>
      </c>
      <c r="J106" s="1677"/>
      <c r="K106" s="1677"/>
      <c r="L106" s="746">
        <f t="shared" si="20"/>
        <v>0</v>
      </c>
      <c r="M106" s="536">
        <f t="shared" si="20"/>
        <v>0</v>
      </c>
      <c r="N106" s="536">
        <f t="shared" si="20"/>
        <v>0</v>
      </c>
      <c r="O106" s="1593" t="s">
        <v>1272</v>
      </c>
      <c r="P106" s="1593" t="s">
        <v>1273</v>
      </c>
      <c r="Q106" s="1600" t="e">
        <f t="shared" si="30"/>
        <v>#REF!</v>
      </c>
      <c r="R106" s="1614" t="e">
        <f>133919.9-#REF!</f>
        <v>#REF!</v>
      </c>
      <c r="S106" s="1614" t="e">
        <f>8548.1-#REF!</f>
        <v>#REF!</v>
      </c>
      <c r="T106" s="735">
        <f t="shared" si="31"/>
        <v>110500</v>
      </c>
      <c r="U106" s="1565" t="s">
        <v>1474</v>
      </c>
      <c r="V106" s="1565" t="s">
        <v>1480</v>
      </c>
      <c r="W106" s="1605">
        <v>414</v>
      </c>
      <c r="X106" s="1606"/>
      <c r="Y106" s="1606"/>
    </row>
    <row r="107" spans="1:25" s="484" customFormat="1" ht="53.25" customHeight="1">
      <c r="A107" s="1672" t="s">
        <v>635</v>
      </c>
      <c r="B107" s="1701" t="s">
        <v>698</v>
      </c>
      <c r="C107" s="814">
        <f t="shared" si="21"/>
        <v>326625.7</v>
      </c>
      <c r="D107" s="698">
        <v>307281.5</v>
      </c>
      <c r="E107" s="698">
        <v>19344.2</v>
      </c>
      <c r="F107" s="814">
        <f t="shared" si="28"/>
        <v>0</v>
      </c>
      <c r="G107" s="536"/>
      <c r="H107" s="536"/>
      <c r="I107" s="814">
        <f t="shared" si="29"/>
        <v>0</v>
      </c>
      <c r="J107" s="1677"/>
      <c r="K107" s="1677"/>
      <c r="L107" s="746">
        <f t="shared" si="20"/>
        <v>0</v>
      </c>
      <c r="M107" s="536">
        <f t="shared" si="20"/>
        <v>0</v>
      </c>
      <c r="N107" s="536">
        <f t="shared" si="20"/>
        <v>0</v>
      </c>
      <c r="O107" s="1593" t="s">
        <v>1306</v>
      </c>
      <c r="P107" s="1593" t="s">
        <v>1277</v>
      </c>
      <c r="Q107" s="1602">
        <f t="shared" si="30"/>
        <v>96270.7</v>
      </c>
      <c r="R107" s="1615">
        <v>90460.9</v>
      </c>
      <c r="S107" s="1615">
        <v>5809.8</v>
      </c>
      <c r="T107" s="735">
        <f t="shared" si="31"/>
        <v>326625.7</v>
      </c>
      <c r="U107" s="1565" t="s">
        <v>1481</v>
      </c>
      <c r="V107" s="1565" t="s">
        <v>1482</v>
      </c>
      <c r="W107" s="1605">
        <v>414</v>
      </c>
      <c r="X107" s="1606"/>
      <c r="Y107" s="1606"/>
    </row>
    <row r="108" spans="1:25" ht="73.5" customHeight="1">
      <c r="A108" s="1672" t="s">
        <v>734</v>
      </c>
      <c r="B108" s="1701" t="s">
        <v>697</v>
      </c>
      <c r="C108" s="732">
        <f t="shared" si="21"/>
        <v>37500</v>
      </c>
      <c r="D108" s="854">
        <v>35238.699999999997</v>
      </c>
      <c r="E108" s="854">
        <v>2261.3000000000002</v>
      </c>
      <c r="F108" s="814">
        <f t="shared" si="28"/>
        <v>0</v>
      </c>
      <c r="G108" s="536"/>
      <c r="H108" s="536"/>
      <c r="I108" s="814">
        <f t="shared" si="29"/>
        <v>0</v>
      </c>
      <c r="J108" s="1677"/>
      <c r="K108" s="1677"/>
      <c r="L108" s="746">
        <f t="shared" si="20"/>
        <v>0</v>
      </c>
      <c r="M108" s="536">
        <f t="shared" si="20"/>
        <v>0</v>
      </c>
      <c r="N108" s="536">
        <f t="shared" si="20"/>
        <v>0</v>
      </c>
      <c r="O108" s="1593" t="s">
        <v>1192</v>
      </c>
      <c r="P108" s="1593" t="s">
        <v>1278</v>
      </c>
      <c r="Q108" s="1600">
        <f t="shared" si="30"/>
        <v>150000</v>
      </c>
      <c r="R108" s="1614">
        <v>140955</v>
      </c>
      <c r="S108" s="1614">
        <v>9045</v>
      </c>
      <c r="T108" s="735">
        <f t="shared" si="31"/>
        <v>37500</v>
      </c>
      <c r="U108" s="1565" t="s">
        <v>1481</v>
      </c>
      <c r="V108" s="1565" t="s">
        <v>1483</v>
      </c>
      <c r="W108" s="1605">
        <v>414</v>
      </c>
    </row>
    <row r="109" spans="1:25" ht="90.75" customHeight="1">
      <c r="A109" s="1672" t="s">
        <v>735</v>
      </c>
      <c r="B109" s="1701" t="s">
        <v>942</v>
      </c>
      <c r="C109" s="732">
        <f t="shared" si="21"/>
        <v>201857</v>
      </c>
      <c r="D109" s="854">
        <v>189685</v>
      </c>
      <c r="E109" s="854">
        <v>12172</v>
      </c>
      <c r="F109" s="814">
        <f t="shared" si="28"/>
        <v>0</v>
      </c>
      <c r="G109" s="536"/>
      <c r="H109" s="536"/>
      <c r="I109" s="814">
        <f t="shared" si="29"/>
        <v>0</v>
      </c>
      <c r="J109" s="1677"/>
      <c r="K109" s="1677"/>
      <c r="L109" s="746">
        <f t="shared" si="20"/>
        <v>0</v>
      </c>
      <c r="M109" s="536">
        <f t="shared" si="20"/>
        <v>0</v>
      </c>
      <c r="N109" s="536">
        <f t="shared" si="20"/>
        <v>0</v>
      </c>
      <c r="O109" s="1593" t="s">
        <v>1192</v>
      </c>
      <c r="P109" s="1593" t="s">
        <v>1279</v>
      </c>
      <c r="Q109" s="1600">
        <f t="shared" si="30"/>
        <v>34500</v>
      </c>
      <c r="R109" s="1614">
        <v>32419.7</v>
      </c>
      <c r="S109" s="1614">
        <v>2080.3000000000002</v>
      </c>
      <c r="T109" s="735">
        <f t="shared" si="31"/>
        <v>201857</v>
      </c>
      <c r="U109" s="1565" t="s">
        <v>1481</v>
      </c>
      <c r="V109" s="1565" t="s">
        <v>1484</v>
      </c>
      <c r="W109" s="1605">
        <v>414</v>
      </c>
    </row>
    <row r="110" spans="1:25" s="1626" customFormat="1" ht="42" customHeight="1">
      <c r="A110" s="1672" t="s">
        <v>636</v>
      </c>
      <c r="B110" s="1551" t="s">
        <v>1488</v>
      </c>
      <c r="C110" s="814">
        <f t="shared" si="21"/>
        <v>605200</v>
      </c>
      <c r="D110" s="698">
        <v>568888</v>
      </c>
      <c r="E110" s="698">
        <v>36312</v>
      </c>
      <c r="F110" s="814">
        <f t="shared" si="28"/>
        <v>0</v>
      </c>
      <c r="G110" s="536"/>
      <c r="H110" s="536"/>
      <c r="I110" s="814">
        <f t="shared" si="29"/>
        <v>0</v>
      </c>
      <c r="J110" s="1677"/>
      <c r="K110" s="1677"/>
      <c r="L110" s="746">
        <f t="shared" si="20"/>
        <v>0</v>
      </c>
      <c r="M110" s="536">
        <f t="shared" si="20"/>
        <v>0</v>
      </c>
      <c r="N110" s="536">
        <f t="shared" si="20"/>
        <v>0</v>
      </c>
      <c r="O110" s="1593" t="s">
        <v>1299</v>
      </c>
      <c r="P110" s="1593" t="s">
        <v>1262</v>
      </c>
      <c r="Q110" s="1600">
        <f t="shared" si="30"/>
        <v>9981.4</v>
      </c>
      <c r="R110" s="1614">
        <f>8500+859.8</f>
        <v>9359.7999999999993</v>
      </c>
      <c r="S110" s="1614">
        <f>564.5+57.1</f>
        <v>621.6</v>
      </c>
      <c r="T110" s="735">
        <f t="shared" si="31"/>
        <v>605200</v>
      </c>
      <c r="U110" s="1565">
        <v>1002</v>
      </c>
      <c r="V110" s="1565" t="s">
        <v>1489</v>
      </c>
      <c r="W110" s="1565">
        <v>414</v>
      </c>
      <c r="X110" s="1625"/>
      <c r="Y110" s="1625"/>
    </row>
    <row r="111" spans="1:25" ht="84.75" customHeight="1">
      <c r="A111" s="1686" t="s">
        <v>1515</v>
      </c>
      <c r="B111" s="1687" t="s">
        <v>1513</v>
      </c>
      <c r="C111" s="1688">
        <f t="shared" ref="C111:C147" si="32">SUM(D111:E111)</f>
        <v>4337</v>
      </c>
      <c r="D111" s="1688">
        <f>SUM(D112)</f>
        <v>0</v>
      </c>
      <c r="E111" s="1688">
        <f>SUM(E112)</f>
        <v>4337</v>
      </c>
      <c r="F111" s="1688">
        <f t="shared" ref="F111:F147" si="33">SUM(G111:H111)</f>
        <v>0</v>
      </c>
      <c r="G111" s="1688">
        <f>SUM(G112)</f>
        <v>0</v>
      </c>
      <c r="H111" s="1688">
        <f>SUM(H112)</f>
        <v>0</v>
      </c>
      <c r="I111" s="1688">
        <f t="shared" ref="I111:I147" si="34">SUM(J111:K111)</f>
        <v>0</v>
      </c>
      <c r="J111" s="1688">
        <f>SUM(J112)</f>
        <v>0</v>
      </c>
      <c r="K111" s="1688">
        <f>SUM(K112)</f>
        <v>0</v>
      </c>
      <c r="L111" s="1719">
        <f t="shared" si="20"/>
        <v>0</v>
      </c>
      <c r="M111" s="1719">
        <f t="shared" si="20"/>
        <v>0</v>
      </c>
      <c r="N111" s="1719">
        <f t="shared" si="20"/>
        <v>0</v>
      </c>
      <c r="O111" s="1593"/>
      <c r="P111" s="1593"/>
      <c r="Q111" s="1623" t="e">
        <f t="shared" ref="Q111:Q136" si="35">SUM(R111:S111)</f>
        <v>#REF!</v>
      </c>
      <c r="R111" s="1623" t="e">
        <f>SUM(R112:R134)</f>
        <v>#REF!</v>
      </c>
      <c r="S111" s="1623" t="e">
        <f>SUM(S112:S134)</f>
        <v>#REF!</v>
      </c>
      <c r="T111" s="735">
        <f t="shared" ref="T111:T119" si="36">C111-F111</f>
        <v>4337</v>
      </c>
    </row>
    <row r="112" spans="1:25" ht="69.75" customHeight="1">
      <c r="A112" s="1698" t="s">
        <v>736</v>
      </c>
      <c r="B112" s="1547" t="s">
        <v>1495</v>
      </c>
      <c r="C112" s="732">
        <f t="shared" si="32"/>
        <v>4337</v>
      </c>
      <c r="D112" s="1676"/>
      <c r="E112" s="1676">
        <v>4337</v>
      </c>
      <c r="F112" s="814">
        <f t="shared" si="33"/>
        <v>0</v>
      </c>
      <c r="G112" s="536"/>
      <c r="H112" s="536"/>
      <c r="I112" s="814">
        <f t="shared" si="34"/>
        <v>0</v>
      </c>
      <c r="J112" s="701"/>
      <c r="K112" s="701"/>
      <c r="L112" s="746">
        <f t="shared" si="20"/>
        <v>0</v>
      </c>
      <c r="M112" s="536">
        <f t="shared" si="20"/>
        <v>0</v>
      </c>
      <c r="N112" s="536">
        <f t="shared" si="20"/>
        <v>0</v>
      </c>
      <c r="O112" s="1593" t="s">
        <v>1290</v>
      </c>
      <c r="P112" s="1593" t="s">
        <v>1240</v>
      </c>
      <c r="Q112" s="1600">
        <f t="shared" si="35"/>
        <v>800</v>
      </c>
      <c r="R112" s="1608">
        <v>0</v>
      </c>
      <c r="S112" s="1608">
        <v>800</v>
      </c>
      <c r="T112" s="735">
        <f t="shared" si="36"/>
        <v>4337</v>
      </c>
      <c r="U112" s="1565" t="s">
        <v>1429</v>
      </c>
      <c r="V112" s="1565" t="s">
        <v>1496</v>
      </c>
      <c r="W112" s="1565">
        <v>414</v>
      </c>
    </row>
    <row r="113" spans="1:25" ht="31.5" customHeight="1">
      <c r="A113" s="1686" t="s">
        <v>1516</v>
      </c>
      <c r="B113" s="1687" t="s">
        <v>529</v>
      </c>
      <c r="C113" s="1688">
        <f t="shared" si="32"/>
        <v>175767.8</v>
      </c>
      <c r="D113" s="1688">
        <f>SUM(D114:D116)</f>
        <v>0</v>
      </c>
      <c r="E113" s="1688">
        <f>SUM(E114:E116)</f>
        <v>175767.8</v>
      </c>
      <c r="F113" s="1688">
        <f t="shared" si="33"/>
        <v>0</v>
      </c>
      <c r="G113" s="1688">
        <f>SUM(G114:G116)</f>
        <v>0</v>
      </c>
      <c r="H113" s="1688">
        <f>SUM(H114:H116)</f>
        <v>0</v>
      </c>
      <c r="I113" s="1688">
        <f t="shared" si="34"/>
        <v>0</v>
      </c>
      <c r="J113" s="1688">
        <f>SUM(J114:J116)</f>
        <v>0</v>
      </c>
      <c r="K113" s="1688">
        <f>SUM(K114:K116)</f>
        <v>0</v>
      </c>
      <c r="L113" s="1689">
        <f t="shared" si="20"/>
        <v>0</v>
      </c>
      <c r="M113" s="1690">
        <f t="shared" si="20"/>
        <v>0</v>
      </c>
      <c r="N113" s="1690">
        <f t="shared" si="20"/>
        <v>0</v>
      </c>
      <c r="O113" s="1599"/>
      <c r="P113" s="1599"/>
      <c r="Q113" s="1598"/>
      <c r="R113" s="1598"/>
      <c r="S113" s="1598"/>
      <c r="T113" s="735"/>
      <c r="U113" s="1618"/>
      <c r="V113" s="1618"/>
      <c r="W113" s="1618"/>
    </row>
    <row r="114" spans="1:25" s="484" customFormat="1" ht="47.25" customHeight="1">
      <c r="A114" s="1698" t="s">
        <v>737</v>
      </c>
      <c r="B114" s="1712" t="s">
        <v>1469</v>
      </c>
      <c r="C114" s="732">
        <f t="shared" si="32"/>
        <v>38316.699999999997</v>
      </c>
      <c r="D114" s="1676"/>
      <c r="E114" s="1676">
        <v>38316.699999999997</v>
      </c>
      <c r="F114" s="814">
        <f t="shared" si="33"/>
        <v>0</v>
      </c>
      <c r="G114" s="536"/>
      <c r="H114" s="536"/>
      <c r="I114" s="814">
        <f t="shared" si="34"/>
        <v>0</v>
      </c>
      <c r="J114" s="701"/>
      <c r="K114" s="701"/>
      <c r="L114" s="746">
        <f t="shared" si="20"/>
        <v>0</v>
      </c>
      <c r="M114" s="536">
        <f t="shared" si="20"/>
        <v>0</v>
      </c>
      <c r="N114" s="536">
        <f t="shared" si="20"/>
        <v>0</v>
      </c>
      <c r="O114" s="1593" t="s">
        <v>1291</v>
      </c>
      <c r="P114" s="1593" t="s">
        <v>1241</v>
      </c>
      <c r="Q114" s="1600">
        <f>SUM(R114:S114)</f>
        <v>100</v>
      </c>
      <c r="R114" s="1608">
        <v>0</v>
      </c>
      <c r="S114" s="1608">
        <v>100</v>
      </c>
      <c r="T114" s="735">
        <f>C114-F114</f>
        <v>38316.699999999997</v>
      </c>
      <c r="U114" s="1565">
        <v>1102</v>
      </c>
      <c r="V114" s="1565" t="s">
        <v>1468</v>
      </c>
      <c r="W114" s="1565">
        <v>414</v>
      </c>
      <c r="X114" s="1606"/>
      <c r="Y114" s="1606"/>
    </row>
    <row r="115" spans="1:25" ht="64.5" customHeight="1">
      <c r="A115" s="1672" t="s">
        <v>738</v>
      </c>
      <c r="B115" s="1720" t="s">
        <v>707</v>
      </c>
      <c r="C115" s="732">
        <f t="shared" si="32"/>
        <v>123877.5</v>
      </c>
      <c r="D115" s="1676"/>
      <c r="E115" s="1676">
        <v>123877.5</v>
      </c>
      <c r="F115" s="814">
        <f t="shared" si="33"/>
        <v>0</v>
      </c>
      <c r="G115" s="536"/>
      <c r="H115" s="536"/>
      <c r="I115" s="814">
        <f t="shared" si="34"/>
        <v>0</v>
      </c>
      <c r="J115" s="701"/>
      <c r="K115" s="701"/>
      <c r="L115" s="746">
        <f t="shared" si="20"/>
        <v>0</v>
      </c>
      <c r="M115" s="536">
        <f t="shared" si="20"/>
        <v>0</v>
      </c>
      <c r="N115" s="536">
        <f t="shared" si="20"/>
        <v>0</v>
      </c>
      <c r="O115" s="1593" t="s">
        <v>1192</v>
      </c>
      <c r="P115" s="1593" t="s">
        <v>1163</v>
      </c>
      <c r="Q115" s="1600">
        <f>SUM(R115:S115)</f>
        <v>30000</v>
      </c>
      <c r="R115" s="1608">
        <v>0</v>
      </c>
      <c r="S115" s="1608">
        <v>30000</v>
      </c>
      <c r="T115" s="735">
        <f>C115-F115</f>
        <v>123877.5</v>
      </c>
      <c r="U115" s="1565" t="s">
        <v>1476</v>
      </c>
      <c r="V115" s="1565">
        <v>1550190400</v>
      </c>
      <c r="W115" s="1565">
        <v>414</v>
      </c>
    </row>
    <row r="116" spans="1:25" ht="107.25" customHeight="1">
      <c r="A116" s="1672" t="s">
        <v>739</v>
      </c>
      <c r="B116" s="1547" t="s">
        <v>1478</v>
      </c>
      <c r="C116" s="814">
        <f>SUM(D116:E116)</f>
        <v>13573.6</v>
      </c>
      <c r="D116" s="701"/>
      <c r="E116" s="1718">
        <v>13573.6</v>
      </c>
      <c r="F116" s="814">
        <f>SUM(G116:H116)</f>
        <v>0</v>
      </c>
      <c r="G116" s="536"/>
      <c r="H116" s="536"/>
      <c r="I116" s="814">
        <f>SUM(J116:K116)</f>
        <v>0</v>
      </c>
      <c r="J116" s="701"/>
      <c r="K116" s="701"/>
      <c r="L116" s="746">
        <f t="shared" si="20"/>
        <v>0</v>
      </c>
      <c r="M116" s="536">
        <f t="shared" si="20"/>
        <v>0</v>
      </c>
      <c r="N116" s="536">
        <f t="shared" si="20"/>
        <v>0</v>
      </c>
      <c r="O116" s="1593" t="s">
        <v>1298</v>
      </c>
      <c r="P116" s="1593" t="s">
        <v>1261</v>
      </c>
      <c r="Q116" s="1600">
        <f>SUM(R116:S116)</f>
        <v>444195.7</v>
      </c>
      <c r="R116" s="1608">
        <v>417543.8</v>
      </c>
      <c r="S116" s="1624">
        <v>26651.9</v>
      </c>
      <c r="T116" s="735">
        <f>C116-F116</f>
        <v>13573.6</v>
      </c>
      <c r="U116" s="1565" t="s">
        <v>1477</v>
      </c>
      <c r="V116" s="1565">
        <v>1130390400</v>
      </c>
      <c r="W116" s="1565">
        <v>414</v>
      </c>
    </row>
    <row r="117" spans="1:25" ht="56.25" customHeight="1">
      <c r="A117" s="2558" t="s">
        <v>456</v>
      </c>
      <c r="B117" s="2558"/>
      <c r="C117" s="722">
        <f t="shared" si="32"/>
        <v>1091137.8</v>
      </c>
      <c r="D117" s="722">
        <f>SUM(D118,D122)</f>
        <v>612457.1</v>
      </c>
      <c r="E117" s="722">
        <f>SUM(E118,E122)</f>
        <v>478680.7</v>
      </c>
      <c r="F117" s="722">
        <f>SUM(G117:H117)</f>
        <v>0</v>
      </c>
      <c r="G117" s="722">
        <f>SUM(G118,G122)</f>
        <v>0</v>
      </c>
      <c r="H117" s="722">
        <f>SUM(H118,H122)</f>
        <v>0</v>
      </c>
      <c r="I117" s="722">
        <f>SUM(J117:K117)</f>
        <v>0</v>
      </c>
      <c r="J117" s="722">
        <f>SUM(J118,J122)</f>
        <v>0</v>
      </c>
      <c r="K117" s="722">
        <f>SUM(K118,K122)</f>
        <v>0</v>
      </c>
      <c r="L117" s="723">
        <f t="shared" si="20"/>
        <v>0</v>
      </c>
      <c r="M117" s="724">
        <f t="shared" si="20"/>
        <v>0</v>
      </c>
      <c r="N117" s="724">
        <f t="shared" si="20"/>
        <v>0</v>
      </c>
      <c r="O117" s="1627"/>
      <c r="P117" s="1628" t="s">
        <v>1104</v>
      </c>
      <c r="Q117" s="1594" t="e">
        <f t="shared" si="35"/>
        <v>#REF!</v>
      </c>
      <c r="R117" s="1594" t="e">
        <f>SUM(#REF!,R122)</f>
        <v>#REF!</v>
      </c>
      <c r="S117" s="1594" t="e">
        <f>SUM(#REF!,S122)</f>
        <v>#REF!</v>
      </c>
      <c r="T117" s="735">
        <f t="shared" si="36"/>
        <v>1091137.8</v>
      </c>
    </row>
    <row r="118" spans="1:25" ht="82.5" customHeight="1">
      <c r="A118" s="1665" t="s">
        <v>6</v>
      </c>
      <c r="B118" s="1666" t="s">
        <v>439</v>
      </c>
      <c r="C118" s="726">
        <f t="shared" si="32"/>
        <v>4800</v>
      </c>
      <c r="D118" s="726">
        <f>D119</f>
        <v>0</v>
      </c>
      <c r="E118" s="726">
        <f>SUM(E119)</f>
        <v>4800</v>
      </c>
      <c r="F118" s="726">
        <f>SUM(G118:H118)</f>
        <v>0</v>
      </c>
      <c r="G118" s="726">
        <f>G119</f>
        <v>0</v>
      </c>
      <c r="H118" s="726">
        <f>SUM(H119)</f>
        <v>0</v>
      </c>
      <c r="I118" s="726">
        <f>SUM(J118:K118)</f>
        <v>0</v>
      </c>
      <c r="J118" s="726">
        <f>J119</f>
        <v>0</v>
      </c>
      <c r="K118" s="726">
        <f>SUM(K119)</f>
        <v>0</v>
      </c>
      <c r="L118" s="727">
        <f t="shared" si="20"/>
        <v>0</v>
      </c>
      <c r="M118" s="728">
        <f t="shared" si="20"/>
        <v>0</v>
      </c>
      <c r="N118" s="728">
        <f t="shared" si="20"/>
        <v>0</v>
      </c>
      <c r="O118" s="1597" t="s">
        <v>353</v>
      </c>
      <c r="P118" s="1597" t="s">
        <v>353</v>
      </c>
      <c r="Q118" s="1596" t="e">
        <f t="shared" si="35"/>
        <v>#REF!</v>
      </c>
      <c r="R118" s="1596" t="e">
        <f>SUM(R119)</f>
        <v>#REF!</v>
      </c>
      <c r="S118" s="1596" t="e">
        <f>SUM(S119)</f>
        <v>#REF!</v>
      </c>
      <c r="T118" s="735">
        <f t="shared" si="36"/>
        <v>4800</v>
      </c>
    </row>
    <row r="119" spans="1:25" ht="38.25" customHeight="1">
      <c r="A119" s="1667" t="s">
        <v>253</v>
      </c>
      <c r="B119" s="1668" t="s">
        <v>1393</v>
      </c>
      <c r="C119" s="1669">
        <f t="shared" si="32"/>
        <v>4800</v>
      </c>
      <c r="D119" s="1669">
        <f>D120</f>
        <v>0</v>
      </c>
      <c r="E119" s="1669">
        <f>E120</f>
        <v>4800</v>
      </c>
      <c r="F119" s="1669">
        <f>SUM(G119:H119)</f>
        <v>0</v>
      </c>
      <c r="G119" s="1669">
        <f>G120</f>
        <v>0</v>
      </c>
      <c r="H119" s="1669">
        <f>H120</f>
        <v>0</v>
      </c>
      <c r="I119" s="1669">
        <f>SUM(J119:K119)</f>
        <v>0</v>
      </c>
      <c r="J119" s="1669">
        <f>J120</f>
        <v>0</v>
      </c>
      <c r="K119" s="1669">
        <f>K120</f>
        <v>0</v>
      </c>
      <c r="L119" s="1670">
        <f t="shared" si="20"/>
        <v>0</v>
      </c>
      <c r="M119" s="1671">
        <f t="shared" si="20"/>
        <v>0</v>
      </c>
      <c r="N119" s="1671">
        <f t="shared" si="20"/>
        <v>0</v>
      </c>
      <c r="O119" s="1599" t="s">
        <v>353</v>
      </c>
      <c r="P119" s="1599" t="s">
        <v>353</v>
      </c>
      <c r="Q119" s="1598" t="e">
        <f t="shared" si="35"/>
        <v>#REF!</v>
      </c>
      <c r="R119" s="1598" t="e">
        <f>SUM(R120:R135,R136,#REF!,#REF!,#REF!,#REF!,#REF!,#REF!,R156,#REF!,#REF!,R158,R134,#REF!,R167)</f>
        <v>#REF!</v>
      </c>
      <c r="S119" s="1598" t="e">
        <f>SUM(S120:S135,S136,#REF!,#REF!,#REF!,#REF!,#REF!,#REF!,S156,#REF!,#REF!,S158,S134,#REF!,S167)</f>
        <v>#REF!</v>
      </c>
      <c r="T119" s="735">
        <f t="shared" si="36"/>
        <v>4800</v>
      </c>
    </row>
    <row r="120" spans="1:25" ht="20.25">
      <c r="A120" s="1672"/>
      <c r="B120" s="1673" t="s">
        <v>615</v>
      </c>
      <c r="C120" s="814">
        <f t="shared" si="32"/>
        <v>4800</v>
      </c>
      <c r="D120" s="539">
        <f>SUM(D121)</f>
        <v>0</v>
      </c>
      <c r="E120" s="539">
        <f>SUM(E121)</f>
        <v>4800</v>
      </c>
      <c r="F120" s="814">
        <f>SUM(G120:H120)</f>
        <v>0</v>
      </c>
      <c r="G120" s="539">
        <f>SUM(G121)</f>
        <v>0</v>
      </c>
      <c r="H120" s="539">
        <f>SUM(H121)</f>
        <v>0</v>
      </c>
      <c r="I120" s="814">
        <f>SUM(J120:K120)</f>
        <v>0</v>
      </c>
      <c r="J120" s="539">
        <f>SUM(J121)</f>
        <v>0</v>
      </c>
      <c r="K120" s="539">
        <f>SUM(K121)</f>
        <v>0</v>
      </c>
      <c r="L120" s="746">
        <f t="shared" si="20"/>
        <v>0</v>
      </c>
      <c r="M120" s="536">
        <f t="shared" si="20"/>
        <v>0</v>
      </c>
      <c r="N120" s="536">
        <f t="shared" si="20"/>
        <v>0</v>
      </c>
      <c r="O120" s="1627"/>
      <c r="Q120" s="1602">
        <f t="shared" si="35"/>
        <v>2848</v>
      </c>
      <c r="R120" s="1603">
        <v>0</v>
      </c>
      <c r="S120" s="1603">
        <v>2848</v>
      </c>
      <c r="T120" s="735"/>
    </row>
    <row r="121" spans="1:25" ht="131.25" customHeight="1">
      <c r="A121" s="1672" t="s">
        <v>740</v>
      </c>
      <c r="B121" s="1721" t="s">
        <v>1420</v>
      </c>
      <c r="C121" s="814">
        <f t="shared" si="32"/>
        <v>4800</v>
      </c>
      <c r="D121" s="701"/>
      <c r="E121" s="701">
        <v>4800</v>
      </c>
      <c r="F121" s="814">
        <f t="shared" si="33"/>
        <v>0</v>
      </c>
      <c r="G121" s="536"/>
      <c r="H121" s="536"/>
      <c r="I121" s="814">
        <f t="shared" si="34"/>
        <v>0</v>
      </c>
      <c r="J121" s="1677"/>
      <c r="K121" s="1677"/>
      <c r="L121" s="746">
        <f t="shared" si="20"/>
        <v>0</v>
      </c>
      <c r="M121" s="536">
        <f t="shared" si="20"/>
        <v>0</v>
      </c>
      <c r="N121" s="536">
        <f t="shared" si="20"/>
        <v>0</v>
      </c>
      <c r="O121" s="1627"/>
      <c r="Q121" s="1602">
        <f t="shared" si="35"/>
        <v>2848</v>
      </c>
      <c r="R121" s="1616">
        <v>0</v>
      </c>
      <c r="S121" s="1616">
        <v>2848</v>
      </c>
      <c r="T121" s="735">
        <f t="shared" ref="T121:T126" si="37">C121-F121</f>
        <v>4800</v>
      </c>
      <c r="U121" s="1565" t="s">
        <v>1427</v>
      </c>
      <c r="V121" s="1565">
        <v>1110243180</v>
      </c>
      <c r="W121" s="1565">
        <v>522</v>
      </c>
    </row>
    <row r="122" spans="1:25" ht="73.5" customHeight="1">
      <c r="A122" s="1722" t="s">
        <v>2</v>
      </c>
      <c r="B122" s="1723" t="s">
        <v>222</v>
      </c>
      <c r="C122" s="726">
        <f>SUM(D122:E122)</f>
        <v>1086337.8</v>
      </c>
      <c r="D122" s="726">
        <f>SUM(D126,D123)</f>
        <v>612457.1</v>
      </c>
      <c r="E122" s="726">
        <f>SUM(E126,E123)</f>
        <v>473880.7</v>
      </c>
      <c r="F122" s="726">
        <f>SUM(G122:H122)</f>
        <v>0</v>
      </c>
      <c r="G122" s="726">
        <f>SUM(G126,G123)</f>
        <v>0</v>
      </c>
      <c r="H122" s="726">
        <f>SUM(H126,H123)</f>
        <v>0</v>
      </c>
      <c r="I122" s="726">
        <f>SUM(J122:K122)</f>
        <v>0</v>
      </c>
      <c r="J122" s="726">
        <f>SUM(J126,J123)</f>
        <v>0</v>
      </c>
      <c r="K122" s="726">
        <f>SUM(K126,K123)</f>
        <v>0</v>
      </c>
      <c r="L122" s="727">
        <f t="shared" si="20"/>
        <v>0</v>
      </c>
      <c r="M122" s="728">
        <f t="shared" si="20"/>
        <v>0</v>
      </c>
      <c r="N122" s="728">
        <f t="shared" si="20"/>
        <v>0</v>
      </c>
      <c r="O122" s="1627"/>
      <c r="Q122" s="1596" t="e">
        <f t="shared" si="35"/>
        <v>#REF!</v>
      </c>
      <c r="R122" s="1596" t="e">
        <f>SUM(#REF!,#REF!)</f>
        <v>#REF!</v>
      </c>
      <c r="S122" s="1596" t="e">
        <f>SUM(#REF!,#REF!)</f>
        <v>#REF!</v>
      </c>
      <c r="T122" s="735">
        <f t="shared" si="37"/>
        <v>1086337.8</v>
      </c>
    </row>
    <row r="123" spans="1:25" ht="35.25" customHeight="1">
      <c r="A123" s="1667" t="s">
        <v>246</v>
      </c>
      <c r="B123" s="1668" t="s">
        <v>1393</v>
      </c>
      <c r="C123" s="1669">
        <f>SUM(D123:E123)</f>
        <v>140700</v>
      </c>
      <c r="D123" s="1669">
        <f>SUM(D124:D125)</f>
        <v>0</v>
      </c>
      <c r="E123" s="1669">
        <f>SUM(E124:E125)</f>
        <v>140700</v>
      </c>
      <c r="F123" s="1669">
        <f>SUM(G123:H123)</f>
        <v>0</v>
      </c>
      <c r="G123" s="1669">
        <f>SUM(G124:G125)</f>
        <v>0</v>
      </c>
      <c r="H123" s="1669">
        <f>SUM(H124:H125)</f>
        <v>0</v>
      </c>
      <c r="I123" s="1669">
        <f>SUM(J123:K123)</f>
        <v>0</v>
      </c>
      <c r="J123" s="1669">
        <f>SUM(J124:J125)</f>
        <v>0</v>
      </c>
      <c r="K123" s="1669">
        <f>SUM(K124:K125)</f>
        <v>0</v>
      </c>
      <c r="L123" s="1670">
        <f t="shared" si="20"/>
        <v>0</v>
      </c>
      <c r="M123" s="1671">
        <f t="shared" si="20"/>
        <v>0</v>
      </c>
      <c r="N123" s="1671">
        <f t="shared" si="20"/>
        <v>0</v>
      </c>
      <c r="O123" s="1599" t="s">
        <v>353</v>
      </c>
      <c r="P123" s="1599" t="s">
        <v>353</v>
      </c>
      <c r="Q123" s="1598" t="e">
        <f t="shared" si="35"/>
        <v>#REF!</v>
      </c>
      <c r="R123" s="1598" t="e">
        <f>SUM(R126:R139,R140,#REF!,#REF!,#REF!,#REF!,#REF!,#REF!,R158,#REF!,#REF!,R162,R138,#REF!,R171)</f>
        <v>#REF!</v>
      </c>
      <c r="S123" s="1598" t="e">
        <f>SUM(S126:S139,S140,#REF!,#REF!,#REF!,#REF!,#REF!,#REF!,S158,#REF!,#REF!,S162,S138,#REF!,S171)</f>
        <v>#REF!</v>
      </c>
      <c r="T123" s="735">
        <f t="shared" si="37"/>
        <v>140700</v>
      </c>
    </row>
    <row r="124" spans="1:25" ht="25.5" customHeight="1">
      <c r="A124" s="1663"/>
      <c r="B124" s="1724" t="s">
        <v>263</v>
      </c>
      <c r="C124" s="732">
        <f>SUM(D124:E124)</f>
        <v>140000</v>
      </c>
      <c r="D124" s="739">
        <v>0</v>
      </c>
      <c r="E124" s="739">
        <v>140000</v>
      </c>
      <c r="F124" s="732">
        <f>SUM(G124:H124)</f>
        <v>0</v>
      </c>
      <c r="G124" s="536"/>
      <c r="H124" s="536"/>
      <c r="I124" s="732">
        <f>SUM(J124:K124)</f>
        <v>0</v>
      </c>
      <c r="J124" s="739"/>
      <c r="K124" s="739"/>
      <c r="L124" s="733">
        <f t="shared" si="20"/>
        <v>0</v>
      </c>
      <c r="M124" s="734">
        <f t="shared" si="20"/>
        <v>0</v>
      </c>
      <c r="N124" s="734">
        <f t="shared" si="20"/>
        <v>0</v>
      </c>
      <c r="O124" s="1627"/>
      <c r="P124" s="1628" t="s">
        <v>1103</v>
      </c>
      <c r="Q124" s="1600">
        <f>SUM(R124:S124)</f>
        <v>92075</v>
      </c>
      <c r="R124" s="1629">
        <v>0</v>
      </c>
      <c r="S124" s="1629">
        <v>92075</v>
      </c>
      <c r="T124" s="735">
        <f t="shared" si="37"/>
        <v>140000</v>
      </c>
      <c r="U124" s="1565" t="s">
        <v>1427</v>
      </c>
      <c r="V124" s="1565">
        <v>1110290400</v>
      </c>
      <c r="W124" s="1565">
        <v>414</v>
      </c>
    </row>
    <row r="125" spans="1:25" ht="41.25" customHeight="1">
      <c r="A125" s="1663"/>
      <c r="B125" s="1724" t="s">
        <v>268</v>
      </c>
      <c r="C125" s="732">
        <f>SUM(D125:E125)</f>
        <v>700</v>
      </c>
      <c r="D125" s="739">
        <v>0</v>
      </c>
      <c r="E125" s="739">
        <v>700</v>
      </c>
      <c r="F125" s="732">
        <f>SUM(G125:H125)</f>
        <v>0</v>
      </c>
      <c r="G125" s="536"/>
      <c r="H125" s="536"/>
      <c r="I125" s="732">
        <f>SUM(J125:K125)</f>
        <v>0</v>
      </c>
      <c r="J125" s="739"/>
      <c r="K125" s="739"/>
      <c r="L125" s="733">
        <f t="shared" si="20"/>
        <v>0</v>
      </c>
      <c r="M125" s="734">
        <f t="shared" si="20"/>
        <v>0</v>
      </c>
      <c r="N125" s="734">
        <f t="shared" si="20"/>
        <v>0</v>
      </c>
      <c r="O125" s="1627"/>
      <c r="P125" s="1628" t="s">
        <v>1103</v>
      </c>
      <c r="Q125" s="1600">
        <f>SUM(R125:S125)</f>
        <v>92075</v>
      </c>
      <c r="R125" s="1629">
        <v>0</v>
      </c>
      <c r="S125" s="1629">
        <v>92075</v>
      </c>
      <c r="T125" s="735">
        <f t="shared" si="37"/>
        <v>700</v>
      </c>
      <c r="U125" s="1565" t="s">
        <v>1427</v>
      </c>
      <c r="V125" s="1565">
        <v>1110290400</v>
      </c>
      <c r="W125" s="1565">
        <v>414</v>
      </c>
    </row>
    <row r="126" spans="1:25" ht="38.25" customHeight="1">
      <c r="A126" s="1667" t="s">
        <v>249</v>
      </c>
      <c r="B126" s="1668" t="s">
        <v>1394</v>
      </c>
      <c r="C126" s="1669">
        <f>SUM(D126:E126)</f>
        <v>945637.8</v>
      </c>
      <c r="D126" s="1669">
        <f t="shared" ref="D126:K126" si="38">SUM(D127,D135,D137,D139)</f>
        <v>612457.1</v>
      </c>
      <c r="E126" s="1669">
        <f t="shared" si="38"/>
        <v>333180.7</v>
      </c>
      <c r="F126" s="1669">
        <f t="shared" si="38"/>
        <v>0</v>
      </c>
      <c r="G126" s="1669">
        <f t="shared" si="38"/>
        <v>0</v>
      </c>
      <c r="H126" s="1669">
        <f t="shared" si="38"/>
        <v>0</v>
      </c>
      <c r="I126" s="1669">
        <f t="shared" si="38"/>
        <v>0</v>
      </c>
      <c r="J126" s="1669">
        <f t="shared" si="38"/>
        <v>0</v>
      </c>
      <c r="K126" s="1669">
        <f t="shared" si="38"/>
        <v>0</v>
      </c>
      <c r="L126" s="1670">
        <f t="shared" si="20"/>
        <v>0</v>
      </c>
      <c r="M126" s="1671">
        <f t="shared" si="20"/>
        <v>0</v>
      </c>
      <c r="N126" s="1671">
        <f t="shared" si="20"/>
        <v>0</v>
      </c>
      <c r="O126" s="1599" t="s">
        <v>353</v>
      </c>
      <c r="P126" s="1599" t="s">
        <v>353</v>
      </c>
      <c r="Q126" s="1598" t="e">
        <f>SUM(R126:S126)</f>
        <v>#REF!</v>
      </c>
      <c r="R126" s="1598" t="e">
        <f>SUM(#REF!,#REF!,#REF!,#REF!,#REF!,#REF!,R102,#REF!,#REF!,R71,R74,R77,#REF!,#REF!,#REF!)</f>
        <v>#REF!</v>
      </c>
      <c r="S126" s="1598" t="e">
        <f>SUM(#REF!,#REF!,#REF!,#REF!,#REF!,#REF!,S102,#REF!,#REF!,S71,S74,S77,#REF!,#REF!,#REF!)</f>
        <v>#REF!</v>
      </c>
      <c r="T126" s="735">
        <f t="shared" si="37"/>
        <v>945637.8</v>
      </c>
    </row>
    <row r="127" spans="1:25" s="1570" customFormat="1" ht="57" customHeight="1">
      <c r="A127" s="1725" t="s">
        <v>250</v>
      </c>
      <c r="B127" s="1726" t="s">
        <v>446</v>
      </c>
      <c r="C127" s="1688">
        <f t="shared" si="32"/>
        <v>609600.1</v>
      </c>
      <c r="D127" s="1727">
        <f>SUM(D128:D134)</f>
        <v>437900</v>
      </c>
      <c r="E127" s="1727">
        <f>SUM(E128:E134)</f>
        <v>171700.1</v>
      </c>
      <c r="F127" s="1688">
        <f>SUM(G127:H127)</f>
        <v>0</v>
      </c>
      <c r="G127" s="1727">
        <f>SUM(G128:G134)</f>
        <v>0</v>
      </c>
      <c r="H127" s="1727">
        <f>SUM(H128:H134)</f>
        <v>0</v>
      </c>
      <c r="I127" s="1688">
        <f>SUM(J127:K127)</f>
        <v>0</v>
      </c>
      <c r="J127" s="1727">
        <f>SUM(J128:J134)</f>
        <v>0</v>
      </c>
      <c r="K127" s="1727">
        <f>SUM(K128:K134)</f>
        <v>0</v>
      </c>
      <c r="L127" s="1719">
        <f t="shared" si="20"/>
        <v>0</v>
      </c>
      <c r="M127" s="1719">
        <f t="shared" si="20"/>
        <v>0</v>
      </c>
      <c r="N127" s="1719">
        <f t="shared" si="20"/>
        <v>0</v>
      </c>
      <c r="O127" s="1627"/>
      <c r="P127" s="1564"/>
      <c r="Q127" s="1623">
        <f t="shared" si="35"/>
        <v>732868.4</v>
      </c>
      <c r="R127" s="1630">
        <f>SUM(R128:R134)</f>
        <v>688774.9</v>
      </c>
      <c r="S127" s="1630">
        <f>SUM(S128:S134)</f>
        <v>44093.5</v>
      </c>
      <c r="T127" s="735"/>
      <c r="U127" s="1565"/>
      <c r="V127" s="1565"/>
      <c r="W127" s="1565"/>
      <c r="X127" s="1613"/>
      <c r="Y127" s="1613"/>
    </row>
    <row r="128" spans="1:25" ht="69.75" customHeight="1">
      <c r="A128" s="1663">
        <v>75</v>
      </c>
      <c r="B128" s="1551" t="s">
        <v>1497</v>
      </c>
      <c r="C128" s="732">
        <f t="shared" si="32"/>
        <v>5536.3</v>
      </c>
      <c r="D128" s="845">
        <v>5204.1000000000004</v>
      </c>
      <c r="E128" s="739">
        <v>332.2</v>
      </c>
      <c r="F128" s="814">
        <f t="shared" si="33"/>
        <v>0</v>
      </c>
      <c r="G128" s="536"/>
      <c r="H128" s="536"/>
      <c r="I128" s="814">
        <f t="shared" si="34"/>
        <v>0</v>
      </c>
      <c r="J128" s="845"/>
      <c r="K128" s="739"/>
      <c r="L128" s="746">
        <f t="shared" si="20"/>
        <v>0</v>
      </c>
      <c r="M128" s="536">
        <f t="shared" si="20"/>
        <v>0</v>
      </c>
      <c r="N128" s="536">
        <f t="shared" si="20"/>
        <v>0</v>
      </c>
      <c r="O128" s="1627"/>
      <c r="Q128" s="1600">
        <f t="shared" si="35"/>
        <v>152635.4</v>
      </c>
      <c r="R128" s="1631">
        <v>143361.29999999999</v>
      </c>
      <c r="S128" s="1629">
        <v>9274.1</v>
      </c>
      <c r="T128" s="735">
        <f t="shared" ref="T128:T136" si="39">C128-F128</f>
        <v>5536.3</v>
      </c>
      <c r="U128" s="1565" t="s">
        <v>1427</v>
      </c>
      <c r="V128" s="1565" t="s">
        <v>1012</v>
      </c>
      <c r="W128" s="1565">
        <v>414</v>
      </c>
    </row>
    <row r="129" spans="1:23" ht="69.75" customHeight="1">
      <c r="A129" s="1663">
        <v>76</v>
      </c>
      <c r="B129" s="1551" t="s">
        <v>1498</v>
      </c>
      <c r="C129" s="732">
        <f t="shared" si="32"/>
        <v>10545.6</v>
      </c>
      <c r="D129" s="845">
        <v>9912.7999999999993</v>
      </c>
      <c r="E129" s="739">
        <v>632.79999999999995</v>
      </c>
      <c r="F129" s="814">
        <f t="shared" si="33"/>
        <v>0</v>
      </c>
      <c r="G129" s="536"/>
      <c r="H129" s="536"/>
      <c r="I129" s="814">
        <f t="shared" si="34"/>
        <v>0</v>
      </c>
      <c r="J129" s="845"/>
      <c r="K129" s="739"/>
      <c r="L129" s="746">
        <f t="shared" si="20"/>
        <v>0</v>
      </c>
      <c r="M129" s="536">
        <f t="shared" si="20"/>
        <v>0</v>
      </c>
      <c r="N129" s="536">
        <f t="shared" si="20"/>
        <v>0</v>
      </c>
      <c r="O129" s="1627"/>
      <c r="Q129" s="1600">
        <f t="shared" si="35"/>
        <v>452152</v>
      </c>
      <c r="R129" s="1631">
        <v>425019.2</v>
      </c>
      <c r="S129" s="1629">
        <v>27132.799999999999</v>
      </c>
      <c r="T129" s="735">
        <f t="shared" si="39"/>
        <v>10545.6</v>
      </c>
      <c r="U129" s="1565" t="s">
        <v>1427</v>
      </c>
      <c r="V129" s="1565" t="s">
        <v>1504</v>
      </c>
      <c r="W129" s="1565">
        <v>414</v>
      </c>
    </row>
    <row r="130" spans="1:23" ht="69.75" customHeight="1">
      <c r="A130" s="1663">
        <v>77</v>
      </c>
      <c r="B130" s="1551" t="s">
        <v>1499</v>
      </c>
      <c r="C130" s="732">
        <f t="shared" si="32"/>
        <v>50668.2</v>
      </c>
      <c r="D130" s="739">
        <v>47622.1</v>
      </c>
      <c r="E130" s="739">
        <v>3046.1</v>
      </c>
      <c r="F130" s="732">
        <f t="shared" si="33"/>
        <v>0</v>
      </c>
      <c r="G130" s="536"/>
      <c r="H130" s="536"/>
      <c r="I130" s="732">
        <f t="shared" si="34"/>
        <v>0</v>
      </c>
      <c r="J130" s="739"/>
      <c r="K130" s="739"/>
      <c r="L130" s="733">
        <f t="shared" si="20"/>
        <v>0</v>
      </c>
      <c r="M130" s="734">
        <f t="shared" si="20"/>
        <v>0</v>
      </c>
      <c r="N130" s="734">
        <f t="shared" si="20"/>
        <v>0</v>
      </c>
      <c r="O130" s="1627"/>
      <c r="Q130" s="1600">
        <f t="shared" si="35"/>
        <v>50107.7</v>
      </c>
      <c r="R130" s="1629">
        <v>47101.2</v>
      </c>
      <c r="S130" s="1629">
        <v>3006.5</v>
      </c>
      <c r="T130" s="735">
        <f t="shared" si="39"/>
        <v>50668.2</v>
      </c>
      <c r="U130" s="1565" t="s">
        <v>1427</v>
      </c>
      <c r="V130" s="1565" t="s">
        <v>1014</v>
      </c>
      <c r="W130" s="1565">
        <v>414</v>
      </c>
    </row>
    <row r="131" spans="1:23" ht="69.75" customHeight="1">
      <c r="A131" s="1663">
        <v>78</v>
      </c>
      <c r="B131" s="1551" t="s">
        <v>1500</v>
      </c>
      <c r="C131" s="732">
        <f t="shared" si="32"/>
        <v>19820</v>
      </c>
      <c r="D131" s="739">
        <v>18630.8</v>
      </c>
      <c r="E131" s="739">
        <v>1189.2</v>
      </c>
      <c r="F131" s="732">
        <f t="shared" si="33"/>
        <v>0</v>
      </c>
      <c r="G131" s="536"/>
      <c r="H131" s="536"/>
      <c r="I131" s="732">
        <f t="shared" si="34"/>
        <v>0</v>
      </c>
      <c r="J131" s="739"/>
      <c r="K131" s="739"/>
      <c r="L131" s="733">
        <f t="shared" si="20"/>
        <v>0</v>
      </c>
      <c r="M131" s="734">
        <f t="shared" si="20"/>
        <v>0</v>
      </c>
      <c r="N131" s="734">
        <f t="shared" si="20"/>
        <v>0</v>
      </c>
      <c r="O131" s="1627"/>
      <c r="Q131" s="1600">
        <f t="shared" si="35"/>
        <v>24786.3</v>
      </c>
      <c r="R131" s="1629">
        <v>23299.1</v>
      </c>
      <c r="S131" s="1629">
        <v>1487.2</v>
      </c>
      <c r="T131" s="735">
        <f t="shared" si="39"/>
        <v>19820</v>
      </c>
      <c r="U131" s="1565" t="s">
        <v>1427</v>
      </c>
      <c r="V131" s="1565" t="s">
        <v>1015</v>
      </c>
      <c r="W131" s="1565">
        <v>414</v>
      </c>
    </row>
    <row r="132" spans="1:23" ht="69.75" customHeight="1">
      <c r="A132" s="1663">
        <v>79</v>
      </c>
      <c r="B132" s="1551" t="s">
        <v>1501</v>
      </c>
      <c r="C132" s="732">
        <f t="shared" si="32"/>
        <v>38330</v>
      </c>
      <c r="D132" s="739">
        <v>36030.199999999997</v>
      </c>
      <c r="E132" s="739">
        <v>2299.8000000000002</v>
      </c>
      <c r="F132" s="732">
        <f t="shared" si="33"/>
        <v>0</v>
      </c>
      <c r="G132" s="536"/>
      <c r="H132" s="536"/>
      <c r="I132" s="732">
        <f t="shared" si="34"/>
        <v>0</v>
      </c>
      <c r="J132" s="739"/>
      <c r="K132" s="739"/>
      <c r="L132" s="733">
        <f t="shared" si="20"/>
        <v>0</v>
      </c>
      <c r="M132" s="734">
        <f t="shared" si="20"/>
        <v>0</v>
      </c>
      <c r="N132" s="734">
        <f t="shared" si="20"/>
        <v>0</v>
      </c>
      <c r="O132" s="1627"/>
      <c r="Q132" s="1600">
        <f t="shared" si="35"/>
        <v>12843.6</v>
      </c>
      <c r="R132" s="1629">
        <v>12072.9</v>
      </c>
      <c r="S132" s="1629">
        <v>770.7</v>
      </c>
      <c r="T132" s="735">
        <f t="shared" si="39"/>
        <v>38330</v>
      </c>
      <c r="U132" s="1565" t="s">
        <v>1427</v>
      </c>
      <c r="V132" s="1565" t="s">
        <v>1505</v>
      </c>
      <c r="W132" s="1565">
        <v>414</v>
      </c>
    </row>
    <row r="133" spans="1:23" ht="40.5">
      <c r="A133" s="1663">
        <v>80</v>
      </c>
      <c r="B133" s="1551" t="s">
        <v>1502</v>
      </c>
      <c r="C133" s="732">
        <f t="shared" si="32"/>
        <v>122100</v>
      </c>
      <c r="D133" s="739">
        <v>114800</v>
      </c>
      <c r="E133" s="739">
        <v>7300</v>
      </c>
      <c r="F133" s="732">
        <f t="shared" si="33"/>
        <v>0</v>
      </c>
      <c r="G133" s="536"/>
      <c r="H133" s="536"/>
      <c r="I133" s="732">
        <f t="shared" si="34"/>
        <v>0</v>
      </c>
      <c r="J133" s="739"/>
      <c r="K133" s="739"/>
      <c r="L133" s="733">
        <f t="shared" si="20"/>
        <v>0</v>
      </c>
      <c r="M133" s="734">
        <f t="shared" si="20"/>
        <v>0</v>
      </c>
      <c r="N133" s="734">
        <f t="shared" si="20"/>
        <v>0</v>
      </c>
      <c r="O133" s="1627"/>
      <c r="Q133" s="1600">
        <f t="shared" si="35"/>
        <v>30843.4</v>
      </c>
      <c r="R133" s="1629">
        <v>28992.799999999999</v>
      </c>
      <c r="S133" s="1629">
        <v>1850.6</v>
      </c>
      <c r="T133" s="735">
        <f t="shared" si="39"/>
        <v>122100</v>
      </c>
      <c r="U133" s="1565" t="s">
        <v>1427</v>
      </c>
      <c r="V133" s="1565" t="s">
        <v>1008</v>
      </c>
      <c r="W133" s="1565">
        <v>414</v>
      </c>
    </row>
    <row r="134" spans="1:23" ht="45" customHeight="1">
      <c r="A134" s="1663">
        <v>81</v>
      </c>
      <c r="B134" s="1728" t="s">
        <v>1503</v>
      </c>
      <c r="C134" s="732">
        <f t="shared" si="32"/>
        <v>362600</v>
      </c>
      <c r="D134" s="739">
        <v>205700</v>
      </c>
      <c r="E134" s="739">
        <v>156900</v>
      </c>
      <c r="F134" s="732">
        <f t="shared" si="33"/>
        <v>0</v>
      </c>
      <c r="G134" s="536"/>
      <c r="H134" s="536"/>
      <c r="I134" s="732">
        <f t="shared" si="34"/>
        <v>0</v>
      </c>
      <c r="J134" s="739"/>
      <c r="K134" s="739"/>
      <c r="L134" s="733">
        <f t="shared" si="20"/>
        <v>0</v>
      </c>
      <c r="M134" s="734">
        <f t="shared" si="20"/>
        <v>0</v>
      </c>
      <c r="N134" s="734">
        <f t="shared" si="20"/>
        <v>0</v>
      </c>
      <c r="O134" s="1627"/>
      <c r="Q134" s="1600">
        <f t="shared" si="35"/>
        <v>9500</v>
      </c>
      <c r="R134" s="1629">
        <v>8928.4</v>
      </c>
      <c r="S134" s="1629">
        <v>571.6</v>
      </c>
      <c r="T134" s="735">
        <f t="shared" si="39"/>
        <v>362600</v>
      </c>
      <c r="U134" s="1565" t="s">
        <v>1427</v>
      </c>
      <c r="V134" s="1565" t="s">
        <v>1506</v>
      </c>
      <c r="W134" s="1565">
        <v>414</v>
      </c>
    </row>
    <row r="135" spans="1:23" ht="76.5" customHeight="1">
      <c r="A135" s="1725" t="s">
        <v>251</v>
      </c>
      <c r="B135" s="1729" t="s">
        <v>1514</v>
      </c>
      <c r="C135" s="1688">
        <f t="shared" si="32"/>
        <v>63829.8</v>
      </c>
      <c r="D135" s="1688">
        <f>D136</f>
        <v>60000</v>
      </c>
      <c r="E135" s="1688">
        <f>E136</f>
        <v>3829.8</v>
      </c>
      <c r="F135" s="1688">
        <f t="shared" si="33"/>
        <v>0</v>
      </c>
      <c r="G135" s="1688">
        <f>G136</f>
        <v>0</v>
      </c>
      <c r="H135" s="1688">
        <f>H136</f>
        <v>0</v>
      </c>
      <c r="I135" s="1688">
        <f t="shared" si="34"/>
        <v>0</v>
      </c>
      <c r="J135" s="1688">
        <f>J136</f>
        <v>0</v>
      </c>
      <c r="K135" s="1688">
        <f>K136</f>
        <v>0</v>
      </c>
      <c r="L135" s="1730">
        <f t="shared" si="20"/>
        <v>0</v>
      </c>
      <c r="M135" s="1731">
        <f t="shared" si="20"/>
        <v>0</v>
      </c>
      <c r="N135" s="1731">
        <f t="shared" si="20"/>
        <v>0</v>
      </c>
      <c r="O135" s="1627"/>
      <c r="Q135" s="1632">
        <f t="shared" si="35"/>
        <v>60106.400000000001</v>
      </c>
      <c r="R135" s="1633">
        <f>R136</f>
        <v>56500</v>
      </c>
      <c r="S135" s="1633">
        <f>S136</f>
        <v>3606.4</v>
      </c>
      <c r="T135" s="735">
        <f t="shared" si="39"/>
        <v>63829.8</v>
      </c>
    </row>
    <row r="136" spans="1:23" ht="44.25" customHeight="1">
      <c r="A136" s="1663">
        <v>82</v>
      </c>
      <c r="B136" s="1732" t="s">
        <v>623</v>
      </c>
      <c r="C136" s="732">
        <f t="shared" si="32"/>
        <v>63829.8</v>
      </c>
      <c r="D136" s="845">
        <v>60000</v>
      </c>
      <c r="E136" s="739">
        <v>3829.8</v>
      </c>
      <c r="F136" s="732">
        <f t="shared" si="33"/>
        <v>0</v>
      </c>
      <c r="G136" s="536"/>
      <c r="H136" s="536"/>
      <c r="I136" s="814">
        <f t="shared" si="34"/>
        <v>0</v>
      </c>
      <c r="J136" s="845"/>
      <c r="K136" s="739"/>
      <c r="L136" s="746">
        <f t="shared" si="20"/>
        <v>0</v>
      </c>
      <c r="M136" s="536">
        <f t="shared" si="20"/>
        <v>0</v>
      </c>
      <c r="N136" s="536">
        <f t="shared" si="20"/>
        <v>0</v>
      </c>
      <c r="O136" s="1627"/>
      <c r="Q136" s="1600">
        <f t="shared" si="35"/>
        <v>60106.400000000001</v>
      </c>
      <c r="R136" s="1631">
        <v>56500</v>
      </c>
      <c r="S136" s="1629">
        <v>3606.4</v>
      </c>
      <c r="T136" s="735">
        <f t="shared" si="39"/>
        <v>63829.8</v>
      </c>
      <c r="U136" s="1565" t="s">
        <v>1427</v>
      </c>
      <c r="V136" s="1565" t="s">
        <v>1507</v>
      </c>
      <c r="W136" s="1565">
        <v>414</v>
      </c>
    </row>
    <row r="137" spans="1:23" ht="92.25" customHeight="1">
      <c r="A137" s="1725" t="s">
        <v>1515</v>
      </c>
      <c r="B137" s="1729" t="s">
        <v>1508</v>
      </c>
      <c r="C137" s="1688">
        <f t="shared" si="32"/>
        <v>268070.59999999998</v>
      </c>
      <c r="D137" s="1688">
        <f>D138</f>
        <v>114557.1</v>
      </c>
      <c r="E137" s="1688">
        <f>E138</f>
        <v>153513.5</v>
      </c>
      <c r="F137" s="1688">
        <f t="shared" si="33"/>
        <v>0</v>
      </c>
      <c r="G137" s="1688">
        <f>G138</f>
        <v>0</v>
      </c>
      <c r="H137" s="1688">
        <f>H138</f>
        <v>0</v>
      </c>
      <c r="I137" s="1688">
        <f t="shared" si="34"/>
        <v>0</v>
      </c>
      <c r="J137" s="1688">
        <f>J138</f>
        <v>0</v>
      </c>
      <c r="K137" s="1688">
        <f>K138</f>
        <v>0</v>
      </c>
      <c r="L137" s="1719">
        <f t="shared" si="20"/>
        <v>0</v>
      </c>
      <c r="M137" s="1719">
        <f t="shared" si="20"/>
        <v>0</v>
      </c>
      <c r="N137" s="1719">
        <f t="shared" si="20"/>
        <v>0</v>
      </c>
      <c r="O137" s="1627"/>
      <c r="Q137" s="1634" t="e">
        <f>SUM(R137:S137)</f>
        <v>#REF!</v>
      </c>
      <c r="R137" s="1635" t="e">
        <f>R138+#REF!</f>
        <v>#REF!</v>
      </c>
      <c r="S137" s="1635">
        <v>0</v>
      </c>
      <c r="T137" s="735"/>
    </row>
    <row r="138" spans="1:23" ht="90.75" customHeight="1">
      <c r="A138" s="1663">
        <v>83</v>
      </c>
      <c r="B138" s="1551" t="s">
        <v>1509</v>
      </c>
      <c r="C138" s="732">
        <f>SUM(D138:E138)</f>
        <v>268070.59999999998</v>
      </c>
      <c r="D138" s="845">
        <v>114557.1</v>
      </c>
      <c r="E138" s="739">
        <v>153513.5</v>
      </c>
      <c r="F138" s="814">
        <f>SUM(G138:H138)</f>
        <v>0</v>
      </c>
      <c r="G138" s="536"/>
      <c r="H138" s="536"/>
      <c r="I138" s="814">
        <f>SUM(J138:K138)</f>
        <v>0</v>
      </c>
      <c r="J138" s="845"/>
      <c r="K138" s="739">
        <v>0</v>
      </c>
      <c r="L138" s="746">
        <f t="shared" si="20"/>
        <v>0</v>
      </c>
      <c r="M138" s="536">
        <f t="shared" si="20"/>
        <v>0</v>
      </c>
      <c r="N138" s="536">
        <f t="shared" si="20"/>
        <v>0</v>
      </c>
      <c r="O138" s="1627"/>
      <c r="Q138" s="1600">
        <f>SUM(R138:S138)</f>
        <v>300000</v>
      </c>
      <c r="R138" s="1631">
        <v>300000</v>
      </c>
      <c r="S138" s="1629">
        <v>0</v>
      </c>
      <c r="T138" s="735"/>
      <c r="U138" s="1565" t="s">
        <v>1427</v>
      </c>
      <c r="V138" s="1565" t="s">
        <v>1510</v>
      </c>
      <c r="W138" s="1565">
        <v>414</v>
      </c>
    </row>
    <row r="139" spans="1:23" ht="96" customHeight="1">
      <c r="A139" s="1686" t="s">
        <v>1516</v>
      </c>
      <c r="B139" s="1687" t="s">
        <v>1513</v>
      </c>
      <c r="C139" s="1688">
        <f>SUM(D139:E139)</f>
        <v>4137.3</v>
      </c>
      <c r="D139" s="1688">
        <f>D140</f>
        <v>0</v>
      </c>
      <c r="E139" s="1688">
        <f>E140</f>
        <v>4137.3</v>
      </c>
      <c r="F139" s="1688">
        <f>SUM(G139:H139)</f>
        <v>0</v>
      </c>
      <c r="G139" s="1688">
        <f>G140</f>
        <v>0</v>
      </c>
      <c r="H139" s="1688">
        <f>H140</f>
        <v>0</v>
      </c>
      <c r="I139" s="1688">
        <f>SUM(J139:K139)</f>
        <v>0</v>
      </c>
      <c r="J139" s="1688">
        <f>J140</f>
        <v>0</v>
      </c>
      <c r="K139" s="1688">
        <f>K140</f>
        <v>0</v>
      </c>
      <c r="L139" s="1719">
        <f t="shared" si="20"/>
        <v>0</v>
      </c>
      <c r="M139" s="1719">
        <f t="shared" si="20"/>
        <v>0</v>
      </c>
      <c r="N139" s="1719">
        <f t="shared" si="20"/>
        <v>0</v>
      </c>
      <c r="O139" s="1593"/>
      <c r="P139" s="1593"/>
      <c r="Q139" s="1623" t="e">
        <f t="shared" ref="Q139:Q147" si="40">SUM(R139:S139)</f>
        <v>#REF!</v>
      </c>
      <c r="R139" s="1623" t="e">
        <f>SUM(R140:R156)</f>
        <v>#REF!</v>
      </c>
      <c r="S139" s="1623" t="e">
        <f>SUM(S140:S156)</f>
        <v>#REF!</v>
      </c>
      <c r="T139" s="735">
        <f>C139-F139</f>
        <v>4137.3</v>
      </c>
    </row>
    <row r="140" spans="1:23" ht="60.75" customHeight="1">
      <c r="A140" s="1698" t="s">
        <v>745</v>
      </c>
      <c r="B140" s="1551" t="s">
        <v>1511</v>
      </c>
      <c r="C140" s="732">
        <f>SUM(D140:E140)</f>
        <v>4137.3</v>
      </c>
      <c r="D140" s="1676"/>
      <c r="E140" s="1676">
        <v>4137.3</v>
      </c>
      <c r="F140" s="814">
        <f>SUM(G140:H140)</f>
        <v>0</v>
      </c>
      <c r="G140" s="536"/>
      <c r="H140" s="536"/>
      <c r="I140" s="814">
        <f>SUM(J140:K140)</f>
        <v>0</v>
      </c>
      <c r="J140" s="701"/>
      <c r="K140" s="701"/>
      <c r="L140" s="746">
        <f t="shared" si="20"/>
        <v>0</v>
      </c>
      <c r="M140" s="536">
        <f t="shared" si="20"/>
        <v>0</v>
      </c>
      <c r="N140" s="536">
        <f t="shared" si="20"/>
        <v>0</v>
      </c>
      <c r="O140" s="1593" t="s">
        <v>1290</v>
      </c>
      <c r="P140" s="1593" t="s">
        <v>1240</v>
      </c>
      <c r="Q140" s="1600">
        <f t="shared" si="40"/>
        <v>800</v>
      </c>
      <c r="R140" s="1608">
        <v>0</v>
      </c>
      <c r="S140" s="1608">
        <v>800</v>
      </c>
      <c r="T140" s="735">
        <f>C140-F140</f>
        <v>4137.3</v>
      </c>
      <c r="U140" s="1565" t="s">
        <v>1429</v>
      </c>
      <c r="V140" s="1565" t="s">
        <v>1512</v>
      </c>
      <c r="W140" s="1565">
        <v>414</v>
      </c>
    </row>
    <row r="141" spans="1:23" ht="54.75" customHeight="1">
      <c r="A141" s="2558" t="s">
        <v>1421</v>
      </c>
      <c r="B141" s="2558"/>
      <c r="C141" s="722">
        <f>SUM(D141:E141)</f>
        <v>27000</v>
      </c>
      <c r="D141" s="722">
        <f>D142</f>
        <v>0</v>
      </c>
      <c r="E141" s="722">
        <f>SUM(E142)</f>
        <v>27000</v>
      </c>
      <c r="F141" s="722">
        <f>SUM(G141:H141)</f>
        <v>0</v>
      </c>
      <c r="G141" s="722">
        <f>SUM(G142)</f>
        <v>0</v>
      </c>
      <c r="H141" s="722">
        <f>SUM(H142)</f>
        <v>0</v>
      </c>
      <c r="I141" s="722">
        <f>SUM(J141:K141)</f>
        <v>0</v>
      </c>
      <c r="J141" s="722">
        <f>SUM(J142)</f>
        <v>0</v>
      </c>
      <c r="K141" s="722">
        <f>SUM(K142)</f>
        <v>0</v>
      </c>
      <c r="L141" s="723">
        <f t="shared" ref="L141:N150" si="41">IF(I141=0,0,I141/F141*100)</f>
        <v>0</v>
      </c>
      <c r="M141" s="724">
        <f t="shared" si="41"/>
        <v>0</v>
      </c>
      <c r="N141" s="724">
        <f t="shared" si="41"/>
        <v>0</v>
      </c>
      <c r="O141" s="1627"/>
      <c r="P141" s="1628" t="s">
        <v>1104</v>
      </c>
      <c r="Q141" s="1594" t="e">
        <f t="shared" si="40"/>
        <v>#REF!</v>
      </c>
      <c r="R141" s="1594" t="e">
        <f>SUM(#REF!,R151)</f>
        <v>#REF!</v>
      </c>
      <c r="S141" s="1594" t="e">
        <f>SUM(#REF!,S151)</f>
        <v>#REF!</v>
      </c>
      <c r="T141" s="735">
        <f>C141-F141</f>
        <v>27000</v>
      </c>
    </row>
    <row r="142" spans="1:23" ht="101.25" customHeight="1">
      <c r="A142" s="1665" t="s">
        <v>6</v>
      </c>
      <c r="B142" s="1666" t="s">
        <v>439</v>
      </c>
      <c r="C142" s="726">
        <f>SUM(D142:E142)</f>
        <v>27000</v>
      </c>
      <c r="D142" s="726">
        <f>D143</f>
        <v>0</v>
      </c>
      <c r="E142" s="726">
        <f>SUM(E143)</f>
        <v>27000</v>
      </c>
      <c r="F142" s="726">
        <f t="shared" si="33"/>
        <v>0</v>
      </c>
      <c r="G142" s="726">
        <f>SUM(G143)</f>
        <v>0</v>
      </c>
      <c r="H142" s="726">
        <f>SUM(H143)</f>
        <v>0</v>
      </c>
      <c r="I142" s="726">
        <f t="shared" si="34"/>
        <v>0</v>
      </c>
      <c r="J142" s="726">
        <f>SUM(J143)</f>
        <v>0</v>
      </c>
      <c r="K142" s="726">
        <f>SUM(K143)</f>
        <v>0</v>
      </c>
      <c r="L142" s="727">
        <f t="shared" si="41"/>
        <v>0</v>
      </c>
      <c r="M142" s="728">
        <f t="shared" si="41"/>
        <v>0</v>
      </c>
      <c r="N142" s="728">
        <f t="shared" si="41"/>
        <v>0</v>
      </c>
      <c r="O142" s="1597" t="s">
        <v>353</v>
      </c>
      <c r="P142" s="1597" t="s">
        <v>353</v>
      </c>
      <c r="Q142" s="1596" t="e">
        <f t="shared" si="40"/>
        <v>#REF!</v>
      </c>
      <c r="R142" s="1596" t="e">
        <f>SUM(R143)</f>
        <v>#REF!</v>
      </c>
      <c r="S142" s="1596" t="e">
        <f>SUM(S143)</f>
        <v>#REF!</v>
      </c>
      <c r="T142" s="735">
        <f>C142-F142</f>
        <v>27000</v>
      </c>
    </row>
    <row r="143" spans="1:23" ht="36.75" customHeight="1">
      <c r="A143" s="1733" t="s">
        <v>253</v>
      </c>
      <c r="B143" s="1711" t="s">
        <v>1393</v>
      </c>
      <c r="C143" s="729">
        <f t="shared" si="32"/>
        <v>27000</v>
      </c>
      <c r="D143" s="729">
        <f>SUM(D146,D144,D149)</f>
        <v>0</v>
      </c>
      <c r="E143" s="729">
        <f>SUM(E146,E144,E149)</f>
        <v>27000</v>
      </c>
      <c r="F143" s="729">
        <f t="shared" si="33"/>
        <v>0</v>
      </c>
      <c r="G143" s="729">
        <f>SUM(G146,G144,G149)</f>
        <v>0</v>
      </c>
      <c r="H143" s="729">
        <f>SUM(H146,H144,H149)</f>
        <v>0</v>
      </c>
      <c r="I143" s="729">
        <f t="shared" si="34"/>
        <v>0</v>
      </c>
      <c r="J143" s="729">
        <f>SUM(J146,J144,J149)</f>
        <v>0</v>
      </c>
      <c r="K143" s="729">
        <f>SUM(K146,K144,K149)</f>
        <v>0</v>
      </c>
      <c r="L143" s="730">
        <f t="shared" si="41"/>
        <v>0</v>
      </c>
      <c r="M143" s="731">
        <f t="shared" si="41"/>
        <v>0</v>
      </c>
      <c r="N143" s="731">
        <f t="shared" si="41"/>
        <v>0</v>
      </c>
      <c r="O143" s="1599" t="s">
        <v>353</v>
      </c>
      <c r="P143" s="1599" t="s">
        <v>353</v>
      </c>
      <c r="Q143" s="1598" t="e">
        <f t="shared" si="40"/>
        <v>#REF!</v>
      </c>
      <c r="R143" s="1598" t="e">
        <f>SUM(R144:R166,R167,R170,#REF!,R172,R162,R174,R184,R187,#REF!,#REF!,R191,R160,#REF!,R200)</f>
        <v>#REF!</v>
      </c>
      <c r="S143" s="1598" t="e">
        <f>SUM(S144:S166,S167,S170,#REF!,S172,S162,S174,S184,S187,#REF!,#REF!,S191,S160,#REF!,S200)</f>
        <v>#REF!</v>
      </c>
      <c r="T143" s="735">
        <f>C143-F143</f>
        <v>27000</v>
      </c>
    </row>
    <row r="144" spans="1:23" ht="20.25">
      <c r="A144" s="1672"/>
      <c r="B144" s="1673" t="s">
        <v>68</v>
      </c>
      <c r="C144" s="814">
        <f>SUM(D144:E144)</f>
        <v>2500</v>
      </c>
      <c r="D144" s="539">
        <f>SUM(D145)</f>
        <v>0</v>
      </c>
      <c r="E144" s="539">
        <f>SUM(E145)</f>
        <v>2500</v>
      </c>
      <c r="F144" s="814">
        <f>SUM(G144:H144)</f>
        <v>0</v>
      </c>
      <c r="G144" s="539">
        <f>SUM(G145)</f>
        <v>0</v>
      </c>
      <c r="H144" s="539">
        <f>SUM(H145)</f>
        <v>0</v>
      </c>
      <c r="I144" s="814">
        <f>SUM(J144:K144)</f>
        <v>0</v>
      </c>
      <c r="J144" s="539">
        <f>SUM(J145)</f>
        <v>0</v>
      </c>
      <c r="K144" s="539">
        <f>SUM(K145)</f>
        <v>0</v>
      </c>
      <c r="L144" s="746">
        <f t="shared" si="41"/>
        <v>0</v>
      </c>
      <c r="M144" s="536">
        <f t="shared" si="41"/>
        <v>0</v>
      </c>
      <c r="N144" s="536">
        <f t="shared" si="41"/>
        <v>0</v>
      </c>
      <c r="O144" s="1627"/>
      <c r="Q144" s="1602">
        <f>SUM(R144:S144)</f>
        <v>2848</v>
      </c>
      <c r="R144" s="1603">
        <v>0</v>
      </c>
      <c r="S144" s="1603">
        <v>2848</v>
      </c>
      <c r="T144" s="735"/>
    </row>
    <row r="145" spans="1:25" ht="49.5" customHeight="1">
      <c r="A145" s="1672" t="s">
        <v>746</v>
      </c>
      <c r="B145" s="1732" t="s">
        <v>1422</v>
      </c>
      <c r="C145" s="814">
        <f>SUM(D145:E145)</f>
        <v>2500</v>
      </c>
      <c r="D145" s="701">
        <v>0</v>
      </c>
      <c r="E145" s="701">
        <v>2500</v>
      </c>
      <c r="F145" s="814">
        <f>SUM(G145:H145)</f>
        <v>0</v>
      </c>
      <c r="G145" s="536"/>
      <c r="H145" s="536"/>
      <c r="I145" s="814">
        <f>SUM(J145:K145)</f>
        <v>0</v>
      </c>
      <c r="J145" s="1677"/>
      <c r="K145" s="1677"/>
      <c r="L145" s="746">
        <f t="shared" si="41"/>
        <v>0</v>
      </c>
      <c r="M145" s="536">
        <f t="shared" si="41"/>
        <v>0</v>
      </c>
      <c r="N145" s="536">
        <f t="shared" si="41"/>
        <v>0</v>
      </c>
      <c r="O145" s="1627"/>
      <c r="Q145" s="1602">
        <f>SUM(R145:S145)</f>
        <v>2848</v>
      </c>
      <c r="R145" s="1616">
        <v>0</v>
      </c>
      <c r="S145" s="1616">
        <v>2848</v>
      </c>
      <c r="T145" s="735">
        <f>C145-F145</f>
        <v>2500</v>
      </c>
      <c r="U145" s="1565">
        <v>1102</v>
      </c>
      <c r="V145" s="1565" t="s">
        <v>1426</v>
      </c>
      <c r="W145" s="1565">
        <v>522</v>
      </c>
    </row>
    <row r="146" spans="1:25" ht="20.25">
      <c r="A146" s="1672"/>
      <c r="B146" s="1673" t="s">
        <v>457</v>
      </c>
      <c r="C146" s="814">
        <f>SUM(D146:E146)</f>
        <v>10000</v>
      </c>
      <c r="D146" s="539">
        <f>SUM(D147)</f>
        <v>0</v>
      </c>
      <c r="E146" s="539">
        <f>SUM(E147)</f>
        <v>10000</v>
      </c>
      <c r="F146" s="814">
        <f>SUM(G146:H146)</f>
        <v>0</v>
      </c>
      <c r="G146" s="539">
        <f>SUM(G147)</f>
        <v>0</v>
      </c>
      <c r="H146" s="539">
        <f>SUM(H147)</f>
        <v>0</v>
      </c>
      <c r="I146" s="814">
        <f>SUM(J146:K146)</f>
        <v>0</v>
      </c>
      <c r="J146" s="539">
        <f>SUM(J147)</f>
        <v>0</v>
      </c>
      <c r="K146" s="539">
        <f>SUM(K147)</f>
        <v>0</v>
      </c>
      <c r="L146" s="746">
        <f t="shared" si="41"/>
        <v>0</v>
      </c>
      <c r="M146" s="536">
        <f t="shared" si="41"/>
        <v>0</v>
      </c>
      <c r="N146" s="536">
        <f t="shared" si="41"/>
        <v>0</v>
      </c>
      <c r="O146" s="1627"/>
      <c r="Q146" s="1602">
        <f t="shared" si="40"/>
        <v>2848</v>
      </c>
      <c r="R146" s="1603">
        <v>0</v>
      </c>
      <c r="S146" s="1603">
        <v>2848</v>
      </c>
      <c r="T146" s="735"/>
    </row>
    <row r="147" spans="1:25" ht="101.25">
      <c r="A147" s="1672" t="s">
        <v>747</v>
      </c>
      <c r="B147" s="1732" t="s">
        <v>1424</v>
      </c>
      <c r="C147" s="814">
        <f t="shared" si="32"/>
        <v>10000</v>
      </c>
      <c r="D147" s="701">
        <v>0</v>
      </c>
      <c r="E147" s="701">
        <v>10000</v>
      </c>
      <c r="F147" s="814">
        <f t="shared" si="33"/>
        <v>0</v>
      </c>
      <c r="G147" s="536"/>
      <c r="H147" s="536"/>
      <c r="I147" s="814">
        <f t="shared" si="34"/>
        <v>0</v>
      </c>
      <c r="J147" s="1677"/>
      <c r="K147" s="1677"/>
      <c r="L147" s="746">
        <f t="shared" si="41"/>
        <v>0</v>
      </c>
      <c r="M147" s="536">
        <f t="shared" si="41"/>
        <v>0</v>
      </c>
      <c r="N147" s="536">
        <f t="shared" si="41"/>
        <v>0</v>
      </c>
      <c r="O147" s="1627"/>
      <c r="Q147" s="1602">
        <f t="shared" si="40"/>
        <v>2848</v>
      </c>
      <c r="R147" s="1616">
        <v>0</v>
      </c>
      <c r="S147" s="1616">
        <v>2848</v>
      </c>
      <c r="T147" s="735">
        <f>C147-F147</f>
        <v>10000</v>
      </c>
      <c r="U147" s="1565">
        <v>1103</v>
      </c>
      <c r="V147" s="1565" t="s">
        <v>1425</v>
      </c>
      <c r="W147" s="1565">
        <v>522</v>
      </c>
    </row>
    <row r="148" spans="1:25" ht="40.5" customHeight="1">
      <c r="A148" s="1667" t="s">
        <v>254</v>
      </c>
      <c r="B148" s="1668" t="s">
        <v>1394</v>
      </c>
      <c r="C148" s="1669">
        <f>SUM(D148:E148)</f>
        <v>14500</v>
      </c>
      <c r="D148" s="1669">
        <f>D149</f>
        <v>0</v>
      </c>
      <c r="E148" s="1669">
        <f>E149</f>
        <v>14500</v>
      </c>
      <c r="F148" s="1669">
        <f>SUM(G148:H148)</f>
        <v>0</v>
      </c>
      <c r="G148" s="1669">
        <f>G149</f>
        <v>0</v>
      </c>
      <c r="H148" s="1669">
        <f>H149</f>
        <v>0</v>
      </c>
      <c r="I148" s="1669">
        <f>SUM(J148:K148)</f>
        <v>0</v>
      </c>
      <c r="J148" s="1669">
        <f>J149</f>
        <v>0</v>
      </c>
      <c r="K148" s="1669">
        <f>K149</f>
        <v>0</v>
      </c>
      <c r="L148" s="1670">
        <f t="shared" si="41"/>
        <v>0</v>
      </c>
      <c r="M148" s="1671">
        <f t="shared" si="41"/>
        <v>0</v>
      </c>
      <c r="N148" s="1671">
        <f t="shared" si="41"/>
        <v>0</v>
      </c>
      <c r="O148" s="1599" t="s">
        <v>353</v>
      </c>
      <c r="P148" s="1599" t="s">
        <v>353</v>
      </c>
      <c r="Q148" s="1598" t="e">
        <f>SUM(R148:S148)</f>
        <v>#REF!</v>
      </c>
      <c r="R148" s="1598" t="e">
        <f>SUM(#REF!,#REF!,R97,#REF!,#REF!,#REF!,R119,#REF!,#REF!,R90,R93,R96,#REF!,#REF!,#REF!)</f>
        <v>#REF!</v>
      </c>
      <c r="S148" s="1598" t="e">
        <f>SUM(#REF!,#REF!,S97,#REF!,#REF!,#REF!,S119,#REF!,#REF!,S90,S93,S96,#REF!,#REF!,#REF!)</f>
        <v>#REF!</v>
      </c>
      <c r="T148" s="735">
        <f>C148-F148</f>
        <v>14500</v>
      </c>
    </row>
    <row r="149" spans="1:25" ht="20.25">
      <c r="A149" s="1672"/>
      <c r="B149" s="1673" t="s">
        <v>615</v>
      </c>
      <c r="C149" s="814">
        <f>SUM(D149:E149)</f>
        <v>14500</v>
      </c>
      <c r="D149" s="539">
        <f>SUM(D150)</f>
        <v>0</v>
      </c>
      <c r="E149" s="539">
        <f>SUM(E150)</f>
        <v>14500</v>
      </c>
      <c r="F149" s="814">
        <f>SUM(G149:H149)</f>
        <v>0</v>
      </c>
      <c r="G149" s="539">
        <f>SUM(G150)</f>
        <v>0</v>
      </c>
      <c r="H149" s="539">
        <f>SUM(H150)</f>
        <v>0</v>
      </c>
      <c r="I149" s="814">
        <f>SUM(J149:K149)</f>
        <v>0</v>
      </c>
      <c r="J149" s="539">
        <f>SUM(J150)</f>
        <v>0</v>
      </c>
      <c r="K149" s="539">
        <f>SUM(K150)</f>
        <v>0</v>
      </c>
      <c r="L149" s="746">
        <f t="shared" si="41"/>
        <v>0</v>
      </c>
      <c r="M149" s="536">
        <f t="shared" si="41"/>
        <v>0</v>
      </c>
      <c r="N149" s="536">
        <f t="shared" si="41"/>
        <v>0</v>
      </c>
      <c r="O149" s="1627"/>
      <c r="Q149" s="1602">
        <f>SUM(R149:S149)</f>
        <v>2848</v>
      </c>
      <c r="R149" s="1603">
        <v>0</v>
      </c>
      <c r="S149" s="1603">
        <v>2848</v>
      </c>
      <c r="T149" s="735"/>
    </row>
    <row r="150" spans="1:25" ht="21.75" customHeight="1">
      <c r="A150" s="1672" t="s">
        <v>748</v>
      </c>
      <c r="B150" s="1732" t="s">
        <v>1423</v>
      </c>
      <c r="C150" s="814">
        <f>SUM(D150:E150)</f>
        <v>14500</v>
      </c>
      <c r="D150" s="701">
        <v>0</v>
      </c>
      <c r="E150" s="701">
        <v>14500</v>
      </c>
      <c r="F150" s="814">
        <f>SUM(G150:H150)</f>
        <v>0</v>
      </c>
      <c r="G150" s="536"/>
      <c r="H150" s="536"/>
      <c r="I150" s="814">
        <f>SUM(J150:K150)</f>
        <v>0</v>
      </c>
      <c r="J150" s="1677"/>
      <c r="K150" s="1677"/>
      <c r="L150" s="746">
        <f>IF(I150=0,0,I150/F150*100)</f>
        <v>0</v>
      </c>
      <c r="M150" s="536">
        <f t="shared" si="41"/>
        <v>0</v>
      </c>
      <c r="N150" s="536">
        <f t="shared" si="41"/>
        <v>0</v>
      </c>
      <c r="O150" s="1627"/>
      <c r="Q150" s="1602">
        <f>SUM(R150:S150)</f>
        <v>2848</v>
      </c>
      <c r="R150" s="1616">
        <v>0</v>
      </c>
      <c r="S150" s="1616">
        <v>2848</v>
      </c>
      <c r="T150" s="735">
        <f>C150-F150</f>
        <v>14500</v>
      </c>
      <c r="U150" s="1565">
        <v>1102</v>
      </c>
      <c r="V150" s="1565" t="s">
        <v>1426</v>
      </c>
      <c r="W150" s="1565">
        <v>522</v>
      </c>
    </row>
    <row r="151" spans="1:25" ht="52.5" customHeight="1">
      <c r="A151" s="1734"/>
      <c r="B151" s="1735"/>
      <c r="C151" s="1736"/>
      <c r="D151" s="1737"/>
      <c r="E151" s="1737"/>
      <c r="F151" s="1736"/>
      <c r="G151" s="1737"/>
      <c r="H151" s="1737"/>
      <c r="I151" s="1736"/>
      <c r="J151" s="1738"/>
      <c r="K151" s="1738"/>
      <c r="L151" s="1739"/>
      <c r="M151" s="1740"/>
      <c r="N151" s="1740"/>
      <c r="O151" s="1627"/>
      <c r="Q151" s="1636"/>
      <c r="R151" s="1637"/>
      <c r="S151" s="1637"/>
      <c r="T151" s="735">
        <f>C151-F151</f>
        <v>0</v>
      </c>
    </row>
    <row r="152" spans="1:25" ht="37.5" customHeight="1">
      <c r="A152" s="2559" t="s">
        <v>432</v>
      </c>
      <c r="B152" s="2559"/>
      <c r="C152" s="1741"/>
      <c r="D152" s="1742"/>
      <c r="E152" s="1742"/>
      <c r="F152" s="1741"/>
      <c r="G152" s="1742"/>
      <c r="H152" s="1742"/>
      <c r="I152" s="1743"/>
      <c r="J152" s="1744"/>
      <c r="K152" s="1744"/>
      <c r="L152" s="1745"/>
      <c r="M152" s="1746"/>
      <c r="N152" s="1746"/>
      <c r="O152" s="1659"/>
      <c r="Q152" s="1639"/>
      <c r="R152" s="1638"/>
      <c r="S152" s="1638"/>
      <c r="T152" s="735">
        <f>C152-F152</f>
        <v>0</v>
      </c>
    </row>
    <row r="153" spans="1:25" ht="24.75" customHeight="1">
      <c r="A153" s="2554" t="s">
        <v>1520</v>
      </c>
      <c r="B153" s="2555"/>
      <c r="C153" s="801">
        <f>SUM(D153:E153)</f>
        <v>3010592.7</v>
      </c>
      <c r="D153" s="802">
        <f>SUM(D50,D80)</f>
        <v>2270166.7999999998</v>
      </c>
      <c r="E153" s="802">
        <f>SUM(E50,E80)</f>
        <v>740425.9</v>
      </c>
      <c r="F153" s="801">
        <f>SUM(G153:H153)</f>
        <v>0</v>
      </c>
      <c r="G153" s="802">
        <f>SUM(G50,G80)</f>
        <v>0</v>
      </c>
      <c r="H153" s="802">
        <f>SUM(H50,H80)</f>
        <v>0</v>
      </c>
      <c r="I153" s="801">
        <f>SUM(J153:K153)</f>
        <v>0</v>
      </c>
      <c r="J153" s="802">
        <f>SUM(J50,J80)</f>
        <v>0</v>
      </c>
      <c r="K153" s="802">
        <f>SUM(K50,K80)</f>
        <v>0</v>
      </c>
      <c r="L153" s="801">
        <f t="shared" ref="L153:N157" si="42">IF(I153=0,0,I153/F153*100)</f>
        <v>0</v>
      </c>
      <c r="M153" s="802">
        <f t="shared" si="42"/>
        <v>0</v>
      </c>
      <c r="N153" s="802">
        <f t="shared" si="42"/>
        <v>0</v>
      </c>
      <c r="O153" s="1627"/>
      <c r="Q153" s="1620" t="e">
        <f>SUM(R153:S153)</f>
        <v>#REF!</v>
      </c>
      <c r="R153" s="1619" t="e">
        <f>SUM(#REF!,#REF!,R83,R82,#REF!,#REF!,#REF!)-12300.3</f>
        <v>#REF!</v>
      </c>
      <c r="S153" s="1609" t="e">
        <f>SUM(#REF!,#REF!,S83,S82,#REF!,#REF!,#REF!)</f>
        <v>#REF!</v>
      </c>
      <c r="T153" s="735">
        <f>C153-F153</f>
        <v>3010592.7</v>
      </c>
    </row>
    <row r="154" spans="1:25" ht="51.75" customHeight="1">
      <c r="A154" s="1747"/>
      <c r="B154" s="1752" t="s">
        <v>1521</v>
      </c>
      <c r="C154" s="801">
        <f>SUM(D154:E154)</f>
        <v>907482.5</v>
      </c>
      <c r="D154" s="802">
        <f>D55</f>
        <v>898393.9</v>
      </c>
      <c r="E154" s="802">
        <f>E55</f>
        <v>9088.6</v>
      </c>
      <c r="F154" s="801">
        <f>SUM(G154:H154)</f>
        <v>0</v>
      </c>
      <c r="G154" s="802">
        <f>G55</f>
        <v>0</v>
      </c>
      <c r="H154" s="802">
        <f>H55</f>
        <v>0</v>
      </c>
      <c r="I154" s="801">
        <f>SUM(J154:K154)</f>
        <v>0</v>
      </c>
      <c r="J154" s="802">
        <f>J55</f>
        <v>0</v>
      </c>
      <c r="K154" s="802">
        <f>K55</f>
        <v>0</v>
      </c>
      <c r="L154" s="801">
        <f t="shared" si="42"/>
        <v>0</v>
      </c>
      <c r="M154" s="802">
        <f t="shared" si="42"/>
        <v>0</v>
      </c>
      <c r="N154" s="802">
        <f t="shared" si="42"/>
        <v>0</v>
      </c>
      <c r="O154" s="1627"/>
      <c r="Q154" s="1620"/>
      <c r="R154" s="1619"/>
      <c r="S154" s="1609"/>
      <c r="T154" s="735"/>
    </row>
    <row r="155" spans="1:25" ht="49.5" customHeight="1">
      <c r="A155" s="2554" t="s">
        <v>1525</v>
      </c>
      <c r="B155" s="2555"/>
      <c r="C155" s="741">
        <f>SUM(D155:E155)</f>
        <v>3334819</v>
      </c>
      <c r="D155" s="1677">
        <f>SUM(D127,D88)</f>
        <v>3000000</v>
      </c>
      <c r="E155" s="1677">
        <f>SUM(E127,E88)</f>
        <v>334819</v>
      </c>
      <c r="F155" s="741">
        <f>SUM(G155:H155)</f>
        <v>0</v>
      </c>
      <c r="G155" s="1677">
        <f>SUM(G127,G88)</f>
        <v>0</v>
      </c>
      <c r="H155" s="1677">
        <f>SUM(H127,H88)</f>
        <v>0</v>
      </c>
      <c r="I155" s="741">
        <f>SUM(J155:K155)</f>
        <v>0</v>
      </c>
      <c r="J155" s="1677">
        <f>SUM(J127,J88)</f>
        <v>0</v>
      </c>
      <c r="K155" s="1677">
        <f>SUM(K127,K88)</f>
        <v>0</v>
      </c>
      <c r="L155" s="801">
        <f t="shared" si="42"/>
        <v>0</v>
      </c>
      <c r="M155" s="802">
        <f t="shared" si="42"/>
        <v>0</v>
      </c>
      <c r="N155" s="802">
        <f t="shared" si="42"/>
        <v>0</v>
      </c>
      <c r="O155" s="1627"/>
      <c r="Q155" s="1640" t="e">
        <f>SUM(R155:S155)</f>
        <v>#REF!</v>
      </c>
      <c r="R155" s="1609" t="e">
        <f>R88+#REF!+R127+#REF!-#REF!</f>
        <v>#REF!</v>
      </c>
      <c r="S155" s="1609" t="e">
        <f>S88+#REF!+S127+#REF!-#REF!</f>
        <v>#REF!</v>
      </c>
      <c r="T155" s="735">
        <f>C155-F155</f>
        <v>3334819</v>
      </c>
    </row>
    <row r="156" spans="1:25" ht="20.25">
      <c r="A156" s="2554" t="s">
        <v>1524</v>
      </c>
      <c r="B156" s="2555"/>
      <c r="C156" s="741">
        <f>SUM(D156:E156)</f>
        <v>574533.19999999995</v>
      </c>
      <c r="D156" s="1677">
        <f>SUM(D15,D57,D119,D123,D143)</f>
        <v>0</v>
      </c>
      <c r="E156" s="1677">
        <f>SUM(E15,E57,E119,E123,E143)</f>
        <v>574533.19999999995</v>
      </c>
      <c r="F156" s="741">
        <f>SUM(G156:H156)</f>
        <v>0</v>
      </c>
      <c r="G156" s="1677">
        <f>SUM(G15,G57,G119,G123,G143)</f>
        <v>0</v>
      </c>
      <c r="H156" s="1677">
        <f>SUM(H15,H57,H119,H123,H143)</f>
        <v>0</v>
      </c>
      <c r="I156" s="741">
        <f>SUM(J156:K156)</f>
        <v>0</v>
      </c>
      <c r="J156" s="1677">
        <f>SUM(J15,J57,J119,J123,J143)</f>
        <v>0</v>
      </c>
      <c r="K156" s="1677">
        <f>SUM(K15,K57,K119,K123,K143)</f>
        <v>0</v>
      </c>
      <c r="L156" s="801">
        <f t="shared" si="42"/>
        <v>0</v>
      </c>
      <c r="M156" s="802">
        <f t="shared" si="42"/>
        <v>0</v>
      </c>
      <c r="N156" s="802">
        <f t="shared" si="42"/>
        <v>0</v>
      </c>
      <c r="O156" s="1627"/>
      <c r="Q156" s="1640" t="e">
        <f>SUM(R156:S156)</f>
        <v>#REF!</v>
      </c>
      <c r="R156" s="1609" t="e">
        <f>SUM(#REF!)</f>
        <v>#REF!</v>
      </c>
      <c r="S156" s="1609" t="e">
        <f>SUM(#REF!)</f>
        <v>#REF!</v>
      </c>
      <c r="T156" s="735">
        <f>C156-F156</f>
        <v>574533.19999999995</v>
      </c>
    </row>
    <row r="157" spans="1:25" ht="20.25">
      <c r="A157" s="2556" t="s">
        <v>529</v>
      </c>
      <c r="B157" s="2557"/>
      <c r="C157" s="746">
        <f>SUM(D157:E157)</f>
        <v>516142.5</v>
      </c>
      <c r="D157" s="698">
        <f>D12-D153-D155-D156</f>
        <v>174557.1</v>
      </c>
      <c r="E157" s="698">
        <f>E12-E153-E155-E156</f>
        <v>341585.4</v>
      </c>
      <c r="F157" s="746">
        <f>SUM(G157:H157)</f>
        <v>0</v>
      </c>
      <c r="G157" s="698">
        <f>G12-G153-G155-G156</f>
        <v>0</v>
      </c>
      <c r="H157" s="698">
        <f>H12-H153-H155-H156</f>
        <v>0</v>
      </c>
      <c r="I157" s="746">
        <f>SUM(J157:K157)</f>
        <v>0</v>
      </c>
      <c r="J157" s="698">
        <f>J12-J153-J155-J156</f>
        <v>0</v>
      </c>
      <c r="K157" s="698">
        <f>K12-K153-K155-K156</f>
        <v>0</v>
      </c>
      <c r="L157" s="801">
        <f t="shared" si="42"/>
        <v>0</v>
      </c>
      <c r="M157" s="802">
        <f t="shared" si="42"/>
        <v>0</v>
      </c>
      <c r="N157" s="802">
        <f t="shared" si="42"/>
        <v>0</v>
      </c>
      <c r="Q157" s="1604" t="e">
        <f>SUM(R157:S157)</f>
        <v>#REF!</v>
      </c>
      <c r="R157" s="1615" t="e">
        <f>R12-#REF!-R153-R155-R156</f>
        <v>#REF!</v>
      </c>
      <c r="S157" s="1615" t="e">
        <f>S12-#REF!-S153-S155-S156</f>
        <v>#REF!</v>
      </c>
      <c r="T157" s="1641" t="s">
        <v>813</v>
      </c>
      <c r="U157" s="1642"/>
      <c r="V157" s="1642"/>
    </row>
    <row r="158" spans="1:25" ht="35.25" customHeight="1">
      <c r="A158" s="1643"/>
      <c r="B158" s="1644"/>
      <c r="C158" s="1645"/>
      <c r="D158" s="1645"/>
      <c r="E158" s="1645"/>
      <c r="F158" s="1645"/>
      <c r="G158" s="1645"/>
      <c r="H158" s="1645"/>
      <c r="I158" s="1645"/>
      <c r="J158" s="1645"/>
      <c r="K158" s="1645"/>
      <c r="L158" s="1645"/>
      <c r="M158" s="1645"/>
      <c r="N158" s="1645"/>
      <c r="T158" s="1641"/>
      <c r="U158" s="1642"/>
      <c r="V158" s="1642"/>
    </row>
    <row r="159" spans="1:25" s="892" customFormat="1" ht="39.75" customHeight="1">
      <c r="A159" s="1554"/>
      <c r="B159" s="892" t="s">
        <v>310</v>
      </c>
      <c r="C159" s="1555"/>
      <c r="D159" s="1556"/>
      <c r="E159" s="1557"/>
      <c r="F159" s="1558"/>
      <c r="G159" s="1559"/>
      <c r="H159" s="1559"/>
      <c r="I159" s="1560"/>
      <c r="J159" s="1561" t="s">
        <v>613</v>
      </c>
      <c r="K159" s="1561"/>
      <c r="M159" s="1562"/>
      <c r="N159" s="1562"/>
      <c r="O159" s="1544"/>
      <c r="P159" s="1544"/>
      <c r="Q159" s="1544"/>
      <c r="R159" s="1544"/>
      <c r="S159" s="1544"/>
      <c r="T159" s="1552"/>
      <c r="U159" s="1553"/>
      <c r="V159" s="1553"/>
      <c r="W159" s="1550"/>
      <c r="X159" s="1545"/>
      <c r="Y159" s="1545"/>
    </row>
    <row r="160" spans="1:25" ht="78.75" customHeight="1">
      <c r="A160" s="1643"/>
      <c r="B160" s="712" t="s">
        <v>1390</v>
      </c>
      <c r="C160" s="1648"/>
      <c r="D160" s="1647"/>
      <c r="E160" s="1649"/>
      <c r="F160" s="1649"/>
      <c r="G160" s="1650"/>
      <c r="H160" s="1650"/>
      <c r="I160" s="1651"/>
      <c r="J160" s="1650"/>
      <c r="K160" s="2535"/>
      <c r="L160" s="2535"/>
      <c r="M160" s="1647"/>
      <c r="N160" s="1647"/>
      <c r="T160" s="1641"/>
      <c r="U160" s="1642"/>
      <c r="V160" s="1642"/>
    </row>
    <row r="161" spans="1:23" ht="88.5" customHeight="1">
      <c r="C161" s="1648"/>
      <c r="D161" s="1648"/>
      <c r="E161" s="1647"/>
      <c r="F161" s="1647"/>
      <c r="G161" s="1647"/>
      <c r="H161" s="1652"/>
      <c r="I161" s="1648"/>
      <c r="J161" s="1648"/>
      <c r="K161" s="1652"/>
      <c r="T161" s="1641"/>
      <c r="U161" s="1642"/>
      <c r="V161" s="1642"/>
    </row>
    <row r="162" spans="1:23" ht="45" customHeight="1">
      <c r="C162" s="992"/>
      <c r="E162" s="1646"/>
      <c r="F162" s="1653"/>
      <c r="G162" s="725"/>
      <c r="T162" s="1641"/>
      <c r="U162" s="1642"/>
      <c r="V162" s="1642"/>
    </row>
    <row r="163" spans="1:23" ht="58.5" customHeight="1">
      <c r="E163" s="1654"/>
      <c r="T163" s="1655"/>
      <c r="U163" s="1642"/>
      <c r="V163" s="1642"/>
    </row>
    <row r="164" spans="1:23" s="1657" customFormat="1" ht="46.5" customHeight="1">
      <c r="A164" s="1567"/>
      <c r="B164" s="712"/>
      <c r="C164" s="1570"/>
      <c r="D164" s="712"/>
      <c r="E164" s="1654"/>
      <c r="F164" s="1570"/>
      <c r="G164" s="712"/>
      <c r="H164" s="712"/>
      <c r="I164" s="1569"/>
      <c r="J164" s="712"/>
      <c r="K164" s="712"/>
      <c r="L164" s="1570"/>
      <c r="M164" s="712"/>
      <c r="N164" s="712"/>
      <c r="O164" s="1564"/>
      <c r="P164" s="1564"/>
      <c r="Q164" s="1564"/>
      <c r="R164" s="1564"/>
      <c r="S164" s="1564"/>
      <c r="T164" s="1656"/>
      <c r="U164" s="1642"/>
      <c r="V164" s="1642"/>
      <c r="W164" s="1546"/>
    </row>
    <row r="165" spans="1:23" s="1657" customFormat="1" ht="47.25" customHeight="1">
      <c r="A165" s="1567"/>
      <c r="B165" s="712"/>
      <c r="C165" s="1570"/>
      <c r="D165" s="712"/>
      <c r="E165" s="712"/>
      <c r="F165" s="1570"/>
      <c r="G165" s="712"/>
      <c r="H165" s="712"/>
      <c r="I165" s="1569"/>
      <c r="J165" s="712"/>
      <c r="K165" s="712"/>
      <c r="L165" s="1570"/>
      <c r="M165" s="712"/>
      <c r="N165" s="712"/>
      <c r="O165" s="1564"/>
      <c r="P165" s="1564"/>
      <c r="Q165" s="1564"/>
      <c r="R165" s="1564"/>
      <c r="S165" s="1564"/>
      <c r="T165" s="1655"/>
      <c r="U165" s="1642"/>
      <c r="V165" s="1642"/>
      <c r="W165" s="1546"/>
    </row>
    <row r="166" spans="1:23" s="1657" customFormat="1" ht="45" customHeight="1">
      <c r="A166" s="1567"/>
      <c r="B166" s="712"/>
      <c r="C166" s="1570"/>
      <c r="D166" s="712"/>
      <c r="E166" s="712"/>
      <c r="F166" s="1570"/>
      <c r="G166" s="712"/>
      <c r="H166" s="712"/>
      <c r="I166" s="1569"/>
      <c r="J166" s="712"/>
      <c r="K166" s="712"/>
      <c r="L166" s="1570"/>
      <c r="M166" s="712"/>
      <c r="N166" s="712"/>
      <c r="O166" s="1564"/>
      <c r="P166" s="1564"/>
      <c r="Q166" s="1564"/>
      <c r="R166" s="1564"/>
      <c r="S166" s="1564"/>
      <c r="T166" s="712"/>
      <c r="U166" s="1642"/>
      <c r="V166" s="1642"/>
      <c r="W166" s="1546"/>
    </row>
    <row r="167" spans="1:23" s="1657" customFormat="1" ht="56.25" customHeight="1">
      <c r="A167" s="1567"/>
      <c r="B167" s="712"/>
      <c r="C167" s="1570"/>
      <c r="D167" s="712"/>
      <c r="E167" s="712"/>
      <c r="F167" s="1570"/>
      <c r="G167" s="712"/>
      <c r="H167" s="712"/>
      <c r="I167" s="1569"/>
      <c r="J167" s="712"/>
      <c r="K167" s="712"/>
      <c r="L167" s="1570"/>
      <c r="M167" s="712"/>
      <c r="N167" s="712"/>
      <c r="O167" s="1564"/>
      <c r="P167" s="1564"/>
      <c r="Q167" s="1564"/>
      <c r="R167" s="1564"/>
      <c r="S167" s="1564"/>
      <c r="T167" s="712"/>
      <c r="U167" s="1565"/>
      <c r="V167" s="1565"/>
      <c r="W167" s="1546"/>
    </row>
  </sheetData>
  <mergeCells count="32">
    <mergeCell ref="A1:B1"/>
    <mergeCell ref="K1:N1"/>
    <mergeCell ref="I3:L3"/>
    <mergeCell ref="A5:N5"/>
    <mergeCell ref="A6:N6"/>
    <mergeCell ref="A7:N7"/>
    <mergeCell ref="M8:N8"/>
    <mergeCell ref="P8:T8"/>
    <mergeCell ref="A9:A10"/>
    <mergeCell ref="B9:B10"/>
    <mergeCell ref="C9:C10"/>
    <mergeCell ref="D9:E9"/>
    <mergeCell ref="F9:F10"/>
    <mergeCell ref="G9:H9"/>
    <mergeCell ref="I9:I10"/>
    <mergeCell ref="J9:K9"/>
    <mergeCell ref="L9:L10"/>
    <mergeCell ref="M9:N9"/>
    <mergeCell ref="O9:O10"/>
    <mergeCell ref="P9:P10"/>
    <mergeCell ref="Q9:Q10"/>
    <mergeCell ref="R9:S9"/>
    <mergeCell ref="A155:B155"/>
    <mergeCell ref="A156:B156"/>
    <mergeCell ref="A157:B157"/>
    <mergeCell ref="K160:L160"/>
    <mergeCell ref="A13:B13"/>
    <mergeCell ref="P43:P44"/>
    <mergeCell ref="A117:B117"/>
    <mergeCell ref="A141:B141"/>
    <mergeCell ref="A152:B152"/>
    <mergeCell ref="A153:B153"/>
  </mergeCells>
  <pageMargins left="0.31" right="0.33" top="0.47" bottom="0.23622047244094491" header="0.49" footer="0.15748031496062992"/>
  <pageSetup paperSize="9" scale="48" fitToHeight="10" orientation="landscape" r:id="rId1"/>
</worksheet>
</file>

<file path=xl/worksheets/sheet39.xml><?xml version="1.0" encoding="utf-8"?>
<worksheet xmlns="http://schemas.openxmlformats.org/spreadsheetml/2006/main" xmlns:r="http://schemas.openxmlformats.org/officeDocument/2006/relationships">
  <sheetPr filterMode="1">
    <pageSetUpPr fitToPage="1"/>
  </sheetPr>
  <dimension ref="A1:X343"/>
  <sheetViews>
    <sheetView topLeftCell="A80" zoomScale="80" zoomScaleNormal="80" zoomScaleSheetLayoutView="70" workbookViewId="0">
      <selection activeCell="E88" sqref="E88"/>
    </sheetView>
  </sheetViews>
  <sheetFormatPr defaultColWidth="9.140625" defaultRowHeight="18.75"/>
  <cols>
    <col min="1" max="1" width="10.42578125" style="1942" customWidth="1"/>
    <col min="2" max="2" width="82.5703125" style="712" customWidth="1"/>
    <col min="3" max="3" width="13.42578125" style="1834" hidden="1" customWidth="1"/>
    <col min="4" max="4" width="17.42578125" style="1570" customWidth="1"/>
    <col min="5" max="6" width="14.85546875" style="712" customWidth="1"/>
    <col min="7" max="7" width="14.85546875" style="1570" customWidth="1"/>
    <col min="8" max="8" width="15.42578125" style="712" customWidth="1"/>
    <col min="9" max="9" width="14.85546875" style="712" customWidth="1"/>
    <col min="10" max="10" width="14.85546875" style="1569" customWidth="1"/>
    <col min="11" max="12" width="14.85546875" style="712" customWidth="1"/>
    <col min="13" max="13" width="9.28515625" style="1570" customWidth="1"/>
    <col min="14" max="14" width="12.140625" style="712" customWidth="1"/>
    <col min="15" max="15" width="9.285156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7.85546875" style="712" bestFit="1" customWidth="1"/>
    <col min="25" max="16384" width="9.140625" style="712"/>
  </cols>
  <sheetData>
    <row r="1" spans="1:24" ht="20.25" hidden="1">
      <c r="A1" s="2537"/>
      <c r="B1" s="2537"/>
      <c r="D1" s="1563"/>
      <c r="E1" s="1563"/>
      <c r="F1" s="1563"/>
      <c r="G1" s="1563"/>
      <c r="H1" s="1563"/>
      <c r="I1" s="1563"/>
      <c r="J1" s="1563"/>
      <c r="L1" s="2384"/>
      <c r="M1" s="2384"/>
      <c r="N1" s="2384"/>
      <c r="O1" s="2384"/>
    </row>
    <row r="2" spans="1:24" hidden="1">
      <c r="B2" s="1859"/>
      <c r="D2" s="1569"/>
      <c r="E2" s="1859"/>
      <c r="F2" s="1859"/>
      <c r="M2" s="1569"/>
    </row>
    <row r="3" spans="1:24" s="1575" customFormat="1" hidden="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24"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24"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24" s="1575" customFormat="1" ht="33" customHeight="1">
      <c r="A6" s="2361" t="s">
        <v>236</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24" s="1575" customFormat="1" ht="27">
      <c r="A7" s="2361" t="s">
        <v>1729</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24" s="1575" customFormat="1" ht="30.75" customHeight="1">
      <c r="A8" s="1943"/>
      <c r="B8" s="1571"/>
      <c r="C8" s="1835"/>
      <c r="D8" s="1587"/>
      <c r="E8" s="1660"/>
      <c r="F8" s="1661"/>
      <c r="H8" s="1661"/>
      <c r="I8" s="1589"/>
      <c r="J8" s="1587"/>
      <c r="K8" s="1591"/>
      <c r="L8" s="1591"/>
      <c r="M8" s="1585"/>
      <c r="N8" s="2533" t="s">
        <v>377</v>
      </c>
      <c r="O8" s="2533"/>
      <c r="P8" s="1577"/>
      <c r="Q8" s="1863"/>
      <c r="R8" s="1591"/>
      <c r="S8" s="1591"/>
      <c r="T8" s="1591"/>
      <c r="U8" s="1661"/>
      <c r="V8" s="1661"/>
      <c r="W8" s="1661" t="s">
        <v>1314</v>
      </c>
    </row>
    <row r="9" spans="1:24" ht="70.5" customHeight="1">
      <c r="A9" s="2563" t="s">
        <v>18</v>
      </c>
      <c r="B9" s="2380" t="s">
        <v>0</v>
      </c>
      <c r="C9" s="2564" t="s">
        <v>1535</v>
      </c>
      <c r="D9" s="2374" t="s">
        <v>1374</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24" ht="69" customHeight="1">
      <c r="A10" s="2563"/>
      <c r="B10" s="2380"/>
      <c r="C10" s="2564"/>
      <c r="D10" s="2374"/>
      <c r="E10" s="709" t="s">
        <v>1074</v>
      </c>
      <c r="F10" s="709" t="s">
        <v>258</v>
      </c>
      <c r="G10" s="2374"/>
      <c r="H10" s="709" t="s">
        <v>1074</v>
      </c>
      <c r="I10" s="709" t="s">
        <v>258</v>
      </c>
      <c r="J10" s="2374"/>
      <c r="K10" s="709" t="s">
        <v>1074</v>
      </c>
      <c r="L10" s="709" t="s">
        <v>258</v>
      </c>
      <c r="M10" s="2374"/>
      <c r="N10" s="709" t="s">
        <v>1074</v>
      </c>
      <c r="O10" s="709" t="s">
        <v>258</v>
      </c>
      <c r="P10" s="2550"/>
      <c r="Q10" s="2550"/>
      <c r="R10" s="2374"/>
      <c r="S10" s="709" t="s">
        <v>1074</v>
      </c>
      <c r="T10" s="709" t="s">
        <v>258</v>
      </c>
      <c r="U10" s="2374"/>
      <c r="V10" s="709" t="s">
        <v>1074</v>
      </c>
      <c r="W10" s="709" t="s">
        <v>258</v>
      </c>
    </row>
    <row r="11" spans="1:24">
      <c r="A11" s="1867">
        <v>1</v>
      </c>
      <c r="B11" s="507">
        <v>2</v>
      </c>
      <c r="C11" s="1867"/>
      <c r="D11" s="507">
        <v>3</v>
      </c>
      <c r="E11" s="507">
        <v>4</v>
      </c>
      <c r="F11" s="507">
        <v>5</v>
      </c>
      <c r="G11" s="1868">
        <v>7</v>
      </c>
      <c r="H11" s="1868">
        <v>8</v>
      </c>
      <c r="I11" s="1868">
        <v>9</v>
      </c>
      <c r="J11" s="1868">
        <v>10</v>
      </c>
      <c r="K11" s="1868">
        <v>11</v>
      </c>
      <c r="L11" s="1868">
        <v>12</v>
      </c>
      <c r="M11" s="1868">
        <v>13</v>
      </c>
      <c r="N11" s="1868">
        <v>14</v>
      </c>
      <c r="O11" s="1868">
        <v>15</v>
      </c>
      <c r="P11" s="1593">
        <v>10</v>
      </c>
      <c r="Q11" s="1593">
        <v>11</v>
      </c>
      <c r="R11" s="1593">
        <v>9</v>
      </c>
      <c r="S11" s="1593">
        <v>10</v>
      </c>
      <c r="T11" s="1593">
        <v>11</v>
      </c>
      <c r="U11" s="1593">
        <v>12</v>
      </c>
      <c r="V11" s="1593">
        <v>13</v>
      </c>
      <c r="W11" s="1593">
        <v>14</v>
      </c>
    </row>
    <row r="12" spans="1:24" s="791" customFormat="1" ht="23.25">
      <c r="A12" s="1945"/>
      <c r="B12" s="487" t="s">
        <v>10</v>
      </c>
      <c r="C12" s="1869"/>
      <c r="D12" s="1594">
        <f>SUM(E12:F12)</f>
        <v>10048158.699999999</v>
      </c>
      <c r="E12" s="1594">
        <f>SUM(E13,E255,E305)+E324</f>
        <v>7678369.5</v>
      </c>
      <c r="F12" s="1594">
        <f>F13+F255+F305+F323</f>
        <v>2369789.2000000002</v>
      </c>
      <c r="G12" s="1594">
        <f>SUM(H12:I12)</f>
        <v>9148158.6999999993</v>
      </c>
      <c r="H12" s="1594">
        <f>SUM(H13,H255,H305)+H324</f>
        <v>6778369.5</v>
      </c>
      <c r="I12" s="1594">
        <f>SUM(I13,I255,I305)+I324</f>
        <v>2369789.2000000002</v>
      </c>
      <c r="J12" s="1594">
        <f>SUM(K12:L12)</f>
        <v>1628754.1</v>
      </c>
      <c r="K12" s="1594">
        <f>SUM(K13,K255,K305)+K324</f>
        <v>1293920.8</v>
      </c>
      <c r="L12" s="1594">
        <f>SUM(L13,L255,L305)+L324</f>
        <v>334833.3</v>
      </c>
      <c r="M12" s="1870">
        <f>IF(J12=0,0,J12/G12*100)</f>
        <v>17.8</v>
      </c>
      <c r="N12" s="1870">
        <f>IF(K12=0,0,K12/H12*100)</f>
        <v>19.100000000000001</v>
      </c>
      <c r="O12" s="1870">
        <f>IF(L12=0,0,L12/I12*100)</f>
        <v>14.1</v>
      </c>
      <c r="P12" s="643" t="s">
        <v>353</v>
      </c>
      <c r="Q12" s="643"/>
      <c r="R12" s="1594">
        <f t="shared" ref="R12:R59" si="0">SUM(S12:T12)</f>
        <v>4147138.5</v>
      </c>
      <c r="S12" s="1594">
        <f>SUM(S13,S255,S305)</f>
        <v>2280517.9</v>
      </c>
      <c r="T12" s="1594">
        <f>SUM(T13,T255,T305)</f>
        <v>1866620.6</v>
      </c>
      <c r="U12" s="1594">
        <f t="shared" ref="U12:U21" si="1">SUM(V12:W12)</f>
        <v>3970738.4</v>
      </c>
      <c r="V12" s="1594">
        <f>SUM(V13,V255,V305)</f>
        <v>3590181.6</v>
      </c>
      <c r="W12" s="1594">
        <f>SUM(W13,W255,W305)</f>
        <v>380556.79999999999</v>
      </c>
      <c r="X12" s="1423">
        <f>D12-G12</f>
        <v>900000</v>
      </c>
    </row>
    <row r="13" spans="1:24" s="791" customFormat="1" ht="44.25" customHeight="1">
      <c r="A13" s="2565" t="s">
        <v>453</v>
      </c>
      <c r="B13" s="2565"/>
      <c r="C13" s="1869"/>
      <c r="D13" s="1594">
        <f t="shared" ref="D13:D84" si="2">SUM(E13:F13)</f>
        <v>7754005.2999999998</v>
      </c>
      <c r="E13" s="1594">
        <f>SUM(E14,E117)</f>
        <v>6025912.4000000004</v>
      </c>
      <c r="F13" s="1594">
        <f>SUM(F14,F117)</f>
        <v>1728092.9</v>
      </c>
      <c r="G13" s="1594">
        <f>SUM(H13:I13)</f>
        <v>7754005.2999999998</v>
      </c>
      <c r="H13" s="1594">
        <f>SUM(H14,H117)</f>
        <v>6025912.4000000004</v>
      </c>
      <c r="I13" s="1594">
        <f>SUM(I14,I117)</f>
        <v>1728092.9</v>
      </c>
      <c r="J13" s="1594">
        <f>SUM(K13:L13)</f>
        <v>1138366.1000000001</v>
      </c>
      <c r="K13" s="1594">
        <f>SUM(K14,K117)</f>
        <v>998010.2</v>
      </c>
      <c r="L13" s="1594">
        <f>SUM(L14,L117)</f>
        <v>140355.9</v>
      </c>
      <c r="M13" s="1870">
        <f t="shared" ref="M13:M76" si="3">IF(J13=0,0,J13/G13*100)</f>
        <v>14.7</v>
      </c>
      <c r="N13" s="1871">
        <f t="shared" ref="N13:N76" si="4">IF(K13=0,0,K13/H13*100)</f>
        <v>16.600000000000001</v>
      </c>
      <c r="O13" s="1871">
        <f t="shared" ref="O13:O76" si="5">IF(L13=0,0,L13/I13*100)</f>
        <v>8.1</v>
      </c>
      <c r="P13" s="643" t="s">
        <v>353</v>
      </c>
      <c r="Q13" s="643" t="s">
        <v>353</v>
      </c>
      <c r="R13" s="1594">
        <f t="shared" si="0"/>
        <v>3148890.5</v>
      </c>
      <c r="S13" s="1594">
        <f>SUM(S14,S117)</f>
        <v>1621751.6</v>
      </c>
      <c r="T13" s="1594">
        <f>SUM(T14,T117)</f>
        <v>1527138.9</v>
      </c>
      <c r="U13" s="1594">
        <f t="shared" si="1"/>
        <v>3611294.6</v>
      </c>
      <c r="V13" s="1594">
        <f>SUM(V14,V117)</f>
        <v>3575181.6</v>
      </c>
      <c r="W13" s="1594">
        <f>SUM(W14,W117)</f>
        <v>36113</v>
      </c>
      <c r="X13" s="1423">
        <f t="shared" ref="X13:X42" si="6">D13-G13</f>
        <v>0</v>
      </c>
    </row>
    <row r="14" spans="1:24" ht="87.75" customHeight="1">
      <c r="A14" s="1867" t="s">
        <v>6</v>
      </c>
      <c r="B14" s="2007" t="s">
        <v>439</v>
      </c>
      <c r="C14" s="1873"/>
      <c r="D14" s="1596">
        <f>SUM(E14:F14)</f>
        <v>1887640.8</v>
      </c>
      <c r="E14" s="1596">
        <f>SUM(E15,E78)</f>
        <v>1585129.6</v>
      </c>
      <c r="F14" s="1596">
        <f>SUM(F15,F78)</f>
        <v>302511.2</v>
      </c>
      <c r="G14" s="1596">
        <f t="shared" ref="G14:G45" si="7">SUM(H14:I14)</f>
        <v>1887640.8</v>
      </c>
      <c r="H14" s="1596">
        <f>SUM(H15,H78)</f>
        <v>1585129.6</v>
      </c>
      <c r="I14" s="1596">
        <f>SUM(I15,I78)</f>
        <v>302511.2</v>
      </c>
      <c r="J14" s="1596">
        <f t="shared" ref="J14:J44" si="8">SUM(K14:L14)</f>
        <v>371754.2</v>
      </c>
      <c r="K14" s="1596">
        <f>SUM(K15,K78)</f>
        <v>354111.3</v>
      </c>
      <c r="L14" s="1596">
        <f>SUM(L15,L78)</f>
        <v>17642.900000000001</v>
      </c>
      <c r="M14" s="2008">
        <f t="shared" si="3"/>
        <v>19.7</v>
      </c>
      <c r="N14" s="2009">
        <f t="shared" si="4"/>
        <v>22.3</v>
      </c>
      <c r="O14" s="2009">
        <f t="shared" si="5"/>
        <v>5.8</v>
      </c>
      <c r="P14" s="1597" t="s">
        <v>353</v>
      </c>
      <c r="Q14" s="1597" t="s">
        <v>353</v>
      </c>
      <c r="R14" s="1861">
        <f t="shared" si="0"/>
        <v>734566.7</v>
      </c>
      <c r="S14" s="1861">
        <f>SUM(S15,S78)</f>
        <v>695705</v>
      </c>
      <c r="T14" s="1861">
        <f>SUM(T15,T78)</f>
        <v>38861.699999999997</v>
      </c>
      <c r="U14" s="1861">
        <f t="shared" si="1"/>
        <v>2133190.9</v>
      </c>
      <c r="V14" s="1861">
        <f>SUM(V15,V78)</f>
        <v>2111858.9</v>
      </c>
      <c r="W14" s="1861">
        <f>SUM(W15,W78)</f>
        <v>21332</v>
      </c>
      <c r="X14" s="1423">
        <f t="shared" si="6"/>
        <v>0</v>
      </c>
    </row>
    <row r="15" spans="1:24" ht="36.75" customHeight="1">
      <c r="A15" s="1867" t="s">
        <v>253</v>
      </c>
      <c r="B15" s="1876" t="s">
        <v>1393</v>
      </c>
      <c r="C15" s="1877"/>
      <c r="D15" s="1598">
        <f t="shared" si="2"/>
        <v>200397.5</v>
      </c>
      <c r="E15" s="1598">
        <f>SUM(E16,E18,E20,E23,E27,E29,E31,E33,E38,E40,E45,E48,E54,E56,E59,E62,E68,E73)</f>
        <v>0</v>
      </c>
      <c r="F15" s="1598">
        <f>F16+F18+F20+F23+F27+F29+F31+F33+F38+F40+F45+F48+F54+F56+F59+F62+F68+F73</f>
        <v>200397.5</v>
      </c>
      <c r="G15" s="1598">
        <f t="shared" si="7"/>
        <v>200397.5</v>
      </c>
      <c r="H15" s="1598">
        <f>SUM(H16,H18,H20,H23,H27,H29,H31,H33,H38,H40,H45,H48,H54,H56,H59,H62,H68,H73)</f>
        <v>0</v>
      </c>
      <c r="I15" s="1598">
        <f>I16+I18+I20+I23+I27+I29+I31+I33+I38+I40+I45+I48+I54+I56+I59+I62+I68+I73</f>
        <v>200397.5</v>
      </c>
      <c r="J15" s="1598">
        <f t="shared" si="8"/>
        <v>13019.4</v>
      </c>
      <c r="K15" s="1598">
        <f>SUM(K16,K18,K20,K23,K27,K29,K31,K33,K38,K40,K45,K48,K54,K56,K59,K62,K68,K73)</f>
        <v>0</v>
      </c>
      <c r="L15" s="1598">
        <f>SUM(L16,L18,L20,L23,L27,L29,L31,L33,L38,L40,L45,L48,L54,L56,L59,L62,L68,L73)</f>
        <v>13019.4</v>
      </c>
      <c r="M15" s="1598">
        <f t="shared" si="3"/>
        <v>6.5</v>
      </c>
      <c r="N15" s="1598">
        <f t="shared" si="4"/>
        <v>0</v>
      </c>
      <c r="O15" s="1598">
        <f t="shared" si="5"/>
        <v>6.5</v>
      </c>
      <c r="P15" s="1599" t="s">
        <v>353</v>
      </c>
      <c r="Q15" s="1599" t="s">
        <v>353</v>
      </c>
      <c r="R15" s="1598">
        <f>SUM(S15:T15)</f>
        <v>31834.5</v>
      </c>
      <c r="S15" s="1598">
        <f>SUM(S16,S18,S20,S23,S27,S29,S31,S33,S38,S40,S45,S48,S54,S56,S59,S62,S68,S73)</f>
        <v>0</v>
      </c>
      <c r="T15" s="1598">
        <f>SUM(T16,T18,T20,T23,T27,T29,T31,T33,T38,T40,T45,T48,T54,T56,T59,T62,T68,T73)</f>
        <v>31834.5</v>
      </c>
      <c r="U15" s="1598">
        <f>SUM(V15:W15)</f>
        <v>0</v>
      </c>
      <c r="V15" s="1598">
        <f>SUM(V16,V18,V20,V23,V27,V29,V31,V33,V38,V40,V45,V48,V54,V56,V59,V62,V68,V73)</f>
        <v>0</v>
      </c>
      <c r="W15" s="1598">
        <f>SUM(W16,W18,W20,W23,W27,W29,W31,W33,W38,W40,W45,W48,W54,W56,W59,W62,W68,W73)</f>
        <v>0</v>
      </c>
      <c r="X15" s="1423">
        <f t="shared" si="6"/>
        <v>0</v>
      </c>
    </row>
    <row r="16" spans="1:24" ht="26.25" customHeight="1">
      <c r="A16" s="1867"/>
      <c r="B16" s="506" t="s">
        <v>283</v>
      </c>
      <c r="C16" s="1878"/>
      <c r="D16" s="1600">
        <f t="shared" si="2"/>
        <v>2550</v>
      </c>
      <c r="E16" s="1600">
        <f>E17</f>
        <v>0</v>
      </c>
      <c r="F16" s="1602">
        <f>F17</f>
        <v>2550</v>
      </c>
      <c r="G16" s="1600">
        <f t="shared" si="7"/>
        <v>2550</v>
      </c>
      <c r="H16" s="1600">
        <f>H17</f>
        <v>0</v>
      </c>
      <c r="I16" s="1600">
        <f>I17</f>
        <v>2550</v>
      </c>
      <c r="J16" s="1600">
        <f t="shared" si="8"/>
        <v>0</v>
      </c>
      <c r="K16" s="1600">
        <f>K17</f>
        <v>0</v>
      </c>
      <c r="L16" s="1600">
        <f>L17</f>
        <v>0</v>
      </c>
      <c r="M16" s="1600">
        <f t="shared" si="3"/>
        <v>0</v>
      </c>
      <c r="N16" s="1600">
        <f t="shared" si="4"/>
        <v>0</v>
      </c>
      <c r="O16" s="1600">
        <f t="shared" si="5"/>
        <v>0</v>
      </c>
      <c r="P16" s="1599"/>
      <c r="Q16" s="1599"/>
      <c r="R16" s="1600">
        <f>SUM(S16:T16)</f>
        <v>0</v>
      </c>
      <c r="S16" s="1600">
        <f>S17</f>
        <v>0</v>
      </c>
      <c r="T16" s="1600">
        <f>T17</f>
        <v>0</v>
      </c>
      <c r="U16" s="1600">
        <f>SUM(V16:W16)</f>
        <v>0</v>
      </c>
      <c r="V16" s="1600">
        <f>V17</f>
        <v>0</v>
      </c>
      <c r="W16" s="1600">
        <f>W17</f>
        <v>0</v>
      </c>
      <c r="X16" s="1423">
        <f t="shared" si="6"/>
        <v>0</v>
      </c>
    </row>
    <row r="17" spans="1:24" ht="60.75" customHeight="1">
      <c r="A17" s="1867">
        <v>1</v>
      </c>
      <c r="B17" s="1879" t="s">
        <v>1565</v>
      </c>
      <c r="C17" s="1880"/>
      <c r="D17" s="1602">
        <f t="shared" si="2"/>
        <v>2550</v>
      </c>
      <c r="E17" s="1616">
        <v>0</v>
      </c>
      <c r="F17" s="1616">
        <v>2550</v>
      </c>
      <c r="G17" s="1602">
        <f t="shared" si="7"/>
        <v>2550</v>
      </c>
      <c r="H17" s="1616">
        <v>0</v>
      </c>
      <c r="I17" s="1616">
        <v>2550</v>
      </c>
      <c r="J17" s="1602">
        <f t="shared" si="8"/>
        <v>0</v>
      </c>
      <c r="K17" s="1616">
        <v>0</v>
      </c>
      <c r="L17" s="1616">
        <v>0</v>
      </c>
      <c r="M17" s="1604">
        <f t="shared" si="3"/>
        <v>0</v>
      </c>
      <c r="N17" s="1881">
        <f t="shared" si="4"/>
        <v>0</v>
      </c>
      <c r="O17" s="1881">
        <f t="shared" si="5"/>
        <v>0</v>
      </c>
      <c r="P17" s="1599"/>
      <c r="Q17" s="1599"/>
      <c r="R17" s="1602">
        <f t="shared" si="0"/>
        <v>0</v>
      </c>
      <c r="S17" s="1619">
        <v>0</v>
      </c>
      <c r="T17" s="1619">
        <v>0</v>
      </c>
      <c r="U17" s="1602">
        <f t="shared" si="1"/>
        <v>0</v>
      </c>
      <c r="V17" s="1619">
        <v>0</v>
      </c>
      <c r="W17" s="1619">
        <v>0</v>
      </c>
      <c r="X17" s="1423">
        <f t="shared" si="6"/>
        <v>0</v>
      </c>
    </row>
    <row r="18" spans="1:24" s="1607" customFormat="1" ht="25.5" customHeight="1">
      <c r="A18" s="1867"/>
      <c r="B18" s="506" t="s">
        <v>433</v>
      </c>
      <c r="C18" s="1878"/>
      <c r="D18" s="1602">
        <f t="shared" si="2"/>
        <v>6090</v>
      </c>
      <c r="E18" s="1602">
        <f t="shared" ref="E18:L18" si="9">E19</f>
        <v>0</v>
      </c>
      <c r="F18" s="1602">
        <f t="shared" si="9"/>
        <v>6090</v>
      </c>
      <c r="G18" s="1602">
        <f t="shared" si="7"/>
        <v>6090</v>
      </c>
      <c r="H18" s="1602">
        <f t="shared" si="9"/>
        <v>0</v>
      </c>
      <c r="I18" s="1602">
        <f t="shared" si="9"/>
        <v>6090</v>
      </c>
      <c r="J18" s="1602">
        <f t="shared" si="8"/>
        <v>0</v>
      </c>
      <c r="K18" s="1602">
        <f t="shared" si="9"/>
        <v>0</v>
      </c>
      <c r="L18" s="1602">
        <f t="shared" si="9"/>
        <v>0</v>
      </c>
      <c r="M18" s="1601">
        <f t="shared" si="3"/>
        <v>0</v>
      </c>
      <c r="N18" s="1601">
        <f t="shared" si="4"/>
        <v>0</v>
      </c>
      <c r="O18" s="1601">
        <f t="shared" si="5"/>
        <v>0</v>
      </c>
      <c r="P18" s="1593" t="s">
        <v>353</v>
      </c>
      <c r="Q18" s="1593" t="s">
        <v>353</v>
      </c>
      <c r="R18" s="1602">
        <f t="shared" si="0"/>
        <v>0</v>
      </c>
      <c r="S18" s="1602">
        <f>S19</f>
        <v>0</v>
      </c>
      <c r="T18" s="1602">
        <f>T19</f>
        <v>0</v>
      </c>
      <c r="U18" s="1602">
        <f t="shared" si="1"/>
        <v>0</v>
      </c>
      <c r="V18" s="1602">
        <f>V19</f>
        <v>0</v>
      </c>
      <c r="W18" s="1602">
        <f>W19</f>
        <v>0</v>
      </c>
      <c r="X18" s="1423">
        <f t="shared" si="6"/>
        <v>0</v>
      </c>
    </row>
    <row r="19" spans="1:24" s="1607" customFormat="1" ht="103.5" customHeight="1">
      <c r="A19" s="1867">
        <f>A17+1</f>
        <v>2</v>
      </c>
      <c r="B19" s="521" t="s">
        <v>1674</v>
      </c>
      <c r="C19" s="1882"/>
      <c r="D19" s="1602">
        <f t="shared" si="2"/>
        <v>6090</v>
      </c>
      <c r="E19" s="1616"/>
      <c r="F19" s="1616">
        <v>6090</v>
      </c>
      <c r="G19" s="1602">
        <f t="shared" si="7"/>
        <v>6090</v>
      </c>
      <c r="H19" s="1616"/>
      <c r="I19" s="1616">
        <v>6090</v>
      </c>
      <c r="J19" s="1602">
        <f t="shared" si="8"/>
        <v>0</v>
      </c>
      <c r="K19" s="1616"/>
      <c r="L19" s="1616"/>
      <c r="M19" s="1604">
        <f t="shared" si="3"/>
        <v>0</v>
      </c>
      <c r="N19" s="1881">
        <f t="shared" si="4"/>
        <v>0</v>
      </c>
      <c r="O19" s="1881">
        <f t="shared" si="5"/>
        <v>0</v>
      </c>
      <c r="P19" s="1593"/>
      <c r="Q19" s="1593"/>
      <c r="R19" s="1602">
        <f t="shared" si="0"/>
        <v>0</v>
      </c>
      <c r="S19" s="1616">
        <v>0</v>
      </c>
      <c r="T19" s="1616">
        <v>0</v>
      </c>
      <c r="U19" s="1602">
        <f t="shared" si="1"/>
        <v>0</v>
      </c>
      <c r="V19" s="1616">
        <v>0</v>
      </c>
      <c r="W19" s="1616">
        <v>0</v>
      </c>
      <c r="X19" s="1423">
        <f t="shared" si="6"/>
        <v>0</v>
      </c>
    </row>
    <row r="20" spans="1:24" s="1607" customFormat="1" ht="19.5" customHeight="1">
      <c r="A20" s="1867"/>
      <c r="B20" s="506" t="s">
        <v>709</v>
      </c>
      <c r="C20" s="1878"/>
      <c r="D20" s="1602">
        <f t="shared" si="2"/>
        <v>27085.3</v>
      </c>
      <c r="E20" s="1603">
        <f>SUM(E21:E22)</f>
        <v>0</v>
      </c>
      <c r="F20" s="1603">
        <f>SUM(F21:F22)</f>
        <v>27085.3</v>
      </c>
      <c r="G20" s="1602">
        <f t="shared" si="7"/>
        <v>27085.3</v>
      </c>
      <c r="H20" s="1603">
        <f>SUM(H21:H22)</f>
        <v>0</v>
      </c>
      <c r="I20" s="1603">
        <f>SUM(I21:I22)</f>
        <v>27085.3</v>
      </c>
      <c r="J20" s="1602">
        <f t="shared" si="8"/>
        <v>0</v>
      </c>
      <c r="K20" s="1603">
        <f>SUM(K21:K22)</f>
        <v>0</v>
      </c>
      <c r="L20" s="1603">
        <f>SUM(L21:L22)</f>
        <v>0</v>
      </c>
      <c r="M20" s="1601">
        <f t="shared" si="3"/>
        <v>0</v>
      </c>
      <c r="N20" s="1601">
        <f t="shared" si="4"/>
        <v>0</v>
      </c>
      <c r="O20" s="1601">
        <f t="shared" si="5"/>
        <v>0</v>
      </c>
      <c r="P20" s="1593" t="s">
        <v>353</v>
      </c>
      <c r="Q20" s="1593" t="s">
        <v>353</v>
      </c>
      <c r="R20" s="1602">
        <f t="shared" si="0"/>
        <v>0</v>
      </c>
      <c r="S20" s="1603">
        <f>SUM(S21:S22)</f>
        <v>0</v>
      </c>
      <c r="T20" s="1603">
        <f>SUM(T21:T22)</f>
        <v>0</v>
      </c>
      <c r="U20" s="1602">
        <f t="shared" si="1"/>
        <v>0</v>
      </c>
      <c r="V20" s="1603">
        <f>SUM(V21:V22)</f>
        <v>0</v>
      </c>
      <c r="W20" s="1603">
        <f>SUM(W21:W22)</f>
        <v>0</v>
      </c>
      <c r="X20" s="1423">
        <f t="shared" si="6"/>
        <v>0</v>
      </c>
    </row>
    <row r="21" spans="1:24" s="1607" customFormat="1" ht="48" customHeight="1">
      <c r="A21" s="1867">
        <f>A19+1</f>
        <v>3</v>
      </c>
      <c r="B21" s="521" t="s">
        <v>1397</v>
      </c>
      <c r="C21" s="1882">
        <v>24368</v>
      </c>
      <c r="D21" s="1602">
        <f t="shared" si="2"/>
        <v>11088.5</v>
      </c>
      <c r="E21" s="1616"/>
      <c r="F21" s="1616">
        <v>11088.5</v>
      </c>
      <c r="G21" s="1602">
        <f t="shared" si="7"/>
        <v>11088.5</v>
      </c>
      <c r="H21" s="1616"/>
      <c r="I21" s="1616">
        <f>F21</f>
        <v>11088.5</v>
      </c>
      <c r="J21" s="1602">
        <f t="shared" si="8"/>
        <v>0</v>
      </c>
      <c r="K21" s="1616"/>
      <c r="L21" s="1616"/>
      <c r="M21" s="1604">
        <f t="shared" si="3"/>
        <v>0</v>
      </c>
      <c r="N21" s="1881">
        <f t="shared" si="4"/>
        <v>0</v>
      </c>
      <c r="O21" s="1881">
        <f t="shared" si="5"/>
        <v>0</v>
      </c>
      <c r="P21" s="1593" t="s">
        <v>1171</v>
      </c>
      <c r="Q21" s="1593" t="s">
        <v>1116</v>
      </c>
      <c r="R21" s="1600">
        <f t="shared" si="0"/>
        <v>0</v>
      </c>
      <c r="S21" s="1608">
        <v>0</v>
      </c>
      <c r="T21" s="1608">
        <v>0</v>
      </c>
      <c r="U21" s="1600">
        <f t="shared" si="1"/>
        <v>0</v>
      </c>
      <c r="V21" s="1608">
        <v>0</v>
      </c>
      <c r="W21" s="1608">
        <v>0</v>
      </c>
      <c r="X21" s="1423">
        <f t="shared" si="6"/>
        <v>0</v>
      </c>
    </row>
    <row r="22" spans="1:24" s="1607" customFormat="1" ht="42" customHeight="1">
      <c r="A22" s="1867">
        <f>A21+1</f>
        <v>4</v>
      </c>
      <c r="B22" s="1883" t="s">
        <v>1399</v>
      </c>
      <c r="C22" s="1882">
        <v>24368</v>
      </c>
      <c r="D22" s="1602">
        <f t="shared" si="2"/>
        <v>15996.8</v>
      </c>
      <c r="E22" s="1616"/>
      <c r="F22" s="1616">
        <v>15996.8</v>
      </c>
      <c r="G22" s="1602">
        <f t="shared" si="7"/>
        <v>15996.8</v>
      </c>
      <c r="H22" s="1616"/>
      <c r="I22" s="1616">
        <f>F22</f>
        <v>15996.8</v>
      </c>
      <c r="J22" s="1602">
        <f t="shared" si="8"/>
        <v>0</v>
      </c>
      <c r="K22" s="1616"/>
      <c r="L22" s="1616"/>
      <c r="M22" s="1604">
        <f t="shared" si="3"/>
        <v>0</v>
      </c>
      <c r="N22" s="1881">
        <f t="shared" si="4"/>
        <v>0</v>
      </c>
      <c r="O22" s="1881">
        <f t="shared" si="5"/>
        <v>0</v>
      </c>
      <c r="P22" s="1593" t="s">
        <v>1171</v>
      </c>
      <c r="Q22" s="1593" t="s">
        <v>1116</v>
      </c>
      <c r="R22" s="1600">
        <f t="shared" si="0"/>
        <v>0</v>
      </c>
      <c r="S22" s="1608">
        <v>0</v>
      </c>
      <c r="T22" s="1608">
        <v>0</v>
      </c>
      <c r="U22" s="1600">
        <v>0</v>
      </c>
      <c r="V22" s="1608">
        <v>0</v>
      </c>
      <c r="W22" s="1608">
        <v>0</v>
      </c>
      <c r="X22" s="1423">
        <f t="shared" si="6"/>
        <v>0</v>
      </c>
    </row>
    <row r="23" spans="1:24" s="1570" customFormat="1" ht="21" customHeight="1">
      <c r="A23" s="1867"/>
      <c r="B23" s="1884" t="s">
        <v>712</v>
      </c>
      <c r="C23" s="1880">
        <v>24366</v>
      </c>
      <c r="D23" s="1602">
        <f>SUM(E23:F23)</f>
        <v>5983.1</v>
      </c>
      <c r="E23" s="1603">
        <f>SUM(E24:E26)</f>
        <v>0</v>
      </c>
      <c r="F23" s="1603">
        <f>SUM(F24:F26)</f>
        <v>5983.1</v>
      </c>
      <c r="G23" s="1602">
        <f>SUM(H23:I23)</f>
        <v>5983.1</v>
      </c>
      <c r="H23" s="1603">
        <f>SUM(H24:H26)</f>
        <v>0</v>
      </c>
      <c r="I23" s="1603">
        <f>SUM(I24:I26)</f>
        <v>5983.1</v>
      </c>
      <c r="J23" s="1602">
        <f>SUM(K23:L23)</f>
        <v>0</v>
      </c>
      <c r="K23" s="1603">
        <f>SUM(K24:K26)</f>
        <v>0</v>
      </c>
      <c r="L23" s="1603">
        <f>SUM(L24:L26)</f>
        <v>0</v>
      </c>
      <c r="M23" s="1601">
        <f t="shared" si="3"/>
        <v>0</v>
      </c>
      <c r="N23" s="1601">
        <f t="shared" si="4"/>
        <v>0</v>
      </c>
      <c r="O23" s="1601">
        <f t="shared" si="5"/>
        <v>0</v>
      </c>
      <c r="P23" s="1593" t="s">
        <v>353</v>
      </c>
      <c r="Q23" s="1612" t="s">
        <v>353</v>
      </c>
      <c r="R23" s="1602">
        <f t="shared" si="0"/>
        <v>0</v>
      </c>
      <c r="S23" s="1603">
        <f>SUM(S24:S25)</f>
        <v>0</v>
      </c>
      <c r="T23" s="1603">
        <f>SUM(T24:T25)</f>
        <v>0</v>
      </c>
      <c r="U23" s="1602">
        <f t="shared" ref="U23:U59" si="10">SUM(V23:W23)</f>
        <v>0</v>
      </c>
      <c r="V23" s="1603">
        <f>SUM(V24:V25)</f>
        <v>0</v>
      </c>
      <c r="W23" s="1603">
        <f>SUM(W24:W25)</f>
        <v>0</v>
      </c>
      <c r="X23" s="1423">
        <f t="shared" si="6"/>
        <v>0</v>
      </c>
    </row>
    <row r="24" spans="1:24" s="1570" customFormat="1" ht="43.5" customHeight="1">
      <c r="A24" s="1867">
        <f>A22+1</f>
        <v>5</v>
      </c>
      <c r="B24" s="1885" t="s">
        <v>1568</v>
      </c>
      <c r="C24" s="1880"/>
      <c r="D24" s="1602">
        <f t="shared" si="2"/>
        <v>283.10000000000002</v>
      </c>
      <c r="E24" s="1615"/>
      <c r="F24" s="1615">
        <v>283.10000000000002</v>
      </c>
      <c r="G24" s="1602">
        <f t="shared" si="7"/>
        <v>283.10000000000002</v>
      </c>
      <c r="H24" s="1615"/>
      <c r="I24" s="1615">
        <v>283.10000000000002</v>
      </c>
      <c r="J24" s="1602">
        <f t="shared" si="8"/>
        <v>0</v>
      </c>
      <c r="K24" s="1615"/>
      <c r="L24" s="1615"/>
      <c r="M24" s="1604">
        <f t="shared" si="3"/>
        <v>0</v>
      </c>
      <c r="N24" s="1881">
        <f t="shared" si="4"/>
        <v>0</v>
      </c>
      <c r="O24" s="1881">
        <f t="shared" si="5"/>
        <v>0</v>
      </c>
      <c r="P24" s="1593"/>
      <c r="Q24" s="1612"/>
      <c r="R24" s="1602">
        <f t="shared" si="0"/>
        <v>0</v>
      </c>
      <c r="S24" s="1615">
        <v>0</v>
      </c>
      <c r="T24" s="1615">
        <v>0</v>
      </c>
      <c r="U24" s="1602">
        <f t="shared" si="10"/>
        <v>0</v>
      </c>
      <c r="V24" s="1615">
        <v>0</v>
      </c>
      <c r="W24" s="1615">
        <v>0</v>
      </c>
      <c r="X24" s="1423">
        <f t="shared" si="6"/>
        <v>0</v>
      </c>
    </row>
    <row r="25" spans="1:24" ht="24.75" customHeight="1">
      <c r="A25" s="1867">
        <f>A24+1</f>
        <v>6</v>
      </c>
      <c r="B25" s="1885" t="s">
        <v>1713</v>
      </c>
      <c r="C25" s="2016">
        <v>1500</v>
      </c>
      <c r="D25" s="1602">
        <f>SUM(E25:F25)</f>
        <v>1500</v>
      </c>
      <c r="E25" s="1615"/>
      <c r="F25" s="1615">
        <v>1500</v>
      </c>
      <c r="G25" s="1602">
        <f>SUM(H25:I25)</f>
        <v>1500</v>
      </c>
      <c r="H25" s="1615"/>
      <c r="I25" s="1615">
        <f>F25</f>
        <v>1500</v>
      </c>
      <c r="J25" s="1602">
        <f t="shared" si="8"/>
        <v>0</v>
      </c>
      <c r="K25" s="1615"/>
      <c r="L25" s="1615"/>
      <c r="M25" s="1604">
        <f t="shared" si="3"/>
        <v>0</v>
      </c>
      <c r="N25" s="1881">
        <f t="shared" si="4"/>
        <v>0</v>
      </c>
      <c r="O25" s="1881">
        <f t="shared" si="5"/>
        <v>0</v>
      </c>
      <c r="P25" s="1593" t="s">
        <v>1171</v>
      </c>
      <c r="Q25" s="1593" t="s">
        <v>1111</v>
      </c>
      <c r="R25" s="1600">
        <f t="shared" si="0"/>
        <v>0</v>
      </c>
      <c r="S25" s="1614">
        <v>0</v>
      </c>
      <c r="T25" s="1614">
        <v>0</v>
      </c>
      <c r="U25" s="1600">
        <f t="shared" si="10"/>
        <v>0</v>
      </c>
      <c r="V25" s="1614">
        <v>0</v>
      </c>
      <c r="W25" s="1614">
        <v>0</v>
      </c>
      <c r="X25" s="1423">
        <f t="shared" si="6"/>
        <v>0</v>
      </c>
    </row>
    <row r="26" spans="1:24" ht="63.75" customHeight="1">
      <c r="A26" s="2014">
        <f>A25+1</f>
        <v>7</v>
      </c>
      <c r="B26" s="1879" t="s">
        <v>1714</v>
      </c>
      <c r="C26" s="2016">
        <v>4200</v>
      </c>
      <c r="D26" s="1602">
        <f>SUM(E26:F26)</f>
        <v>4200</v>
      </c>
      <c r="E26" s="1615"/>
      <c r="F26" s="1615">
        <v>4200</v>
      </c>
      <c r="G26" s="1602">
        <f>SUM(H26:I26)</f>
        <v>4200</v>
      </c>
      <c r="H26" s="1615"/>
      <c r="I26" s="1615">
        <f>F26</f>
        <v>4200</v>
      </c>
      <c r="J26" s="1602"/>
      <c r="K26" s="1615"/>
      <c r="L26" s="1615"/>
      <c r="M26" s="1604">
        <f t="shared" si="3"/>
        <v>0</v>
      </c>
      <c r="N26" s="1881">
        <f t="shared" si="4"/>
        <v>0</v>
      </c>
      <c r="O26" s="1881">
        <f t="shared" si="5"/>
        <v>0</v>
      </c>
      <c r="P26" s="1593"/>
      <c r="Q26" s="1593"/>
      <c r="R26" s="1600"/>
      <c r="S26" s="1614"/>
      <c r="T26" s="1614"/>
      <c r="U26" s="1600"/>
      <c r="V26" s="1614"/>
      <c r="W26" s="1614"/>
      <c r="X26" s="1423">
        <f t="shared" si="6"/>
        <v>0</v>
      </c>
    </row>
    <row r="27" spans="1:24" s="1570" customFormat="1" ht="23.25">
      <c r="A27" s="1867"/>
      <c r="B27" s="1884" t="s">
        <v>1406</v>
      </c>
      <c r="C27" s="1867" t="s">
        <v>1538</v>
      </c>
      <c r="D27" s="1602">
        <f t="shared" si="2"/>
        <v>5580.7</v>
      </c>
      <c r="E27" s="1603">
        <f>E28</f>
        <v>0</v>
      </c>
      <c r="F27" s="1603">
        <f>F28</f>
        <v>5580.7</v>
      </c>
      <c r="G27" s="1602">
        <f t="shared" si="7"/>
        <v>5580.7</v>
      </c>
      <c r="H27" s="1603">
        <f>H28</f>
        <v>0</v>
      </c>
      <c r="I27" s="1603">
        <f>I28</f>
        <v>5580.7</v>
      </c>
      <c r="J27" s="1602">
        <f t="shared" si="8"/>
        <v>0</v>
      </c>
      <c r="K27" s="1603">
        <f>K28</f>
        <v>0</v>
      </c>
      <c r="L27" s="1603">
        <f>L28</f>
        <v>0</v>
      </c>
      <c r="M27" s="1601">
        <f t="shared" si="3"/>
        <v>0</v>
      </c>
      <c r="N27" s="1601">
        <f t="shared" si="4"/>
        <v>0</v>
      </c>
      <c r="O27" s="1601">
        <f t="shared" si="5"/>
        <v>0</v>
      </c>
      <c r="P27" s="1593" t="s">
        <v>353</v>
      </c>
      <c r="Q27" s="1612" t="s">
        <v>353</v>
      </c>
      <c r="R27" s="1602">
        <f t="shared" si="0"/>
        <v>0</v>
      </c>
      <c r="S27" s="1603">
        <f>S28</f>
        <v>0</v>
      </c>
      <c r="T27" s="1603">
        <f>T28</f>
        <v>0</v>
      </c>
      <c r="U27" s="1602">
        <f t="shared" si="10"/>
        <v>0</v>
      </c>
      <c r="V27" s="1603">
        <f>V28</f>
        <v>0</v>
      </c>
      <c r="W27" s="1603">
        <f>W28</f>
        <v>0</v>
      </c>
      <c r="X27" s="1423">
        <f t="shared" si="6"/>
        <v>0</v>
      </c>
    </row>
    <row r="28" spans="1:24" ht="38.25" customHeight="1">
      <c r="A28" s="1867">
        <f>A26+1</f>
        <v>8</v>
      </c>
      <c r="B28" s="1886" t="s">
        <v>1407</v>
      </c>
      <c r="C28" s="1867" t="s">
        <v>1538</v>
      </c>
      <c r="D28" s="1602">
        <f t="shared" si="2"/>
        <v>5580.7</v>
      </c>
      <c r="E28" s="1615"/>
      <c r="F28" s="1615">
        <f>18602.2-13021.5</f>
        <v>5580.7</v>
      </c>
      <c r="G28" s="1602">
        <f t="shared" si="7"/>
        <v>5580.7</v>
      </c>
      <c r="H28" s="1615"/>
      <c r="I28" s="1615">
        <f>18602.2-13021.5</f>
        <v>5580.7</v>
      </c>
      <c r="J28" s="1602">
        <f t="shared" si="8"/>
        <v>0</v>
      </c>
      <c r="K28" s="1615"/>
      <c r="L28" s="1615"/>
      <c r="M28" s="1604">
        <f t="shared" si="3"/>
        <v>0</v>
      </c>
      <c r="N28" s="1881">
        <f t="shared" si="4"/>
        <v>0</v>
      </c>
      <c r="O28" s="1881">
        <f t="shared" si="5"/>
        <v>0</v>
      </c>
      <c r="P28" s="1593" t="s">
        <v>1171</v>
      </c>
      <c r="Q28" s="1593" t="s">
        <v>1111</v>
      </c>
      <c r="R28" s="1600">
        <f t="shared" si="0"/>
        <v>0</v>
      </c>
      <c r="S28" s="1614">
        <v>0</v>
      </c>
      <c r="T28" s="1614">
        <v>0</v>
      </c>
      <c r="U28" s="1600">
        <f t="shared" si="10"/>
        <v>0</v>
      </c>
      <c r="V28" s="1614">
        <v>0</v>
      </c>
      <c r="W28" s="1614">
        <v>0</v>
      </c>
      <c r="X28" s="1423">
        <f t="shared" si="6"/>
        <v>0</v>
      </c>
    </row>
    <row r="29" spans="1:24" s="1607" customFormat="1" ht="23.25" customHeight="1">
      <c r="A29" s="1867"/>
      <c r="B29" s="506" t="s">
        <v>46</v>
      </c>
      <c r="C29" s="1882">
        <v>24347</v>
      </c>
      <c r="D29" s="1602">
        <f t="shared" si="2"/>
        <v>8635</v>
      </c>
      <c r="E29" s="1603">
        <f>E30</f>
        <v>0</v>
      </c>
      <c r="F29" s="1603">
        <f>F30</f>
        <v>8635</v>
      </c>
      <c r="G29" s="1602">
        <f t="shared" si="7"/>
        <v>8635</v>
      </c>
      <c r="H29" s="1603">
        <f>H30</f>
        <v>0</v>
      </c>
      <c r="I29" s="1603">
        <f>I30</f>
        <v>8635</v>
      </c>
      <c r="J29" s="1602">
        <f t="shared" si="8"/>
        <v>0</v>
      </c>
      <c r="K29" s="1603">
        <f>K30</f>
        <v>0</v>
      </c>
      <c r="L29" s="1603">
        <f>L30</f>
        <v>0</v>
      </c>
      <c r="M29" s="1604">
        <f t="shared" si="3"/>
        <v>0</v>
      </c>
      <c r="N29" s="1881">
        <f t="shared" si="4"/>
        <v>0</v>
      </c>
      <c r="O29" s="1881">
        <f t="shared" si="5"/>
        <v>0</v>
      </c>
      <c r="P29" s="1593" t="s">
        <v>353</v>
      </c>
      <c r="Q29" s="1593" t="s">
        <v>353</v>
      </c>
      <c r="R29" s="1602">
        <f t="shared" si="0"/>
        <v>0</v>
      </c>
      <c r="S29" s="1603">
        <f>S30</f>
        <v>0</v>
      </c>
      <c r="T29" s="1603">
        <f>T30</f>
        <v>0</v>
      </c>
      <c r="U29" s="1602">
        <f t="shared" si="10"/>
        <v>0</v>
      </c>
      <c r="V29" s="1603">
        <f>V30</f>
        <v>0</v>
      </c>
      <c r="W29" s="1603">
        <f>W30</f>
        <v>0</v>
      </c>
      <c r="X29" s="1423">
        <f t="shared" si="6"/>
        <v>0</v>
      </c>
    </row>
    <row r="30" spans="1:24" s="1607" customFormat="1" ht="81.75" customHeight="1">
      <c r="A30" s="1867">
        <f>A28+1</f>
        <v>9</v>
      </c>
      <c r="B30" s="521" t="s">
        <v>1517</v>
      </c>
      <c r="C30" s="1882">
        <v>24347</v>
      </c>
      <c r="D30" s="1602">
        <f t="shared" si="2"/>
        <v>8635</v>
      </c>
      <c r="E30" s="1616"/>
      <c r="F30" s="1616">
        <f>12500-3865</f>
        <v>8635</v>
      </c>
      <c r="G30" s="1602">
        <f t="shared" si="7"/>
        <v>8635</v>
      </c>
      <c r="H30" s="1616"/>
      <c r="I30" s="1616">
        <f>12500-3865</f>
        <v>8635</v>
      </c>
      <c r="J30" s="1602">
        <f t="shared" si="8"/>
        <v>0</v>
      </c>
      <c r="K30" s="1616"/>
      <c r="L30" s="1616"/>
      <c r="M30" s="1604">
        <f t="shared" si="3"/>
        <v>0</v>
      </c>
      <c r="N30" s="1881">
        <f t="shared" si="4"/>
        <v>0</v>
      </c>
      <c r="O30" s="1881">
        <f t="shared" si="5"/>
        <v>0</v>
      </c>
      <c r="P30" s="1593" t="s">
        <v>1184</v>
      </c>
      <c r="Q30" s="1593" t="s">
        <v>1136</v>
      </c>
      <c r="R30" s="1600">
        <f t="shared" si="0"/>
        <v>0</v>
      </c>
      <c r="S30" s="1608">
        <v>0</v>
      </c>
      <c r="T30" s="1608">
        <v>0</v>
      </c>
      <c r="U30" s="1600">
        <f t="shared" si="10"/>
        <v>0</v>
      </c>
      <c r="V30" s="1608">
        <v>0</v>
      </c>
      <c r="W30" s="1608">
        <v>0</v>
      </c>
      <c r="X30" s="1423">
        <f t="shared" si="6"/>
        <v>0</v>
      </c>
    </row>
    <row r="31" spans="1:24" s="1570" customFormat="1" ht="24.75" customHeight="1">
      <c r="A31" s="1867"/>
      <c r="B31" s="1884" t="s">
        <v>583</v>
      </c>
      <c r="C31" s="1867">
        <v>24366</v>
      </c>
      <c r="D31" s="1602">
        <f t="shared" si="2"/>
        <v>750</v>
      </c>
      <c r="E31" s="1603">
        <f>E32</f>
        <v>0</v>
      </c>
      <c r="F31" s="1603">
        <f>F32</f>
        <v>750</v>
      </c>
      <c r="G31" s="1602">
        <f t="shared" si="7"/>
        <v>750</v>
      </c>
      <c r="H31" s="1603">
        <f>H32</f>
        <v>0</v>
      </c>
      <c r="I31" s="1603">
        <f>I32</f>
        <v>750</v>
      </c>
      <c r="J31" s="1602">
        <f t="shared" si="8"/>
        <v>0</v>
      </c>
      <c r="K31" s="1603">
        <f>K32</f>
        <v>0</v>
      </c>
      <c r="L31" s="1603">
        <f>L32</f>
        <v>0</v>
      </c>
      <c r="M31" s="1604">
        <f t="shared" si="3"/>
        <v>0</v>
      </c>
      <c r="N31" s="1604">
        <f t="shared" si="4"/>
        <v>0</v>
      </c>
      <c r="O31" s="1604">
        <f t="shared" si="5"/>
        <v>0</v>
      </c>
      <c r="P31" s="1593" t="s">
        <v>353</v>
      </c>
      <c r="Q31" s="1612" t="s">
        <v>353</v>
      </c>
      <c r="R31" s="1602">
        <f t="shared" si="0"/>
        <v>0</v>
      </c>
      <c r="S31" s="1603">
        <f>S32</f>
        <v>0</v>
      </c>
      <c r="T31" s="1603">
        <f>T32</f>
        <v>0</v>
      </c>
      <c r="U31" s="1602">
        <f t="shared" si="10"/>
        <v>0</v>
      </c>
      <c r="V31" s="1603">
        <f>V32</f>
        <v>0</v>
      </c>
      <c r="W31" s="1603">
        <f>W32</f>
        <v>0</v>
      </c>
      <c r="X31" s="1423">
        <f t="shared" si="6"/>
        <v>0</v>
      </c>
    </row>
    <row r="32" spans="1:24" ht="42.75" customHeight="1">
      <c r="A32" s="1867">
        <f>A30+1</f>
        <v>10</v>
      </c>
      <c r="B32" s="1887" t="s">
        <v>1403</v>
      </c>
      <c r="C32" s="1867">
        <v>24366</v>
      </c>
      <c r="D32" s="1602">
        <f t="shared" si="2"/>
        <v>750</v>
      </c>
      <c r="E32" s="1615"/>
      <c r="F32" s="1615">
        <f>2500-1750</f>
        <v>750</v>
      </c>
      <c r="G32" s="1602">
        <f t="shared" si="7"/>
        <v>750</v>
      </c>
      <c r="H32" s="1615"/>
      <c r="I32" s="1615">
        <f>2500-1750</f>
        <v>750</v>
      </c>
      <c r="J32" s="1602">
        <f t="shared" si="8"/>
        <v>0</v>
      </c>
      <c r="K32" s="1615"/>
      <c r="L32" s="1615"/>
      <c r="M32" s="1604">
        <f t="shared" si="3"/>
        <v>0</v>
      </c>
      <c r="N32" s="1881">
        <f t="shared" si="4"/>
        <v>0</v>
      </c>
      <c r="O32" s="1881">
        <f t="shared" si="5"/>
        <v>0</v>
      </c>
      <c r="P32" s="1593" t="s">
        <v>1171</v>
      </c>
      <c r="Q32" s="1593" t="s">
        <v>1111</v>
      </c>
      <c r="R32" s="1600">
        <f t="shared" si="0"/>
        <v>0</v>
      </c>
      <c r="S32" s="1614">
        <v>0</v>
      </c>
      <c r="T32" s="1614">
        <v>0</v>
      </c>
      <c r="U32" s="1600">
        <f t="shared" si="10"/>
        <v>0</v>
      </c>
      <c r="V32" s="1614">
        <v>0</v>
      </c>
      <c r="W32" s="1614">
        <v>0</v>
      </c>
      <c r="X32" s="1423">
        <f t="shared" si="6"/>
        <v>0</v>
      </c>
    </row>
    <row r="33" spans="1:24" ht="21.75" customHeight="1">
      <c r="A33" s="1867"/>
      <c r="B33" s="506" t="s">
        <v>68</v>
      </c>
      <c r="C33" s="1867">
        <v>24366</v>
      </c>
      <c r="D33" s="1602">
        <f t="shared" si="2"/>
        <v>18698.7</v>
      </c>
      <c r="E33" s="1603">
        <f>SUM(E34:E37)</f>
        <v>0</v>
      </c>
      <c r="F33" s="1603">
        <f>SUM(F34:F37)</f>
        <v>18698.7</v>
      </c>
      <c r="G33" s="1602">
        <f t="shared" si="7"/>
        <v>18698.7</v>
      </c>
      <c r="H33" s="1603">
        <f>SUM(H34:H37)</f>
        <v>0</v>
      </c>
      <c r="I33" s="1603">
        <f>SUM(I34:I37)</f>
        <v>18698.7</v>
      </c>
      <c r="J33" s="1602">
        <f t="shared" si="8"/>
        <v>9964.2000000000007</v>
      </c>
      <c r="K33" s="1603">
        <f>SUM(K34:K37)</f>
        <v>0</v>
      </c>
      <c r="L33" s="1603">
        <f>SUM(L34:L37)</f>
        <v>9964.2000000000007</v>
      </c>
      <c r="M33" s="1601">
        <f t="shared" si="3"/>
        <v>53.3</v>
      </c>
      <c r="N33" s="1601">
        <f t="shared" si="4"/>
        <v>0</v>
      </c>
      <c r="O33" s="1601">
        <f t="shared" si="5"/>
        <v>53.3</v>
      </c>
      <c r="P33" s="1601">
        <f>SUM(P34:P37)</f>
        <v>0</v>
      </c>
      <c r="Q33" s="1601">
        <f>SUM(Q34:Q37)</f>
        <v>0</v>
      </c>
      <c r="R33" s="1602">
        <f t="shared" si="0"/>
        <v>8734.5</v>
      </c>
      <c r="S33" s="1603">
        <f>SUM(S34:S37)</f>
        <v>0</v>
      </c>
      <c r="T33" s="1603">
        <f>SUM(T34:T37)</f>
        <v>8734.5</v>
      </c>
      <c r="U33" s="1602">
        <f t="shared" si="10"/>
        <v>0</v>
      </c>
      <c r="V33" s="1603">
        <f>SUM(V34:V37)</f>
        <v>0</v>
      </c>
      <c r="W33" s="1603">
        <f>SUM(W34:W37)</f>
        <v>0</v>
      </c>
      <c r="X33" s="1423">
        <f t="shared" si="6"/>
        <v>0</v>
      </c>
    </row>
    <row r="34" spans="1:24" ht="137.25" customHeight="1">
      <c r="A34" s="1867">
        <f>A32+1</f>
        <v>11</v>
      </c>
      <c r="B34" s="1888" t="s">
        <v>1553</v>
      </c>
      <c r="C34" s="1867"/>
      <c r="D34" s="1602">
        <f t="shared" si="2"/>
        <v>4000</v>
      </c>
      <c r="E34" s="1616"/>
      <c r="F34" s="1616">
        <v>4000</v>
      </c>
      <c r="G34" s="1602">
        <f t="shared" si="7"/>
        <v>4000</v>
      </c>
      <c r="H34" s="1616"/>
      <c r="I34" s="1616">
        <v>4000</v>
      </c>
      <c r="J34" s="1602">
        <f t="shared" si="8"/>
        <v>4000</v>
      </c>
      <c r="K34" s="1616"/>
      <c r="L34" s="1616">
        <v>4000</v>
      </c>
      <c r="M34" s="1604">
        <f t="shared" si="3"/>
        <v>100</v>
      </c>
      <c r="N34" s="1881">
        <f t="shared" si="4"/>
        <v>0</v>
      </c>
      <c r="O34" s="1881">
        <f t="shared" si="5"/>
        <v>100</v>
      </c>
      <c r="P34" s="1593"/>
      <c r="Q34" s="1593"/>
      <c r="R34" s="1600">
        <f t="shared" si="0"/>
        <v>0</v>
      </c>
      <c r="S34" s="1865">
        <v>0</v>
      </c>
      <c r="T34" s="1865">
        <v>0</v>
      </c>
      <c r="U34" s="1600">
        <f t="shared" si="10"/>
        <v>0</v>
      </c>
      <c r="V34" s="1865">
        <v>0</v>
      </c>
      <c r="W34" s="1865">
        <v>0</v>
      </c>
      <c r="X34" s="1423">
        <f t="shared" si="6"/>
        <v>0</v>
      </c>
    </row>
    <row r="35" spans="1:24" ht="118.5" customHeight="1">
      <c r="A35" s="1867">
        <f>A34+1</f>
        <v>12</v>
      </c>
      <c r="B35" s="1889" t="s">
        <v>1552</v>
      </c>
      <c r="C35" s="1867"/>
      <c r="D35" s="1602">
        <f t="shared" si="2"/>
        <v>2400</v>
      </c>
      <c r="E35" s="1616"/>
      <c r="F35" s="1616">
        <v>2400</v>
      </c>
      <c r="G35" s="1602">
        <f t="shared" si="7"/>
        <v>2400</v>
      </c>
      <c r="H35" s="1616"/>
      <c r="I35" s="1616">
        <v>2400</v>
      </c>
      <c r="J35" s="1602">
        <f t="shared" si="8"/>
        <v>2400</v>
      </c>
      <c r="K35" s="1616"/>
      <c r="L35" s="1616">
        <v>2400</v>
      </c>
      <c r="M35" s="1604">
        <f t="shared" si="3"/>
        <v>100</v>
      </c>
      <c r="N35" s="1881">
        <f t="shared" si="4"/>
        <v>0</v>
      </c>
      <c r="O35" s="1881">
        <f t="shared" si="5"/>
        <v>100</v>
      </c>
      <c r="P35" s="1593"/>
      <c r="Q35" s="1593"/>
      <c r="R35" s="1600">
        <f t="shared" si="0"/>
        <v>0</v>
      </c>
      <c r="S35" s="1865">
        <v>0</v>
      </c>
      <c r="T35" s="1865">
        <v>0</v>
      </c>
      <c r="U35" s="1600">
        <f t="shared" si="10"/>
        <v>0</v>
      </c>
      <c r="V35" s="1865">
        <v>0</v>
      </c>
      <c r="W35" s="1865">
        <v>0</v>
      </c>
      <c r="X35" s="1423">
        <f t="shared" si="6"/>
        <v>0</v>
      </c>
    </row>
    <row r="36" spans="1:24" ht="60.75" customHeight="1">
      <c r="A36" s="1867">
        <f>A35+1</f>
        <v>13</v>
      </c>
      <c r="B36" s="1888" t="s">
        <v>1561</v>
      </c>
      <c r="C36" s="1867"/>
      <c r="D36" s="1602">
        <f t="shared" si="2"/>
        <v>3564.2</v>
      </c>
      <c r="E36" s="1616"/>
      <c r="F36" s="1616">
        <v>3564.2</v>
      </c>
      <c r="G36" s="1602">
        <f t="shared" si="7"/>
        <v>3564.2</v>
      </c>
      <c r="H36" s="1616"/>
      <c r="I36" s="1616">
        <v>3564.2</v>
      </c>
      <c r="J36" s="1602">
        <f t="shared" si="8"/>
        <v>3564.2</v>
      </c>
      <c r="K36" s="1616"/>
      <c r="L36" s="1616">
        <v>3564.2</v>
      </c>
      <c r="M36" s="1604">
        <f t="shared" si="3"/>
        <v>100</v>
      </c>
      <c r="N36" s="1881">
        <f t="shared" si="4"/>
        <v>0</v>
      </c>
      <c r="O36" s="1881">
        <f t="shared" si="5"/>
        <v>100</v>
      </c>
      <c r="P36" s="1593"/>
      <c r="Q36" s="1593"/>
      <c r="R36" s="1600">
        <f t="shared" si="0"/>
        <v>0</v>
      </c>
      <c r="S36" s="1865">
        <v>0</v>
      </c>
      <c r="T36" s="1865">
        <v>0</v>
      </c>
      <c r="U36" s="1600">
        <f t="shared" si="10"/>
        <v>0</v>
      </c>
      <c r="V36" s="1865">
        <v>0</v>
      </c>
      <c r="W36" s="1865">
        <v>0</v>
      </c>
      <c r="X36" s="1423">
        <f t="shared" si="6"/>
        <v>0</v>
      </c>
    </row>
    <row r="37" spans="1:24" ht="47.25" customHeight="1">
      <c r="A37" s="1867">
        <f>A36+1</f>
        <v>14</v>
      </c>
      <c r="B37" s="1890" t="s">
        <v>1651</v>
      </c>
      <c r="C37" s="1867">
        <v>24366</v>
      </c>
      <c r="D37" s="1602">
        <f t="shared" si="2"/>
        <v>8734.5</v>
      </c>
      <c r="E37" s="1616"/>
      <c r="F37" s="1616">
        <v>8734.5</v>
      </c>
      <c r="G37" s="1602">
        <f t="shared" si="7"/>
        <v>8734.5</v>
      </c>
      <c r="H37" s="1616"/>
      <c r="I37" s="1616">
        <v>8734.5</v>
      </c>
      <c r="J37" s="1602">
        <f t="shared" si="8"/>
        <v>0</v>
      </c>
      <c r="K37" s="1616"/>
      <c r="L37" s="1616"/>
      <c r="M37" s="1604">
        <f t="shared" si="3"/>
        <v>0</v>
      </c>
      <c r="N37" s="1881">
        <f t="shared" si="4"/>
        <v>0</v>
      </c>
      <c r="O37" s="1881">
        <f t="shared" si="5"/>
        <v>0</v>
      </c>
      <c r="P37" s="1593" t="s">
        <v>1176</v>
      </c>
      <c r="Q37" s="1593" t="s">
        <v>1125</v>
      </c>
      <c r="R37" s="1600">
        <f t="shared" si="0"/>
        <v>8734.5</v>
      </c>
      <c r="S37" s="1608">
        <v>0</v>
      </c>
      <c r="T37" s="1608">
        <v>8734.5</v>
      </c>
      <c r="U37" s="1600">
        <f t="shared" si="10"/>
        <v>0</v>
      </c>
      <c r="V37" s="1608">
        <v>0</v>
      </c>
      <c r="W37" s="1608">
        <v>0</v>
      </c>
      <c r="X37" s="1423">
        <f t="shared" si="6"/>
        <v>0</v>
      </c>
    </row>
    <row r="38" spans="1:24" s="1570" customFormat="1" ht="24.75" customHeight="1">
      <c r="A38" s="1867"/>
      <c r="B38" s="1884" t="s">
        <v>1408</v>
      </c>
      <c r="C38" s="1880" t="s">
        <v>1538</v>
      </c>
      <c r="D38" s="1602">
        <f t="shared" si="2"/>
        <v>3448.5</v>
      </c>
      <c r="E38" s="1603">
        <f>SUM(E39)</f>
        <v>0</v>
      </c>
      <c r="F38" s="1603">
        <f>SUM(F39)</f>
        <v>3448.5</v>
      </c>
      <c r="G38" s="1602">
        <f t="shared" si="7"/>
        <v>3448.5</v>
      </c>
      <c r="H38" s="1603">
        <f>SUM(H39)</f>
        <v>0</v>
      </c>
      <c r="I38" s="1603">
        <f>SUM(I39)</f>
        <v>3448.5</v>
      </c>
      <c r="J38" s="1602">
        <f t="shared" si="8"/>
        <v>0</v>
      </c>
      <c r="K38" s="1603">
        <f>SUM(K39)</f>
        <v>0</v>
      </c>
      <c r="L38" s="1603">
        <f>SUM(L39)</f>
        <v>0</v>
      </c>
      <c r="M38" s="1604">
        <f t="shared" si="3"/>
        <v>0</v>
      </c>
      <c r="N38" s="1604">
        <f t="shared" si="4"/>
        <v>0</v>
      </c>
      <c r="O38" s="1604">
        <f t="shared" si="5"/>
        <v>0</v>
      </c>
      <c r="P38" s="1593" t="s">
        <v>353</v>
      </c>
      <c r="Q38" s="1612" t="s">
        <v>353</v>
      </c>
      <c r="R38" s="1602">
        <f t="shared" si="0"/>
        <v>0</v>
      </c>
      <c r="S38" s="1603">
        <f>SUM(S39)</f>
        <v>0</v>
      </c>
      <c r="T38" s="1603">
        <f>SUM(T39)</f>
        <v>0</v>
      </c>
      <c r="U38" s="1602">
        <f t="shared" si="10"/>
        <v>0</v>
      </c>
      <c r="V38" s="1603">
        <f>SUM(V39)</f>
        <v>0</v>
      </c>
      <c r="W38" s="1603">
        <f>SUM(W39)</f>
        <v>0</v>
      </c>
      <c r="X38" s="1423">
        <f t="shared" si="6"/>
        <v>0</v>
      </c>
    </row>
    <row r="39" spans="1:24" ht="45" customHeight="1">
      <c r="A39" s="1867">
        <f>A37+1</f>
        <v>15</v>
      </c>
      <c r="B39" s="1886" t="s">
        <v>1409</v>
      </c>
      <c r="C39" s="1880" t="s">
        <v>1538</v>
      </c>
      <c r="D39" s="1602">
        <f t="shared" si="2"/>
        <v>3448.5</v>
      </c>
      <c r="E39" s="1615"/>
      <c r="F39" s="1615">
        <f>11495-8046.5</f>
        <v>3448.5</v>
      </c>
      <c r="G39" s="1602">
        <f t="shared" si="7"/>
        <v>3448.5</v>
      </c>
      <c r="H39" s="1615"/>
      <c r="I39" s="1615">
        <f>11495-8046.5</f>
        <v>3448.5</v>
      </c>
      <c r="J39" s="1602">
        <f t="shared" si="8"/>
        <v>0</v>
      </c>
      <c r="K39" s="1615"/>
      <c r="L39" s="1615"/>
      <c r="M39" s="1604">
        <f t="shared" si="3"/>
        <v>0</v>
      </c>
      <c r="N39" s="1881">
        <f t="shared" si="4"/>
        <v>0</v>
      </c>
      <c r="O39" s="1881">
        <f t="shared" si="5"/>
        <v>0</v>
      </c>
      <c r="P39" s="1593" t="s">
        <v>1171</v>
      </c>
      <c r="Q39" s="1593" t="s">
        <v>1111</v>
      </c>
      <c r="R39" s="1600">
        <f t="shared" si="0"/>
        <v>0</v>
      </c>
      <c r="S39" s="1614">
        <v>0</v>
      </c>
      <c r="T39" s="1614">
        <v>0</v>
      </c>
      <c r="U39" s="1600">
        <f t="shared" si="10"/>
        <v>0</v>
      </c>
      <c r="V39" s="1614">
        <v>0</v>
      </c>
      <c r="W39" s="1614">
        <v>0</v>
      </c>
      <c r="X39" s="1423">
        <f t="shared" si="6"/>
        <v>0</v>
      </c>
    </row>
    <row r="40" spans="1:24" ht="27" customHeight="1">
      <c r="A40" s="1867"/>
      <c r="B40" s="1891" t="s">
        <v>431</v>
      </c>
      <c r="C40" s="1880"/>
      <c r="D40" s="1602">
        <f>SUM(E40:F40)</f>
        <v>18900</v>
      </c>
      <c r="E40" s="1603">
        <f>SUM(E41:E44)</f>
        <v>0</v>
      </c>
      <c r="F40" s="1603">
        <f>SUM(F41:F44)</f>
        <v>18900</v>
      </c>
      <c r="G40" s="1602">
        <f t="shared" si="7"/>
        <v>18900</v>
      </c>
      <c r="H40" s="1603">
        <f>SUM(H41:H44)</f>
        <v>0</v>
      </c>
      <c r="I40" s="1603">
        <f>SUM(I41:I44)</f>
        <v>18900</v>
      </c>
      <c r="J40" s="1602">
        <f t="shared" si="8"/>
        <v>0</v>
      </c>
      <c r="K40" s="1603">
        <f>SUM(K41:K44)</f>
        <v>0</v>
      </c>
      <c r="L40" s="1603">
        <f>SUM(L41:L44)</f>
        <v>0</v>
      </c>
      <c r="M40" s="1601">
        <f t="shared" si="3"/>
        <v>0</v>
      </c>
      <c r="N40" s="1601">
        <f t="shared" si="4"/>
        <v>0</v>
      </c>
      <c r="O40" s="1601">
        <f t="shared" si="5"/>
        <v>0</v>
      </c>
      <c r="P40" s="1593"/>
      <c r="Q40" s="1593"/>
      <c r="R40" s="1602">
        <f t="shared" si="0"/>
        <v>12400</v>
      </c>
      <c r="S40" s="1603">
        <f>SUM(S41:S44)</f>
        <v>0</v>
      </c>
      <c r="T40" s="1603">
        <f>SUM(T41:T44)</f>
        <v>12400</v>
      </c>
      <c r="U40" s="1602">
        <f t="shared" si="10"/>
        <v>0</v>
      </c>
      <c r="V40" s="1603">
        <f>SUM(V41:V44)</f>
        <v>0</v>
      </c>
      <c r="W40" s="1603">
        <f>SUM(W41:W44)</f>
        <v>0</v>
      </c>
      <c r="X40" s="1423">
        <f t="shared" si="6"/>
        <v>0</v>
      </c>
    </row>
    <row r="41" spans="1:24" ht="38.25" customHeight="1">
      <c r="A41" s="1867">
        <f>A39+1</f>
        <v>16</v>
      </c>
      <c r="B41" s="1886" t="s">
        <v>1715</v>
      </c>
      <c r="C41" s="1880"/>
      <c r="D41" s="1602">
        <f>SUM(E41:F41)</f>
        <v>8266.7000000000007</v>
      </c>
      <c r="E41" s="1603"/>
      <c r="F41" s="1864">
        <v>8266.7000000000007</v>
      </c>
      <c r="G41" s="1602">
        <f>SUM(H41:I41)</f>
        <v>8266.7000000000007</v>
      </c>
      <c r="H41" s="1603"/>
      <c r="I41" s="1864">
        <f>F41</f>
        <v>8266.7000000000007</v>
      </c>
      <c r="J41" s="1602">
        <f t="shared" si="8"/>
        <v>0</v>
      </c>
      <c r="K41" s="1615"/>
      <c r="L41" s="1615"/>
      <c r="M41" s="1604">
        <f t="shared" si="3"/>
        <v>0</v>
      </c>
      <c r="N41" s="1881">
        <f t="shared" si="4"/>
        <v>0</v>
      </c>
      <c r="O41" s="1881">
        <f t="shared" si="5"/>
        <v>0</v>
      </c>
      <c r="P41" s="1593"/>
      <c r="Q41" s="1593"/>
      <c r="R41" s="1602">
        <f t="shared" si="0"/>
        <v>12400</v>
      </c>
      <c r="S41" s="1614">
        <v>0</v>
      </c>
      <c r="T41" s="1614">
        <v>12400</v>
      </c>
      <c r="U41" s="1602">
        <f t="shared" si="10"/>
        <v>0</v>
      </c>
      <c r="V41" s="1614">
        <v>0</v>
      </c>
      <c r="W41" s="1614">
        <v>0</v>
      </c>
      <c r="X41" s="1423">
        <f t="shared" si="6"/>
        <v>0</v>
      </c>
    </row>
    <row r="42" spans="1:24" ht="46.5" customHeight="1">
      <c r="A42" s="1867">
        <f>A41+1</f>
        <v>17</v>
      </c>
      <c r="B42" s="1886" t="s">
        <v>1716</v>
      </c>
      <c r="C42" s="1880"/>
      <c r="D42" s="1602">
        <f>SUM(E42:F42)</f>
        <v>4133.3</v>
      </c>
      <c r="E42" s="1615"/>
      <c r="F42" s="1615">
        <v>4133.3</v>
      </c>
      <c r="G42" s="1602">
        <f>SUM(H42:I42)</f>
        <v>4133.3</v>
      </c>
      <c r="H42" s="1615"/>
      <c r="I42" s="1615">
        <f>F42</f>
        <v>4133.3</v>
      </c>
      <c r="J42" s="1602">
        <f t="shared" si="8"/>
        <v>0</v>
      </c>
      <c r="K42" s="1615"/>
      <c r="L42" s="1615"/>
      <c r="M42" s="1604">
        <f t="shared" si="3"/>
        <v>0</v>
      </c>
      <c r="N42" s="1881">
        <f t="shared" si="4"/>
        <v>0</v>
      </c>
      <c r="O42" s="1881">
        <f t="shared" si="5"/>
        <v>0</v>
      </c>
      <c r="P42" s="1593"/>
      <c r="Q42" s="1593"/>
      <c r="R42" s="1602">
        <f t="shared" si="0"/>
        <v>0</v>
      </c>
      <c r="S42" s="1614">
        <v>0</v>
      </c>
      <c r="T42" s="1614">
        <v>0</v>
      </c>
      <c r="U42" s="1602">
        <f t="shared" si="10"/>
        <v>0</v>
      </c>
      <c r="V42" s="1614">
        <v>0</v>
      </c>
      <c r="W42" s="1614">
        <v>0</v>
      </c>
      <c r="X42" s="1423">
        <f t="shared" si="6"/>
        <v>0</v>
      </c>
    </row>
    <row r="43" spans="1:24" ht="54.75" hidden="1" customHeight="1">
      <c r="A43" s="2014"/>
      <c r="B43" s="1892"/>
      <c r="C43" s="1880"/>
      <c r="D43" s="1602"/>
      <c r="E43" s="1615"/>
      <c r="F43" s="1615"/>
      <c r="G43" s="1602"/>
      <c r="H43" s="1615"/>
      <c r="I43" s="1615"/>
      <c r="J43" s="1602"/>
      <c r="K43" s="1615"/>
      <c r="L43" s="1615"/>
      <c r="M43" s="1604">
        <f t="shared" si="3"/>
        <v>0</v>
      </c>
      <c r="N43" s="1881">
        <f t="shared" si="4"/>
        <v>0</v>
      </c>
      <c r="O43" s="1881">
        <f t="shared" si="5"/>
        <v>0</v>
      </c>
      <c r="P43" s="1593"/>
      <c r="Q43" s="1593"/>
      <c r="R43" s="1602"/>
      <c r="S43" s="1614"/>
      <c r="T43" s="1614"/>
      <c r="U43" s="1602"/>
      <c r="V43" s="1614"/>
      <c r="W43" s="1614"/>
    </row>
    <row r="44" spans="1:24" ht="63.75" customHeight="1">
      <c r="A44" s="1867">
        <f>A42+1</f>
        <v>18</v>
      </c>
      <c r="B44" s="1886" t="s">
        <v>1562</v>
      </c>
      <c r="C44" s="1880"/>
      <c r="D44" s="1602">
        <f t="shared" si="2"/>
        <v>6500</v>
      </c>
      <c r="E44" s="1615"/>
      <c r="F44" s="1615">
        <v>6500</v>
      </c>
      <c r="G44" s="1602">
        <f t="shared" si="7"/>
        <v>6500</v>
      </c>
      <c r="H44" s="1615"/>
      <c r="I44" s="1615">
        <v>6500</v>
      </c>
      <c r="J44" s="1602">
        <f t="shared" si="8"/>
        <v>0</v>
      </c>
      <c r="K44" s="1615"/>
      <c r="L44" s="1615"/>
      <c r="M44" s="1604">
        <f t="shared" si="3"/>
        <v>0</v>
      </c>
      <c r="N44" s="1881">
        <f t="shared" si="4"/>
        <v>0</v>
      </c>
      <c r="O44" s="1881">
        <f t="shared" si="5"/>
        <v>0</v>
      </c>
      <c r="P44" s="1593"/>
      <c r="Q44" s="1593"/>
      <c r="R44" s="1602">
        <f t="shared" si="0"/>
        <v>0</v>
      </c>
      <c r="S44" s="1614">
        <v>0</v>
      </c>
      <c r="T44" s="1614">
        <v>0</v>
      </c>
      <c r="U44" s="1602">
        <f t="shared" si="10"/>
        <v>0</v>
      </c>
      <c r="V44" s="1614">
        <v>0</v>
      </c>
      <c r="W44" s="1614">
        <v>0</v>
      </c>
      <c r="X44" s="1423">
        <f t="shared" ref="X44:X80" si="11">D44-G44</f>
        <v>0</v>
      </c>
    </row>
    <row r="45" spans="1:24" s="1570" customFormat="1" ht="22.5" customHeight="1">
      <c r="A45" s="1867"/>
      <c r="B45" s="1884" t="s">
        <v>729</v>
      </c>
      <c r="C45" s="1880">
        <v>24366</v>
      </c>
      <c r="D45" s="1603">
        <f t="shared" si="2"/>
        <v>8280</v>
      </c>
      <c r="E45" s="1603">
        <f>SUM(E46:E47)</f>
        <v>0</v>
      </c>
      <c r="F45" s="1603">
        <f>SUM(F46:F47)</f>
        <v>8280</v>
      </c>
      <c r="G45" s="1603">
        <f t="shared" si="7"/>
        <v>8280</v>
      </c>
      <c r="H45" s="1603">
        <f>SUM(H46:H47)</f>
        <v>0</v>
      </c>
      <c r="I45" s="1603">
        <f>SUM(I46:I47)</f>
        <v>8280</v>
      </c>
      <c r="J45" s="1603">
        <f t="shared" ref="J45:J80" si="12">SUM(K45:L45)</f>
        <v>0</v>
      </c>
      <c r="K45" s="1603">
        <f>SUM(K46:K47)</f>
        <v>0</v>
      </c>
      <c r="L45" s="1603">
        <f>SUM(L46:L47)</f>
        <v>0</v>
      </c>
      <c r="M45" s="1601">
        <f t="shared" si="3"/>
        <v>0</v>
      </c>
      <c r="N45" s="1601">
        <f t="shared" si="4"/>
        <v>0</v>
      </c>
      <c r="O45" s="1601">
        <f t="shared" si="5"/>
        <v>0</v>
      </c>
      <c r="P45" s="1593" t="s">
        <v>353</v>
      </c>
      <c r="Q45" s="1612" t="s">
        <v>353</v>
      </c>
      <c r="R45" s="1600">
        <f t="shared" si="0"/>
        <v>0</v>
      </c>
      <c r="S45" s="1610">
        <f>SUM(S46:S46)</f>
        <v>0</v>
      </c>
      <c r="T45" s="1610">
        <f>SUM(T46:T46)</f>
        <v>0</v>
      </c>
      <c r="U45" s="1600">
        <f t="shared" si="10"/>
        <v>0</v>
      </c>
      <c r="V45" s="1610">
        <f>SUM(V46:V46)</f>
        <v>0</v>
      </c>
      <c r="W45" s="1610">
        <f>SUM(W46:W46)</f>
        <v>0</v>
      </c>
      <c r="X45" s="1423">
        <f t="shared" si="11"/>
        <v>0</v>
      </c>
    </row>
    <row r="46" spans="1:24" ht="28.5" customHeight="1">
      <c r="A46" s="1867">
        <f>A44+1</f>
        <v>19</v>
      </c>
      <c r="B46" s="1883" t="s">
        <v>1405</v>
      </c>
      <c r="C46" s="1880">
        <v>24366</v>
      </c>
      <c r="D46" s="1602">
        <f t="shared" si="2"/>
        <v>4500</v>
      </c>
      <c r="E46" s="1615"/>
      <c r="F46" s="1615">
        <v>4500</v>
      </c>
      <c r="G46" s="1602">
        <f t="shared" ref="G46:G81" si="13">SUM(H46:I46)</f>
        <v>4500</v>
      </c>
      <c r="H46" s="1615"/>
      <c r="I46" s="1615">
        <v>4500</v>
      </c>
      <c r="J46" s="1602">
        <f t="shared" si="12"/>
        <v>0</v>
      </c>
      <c r="K46" s="1615"/>
      <c r="L46" s="1615"/>
      <c r="M46" s="1604">
        <f t="shared" si="3"/>
        <v>0</v>
      </c>
      <c r="N46" s="1881">
        <f t="shared" si="4"/>
        <v>0</v>
      </c>
      <c r="O46" s="1881">
        <f t="shared" si="5"/>
        <v>0</v>
      </c>
      <c r="P46" s="1593" t="s">
        <v>1171</v>
      </c>
      <c r="Q46" s="1593" t="s">
        <v>1111</v>
      </c>
      <c r="R46" s="1600">
        <f t="shared" si="0"/>
        <v>0</v>
      </c>
      <c r="S46" s="1614">
        <v>0</v>
      </c>
      <c r="T46" s="1614">
        <v>0</v>
      </c>
      <c r="U46" s="1600">
        <f t="shared" si="10"/>
        <v>0</v>
      </c>
      <c r="V46" s="1614">
        <v>0</v>
      </c>
      <c r="W46" s="1614">
        <v>0</v>
      </c>
      <c r="X46" s="1423">
        <f t="shared" si="11"/>
        <v>0</v>
      </c>
    </row>
    <row r="47" spans="1:24" s="484" customFormat="1" ht="45" customHeight="1">
      <c r="A47" s="1867">
        <f>A46+1</f>
        <v>20</v>
      </c>
      <c r="B47" s="1888" t="s">
        <v>1675</v>
      </c>
      <c r="C47" s="1866"/>
      <c r="D47" s="1602">
        <f t="shared" si="2"/>
        <v>3780</v>
      </c>
      <c r="E47" s="1615"/>
      <c r="F47" s="1615">
        <v>3780</v>
      </c>
      <c r="G47" s="1602">
        <f t="shared" si="13"/>
        <v>3780</v>
      </c>
      <c r="H47" s="1615"/>
      <c r="I47" s="1615">
        <v>3780</v>
      </c>
      <c r="J47" s="1602">
        <f t="shared" si="12"/>
        <v>0</v>
      </c>
      <c r="K47" s="1615"/>
      <c r="L47" s="1615"/>
      <c r="M47" s="1893">
        <f t="shared" si="3"/>
        <v>0</v>
      </c>
      <c r="N47" s="1894">
        <f t="shared" si="4"/>
        <v>0</v>
      </c>
      <c r="O47" s="1894">
        <f t="shared" si="5"/>
        <v>0</v>
      </c>
      <c r="P47" s="1593"/>
      <c r="Q47" s="1593"/>
      <c r="R47" s="1600">
        <f t="shared" si="0"/>
        <v>0</v>
      </c>
      <c r="S47" s="1615">
        <v>0</v>
      </c>
      <c r="T47" s="1615">
        <v>0</v>
      </c>
      <c r="U47" s="1600">
        <f t="shared" si="10"/>
        <v>0</v>
      </c>
      <c r="V47" s="1615">
        <v>0</v>
      </c>
      <c r="W47" s="1615">
        <v>0</v>
      </c>
      <c r="X47" s="1423">
        <f t="shared" si="11"/>
        <v>0</v>
      </c>
    </row>
    <row r="48" spans="1:24" s="1570" customFormat="1" ht="30" customHeight="1">
      <c r="A48" s="1867"/>
      <c r="B48" s="1884" t="s">
        <v>12</v>
      </c>
      <c r="C48" s="1880">
        <v>24366</v>
      </c>
      <c r="D48" s="1603">
        <f t="shared" si="2"/>
        <v>14691.3</v>
      </c>
      <c r="E48" s="1603">
        <f>SUM(E49:E53)</f>
        <v>0</v>
      </c>
      <c r="F48" s="1603">
        <f>SUM(F49:F53)</f>
        <v>14691.3</v>
      </c>
      <c r="G48" s="1603">
        <f t="shared" si="13"/>
        <v>14691.3</v>
      </c>
      <c r="H48" s="1603">
        <f>SUM(H49:H53)</f>
        <v>0</v>
      </c>
      <c r="I48" s="1603">
        <f>SUM(I49:I53)</f>
        <v>14691.3</v>
      </c>
      <c r="J48" s="1603">
        <f t="shared" si="12"/>
        <v>0</v>
      </c>
      <c r="K48" s="1603">
        <f>SUM(K49:K53)</f>
        <v>0</v>
      </c>
      <c r="L48" s="1603">
        <f>SUM(L49:L53)</f>
        <v>0</v>
      </c>
      <c r="M48" s="1604">
        <f t="shared" si="3"/>
        <v>0</v>
      </c>
      <c r="N48" s="1604">
        <f t="shared" si="4"/>
        <v>0</v>
      </c>
      <c r="O48" s="1604">
        <f t="shared" si="5"/>
        <v>0</v>
      </c>
      <c r="P48" s="1593" t="s">
        <v>353</v>
      </c>
      <c r="Q48" s="1612" t="s">
        <v>353</v>
      </c>
      <c r="R48" s="1603">
        <f t="shared" si="0"/>
        <v>0</v>
      </c>
      <c r="S48" s="1603">
        <f>SUM(S49:S53)</f>
        <v>0</v>
      </c>
      <c r="T48" s="1603">
        <f>SUM(T49:T53)</f>
        <v>0</v>
      </c>
      <c r="U48" s="1603">
        <f t="shared" si="10"/>
        <v>0</v>
      </c>
      <c r="V48" s="1603">
        <f>SUM(V49:V53)</f>
        <v>0</v>
      </c>
      <c r="W48" s="1603">
        <f>SUM(W49:W53)</f>
        <v>0</v>
      </c>
      <c r="X48" s="1423">
        <f t="shared" si="11"/>
        <v>0</v>
      </c>
    </row>
    <row r="49" spans="1:24" ht="43.5" customHeight="1">
      <c r="A49" s="1867">
        <f>A47+1</f>
        <v>21</v>
      </c>
      <c r="B49" s="1883" t="s">
        <v>1717</v>
      </c>
      <c r="C49" s="1880">
        <v>24366</v>
      </c>
      <c r="D49" s="1602">
        <f>SUM(E49:F49)</f>
        <v>3827.6</v>
      </c>
      <c r="E49" s="1615"/>
      <c r="F49" s="1615">
        <v>3827.6</v>
      </c>
      <c r="G49" s="1602">
        <f>SUM(H49:I49)</f>
        <v>3827.6</v>
      </c>
      <c r="H49" s="1615"/>
      <c r="I49" s="1615">
        <f>F49</f>
        <v>3827.6</v>
      </c>
      <c r="J49" s="1602">
        <f t="shared" si="12"/>
        <v>0</v>
      </c>
      <c r="K49" s="1615"/>
      <c r="L49" s="1615"/>
      <c r="M49" s="1604">
        <f t="shared" si="3"/>
        <v>0</v>
      </c>
      <c r="N49" s="1881">
        <f t="shared" si="4"/>
        <v>0</v>
      </c>
      <c r="O49" s="1881">
        <f t="shared" si="5"/>
        <v>0</v>
      </c>
      <c r="P49" s="1593" t="s">
        <v>1171</v>
      </c>
      <c r="Q49" s="1593" t="s">
        <v>1111</v>
      </c>
      <c r="R49" s="1600">
        <f t="shared" si="0"/>
        <v>0</v>
      </c>
      <c r="S49" s="1614">
        <v>0</v>
      </c>
      <c r="T49" s="1614">
        <v>0</v>
      </c>
      <c r="U49" s="1600">
        <f t="shared" si="10"/>
        <v>0</v>
      </c>
      <c r="V49" s="1614">
        <v>0</v>
      </c>
      <c r="W49" s="1614">
        <v>0</v>
      </c>
      <c r="X49" s="1423">
        <f t="shared" si="11"/>
        <v>0</v>
      </c>
    </row>
    <row r="50" spans="1:24" ht="43.5" customHeight="1">
      <c r="A50" s="2014">
        <f>A49+1</f>
        <v>22</v>
      </c>
      <c r="B50" s="1883" t="s">
        <v>1718</v>
      </c>
      <c r="C50" s="1880"/>
      <c r="D50" s="1602">
        <f>SUM(E50:F50)</f>
        <v>2439</v>
      </c>
      <c r="E50" s="1615"/>
      <c r="F50" s="1615">
        <v>2439</v>
      </c>
      <c r="G50" s="1602">
        <f>SUM(H50:I50)</f>
        <v>2439</v>
      </c>
      <c r="H50" s="1615"/>
      <c r="I50" s="1615">
        <f>F50</f>
        <v>2439</v>
      </c>
      <c r="J50" s="1602">
        <f t="shared" si="12"/>
        <v>0</v>
      </c>
      <c r="K50" s="1615"/>
      <c r="L50" s="1615"/>
      <c r="M50" s="1604">
        <f t="shared" si="3"/>
        <v>0</v>
      </c>
      <c r="N50" s="1881">
        <f t="shared" si="4"/>
        <v>0</v>
      </c>
      <c r="O50" s="1881">
        <f t="shared" si="5"/>
        <v>0</v>
      </c>
      <c r="P50" s="1593"/>
      <c r="Q50" s="1593"/>
      <c r="R50" s="1600"/>
      <c r="S50" s="1614"/>
      <c r="T50" s="1614"/>
      <c r="U50" s="1600"/>
      <c r="V50" s="1614"/>
      <c r="W50" s="1614"/>
      <c r="X50" s="1423">
        <f t="shared" si="11"/>
        <v>0</v>
      </c>
    </row>
    <row r="51" spans="1:24" ht="43.5" customHeight="1">
      <c r="A51" s="2014">
        <f>A50+1</f>
        <v>23</v>
      </c>
      <c r="B51" s="1883" t="s">
        <v>1719</v>
      </c>
      <c r="C51" s="1880"/>
      <c r="D51" s="1602">
        <f>SUM(E51:F51)</f>
        <v>2658</v>
      </c>
      <c r="E51" s="1615"/>
      <c r="F51" s="1615">
        <v>2658</v>
      </c>
      <c r="G51" s="1602">
        <f>SUM(H51:I51)</f>
        <v>2658</v>
      </c>
      <c r="H51" s="1615"/>
      <c r="I51" s="1615">
        <f>F51</f>
        <v>2658</v>
      </c>
      <c r="J51" s="1602">
        <f t="shared" si="12"/>
        <v>0</v>
      </c>
      <c r="K51" s="1615"/>
      <c r="L51" s="1615"/>
      <c r="M51" s="1604">
        <f t="shared" si="3"/>
        <v>0</v>
      </c>
      <c r="N51" s="1881">
        <f t="shared" si="4"/>
        <v>0</v>
      </c>
      <c r="O51" s="1881">
        <f t="shared" si="5"/>
        <v>0</v>
      </c>
      <c r="P51" s="1593"/>
      <c r="Q51" s="1593"/>
      <c r="R51" s="1600"/>
      <c r="S51" s="1614"/>
      <c r="T51" s="1614"/>
      <c r="U51" s="1600"/>
      <c r="V51" s="1614"/>
      <c r="W51" s="1614"/>
      <c r="X51" s="1423">
        <f t="shared" si="11"/>
        <v>0</v>
      </c>
    </row>
    <row r="52" spans="1:24" ht="43.5" customHeight="1">
      <c r="A52" s="2014">
        <f>A51+1</f>
        <v>24</v>
      </c>
      <c r="B52" s="1883" t="s">
        <v>1720</v>
      </c>
      <c r="C52" s="1880"/>
      <c r="D52" s="1602">
        <f>SUM(E52:F52)</f>
        <v>2091</v>
      </c>
      <c r="E52" s="1615"/>
      <c r="F52" s="1615">
        <v>2091</v>
      </c>
      <c r="G52" s="1602">
        <f>SUM(H52:I52)</f>
        <v>2091</v>
      </c>
      <c r="H52" s="1615"/>
      <c r="I52" s="1615">
        <f>F52</f>
        <v>2091</v>
      </c>
      <c r="J52" s="1602">
        <f t="shared" si="12"/>
        <v>0</v>
      </c>
      <c r="K52" s="1615"/>
      <c r="L52" s="1615"/>
      <c r="M52" s="1604">
        <f t="shared" si="3"/>
        <v>0</v>
      </c>
      <c r="N52" s="1881">
        <f t="shared" si="4"/>
        <v>0</v>
      </c>
      <c r="O52" s="1881">
        <f t="shared" si="5"/>
        <v>0</v>
      </c>
      <c r="P52" s="1593"/>
      <c r="Q52" s="1593"/>
      <c r="R52" s="1600"/>
      <c r="S52" s="1614"/>
      <c r="T52" s="1614"/>
      <c r="U52" s="1600"/>
      <c r="V52" s="1614"/>
      <c r="W52" s="1614"/>
      <c r="X52" s="1423">
        <f t="shared" si="11"/>
        <v>0</v>
      </c>
    </row>
    <row r="53" spans="1:24" ht="54" customHeight="1">
      <c r="A53" s="1867">
        <f>A52+1</f>
        <v>25</v>
      </c>
      <c r="B53" s="1888" t="s">
        <v>1567</v>
      </c>
      <c r="C53" s="1866"/>
      <c r="D53" s="1602">
        <f t="shared" si="2"/>
        <v>3675.7</v>
      </c>
      <c r="E53" s="1615">
        <v>0</v>
      </c>
      <c r="F53" s="1615">
        <f>4725.9-1050.2</f>
        <v>3675.7</v>
      </c>
      <c r="G53" s="1602">
        <f t="shared" si="13"/>
        <v>3675.7</v>
      </c>
      <c r="H53" s="1615"/>
      <c r="I53" s="1615">
        <f>4725.9-1050.2</f>
        <v>3675.7</v>
      </c>
      <c r="J53" s="1602">
        <f t="shared" si="12"/>
        <v>0</v>
      </c>
      <c r="K53" s="1615">
        <v>0</v>
      </c>
      <c r="L53" s="1615"/>
      <c r="M53" s="1604">
        <f t="shared" si="3"/>
        <v>0</v>
      </c>
      <c r="N53" s="1881">
        <f t="shared" si="4"/>
        <v>0</v>
      </c>
      <c r="O53" s="1881">
        <f t="shared" si="5"/>
        <v>0</v>
      </c>
      <c r="P53" s="1593"/>
      <c r="Q53" s="1593"/>
      <c r="R53" s="1600">
        <f t="shared" si="0"/>
        <v>0</v>
      </c>
      <c r="S53" s="1614">
        <v>0</v>
      </c>
      <c r="T53" s="1614">
        <v>0</v>
      </c>
      <c r="U53" s="1600">
        <f t="shared" si="10"/>
        <v>0</v>
      </c>
      <c r="V53" s="1614">
        <v>0</v>
      </c>
      <c r="W53" s="1614">
        <v>0</v>
      </c>
      <c r="X53" s="1423">
        <f t="shared" si="11"/>
        <v>0</v>
      </c>
    </row>
    <row r="54" spans="1:24" s="1570" customFormat="1" ht="25.5" customHeight="1">
      <c r="A54" s="1867"/>
      <c r="B54" s="1884" t="s">
        <v>90</v>
      </c>
      <c r="C54" s="1880">
        <v>24366</v>
      </c>
      <c r="D54" s="1602">
        <f t="shared" si="2"/>
        <v>1300</v>
      </c>
      <c r="E54" s="1603">
        <f>SUM(E55)</f>
        <v>0</v>
      </c>
      <c r="F54" s="1603">
        <f>SUM(F55)</f>
        <v>1300</v>
      </c>
      <c r="G54" s="1602">
        <f t="shared" si="13"/>
        <v>1300</v>
      </c>
      <c r="H54" s="1603">
        <f>SUM(H55)</f>
        <v>0</v>
      </c>
      <c r="I54" s="1603">
        <f>SUM(I55)</f>
        <v>1300</v>
      </c>
      <c r="J54" s="1602">
        <f t="shared" si="12"/>
        <v>258.7</v>
      </c>
      <c r="K54" s="1603">
        <f>SUM(K55)</f>
        <v>0</v>
      </c>
      <c r="L54" s="1603">
        <f>SUM(L55)</f>
        <v>258.7</v>
      </c>
      <c r="M54" s="1604">
        <f t="shared" si="3"/>
        <v>19.899999999999999</v>
      </c>
      <c r="N54" s="1604">
        <f t="shared" si="4"/>
        <v>0</v>
      </c>
      <c r="O54" s="1604">
        <f t="shared" si="5"/>
        <v>19.899999999999999</v>
      </c>
      <c r="P54" s="1593" t="s">
        <v>353</v>
      </c>
      <c r="Q54" s="1612" t="s">
        <v>353</v>
      </c>
      <c r="R54" s="1600">
        <f t="shared" si="0"/>
        <v>0</v>
      </c>
      <c r="S54" s="1610">
        <f>SUM(S55:S55)</f>
        <v>0</v>
      </c>
      <c r="T54" s="1610">
        <f>SUM(T55:T55)</f>
        <v>0</v>
      </c>
      <c r="U54" s="1600">
        <f t="shared" si="10"/>
        <v>0</v>
      </c>
      <c r="V54" s="1610">
        <f>SUM(V55:V55)</f>
        <v>0</v>
      </c>
      <c r="W54" s="1610">
        <f>SUM(W55:W55)</f>
        <v>0</v>
      </c>
      <c r="X54" s="1423">
        <f t="shared" si="11"/>
        <v>0</v>
      </c>
    </row>
    <row r="55" spans="1:24" ht="47.25" customHeight="1">
      <c r="A55" s="1867">
        <f>A53+1</f>
        <v>26</v>
      </c>
      <c r="B55" s="1879" t="s">
        <v>1404</v>
      </c>
      <c r="C55" s="1880">
        <v>24366</v>
      </c>
      <c r="D55" s="1602">
        <f t="shared" si="2"/>
        <v>1300</v>
      </c>
      <c r="E55" s="1615"/>
      <c r="F55" s="1615">
        <v>1300</v>
      </c>
      <c r="G55" s="1602">
        <f t="shared" si="13"/>
        <v>1300</v>
      </c>
      <c r="H55" s="1615"/>
      <c r="I55" s="1615">
        <v>1300</v>
      </c>
      <c r="J55" s="1602">
        <f t="shared" si="12"/>
        <v>258.7</v>
      </c>
      <c r="K55" s="1615"/>
      <c r="L55" s="1615">
        <v>258.7</v>
      </c>
      <c r="M55" s="1604">
        <f t="shared" si="3"/>
        <v>19.899999999999999</v>
      </c>
      <c r="N55" s="1881">
        <f t="shared" si="4"/>
        <v>0</v>
      </c>
      <c r="O55" s="1881">
        <f t="shared" si="5"/>
        <v>19.899999999999999</v>
      </c>
      <c r="P55" s="1593" t="s">
        <v>1171</v>
      </c>
      <c r="Q55" s="1593" t="s">
        <v>1111</v>
      </c>
      <c r="R55" s="1600">
        <f t="shared" si="0"/>
        <v>0</v>
      </c>
      <c r="S55" s="1614">
        <v>0</v>
      </c>
      <c r="T55" s="1614">
        <v>0</v>
      </c>
      <c r="U55" s="1600">
        <f t="shared" si="10"/>
        <v>0</v>
      </c>
      <c r="V55" s="1614">
        <v>0</v>
      </c>
      <c r="W55" s="1614">
        <v>0</v>
      </c>
      <c r="X55" s="1423">
        <f t="shared" si="11"/>
        <v>0</v>
      </c>
    </row>
    <row r="56" spans="1:24" s="1607" customFormat="1" ht="18.75" customHeight="1">
      <c r="A56" s="1867"/>
      <c r="B56" s="506" t="s">
        <v>1401</v>
      </c>
      <c r="C56" s="1882">
        <v>24366</v>
      </c>
      <c r="D56" s="1603">
        <f t="shared" si="2"/>
        <v>10964.5</v>
      </c>
      <c r="E56" s="1603">
        <f>SUM(E57:E58)</f>
        <v>0</v>
      </c>
      <c r="F56" s="1603">
        <f>SUM(F57:F58)</f>
        <v>10964.5</v>
      </c>
      <c r="G56" s="1603">
        <f t="shared" si="13"/>
        <v>10964.5</v>
      </c>
      <c r="H56" s="1603">
        <f>SUM(H57:H58)</f>
        <v>0</v>
      </c>
      <c r="I56" s="1603">
        <f>SUM(I57:I58)</f>
        <v>10964.5</v>
      </c>
      <c r="J56" s="1603">
        <f t="shared" si="12"/>
        <v>772.5</v>
      </c>
      <c r="K56" s="1603">
        <f>SUM(K57:K58)</f>
        <v>0</v>
      </c>
      <c r="L56" s="1603">
        <f>SUM(L57:L58)</f>
        <v>772.5</v>
      </c>
      <c r="M56" s="1601">
        <f t="shared" si="3"/>
        <v>7</v>
      </c>
      <c r="N56" s="1601">
        <f t="shared" si="4"/>
        <v>0</v>
      </c>
      <c r="O56" s="1601">
        <f t="shared" si="5"/>
        <v>7</v>
      </c>
      <c r="P56" s="1593" t="s">
        <v>353</v>
      </c>
      <c r="Q56" s="1593" t="s">
        <v>353</v>
      </c>
      <c r="R56" s="1603">
        <f t="shared" si="0"/>
        <v>0</v>
      </c>
      <c r="S56" s="1603">
        <f>SUM(S57:S58)</f>
        <v>0</v>
      </c>
      <c r="T56" s="1603">
        <f>SUM(T57:T58)</f>
        <v>0</v>
      </c>
      <c r="U56" s="1603">
        <f t="shared" si="10"/>
        <v>0</v>
      </c>
      <c r="V56" s="1603">
        <f>SUM(V57:V58)</f>
        <v>0</v>
      </c>
      <c r="W56" s="1603">
        <f>SUM(W57:W58)</f>
        <v>0</v>
      </c>
      <c r="X56" s="1423">
        <f t="shared" si="11"/>
        <v>0</v>
      </c>
    </row>
    <row r="57" spans="1:24" s="1607" customFormat="1" ht="23.25" customHeight="1">
      <c r="A57" s="1867">
        <f>A55+1</f>
        <v>27</v>
      </c>
      <c r="B57" s="521" t="s">
        <v>1518</v>
      </c>
      <c r="C57" s="1882">
        <v>24366</v>
      </c>
      <c r="D57" s="1602">
        <f t="shared" si="2"/>
        <v>10192</v>
      </c>
      <c r="E57" s="1616"/>
      <c r="F57" s="1616">
        <v>10192</v>
      </c>
      <c r="G57" s="1602">
        <f t="shared" si="13"/>
        <v>10192</v>
      </c>
      <c r="H57" s="1616"/>
      <c r="I57" s="1616">
        <v>10192</v>
      </c>
      <c r="J57" s="1602">
        <f t="shared" si="12"/>
        <v>0</v>
      </c>
      <c r="K57" s="1616"/>
      <c r="L57" s="1616"/>
      <c r="M57" s="1604">
        <f t="shared" si="3"/>
        <v>0</v>
      </c>
      <c r="N57" s="1881">
        <f t="shared" si="4"/>
        <v>0</v>
      </c>
      <c r="O57" s="1881">
        <f t="shared" si="5"/>
        <v>0</v>
      </c>
      <c r="P57" s="1593" t="s">
        <v>1171</v>
      </c>
      <c r="Q57" s="1593" t="s">
        <v>1116</v>
      </c>
      <c r="R57" s="1600">
        <f t="shared" si="0"/>
        <v>0</v>
      </c>
      <c r="S57" s="1608">
        <v>0</v>
      </c>
      <c r="T57" s="1608">
        <v>0</v>
      </c>
      <c r="U57" s="1600">
        <f t="shared" si="10"/>
        <v>0</v>
      </c>
      <c r="V57" s="1608">
        <v>0</v>
      </c>
      <c r="W57" s="1608">
        <v>0</v>
      </c>
      <c r="X57" s="1423">
        <f t="shared" si="11"/>
        <v>0</v>
      </c>
    </row>
    <row r="58" spans="1:24" ht="78" customHeight="1">
      <c r="A58" s="1867">
        <f>A57+1</f>
        <v>28</v>
      </c>
      <c r="B58" s="1879" t="s">
        <v>434</v>
      </c>
      <c r="C58" s="1880"/>
      <c r="D58" s="1602">
        <f t="shared" si="2"/>
        <v>772.5</v>
      </c>
      <c r="E58" s="1616">
        <v>0</v>
      </c>
      <c r="F58" s="1616">
        <f>845-72.5</f>
        <v>772.5</v>
      </c>
      <c r="G58" s="1602">
        <f t="shared" si="13"/>
        <v>772.5</v>
      </c>
      <c r="H58" s="1616"/>
      <c r="I58" s="1616">
        <f>845-72.5</f>
        <v>772.5</v>
      </c>
      <c r="J58" s="1602">
        <f t="shared" si="12"/>
        <v>772.5</v>
      </c>
      <c r="K58" s="1616">
        <v>0</v>
      </c>
      <c r="L58" s="1616">
        <v>772.5</v>
      </c>
      <c r="M58" s="1604">
        <f t="shared" si="3"/>
        <v>100</v>
      </c>
      <c r="N58" s="1881">
        <f t="shared" si="4"/>
        <v>0</v>
      </c>
      <c r="O58" s="1881">
        <f t="shared" si="5"/>
        <v>100</v>
      </c>
      <c r="P58" s="1599"/>
      <c r="Q58" s="1599"/>
      <c r="R58" s="1600">
        <f t="shared" si="0"/>
        <v>0</v>
      </c>
      <c r="S58" s="1619">
        <v>0</v>
      </c>
      <c r="T58" s="1619">
        <v>0</v>
      </c>
      <c r="U58" s="1600">
        <f t="shared" si="10"/>
        <v>0</v>
      </c>
      <c r="V58" s="1619">
        <v>0</v>
      </c>
      <c r="W58" s="1619">
        <v>0</v>
      </c>
      <c r="X58" s="1423">
        <f t="shared" si="11"/>
        <v>0</v>
      </c>
    </row>
    <row r="59" spans="1:24" s="1607" customFormat="1" ht="23.25" customHeight="1">
      <c r="A59" s="1867"/>
      <c r="B59" s="506" t="s">
        <v>1554</v>
      </c>
      <c r="C59" s="1882"/>
      <c r="D59" s="1602">
        <f t="shared" si="2"/>
        <v>7342.8</v>
      </c>
      <c r="E59" s="1603">
        <f>SUM(E60:E61)</f>
        <v>0</v>
      </c>
      <c r="F59" s="1603">
        <f>SUM(F60:F61)</f>
        <v>7342.8</v>
      </c>
      <c r="G59" s="1602">
        <f t="shared" si="13"/>
        <v>7342.8</v>
      </c>
      <c r="H59" s="1603">
        <f>SUM(H60:H61)</f>
        <v>0</v>
      </c>
      <c r="I59" s="1603">
        <f>SUM(I60:I61)</f>
        <v>7342.8</v>
      </c>
      <c r="J59" s="1602">
        <f t="shared" si="12"/>
        <v>0</v>
      </c>
      <c r="K59" s="1603">
        <f>SUM(K60:K61)</f>
        <v>0</v>
      </c>
      <c r="L59" s="1603">
        <f>SUM(L60:L61)</f>
        <v>0</v>
      </c>
      <c r="M59" s="1601">
        <f t="shared" si="3"/>
        <v>0</v>
      </c>
      <c r="N59" s="1601">
        <f t="shared" si="4"/>
        <v>0</v>
      </c>
      <c r="O59" s="1601">
        <f t="shared" si="5"/>
        <v>0</v>
      </c>
      <c r="P59" s="1593"/>
      <c r="Q59" s="1593"/>
      <c r="R59" s="1602">
        <f t="shared" si="0"/>
        <v>0</v>
      </c>
      <c r="S59" s="1603">
        <f>SUM(S60:S61)</f>
        <v>0</v>
      </c>
      <c r="T59" s="1603">
        <f>SUM(T60:T61)</f>
        <v>0</v>
      </c>
      <c r="U59" s="1602">
        <f t="shared" si="10"/>
        <v>0</v>
      </c>
      <c r="V59" s="1603">
        <f>SUM(V60:V61)</f>
        <v>0</v>
      </c>
      <c r="W59" s="1603">
        <f>SUM(W60:W61)</f>
        <v>0</v>
      </c>
      <c r="X59" s="1423">
        <f t="shared" si="11"/>
        <v>0</v>
      </c>
    </row>
    <row r="60" spans="1:24" s="1607" customFormat="1" ht="84.75" customHeight="1">
      <c r="A60" s="1867">
        <f>A58+1</f>
        <v>29</v>
      </c>
      <c r="B60" s="521" t="s">
        <v>1555</v>
      </c>
      <c r="C60" s="1882"/>
      <c r="D60" s="1602">
        <f t="shared" si="2"/>
        <v>4192</v>
      </c>
      <c r="E60" s="1616"/>
      <c r="F60" s="1616">
        <v>4192</v>
      </c>
      <c r="G60" s="1602">
        <f t="shared" si="13"/>
        <v>4192</v>
      </c>
      <c r="H60" s="1616"/>
      <c r="I60" s="1616">
        <f>F60</f>
        <v>4192</v>
      </c>
      <c r="J60" s="1602">
        <f t="shared" si="12"/>
        <v>0</v>
      </c>
      <c r="K60" s="1616"/>
      <c r="L60" s="1616"/>
      <c r="M60" s="1604">
        <f t="shared" si="3"/>
        <v>0</v>
      </c>
      <c r="N60" s="1881">
        <f t="shared" si="4"/>
        <v>0</v>
      </c>
      <c r="O60" s="1881">
        <f t="shared" si="5"/>
        <v>0</v>
      </c>
      <c r="P60" s="1593"/>
      <c r="Q60" s="1593"/>
      <c r="R60" s="1600">
        <f>S60+T60</f>
        <v>0</v>
      </c>
      <c r="S60" s="1608">
        <v>0</v>
      </c>
      <c r="T60" s="1608">
        <v>0</v>
      </c>
      <c r="U60" s="1600">
        <f>V60+W60</f>
        <v>0</v>
      </c>
      <c r="V60" s="1608">
        <v>0</v>
      </c>
      <c r="W60" s="1608">
        <v>0</v>
      </c>
      <c r="X60" s="1423">
        <f t="shared" si="11"/>
        <v>0</v>
      </c>
    </row>
    <row r="61" spans="1:24" s="1607" customFormat="1" ht="41.25" customHeight="1">
      <c r="A61" s="1867">
        <f>A60+1</f>
        <v>30</v>
      </c>
      <c r="B61" s="521" t="s">
        <v>1556</v>
      </c>
      <c r="C61" s="1882"/>
      <c r="D61" s="1602">
        <f t="shared" si="2"/>
        <v>3150.8</v>
      </c>
      <c r="E61" s="1616"/>
      <c r="F61" s="1616">
        <v>3150.8</v>
      </c>
      <c r="G61" s="1602">
        <f t="shared" si="13"/>
        <v>3150.8</v>
      </c>
      <c r="H61" s="1616"/>
      <c r="I61" s="1616">
        <v>3150.8</v>
      </c>
      <c r="J61" s="1602">
        <f t="shared" si="12"/>
        <v>0</v>
      </c>
      <c r="K61" s="1616"/>
      <c r="L61" s="1616"/>
      <c r="M61" s="1604">
        <f t="shared" si="3"/>
        <v>0</v>
      </c>
      <c r="N61" s="1881">
        <f t="shared" si="4"/>
        <v>0</v>
      </c>
      <c r="O61" s="1881">
        <f t="shared" si="5"/>
        <v>0</v>
      </c>
      <c r="P61" s="1593"/>
      <c r="Q61" s="1593"/>
      <c r="R61" s="1600">
        <f>S61+T61</f>
        <v>0</v>
      </c>
      <c r="S61" s="1608">
        <v>0</v>
      </c>
      <c r="T61" s="1608">
        <v>0</v>
      </c>
      <c r="U61" s="1600">
        <f>V61+W61</f>
        <v>0</v>
      </c>
      <c r="V61" s="1608">
        <v>0</v>
      </c>
      <c r="W61" s="1608">
        <v>0</v>
      </c>
      <c r="X61" s="1423">
        <f t="shared" si="11"/>
        <v>0</v>
      </c>
    </row>
    <row r="62" spans="1:24" ht="27" customHeight="1">
      <c r="A62" s="1867"/>
      <c r="B62" s="506" t="s">
        <v>457</v>
      </c>
      <c r="C62" s="1878"/>
      <c r="D62" s="1602">
        <f t="shared" si="2"/>
        <v>21239</v>
      </c>
      <c r="E62" s="1603">
        <f>SUM(E63:E67)</f>
        <v>0</v>
      </c>
      <c r="F62" s="1603">
        <f>SUM(F63:F67)</f>
        <v>21239</v>
      </c>
      <c r="G62" s="1602">
        <f t="shared" si="13"/>
        <v>21239</v>
      </c>
      <c r="H62" s="1603">
        <f>SUM(H63:H67)</f>
        <v>0</v>
      </c>
      <c r="I62" s="1603">
        <f>SUM(I63:I67)</f>
        <v>21239</v>
      </c>
      <c r="J62" s="1602">
        <f t="shared" si="12"/>
        <v>0</v>
      </c>
      <c r="K62" s="1603">
        <f>SUM(K63:K67)</f>
        <v>0</v>
      </c>
      <c r="L62" s="1603">
        <f>SUM(L63:L67)</f>
        <v>0</v>
      </c>
      <c r="M62" s="1604">
        <f t="shared" si="3"/>
        <v>0</v>
      </c>
      <c r="N62" s="1881">
        <f t="shared" si="4"/>
        <v>0</v>
      </c>
      <c r="O62" s="1881">
        <f t="shared" si="5"/>
        <v>0</v>
      </c>
      <c r="P62" s="1593" t="s">
        <v>353</v>
      </c>
      <c r="Q62" s="1593" t="s">
        <v>353</v>
      </c>
      <c r="R62" s="1602">
        <f t="shared" ref="R62:R73" si="14">SUM(S62:T62)</f>
        <v>10700</v>
      </c>
      <c r="S62" s="1603">
        <f>SUM(S63:S67)</f>
        <v>0</v>
      </c>
      <c r="T62" s="1603">
        <f>SUM(T63:T67)</f>
        <v>10700</v>
      </c>
      <c r="U62" s="1602">
        <f t="shared" ref="U62:U73" si="15">SUM(V62:W62)</f>
        <v>0</v>
      </c>
      <c r="V62" s="1603">
        <f>SUM(V63:V67)</f>
        <v>0</v>
      </c>
      <c r="W62" s="1603">
        <f>SUM(W63:W67)</f>
        <v>0</v>
      </c>
      <c r="X62" s="1423">
        <f t="shared" si="11"/>
        <v>0</v>
      </c>
    </row>
    <row r="63" spans="1:24" ht="63" customHeight="1">
      <c r="A63" s="1867">
        <f>A61+1</f>
        <v>31</v>
      </c>
      <c r="B63" s="1879" t="s">
        <v>1419</v>
      </c>
      <c r="C63" s="1880">
        <v>24347</v>
      </c>
      <c r="D63" s="1602">
        <f t="shared" si="2"/>
        <v>7451.6</v>
      </c>
      <c r="E63" s="1616"/>
      <c r="F63" s="1616">
        <f>7000+451.6</f>
        <v>7451.6</v>
      </c>
      <c r="G63" s="1602">
        <f t="shared" si="13"/>
        <v>7451.6</v>
      </c>
      <c r="H63" s="1616"/>
      <c r="I63" s="1616">
        <f>7000+451.6</f>
        <v>7451.6</v>
      </c>
      <c r="J63" s="1602">
        <f t="shared" si="12"/>
        <v>0</v>
      </c>
      <c r="K63" s="1616"/>
      <c r="L63" s="1616"/>
      <c r="M63" s="1604">
        <f t="shared" si="3"/>
        <v>0</v>
      </c>
      <c r="N63" s="1881">
        <f t="shared" si="4"/>
        <v>0</v>
      </c>
      <c r="O63" s="1881">
        <f t="shared" si="5"/>
        <v>0</v>
      </c>
      <c r="P63" s="1593" t="s">
        <v>1171</v>
      </c>
      <c r="Q63" s="1593" t="s">
        <v>1137</v>
      </c>
      <c r="R63" s="1600">
        <f t="shared" si="14"/>
        <v>0</v>
      </c>
      <c r="S63" s="1608">
        <v>0</v>
      </c>
      <c r="T63" s="1608">
        <v>0</v>
      </c>
      <c r="U63" s="1600">
        <f t="shared" si="15"/>
        <v>0</v>
      </c>
      <c r="V63" s="1608">
        <v>0</v>
      </c>
      <c r="W63" s="1608">
        <v>0</v>
      </c>
      <c r="X63" s="1423">
        <f t="shared" si="11"/>
        <v>0</v>
      </c>
    </row>
    <row r="64" spans="1:24" ht="78" customHeight="1">
      <c r="A64" s="1867">
        <f>A63+1</f>
        <v>32</v>
      </c>
      <c r="B64" s="1879" t="s">
        <v>1417</v>
      </c>
      <c r="C64" s="1880">
        <v>24347</v>
      </c>
      <c r="D64" s="1602">
        <f t="shared" si="2"/>
        <v>3942</v>
      </c>
      <c r="E64" s="1616"/>
      <c r="F64" s="1616">
        <f>7000-3058</f>
        <v>3942</v>
      </c>
      <c r="G64" s="1602">
        <f t="shared" si="13"/>
        <v>3942</v>
      </c>
      <c r="H64" s="1616"/>
      <c r="I64" s="1616">
        <f>7000-3058</f>
        <v>3942</v>
      </c>
      <c r="J64" s="1602">
        <f t="shared" si="12"/>
        <v>0</v>
      </c>
      <c r="K64" s="1616"/>
      <c r="L64" s="1616"/>
      <c r="M64" s="1604">
        <f t="shared" si="3"/>
        <v>0</v>
      </c>
      <c r="N64" s="1881">
        <f t="shared" si="4"/>
        <v>0</v>
      </c>
      <c r="O64" s="1881">
        <f t="shared" si="5"/>
        <v>0</v>
      </c>
      <c r="P64" s="1593" t="s">
        <v>1171</v>
      </c>
      <c r="Q64" s="1593" t="s">
        <v>1137</v>
      </c>
      <c r="R64" s="1600">
        <f t="shared" si="14"/>
        <v>0</v>
      </c>
      <c r="S64" s="1608">
        <v>0</v>
      </c>
      <c r="T64" s="1608">
        <v>0</v>
      </c>
      <c r="U64" s="1600">
        <f t="shared" si="15"/>
        <v>0</v>
      </c>
      <c r="V64" s="1608">
        <v>0</v>
      </c>
      <c r="W64" s="1608">
        <v>0</v>
      </c>
      <c r="X64" s="1423">
        <f t="shared" si="11"/>
        <v>0</v>
      </c>
    </row>
    <row r="65" spans="1:24" ht="82.5" customHeight="1">
      <c r="A65" s="1867">
        <f>A64+1</f>
        <v>33</v>
      </c>
      <c r="B65" s="1879" t="s">
        <v>1418</v>
      </c>
      <c r="C65" s="1880">
        <v>24347</v>
      </c>
      <c r="D65" s="1602">
        <f t="shared" si="2"/>
        <v>2145.4</v>
      </c>
      <c r="E65" s="1616"/>
      <c r="F65" s="1616">
        <f>2100+45.4</f>
        <v>2145.4</v>
      </c>
      <c r="G65" s="1602">
        <f t="shared" si="13"/>
        <v>2145.4</v>
      </c>
      <c r="H65" s="1616"/>
      <c r="I65" s="1616">
        <f>2100+45.4</f>
        <v>2145.4</v>
      </c>
      <c r="J65" s="1602">
        <f t="shared" si="12"/>
        <v>0</v>
      </c>
      <c r="K65" s="1616"/>
      <c r="L65" s="1616"/>
      <c r="M65" s="1604">
        <f t="shared" si="3"/>
        <v>0</v>
      </c>
      <c r="N65" s="1881">
        <f t="shared" si="4"/>
        <v>0</v>
      </c>
      <c r="O65" s="1881">
        <f t="shared" si="5"/>
        <v>0</v>
      </c>
      <c r="P65" s="1593" t="s">
        <v>1171</v>
      </c>
      <c r="Q65" s="1593" t="s">
        <v>1137</v>
      </c>
      <c r="R65" s="1600">
        <f t="shared" si="14"/>
        <v>0</v>
      </c>
      <c r="S65" s="1608">
        <v>0</v>
      </c>
      <c r="T65" s="1608">
        <v>0</v>
      </c>
      <c r="U65" s="1600">
        <f t="shared" si="15"/>
        <v>0</v>
      </c>
      <c r="V65" s="1608">
        <v>0</v>
      </c>
      <c r="W65" s="1608">
        <v>0</v>
      </c>
      <c r="X65" s="1423">
        <f t="shared" si="11"/>
        <v>0</v>
      </c>
    </row>
    <row r="66" spans="1:24" ht="97.5" customHeight="1">
      <c r="A66" s="1867">
        <f>A65+1</f>
        <v>34</v>
      </c>
      <c r="B66" s="1895" t="s">
        <v>1415</v>
      </c>
      <c r="C66" s="1882">
        <v>24355</v>
      </c>
      <c r="D66" s="1602">
        <f t="shared" si="2"/>
        <v>4480</v>
      </c>
      <c r="E66" s="1616"/>
      <c r="F66" s="1616">
        <v>4480</v>
      </c>
      <c r="G66" s="1602">
        <f t="shared" si="13"/>
        <v>4480</v>
      </c>
      <c r="H66" s="1616"/>
      <c r="I66" s="1616">
        <v>4480</v>
      </c>
      <c r="J66" s="1602">
        <f t="shared" si="12"/>
        <v>0</v>
      </c>
      <c r="K66" s="1616"/>
      <c r="L66" s="1616"/>
      <c r="M66" s="1604">
        <f t="shared" si="3"/>
        <v>0</v>
      </c>
      <c r="N66" s="1881">
        <f t="shared" si="4"/>
        <v>0</v>
      </c>
      <c r="O66" s="1881">
        <f t="shared" si="5"/>
        <v>0</v>
      </c>
      <c r="P66" s="1593" t="s">
        <v>1171</v>
      </c>
      <c r="Q66" s="2550" t="s">
        <v>1138</v>
      </c>
      <c r="R66" s="1600">
        <f t="shared" si="14"/>
        <v>4720</v>
      </c>
      <c r="S66" s="1608">
        <v>0</v>
      </c>
      <c r="T66" s="1608">
        <v>4720</v>
      </c>
      <c r="U66" s="1600">
        <f t="shared" si="15"/>
        <v>0</v>
      </c>
      <c r="V66" s="1608">
        <v>0</v>
      </c>
      <c r="W66" s="1608">
        <v>0</v>
      </c>
      <c r="X66" s="1423">
        <f t="shared" si="11"/>
        <v>0</v>
      </c>
    </row>
    <row r="67" spans="1:24" ht="98.25" customHeight="1">
      <c r="A67" s="1867">
        <f>A66+1</f>
        <v>35</v>
      </c>
      <c r="B67" s="1895" t="s">
        <v>1416</v>
      </c>
      <c r="C67" s="1882">
        <v>24355</v>
      </c>
      <c r="D67" s="1602">
        <f t="shared" si="2"/>
        <v>3220</v>
      </c>
      <c r="E67" s="1616"/>
      <c r="F67" s="1616">
        <v>3220</v>
      </c>
      <c r="G67" s="1602">
        <f t="shared" si="13"/>
        <v>3220</v>
      </c>
      <c r="H67" s="1616"/>
      <c r="I67" s="1616">
        <v>3220</v>
      </c>
      <c r="J67" s="1602">
        <f t="shared" si="12"/>
        <v>0</v>
      </c>
      <c r="K67" s="1616"/>
      <c r="L67" s="1616"/>
      <c r="M67" s="1604">
        <f t="shared" si="3"/>
        <v>0</v>
      </c>
      <c r="N67" s="1881">
        <f t="shared" si="4"/>
        <v>0</v>
      </c>
      <c r="O67" s="1881">
        <f t="shared" si="5"/>
        <v>0</v>
      </c>
      <c r="P67" s="1593" t="s">
        <v>1171</v>
      </c>
      <c r="Q67" s="2550"/>
      <c r="R67" s="1600">
        <f t="shared" si="14"/>
        <v>5980</v>
      </c>
      <c r="S67" s="1608">
        <v>0</v>
      </c>
      <c r="T67" s="1608">
        <v>5980</v>
      </c>
      <c r="U67" s="1600">
        <f t="shared" si="15"/>
        <v>0</v>
      </c>
      <c r="V67" s="1608">
        <v>0</v>
      </c>
      <c r="W67" s="1608">
        <v>0</v>
      </c>
      <c r="X67" s="1423">
        <f t="shared" si="11"/>
        <v>0</v>
      </c>
    </row>
    <row r="68" spans="1:24" s="1607" customFormat="1" ht="24" customHeight="1">
      <c r="A68" s="1867"/>
      <c r="B68" s="506" t="s">
        <v>1400</v>
      </c>
      <c r="C68" s="1878"/>
      <c r="D68" s="1602">
        <f t="shared" si="2"/>
        <v>35958.6</v>
      </c>
      <c r="E68" s="1603">
        <f>SUM(E70:E72)</f>
        <v>0</v>
      </c>
      <c r="F68" s="1603">
        <f>SUM(F69:F72)</f>
        <v>35958.6</v>
      </c>
      <c r="G68" s="1602">
        <f t="shared" si="13"/>
        <v>35958.6</v>
      </c>
      <c r="H68" s="1603">
        <f>SUM(H70:H72)</f>
        <v>0</v>
      </c>
      <c r="I68" s="1603">
        <f>SUM(I69:I72)</f>
        <v>35958.6</v>
      </c>
      <c r="J68" s="1602">
        <f t="shared" si="12"/>
        <v>0</v>
      </c>
      <c r="K68" s="1603">
        <f>SUM(K70:K72)</f>
        <v>0</v>
      </c>
      <c r="L68" s="1603">
        <f>SUM(L70:L72)</f>
        <v>0</v>
      </c>
      <c r="M68" s="1604">
        <f t="shared" si="3"/>
        <v>0</v>
      </c>
      <c r="N68" s="1881">
        <f t="shared" si="4"/>
        <v>0</v>
      </c>
      <c r="O68" s="1881">
        <f t="shared" si="5"/>
        <v>0</v>
      </c>
      <c r="P68" s="1593" t="s">
        <v>353</v>
      </c>
      <c r="Q68" s="1593" t="s">
        <v>353</v>
      </c>
      <c r="R68" s="1602">
        <f t="shared" si="14"/>
        <v>0</v>
      </c>
      <c r="S68" s="1603">
        <f>SUM(S70:S72)</f>
        <v>0</v>
      </c>
      <c r="T68" s="1603">
        <f>SUM(T70:T72)</f>
        <v>0</v>
      </c>
      <c r="U68" s="1602">
        <f t="shared" si="15"/>
        <v>0</v>
      </c>
      <c r="V68" s="1603">
        <f>SUM(V70:V72)</f>
        <v>0</v>
      </c>
      <c r="W68" s="1603">
        <f>SUM(W70:W72)</f>
        <v>0</v>
      </c>
      <c r="X68" s="1423">
        <f t="shared" si="11"/>
        <v>0</v>
      </c>
    </row>
    <row r="69" spans="1:24" s="1607" customFormat="1" ht="42.75" customHeight="1">
      <c r="A69" s="2004">
        <f>A67+1</f>
        <v>36</v>
      </c>
      <c r="B69" s="1889" t="s">
        <v>1706</v>
      </c>
      <c r="C69" s="2005"/>
      <c r="D69" s="1602">
        <f>SUM(E69:F69)</f>
        <v>8865</v>
      </c>
      <c r="E69" s="1616"/>
      <c r="F69" s="1616">
        <v>8865</v>
      </c>
      <c r="G69" s="1602">
        <f>SUM(H69:I69)</f>
        <v>8865</v>
      </c>
      <c r="H69" s="1616"/>
      <c r="I69" s="1616">
        <v>8865</v>
      </c>
      <c r="J69" s="1602">
        <f>SUM(K69:L69)</f>
        <v>0</v>
      </c>
      <c r="K69" s="1616"/>
      <c r="L69" s="1616"/>
      <c r="M69" s="1604">
        <f t="shared" si="3"/>
        <v>0</v>
      </c>
      <c r="N69" s="1881">
        <f t="shared" si="4"/>
        <v>0</v>
      </c>
      <c r="O69" s="1881">
        <f t="shared" si="5"/>
        <v>0</v>
      </c>
      <c r="P69" s="1593"/>
      <c r="Q69" s="1593"/>
      <c r="R69" s="1602"/>
      <c r="S69" s="1603"/>
      <c r="T69" s="1603"/>
      <c r="U69" s="1602"/>
      <c r="V69" s="1603"/>
      <c r="W69" s="1603"/>
      <c r="X69" s="1423">
        <f t="shared" si="11"/>
        <v>0</v>
      </c>
    </row>
    <row r="70" spans="1:24" s="1607" customFormat="1" ht="42" customHeight="1">
      <c r="A70" s="1867">
        <f>A69+1</f>
        <v>37</v>
      </c>
      <c r="B70" s="521" t="s">
        <v>1398</v>
      </c>
      <c r="C70" s="1882">
        <v>24366</v>
      </c>
      <c r="D70" s="1602">
        <f t="shared" si="2"/>
        <v>7000</v>
      </c>
      <c r="E70" s="1616"/>
      <c r="F70" s="1616">
        <v>7000</v>
      </c>
      <c r="G70" s="1602">
        <f t="shared" si="13"/>
        <v>7000</v>
      </c>
      <c r="H70" s="1616"/>
      <c r="I70" s="1616">
        <v>7000</v>
      </c>
      <c r="J70" s="1602">
        <f t="shared" si="12"/>
        <v>0</v>
      </c>
      <c r="K70" s="1616"/>
      <c r="L70" s="1616"/>
      <c r="M70" s="1604">
        <f t="shared" si="3"/>
        <v>0</v>
      </c>
      <c r="N70" s="1881">
        <f t="shared" si="4"/>
        <v>0</v>
      </c>
      <c r="O70" s="1881">
        <f t="shared" si="5"/>
        <v>0</v>
      </c>
      <c r="P70" s="1593" t="s">
        <v>1171</v>
      </c>
      <c r="Q70" s="1593" t="s">
        <v>1116</v>
      </c>
      <c r="R70" s="1600">
        <f t="shared" si="14"/>
        <v>0</v>
      </c>
      <c r="S70" s="1608">
        <v>0</v>
      </c>
      <c r="T70" s="1608">
        <v>0</v>
      </c>
      <c r="U70" s="1600">
        <f t="shared" si="15"/>
        <v>0</v>
      </c>
      <c r="V70" s="1608">
        <v>0</v>
      </c>
      <c r="W70" s="1608">
        <v>0</v>
      </c>
      <c r="X70" s="1423">
        <f t="shared" si="11"/>
        <v>0</v>
      </c>
    </row>
    <row r="71" spans="1:24" s="1607" customFormat="1" ht="30.75" customHeight="1">
      <c r="A71" s="1867">
        <f>A70+1</f>
        <v>38</v>
      </c>
      <c r="B71" s="521" t="s">
        <v>1413</v>
      </c>
      <c r="C71" s="1882">
        <v>24366</v>
      </c>
      <c r="D71" s="1602">
        <f t="shared" si="2"/>
        <v>6338.1</v>
      </c>
      <c r="E71" s="1616"/>
      <c r="F71" s="1616">
        <v>6338.1</v>
      </c>
      <c r="G71" s="1602">
        <f t="shared" si="13"/>
        <v>6338.1</v>
      </c>
      <c r="H71" s="1616"/>
      <c r="I71" s="1616">
        <v>6338.1</v>
      </c>
      <c r="J71" s="1602">
        <f t="shared" si="12"/>
        <v>0</v>
      </c>
      <c r="K71" s="1616"/>
      <c r="L71" s="1616"/>
      <c r="M71" s="1604">
        <f t="shared" si="3"/>
        <v>0</v>
      </c>
      <c r="N71" s="1881">
        <f t="shared" si="4"/>
        <v>0</v>
      </c>
      <c r="O71" s="1881">
        <f t="shared" si="5"/>
        <v>0</v>
      </c>
      <c r="P71" s="1593" t="s">
        <v>1171</v>
      </c>
      <c r="Q71" s="1593" t="s">
        <v>1116</v>
      </c>
      <c r="R71" s="1600">
        <f t="shared" si="14"/>
        <v>0</v>
      </c>
      <c r="S71" s="1608">
        <v>0</v>
      </c>
      <c r="T71" s="1608">
        <v>0</v>
      </c>
      <c r="U71" s="1600">
        <f t="shared" si="15"/>
        <v>0</v>
      </c>
      <c r="V71" s="1608">
        <v>0</v>
      </c>
      <c r="W71" s="1608">
        <v>0</v>
      </c>
      <c r="X71" s="1423">
        <f t="shared" si="11"/>
        <v>0</v>
      </c>
    </row>
    <row r="72" spans="1:24" s="1607" customFormat="1" ht="46.5" customHeight="1">
      <c r="A72" s="1867">
        <f>A71+1</f>
        <v>39</v>
      </c>
      <c r="B72" s="1883" t="s">
        <v>1414</v>
      </c>
      <c r="C72" s="1880">
        <v>24366</v>
      </c>
      <c r="D72" s="1602">
        <f t="shared" si="2"/>
        <v>13755.5</v>
      </c>
      <c r="E72" s="1616"/>
      <c r="F72" s="1616">
        <v>13755.5</v>
      </c>
      <c r="G72" s="1602">
        <f t="shared" si="13"/>
        <v>13755.5</v>
      </c>
      <c r="H72" s="1616"/>
      <c r="I72" s="1616">
        <v>13755.5</v>
      </c>
      <c r="J72" s="1602">
        <f t="shared" si="12"/>
        <v>0</v>
      </c>
      <c r="K72" s="1616"/>
      <c r="L72" s="1616"/>
      <c r="M72" s="1604">
        <f t="shared" si="3"/>
        <v>0</v>
      </c>
      <c r="N72" s="1881">
        <f t="shared" si="4"/>
        <v>0</v>
      </c>
      <c r="O72" s="1881">
        <f t="shared" si="5"/>
        <v>0</v>
      </c>
      <c r="P72" s="1593" t="s">
        <v>1171</v>
      </c>
      <c r="Q72" s="1593" t="s">
        <v>1116</v>
      </c>
      <c r="R72" s="1600">
        <f t="shared" si="14"/>
        <v>0</v>
      </c>
      <c r="S72" s="1608">
        <v>0</v>
      </c>
      <c r="T72" s="1608">
        <v>0</v>
      </c>
      <c r="U72" s="1600">
        <f t="shared" si="15"/>
        <v>0</v>
      </c>
      <c r="V72" s="1608">
        <v>0</v>
      </c>
      <c r="W72" s="1608">
        <v>0</v>
      </c>
      <c r="X72" s="1423">
        <f t="shared" si="11"/>
        <v>0</v>
      </c>
    </row>
    <row r="73" spans="1:24" s="484" customFormat="1" ht="57.75" customHeight="1">
      <c r="A73" s="1867"/>
      <c r="B73" s="1897" t="s">
        <v>1628</v>
      </c>
      <c r="C73" s="1898"/>
      <c r="D73" s="1899">
        <f t="shared" si="2"/>
        <v>2900</v>
      </c>
      <c r="E73" s="1899">
        <f>SUM(E74,E76)</f>
        <v>0</v>
      </c>
      <c r="F73" s="1899">
        <f>SUM(F74,F76)</f>
        <v>2900</v>
      </c>
      <c r="G73" s="1899">
        <f t="shared" si="13"/>
        <v>2900</v>
      </c>
      <c r="H73" s="1899">
        <f>SUM(H74,H76)</f>
        <v>0</v>
      </c>
      <c r="I73" s="1899">
        <f>SUM(I74,I76)</f>
        <v>2900</v>
      </c>
      <c r="J73" s="1899">
        <f t="shared" si="12"/>
        <v>2024</v>
      </c>
      <c r="K73" s="1899">
        <f>SUM(K74,K76)</f>
        <v>0</v>
      </c>
      <c r="L73" s="1899">
        <f>SUM(L74,L76)</f>
        <v>2024</v>
      </c>
      <c r="M73" s="1900">
        <f t="shared" si="3"/>
        <v>69.8</v>
      </c>
      <c r="N73" s="1901">
        <f t="shared" si="4"/>
        <v>0</v>
      </c>
      <c r="O73" s="1901">
        <f t="shared" si="5"/>
        <v>69.8</v>
      </c>
      <c r="P73" s="1902" t="e">
        <f>SUM(P93+P78+P97)</f>
        <v>#VALUE!</v>
      </c>
      <c r="Q73" s="1902" t="e">
        <f>SUM(Q93+Q78+Q97)</f>
        <v>#VALUE!</v>
      </c>
      <c r="R73" s="1899">
        <f t="shared" si="14"/>
        <v>0</v>
      </c>
      <c r="S73" s="1899">
        <f>SUM(S74,S76)</f>
        <v>0</v>
      </c>
      <c r="T73" s="1899">
        <f>SUM(T74,T76)</f>
        <v>0</v>
      </c>
      <c r="U73" s="1899">
        <f t="shared" si="15"/>
        <v>0</v>
      </c>
      <c r="V73" s="1899">
        <f>SUM(V74,V76)</f>
        <v>0</v>
      </c>
      <c r="W73" s="1899">
        <f>SUM(W74,W76)</f>
        <v>0</v>
      </c>
      <c r="X73" s="1423">
        <f t="shared" si="11"/>
        <v>0</v>
      </c>
    </row>
    <row r="74" spans="1:24" s="484" customFormat="1" ht="27" customHeight="1">
      <c r="A74" s="1867"/>
      <c r="B74" s="506" t="s">
        <v>1401</v>
      </c>
      <c r="C74" s="1882"/>
      <c r="D74" s="1602">
        <f t="shared" si="2"/>
        <v>1400</v>
      </c>
      <c r="E74" s="1603">
        <f>E75</f>
        <v>0</v>
      </c>
      <c r="F74" s="1603">
        <f>F75</f>
        <v>1400</v>
      </c>
      <c r="G74" s="1602">
        <f t="shared" si="13"/>
        <v>1400</v>
      </c>
      <c r="H74" s="1603">
        <f>H75</f>
        <v>0</v>
      </c>
      <c r="I74" s="1603">
        <f>I75</f>
        <v>1400</v>
      </c>
      <c r="J74" s="1602">
        <f t="shared" si="12"/>
        <v>1400</v>
      </c>
      <c r="K74" s="1603">
        <f>K75</f>
        <v>0</v>
      </c>
      <c r="L74" s="1603">
        <f>L75</f>
        <v>1400</v>
      </c>
      <c r="M74" s="1604">
        <f t="shared" si="3"/>
        <v>100</v>
      </c>
      <c r="N74" s="1881">
        <f t="shared" si="4"/>
        <v>0</v>
      </c>
      <c r="O74" s="1881">
        <f t="shared" si="5"/>
        <v>100</v>
      </c>
      <c r="P74" s="1601">
        <f t="shared" ref="P74:W74" si="16">P75</f>
        <v>0</v>
      </c>
      <c r="Q74" s="1601">
        <f t="shared" si="16"/>
        <v>0</v>
      </c>
      <c r="R74" s="1601">
        <f t="shared" si="16"/>
        <v>0</v>
      </c>
      <c r="S74" s="1601">
        <f t="shared" si="16"/>
        <v>0</v>
      </c>
      <c r="T74" s="1601">
        <f t="shared" si="16"/>
        <v>0</v>
      </c>
      <c r="U74" s="1601">
        <f t="shared" si="16"/>
        <v>0</v>
      </c>
      <c r="V74" s="1601">
        <f t="shared" si="16"/>
        <v>0</v>
      </c>
      <c r="W74" s="1601">
        <f t="shared" si="16"/>
        <v>0</v>
      </c>
      <c r="X74" s="1423">
        <f t="shared" si="11"/>
        <v>0</v>
      </c>
    </row>
    <row r="75" spans="1:24" s="484" customFormat="1" ht="39.75" customHeight="1">
      <c r="A75" s="2018" t="s">
        <v>1724</v>
      </c>
      <c r="B75" s="1889" t="s">
        <v>681</v>
      </c>
      <c r="C75" s="1882">
        <v>90420</v>
      </c>
      <c r="D75" s="1602">
        <f t="shared" si="2"/>
        <v>1400</v>
      </c>
      <c r="E75" s="1616"/>
      <c r="F75" s="1616">
        <v>1400</v>
      </c>
      <c r="G75" s="1602">
        <f t="shared" si="13"/>
        <v>1400</v>
      </c>
      <c r="H75" s="1616"/>
      <c r="I75" s="1616">
        <v>1400</v>
      </c>
      <c r="J75" s="1602">
        <f t="shared" si="12"/>
        <v>1400</v>
      </c>
      <c r="K75" s="1616"/>
      <c r="L75" s="1616">
        <v>1400</v>
      </c>
      <c r="M75" s="1604">
        <f t="shared" si="3"/>
        <v>100</v>
      </c>
      <c r="N75" s="1881">
        <f t="shared" si="4"/>
        <v>0</v>
      </c>
      <c r="O75" s="1881">
        <f t="shared" si="5"/>
        <v>100</v>
      </c>
      <c r="P75" s="1593"/>
      <c r="Q75" s="1593"/>
      <c r="R75" s="1600">
        <f>S75+T75</f>
        <v>0</v>
      </c>
      <c r="S75" s="1614"/>
      <c r="T75" s="1614"/>
      <c r="U75" s="1600">
        <f>V75+W75</f>
        <v>0</v>
      </c>
      <c r="V75" s="1614"/>
      <c r="W75" s="1614"/>
      <c r="X75" s="1423">
        <f t="shared" si="11"/>
        <v>0</v>
      </c>
    </row>
    <row r="76" spans="1:24" s="484" customFormat="1" ht="23.25" customHeight="1">
      <c r="A76" s="1949"/>
      <c r="B76" s="506" t="s">
        <v>1554</v>
      </c>
      <c r="C76" s="1882"/>
      <c r="D76" s="1602">
        <f t="shared" si="2"/>
        <v>1500</v>
      </c>
      <c r="E76" s="1603">
        <f>E77</f>
        <v>0</v>
      </c>
      <c r="F76" s="1603">
        <f>F77</f>
        <v>1500</v>
      </c>
      <c r="G76" s="1602">
        <f t="shared" si="13"/>
        <v>1500</v>
      </c>
      <c r="H76" s="1603">
        <f>H77</f>
        <v>0</v>
      </c>
      <c r="I76" s="1603">
        <f>I77</f>
        <v>1500</v>
      </c>
      <c r="J76" s="1602">
        <f t="shared" si="12"/>
        <v>624</v>
      </c>
      <c r="K76" s="1603">
        <f>K77</f>
        <v>0</v>
      </c>
      <c r="L76" s="1603">
        <f>L77</f>
        <v>624</v>
      </c>
      <c r="M76" s="1604">
        <f t="shared" si="3"/>
        <v>41.6</v>
      </c>
      <c r="N76" s="1881">
        <f t="shared" si="4"/>
        <v>0</v>
      </c>
      <c r="O76" s="1881">
        <f t="shared" si="5"/>
        <v>41.6</v>
      </c>
      <c r="P76" s="1593"/>
      <c r="Q76" s="1593"/>
      <c r="R76" s="1602">
        <f>SUM(S76:T76)</f>
        <v>0</v>
      </c>
      <c r="S76" s="1603">
        <f>S77</f>
        <v>0</v>
      </c>
      <c r="T76" s="1603">
        <f>T77</f>
        <v>0</v>
      </c>
      <c r="U76" s="1602">
        <f>SUM(V76:W76)</f>
        <v>0</v>
      </c>
      <c r="V76" s="1603">
        <f>V77</f>
        <v>0</v>
      </c>
      <c r="W76" s="1603">
        <f>W77</f>
        <v>0</v>
      </c>
      <c r="X76" s="1423">
        <f t="shared" si="11"/>
        <v>0</v>
      </c>
    </row>
    <row r="77" spans="1:24" s="484" customFormat="1" ht="39.75" customHeight="1">
      <c r="A77" s="2018" t="s">
        <v>1725</v>
      </c>
      <c r="B77" s="1889" t="s">
        <v>1623</v>
      </c>
      <c r="C77" s="1882">
        <v>90420</v>
      </c>
      <c r="D77" s="1602">
        <f t="shared" si="2"/>
        <v>1500</v>
      </c>
      <c r="E77" s="1616"/>
      <c r="F77" s="1616">
        <v>1500</v>
      </c>
      <c r="G77" s="1602">
        <f t="shared" si="13"/>
        <v>1500</v>
      </c>
      <c r="H77" s="1616"/>
      <c r="I77" s="1616">
        <v>1500</v>
      </c>
      <c r="J77" s="1602">
        <f t="shared" si="12"/>
        <v>624</v>
      </c>
      <c r="K77" s="1616"/>
      <c r="L77" s="1616">
        <v>624</v>
      </c>
      <c r="M77" s="1604">
        <f t="shared" ref="M77:M140" si="17">IF(J77=0,0,J77/G77*100)</f>
        <v>41.6</v>
      </c>
      <c r="N77" s="1881">
        <f t="shared" ref="N77:N140" si="18">IF(K77=0,0,K77/H77*100)</f>
        <v>0</v>
      </c>
      <c r="O77" s="1881">
        <f t="shared" ref="O77:O140" si="19">IF(L77=0,0,L77/I77*100)</f>
        <v>41.6</v>
      </c>
      <c r="P77" s="1593"/>
      <c r="Q77" s="1593"/>
      <c r="R77" s="1600">
        <f>S77+T77</f>
        <v>0</v>
      </c>
      <c r="S77" s="1614"/>
      <c r="T77" s="1614"/>
      <c r="U77" s="1600">
        <f>V77+W77</f>
        <v>0</v>
      </c>
      <c r="V77" s="1614"/>
      <c r="W77" s="1614"/>
      <c r="X77" s="1423">
        <f t="shared" si="11"/>
        <v>0</v>
      </c>
    </row>
    <row r="78" spans="1:24" ht="25.5" customHeight="1">
      <c r="A78" s="1867" t="s">
        <v>254</v>
      </c>
      <c r="B78" s="1876" t="s">
        <v>1394</v>
      </c>
      <c r="C78" s="1877"/>
      <c r="D78" s="1598">
        <f t="shared" si="2"/>
        <v>1687243.3</v>
      </c>
      <c r="E78" s="1903">
        <f>SUM(E79+E93+E89)</f>
        <v>1585129.6</v>
      </c>
      <c r="F78" s="1903">
        <f>SUM(F79+F93+F89)</f>
        <v>102113.7</v>
      </c>
      <c r="G78" s="1598">
        <f t="shared" si="13"/>
        <v>1687243.3</v>
      </c>
      <c r="H78" s="1903">
        <f>SUM(H79+H93+H89)</f>
        <v>1585129.6</v>
      </c>
      <c r="I78" s="1903">
        <f>SUM(I79+I93+I89)</f>
        <v>102113.7</v>
      </c>
      <c r="J78" s="1598">
        <f t="shared" si="12"/>
        <v>358734.8</v>
      </c>
      <c r="K78" s="1903">
        <f>SUM(K79+K93+K89)</f>
        <v>354111.3</v>
      </c>
      <c r="L78" s="1903">
        <f>SUM(L79+L93+L89)</f>
        <v>4623.5</v>
      </c>
      <c r="M78" s="1903">
        <f t="shared" si="17"/>
        <v>21.3</v>
      </c>
      <c r="N78" s="1903">
        <f t="shared" si="18"/>
        <v>22.3</v>
      </c>
      <c r="O78" s="1903">
        <f t="shared" si="19"/>
        <v>4.5</v>
      </c>
      <c r="P78" s="1599" t="s">
        <v>353</v>
      </c>
      <c r="Q78" s="1599" t="s">
        <v>353</v>
      </c>
      <c r="R78" s="1598">
        <f>SUM(S78:T78)</f>
        <v>702732.2</v>
      </c>
      <c r="S78" s="1903">
        <f>SUM(S79+S93+S89)</f>
        <v>695705</v>
      </c>
      <c r="T78" s="1903">
        <f>SUM(T79+T93+T89)</f>
        <v>7027.2</v>
      </c>
      <c r="U78" s="1598">
        <f>SUM(V78:W78)</f>
        <v>2133190.9</v>
      </c>
      <c r="V78" s="1903">
        <f>SUM(V79+V93+V89)</f>
        <v>2111858.9</v>
      </c>
      <c r="W78" s="1903">
        <f>SUM(W79+W93+W89)</f>
        <v>21332</v>
      </c>
      <c r="X78" s="1423">
        <f t="shared" si="11"/>
        <v>0</v>
      </c>
    </row>
    <row r="79" spans="1:24" ht="30.75" customHeight="1">
      <c r="A79" s="1867" t="s">
        <v>1519</v>
      </c>
      <c r="B79" s="1897" t="s">
        <v>1395</v>
      </c>
      <c r="C79" s="1898"/>
      <c r="D79" s="1899">
        <f>SUM(E79:F79)</f>
        <v>1472576.5</v>
      </c>
      <c r="E79" s="1899">
        <f>E80+E87+E85</f>
        <v>1443528.2</v>
      </c>
      <c r="F79" s="1899">
        <f>F80+F87</f>
        <v>29048.3</v>
      </c>
      <c r="G79" s="1899">
        <f t="shared" si="13"/>
        <v>1472576.5</v>
      </c>
      <c r="H79" s="1899">
        <f>H80+H87+H85</f>
        <v>1443528.2</v>
      </c>
      <c r="I79" s="1899">
        <f>I80+I87+I85</f>
        <v>29048.3</v>
      </c>
      <c r="J79" s="1899">
        <f t="shared" si="12"/>
        <v>358530.8</v>
      </c>
      <c r="K79" s="1899">
        <f>K80+K87</f>
        <v>354111.3</v>
      </c>
      <c r="L79" s="1899">
        <f t="shared" ref="L79:W79" si="20">L80+L87+L85</f>
        <v>4419.5</v>
      </c>
      <c r="M79" s="1899">
        <f t="shared" si="17"/>
        <v>24.3</v>
      </c>
      <c r="N79" s="1899">
        <f t="shared" si="18"/>
        <v>24.5</v>
      </c>
      <c r="O79" s="1899">
        <f t="shared" si="19"/>
        <v>15.2</v>
      </c>
      <c r="P79" s="1899" t="e">
        <f t="shared" si="20"/>
        <v>#VALUE!</v>
      </c>
      <c r="Q79" s="1899" t="e">
        <f t="shared" si="20"/>
        <v>#VALUE!</v>
      </c>
      <c r="R79" s="1899">
        <f t="shared" si="20"/>
        <v>702732.2</v>
      </c>
      <c r="S79" s="1899">
        <f t="shared" si="20"/>
        <v>695705</v>
      </c>
      <c r="T79" s="1899">
        <f t="shared" si="20"/>
        <v>7027.2</v>
      </c>
      <c r="U79" s="1899">
        <f t="shared" si="20"/>
        <v>2102737.1</v>
      </c>
      <c r="V79" s="1899">
        <f t="shared" si="20"/>
        <v>2081709.6</v>
      </c>
      <c r="W79" s="1899">
        <f t="shared" si="20"/>
        <v>21027.5</v>
      </c>
      <c r="X79" s="1423">
        <f t="shared" si="11"/>
        <v>0</v>
      </c>
    </row>
    <row r="80" spans="1:24" ht="24.75" customHeight="1">
      <c r="A80" s="1867"/>
      <c r="B80" s="1897" t="s">
        <v>1396</v>
      </c>
      <c r="C80" s="1898"/>
      <c r="D80" s="1899">
        <f>SUM(E80:F80)</f>
        <v>936.1</v>
      </c>
      <c r="E80" s="1899">
        <f>E83+E81</f>
        <v>856.5</v>
      </c>
      <c r="F80" s="1899">
        <f t="shared" ref="F80:W80" si="21">F83+F81</f>
        <v>79.599999999999994</v>
      </c>
      <c r="G80" s="1899">
        <f t="shared" si="13"/>
        <v>936.1</v>
      </c>
      <c r="H80" s="1899">
        <f>H83+H81</f>
        <v>856.5</v>
      </c>
      <c r="I80" s="1899">
        <f>I83+I81</f>
        <v>79.599999999999994</v>
      </c>
      <c r="J80" s="1899">
        <f t="shared" si="12"/>
        <v>936.1</v>
      </c>
      <c r="K80" s="1899">
        <f>K83+K81</f>
        <v>856.5</v>
      </c>
      <c r="L80" s="1899">
        <f>L83+L81</f>
        <v>79.599999999999994</v>
      </c>
      <c r="M80" s="1899">
        <f t="shared" si="17"/>
        <v>100</v>
      </c>
      <c r="N80" s="1899">
        <f t="shared" si="18"/>
        <v>100</v>
      </c>
      <c r="O80" s="1899">
        <f t="shared" si="19"/>
        <v>100</v>
      </c>
      <c r="P80" s="1899" t="e">
        <f t="shared" si="21"/>
        <v>#VALUE!</v>
      </c>
      <c r="Q80" s="1899" t="e">
        <f t="shared" si="21"/>
        <v>#VALUE!</v>
      </c>
      <c r="R80" s="1899">
        <f t="shared" si="21"/>
        <v>216010.9</v>
      </c>
      <c r="S80" s="1899">
        <f t="shared" si="21"/>
        <v>213850.8</v>
      </c>
      <c r="T80" s="1899">
        <f t="shared" si="21"/>
        <v>2160.1</v>
      </c>
      <c r="U80" s="1899">
        <f t="shared" si="21"/>
        <v>327265.90000000002</v>
      </c>
      <c r="V80" s="1899">
        <f t="shared" si="21"/>
        <v>323993.2</v>
      </c>
      <c r="W80" s="1899">
        <f t="shared" si="21"/>
        <v>3272.7</v>
      </c>
      <c r="X80" s="1423">
        <f t="shared" si="11"/>
        <v>0</v>
      </c>
    </row>
    <row r="81" spans="1:24" hidden="1">
      <c r="A81" s="1867"/>
      <c r="B81" s="506" t="s">
        <v>1667</v>
      </c>
      <c r="C81" s="1939"/>
      <c r="D81" s="1602">
        <f>SUM(E81:F81)</f>
        <v>0</v>
      </c>
      <c r="E81" s="1603">
        <f>SUM(E82)</f>
        <v>0</v>
      </c>
      <c r="F81" s="1603">
        <f>SUM(F82)</f>
        <v>0</v>
      </c>
      <c r="G81" s="1602">
        <f t="shared" si="13"/>
        <v>0</v>
      </c>
      <c r="H81" s="1603">
        <f>SUM(H82)</f>
        <v>0</v>
      </c>
      <c r="I81" s="1603">
        <f>SUM(I82)</f>
        <v>0</v>
      </c>
      <c r="J81" s="1602">
        <f t="shared" ref="J81:J86" si="22">SUM(K81:L81)</f>
        <v>0</v>
      </c>
      <c r="K81" s="1603">
        <f>SUM(K82)</f>
        <v>0</v>
      </c>
      <c r="L81" s="1603">
        <f>SUM(L82)</f>
        <v>0</v>
      </c>
      <c r="M81" s="1604">
        <f t="shared" si="17"/>
        <v>0</v>
      </c>
      <c r="N81" s="1881">
        <f t="shared" si="18"/>
        <v>0</v>
      </c>
      <c r="O81" s="1881">
        <f t="shared" si="19"/>
        <v>0</v>
      </c>
      <c r="P81" s="1593" t="s">
        <v>353</v>
      </c>
      <c r="Q81" s="1593" t="s">
        <v>353</v>
      </c>
      <c r="R81" s="1602">
        <f>SUM(S81:T81)</f>
        <v>216010.9</v>
      </c>
      <c r="S81" s="1603">
        <f>SUM(S82)</f>
        <v>213850.8</v>
      </c>
      <c r="T81" s="1603">
        <f>SUM(T82)</f>
        <v>2160.1</v>
      </c>
      <c r="U81" s="1602">
        <f>SUM(V81:W81)</f>
        <v>327265.90000000002</v>
      </c>
      <c r="V81" s="1603">
        <f>SUM(V82)</f>
        <v>323993.2</v>
      </c>
      <c r="W81" s="1603">
        <f>SUM(W82)</f>
        <v>3272.7</v>
      </c>
    </row>
    <row r="82" spans="1:24" ht="59.25" hidden="1" customHeight="1">
      <c r="A82" s="1867">
        <f>A72+1</f>
        <v>40</v>
      </c>
      <c r="B82" s="1885" t="s">
        <v>672</v>
      </c>
      <c r="C82" s="1904" t="s">
        <v>1539</v>
      </c>
      <c r="D82" s="1602">
        <f>SUM(E82:F82)</f>
        <v>0</v>
      </c>
      <c r="E82" s="1615">
        <v>0</v>
      </c>
      <c r="F82" s="1615">
        <v>0</v>
      </c>
      <c r="G82" s="1602">
        <f t="shared" ref="G82:G92" si="23">SUM(H82:I82)</f>
        <v>0</v>
      </c>
      <c r="H82" s="1615">
        <v>0</v>
      </c>
      <c r="I82" s="1615">
        <v>0</v>
      </c>
      <c r="J82" s="1602">
        <f t="shared" si="22"/>
        <v>0</v>
      </c>
      <c r="K82" s="1615">
        <v>0</v>
      </c>
      <c r="L82" s="1615">
        <v>0</v>
      </c>
      <c r="M82" s="1893">
        <f t="shared" si="17"/>
        <v>0</v>
      </c>
      <c r="N82" s="1894">
        <f t="shared" si="18"/>
        <v>0</v>
      </c>
      <c r="O82" s="1894">
        <f t="shared" si="19"/>
        <v>0</v>
      </c>
      <c r="P82" s="1593" t="s">
        <v>1171</v>
      </c>
      <c r="Q82" s="1593" t="s">
        <v>1659</v>
      </c>
      <c r="R82" s="1600">
        <f>SUM(S82:T82)</f>
        <v>216010.9</v>
      </c>
      <c r="S82" s="1614">
        <v>213850.8</v>
      </c>
      <c r="T82" s="1614">
        <v>2160.1</v>
      </c>
      <c r="U82" s="1600">
        <f>SUM(V82:W82)</f>
        <v>327265.90000000002</v>
      </c>
      <c r="V82" s="1614">
        <v>323993.2</v>
      </c>
      <c r="W82" s="1614">
        <v>3272.7</v>
      </c>
    </row>
    <row r="83" spans="1:24" ht="29.25" customHeight="1">
      <c r="A83" s="1867"/>
      <c r="B83" s="506" t="s">
        <v>457</v>
      </c>
      <c r="C83" s="1878"/>
      <c r="D83" s="1602">
        <f t="shared" si="2"/>
        <v>936.1</v>
      </c>
      <c r="E83" s="1603">
        <f>SUM(E84)</f>
        <v>856.5</v>
      </c>
      <c r="F83" s="1603">
        <f>SUM(F84)</f>
        <v>79.599999999999994</v>
      </c>
      <c r="G83" s="1602">
        <f t="shared" si="23"/>
        <v>936.1</v>
      </c>
      <c r="H83" s="1603">
        <f>SUM(H84)</f>
        <v>856.5</v>
      </c>
      <c r="I83" s="1603">
        <f>SUM(I84)</f>
        <v>79.599999999999994</v>
      </c>
      <c r="J83" s="1602">
        <f t="shared" si="22"/>
        <v>936.1</v>
      </c>
      <c r="K83" s="1603">
        <f>SUM(K84)</f>
        <v>856.5</v>
      </c>
      <c r="L83" s="1603">
        <f>SUM(L84)</f>
        <v>79.599999999999994</v>
      </c>
      <c r="M83" s="1604">
        <f t="shared" si="17"/>
        <v>100</v>
      </c>
      <c r="N83" s="1881">
        <f t="shared" si="18"/>
        <v>100</v>
      </c>
      <c r="O83" s="1881">
        <f t="shared" si="19"/>
        <v>100</v>
      </c>
      <c r="P83" s="1593" t="s">
        <v>353</v>
      </c>
      <c r="Q83" s="1593" t="s">
        <v>353</v>
      </c>
      <c r="R83" s="1602">
        <f>SUM(S83:T83)</f>
        <v>0</v>
      </c>
      <c r="S83" s="1603">
        <f>SUM(S84)</f>
        <v>0</v>
      </c>
      <c r="T83" s="1603">
        <f>SUM(T84)</f>
        <v>0</v>
      </c>
      <c r="U83" s="1602">
        <f>SUM(V83:W83)</f>
        <v>0</v>
      </c>
      <c r="V83" s="1603">
        <f>SUM(V84)</f>
        <v>0</v>
      </c>
      <c r="W83" s="1603">
        <f>SUM(W84)</f>
        <v>0</v>
      </c>
      <c r="X83" s="1423">
        <f>D83-G83</f>
        <v>0</v>
      </c>
    </row>
    <row r="84" spans="1:24" s="484" customFormat="1" ht="46.5" customHeight="1">
      <c r="A84" s="1867">
        <f>A72+1</f>
        <v>40</v>
      </c>
      <c r="B84" s="1885" t="s">
        <v>1392</v>
      </c>
      <c r="C84" s="1904" t="s">
        <v>1539</v>
      </c>
      <c r="D84" s="1602">
        <f t="shared" si="2"/>
        <v>936.1</v>
      </c>
      <c r="E84" s="1615">
        <v>856.5</v>
      </c>
      <c r="F84" s="1615">
        <v>79.599999999999994</v>
      </c>
      <c r="G84" s="1602">
        <f t="shared" si="23"/>
        <v>936.1</v>
      </c>
      <c r="H84" s="1615">
        <v>856.5</v>
      </c>
      <c r="I84" s="1615">
        <v>79.599999999999994</v>
      </c>
      <c r="J84" s="1602">
        <f t="shared" si="22"/>
        <v>936.1</v>
      </c>
      <c r="K84" s="1615">
        <v>856.5</v>
      </c>
      <c r="L84" s="1615">
        <v>79.599999999999994</v>
      </c>
      <c r="M84" s="1893">
        <f t="shared" si="17"/>
        <v>100</v>
      </c>
      <c r="N84" s="1894">
        <f t="shared" si="18"/>
        <v>100</v>
      </c>
      <c r="O84" s="1894">
        <f t="shared" si="19"/>
        <v>100</v>
      </c>
      <c r="P84" s="1593" t="s">
        <v>1171</v>
      </c>
      <c r="Q84" s="1593" t="s">
        <v>1659</v>
      </c>
      <c r="R84" s="1600">
        <f>SUM(S84:T84)</f>
        <v>0</v>
      </c>
      <c r="S84" s="1614">
        <v>0</v>
      </c>
      <c r="T84" s="1614">
        <v>0</v>
      </c>
      <c r="U84" s="1600">
        <f>SUM(V84:W84)</f>
        <v>0</v>
      </c>
      <c r="V84" s="1614">
        <v>0</v>
      </c>
      <c r="W84" s="1614">
        <v>0</v>
      </c>
      <c r="X84" s="1423">
        <f>D84-G84</f>
        <v>0</v>
      </c>
    </row>
    <row r="85" spans="1:24" s="484" customFormat="1" ht="25.5" hidden="1" customHeight="1">
      <c r="A85" s="1867"/>
      <c r="B85" s="1897" t="s">
        <v>1650</v>
      </c>
      <c r="C85" s="1898"/>
      <c r="D85" s="1899">
        <f>SUM(E85:F85)</f>
        <v>0</v>
      </c>
      <c r="E85" s="1902">
        <f t="shared" ref="E85:W85" si="24">SUM(E86)</f>
        <v>0</v>
      </c>
      <c r="F85" s="1902">
        <f t="shared" si="24"/>
        <v>0</v>
      </c>
      <c r="G85" s="1899">
        <f t="shared" si="23"/>
        <v>0</v>
      </c>
      <c r="H85" s="1902">
        <f t="shared" si="24"/>
        <v>0</v>
      </c>
      <c r="I85" s="1902">
        <f t="shared" si="24"/>
        <v>0</v>
      </c>
      <c r="J85" s="1899">
        <f t="shared" si="22"/>
        <v>0</v>
      </c>
      <c r="K85" s="1902">
        <f t="shared" si="24"/>
        <v>0</v>
      </c>
      <c r="L85" s="1902">
        <f t="shared" si="24"/>
        <v>0</v>
      </c>
      <c r="M85" s="1902">
        <f t="shared" si="17"/>
        <v>0</v>
      </c>
      <c r="N85" s="1902">
        <f t="shared" si="18"/>
        <v>0</v>
      </c>
      <c r="O85" s="1902">
        <f t="shared" si="19"/>
        <v>0</v>
      </c>
      <c r="P85" s="1902">
        <f t="shared" si="24"/>
        <v>0</v>
      </c>
      <c r="Q85" s="1902">
        <f t="shared" si="24"/>
        <v>0</v>
      </c>
      <c r="R85" s="1902">
        <f t="shared" si="24"/>
        <v>0</v>
      </c>
      <c r="S85" s="1902">
        <f t="shared" si="24"/>
        <v>0</v>
      </c>
      <c r="T85" s="1902">
        <f t="shared" si="24"/>
        <v>0</v>
      </c>
      <c r="U85" s="1902">
        <f t="shared" si="24"/>
        <v>0</v>
      </c>
      <c r="V85" s="1902">
        <f t="shared" si="24"/>
        <v>0</v>
      </c>
      <c r="W85" s="1902">
        <f t="shared" si="24"/>
        <v>0</v>
      </c>
    </row>
    <row r="86" spans="1:24" s="484" customFormat="1" ht="88.5" hidden="1" customHeight="1">
      <c r="A86" s="1867"/>
      <c r="B86" s="1885" t="s">
        <v>455</v>
      </c>
      <c r="C86" s="1904"/>
      <c r="D86" s="1602">
        <f>SUM(E86:F86)</f>
        <v>0</v>
      </c>
      <c r="E86" s="1615">
        <v>0</v>
      </c>
      <c r="F86" s="1615">
        <v>0</v>
      </c>
      <c r="G86" s="1602">
        <f t="shared" si="23"/>
        <v>0</v>
      </c>
      <c r="H86" s="1615">
        <v>0</v>
      </c>
      <c r="I86" s="1615">
        <v>0</v>
      </c>
      <c r="J86" s="1602">
        <f t="shared" si="22"/>
        <v>0</v>
      </c>
      <c r="K86" s="1615">
        <v>0</v>
      </c>
      <c r="L86" s="1615">
        <v>0</v>
      </c>
      <c r="M86" s="1893">
        <f t="shared" si="17"/>
        <v>0</v>
      </c>
      <c r="N86" s="1894">
        <f t="shared" si="18"/>
        <v>0</v>
      </c>
      <c r="O86" s="1894">
        <f t="shared" si="19"/>
        <v>0</v>
      </c>
      <c r="P86" s="1593" t="s">
        <v>1171</v>
      </c>
      <c r="Q86" s="1593" t="s">
        <v>1659</v>
      </c>
      <c r="R86" s="1602">
        <f>SUM(S86:T86)</f>
        <v>0</v>
      </c>
      <c r="S86" s="1615">
        <v>0</v>
      </c>
      <c r="T86" s="1615">
        <v>0</v>
      </c>
      <c r="U86" s="1602">
        <f>SUM(V86:W86)</f>
        <v>0</v>
      </c>
      <c r="V86" s="1615">
        <v>0</v>
      </c>
      <c r="W86" s="1615">
        <v>0</v>
      </c>
    </row>
    <row r="87" spans="1:24" ht="33" customHeight="1">
      <c r="A87" s="1867"/>
      <c r="B87" s="1897" t="s">
        <v>1410</v>
      </c>
      <c r="C87" s="1898"/>
      <c r="D87" s="1899">
        <f t="shared" ref="D87:D162" si="25">SUM(E87:F87)</f>
        <v>1471640.4</v>
      </c>
      <c r="E87" s="1902">
        <f>SUM(E88)</f>
        <v>1442671.7</v>
      </c>
      <c r="F87" s="1902">
        <f t="shared" ref="F87:W87" si="26">SUM(F88)</f>
        <v>28968.7</v>
      </c>
      <c r="G87" s="1899">
        <f t="shared" si="23"/>
        <v>1471640.4</v>
      </c>
      <c r="H87" s="1902">
        <f>SUM(H88)</f>
        <v>1442671.7</v>
      </c>
      <c r="I87" s="1902">
        <f t="shared" si="26"/>
        <v>28968.7</v>
      </c>
      <c r="J87" s="1899">
        <f t="shared" ref="J87:J162" si="27">SUM(K87:L87)</f>
        <v>357594.7</v>
      </c>
      <c r="K87" s="1902">
        <f>SUM(K88)</f>
        <v>353254.8</v>
      </c>
      <c r="L87" s="1902">
        <f t="shared" si="26"/>
        <v>4339.8999999999996</v>
      </c>
      <c r="M87" s="1902">
        <f t="shared" si="17"/>
        <v>24.3</v>
      </c>
      <c r="N87" s="1902">
        <f t="shared" si="18"/>
        <v>24.5</v>
      </c>
      <c r="O87" s="1902">
        <f t="shared" si="19"/>
        <v>15</v>
      </c>
      <c r="P87" s="1902">
        <f t="shared" si="26"/>
        <v>0</v>
      </c>
      <c r="Q87" s="1902">
        <f t="shared" si="26"/>
        <v>0</v>
      </c>
      <c r="R87" s="1902">
        <f t="shared" si="26"/>
        <v>486721.3</v>
      </c>
      <c r="S87" s="1902">
        <f t="shared" si="26"/>
        <v>481854.2</v>
      </c>
      <c r="T87" s="1902">
        <f t="shared" si="26"/>
        <v>4867.1000000000004</v>
      </c>
      <c r="U87" s="1902">
        <f t="shared" si="26"/>
        <v>1775471.2</v>
      </c>
      <c r="V87" s="1902">
        <f t="shared" si="26"/>
        <v>1757716.4</v>
      </c>
      <c r="W87" s="1902">
        <f t="shared" si="26"/>
        <v>17754.8</v>
      </c>
      <c r="X87" s="1423">
        <f>D87-G87</f>
        <v>0</v>
      </c>
    </row>
    <row r="88" spans="1:24" s="484" customFormat="1" ht="121.5" customHeight="1">
      <c r="A88" s="1867">
        <f>A84+1</f>
        <v>41</v>
      </c>
      <c r="B88" s="1885" t="s">
        <v>1412</v>
      </c>
      <c r="C88" s="1904" t="s">
        <v>1632</v>
      </c>
      <c r="D88" s="1602">
        <f t="shared" si="25"/>
        <v>1471640.4</v>
      </c>
      <c r="E88" s="1615">
        <v>1442671.7</v>
      </c>
      <c r="F88" s="1615">
        <v>28968.7</v>
      </c>
      <c r="G88" s="1602">
        <f t="shared" si="23"/>
        <v>1471640.4</v>
      </c>
      <c r="H88" s="1615">
        <f>E88</f>
        <v>1442671.7</v>
      </c>
      <c r="I88" s="1615">
        <f>F88</f>
        <v>28968.7</v>
      </c>
      <c r="J88" s="1602">
        <f t="shared" si="27"/>
        <v>357594.7</v>
      </c>
      <c r="K88" s="1998">
        <v>353254.8</v>
      </c>
      <c r="L88" s="1998">
        <v>4339.8999999999996</v>
      </c>
      <c r="M88" s="1893">
        <f t="shared" si="17"/>
        <v>24.3</v>
      </c>
      <c r="N88" s="1894">
        <f t="shared" si="18"/>
        <v>24.5</v>
      </c>
      <c r="O88" s="1894">
        <f t="shared" si="19"/>
        <v>15</v>
      </c>
      <c r="P88" s="1593" t="s">
        <v>1171</v>
      </c>
      <c r="Q88" s="1593" t="s">
        <v>1659</v>
      </c>
      <c r="R88" s="1602">
        <f t="shared" ref="R88:R99" si="28">SUM(S88:T88)</f>
        <v>486721.3</v>
      </c>
      <c r="S88" s="1615">
        <v>481854.2</v>
      </c>
      <c r="T88" s="1615">
        <v>4867.1000000000004</v>
      </c>
      <c r="U88" s="1602">
        <f t="shared" ref="U88:U99" si="29">SUM(V88:W88)</f>
        <v>1775471.2</v>
      </c>
      <c r="V88" s="1615">
        <v>1757716.4</v>
      </c>
      <c r="W88" s="1615">
        <v>17754.8</v>
      </c>
      <c r="X88" s="1423">
        <f>D88-G88</f>
        <v>0</v>
      </c>
    </row>
    <row r="89" spans="1:24" ht="25.5" customHeight="1">
      <c r="A89" s="1867" t="s">
        <v>1622</v>
      </c>
      <c r="B89" s="1876" t="s">
        <v>529</v>
      </c>
      <c r="C89" s="1877"/>
      <c r="D89" s="1598">
        <f>SUM(E89:F89)</f>
        <v>9738.7999999999993</v>
      </c>
      <c r="E89" s="1903">
        <f>E90+E91</f>
        <v>964.8</v>
      </c>
      <c r="F89" s="1903">
        <f>F90+F91</f>
        <v>8774</v>
      </c>
      <c r="G89" s="1598">
        <f t="shared" si="23"/>
        <v>9738.7999999999993</v>
      </c>
      <c r="H89" s="1903">
        <f>H90+H91</f>
        <v>964.8</v>
      </c>
      <c r="I89" s="1903">
        <f>I90+I91</f>
        <v>8774</v>
      </c>
      <c r="J89" s="1598">
        <f>SUM(K89:L89)</f>
        <v>0</v>
      </c>
      <c r="K89" s="1903">
        <f>K90+K91</f>
        <v>0</v>
      </c>
      <c r="L89" s="1903">
        <f>L90+L91</f>
        <v>0</v>
      </c>
      <c r="M89" s="1903">
        <f t="shared" si="17"/>
        <v>0</v>
      </c>
      <c r="N89" s="1903">
        <f t="shared" si="18"/>
        <v>0</v>
      </c>
      <c r="O89" s="1903">
        <f t="shared" si="19"/>
        <v>0</v>
      </c>
      <c r="P89" s="1599"/>
      <c r="Q89" s="1599"/>
      <c r="R89" s="1598">
        <f>SUM(S89:T89)</f>
        <v>0</v>
      </c>
      <c r="S89" s="1903">
        <f>S91+S92</f>
        <v>0</v>
      </c>
      <c r="T89" s="1903">
        <f>T91+T92</f>
        <v>0</v>
      </c>
      <c r="U89" s="1598">
        <f>SUM(V89:W89)</f>
        <v>30453.8</v>
      </c>
      <c r="V89" s="1903">
        <f>V91+V92</f>
        <v>30149.3</v>
      </c>
      <c r="W89" s="1903">
        <f>W91+W92</f>
        <v>304.5</v>
      </c>
      <c r="X89" s="1423">
        <f>D89-G89</f>
        <v>0</v>
      </c>
    </row>
    <row r="90" spans="1:24" ht="82.5" customHeight="1">
      <c r="A90" s="2004">
        <f>A88+1</f>
        <v>42</v>
      </c>
      <c r="B90" s="1919" t="s">
        <v>1707</v>
      </c>
      <c r="C90" s="1877"/>
      <c r="D90" s="1602">
        <f>SUM(E90:F90)</f>
        <v>8774</v>
      </c>
      <c r="E90" s="1616"/>
      <c r="F90" s="1616">
        <v>8774</v>
      </c>
      <c r="G90" s="1602">
        <f>SUM(H90:I90)</f>
        <v>8774</v>
      </c>
      <c r="H90" s="1616"/>
      <c r="I90" s="1616">
        <v>8774</v>
      </c>
      <c r="J90" s="1602">
        <f>SUM(K90:L90)</f>
        <v>0</v>
      </c>
      <c r="K90" s="1616"/>
      <c r="L90" s="1616"/>
      <c r="M90" s="1604">
        <f t="shared" si="17"/>
        <v>0</v>
      </c>
      <c r="N90" s="1881">
        <f t="shared" si="18"/>
        <v>0</v>
      </c>
      <c r="O90" s="1881">
        <f t="shared" si="19"/>
        <v>0</v>
      </c>
      <c r="P90" s="1599"/>
      <c r="Q90" s="1599"/>
      <c r="R90" s="1598"/>
      <c r="S90" s="1903"/>
      <c r="T90" s="1903"/>
      <c r="U90" s="1598"/>
      <c r="V90" s="1903"/>
      <c r="W90" s="1903"/>
      <c r="X90" s="1423">
        <f>D90-G90</f>
        <v>0</v>
      </c>
    </row>
    <row r="91" spans="1:24" ht="82.5" customHeight="1">
      <c r="A91" s="1867">
        <f>A90+1</f>
        <v>43</v>
      </c>
      <c r="B91" s="1879" t="s">
        <v>1654</v>
      </c>
      <c r="C91" s="1880"/>
      <c r="D91" s="1602">
        <f t="shared" si="25"/>
        <v>964.8</v>
      </c>
      <c r="E91" s="1616">
        <v>964.8</v>
      </c>
      <c r="F91" s="1616">
        <v>0</v>
      </c>
      <c r="G91" s="1602">
        <f t="shared" si="23"/>
        <v>964.8</v>
      </c>
      <c r="H91" s="1616">
        <v>964.8</v>
      </c>
      <c r="I91" s="1616">
        <v>0</v>
      </c>
      <c r="J91" s="1602">
        <f t="shared" si="27"/>
        <v>0</v>
      </c>
      <c r="K91" s="1616"/>
      <c r="L91" s="1616"/>
      <c r="M91" s="1604">
        <f t="shared" si="17"/>
        <v>0</v>
      </c>
      <c r="N91" s="1881">
        <f t="shared" si="18"/>
        <v>0</v>
      </c>
      <c r="O91" s="1881">
        <f t="shared" si="19"/>
        <v>0</v>
      </c>
      <c r="P91" s="1599"/>
      <c r="Q91" s="1599"/>
      <c r="R91" s="1602">
        <f t="shared" si="28"/>
        <v>0</v>
      </c>
      <c r="S91" s="1619">
        <v>0</v>
      </c>
      <c r="T91" s="1619">
        <v>0</v>
      </c>
      <c r="U91" s="1602">
        <f t="shared" si="29"/>
        <v>0</v>
      </c>
      <c r="V91" s="1619">
        <v>0</v>
      </c>
      <c r="W91" s="1619">
        <v>0</v>
      </c>
      <c r="X91" s="1423">
        <f>D91-G91</f>
        <v>0</v>
      </c>
    </row>
    <row r="92" spans="1:24" ht="75.75" hidden="1" customHeight="1">
      <c r="A92" s="1867">
        <f>A91+1</f>
        <v>44</v>
      </c>
      <c r="B92" s="1879" t="s">
        <v>1668</v>
      </c>
      <c r="C92" s="1880"/>
      <c r="D92" s="1602">
        <f>SUM(E92:F92)</f>
        <v>0</v>
      </c>
      <c r="E92" s="1616">
        <v>0</v>
      </c>
      <c r="F92" s="1616">
        <v>0</v>
      </c>
      <c r="G92" s="1602">
        <f t="shared" si="23"/>
        <v>0</v>
      </c>
      <c r="H92" s="1616">
        <v>0</v>
      </c>
      <c r="I92" s="1616">
        <v>0</v>
      </c>
      <c r="J92" s="1602">
        <f>SUM(K92:L92)</f>
        <v>0</v>
      </c>
      <c r="K92" s="1616">
        <v>0</v>
      </c>
      <c r="L92" s="1616">
        <v>0</v>
      </c>
      <c r="M92" s="1604">
        <f t="shared" si="17"/>
        <v>0</v>
      </c>
      <c r="N92" s="1881">
        <f t="shared" si="18"/>
        <v>0</v>
      </c>
      <c r="O92" s="1881">
        <f t="shared" si="19"/>
        <v>0</v>
      </c>
      <c r="P92" s="1599"/>
      <c r="Q92" s="1599"/>
      <c r="R92" s="1602">
        <f>SUM(S92:T92)</f>
        <v>0</v>
      </c>
      <c r="S92" s="1619">
        <v>0</v>
      </c>
      <c r="T92" s="1619">
        <v>0</v>
      </c>
      <c r="U92" s="1602">
        <f>SUM(V92:W92)</f>
        <v>30453.8</v>
      </c>
      <c r="V92" s="1619">
        <v>30149.3</v>
      </c>
      <c r="W92" s="1619">
        <v>304.5</v>
      </c>
    </row>
    <row r="93" spans="1:24" s="484" customFormat="1" ht="73.5" customHeight="1">
      <c r="A93" s="1867" t="s">
        <v>1639</v>
      </c>
      <c r="B93" s="1876" t="s">
        <v>1435</v>
      </c>
      <c r="C93" s="1877"/>
      <c r="D93" s="1598">
        <f t="shared" si="25"/>
        <v>204928</v>
      </c>
      <c r="E93" s="1903">
        <f>SUM(E96,E100,E104,E108,E110,E114)</f>
        <v>140636.6</v>
      </c>
      <c r="F93" s="1903">
        <f>SUM(F96,F100,F104,F108,F110,F114)</f>
        <v>64291.4</v>
      </c>
      <c r="G93" s="1598">
        <f t="shared" ref="G93:G147" si="30">SUM(H93:I93)</f>
        <v>204928</v>
      </c>
      <c r="H93" s="1903">
        <f>SUM(H96,H100,H104,H108,H110,H114)</f>
        <v>140636.6</v>
      </c>
      <c r="I93" s="1903">
        <f>SUM(I96,I100,I104,I108,I110,I114)</f>
        <v>64291.4</v>
      </c>
      <c r="J93" s="1598">
        <f t="shared" si="27"/>
        <v>204</v>
      </c>
      <c r="K93" s="1903">
        <f>SUM(K96,K100,K104,K108,K110,K114)</f>
        <v>0</v>
      </c>
      <c r="L93" s="1903">
        <f>SUM(L96,L100,L104,L108,L110,L114)</f>
        <v>204</v>
      </c>
      <c r="M93" s="1903">
        <f t="shared" si="17"/>
        <v>0.1</v>
      </c>
      <c r="N93" s="1903">
        <f t="shared" si="18"/>
        <v>0</v>
      </c>
      <c r="O93" s="1903">
        <f t="shared" si="19"/>
        <v>0.3</v>
      </c>
      <c r="P93" s="1902">
        <f>SUM(P108+P96+P110)</f>
        <v>0</v>
      </c>
      <c r="Q93" s="1902">
        <f>SUM(Q108+Q96+Q110)</f>
        <v>0</v>
      </c>
      <c r="R93" s="1598">
        <f t="shared" si="28"/>
        <v>0</v>
      </c>
      <c r="S93" s="1903">
        <f>SUM(S96,S100,S104,S108,S110,S114)</f>
        <v>0</v>
      </c>
      <c r="T93" s="1903">
        <f>SUM(T96,T100,T104,T108,T110,T114)</f>
        <v>0</v>
      </c>
      <c r="U93" s="1598">
        <f t="shared" si="29"/>
        <v>0</v>
      </c>
      <c r="V93" s="1903">
        <f>SUM(V96,V100,V104,V108,V110,V114)</f>
        <v>0</v>
      </c>
      <c r="W93" s="1903">
        <f>SUM(W96,W100,W104,W108,W110,W114)</f>
        <v>0</v>
      </c>
      <c r="X93" s="1423">
        <f t="shared" ref="X93:X119" si="31">D93-G93</f>
        <v>0</v>
      </c>
    </row>
    <row r="94" spans="1:24" s="484" customFormat="1" ht="23.25">
      <c r="A94" s="1999"/>
      <c r="B94" s="2001" t="s">
        <v>1699</v>
      </c>
      <c r="C94" s="1877"/>
      <c r="D94" s="1598">
        <f>SUM(E94:F94)</f>
        <v>149614.70000000001</v>
      </c>
      <c r="E94" s="1903">
        <f>E98+E109+E111+E106+E102</f>
        <v>140636.6</v>
      </c>
      <c r="F94" s="1903">
        <f>F98+F109+F111+F106+F102</f>
        <v>8978.1</v>
      </c>
      <c r="G94" s="1598">
        <f>SUM(H94:I94)</f>
        <v>149614.70000000001</v>
      </c>
      <c r="H94" s="1903">
        <f>H98+H109+H111+H106+H102</f>
        <v>140636.6</v>
      </c>
      <c r="I94" s="1903">
        <f>I98+I109+I111+I106+I102</f>
        <v>8978.1</v>
      </c>
      <c r="J94" s="1598">
        <f>SUM(K94:L94)</f>
        <v>0</v>
      </c>
      <c r="K94" s="1903">
        <f>K98+K109+K111</f>
        <v>0</v>
      </c>
      <c r="L94" s="1903">
        <f>L98+L109+L111</f>
        <v>0</v>
      </c>
      <c r="M94" s="1903">
        <f t="shared" si="17"/>
        <v>0</v>
      </c>
      <c r="N94" s="1903">
        <f t="shared" si="18"/>
        <v>0</v>
      </c>
      <c r="O94" s="1903">
        <f t="shared" si="19"/>
        <v>0</v>
      </c>
      <c r="P94" s="2000"/>
      <c r="Q94" s="2000"/>
      <c r="R94" s="1598"/>
      <c r="S94" s="1903"/>
      <c r="T94" s="1903"/>
      <c r="U94" s="1598"/>
      <c r="V94" s="1903"/>
      <c r="W94" s="1903"/>
      <c r="X94" s="1423">
        <f t="shared" si="31"/>
        <v>0</v>
      </c>
    </row>
    <row r="95" spans="1:24" s="484" customFormat="1" ht="23.25">
      <c r="A95" s="1999"/>
      <c r="B95" s="2001" t="s">
        <v>1700</v>
      </c>
      <c r="C95" s="1877"/>
      <c r="D95" s="1598">
        <f t="shared" si="25"/>
        <v>55313.3</v>
      </c>
      <c r="E95" s="1903">
        <f>E99+E103+E107+E113+E116</f>
        <v>0</v>
      </c>
      <c r="F95" s="1903">
        <f>F99+F103+F107+F113+F116</f>
        <v>55313.3</v>
      </c>
      <c r="G95" s="1598">
        <f>SUM(H95:I95)</f>
        <v>55313.3</v>
      </c>
      <c r="H95" s="1903">
        <f>H99+H103+H107+H113+H116</f>
        <v>0</v>
      </c>
      <c r="I95" s="1903">
        <f>I99+I103+I107+I113+I116</f>
        <v>55313.3</v>
      </c>
      <c r="J95" s="1598">
        <f>SUM(K95:L95)</f>
        <v>204</v>
      </c>
      <c r="K95" s="1903">
        <f>K99+K103+K107+K113+K116</f>
        <v>0</v>
      </c>
      <c r="L95" s="1903">
        <f>L99+L103+L107+L113+L116</f>
        <v>204</v>
      </c>
      <c r="M95" s="1903">
        <f t="shared" si="17"/>
        <v>0.4</v>
      </c>
      <c r="N95" s="1903">
        <f t="shared" si="18"/>
        <v>0</v>
      </c>
      <c r="O95" s="1903">
        <f t="shared" si="19"/>
        <v>0.4</v>
      </c>
      <c r="P95" s="2000"/>
      <c r="Q95" s="2000"/>
      <c r="R95" s="1598"/>
      <c r="S95" s="1903"/>
      <c r="T95" s="1903"/>
      <c r="U95" s="1598"/>
      <c r="V95" s="1903"/>
      <c r="W95" s="1903"/>
      <c r="X95" s="1423">
        <f t="shared" si="31"/>
        <v>0</v>
      </c>
    </row>
    <row r="96" spans="1:24" s="484" customFormat="1" ht="23.25">
      <c r="A96" s="1867"/>
      <c r="B96" s="506" t="s">
        <v>433</v>
      </c>
      <c r="C96" s="1882"/>
      <c r="D96" s="1602">
        <f t="shared" si="25"/>
        <v>15739.7</v>
      </c>
      <c r="E96" s="1603">
        <f>E97</f>
        <v>9575.2000000000007</v>
      </c>
      <c r="F96" s="1603">
        <f>F97</f>
        <v>6164.5</v>
      </c>
      <c r="G96" s="1602">
        <f t="shared" si="30"/>
        <v>15739.7</v>
      </c>
      <c r="H96" s="1603">
        <f>H97</f>
        <v>9575.2000000000007</v>
      </c>
      <c r="I96" s="1603">
        <f>I97</f>
        <v>6164.5</v>
      </c>
      <c r="J96" s="1602">
        <f t="shared" si="27"/>
        <v>0</v>
      </c>
      <c r="K96" s="1603">
        <f>K97</f>
        <v>0</v>
      </c>
      <c r="L96" s="1603">
        <f>L97</f>
        <v>0</v>
      </c>
      <c r="M96" s="1601">
        <f t="shared" si="17"/>
        <v>0</v>
      </c>
      <c r="N96" s="1601">
        <f t="shared" si="18"/>
        <v>0</v>
      </c>
      <c r="O96" s="1601">
        <f t="shared" si="19"/>
        <v>0</v>
      </c>
      <c r="P96" s="1601">
        <f>SUM(P97)</f>
        <v>0</v>
      </c>
      <c r="Q96" s="1601">
        <f>SUM(Q97)</f>
        <v>0</v>
      </c>
      <c r="R96" s="1602">
        <f t="shared" si="28"/>
        <v>0</v>
      </c>
      <c r="S96" s="1603">
        <f>S97</f>
        <v>0</v>
      </c>
      <c r="T96" s="1603">
        <f>T97</f>
        <v>0</v>
      </c>
      <c r="U96" s="1602">
        <f t="shared" si="29"/>
        <v>0</v>
      </c>
      <c r="V96" s="1603">
        <f>V97</f>
        <v>0</v>
      </c>
      <c r="W96" s="1603">
        <f>W97</f>
        <v>0</v>
      </c>
      <c r="X96" s="1423">
        <f t="shared" si="31"/>
        <v>0</v>
      </c>
    </row>
    <row r="97" spans="1:24" s="484" customFormat="1" ht="40.5" customHeight="1">
      <c r="A97" s="1867">
        <f>A91+1</f>
        <v>44</v>
      </c>
      <c r="B97" s="1905" t="s">
        <v>1563</v>
      </c>
      <c r="C97" s="1906"/>
      <c r="D97" s="1602">
        <f t="shared" si="25"/>
        <v>15739.7</v>
      </c>
      <c r="E97" s="1864">
        <f>E98+E99</f>
        <v>9575.2000000000007</v>
      </c>
      <c r="F97" s="1864">
        <f>F98+F99</f>
        <v>6164.5</v>
      </c>
      <c r="G97" s="1602">
        <f t="shared" si="30"/>
        <v>15739.7</v>
      </c>
      <c r="H97" s="1864">
        <f>H98+H99</f>
        <v>9575.2000000000007</v>
      </c>
      <c r="I97" s="1864">
        <f>I98+I99</f>
        <v>6164.5</v>
      </c>
      <c r="J97" s="1602">
        <f t="shared" si="27"/>
        <v>0</v>
      </c>
      <c r="K97" s="1864">
        <f>K98+K99</f>
        <v>0</v>
      </c>
      <c r="L97" s="1864">
        <f>L98+L99</f>
        <v>0</v>
      </c>
      <c r="M97" s="1600">
        <f t="shared" si="17"/>
        <v>0</v>
      </c>
      <c r="N97" s="1907">
        <f t="shared" si="18"/>
        <v>0</v>
      </c>
      <c r="O97" s="1907">
        <f t="shared" si="19"/>
        <v>0</v>
      </c>
      <c r="P97" s="1593"/>
      <c r="Q97" s="1593"/>
      <c r="R97" s="1602">
        <f t="shared" si="28"/>
        <v>0</v>
      </c>
      <c r="S97" s="1864">
        <f>S98+S99</f>
        <v>0</v>
      </c>
      <c r="T97" s="1864">
        <f>T98+T99</f>
        <v>0</v>
      </c>
      <c r="U97" s="1602">
        <f t="shared" si="29"/>
        <v>0</v>
      </c>
      <c r="V97" s="1864">
        <f>V98+V99</f>
        <v>0</v>
      </c>
      <c r="W97" s="1864">
        <f>W98+W99</f>
        <v>0</v>
      </c>
      <c r="X97" s="1423">
        <f t="shared" si="31"/>
        <v>0</v>
      </c>
    </row>
    <row r="98" spans="1:24" s="484" customFormat="1" ht="23.25">
      <c r="A98" s="1867"/>
      <c r="B98" s="1619" t="s">
        <v>1620</v>
      </c>
      <c r="C98" s="1906" t="s">
        <v>1630</v>
      </c>
      <c r="D98" s="1602">
        <f t="shared" si="25"/>
        <v>10186.5</v>
      </c>
      <c r="E98" s="1864">
        <v>9575.2000000000007</v>
      </c>
      <c r="F98" s="1864">
        <v>611.29999999999995</v>
      </c>
      <c r="G98" s="1602">
        <f t="shared" si="30"/>
        <v>10186.5</v>
      </c>
      <c r="H98" s="1864">
        <v>9575.2000000000007</v>
      </c>
      <c r="I98" s="1864">
        <v>611.29999999999995</v>
      </c>
      <c r="J98" s="1602">
        <f t="shared" si="27"/>
        <v>0</v>
      </c>
      <c r="K98" s="1864"/>
      <c r="L98" s="1864"/>
      <c r="M98" s="1600">
        <f t="shared" si="17"/>
        <v>0</v>
      </c>
      <c r="N98" s="1907">
        <f t="shared" si="18"/>
        <v>0</v>
      </c>
      <c r="O98" s="1907">
        <f t="shared" si="19"/>
        <v>0</v>
      </c>
      <c r="P98" s="1593"/>
      <c r="Q98" s="1593"/>
      <c r="R98" s="1602">
        <f t="shared" si="28"/>
        <v>0</v>
      </c>
      <c r="S98" s="1614">
        <v>0</v>
      </c>
      <c r="T98" s="1614">
        <v>0</v>
      </c>
      <c r="U98" s="1602">
        <f t="shared" si="29"/>
        <v>0</v>
      </c>
      <c r="V98" s="1614">
        <v>0</v>
      </c>
      <c r="W98" s="1614">
        <v>0</v>
      </c>
      <c r="X98" s="1423">
        <f t="shared" si="31"/>
        <v>0</v>
      </c>
    </row>
    <row r="99" spans="1:24" s="484" customFormat="1" ht="23.25">
      <c r="A99" s="1867"/>
      <c r="B99" s="1619" t="s">
        <v>1621</v>
      </c>
      <c r="C99" s="1906" t="s">
        <v>1631</v>
      </c>
      <c r="D99" s="1602">
        <f t="shared" si="25"/>
        <v>5553.2</v>
      </c>
      <c r="E99" s="1864"/>
      <c r="F99" s="1864">
        <v>5553.2</v>
      </c>
      <c r="G99" s="1602">
        <f t="shared" si="30"/>
        <v>5553.2</v>
      </c>
      <c r="H99" s="1864"/>
      <c r="I99" s="1864">
        <v>5553.2</v>
      </c>
      <c r="J99" s="1602">
        <f t="shared" si="27"/>
        <v>0</v>
      </c>
      <c r="K99" s="1864"/>
      <c r="L99" s="1864"/>
      <c r="M99" s="1600">
        <f t="shared" si="17"/>
        <v>0</v>
      </c>
      <c r="N99" s="1907">
        <f t="shared" si="18"/>
        <v>0</v>
      </c>
      <c r="O99" s="1907">
        <f t="shared" si="19"/>
        <v>0</v>
      </c>
      <c r="P99" s="1593"/>
      <c r="Q99" s="1593"/>
      <c r="R99" s="1602">
        <f t="shared" si="28"/>
        <v>0</v>
      </c>
      <c r="S99" s="1614">
        <v>0</v>
      </c>
      <c r="T99" s="1614">
        <v>0</v>
      </c>
      <c r="U99" s="1602">
        <f t="shared" si="29"/>
        <v>0</v>
      </c>
      <c r="V99" s="1614">
        <v>0</v>
      </c>
      <c r="W99" s="1614">
        <v>0</v>
      </c>
      <c r="X99" s="1423">
        <f t="shared" si="31"/>
        <v>0</v>
      </c>
    </row>
    <row r="100" spans="1:24" s="484" customFormat="1" ht="23.25">
      <c r="A100" s="1867"/>
      <c r="B100" s="506" t="s">
        <v>583</v>
      </c>
      <c r="C100" s="1882"/>
      <c r="D100" s="1602">
        <f t="shared" si="25"/>
        <v>17870.099999999999</v>
      </c>
      <c r="E100" s="1603">
        <f t="shared" ref="E100:W100" si="32">E101</f>
        <v>8460</v>
      </c>
      <c r="F100" s="1603">
        <f t="shared" si="32"/>
        <v>9410.1</v>
      </c>
      <c r="G100" s="1602">
        <f t="shared" si="30"/>
        <v>17870.099999999999</v>
      </c>
      <c r="H100" s="1603">
        <f t="shared" si="32"/>
        <v>8460</v>
      </c>
      <c r="I100" s="1603">
        <f t="shared" si="32"/>
        <v>9410.1</v>
      </c>
      <c r="J100" s="1602">
        <f t="shared" si="27"/>
        <v>0</v>
      </c>
      <c r="K100" s="1603">
        <f t="shared" si="32"/>
        <v>0</v>
      </c>
      <c r="L100" s="1603">
        <f t="shared" si="32"/>
        <v>0</v>
      </c>
      <c r="M100" s="1601">
        <f t="shared" si="17"/>
        <v>0</v>
      </c>
      <c r="N100" s="1601">
        <f t="shared" si="18"/>
        <v>0</v>
      </c>
      <c r="O100" s="1601">
        <f t="shared" si="19"/>
        <v>0</v>
      </c>
      <c r="P100" s="1601">
        <f t="shared" si="32"/>
        <v>0</v>
      </c>
      <c r="Q100" s="1601">
        <f t="shared" si="32"/>
        <v>0</v>
      </c>
      <c r="R100" s="1601">
        <f t="shared" si="32"/>
        <v>0</v>
      </c>
      <c r="S100" s="1601">
        <f t="shared" si="32"/>
        <v>0</v>
      </c>
      <c r="T100" s="1601">
        <f t="shared" si="32"/>
        <v>0</v>
      </c>
      <c r="U100" s="1601">
        <f t="shared" si="32"/>
        <v>0</v>
      </c>
      <c r="V100" s="1601">
        <f t="shared" si="32"/>
        <v>0</v>
      </c>
      <c r="W100" s="1601">
        <f t="shared" si="32"/>
        <v>0</v>
      </c>
      <c r="X100" s="1423">
        <f t="shared" si="31"/>
        <v>0</v>
      </c>
    </row>
    <row r="101" spans="1:24" s="484" customFormat="1" ht="27.75" customHeight="1">
      <c r="A101" s="1867">
        <f>A97+1</f>
        <v>45</v>
      </c>
      <c r="B101" s="1889" t="s">
        <v>1629</v>
      </c>
      <c r="C101" s="1882"/>
      <c r="D101" s="1602">
        <f t="shared" si="25"/>
        <v>17870.099999999999</v>
      </c>
      <c r="E101" s="1616">
        <f>E102+E103</f>
        <v>8460</v>
      </c>
      <c r="F101" s="1616">
        <f>F102+F103</f>
        <v>9410.1</v>
      </c>
      <c r="G101" s="1602">
        <f t="shared" si="30"/>
        <v>17870.099999999999</v>
      </c>
      <c r="H101" s="1616">
        <f>H102+H103</f>
        <v>8460</v>
      </c>
      <c r="I101" s="1616">
        <f>I102+I103</f>
        <v>9410.1</v>
      </c>
      <c r="J101" s="1602">
        <f t="shared" si="27"/>
        <v>0</v>
      </c>
      <c r="K101" s="1616">
        <f>K103</f>
        <v>0</v>
      </c>
      <c r="L101" s="1616"/>
      <c r="M101" s="1604">
        <f t="shared" si="17"/>
        <v>0</v>
      </c>
      <c r="N101" s="1881">
        <f t="shared" si="18"/>
        <v>0</v>
      </c>
      <c r="O101" s="1881">
        <f t="shared" si="19"/>
        <v>0</v>
      </c>
      <c r="P101" s="1593"/>
      <c r="Q101" s="1593"/>
      <c r="R101" s="1602">
        <f t="shared" ref="R101:R180" si="33">SUM(S101:T101)</f>
        <v>0</v>
      </c>
      <c r="S101" s="1616">
        <f>S103</f>
        <v>0</v>
      </c>
      <c r="T101" s="1616">
        <f>T103</f>
        <v>0</v>
      </c>
      <c r="U101" s="1602">
        <f t="shared" ref="U101:U180" si="34">SUM(V101:W101)</f>
        <v>0</v>
      </c>
      <c r="V101" s="1616">
        <f>V103</f>
        <v>0</v>
      </c>
      <c r="W101" s="1616">
        <f>W103</f>
        <v>0</v>
      </c>
      <c r="X101" s="1423">
        <f t="shared" si="31"/>
        <v>0</v>
      </c>
    </row>
    <row r="102" spans="1:24" s="484" customFormat="1" ht="27" customHeight="1">
      <c r="A102" s="2004"/>
      <c r="B102" s="1619" t="s">
        <v>1620</v>
      </c>
      <c r="C102" s="1882"/>
      <c r="D102" s="1602">
        <f>SUM(E102:F102)</f>
        <v>9000.1</v>
      </c>
      <c r="E102" s="1864">
        <v>8460</v>
      </c>
      <c r="F102" s="1864">
        <v>540.1</v>
      </c>
      <c r="G102" s="1602">
        <f>SUM(H102:I102)</f>
        <v>9000.1</v>
      </c>
      <c r="H102" s="1864">
        <v>8460</v>
      </c>
      <c r="I102" s="1864">
        <v>540.1</v>
      </c>
      <c r="J102" s="1602">
        <f>SUM(K102:L102)</f>
        <v>0</v>
      </c>
      <c r="K102" s="1864"/>
      <c r="L102" s="1864"/>
      <c r="M102" s="1600">
        <f t="shared" si="17"/>
        <v>0</v>
      </c>
      <c r="N102" s="1907">
        <f t="shared" si="18"/>
        <v>0</v>
      </c>
      <c r="O102" s="1907">
        <f t="shared" si="19"/>
        <v>0</v>
      </c>
      <c r="P102" s="1593"/>
      <c r="Q102" s="1593"/>
      <c r="R102" s="1602"/>
      <c r="S102" s="1616"/>
      <c r="T102" s="1616"/>
      <c r="U102" s="1602"/>
      <c r="V102" s="1616"/>
      <c r="W102" s="1616"/>
      <c r="X102" s="1423">
        <f t="shared" si="31"/>
        <v>0</v>
      </c>
    </row>
    <row r="103" spans="1:24" s="484" customFormat="1" ht="23.25">
      <c r="A103" s="1867"/>
      <c r="B103" s="1619" t="s">
        <v>1621</v>
      </c>
      <c r="C103" s="1906"/>
      <c r="D103" s="1602">
        <f t="shared" si="25"/>
        <v>8870</v>
      </c>
      <c r="E103" s="1864"/>
      <c r="F103" s="1864">
        <v>8870</v>
      </c>
      <c r="G103" s="1602">
        <f t="shared" si="30"/>
        <v>8870</v>
      </c>
      <c r="H103" s="1864"/>
      <c r="I103" s="1864">
        <v>8870</v>
      </c>
      <c r="J103" s="1602">
        <f t="shared" si="27"/>
        <v>0</v>
      </c>
      <c r="K103" s="1864"/>
      <c r="L103" s="1864"/>
      <c r="M103" s="1600">
        <f t="shared" si="17"/>
        <v>0</v>
      </c>
      <c r="N103" s="1907">
        <f t="shared" si="18"/>
        <v>0</v>
      </c>
      <c r="O103" s="1907">
        <f t="shared" si="19"/>
        <v>0</v>
      </c>
      <c r="P103" s="1593"/>
      <c r="Q103" s="1593"/>
      <c r="R103" s="1602">
        <f t="shared" si="33"/>
        <v>0</v>
      </c>
      <c r="S103" s="1865">
        <v>0</v>
      </c>
      <c r="T103" s="1865">
        <v>0</v>
      </c>
      <c r="U103" s="1602">
        <f t="shared" si="34"/>
        <v>0</v>
      </c>
      <c r="V103" s="1865">
        <v>0</v>
      </c>
      <c r="W103" s="1865">
        <v>0</v>
      </c>
      <c r="X103" s="1423">
        <f t="shared" si="31"/>
        <v>0</v>
      </c>
    </row>
    <row r="104" spans="1:24" s="484" customFormat="1" ht="25.5" customHeight="1">
      <c r="A104" s="1867"/>
      <c r="B104" s="506" t="s">
        <v>1624</v>
      </c>
      <c r="C104" s="1882"/>
      <c r="D104" s="1602">
        <f t="shared" si="25"/>
        <v>5448</v>
      </c>
      <c r="E104" s="1603">
        <f>E105</f>
        <v>2540.3000000000002</v>
      </c>
      <c r="F104" s="1603">
        <f>F105</f>
        <v>2907.7</v>
      </c>
      <c r="G104" s="1602">
        <f t="shared" si="30"/>
        <v>5448</v>
      </c>
      <c r="H104" s="1603">
        <f>H105</f>
        <v>2540.3000000000002</v>
      </c>
      <c r="I104" s="1603">
        <f>I105</f>
        <v>2907.7</v>
      </c>
      <c r="J104" s="1602">
        <f t="shared" si="27"/>
        <v>204</v>
      </c>
      <c r="K104" s="1603">
        <f>K105</f>
        <v>0</v>
      </c>
      <c r="L104" s="1603">
        <f>L105</f>
        <v>204</v>
      </c>
      <c r="M104" s="1601">
        <f t="shared" si="17"/>
        <v>3.7</v>
      </c>
      <c r="N104" s="1601">
        <f t="shared" si="18"/>
        <v>0</v>
      </c>
      <c r="O104" s="1601">
        <f t="shared" si="19"/>
        <v>7</v>
      </c>
      <c r="P104" s="1601">
        <f>P105</f>
        <v>0</v>
      </c>
      <c r="Q104" s="1601">
        <f>Q105</f>
        <v>0</v>
      </c>
      <c r="R104" s="1602">
        <f t="shared" si="33"/>
        <v>0</v>
      </c>
      <c r="S104" s="1603">
        <f>S105</f>
        <v>0</v>
      </c>
      <c r="T104" s="1603">
        <f>T105</f>
        <v>0</v>
      </c>
      <c r="U104" s="1602">
        <f t="shared" si="34"/>
        <v>0</v>
      </c>
      <c r="V104" s="1603">
        <f>V105</f>
        <v>0</v>
      </c>
      <c r="W104" s="1603">
        <f>W105</f>
        <v>0</v>
      </c>
      <c r="X104" s="1423">
        <f t="shared" si="31"/>
        <v>0</v>
      </c>
    </row>
    <row r="105" spans="1:24" s="484" customFormat="1" ht="45.75" customHeight="1">
      <c r="A105" s="1867">
        <f>A101+1</f>
        <v>46</v>
      </c>
      <c r="B105" s="1889" t="s">
        <v>1625</v>
      </c>
      <c r="C105" s="1882"/>
      <c r="D105" s="1602">
        <f t="shared" si="25"/>
        <v>5448</v>
      </c>
      <c r="E105" s="1616">
        <f>E106+E107</f>
        <v>2540.3000000000002</v>
      </c>
      <c r="F105" s="1616">
        <f>F106+F107</f>
        <v>2907.7</v>
      </c>
      <c r="G105" s="1602">
        <f t="shared" si="30"/>
        <v>5448</v>
      </c>
      <c r="H105" s="1616">
        <f>H106+H107</f>
        <v>2540.3000000000002</v>
      </c>
      <c r="I105" s="1616">
        <f>I106+I107</f>
        <v>2907.7</v>
      </c>
      <c r="J105" s="1602">
        <f t="shared" si="27"/>
        <v>204</v>
      </c>
      <c r="K105" s="1616">
        <f>K106+K107</f>
        <v>0</v>
      </c>
      <c r="L105" s="1616">
        <f>L106+L107</f>
        <v>204</v>
      </c>
      <c r="M105" s="1604">
        <f t="shared" si="17"/>
        <v>3.7</v>
      </c>
      <c r="N105" s="1881">
        <f t="shared" si="18"/>
        <v>0</v>
      </c>
      <c r="O105" s="1881">
        <f t="shared" si="19"/>
        <v>7</v>
      </c>
      <c r="P105" s="1593"/>
      <c r="Q105" s="1593"/>
      <c r="R105" s="1602">
        <f t="shared" si="33"/>
        <v>0</v>
      </c>
      <c r="S105" s="1616">
        <f>S107</f>
        <v>0</v>
      </c>
      <c r="T105" s="1616">
        <f>T107</f>
        <v>0</v>
      </c>
      <c r="U105" s="1602">
        <f t="shared" si="34"/>
        <v>0</v>
      </c>
      <c r="V105" s="1616">
        <f>V107</f>
        <v>0</v>
      </c>
      <c r="W105" s="1616">
        <f>W107</f>
        <v>0</v>
      </c>
      <c r="X105" s="1423">
        <f t="shared" si="31"/>
        <v>0</v>
      </c>
    </row>
    <row r="106" spans="1:24" s="484" customFormat="1" ht="28.5" customHeight="1">
      <c r="A106" s="2004"/>
      <c r="B106" s="1619" t="s">
        <v>1620</v>
      </c>
      <c r="C106" s="1882"/>
      <c r="D106" s="1602">
        <f>SUM(E106:F106)</f>
        <v>2702.5</v>
      </c>
      <c r="E106" s="1864">
        <v>2540.3000000000002</v>
      </c>
      <c r="F106" s="1864">
        <v>162.19999999999999</v>
      </c>
      <c r="G106" s="1602">
        <f>SUM(H106:I106)</f>
        <v>2702.5</v>
      </c>
      <c r="H106" s="1864">
        <v>2540.3000000000002</v>
      </c>
      <c r="I106" s="1864">
        <v>162.19999999999999</v>
      </c>
      <c r="J106" s="1602">
        <f>SUM(K106:L106)</f>
        <v>0</v>
      </c>
      <c r="K106" s="1864"/>
      <c r="L106" s="1864"/>
      <c r="M106" s="1600">
        <f t="shared" si="17"/>
        <v>0</v>
      </c>
      <c r="N106" s="1907">
        <f t="shared" si="18"/>
        <v>0</v>
      </c>
      <c r="O106" s="1907">
        <f t="shared" si="19"/>
        <v>0</v>
      </c>
      <c r="P106" s="1593"/>
      <c r="Q106" s="1593"/>
      <c r="R106" s="1602"/>
      <c r="S106" s="1616"/>
      <c r="T106" s="1616"/>
      <c r="U106" s="1602"/>
      <c r="V106" s="1616"/>
      <c r="W106" s="1616"/>
      <c r="X106" s="1423">
        <f t="shared" si="31"/>
        <v>0</v>
      </c>
    </row>
    <row r="107" spans="1:24" s="484" customFormat="1" ht="23.25">
      <c r="A107" s="1867"/>
      <c r="B107" s="1619" t="s">
        <v>1621</v>
      </c>
      <c r="C107" s="1906"/>
      <c r="D107" s="1602">
        <f t="shared" si="25"/>
        <v>2745.5</v>
      </c>
      <c r="E107" s="1864"/>
      <c r="F107" s="1864">
        <v>2745.5</v>
      </c>
      <c r="G107" s="1602">
        <f t="shared" si="30"/>
        <v>2745.5</v>
      </c>
      <c r="H107" s="1864"/>
      <c r="I107" s="1864">
        <v>2745.5</v>
      </c>
      <c r="J107" s="1602">
        <f t="shared" si="27"/>
        <v>204</v>
      </c>
      <c r="K107" s="1864"/>
      <c r="L107" s="1864">
        <v>204</v>
      </c>
      <c r="M107" s="1600">
        <f t="shared" si="17"/>
        <v>7.4</v>
      </c>
      <c r="N107" s="1907">
        <f t="shared" si="18"/>
        <v>0</v>
      </c>
      <c r="O107" s="1907">
        <f t="shared" si="19"/>
        <v>7.4</v>
      </c>
      <c r="P107" s="1593"/>
      <c r="Q107" s="1593"/>
      <c r="R107" s="1602">
        <f t="shared" si="33"/>
        <v>0</v>
      </c>
      <c r="S107" s="1614">
        <v>0</v>
      </c>
      <c r="T107" s="1614">
        <v>0</v>
      </c>
      <c r="U107" s="1602">
        <f t="shared" si="34"/>
        <v>0</v>
      </c>
      <c r="V107" s="1614">
        <v>0</v>
      </c>
      <c r="W107" s="1614">
        <v>0</v>
      </c>
      <c r="X107" s="1423">
        <f t="shared" si="31"/>
        <v>0</v>
      </c>
    </row>
    <row r="108" spans="1:24" s="484" customFormat="1" ht="19.5" customHeight="1">
      <c r="A108" s="1867"/>
      <c r="B108" s="506" t="s">
        <v>1401</v>
      </c>
      <c r="C108" s="1882"/>
      <c r="D108" s="1602">
        <f t="shared" si="25"/>
        <v>87760</v>
      </c>
      <c r="E108" s="1603">
        <f>E109</f>
        <v>82493.5</v>
      </c>
      <c r="F108" s="1603">
        <f>F109</f>
        <v>5266.5</v>
      </c>
      <c r="G108" s="1602">
        <f t="shared" si="30"/>
        <v>87760</v>
      </c>
      <c r="H108" s="1603">
        <f>H109</f>
        <v>82493.5</v>
      </c>
      <c r="I108" s="1603">
        <f>I109</f>
        <v>5266.5</v>
      </c>
      <c r="J108" s="1602">
        <f t="shared" si="27"/>
        <v>0</v>
      </c>
      <c r="K108" s="1603">
        <f>K109</f>
        <v>0</v>
      </c>
      <c r="L108" s="1603">
        <f>L109</f>
        <v>0</v>
      </c>
      <c r="M108" s="1601">
        <f t="shared" si="17"/>
        <v>0</v>
      </c>
      <c r="N108" s="1601">
        <f t="shared" si="18"/>
        <v>0</v>
      </c>
      <c r="O108" s="1601">
        <f t="shared" si="19"/>
        <v>0</v>
      </c>
      <c r="P108" s="1601">
        <f>P109</f>
        <v>0</v>
      </c>
      <c r="Q108" s="1601">
        <f>Q109</f>
        <v>0</v>
      </c>
      <c r="R108" s="1602">
        <f t="shared" si="33"/>
        <v>0</v>
      </c>
      <c r="S108" s="1603">
        <f>S109</f>
        <v>0</v>
      </c>
      <c r="T108" s="1603">
        <f>T109</f>
        <v>0</v>
      </c>
      <c r="U108" s="1602">
        <f t="shared" si="34"/>
        <v>0</v>
      </c>
      <c r="V108" s="1603">
        <f>V109</f>
        <v>0</v>
      </c>
      <c r="W108" s="1603">
        <f>W109</f>
        <v>0</v>
      </c>
      <c r="X108" s="1423">
        <f t="shared" si="31"/>
        <v>0</v>
      </c>
    </row>
    <row r="109" spans="1:24" s="484" customFormat="1" ht="40.5" customHeight="1">
      <c r="A109" s="1867">
        <f>A105+1</f>
        <v>47</v>
      </c>
      <c r="B109" s="1889" t="s">
        <v>681</v>
      </c>
      <c r="C109" s="1882"/>
      <c r="D109" s="1602">
        <f t="shared" si="25"/>
        <v>87760</v>
      </c>
      <c r="E109" s="1616">
        <v>82493.5</v>
      </c>
      <c r="F109" s="1616">
        <v>5266.5</v>
      </c>
      <c r="G109" s="1602">
        <f t="shared" si="30"/>
        <v>87760</v>
      </c>
      <c r="H109" s="1616">
        <v>82493.5</v>
      </c>
      <c r="I109" s="1616">
        <v>5266.5</v>
      </c>
      <c r="J109" s="1602">
        <f t="shared" si="27"/>
        <v>0</v>
      </c>
      <c r="K109" s="1616"/>
      <c r="L109" s="1616"/>
      <c r="M109" s="1604">
        <f t="shared" si="17"/>
        <v>0</v>
      </c>
      <c r="N109" s="1881">
        <f t="shared" si="18"/>
        <v>0</v>
      </c>
      <c r="O109" s="1881">
        <f t="shared" si="19"/>
        <v>0</v>
      </c>
      <c r="P109" s="1593"/>
      <c r="Q109" s="1593"/>
      <c r="R109" s="1602">
        <f t="shared" si="33"/>
        <v>0</v>
      </c>
      <c r="S109" s="1614">
        <v>0</v>
      </c>
      <c r="T109" s="1614">
        <v>0</v>
      </c>
      <c r="U109" s="1602">
        <f t="shared" si="34"/>
        <v>0</v>
      </c>
      <c r="V109" s="1614">
        <v>0</v>
      </c>
      <c r="W109" s="1614">
        <v>0</v>
      </c>
      <c r="X109" s="1423">
        <f t="shared" si="31"/>
        <v>0</v>
      </c>
    </row>
    <row r="110" spans="1:24" s="484" customFormat="1" ht="27" customHeight="1">
      <c r="A110" s="1867"/>
      <c r="B110" s="506" t="s">
        <v>1554</v>
      </c>
      <c r="C110" s="1882"/>
      <c r="D110" s="1602">
        <f t="shared" si="25"/>
        <v>75664.2</v>
      </c>
      <c r="E110" s="1603">
        <f>SUM(E111:E112)</f>
        <v>37567.599999999999</v>
      </c>
      <c r="F110" s="1603">
        <f>SUM(F111:F112)</f>
        <v>38096.6</v>
      </c>
      <c r="G110" s="1602">
        <f t="shared" si="30"/>
        <v>75664.2</v>
      </c>
      <c r="H110" s="1603">
        <f>SUM(H111:H112)</f>
        <v>37567.599999999999</v>
      </c>
      <c r="I110" s="1603">
        <f>SUM(I111:I112)</f>
        <v>38096.6</v>
      </c>
      <c r="J110" s="1602">
        <f t="shared" si="27"/>
        <v>0</v>
      </c>
      <c r="K110" s="1603">
        <f>SUM(K111:K112)</f>
        <v>0</v>
      </c>
      <c r="L110" s="1603">
        <f>SUM(L111:L112)</f>
        <v>0</v>
      </c>
      <c r="M110" s="1601">
        <f t="shared" si="17"/>
        <v>0</v>
      </c>
      <c r="N110" s="1601">
        <f t="shared" si="18"/>
        <v>0</v>
      </c>
      <c r="O110" s="1601">
        <f t="shared" si="19"/>
        <v>0</v>
      </c>
      <c r="P110" s="1593"/>
      <c r="Q110" s="1593"/>
      <c r="R110" s="1602">
        <f t="shared" si="33"/>
        <v>0</v>
      </c>
      <c r="S110" s="1603">
        <f>SUM(S111:S112)</f>
        <v>0</v>
      </c>
      <c r="T110" s="1603">
        <f>SUM(T111:T112)</f>
        <v>0</v>
      </c>
      <c r="U110" s="1602">
        <f t="shared" si="34"/>
        <v>0</v>
      </c>
      <c r="V110" s="1603">
        <f>SUM(V111:V112)</f>
        <v>0</v>
      </c>
      <c r="W110" s="1603">
        <f>SUM(W111:W112)</f>
        <v>0</v>
      </c>
      <c r="X110" s="1423">
        <f t="shared" si="31"/>
        <v>0</v>
      </c>
    </row>
    <row r="111" spans="1:24" s="484" customFormat="1" ht="42.75" customHeight="1">
      <c r="A111" s="1867">
        <f>A109+1</f>
        <v>48</v>
      </c>
      <c r="B111" s="1889" t="s">
        <v>1623</v>
      </c>
      <c r="C111" s="1882"/>
      <c r="D111" s="1602">
        <f t="shared" si="25"/>
        <v>39965.599999999999</v>
      </c>
      <c r="E111" s="1616">
        <v>37567.599999999999</v>
      </c>
      <c r="F111" s="1616">
        <v>2398</v>
      </c>
      <c r="G111" s="1602">
        <f t="shared" si="30"/>
        <v>39965.599999999999</v>
      </c>
      <c r="H111" s="1616">
        <v>37567.599999999999</v>
      </c>
      <c r="I111" s="1616">
        <v>2398</v>
      </c>
      <c r="J111" s="1602">
        <f t="shared" si="27"/>
        <v>0</v>
      </c>
      <c r="K111" s="1616"/>
      <c r="L111" s="1616"/>
      <c r="M111" s="1604">
        <f t="shared" si="17"/>
        <v>0</v>
      </c>
      <c r="N111" s="1881">
        <f t="shared" si="18"/>
        <v>0</v>
      </c>
      <c r="O111" s="1881">
        <f t="shared" si="19"/>
        <v>0</v>
      </c>
      <c r="P111" s="1593"/>
      <c r="Q111" s="1593"/>
      <c r="R111" s="1602">
        <f t="shared" si="33"/>
        <v>0</v>
      </c>
      <c r="S111" s="1614">
        <v>0</v>
      </c>
      <c r="T111" s="1614">
        <v>0</v>
      </c>
      <c r="U111" s="1602">
        <f t="shared" si="34"/>
        <v>0</v>
      </c>
      <c r="V111" s="1614">
        <v>0</v>
      </c>
      <c r="W111" s="1614">
        <v>0</v>
      </c>
      <c r="X111" s="1423">
        <f t="shared" si="31"/>
        <v>0</v>
      </c>
    </row>
    <row r="112" spans="1:24" s="484" customFormat="1" ht="44.25" customHeight="1">
      <c r="A112" s="1867">
        <f>A111+1</f>
        <v>49</v>
      </c>
      <c r="B112" s="1889" t="s">
        <v>1660</v>
      </c>
      <c r="C112" s="1882"/>
      <c r="D112" s="1616">
        <f t="shared" si="25"/>
        <v>35698.6</v>
      </c>
      <c r="E112" s="1616">
        <f t="shared" ref="E112:L112" si="35">E113</f>
        <v>0</v>
      </c>
      <c r="F112" s="1616">
        <f t="shared" si="35"/>
        <v>35698.6</v>
      </c>
      <c r="G112" s="1616">
        <f t="shared" si="30"/>
        <v>35698.6</v>
      </c>
      <c r="H112" s="1616">
        <f t="shared" si="35"/>
        <v>0</v>
      </c>
      <c r="I112" s="1616">
        <f t="shared" si="35"/>
        <v>35698.6</v>
      </c>
      <c r="J112" s="1616">
        <f t="shared" si="27"/>
        <v>0</v>
      </c>
      <c r="K112" s="1616">
        <f t="shared" si="35"/>
        <v>0</v>
      </c>
      <c r="L112" s="1616">
        <f t="shared" si="35"/>
        <v>0</v>
      </c>
      <c r="M112" s="1604">
        <f t="shared" si="17"/>
        <v>0</v>
      </c>
      <c r="N112" s="1881">
        <f t="shared" si="18"/>
        <v>0</v>
      </c>
      <c r="O112" s="1881">
        <f t="shared" si="19"/>
        <v>0</v>
      </c>
      <c r="P112" s="1593"/>
      <c r="Q112" s="1593"/>
      <c r="R112" s="1616">
        <f t="shared" si="33"/>
        <v>0</v>
      </c>
      <c r="S112" s="1616">
        <f>S113</f>
        <v>0</v>
      </c>
      <c r="T112" s="1616">
        <f>T113</f>
        <v>0</v>
      </c>
      <c r="U112" s="1616">
        <f t="shared" si="34"/>
        <v>0</v>
      </c>
      <c r="V112" s="1616">
        <f>V113</f>
        <v>0</v>
      </c>
      <c r="W112" s="1616">
        <f>W113</f>
        <v>0</v>
      </c>
      <c r="X112" s="1423">
        <f t="shared" si="31"/>
        <v>0</v>
      </c>
    </row>
    <row r="113" spans="1:24" s="484" customFormat="1" ht="23.25">
      <c r="A113" s="1867"/>
      <c r="B113" s="1619" t="s">
        <v>1621</v>
      </c>
      <c r="C113" s="1906"/>
      <c r="D113" s="1602">
        <f t="shared" si="25"/>
        <v>35698.6</v>
      </c>
      <c r="E113" s="1864"/>
      <c r="F113" s="1864">
        <v>35698.6</v>
      </c>
      <c r="G113" s="1602">
        <f t="shared" si="30"/>
        <v>35698.6</v>
      </c>
      <c r="H113" s="1864"/>
      <c r="I113" s="1864">
        <v>35698.6</v>
      </c>
      <c r="J113" s="1602">
        <f t="shared" si="27"/>
        <v>0</v>
      </c>
      <c r="K113" s="1864"/>
      <c r="L113" s="1864"/>
      <c r="M113" s="1600">
        <f t="shared" si="17"/>
        <v>0</v>
      </c>
      <c r="N113" s="1907">
        <f t="shared" si="18"/>
        <v>0</v>
      </c>
      <c r="O113" s="1907">
        <f t="shared" si="19"/>
        <v>0</v>
      </c>
      <c r="P113" s="1593"/>
      <c r="Q113" s="1593"/>
      <c r="R113" s="1609">
        <f t="shared" si="33"/>
        <v>0</v>
      </c>
      <c r="S113" s="1614">
        <v>0</v>
      </c>
      <c r="T113" s="1614">
        <v>0</v>
      </c>
      <c r="U113" s="1602">
        <f t="shared" si="34"/>
        <v>0</v>
      </c>
      <c r="V113" s="1614">
        <v>0</v>
      </c>
      <c r="W113" s="1614">
        <v>0</v>
      </c>
      <c r="X113" s="1423">
        <f t="shared" si="31"/>
        <v>0</v>
      </c>
    </row>
    <row r="114" spans="1:24" s="484" customFormat="1" ht="23.25">
      <c r="A114" s="1867"/>
      <c r="B114" s="506" t="s">
        <v>1626</v>
      </c>
      <c r="C114" s="1882"/>
      <c r="D114" s="1602">
        <f t="shared" si="25"/>
        <v>2446</v>
      </c>
      <c r="E114" s="1603">
        <f>E115</f>
        <v>0</v>
      </c>
      <c r="F114" s="1603">
        <f>F115</f>
        <v>2446</v>
      </c>
      <c r="G114" s="1602">
        <f t="shared" si="30"/>
        <v>2446</v>
      </c>
      <c r="H114" s="1603">
        <f>H115</f>
        <v>0</v>
      </c>
      <c r="I114" s="1603">
        <f>I115</f>
        <v>2446</v>
      </c>
      <c r="J114" s="1602">
        <f t="shared" si="27"/>
        <v>0</v>
      </c>
      <c r="K114" s="1603">
        <f>K115</f>
        <v>0</v>
      </c>
      <c r="L114" s="1603">
        <f>L115</f>
        <v>0</v>
      </c>
      <c r="M114" s="1601">
        <f t="shared" si="17"/>
        <v>0</v>
      </c>
      <c r="N114" s="1601">
        <f t="shared" si="18"/>
        <v>0</v>
      </c>
      <c r="O114" s="1601">
        <f t="shared" si="19"/>
        <v>0</v>
      </c>
      <c r="P114" s="1593"/>
      <c r="Q114" s="1593"/>
      <c r="R114" s="1602">
        <f t="shared" si="33"/>
        <v>0</v>
      </c>
      <c r="S114" s="1603">
        <f>S115</f>
        <v>0</v>
      </c>
      <c r="T114" s="1603">
        <f>T115</f>
        <v>0</v>
      </c>
      <c r="U114" s="1602">
        <f t="shared" si="34"/>
        <v>0</v>
      </c>
      <c r="V114" s="1603">
        <f>V115</f>
        <v>0</v>
      </c>
      <c r="W114" s="1603">
        <f>W115</f>
        <v>0</v>
      </c>
      <c r="X114" s="1423">
        <f t="shared" si="31"/>
        <v>0</v>
      </c>
    </row>
    <row r="115" spans="1:24" s="484" customFormat="1" ht="37.5">
      <c r="A115" s="1867">
        <f>A112+1</f>
        <v>50</v>
      </c>
      <c r="B115" s="1889" t="s">
        <v>1627</v>
      </c>
      <c r="C115" s="1882"/>
      <c r="D115" s="1600">
        <f t="shared" si="25"/>
        <v>2446</v>
      </c>
      <c r="E115" s="1608">
        <f>E116</f>
        <v>0</v>
      </c>
      <c r="F115" s="1608">
        <f>F116</f>
        <v>2446</v>
      </c>
      <c r="G115" s="1600">
        <f t="shared" si="30"/>
        <v>2446</v>
      </c>
      <c r="H115" s="1608">
        <f>H116</f>
        <v>0</v>
      </c>
      <c r="I115" s="1608">
        <f>I116</f>
        <v>2446</v>
      </c>
      <c r="J115" s="1600">
        <f t="shared" si="27"/>
        <v>0</v>
      </c>
      <c r="K115" s="1608">
        <f>K116</f>
        <v>0</v>
      </c>
      <c r="L115" s="1608">
        <f>L116</f>
        <v>0</v>
      </c>
      <c r="M115" s="1604">
        <f t="shared" si="17"/>
        <v>0</v>
      </c>
      <c r="N115" s="1881">
        <f t="shared" si="18"/>
        <v>0</v>
      </c>
      <c r="O115" s="1881">
        <f t="shared" si="19"/>
        <v>0</v>
      </c>
      <c r="P115" s="1593"/>
      <c r="Q115" s="1593"/>
      <c r="R115" s="1600">
        <f t="shared" si="33"/>
        <v>0</v>
      </c>
      <c r="S115" s="1608">
        <f>S116</f>
        <v>0</v>
      </c>
      <c r="T115" s="1608">
        <f>T116</f>
        <v>0</v>
      </c>
      <c r="U115" s="1600">
        <f t="shared" si="34"/>
        <v>0</v>
      </c>
      <c r="V115" s="1608">
        <f>V116</f>
        <v>0</v>
      </c>
      <c r="W115" s="1608">
        <f>W116</f>
        <v>0</v>
      </c>
      <c r="X115" s="1423">
        <f t="shared" si="31"/>
        <v>0</v>
      </c>
    </row>
    <row r="116" spans="1:24" s="484" customFormat="1" ht="23.25">
      <c r="A116" s="1867"/>
      <c r="B116" s="1619" t="s">
        <v>1621</v>
      </c>
      <c r="C116" s="1906"/>
      <c r="D116" s="1600">
        <f t="shared" si="25"/>
        <v>2446</v>
      </c>
      <c r="E116" s="1865"/>
      <c r="F116" s="1865">
        <v>2446</v>
      </c>
      <c r="G116" s="1600">
        <f t="shared" si="30"/>
        <v>2446</v>
      </c>
      <c r="H116" s="1865"/>
      <c r="I116" s="1865">
        <v>2446</v>
      </c>
      <c r="J116" s="1600">
        <f t="shared" si="27"/>
        <v>0</v>
      </c>
      <c r="K116" s="1865"/>
      <c r="L116" s="1865"/>
      <c r="M116" s="1600">
        <f t="shared" si="17"/>
        <v>0</v>
      </c>
      <c r="N116" s="1907">
        <f t="shared" si="18"/>
        <v>0</v>
      </c>
      <c r="O116" s="1907">
        <f t="shared" si="19"/>
        <v>0</v>
      </c>
      <c r="P116" s="1593"/>
      <c r="Q116" s="1593"/>
      <c r="R116" s="1600">
        <f t="shared" si="33"/>
        <v>0</v>
      </c>
      <c r="S116" s="1614">
        <v>0</v>
      </c>
      <c r="T116" s="1614">
        <v>0</v>
      </c>
      <c r="U116" s="1600">
        <f t="shared" si="34"/>
        <v>0</v>
      </c>
      <c r="V116" s="1614">
        <v>0</v>
      </c>
      <c r="W116" s="1614">
        <v>0</v>
      </c>
      <c r="X116" s="1423">
        <f t="shared" si="31"/>
        <v>0</v>
      </c>
    </row>
    <row r="117" spans="1:24" ht="93.75">
      <c r="A117" s="1867" t="s">
        <v>2</v>
      </c>
      <c r="B117" s="2007" t="s">
        <v>1434</v>
      </c>
      <c r="C117" s="1873"/>
      <c r="D117" s="1596">
        <f t="shared" si="25"/>
        <v>5866364.5</v>
      </c>
      <c r="E117" s="1596">
        <f>SUM(E118,E164)</f>
        <v>4440782.8</v>
      </c>
      <c r="F117" s="1596">
        <f>SUM(F118,F164)</f>
        <v>1425581.7</v>
      </c>
      <c r="G117" s="1596">
        <f t="shared" si="30"/>
        <v>5866364.5</v>
      </c>
      <c r="H117" s="1596">
        <f>SUM(H118,H164)</f>
        <v>4440782.8</v>
      </c>
      <c r="I117" s="1596">
        <f>SUM(I118,I164)</f>
        <v>1425581.7</v>
      </c>
      <c r="J117" s="1596">
        <f t="shared" si="27"/>
        <v>766611.9</v>
      </c>
      <c r="K117" s="1596">
        <f>SUM(K118,K164)</f>
        <v>643898.9</v>
      </c>
      <c r="L117" s="1596">
        <f>SUM(L118,L164)</f>
        <v>122713</v>
      </c>
      <c r="M117" s="2008">
        <f t="shared" si="17"/>
        <v>13.1</v>
      </c>
      <c r="N117" s="2009">
        <f t="shared" si="18"/>
        <v>14.5</v>
      </c>
      <c r="O117" s="2009">
        <f t="shared" si="19"/>
        <v>8.6</v>
      </c>
      <c r="P117" s="1622" t="s">
        <v>353</v>
      </c>
      <c r="Q117" s="1622" t="s">
        <v>353</v>
      </c>
      <c r="R117" s="1861">
        <f t="shared" si="33"/>
        <v>2414323.7999999998</v>
      </c>
      <c r="S117" s="1861">
        <f>SUM(S118,S164)</f>
        <v>926046.6</v>
      </c>
      <c r="T117" s="1861">
        <f>SUM(T118,T164)</f>
        <v>1488277.2</v>
      </c>
      <c r="U117" s="1861">
        <f t="shared" si="34"/>
        <v>1478103.7</v>
      </c>
      <c r="V117" s="1861">
        <f>SUM(V118,V164)</f>
        <v>1463322.7</v>
      </c>
      <c r="W117" s="1861">
        <f>SUM(W118,W164)</f>
        <v>14781</v>
      </c>
      <c r="X117" s="1423">
        <f t="shared" si="31"/>
        <v>0</v>
      </c>
    </row>
    <row r="118" spans="1:24" ht="23.25">
      <c r="A118" s="1867" t="s">
        <v>246</v>
      </c>
      <c r="B118" s="1876" t="s">
        <v>1393</v>
      </c>
      <c r="C118" s="1877"/>
      <c r="D118" s="1598">
        <f t="shared" si="25"/>
        <v>170814.3</v>
      </c>
      <c r="E118" s="1598">
        <f>SUM(E119,E154)</f>
        <v>0</v>
      </c>
      <c r="F118" s="1598">
        <f>SUM(F119,F154)</f>
        <v>170814.3</v>
      </c>
      <c r="G118" s="1598">
        <f t="shared" si="30"/>
        <v>170814.3</v>
      </c>
      <c r="H118" s="1598">
        <f>SUM(H119,H154)</f>
        <v>0</v>
      </c>
      <c r="I118" s="1598">
        <f>SUM(I119,I154)</f>
        <v>170814.3</v>
      </c>
      <c r="J118" s="1598">
        <f t="shared" si="27"/>
        <v>19170.3</v>
      </c>
      <c r="K118" s="1598">
        <f>SUM(K119,K154)</f>
        <v>0</v>
      </c>
      <c r="L118" s="1598">
        <f>SUM(L119,L154)</f>
        <v>19170.3</v>
      </c>
      <c r="M118" s="1908">
        <f t="shared" si="17"/>
        <v>11.2</v>
      </c>
      <c r="N118" s="1909">
        <f t="shared" si="18"/>
        <v>0</v>
      </c>
      <c r="O118" s="1909">
        <f t="shared" si="19"/>
        <v>11.2</v>
      </c>
      <c r="P118" s="1599" t="s">
        <v>353</v>
      </c>
      <c r="Q118" s="1599" t="s">
        <v>353</v>
      </c>
      <c r="R118" s="1598">
        <f t="shared" si="33"/>
        <v>39180</v>
      </c>
      <c r="S118" s="1598">
        <f>SUM(S119,S154)</f>
        <v>0</v>
      </c>
      <c r="T118" s="1598">
        <f>SUM(T119,T154)</f>
        <v>39180</v>
      </c>
      <c r="U118" s="1598">
        <f>SUM(V118:W118)</f>
        <v>0</v>
      </c>
      <c r="V118" s="1598">
        <f>SUM(V119,V154)</f>
        <v>0</v>
      </c>
      <c r="W118" s="1598">
        <f>SUM(W119,W154)</f>
        <v>0</v>
      </c>
      <c r="X118" s="1423">
        <f t="shared" si="31"/>
        <v>0</v>
      </c>
    </row>
    <row r="119" spans="1:24" ht="23.25">
      <c r="A119" s="1867" t="s">
        <v>247</v>
      </c>
      <c r="B119" s="1897" t="s">
        <v>529</v>
      </c>
      <c r="C119" s="1898"/>
      <c r="D119" s="1899">
        <f>SUM(E119:F119)</f>
        <v>127510.2</v>
      </c>
      <c r="E119" s="1899">
        <f>SUM(E120:E153)</f>
        <v>0</v>
      </c>
      <c r="F119" s="1899">
        <f>SUM(F120:F153)</f>
        <v>127510.2</v>
      </c>
      <c r="G119" s="1899">
        <f>SUM(H119:I119)</f>
        <v>127510.2</v>
      </c>
      <c r="H119" s="1899">
        <f>SUM(H120:H153)</f>
        <v>0</v>
      </c>
      <c r="I119" s="1899">
        <f>SUM(I120:I153)</f>
        <v>127510.2</v>
      </c>
      <c r="J119" s="1899">
        <f>SUM(K119:L119)</f>
        <v>17197.400000000001</v>
      </c>
      <c r="K119" s="1899">
        <f>SUM(K120:K153)</f>
        <v>0</v>
      </c>
      <c r="L119" s="1899">
        <f>SUM(L120:L153)</f>
        <v>17197.400000000001</v>
      </c>
      <c r="M119" s="1910">
        <f t="shared" si="17"/>
        <v>13.5</v>
      </c>
      <c r="N119" s="1911">
        <f t="shared" si="18"/>
        <v>0</v>
      </c>
      <c r="O119" s="1911">
        <f t="shared" si="19"/>
        <v>13.5</v>
      </c>
      <c r="P119" s="1599"/>
      <c r="Q119" s="1599"/>
      <c r="R119" s="1899">
        <f t="shared" si="33"/>
        <v>38180</v>
      </c>
      <c r="S119" s="1899">
        <f>SUM(S120:S149)</f>
        <v>0</v>
      </c>
      <c r="T119" s="1899">
        <f>SUM(T120:T149)</f>
        <v>38180</v>
      </c>
      <c r="U119" s="1899">
        <f t="shared" si="34"/>
        <v>0</v>
      </c>
      <c r="V119" s="1899">
        <f>SUM(V120:V149)</f>
        <v>0</v>
      </c>
      <c r="W119" s="1899">
        <f>SUM(W120:W149)</f>
        <v>0</v>
      </c>
      <c r="X119" s="1423">
        <f t="shared" si="31"/>
        <v>0</v>
      </c>
    </row>
    <row r="120" spans="1:24" s="1570" customFormat="1" ht="24.75" hidden="1" customHeight="1">
      <c r="A120" s="1867">
        <f>A115+1</f>
        <v>51</v>
      </c>
      <c r="B120" s="1885" t="s">
        <v>1588</v>
      </c>
      <c r="C120" s="1867" t="s">
        <v>1612</v>
      </c>
      <c r="D120" s="1600">
        <f t="shared" si="25"/>
        <v>0</v>
      </c>
      <c r="E120" s="1614"/>
      <c r="F120" s="1615">
        <v>0</v>
      </c>
      <c r="G120" s="1600">
        <f t="shared" si="30"/>
        <v>0</v>
      </c>
      <c r="H120" s="1614"/>
      <c r="I120" s="1614">
        <v>0</v>
      </c>
      <c r="J120" s="1600">
        <f t="shared" si="27"/>
        <v>0</v>
      </c>
      <c r="K120" s="1614"/>
      <c r="L120" s="1614"/>
      <c r="M120" s="1604">
        <f t="shared" si="17"/>
        <v>0</v>
      </c>
      <c r="N120" s="1881">
        <f t="shared" si="18"/>
        <v>0</v>
      </c>
      <c r="O120" s="1881">
        <f t="shared" si="19"/>
        <v>0</v>
      </c>
      <c r="P120" s="1593"/>
      <c r="Q120" s="1612"/>
      <c r="R120" s="1600">
        <f t="shared" si="33"/>
        <v>0</v>
      </c>
      <c r="S120" s="1614">
        <v>0</v>
      </c>
      <c r="T120" s="1614">
        <v>0</v>
      </c>
      <c r="U120" s="1600">
        <f t="shared" si="34"/>
        <v>0</v>
      </c>
      <c r="V120" s="1614">
        <v>0</v>
      </c>
      <c r="W120" s="1614">
        <v>0</v>
      </c>
    </row>
    <row r="121" spans="1:24" ht="23.25">
      <c r="A121" s="1867">
        <f>A115+1</f>
        <v>51</v>
      </c>
      <c r="B121" s="1912" t="s">
        <v>1592</v>
      </c>
      <c r="C121" s="1913">
        <v>14038</v>
      </c>
      <c r="D121" s="1600">
        <f t="shared" si="25"/>
        <v>2373</v>
      </c>
      <c r="E121" s="1608"/>
      <c r="F121" s="1616">
        <v>2373</v>
      </c>
      <c r="G121" s="1600">
        <f t="shared" si="30"/>
        <v>2373</v>
      </c>
      <c r="H121" s="1608"/>
      <c r="I121" s="1608">
        <f>F121</f>
        <v>2373</v>
      </c>
      <c r="J121" s="1600">
        <f t="shared" si="27"/>
        <v>0</v>
      </c>
      <c r="K121" s="1608"/>
      <c r="L121" s="1608"/>
      <c r="M121" s="1893">
        <f t="shared" si="17"/>
        <v>0</v>
      </c>
      <c r="N121" s="1894">
        <f t="shared" si="18"/>
        <v>0</v>
      </c>
      <c r="O121" s="1894">
        <f t="shared" si="19"/>
        <v>0</v>
      </c>
      <c r="P121" s="1593"/>
      <c r="Q121" s="1593"/>
      <c r="R121" s="1600">
        <f t="shared" si="33"/>
        <v>0</v>
      </c>
      <c r="S121" s="1614">
        <v>0</v>
      </c>
      <c r="T121" s="1614">
        <v>0</v>
      </c>
      <c r="U121" s="1600">
        <f t="shared" si="34"/>
        <v>0</v>
      </c>
      <c r="V121" s="1614">
        <v>0</v>
      </c>
      <c r="W121" s="1614">
        <v>0</v>
      </c>
      <c r="X121" s="1423">
        <f>D121-G121</f>
        <v>0</v>
      </c>
    </row>
    <row r="122" spans="1:24" ht="37.5">
      <c r="A122" s="1867">
        <f t="shared" ref="A122:A142" si="36">A121+1</f>
        <v>52</v>
      </c>
      <c r="B122" s="1889" t="s">
        <v>1657</v>
      </c>
      <c r="C122" s="1878"/>
      <c r="D122" s="1600">
        <f t="shared" si="25"/>
        <v>2085.3000000000002</v>
      </c>
      <c r="E122" s="1616"/>
      <c r="F122" s="1616">
        <f>2000+85.3</f>
        <v>2085.3000000000002</v>
      </c>
      <c r="G122" s="1600">
        <f t="shared" si="30"/>
        <v>2085.3000000000002</v>
      </c>
      <c r="H122" s="1616"/>
      <c r="I122" s="1608">
        <f>F122</f>
        <v>2085.3000000000002</v>
      </c>
      <c r="J122" s="1600">
        <f t="shared" si="27"/>
        <v>0</v>
      </c>
      <c r="K122" s="1616"/>
      <c r="L122" s="1616"/>
      <c r="M122" s="1604">
        <f t="shared" si="17"/>
        <v>0</v>
      </c>
      <c r="N122" s="1881">
        <f t="shared" si="18"/>
        <v>0</v>
      </c>
      <c r="O122" s="1881">
        <f t="shared" si="19"/>
        <v>0</v>
      </c>
      <c r="P122" s="1599"/>
      <c r="Q122" s="1599"/>
      <c r="R122" s="1600">
        <f t="shared" si="33"/>
        <v>0</v>
      </c>
      <c r="S122" s="1614">
        <v>0</v>
      </c>
      <c r="T122" s="1614">
        <v>0</v>
      </c>
      <c r="U122" s="1600">
        <f t="shared" si="34"/>
        <v>0</v>
      </c>
      <c r="V122" s="1614">
        <v>0</v>
      </c>
      <c r="W122" s="1614">
        <v>0</v>
      </c>
      <c r="X122" s="1423">
        <f>D122-G122</f>
        <v>0</v>
      </c>
    </row>
    <row r="123" spans="1:24" ht="45" hidden="1" customHeight="1">
      <c r="A123" s="1867">
        <f t="shared" si="36"/>
        <v>53</v>
      </c>
      <c r="B123" s="1883" t="s">
        <v>1443</v>
      </c>
      <c r="C123" s="1867">
        <v>14065</v>
      </c>
      <c r="D123" s="1600">
        <f t="shared" si="25"/>
        <v>0</v>
      </c>
      <c r="E123" s="1608"/>
      <c r="F123" s="1616">
        <v>0</v>
      </c>
      <c r="G123" s="1600">
        <f t="shared" si="30"/>
        <v>0</v>
      </c>
      <c r="H123" s="1608"/>
      <c r="I123" s="1608">
        <v>0</v>
      </c>
      <c r="J123" s="1600">
        <f t="shared" si="27"/>
        <v>0</v>
      </c>
      <c r="K123" s="1608"/>
      <c r="L123" s="1608"/>
      <c r="M123" s="1604">
        <f t="shared" si="17"/>
        <v>0</v>
      </c>
      <c r="N123" s="1881">
        <f t="shared" si="18"/>
        <v>0</v>
      </c>
      <c r="O123" s="1881">
        <f t="shared" si="19"/>
        <v>0</v>
      </c>
      <c r="P123" s="1593" t="s">
        <v>1290</v>
      </c>
      <c r="Q123" s="1593" t="s">
        <v>1240</v>
      </c>
      <c r="R123" s="1600">
        <f t="shared" si="33"/>
        <v>0</v>
      </c>
      <c r="S123" s="1614">
        <v>0</v>
      </c>
      <c r="T123" s="1614">
        <v>0</v>
      </c>
      <c r="U123" s="1600">
        <f t="shared" si="34"/>
        <v>0</v>
      </c>
      <c r="V123" s="1614">
        <v>0</v>
      </c>
      <c r="W123" s="1614">
        <v>0</v>
      </c>
    </row>
    <row r="124" spans="1:24" ht="77.25" customHeight="1">
      <c r="A124" s="1867">
        <f>A122+1</f>
        <v>53</v>
      </c>
      <c r="B124" s="1883" t="s">
        <v>1444</v>
      </c>
      <c r="C124" s="1867">
        <v>14066</v>
      </c>
      <c r="D124" s="1600">
        <f t="shared" si="25"/>
        <v>1191.2</v>
      </c>
      <c r="E124" s="1608"/>
      <c r="F124" s="1616">
        <v>1191.2</v>
      </c>
      <c r="G124" s="1600">
        <f t="shared" si="30"/>
        <v>1191.2</v>
      </c>
      <c r="H124" s="1608"/>
      <c r="I124" s="1608">
        <f t="shared" ref="I124:I129" si="37">F124</f>
        <v>1191.2</v>
      </c>
      <c r="J124" s="1600">
        <f t="shared" si="27"/>
        <v>0</v>
      </c>
      <c r="K124" s="1608"/>
      <c r="L124" s="1608"/>
      <c r="M124" s="1604">
        <f t="shared" si="17"/>
        <v>0</v>
      </c>
      <c r="N124" s="1881">
        <f t="shared" si="18"/>
        <v>0</v>
      </c>
      <c r="O124" s="1881">
        <f t="shared" si="19"/>
        <v>0</v>
      </c>
      <c r="P124" s="1593" t="s">
        <v>1290</v>
      </c>
      <c r="Q124" s="1593" t="s">
        <v>1240</v>
      </c>
      <c r="R124" s="1600">
        <f t="shared" si="33"/>
        <v>0</v>
      </c>
      <c r="S124" s="1614">
        <v>0</v>
      </c>
      <c r="T124" s="1614">
        <v>0</v>
      </c>
      <c r="U124" s="1600">
        <f t="shared" si="34"/>
        <v>0</v>
      </c>
      <c r="V124" s="1614">
        <v>0</v>
      </c>
      <c r="W124" s="1614">
        <v>0</v>
      </c>
      <c r="X124" s="1423">
        <f t="shared" ref="X124:X129" si="38">D124-G124</f>
        <v>0</v>
      </c>
    </row>
    <row r="125" spans="1:24" ht="38.25" customHeight="1">
      <c r="A125" s="1867">
        <f t="shared" si="36"/>
        <v>54</v>
      </c>
      <c r="B125" s="1883" t="s">
        <v>1446</v>
      </c>
      <c r="C125" s="1880">
        <v>14076</v>
      </c>
      <c r="D125" s="1600">
        <f t="shared" si="25"/>
        <v>1026</v>
      </c>
      <c r="E125" s="1608"/>
      <c r="F125" s="1616">
        <f>3420-2394</f>
        <v>1026</v>
      </c>
      <c r="G125" s="1600">
        <f t="shared" si="30"/>
        <v>1026</v>
      </c>
      <c r="H125" s="1608"/>
      <c r="I125" s="1608">
        <f t="shared" si="37"/>
        <v>1026</v>
      </c>
      <c r="J125" s="1600">
        <f t="shared" si="27"/>
        <v>0</v>
      </c>
      <c r="K125" s="1608"/>
      <c r="L125" s="1608"/>
      <c r="M125" s="1604">
        <f t="shared" si="17"/>
        <v>0</v>
      </c>
      <c r="N125" s="1881">
        <f t="shared" si="18"/>
        <v>0</v>
      </c>
      <c r="O125" s="1881">
        <f t="shared" si="19"/>
        <v>0</v>
      </c>
      <c r="P125" s="1593" t="s">
        <v>1290</v>
      </c>
      <c r="Q125" s="1593" t="s">
        <v>1240</v>
      </c>
      <c r="R125" s="1600">
        <f t="shared" si="33"/>
        <v>0</v>
      </c>
      <c r="S125" s="1614">
        <v>0</v>
      </c>
      <c r="T125" s="1614">
        <v>0</v>
      </c>
      <c r="U125" s="1600">
        <f t="shared" si="34"/>
        <v>0</v>
      </c>
      <c r="V125" s="1614">
        <v>0</v>
      </c>
      <c r="W125" s="1614">
        <v>0</v>
      </c>
      <c r="X125" s="1423">
        <f t="shared" si="38"/>
        <v>0</v>
      </c>
    </row>
    <row r="126" spans="1:24" ht="41.25" customHeight="1">
      <c r="A126" s="1867">
        <f t="shared" si="36"/>
        <v>55</v>
      </c>
      <c r="B126" s="1883" t="s">
        <v>1447</v>
      </c>
      <c r="C126" s="1880">
        <v>14077</v>
      </c>
      <c r="D126" s="1600">
        <f t="shared" si="25"/>
        <v>813</v>
      </c>
      <c r="E126" s="1608"/>
      <c r="F126" s="1616">
        <f>2710-1897</f>
        <v>813</v>
      </c>
      <c r="G126" s="1600">
        <f t="shared" si="30"/>
        <v>813</v>
      </c>
      <c r="H126" s="1608"/>
      <c r="I126" s="1608">
        <f t="shared" si="37"/>
        <v>813</v>
      </c>
      <c r="J126" s="1600">
        <f t="shared" si="27"/>
        <v>0</v>
      </c>
      <c r="K126" s="1608"/>
      <c r="L126" s="1608"/>
      <c r="M126" s="1604">
        <f t="shared" si="17"/>
        <v>0</v>
      </c>
      <c r="N126" s="1881">
        <f t="shared" si="18"/>
        <v>0</v>
      </c>
      <c r="O126" s="1881">
        <f t="shared" si="19"/>
        <v>0</v>
      </c>
      <c r="P126" s="1593" t="s">
        <v>1290</v>
      </c>
      <c r="Q126" s="1593" t="s">
        <v>1240</v>
      </c>
      <c r="R126" s="1600">
        <f t="shared" si="33"/>
        <v>0</v>
      </c>
      <c r="S126" s="1614">
        <v>0</v>
      </c>
      <c r="T126" s="1614">
        <v>0</v>
      </c>
      <c r="U126" s="1600">
        <f t="shared" si="34"/>
        <v>0</v>
      </c>
      <c r="V126" s="1614">
        <v>0</v>
      </c>
      <c r="W126" s="1614">
        <v>0</v>
      </c>
      <c r="X126" s="1423">
        <f t="shared" si="38"/>
        <v>0</v>
      </c>
    </row>
    <row r="127" spans="1:24" ht="38.25" customHeight="1">
      <c r="A127" s="1867">
        <f t="shared" si="36"/>
        <v>56</v>
      </c>
      <c r="B127" s="1883" t="s">
        <v>1448</v>
      </c>
      <c r="C127" s="1880">
        <v>14079</v>
      </c>
      <c r="D127" s="1600">
        <f t="shared" si="25"/>
        <v>1026</v>
      </c>
      <c r="E127" s="1608"/>
      <c r="F127" s="1616">
        <f>2930-1904</f>
        <v>1026</v>
      </c>
      <c r="G127" s="1600">
        <f t="shared" si="30"/>
        <v>1026</v>
      </c>
      <c r="H127" s="1608"/>
      <c r="I127" s="1608">
        <f t="shared" si="37"/>
        <v>1026</v>
      </c>
      <c r="J127" s="1600">
        <f t="shared" si="27"/>
        <v>0</v>
      </c>
      <c r="K127" s="1608"/>
      <c r="L127" s="1608"/>
      <c r="M127" s="1604">
        <f t="shared" si="17"/>
        <v>0</v>
      </c>
      <c r="N127" s="1881">
        <f t="shared" si="18"/>
        <v>0</v>
      </c>
      <c r="O127" s="1881">
        <f t="shared" si="19"/>
        <v>0</v>
      </c>
      <c r="P127" s="1593" t="s">
        <v>1290</v>
      </c>
      <c r="Q127" s="1593" t="s">
        <v>1240</v>
      </c>
      <c r="R127" s="1600">
        <f t="shared" si="33"/>
        <v>0</v>
      </c>
      <c r="S127" s="1614">
        <v>0</v>
      </c>
      <c r="T127" s="1614">
        <v>0</v>
      </c>
      <c r="U127" s="1600">
        <f t="shared" si="34"/>
        <v>0</v>
      </c>
      <c r="V127" s="1614">
        <v>0</v>
      </c>
      <c r="W127" s="1614">
        <v>0</v>
      </c>
      <c r="X127" s="1423">
        <f t="shared" si="38"/>
        <v>0</v>
      </c>
    </row>
    <row r="128" spans="1:24" ht="37.5" customHeight="1">
      <c r="A128" s="1867">
        <f t="shared" si="36"/>
        <v>57</v>
      </c>
      <c r="B128" s="1883" t="s">
        <v>1449</v>
      </c>
      <c r="C128" s="1880">
        <v>14080</v>
      </c>
      <c r="D128" s="1600">
        <f t="shared" si="25"/>
        <v>1554</v>
      </c>
      <c r="E128" s="1608"/>
      <c r="F128" s="1616">
        <f>5180-3626</f>
        <v>1554</v>
      </c>
      <c r="G128" s="1600">
        <f t="shared" si="30"/>
        <v>1554</v>
      </c>
      <c r="H128" s="1608"/>
      <c r="I128" s="1608">
        <f t="shared" si="37"/>
        <v>1554</v>
      </c>
      <c r="J128" s="1600">
        <f t="shared" si="27"/>
        <v>0</v>
      </c>
      <c r="K128" s="1608"/>
      <c r="L128" s="1608"/>
      <c r="M128" s="1604">
        <f t="shared" si="17"/>
        <v>0</v>
      </c>
      <c r="N128" s="1881">
        <f t="shared" si="18"/>
        <v>0</v>
      </c>
      <c r="O128" s="1881">
        <f t="shared" si="19"/>
        <v>0</v>
      </c>
      <c r="P128" s="1593" t="s">
        <v>1290</v>
      </c>
      <c r="Q128" s="1593" t="s">
        <v>1240</v>
      </c>
      <c r="R128" s="1600">
        <f t="shared" si="33"/>
        <v>0</v>
      </c>
      <c r="S128" s="1614">
        <v>0</v>
      </c>
      <c r="T128" s="1614">
        <v>0</v>
      </c>
      <c r="U128" s="1600">
        <f t="shared" si="34"/>
        <v>0</v>
      </c>
      <c r="V128" s="1614">
        <v>0</v>
      </c>
      <c r="W128" s="1614">
        <v>0</v>
      </c>
      <c r="X128" s="1423">
        <f t="shared" si="38"/>
        <v>0</v>
      </c>
    </row>
    <row r="129" spans="1:24" ht="22.5" customHeight="1">
      <c r="A129" s="1867">
        <f t="shared" si="36"/>
        <v>58</v>
      </c>
      <c r="B129" s="1883" t="s">
        <v>1450</v>
      </c>
      <c r="C129" s="1880">
        <v>14081</v>
      </c>
      <c r="D129" s="1600">
        <f t="shared" si="25"/>
        <v>879</v>
      </c>
      <c r="E129" s="1608"/>
      <c r="F129" s="1616">
        <f>2930-2051</f>
        <v>879</v>
      </c>
      <c r="G129" s="1600">
        <f t="shared" si="30"/>
        <v>879</v>
      </c>
      <c r="H129" s="1608"/>
      <c r="I129" s="1608">
        <f t="shared" si="37"/>
        <v>879</v>
      </c>
      <c r="J129" s="1600">
        <f t="shared" si="27"/>
        <v>0</v>
      </c>
      <c r="K129" s="1608"/>
      <c r="L129" s="1608"/>
      <c r="M129" s="1604">
        <f t="shared" si="17"/>
        <v>0</v>
      </c>
      <c r="N129" s="1881">
        <f t="shared" si="18"/>
        <v>0</v>
      </c>
      <c r="O129" s="1881">
        <f t="shared" si="19"/>
        <v>0</v>
      </c>
      <c r="P129" s="1593" t="s">
        <v>1290</v>
      </c>
      <c r="Q129" s="1593" t="s">
        <v>1240</v>
      </c>
      <c r="R129" s="1600">
        <f t="shared" si="33"/>
        <v>0</v>
      </c>
      <c r="S129" s="1614">
        <v>0</v>
      </c>
      <c r="T129" s="1614">
        <v>0</v>
      </c>
      <c r="U129" s="1600">
        <f t="shared" si="34"/>
        <v>0</v>
      </c>
      <c r="V129" s="1614">
        <v>0</v>
      </c>
      <c r="W129" s="1614">
        <v>0</v>
      </c>
      <c r="X129" s="1423">
        <f t="shared" si="38"/>
        <v>0</v>
      </c>
    </row>
    <row r="130" spans="1:24" ht="36" hidden="1" customHeight="1">
      <c r="A130" s="1867">
        <f t="shared" si="36"/>
        <v>59</v>
      </c>
      <c r="B130" s="1883" t="s">
        <v>1451</v>
      </c>
      <c r="C130" s="1880">
        <v>14082</v>
      </c>
      <c r="D130" s="1600">
        <f t="shared" si="25"/>
        <v>0</v>
      </c>
      <c r="E130" s="1608"/>
      <c r="F130" s="1616">
        <v>0</v>
      </c>
      <c r="G130" s="1600">
        <f t="shared" si="30"/>
        <v>0</v>
      </c>
      <c r="H130" s="1608"/>
      <c r="I130" s="1608">
        <v>0</v>
      </c>
      <c r="J130" s="1600">
        <f t="shared" si="27"/>
        <v>0</v>
      </c>
      <c r="K130" s="1608"/>
      <c r="L130" s="1608"/>
      <c r="M130" s="1604">
        <f t="shared" si="17"/>
        <v>0</v>
      </c>
      <c r="N130" s="1881">
        <f t="shared" si="18"/>
        <v>0</v>
      </c>
      <c r="O130" s="1881">
        <f t="shared" si="19"/>
        <v>0</v>
      </c>
      <c r="P130" s="1593" t="s">
        <v>1290</v>
      </c>
      <c r="Q130" s="1593" t="s">
        <v>1240</v>
      </c>
      <c r="R130" s="1600">
        <f t="shared" si="33"/>
        <v>0</v>
      </c>
      <c r="S130" s="1614">
        <v>0</v>
      </c>
      <c r="T130" s="1614">
        <v>0</v>
      </c>
      <c r="U130" s="1600">
        <f t="shared" si="34"/>
        <v>0</v>
      </c>
      <c r="V130" s="1614">
        <v>0</v>
      </c>
      <c r="W130" s="1614">
        <v>0</v>
      </c>
    </row>
    <row r="131" spans="1:24" ht="37.5" customHeight="1">
      <c r="A131" s="1867">
        <f t="shared" si="36"/>
        <v>60</v>
      </c>
      <c r="B131" s="1883" t="s">
        <v>1452</v>
      </c>
      <c r="C131" s="1880">
        <v>14083</v>
      </c>
      <c r="D131" s="1600">
        <f t="shared" si="25"/>
        <v>669</v>
      </c>
      <c r="E131" s="1608"/>
      <c r="F131" s="1616">
        <f>2230-1561</f>
        <v>669</v>
      </c>
      <c r="G131" s="1600">
        <f t="shared" si="30"/>
        <v>669</v>
      </c>
      <c r="H131" s="1608"/>
      <c r="I131" s="1608">
        <f>F131</f>
        <v>669</v>
      </c>
      <c r="J131" s="1600">
        <f t="shared" si="27"/>
        <v>0</v>
      </c>
      <c r="K131" s="1608"/>
      <c r="L131" s="1608"/>
      <c r="M131" s="1604">
        <f t="shared" si="17"/>
        <v>0</v>
      </c>
      <c r="N131" s="1881">
        <f t="shared" si="18"/>
        <v>0</v>
      </c>
      <c r="O131" s="1881">
        <f t="shared" si="19"/>
        <v>0</v>
      </c>
      <c r="P131" s="1593" t="s">
        <v>1290</v>
      </c>
      <c r="Q131" s="1593" t="s">
        <v>1240</v>
      </c>
      <c r="R131" s="1600">
        <f t="shared" si="33"/>
        <v>0</v>
      </c>
      <c r="S131" s="1614">
        <v>0</v>
      </c>
      <c r="T131" s="1614">
        <v>0</v>
      </c>
      <c r="U131" s="1600">
        <f t="shared" si="34"/>
        <v>0</v>
      </c>
      <c r="V131" s="1614">
        <v>0</v>
      </c>
      <c r="W131" s="1614">
        <v>0</v>
      </c>
      <c r="X131" s="1423">
        <f>D131-G131</f>
        <v>0</v>
      </c>
    </row>
    <row r="132" spans="1:24" ht="40.5" hidden="1" customHeight="1">
      <c r="A132" s="1867">
        <f t="shared" si="36"/>
        <v>61</v>
      </c>
      <c r="B132" s="1883" t="s">
        <v>1453</v>
      </c>
      <c r="C132" s="1880">
        <v>14084</v>
      </c>
      <c r="D132" s="1600">
        <f t="shared" si="25"/>
        <v>0</v>
      </c>
      <c r="E132" s="1608"/>
      <c r="F132" s="1616">
        <v>0</v>
      </c>
      <c r="G132" s="1600">
        <f t="shared" si="30"/>
        <v>0</v>
      </c>
      <c r="H132" s="1608"/>
      <c r="I132" s="1608">
        <v>0</v>
      </c>
      <c r="J132" s="1600">
        <f t="shared" si="27"/>
        <v>0</v>
      </c>
      <c r="K132" s="1608"/>
      <c r="L132" s="1608"/>
      <c r="M132" s="1604">
        <f t="shared" si="17"/>
        <v>0</v>
      </c>
      <c r="N132" s="1881">
        <f t="shared" si="18"/>
        <v>0</v>
      </c>
      <c r="O132" s="1881">
        <f t="shared" si="19"/>
        <v>0</v>
      </c>
      <c r="P132" s="1593" t="s">
        <v>1290</v>
      </c>
      <c r="Q132" s="1593" t="s">
        <v>1240</v>
      </c>
      <c r="R132" s="1600">
        <f t="shared" si="33"/>
        <v>0</v>
      </c>
      <c r="S132" s="1614">
        <v>0</v>
      </c>
      <c r="T132" s="1614">
        <v>0</v>
      </c>
      <c r="U132" s="1600">
        <f t="shared" si="34"/>
        <v>0</v>
      </c>
      <c r="V132" s="1614">
        <v>0</v>
      </c>
      <c r="W132" s="1614">
        <v>0</v>
      </c>
    </row>
    <row r="133" spans="1:24" ht="38.25" hidden="1" customHeight="1">
      <c r="A133" s="1867">
        <f t="shared" si="36"/>
        <v>62</v>
      </c>
      <c r="B133" s="1883" t="s">
        <v>1454</v>
      </c>
      <c r="C133" s="1880">
        <v>14088</v>
      </c>
      <c r="D133" s="1600">
        <f t="shared" si="25"/>
        <v>0</v>
      </c>
      <c r="E133" s="1608"/>
      <c r="F133" s="1616">
        <v>0</v>
      </c>
      <c r="G133" s="1600">
        <f t="shared" si="30"/>
        <v>0</v>
      </c>
      <c r="H133" s="1608"/>
      <c r="I133" s="1608">
        <v>0</v>
      </c>
      <c r="J133" s="1600">
        <f t="shared" si="27"/>
        <v>0</v>
      </c>
      <c r="K133" s="1608"/>
      <c r="L133" s="1608"/>
      <c r="M133" s="1604">
        <f t="shared" si="17"/>
        <v>0</v>
      </c>
      <c r="N133" s="1881">
        <f t="shared" si="18"/>
        <v>0</v>
      </c>
      <c r="O133" s="1881">
        <f t="shared" si="19"/>
        <v>0</v>
      </c>
      <c r="P133" s="1593" t="s">
        <v>1290</v>
      </c>
      <c r="Q133" s="1593" t="s">
        <v>1240</v>
      </c>
      <c r="R133" s="1600">
        <f t="shared" si="33"/>
        <v>0</v>
      </c>
      <c r="S133" s="1614">
        <v>0</v>
      </c>
      <c r="T133" s="1614">
        <v>0</v>
      </c>
      <c r="U133" s="1600">
        <f t="shared" si="34"/>
        <v>0</v>
      </c>
      <c r="V133" s="1614">
        <v>0</v>
      </c>
      <c r="W133" s="1614">
        <v>0</v>
      </c>
    </row>
    <row r="134" spans="1:24" ht="61.5" customHeight="1">
      <c r="A134" s="1867">
        <f t="shared" si="36"/>
        <v>63</v>
      </c>
      <c r="B134" s="1912" t="s">
        <v>1593</v>
      </c>
      <c r="C134" s="1913"/>
      <c r="D134" s="1600">
        <f t="shared" si="25"/>
        <v>455.7</v>
      </c>
      <c r="E134" s="1608"/>
      <c r="F134" s="1616">
        <f>1519-1063.3</f>
        <v>455.7</v>
      </c>
      <c r="G134" s="1600">
        <f t="shared" si="30"/>
        <v>455.7</v>
      </c>
      <c r="H134" s="1608"/>
      <c r="I134" s="1608">
        <f>F134</f>
        <v>455.7</v>
      </c>
      <c r="J134" s="1600">
        <f t="shared" si="27"/>
        <v>0</v>
      </c>
      <c r="K134" s="1608"/>
      <c r="L134" s="1608"/>
      <c r="M134" s="1893">
        <f t="shared" si="17"/>
        <v>0</v>
      </c>
      <c r="N134" s="1894">
        <f t="shared" si="18"/>
        <v>0</v>
      </c>
      <c r="O134" s="1894">
        <f t="shared" si="19"/>
        <v>0</v>
      </c>
      <c r="P134" s="1593"/>
      <c r="Q134" s="1593"/>
      <c r="R134" s="1600">
        <f t="shared" si="33"/>
        <v>0</v>
      </c>
      <c r="S134" s="1614">
        <v>0</v>
      </c>
      <c r="T134" s="1614">
        <v>0</v>
      </c>
      <c r="U134" s="1600">
        <f t="shared" si="34"/>
        <v>0</v>
      </c>
      <c r="V134" s="1614">
        <v>0</v>
      </c>
      <c r="W134" s="1614">
        <v>0</v>
      </c>
      <c r="X134" s="1423">
        <f>D134-G134</f>
        <v>0</v>
      </c>
    </row>
    <row r="135" spans="1:24" ht="58.5" hidden="1" customHeight="1">
      <c r="A135" s="1867">
        <f t="shared" si="36"/>
        <v>64</v>
      </c>
      <c r="B135" s="1912" t="s">
        <v>1608</v>
      </c>
      <c r="C135" s="1913"/>
      <c r="D135" s="1600">
        <f t="shared" si="25"/>
        <v>0</v>
      </c>
      <c r="E135" s="1608"/>
      <c r="F135" s="1616">
        <v>0</v>
      </c>
      <c r="G135" s="1600">
        <f t="shared" si="30"/>
        <v>0</v>
      </c>
      <c r="H135" s="1608"/>
      <c r="I135" s="1608">
        <v>0</v>
      </c>
      <c r="J135" s="1600">
        <f t="shared" si="27"/>
        <v>0</v>
      </c>
      <c r="K135" s="1608"/>
      <c r="L135" s="1608"/>
      <c r="M135" s="1893">
        <f t="shared" si="17"/>
        <v>0</v>
      </c>
      <c r="N135" s="1894">
        <f t="shared" si="18"/>
        <v>0</v>
      </c>
      <c r="O135" s="1894">
        <f t="shared" si="19"/>
        <v>0</v>
      </c>
      <c r="P135" s="1593"/>
      <c r="Q135" s="1593"/>
      <c r="R135" s="1600">
        <f t="shared" si="33"/>
        <v>0</v>
      </c>
      <c r="S135" s="1614">
        <v>0</v>
      </c>
      <c r="T135" s="1614">
        <v>0</v>
      </c>
      <c r="U135" s="1600">
        <f t="shared" si="34"/>
        <v>0</v>
      </c>
      <c r="V135" s="1614">
        <v>0</v>
      </c>
      <c r="W135" s="1614">
        <v>0</v>
      </c>
    </row>
    <row r="136" spans="1:24" ht="59.25" hidden="1" customHeight="1">
      <c r="A136" s="1867">
        <f t="shared" si="36"/>
        <v>65</v>
      </c>
      <c r="B136" s="1912" t="s">
        <v>1594</v>
      </c>
      <c r="C136" s="1913"/>
      <c r="D136" s="1600">
        <f t="shared" si="25"/>
        <v>0</v>
      </c>
      <c r="E136" s="1608"/>
      <c r="F136" s="1616">
        <v>0</v>
      </c>
      <c r="G136" s="1600">
        <f t="shared" si="30"/>
        <v>0</v>
      </c>
      <c r="H136" s="1608"/>
      <c r="I136" s="1608">
        <v>0</v>
      </c>
      <c r="J136" s="1600">
        <f t="shared" si="27"/>
        <v>0</v>
      </c>
      <c r="K136" s="1608"/>
      <c r="L136" s="1608"/>
      <c r="M136" s="1893">
        <f t="shared" si="17"/>
        <v>0</v>
      </c>
      <c r="N136" s="1894">
        <f t="shared" si="18"/>
        <v>0</v>
      </c>
      <c r="O136" s="1894">
        <f t="shared" si="19"/>
        <v>0</v>
      </c>
      <c r="P136" s="1593"/>
      <c r="Q136" s="1593"/>
      <c r="R136" s="1600">
        <f t="shared" si="33"/>
        <v>0</v>
      </c>
      <c r="S136" s="1614">
        <v>0</v>
      </c>
      <c r="T136" s="1614">
        <v>0</v>
      </c>
      <c r="U136" s="1600">
        <f t="shared" si="34"/>
        <v>0</v>
      </c>
      <c r="V136" s="1614">
        <v>0</v>
      </c>
      <c r="W136" s="1614">
        <v>0</v>
      </c>
    </row>
    <row r="137" spans="1:24" s="1607" customFormat="1" ht="79.5" customHeight="1">
      <c r="A137" s="1867">
        <f>A134+1</f>
        <v>64</v>
      </c>
      <c r="B137" s="1914" t="s">
        <v>1601</v>
      </c>
      <c r="C137" s="1867" t="s">
        <v>332</v>
      </c>
      <c r="D137" s="1600">
        <f t="shared" si="25"/>
        <v>8850</v>
      </c>
      <c r="E137" s="1608"/>
      <c r="F137" s="1616">
        <v>8850</v>
      </c>
      <c r="G137" s="1600">
        <f t="shared" si="30"/>
        <v>8850</v>
      </c>
      <c r="H137" s="1608"/>
      <c r="I137" s="1608">
        <f t="shared" ref="I137:I142" si="39">F137</f>
        <v>8850</v>
      </c>
      <c r="J137" s="1600">
        <f t="shared" si="27"/>
        <v>0</v>
      </c>
      <c r="K137" s="1608"/>
      <c r="L137" s="1608"/>
      <c r="M137" s="1604">
        <f t="shared" si="17"/>
        <v>0</v>
      </c>
      <c r="N137" s="1881">
        <f t="shared" si="18"/>
        <v>0</v>
      </c>
      <c r="O137" s="1881">
        <f t="shared" si="19"/>
        <v>0</v>
      </c>
      <c r="P137" s="1593"/>
      <c r="Q137" s="1593"/>
      <c r="R137" s="1600">
        <f t="shared" si="33"/>
        <v>0</v>
      </c>
      <c r="S137" s="1614">
        <v>0</v>
      </c>
      <c r="T137" s="1614">
        <v>0</v>
      </c>
      <c r="U137" s="1600">
        <f t="shared" si="34"/>
        <v>0</v>
      </c>
      <c r="V137" s="1614">
        <v>0</v>
      </c>
      <c r="W137" s="1614">
        <v>0</v>
      </c>
      <c r="X137" s="1423">
        <f t="shared" ref="X137:X142" si="40">D137-G137</f>
        <v>0</v>
      </c>
    </row>
    <row r="138" spans="1:24" s="1607" customFormat="1" ht="66.75" customHeight="1">
      <c r="A138" s="1867">
        <f t="shared" si="36"/>
        <v>65</v>
      </c>
      <c r="B138" s="1914" t="s">
        <v>1523</v>
      </c>
      <c r="C138" s="1867" t="s">
        <v>1536</v>
      </c>
      <c r="D138" s="1600">
        <f t="shared" si="25"/>
        <v>11900</v>
      </c>
      <c r="E138" s="1608"/>
      <c r="F138" s="1616">
        <f>14000-2100</f>
        <v>11900</v>
      </c>
      <c r="G138" s="1600">
        <f t="shared" si="30"/>
        <v>11900</v>
      </c>
      <c r="H138" s="1608"/>
      <c r="I138" s="1608">
        <f t="shared" si="39"/>
        <v>11900</v>
      </c>
      <c r="J138" s="1600">
        <f t="shared" si="27"/>
        <v>0</v>
      </c>
      <c r="K138" s="1608"/>
      <c r="L138" s="1608"/>
      <c r="M138" s="1604">
        <f t="shared" si="17"/>
        <v>0</v>
      </c>
      <c r="N138" s="1881">
        <f t="shared" si="18"/>
        <v>0</v>
      </c>
      <c r="O138" s="1881">
        <f t="shared" si="19"/>
        <v>0</v>
      </c>
      <c r="P138" s="1593" t="s">
        <v>1192</v>
      </c>
      <c r="Q138" s="1593" t="s">
        <v>1203</v>
      </c>
      <c r="R138" s="1600">
        <f t="shared" si="33"/>
        <v>0</v>
      </c>
      <c r="S138" s="1614">
        <v>0</v>
      </c>
      <c r="T138" s="1614">
        <v>0</v>
      </c>
      <c r="U138" s="1600">
        <f t="shared" si="34"/>
        <v>0</v>
      </c>
      <c r="V138" s="1614">
        <v>0</v>
      </c>
      <c r="W138" s="1614">
        <v>0</v>
      </c>
      <c r="X138" s="1423">
        <f t="shared" si="40"/>
        <v>0</v>
      </c>
    </row>
    <row r="139" spans="1:24" s="1607" customFormat="1" ht="48" customHeight="1">
      <c r="A139" s="1867">
        <f t="shared" si="36"/>
        <v>66</v>
      </c>
      <c r="B139" s="1914" t="s">
        <v>1602</v>
      </c>
      <c r="C139" s="1867"/>
      <c r="D139" s="1600">
        <f t="shared" si="25"/>
        <v>17550</v>
      </c>
      <c r="E139" s="1608"/>
      <c r="F139" s="1616">
        <v>17550</v>
      </c>
      <c r="G139" s="1600">
        <f t="shared" si="30"/>
        <v>17550</v>
      </c>
      <c r="H139" s="1608"/>
      <c r="I139" s="1608">
        <f t="shared" si="39"/>
        <v>17550</v>
      </c>
      <c r="J139" s="1600">
        <f t="shared" si="27"/>
        <v>17197.400000000001</v>
      </c>
      <c r="K139" s="1608"/>
      <c r="L139" s="1608">
        <v>17197.400000000001</v>
      </c>
      <c r="M139" s="1604">
        <f t="shared" si="17"/>
        <v>98</v>
      </c>
      <c r="N139" s="1881">
        <f t="shared" si="18"/>
        <v>0</v>
      </c>
      <c r="O139" s="1881">
        <f t="shared" si="19"/>
        <v>98</v>
      </c>
      <c r="P139" s="1593"/>
      <c r="Q139" s="1593"/>
      <c r="R139" s="1600">
        <f t="shared" si="33"/>
        <v>0</v>
      </c>
      <c r="S139" s="1614">
        <v>0</v>
      </c>
      <c r="T139" s="1614">
        <v>0</v>
      </c>
      <c r="U139" s="1600">
        <f t="shared" si="34"/>
        <v>0</v>
      </c>
      <c r="V139" s="1614">
        <v>0</v>
      </c>
      <c r="W139" s="1614">
        <v>0</v>
      </c>
      <c r="X139" s="1423">
        <f t="shared" si="40"/>
        <v>0</v>
      </c>
    </row>
    <row r="140" spans="1:24" s="1607" customFormat="1" ht="60" customHeight="1">
      <c r="A140" s="1867">
        <f t="shared" si="36"/>
        <v>67</v>
      </c>
      <c r="B140" s="1914" t="s">
        <v>1485</v>
      </c>
      <c r="C140" s="1867" t="s">
        <v>1537</v>
      </c>
      <c r="D140" s="1600">
        <f t="shared" si="25"/>
        <v>11900</v>
      </c>
      <c r="E140" s="1608"/>
      <c r="F140" s="1616">
        <f>14000-2100</f>
        <v>11900</v>
      </c>
      <c r="G140" s="1600">
        <f t="shared" si="30"/>
        <v>11900</v>
      </c>
      <c r="H140" s="1608"/>
      <c r="I140" s="1608">
        <f t="shared" si="39"/>
        <v>11900</v>
      </c>
      <c r="J140" s="1600">
        <f t="shared" si="27"/>
        <v>0</v>
      </c>
      <c r="K140" s="1608"/>
      <c r="L140" s="1608"/>
      <c r="M140" s="1604">
        <f t="shared" si="17"/>
        <v>0</v>
      </c>
      <c r="N140" s="1881">
        <f t="shared" si="18"/>
        <v>0</v>
      </c>
      <c r="O140" s="1881">
        <f t="shared" si="19"/>
        <v>0</v>
      </c>
      <c r="P140" s="1593" t="s">
        <v>1192</v>
      </c>
      <c r="Q140" s="1593" t="s">
        <v>1203</v>
      </c>
      <c r="R140" s="1600">
        <f t="shared" si="33"/>
        <v>0</v>
      </c>
      <c r="S140" s="1614">
        <v>0</v>
      </c>
      <c r="T140" s="1614">
        <v>0</v>
      </c>
      <c r="U140" s="1600">
        <f t="shared" si="34"/>
        <v>0</v>
      </c>
      <c r="V140" s="1614">
        <v>0</v>
      </c>
      <c r="W140" s="1614">
        <v>0</v>
      </c>
      <c r="X140" s="1423">
        <f t="shared" si="40"/>
        <v>0</v>
      </c>
    </row>
    <row r="141" spans="1:24" s="1607" customFormat="1" ht="78" customHeight="1">
      <c r="A141" s="1867">
        <f t="shared" si="36"/>
        <v>68</v>
      </c>
      <c r="B141" s="1915" t="s">
        <v>1486</v>
      </c>
      <c r="C141" s="1867">
        <v>14059</v>
      </c>
      <c r="D141" s="1600">
        <f t="shared" si="25"/>
        <v>16320</v>
      </c>
      <c r="E141" s="1608"/>
      <c r="F141" s="1616">
        <v>16320</v>
      </c>
      <c r="G141" s="1600">
        <f t="shared" si="30"/>
        <v>16320</v>
      </c>
      <c r="H141" s="1608"/>
      <c r="I141" s="1608">
        <f t="shared" si="39"/>
        <v>16320</v>
      </c>
      <c r="J141" s="1600">
        <f t="shared" si="27"/>
        <v>0</v>
      </c>
      <c r="K141" s="1608"/>
      <c r="L141" s="1608"/>
      <c r="M141" s="1604">
        <f t="shared" ref="M141:M204" si="41">IF(J141=0,0,J141/G141*100)</f>
        <v>0</v>
      </c>
      <c r="N141" s="1881">
        <f t="shared" ref="N141:N204" si="42">IF(K141=0,0,K141/H141*100)</f>
        <v>0</v>
      </c>
      <c r="O141" s="1881">
        <f t="shared" ref="O141:O204" si="43">IF(L141=0,0,L141/I141*100)</f>
        <v>0</v>
      </c>
      <c r="P141" s="1593" t="s">
        <v>1192</v>
      </c>
      <c r="Q141" s="1593" t="s">
        <v>1204</v>
      </c>
      <c r="R141" s="1600">
        <f t="shared" si="33"/>
        <v>38080</v>
      </c>
      <c r="S141" s="1608">
        <v>0</v>
      </c>
      <c r="T141" s="1608">
        <v>38080</v>
      </c>
      <c r="U141" s="1600">
        <f t="shared" si="34"/>
        <v>0</v>
      </c>
      <c r="V141" s="1608">
        <v>0</v>
      </c>
      <c r="W141" s="1608">
        <v>0</v>
      </c>
      <c r="X141" s="1423">
        <f t="shared" si="40"/>
        <v>0</v>
      </c>
    </row>
    <row r="142" spans="1:24" s="1607" customFormat="1" ht="39" customHeight="1">
      <c r="A142" s="1867">
        <f t="shared" si="36"/>
        <v>69</v>
      </c>
      <c r="B142" s="1912" t="s">
        <v>1491</v>
      </c>
      <c r="C142" s="1880">
        <v>14089</v>
      </c>
      <c r="D142" s="1600">
        <f t="shared" si="25"/>
        <v>11200</v>
      </c>
      <c r="E142" s="1614"/>
      <c r="F142" s="1615">
        <v>11200</v>
      </c>
      <c r="G142" s="1600">
        <f t="shared" si="30"/>
        <v>11200</v>
      </c>
      <c r="H142" s="1614"/>
      <c r="I142" s="1608">
        <f t="shared" si="39"/>
        <v>11200</v>
      </c>
      <c r="J142" s="1600">
        <f t="shared" si="27"/>
        <v>0</v>
      </c>
      <c r="K142" s="1614"/>
      <c r="L142" s="1614"/>
      <c r="M142" s="1604">
        <f t="shared" si="41"/>
        <v>0</v>
      </c>
      <c r="N142" s="1881">
        <f t="shared" si="42"/>
        <v>0</v>
      </c>
      <c r="O142" s="1881">
        <f t="shared" si="43"/>
        <v>0</v>
      </c>
      <c r="P142" s="1593" t="s">
        <v>1192</v>
      </c>
      <c r="Q142" s="1593" t="s">
        <v>1206</v>
      </c>
      <c r="R142" s="1600">
        <f t="shared" si="33"/>
        <v>0</v>
      </c>
      <c r="S142" s="1614">
        <v>0</v>
      </c>
      <c r="T142" s="1614">
        <v>0</v>
      </c>
      <c r="U142" s="1600">
        <f t="shared" si="34"/>
        <v>0</v>
      </c>
      <c r="V142" s="1608">
        <v>0</v>
      </c>
      <c r="W142" s="1608">
        <v>0</v>
      </c>
      <c r="X142" s="1423">
        <f t="shared" si="40"/>
        <v>0</v>
      </c>
    </row>
    <row r="143" spans="1:24" s="1607" customFormat="1" ht="60" hidden="1" customHeight="1">
      <c r="A143" s="1867">
        <f t="shared" ref="A143:A149" si="44">A142+1</f>
        <v>70</v>
      </c>
      <c r="B143" s="493" t="s">
        <v>1492</v>
      </c>
      <c r="C143" s="1867">
        <v>14091</v>
      </c>
      <c r="D143" s="1600">
        <f t="shared" si="25"/>
        <v>0</v>
      </c>
      <c r="E143" s="1614"/>
      <c r="F143" s="1615">
        <v>0</v>
      </c>
      <c r="G143" s="1600">
        <f t="shared" si="30"/>
        <v>0</v>
      </c>
      <c r="H143" s="1614"/>
      <c r="I143" s="1614">
        <v>0</v>
      </c>
      <c r="J143" s="1600">
        <f t="shared" si="27"/>
        <v>0</v>
      </c>
      <c r="K143" s="1614"/>
      <c r="L143" s="1614"/>
      <c r="M143" s="1604">
        <f t="shared" si="41"/>
        <v>0</v>
      </c>
      <c r="N143" s="1881">
        <f t="shared" si="42"/>
        <v>0</v>
      </c>
      <c r="O143" s="1881">
        <f t="shared" si="43"/>
        <v>0</v>
      </c>
      <c r="P143" s="1593" t="s">
        <v>1192</v>
      </c>
      <c r="Q143" s="1593" t="s">
        <v>1206</v>
      </c>
      <c r="R143" s="1600">
        <f t="shared" si="33"/>
        <v>0</v>
      </c>
      <c r="S143" s="1614">
        <v>0</v>
      </c>
      <c r="T143" s="1614">
        <v>0</v>
      </c>
      <c r="U143" s="1600">
        <f t="shared" si="34"/>
        <v>0</v>
      </c>
      <c r="V143" s="1608">
        <v>0</v>
      </c>
      <c r="W143" s="1608">
        <v>0</v>
      </c>
    </row>
    <row r="144" spans="1:24" ht="40.5" customHeight="1">
      <c r="A144" s="1867">
        <f>A142+1</f>
        <v>70</v>
      </c>
      <c r="B144" s="1888" t="s">
        <v>1473</v>
      </c>
      <c r="C144" s="1867">
        <v>14090</v>
      </c>
      <c r="D144" s="1600">
        <f t="shared" si="25"/>
        <v>5964.1</v>
      </c>
      <c r="E144" s="1614"/>
      <c r="F144" s="1615">
        <f>7941.5-1977.4</f>
        <v>5964.1</v>
      </c>
      <c r="G144" s="1600">
        <f t="shared" si="30"/>
        <v>5964.1</v>
      </c>
      <c r="H144" s="1614"/>
      <c r="I144" s="1608">
        <f t="shared" ref="I144:I149" si="45">F144</f>
        <v>5964.1</v>
      </c>
      <c r="J144" s="1600">
        <f t="shared" si="27"/>
        <v>0</v>
      </c>
      <c r="K144" s="1614"/>
      <c r="L144" s="1614"/>
      <c r="M144" s="1604">
        <f t="shared" si="41"/>
        <v>0</v>
      </c>
      <c r="N144" s="1881">
        <f t="shared" si="42"/>
        <v>0</v>
      </c>
      <c r="O144" s="1881">
        <f t="shared" si="43"/>
        <v>0</v>
      </c>
      <c r="P144" s="1593" t="s">
        <v>1192</v>
      </c>
      <c r="Q144" s="1593" t="s">
        <v>1160</v>
      </c>
      <c r="R144" s="1600">
        <f t="shared" si="33"/>
        <v>0</v>
      </c>
      <c r="S144" s="1614">
        <v>0</v>
      </c>
      <c r="T144" s="1614">
        <v>0</v>
      </c>
      <c r="U144" s="1600">
        <f t="shared" si="34"/>
        <v>0</v>
      </c>
      <c r="V144" s="1608">
        <v>0</v>
      </c>
      <c r="W144" s="1608">
        <v>0</v>
      </c>
      <c r="X144" s="1423">
        <f t="shared" ref="X144:X149" si="46">D144-G144</f>
        <v>0</v>
      </c>
    </row>
    <row r="145" spans="1:24" s="1570" customFormat="1" ht="59.25" customHeight="1">
      <c r="A145" s="1867">
        <f t="shared" si="44"/>
        <v>71</v>
      </c>
      <c r="B145" s="1885" t="s">
        <v>1618</v>
      </c>
      <c r="C145" s="1880">
        <v>24366</v>
      </c>
      <c r="D145" s="1600">
        <f t="shared" si="25"/>
        <v>1788</v>
      </c>
      <c r="E145" s="1614"/>
      <c r="F145" s="1615">
        <v>1788</v>
      </c>
      <c r="G145" s="1600">
        <f t="shared" si="30"/>
        <v>1788</v>
      </c>
      <c r="H145" s="1614"/>
      <c r="I145" s="1608">
        <f t="shared" si="45"/>
        <v>1788</v>
      </c>
      <c r="J145" s="1600">
        <f t="shared" si="27"/>
        <v>0</v>
      </c>
      <c r="K145" s="1614"/>
      <c r="L145" s="1614"/>
      <c r="M145" s="1604">
        <f t="shared" si="41"/>
        <v>0</v>
      </c>
      <c r="N145" s="1881">
        <f t="shared" si="42"/>
        <v>0</v>
      </c>
      <c r="O145" s="1881">
        <f t="shared" si="43"/>
        <v>0</v>
      </c>
      <c r="P145" s="1593"/>
      <c r="Q145" s="1612"/>
      <c r="R145" s="1600">
        <f t="shared" si="33"/>
        <v>0</v>
      </c>
      <c r="S145" s="1614">
        <v>0</v>
      </c>
      <c r="T145" s="1614">
        <v>0</v>
      </c>
      <c r="U145" s="1600">
        <f t="shared" si="34"/>
        <v>0</v>
      </c>
      <c r="V145" s="1608">
        <v>0</v>
      </c>
      <c r="W145" s="1608">
        <v>0</v>
      </c>
      <c r="X145" s="1423">
        <f t="shared" si="46"/>
        <v>0</v>
      </c>
    </row>
    <row r="146" spans="1:24" s="1570" customFormat="1" ht="63.75" customHeight="1">
      <c r="A146" s="1867">
        <f t="shared" si="44"/>
        <v>72</v>
      </c>
      <c r="B146" s="1885" t="s">
        <v>1634</v>
      </c>
      <c r="C146" s="1880"/>
      <c r="D146" s="1600">
        <f t="shared" si="25"/>
        <v>2714.8</v>
      </c>
      <c r="E146" s="1614"/>
      <c r="F146" s="1615">
        <v>2714.8</v>
      </c>
      <c r="G146" s="1600">
        <f t="shared" si="30"/>
        <v>2714.8</v>
      </c>
      <c r="H146" s="1614"/>
      <c r="I146" s="1608">
        <f t="shared" si="45"/>
        <v>2714.8</v>
      </c>
      <c r="J146" s="1600">
        <f t="shared" si="27"/>
        <v>0</v>
      </c>
      <c r="K146" s="1614"/>
      <c r="L146" s="1614"/>
      <c r="M146" s="1604">
        <f t="shared" si="41"/>
        <v>0</v>
      </c>
      <c r="N146" s="1881">
        <f t="shared" si="42"/>
        <v>0</v>
      </c>
      <c r="O146" s="1881">
        <f t="shared" si="43"/>
        <v>0</v>
      </c>
      <c r="P146" s="1593"/>
      <c r="Q146" s="1612"/>
      <c r="R146" s="1600">
        <f t="shared" si="33"/>
        <v>0</v>
      </c>
      <c r="S146" s="1614">
        <v>0</v>
      </c>
      <c r="T146" s="1614">
        <v>0</v>
      </c>
      <c r="U146" s="1600">
        <f t="shared" si="34"/>
        <v>0</v>
      </c>
      <c r="V146" s="1608">
        <v>0</v>
      </c>
      <c r="W146" s="1608">
        <v>0</v>
      </c>
      <c r="X146" s="1423">
        <f t="shared" si="46"/>
        <v>0</v>
      </c>
    </row>
    <row r="147" spans="1:24" ht="42.75" customHeight="1">
      <c r="A147" s="1867">
        <f t="shared" si="44"/>
        <v>73</v>
      </c>
      <c r="B147" s="1879" t="s">
        <v>1615</v>
      </c>
      <c r="C147" s="1880"/>
      <c r="D147" s="1600">
        <f t="shared" si="25"/>
        <v>1769.7</v>
      </c>
      <c r="E147" s="1608"/>
      <c r="F147" s="1616">
        <v>1769.7</v>
      </c>
      <c r="G147" s="1600">
        <f t="shared" si="30"/>
        <v>1769.7</v>
      </c>
      <c r="H147" s="1608"/>
      <c r="I147" s="1608">
        <f t="shared" si="45"/>
        <v>1769.7</v>
      </c>
      <c r="J147" s="1600">
        <f t="shared" si="27"/>
        <v>0</v>
      </c>
      <c r="K147" s="1608"/>
      <c r="L147" s="1608"/>
      <c r="M147" s="1604">
        <f t="shared" si="41"/>
        <v>0</v>
      </c>
      <c r="N147" s="1881">
        <f t="shared" si="42"/>
        <v>0</v>
      </c>
      <c r="O147" s="1881">
        <f t="shared" si="43"/>
        <v>0</v>
      </c>
      <c r="P147" s="1593"/>
      <c r="Q147" s="1593"/>
      <c r="R147" s="1600">
        <f t="shared" si="33"/>
        <v>0</v>
      </c>
      <c r="S147" s="1614">
        <v>0</v>
      </c>
      <c r="T147" s="1614">
        <v>0</v>
      </c>
      <c r="U147" s="1600">
        <f t="shared" si="34"/>
        <v>0</v>
      </c>
      <c r="V147" s="1608">
        <v>0</v>
      </c>
      <c r="W147" s="1608">
        <v>0</v>
      </c>
      <c r="X147" s="1423">
        <f t="shared" si="46"/>
        <v>0</v>
      </c>
    </row>
    <row r="148" spans="1:24" s="1607" customFormat="1" ht="41.25" customHeight="1">
      <c r="A148" s="1944">
        <f t="shared" si="44"/>
        <v>74</v>
      </c>
      <c r="B148" s="1890" t="s">
        <v>455</v>
      </c>
      <c r="C148" s="1880">
        <v>14057</v>
      </c>
      <c r="D148" s="1600">
        <f>SUM(E148:F148)</f>
        <v>9940</v>
      </c>
      <c r="E148" s="1614"/>
      <c r="F148" s="1615">
        <f>11287.5-1347.5</f>
        <v>9940</v>
      </c>
      <c r="G148" s="1600">
        <f t="shared" ref="G148:G171" si="47">SUM(H148:I148)</f>
        <v>9940</v>
      </c>
      <c r="H148" s="1614"/>
      <c r="I148" s="1608">
        <f t="shared" si="45"/>
        <v>9940</v>
      </c>
      <c r="J148" s="1600">
        <f>SUM(K148:L148)</f>
        <v>0</v>
      </c>
      <c r="K148" s="1614"/>
      <c r="L148" s="1614"/>
      <c r="M148" s="1604">
        <f t="shared" si="41"/>
        <v>0</v>
      </c>
      <c r="N148" s="1881">
        <f t="shared" si="42"/>
        <v>0</v>
      </c>
      <c r="O148" s="1881">
        <f t="shared" si="43"/>
        <v>0</v>
      </c>
      <c r="P148" s="1593" t="s">
        <v>1192</v>
      </c>
      <c r="Q148" s="1593" t="s">
        <v>1206</v>
      </c>
      <c r="R148" s="1600">
        <f>SUM(S148:T148)</f>
        <v>0</v>
      </c>
      <c r="S148" s="1614">
        <v>0</v>
      </c>
      <c r="T148" s="1614">
        <v>0</v>
      </c>
      <c r="U148" s="1600">
        <f>SUM(V148:W148)</f>
        <v>0</v>
      </c>
      <c r="V148" s="1614">
        <v>0</v>
      </c>
      <c r="W148" s="1614">
        <v>0</v>
      </c>
      <c r="X148" s="1423">
        <f t="shared" si="46"/>
        <v>0</v>
      </c>
    </row>
    <row r="149" spans="1:24" ht="23.25" customHeight="1">
      <c r="A149" s="1944">
        <f t="shared" si="44"/>
        <v>75</v>
      </c>
      <c r="B149" s="1883" t="s">
        <v>1467</v>
      </c>
      <c r="C149" s="1880">
        <v>14074</v>
      </c>
      <c r="D149" s="1600">
        <f t="shared" si="25"/>
        <v>4400</v>
      </c>
      <c r="E149" s="1608"/>
      <c r="F149" s="1616">
        <v>4400</v>
      </c>
      <c r="G149" s="1600">
        <f t="shared" si="47"/>
        <v>4400</v>
      </c>
      <c r="H149" s="1608"/>
      <c r="I149" s="1608">
        <f t="shared" si="45"/>
        <v>4400</v>
      </c>
      <c r="J149" s="1600">
        <f t="shared" si="27"/>
        <v>0</v>
      </c>
      <c r="K149" s="1608"/>
      <c r="L149" s="1608"/>
      <c r="M149" s="1604">
        <f t="shared" si="41"/>
        <v>0</v>
      </c>
      <c r="N149" s="1881">
        <f t="shared" si="42"/>
        <v>0</v>
      </c>
      <c r="O149" s="1881">
        <f t="shared" si="43"/>
        <v>0</v>
      </c>
      <c r="P149" s="1593" t="s">
        <v>1290</v>
      </c>
      <c r="Q149" s="1593" t="s">
        <v>1240</v>
      </c>
      <c r="R149" s="1600">
        <f t="shared" si="33"/>
        <v>100</v>
      </c>
      <c r="S149" s="1608">
        <v>0</v>
      </c>
      <c r="T149" s="1608">
        <v>100</v>
      </c>
      <c r="U149" s="1600">
        <f t="shared" si="34"/>
        <v>0</v>
      </c>
      <c r="V149" s="1608">
        <v>0</v>
      </c>
      <c r="W149" s="1608">
        <v>0</v>
      </c>
      <c r="X149" s="1423">
        <f t="shared" si="46"/>
        <v>0</v>
      </c>
    </row>
    <row r="150" spans="1:24" ht="42.75" hidden="1" customHeight="1">
      <c r="A150" s="2004">
        <v>75</v>
      </c>
      <c r="B150" s="1883" t="s">
        <v>1704</v>
      </c>
      <c r="C150" s="1880"/>
      <c r="D150" s="1600">
        <f>SUM(E150:F150)</f>
        <v>0</v>
      </c>
      <c r="E150" s="1608"/>
      <c r="F150" s="1616">
        <v>0</v>
      </c>
      <c r="G150" s="1600">
        <f>SUM(H150:I150)</f>
        <v>0</v>
      </c>
      <c r="H150" s="1608"/>
      <c r="I150" s="1608">
        <v>0</v>
      </c>
      <c r="J150" s="1600">
        <f>SUM(K150:L150)</f>
        <v>0</v>
      </c>
      <c r="K150" s="1608"/>
      <c r="L150" s="1608"/>
      <c r="M150" s="1604">
        <f t="shared" si="41"/>
        <v>0</v>
      </c>
      <c r="N150" s="1881">
        <f t="shared" si="42"/>
        <v>0</v>
      </c>
      <c r="O150" s="1881">
        <f t="shared" si="43"/>
        <v>0</v>
      </c>
      <c r="P150" s="1593"/>
      <c r="Q150" s="1593"/>
      <c r="R150" s="1600"/>
      <c r="S150" s="1608"/>
      <c r="T150" s="1608"/>
      <c r="U150" s="1600"/>
      <c r="V150" s="1608"/>
      <c r="W150" s="1608"/>
    </row>
    <row r="151" spans="1:24" ht="30" hidden="1" customHeight="1">
      <c r="A151" s="2004">
        <v>76</v>
      </c>
      <c r="B151" s="1883" t="s">
        <v>1705</v>
      </c>
      <c r="C151" s="1880"/>
      <c r="D151" s="1600">
        <f>SUM(E151:F151)</f>
        <v>0</v>
      </c>
      <c r="E151" s="1608"/>
      <c r="F151" s="1616">
        <v>0</v>
      </c>
      <c r="G151" s="1600">
        <f>SUM(H151:I151)</f>
        <v>0</v>
      </c>
      <c r="H151" s="1608"/>
      <c r="I151" s="1608">
        <v>0</v>
      </c>
      <c r="J151" s="1600">
        <f>SUM(K151:L151)</f>
        <v>0</v>
      </c>
      <c r="K151" s="1608"/>
      <c r="L151" s="1608"/>
      <c r="M151" s="1604">
        <f t="shared" si="41"/>
        <v>0</v>
      </c>
      <c r="N151" s="1881">
        <f t="shared" si="42"/>
        <v>0</v>
      </c>
      <c r="O151" s="1881">
        <f t="shared" si="43"/>
        <v>0</v>
      </c>
      <c r="P151" s="1593"/>
      <c r="Q151" s="1593"/>
      <c r="R151" s="1600"/>
      <c r="S151" s="1608"/>
      <c r="T151" s="1608"/>
      <c r="U151" s="1600"/>
      <c r="V151" s="1608"/>
      <c r="W151" s="1608"/>
    </row>
    <row r="152" spans="1:24" ht="30" customHeight="1">
      <c r="A152" s="2013"/>
      <c r="B152" s="1883" t="s">
        <v>1711</v>
      </c>
      <c r="C152" s="1880"/>
      <c r="D152" s="1600">
        <f>SUM(E152:F152)</f>
        <v>5635</v>
      </c>
      <c r="E152" s="1608"/>
      <c r="F152" s="1616">
        <v>5635</v>
      </c>
      <c r="G152" s="1600">
        <f>SUM(H152:I152)</f>
        <v>5635</v>
      </c>
      <c r="H152" s="1608"/>
      <c r="I152" s="1608">
        <f>F152</f>
        <v>5635</v>
      </c>
      <c r="J152" s="1600">
        <f>SUM(K152:L152)</f>
        <v>0</v>
      </c>
      <c r="K152" s="1608"/>
      <c r="L152" s="1608"/>
      <c r="M152" s="1604">
        <f t="shared" si="41"/>
        <v>0</v>
      </c>
      <c r="N152" s="1881">
        <f t="shared" si="42"/>
        <v>0</v>
      </c>
      <c r="O152" s="1881">
        <f t="shared" si="43"/>
        <v>0</v>
      </c>
      <c r="P152" s="1593"/>
      <c r="Q152" s="1593"/>
      <c r="R152" s="1600"/>
      <c r="S152" s="1608"/>
      <c r="T152" s="1608"/>
      <c r="U152" s="1600"/>
      <c r="V152" s="1608"/>
      <c r="W152" s="1608"/>
      <c r="X152" s="1423">
        <f>D152-G152</f>
        <v>0</v>
      </c>
    </row>
    <row r="153" spans="1:24" ht="97.5" customHeight="1">
      <c r="A153" s="1972">
        <f>A149+1</f>
        <v>76</v>
      </c>
      <c r="B153" s="1883" t="s">
        <v>1684</v>
      </c>
      <c r="C153" s="1880"/>
      <c r="D153" s="1600">
        <f t="shared" si="25"/>
        <v>5506.4</v>
      </c>
      <c r="E153" s="1608"/>
      <c r="F153" s="1616">
        <v>5506.4</v>
      </c>
      <c r="G153" s="1600">
        <f t="shared" si="47"/>
        <v>5506.4</v>
      </c>
      <c r="H153" s="1608"/>
      <c r="I153" s="1608">
        <f>F153</f>
        <v>5506.4</v>
      </c>
      <c r="J153" s="1600">
        <f t="shared" si="27"/>
        <v>0</v>
      </c>
      <c r="K153" s="1608"/>
      <c r="L153" s="1608"/>
      <c r="M153" s="1604">
        <f t="shared" si="41"/>
        <v>0</v>
      </c>
      <c r="N153" s="1881">
        <f t="shared" si="42"/>
        <v>0</v>
      </c>
      <c r="O153" s="1881">
        <f t="shared" si="43"/>
        <v>0</v>
      </c>
      <c r="P153" s="1593"/>
      <c r="Q153" s="1593"/>
      <c r="R153" s="1600"/>
      <c r="S153" s="1608"/>
      <c r="T153" s="1608"/>
      <c r="U153" s="1600"/>
      <c r="V153" s="1608"/>
      <c r="W153" s="1608"/>
      <c r="X153" s="1423">
        <f>D153-G153</f>
        <v>0</v>
      </c>
    </row>
    <row r="154" spans="1:24" s="484" customFormat="1" ht="63" customHeight="1">
      <c r="A154" s="1867" t="s">
        <v>248</v>
      </c>
      <c r="B154" s="1897" t="s">
        <v>1637</v>
      </c>
      <c r="C154" s="1898"/>
      <c r="D154" s="1899">
        <f>SUM(E154:F154)</f>
        <v>43304.1</v>
      </c>
      <c r="E154" s="1899">
        <f>SUM(E155:E163)</f>
        <v>0</v>
      </c>
      <c r="F154" s="1899">
        <f>SUM(F155:F163)</f>
        <v>43304.1</v>
      </c>
      <c r="G154" s="1899">
        <f t="shared" si="47"/>
        <v>43304.1</v>
      </c>
      <c r="H154" s="1899">
        <f>SUM(H155:H163)</f>
        <v>0</v>
      </c>
      <c r="I154" s="1899">
        <f>SUM(I155:I163)</f>
        <v>43304.1</v>
      </c>
      <c r="J154" s="1899">
        <f t="shared" si="27"/>
        <v>1972.9</v>
      </c>
      <c r="K154" s="1899">
        <f>SUM(K155:K163)</f>
        <v>0</v>
      </c>
      <c r="L154" s="1899">
        <f>SUM(L155:L163)</f>
        <v>1972.9</v>
      </c>
      <c r="M154" s="1900">
        <f t="shared" si="41"/>
        <v>4.5999999999999996</v>
      </c>
      <c r="N154" s="1901">
        <f t="shared" si="42"/>
        <v>0</v>
      </c>
      <c r="O154" s="1901">
        <f t="shared" si="43"/>
        <v>4.5999999999999996</v>
      </c>
      <c r="P154" s="1902" t="e">
        <f>SUM(P180+P170+P184)</f>
        <v>#VALUE!</v>
      </c>
      <c r="Q154" s="1902" t="e">
        <f>SUM(Q180+Q170+Q184)</f>
        <v>#VALUE!</v>
      </c>
      <c r="R154" s="1899">
        <f t="shared" si="33"/>
        <v>1000</v>
      </c>
      <c r="S154" s="1899">
        <f>SUM(S155:S163)</f>
        <v>0</v>
      </c>
      <c r="T154" s="1899">
        <f>SUM(T155:T163)</f>
        <v>1000</v>
      </c>
      <c r="U154" s="1899">
        <f t="shared" si="34"/>
        <v>0</v>
      </c>
      <c r="V154" s="1899">
        <f>SUM(V155:V163)</f>
        <v>0</v>
      </c>
      <c r="W154" s="1899">
        <f>SUM(W155:W163)</f>
        <v>0</v>
      </c>
      <c r="X154" s="1423">
        <f>D154-G154</f>
        <v>0</v>
      </c>
    </row>
    <row r="155" spans="1:24" ht="37.5" hidden="1" customHeight="1">
      <c r="A155" s="1867">
        <f>A153+1</f>
        <v>77</v>
      </c>
      <c r="B155" s="1912" t="s">
        <v>1591</v>
      </c>
      <c r="C155" s="1913">
        <v>14098</v>
      </c>
      <c r="D155" s="1600">
        <f>SUM(E155:F155)</f>
        <v>0</v>
      </c>
      <c r="E155" s="1608"/>
      <c r="F155" s="1616">
        <v>0</v>
      </c>
      <c r="G155" s="1600">
        <f t="shared" si="47"/>
        <v>0</v>
      </c>
      <c r="H155" s="1608"/>
      <c r="I155" s="1608">
        <v>0</v>
      </c>
      <c r="J155" s="1600">
        <f>SUM(K155:L155)</f>
        <v>0</v>
      </c>
      <c r="K155" s="1608"/>
      <c r="L155" s="1608"/>
      <c r="M155" s="1893">
        <f t="shared" si="41"/>
        <v>0</v>
      </c>
      <c r="N155" s="1894">
        <f t="shared" si="42"/>
        <v>0</v>
      </c>
      <c r="O155" s="1894">
        <f t="shared" si="43"/>
        <v>0</v>
      </c>
      <c r="P155" s="1593"/>
      <c r="Q155" s="1593"/>
      <c r="R155" s="1600">
        <f>SUM(S155:T155)</f>
        <v>0</v>
      </c>
      <c r="S155" s="1614">
        <v>0</v>
      </c>
      <c r="T155" s="1614">
        <v>0</v>
      </c>
      <c r="U155" s="1600">
        <f>SUM(V155:W155)</f>
        <v>0</v>
      </c>
      <c r="V155" s="1608">
        <v>0</v>
      </c>
      <c r="W155" s="1608">
        <v>0</v>
      </c>
    </row>
    <row r="156" spans="1:24" ht="37.5" customHeight="1">
      <c r="A156" s="2013">
        <f>A153+1</f>
        <v>77</v>
      </c>
      <c r="B156" s="2015" t="s">
        <v>766</v>
      </c>
      <c r="C156" s="1913"/>
      <c r="D156" s="1600">
        <f>SUM(E156:F156)</f>
        <v>670</v>
      </c>
      <c r="E156" s="1608"/>
      <c r="F156" s="1616">
        <v>670</v>
      </c>
      <c r="G156" s="1600">
        <f>SUM(H156:I156)</f>
        <v>670</v>
      </c>
      <c r="H156" s="1608"/>
      <c r="I156" s="1608">
        <f>F156</f>
        <v>670</v>
      </c>
      <c r="J156" s="1600">
        <f>SUM(K156:L156)</f>
        <v>0</v>
      </c>
      <c r="K156" s="1608"/>
      <c r="L156" s="1608"/>
      <c r="M156" s="1893">
        <f t="shared" si="41"/>
        <v>0</v>
      </c>
      <c r="N156" s="1894">
        <f t="shared" si="42"/>
        <v>0</v>
      </c>
      <c r="O156" s="1894">
        <f t="shared" si="43"/>
        <v>0</v>
      </c>
      <c r="P156" s="1593"/>
      <c r="Q156" s="1593"/>
      <c r="R156" s="1600"/>
      <c r="S156" s="1614"/>
      <c r="T156" s="1614"/>
      <c r="U156" s="1600"/>
      <c r="V156" s="1608"/>
      <c r="W156" s="1608"/>
      <c r="X156" s="1423">
        <f>D156-G156</f>
        <v>0</v>
      </c>
    </row>
    <row r="157" spans="1:24" s="1607" customFormat="1" ht="63" customHeight="1">
      <c r="A157" s="2018" t="s">
        <v>1726</v>
      </c>
      <c r="B157" s="521" t="s">
        <v>1661</v>
      </c>
      <c r="C157" s="1882"/>
      <c r="D157" s="1600">
        <f>SUM(E157:F157)</f>
        <v>1592.1</v>
      </c>
      <c r="E157" s="1608"/>
      <c r="F157" s="1616">
        <f>1000+592.1</f>
        <v>1592.1</v>
      </c>
      <c r="G157" s="1600">
        <f t="shared" si="47"/>
        <v>1592.1</v>
      </c>
      <c r="H157" s="1608"/>
      <c r="I157" s="1608">
        <f>F157</f>
        <v>1592.1</v>
      </c>
      <c r="J157" s="1600">
        <f>SUM(K157:L157)</f>
        <v>0</v>
      </c>
      <c r="K157" s="1608"/>
      <c r="L157" s="1608"/>
      <c r="M157" s="1604">
        <f t="shared" si="41"/>
        <v>0</v>
      </c>
      <c r="N157" s="1881">
        <f t="shared" si="42"/>
        <v>0</v>
      </c>
      <c r="O157" s="1881">
        <f t="shared" si="43"/>
        <v>0</v>
      </c>
      <c r="P157" s="1593"/>
      <c r="Q157" s="1593"/>
      <c r="R157" s="1600">
        <f>SUM(S157:T157)</f>
        <v>0</v>
      </c>
      <c r="S157" s="1614">
        <v>0</v>
      </c>
      <c r="T157" s="1614">
        <v>0</v>
      </c>
      <c r="U157" s="1600">
        <f>SUM(V157:W157)</f>
        <v>0</v>
      </c>
      <c r="V157" s="1608">
        <v>0</v>
      </c>
      <c r="W157" s="1608">
        <v>0</v>
      </c>
      <c r="X157" s="1423">
        <f>D157-G157</f>
        <v>0</v>
      </c>
    </row>
    <row r="158" spans="1:24" s="1570" customFormat="1" ht="42.75" customHeight="1">
      <c r="A158" s="2018" t="s">
        <v>1325</v>
      </c>
      <c r="B158" s="1885" t="s">
        <v>1676</v>
      </c>
      <c r="C158" s="1880"/>
      <c r="D158" s="1600">
        <f t="shared" si="25"/>
        <v>1910.9</v>
      </c>
      <c r="E158" s="1614"/>
      <c r="F158" s="1615">
        <f>1000+910.9</f>
        <v>1910.9</v>
      </c>
      <c r="G158" s="1600">
        <f t="shared" si="47"/>
        <v>1910.9</v>
      </c>
      <c r="H158" s="1614"/>
      <c r="I158" s="1608">
        <f>F158</f>
        <v>1910.9</v>
      </c>
      <c r="J158" s="1600">
        <f t="shared" si="27"/>
        <v>474.9</v>
      </c>
      <c r="K158" s="1614"/>
      <c r="L158" s="1614">
        <v>474.9</v>
      </c>
      <c r="M158" s="1604">
        <f t="shared" si="41"/>
        <v>24.9</v>
      </c>
      <c r="N158" s="1881">
        <f t="shared" si="42"/>
        <v>0</v>
      </c>
      <c r="O158" s="1881">
        <f t="shared" si="43"/>
        <v>24.9</v>
      </c>
      <c r="P158" s="1593"/>
      <c r="Q158" s="1612"/>
      <c r="R158" s="1600">
        <f t="shared" si="33"/>
        <v>0</v>
      </c>
      <c r="S158" s="1614">
        <v>0</v>
      </c>
      <c r="T158" s="1614">
        <v>0</v>
      </c>
      <c r="U158" s="1600">
        <f t="shared" si="34"/>
        <v>0</v>
      </c>
      <c r="V158" s="1608">
        <v>0</v>
      </c>
      <c r="W158" s="1608">
        <v>0</v>
      </c>
      <c r="X158" s="1423">
        <f>D158-G158</f>
        <v>0</v>
      </c>
    </row>
    <row r="159" spans="1:24" s="1570" customFormat="1" ht="43.5" customHeight="1">
      <c r="A159" s="2018" t="s">
        <v>1326</v>
      </c>
      <c r="B159" s="1888" t="s">
        <v>1596</v>
      </c>
      <c r="C159" s="1880"/>
      <c r="D159" s="1600">
        <f t="shared" si="25"/>
        <v>1571.9</v>
      </c>
      <c r="E159" s="1614"/>
      <c r="F159" s="1615">
        <f>1500+71.9</f>
        <v>1571.9</v>
      </c>
      <c r="G159" s="1600">
        <f t="shared" si="47"/>
        <v>1571.9</v>
      </c>
      <c r="H159" s="1614"/>
      <c r="I159" s="1608">
        <f>F159</f>
        <v>1571.9</v>
      </c>
      <c r="J159" s="1600">
        <f t="shared" si="27"/>
        <v>1198</v>
      </c>
      <c r="K159" s="1614"/>
      <c r="L159" s="1614">
        <v>1198</v>
      </c>
      <c r="M159" s="1604">
        <f t="shared" si="41"/>
        <v>76.2</v>
      </c>
      <c r="N159" s="1881">
        <f t="shared" si="42"/>
        <v>0</v>
      </c>
      <c r="O159" s="1881">
        <f t="shared" si="43"/>
        <v>76.2</v>
      </c>
      <c r="P159" s="1593"/>
      <c r="Q159" s="1612"/>
      <c r="R159" s="1600">
        <f t="shared" si="33"/>
        <v>0</v>
      </c>
      <c r="S159" s="1614">
        <v>0</v>
      </c>
      <c r="T159" s="1614">
        <v>0</v>
      </c>
      <c r="U159" s="1600">
        <f t="shared" si="34"/>
        <v>0</v>
      </c>
      <c r="V159" s="1608">
        <v>0</v>
      </c>
      <c r="W159" s="1608">
        <v>0</v>
      </c>
      <c r="X159" s="1423">
        <f>D159-G159</f>
        <v>0</v>
      </c>
    </row>
    <row r="160" spans="1:24" s="1570" customFormat="1" ht="69" hidden="1" customHeight="1">
      <c r="A160" s="2004">
        <v>79</v>
      </c>
      <c r="B160" s="1888" t="s">
        <v>1703</v>
      </c>
      <c r="C160" s="1880"/>
      <c r="D160" s="1600">
        <f>SUM(E160:F160)</f>
        <v>0</v>
      </c>
      <c r="E160" s="1614"/>
      <c r="F160" s="1615">
        <v>0</v>
      </c>
      <c r="G160" s="1600">
        <f>SUM(H160:I160)</f>
        <v>0</v>
      </c>
      <c r="H160" s="1614"/>
      <c r="I160" s="1614">
        <v>0</v>
      </c>
      <c r="J160" s="1600">
        <f>SUM(K160:L160)</f>
        <v>0</v>
      </c>
      <c r="K160" s="1614"/>
      <c r="L160" s="1614">
        <v>0</v>
      </c>
      <c r="M160" s="1604">
        <f t="shared" si="41"/>
        <v>0</v>
      </c>
      <c r="N160" s="1881">
        <f t="shared" si="42"/>
        <v>0</v>
      </c>
      <c r="O160" s="1881">
        <f t="shared" si="43"/>
        <v>0</v>
      </c>
      <c r="P160" s="1593"/>
      <c r="Q160" s="1612"/>
      <c r="R160" s="1600"/>
      <c r="S160" s="1614"/>
      <c r="T160" s="1614"/>
      <c r="U160" s="1600"/>
      <c r="V160" s="1608"/>
      <c r="W160" s="1608"/>
    </row>
    <row r="161" spans="1:24" s="484" customFormat="1" ht="49.5" customHeight="1">
      <c r="A161" s="2018" t="s">
        <v>1727</v>
      </c>
      <c r="B161" s="1915" t="s">
        <v>694</v>
      </c>
      <c r="C161" s="1866" t="s">
        <v>1548</v>
      </c>
      <c r="D161" s="1600">
        <f t="shared" si="25"/>
        <v>6000</v>
      </c>
      <c r="E161" s="1614"/>
      <c r="F161" s="1615">
        <f>19000-13000</f>
        <v>6000</v>
      </c>
      <c r="G161" s="1600">
        <f t="shared" si="47"/>
        <v>6000</v>
      </c>
      <c r="H161" s="1614"/>
      <c r="I161" s="1608">
        <f>F161</f>
        <v>6000</v>
      </c>
      <c r="J161" s="1600">
        <f t="shared" si="27"/>
        <v>0</v>
      </c>
      <c r="K161" s="1614"/>
      <c r="L161" s="1614"/>
      <c r="M161" s="1893">
        <f t="shared" si="41"/>
        <v>0</v>
      </c>
      <c r="N161" s="1894">
        <f t="shared" si="42"/>
        <v>0</v>
      </c>
      <c r="O161" s="1894">
        <f t="shared" si="43"/>
        <v>0</v>
      </c>
      <c r="P161" s="1593" t="s">
        <v>1272</v>
      </c>
      <c r="Q161" s="1593" t="s">
        <v>1273</v>
      </c>
      <c r="R161" s="1600">
        <f t="shared" si="33"/>
        <v>1000</v>
      </c>
      <c r="S161" s="1614">
        <v>0</v>
      </c>
      <c r="T161" s="1614">
        <v>1000</v>
      </c>
      <c r="U161" s="1600">
        <f t="shared" si="34"/>
        <v>0</v>
      </c>
      <c r="V161" s="1608">
        <v>0</v>
      </c>
      <c r="W161" s="1608">
        <v>0</v>
      </c>
      <c r="X161" s="1423">
        <f t="shared" ref="X161:X171" si="48">D161-G161</f>
        <v>0</v>
      </c>
    </row>
    <row r="162" spans="1:24" s="1607" customFormat="1" ht="66" customHeight="1">
      <c r="A162" s="2018" t="s">
        <v>1025</v>
      </c>
      <c r="B162" s="1914" t="s">
        <v>1600</v>
      </c>
      <c r="C162" s="1867"/>
      <c r="D162" s="1600">
        <f t="shared" si="25"/>
        <v>1559.2</v>
      </c>
      <c r="E162" s="1608"/>
      <c r="F162" s="1616">
        <f>1000+559.2</f>
        <v>1559.2</v>
      </c>
      <c r="G162" s="1600">
        <f t="shared" si="47"/>
        <v>1559.2</v>
      </c>
      <c r="H162" s="1608"/>
      <c r="I162" s="1608">
        <f>F162</f>
        <v>1559.2</v>
      </c>
      <c r="J162" s="1600">
        <f t="shared" si="27"/>
        <v>300</v>
      </c>
      <c r="K162" s="1608"/>
      <c r="L162" s="1608">
        <v>300</v>
      </c>
      <c r="M162" s="1604">
        <f t="shared" si="41"/>
        <v>19.2</v>
      </c>
      <c r="N162" s="1881">
        <f t="shared" si="42"/>
        <v>0</v>
      </c>
      <c r="O162" s="1881">
        <f t="shared" si="43"/>
        <v>19.2</v>
      </c>
      <c r="P162" s="1593"/>
      <c r="Q162" s="1593"/>
      <c r="R162" s="1600">
        <f t="shared" si="33"/>
        <v>0</v>
      </c>
      <c r="S162" s="1608">
        <v>0</v>
      </c>
      <c r="T162" s="1608">
        <v>0</v>
      </c>
      <c r="U162" s="1600">
        <f t="shared" si="34"/>
        <v>0</v>
      </c>
      <c r="V162" s="1608">
        <v>0</v>
      </c>
      <c r="W162" s="1608">
        <v>0</v>
      </c>
      <c r="X162" s="1423">
        <f t="shared" si="48"/>
        <v>0</v>
      </c>
    </row>
    <row r="163" spans="1:24" s="484" customFormat="1" ht="53.25" customHeight="1">
      <c r="A163" s="2018" t="s">
        <v>1728</v>
      </c>
      <c r="B163" s="1915" t="s">
        <v>698</v>
      </c>
      <c r="C163" s="1866"/>
      <c r="D163" s="1600">
        <f t="shared" ref="D163:D255" si="49">SUM(E163:F163)</f>
        <v>30000</v>
      </c>
      <c r="E163" s="1614"/>
      <c r="F163" s="1615">
        <v>30000</v>
      </c>
      <c r="G163" s="1600">
        <f t="shared" si="47"/>
        <v>30000</v>
      </c>
      <c r="H163" s="1614"/>
      <c r="I163" s="1608">
        <f>F163</f>
        <v>30000</v>
      </c>
      <c r="J163" s="1600">
        <f>SUM(K163:L163)</f>
        <v>0</v>
      </c>
      <c r="K163" s="1614"/>
      <c r="L163" s="1614"/>
      <c r="M163" s="1893">
        <f t="shared" si="41"/>
        <v>0</v>
      </c>
      <c r="N163" s="1894">
        <f t="shared" si="42"/>
        <v>0</v>
      </c>
      <c r="O163" s="1894">
        <f t="shared" si="43"/>
        <v>0</v>
      </c>
      <c r="P163" s="1593" t="s">
        <v>1306</v>
      </c>
      <c r="Q163" s="1593" t="s">
        <v>1277</v>
      </c>
      <c r="R163" s="1600">
        <f t="shared" si="33"/>
        <v>0</v>
      </c>
      <c r="S163" s="1608">
        <v>0</v>
      </c>
      <c r="T163" s="1608">
        <v>0</v>
      </c>
      <c r="U163" s="1600">
        <f t="shared" si="34"/>
        <v>0</v>
      </c>
      <c r="V163" s="1608">
        <v>0</v>
      </c>
      <c r="W163" s="1608">
        <v>0</v>
      </c>
      <c r="X163" s="1423">
        <f t="shared" si="48"/>
        <v>0</v>
      </c>
    </row>
    <row r="164" spans="1:24" ht="26.25" customHeight="1">
      <c r="A164" s="2018" t="s">
        <v>249</v>
      </c>
      <c r="B164" s="1876" t="s">
        <v>1394</v>
      </c>
      <c r="C164" s="1877"/>
      <c r="D164" s="1598">
        <f t="shared" si="49"/>
        <v>5695550.2000000002</v>
      </c>
      <c r="E164" s="1903">
        <f>SUM(E165,E184,E247,E249)</f>
        <v>4440782.8</v>
      </c>
      <c r="F164" s="1903">
        <f>SUM(F165,F184,F247,F249)</f>
        <v>1254767.3999999999</v>
      </c>
      <c r="G164" s="1598">
        <f t="shared" si="47"/>
        <v>5695550.2000000002</v>
      </c>
      <c r="H164" s="1903">
        <f>SUM(H165,H184,H247,H249)</f>
        <v>4440782.8</v>
      </c>
      <c r="I164" s="1903">
        <f>SUM(I165,I184,I247,I249)</f>
        <v>1254767.3999999999</v>
      </c>
      <c r="J164" s="1598">
        <f>SUM(K164:L164)</f>
        <v>747441.6</v>
      </c>
      <c r="K164" s="1903">
        <f>SUM(K165,K184,K247,K249)</f>
        <v>643898.9</v>
      </c>
      <c r="L164" s="1903">
        <f>SUM(L165,L184,L247,L249)</f>
        <v>103542.7</v>
      </c>
      <c r="M164" s="1908">
        <f t="shared" si="41"/>
        <v>13.1</v>
      </c>
      <c r="N164" s="1909">
        <f t="shared" si="42"/>
        <v>14.5</v>
      </c>
      <c r="O164" s="1909">
        <f t="shared" si="43"/>
        <v>8.3000000000000007</v>
      </c>
      <c r="P164" s="1599" t="s">
        <v>353</v>
      </c>
      <c r="Q164" s="1599" t="s">
        <v>353</v>
      </c>
      <c r="R164" s="1598">
        <f t="shared" si="33"/>
        <v>2375143.7999999998</v>
      </c>
      <c r="S164" s="1903">
        <f>SUM(S165,S184,S247,S249)</f>
        <v>926046.6</v>
      </c>
      <c r="T164" s="1903">
        <f>SUM(T165,T184,T247,T249)</f>
        <v>1449097.2</v>
      </c>
      <c r="U164" s="1598">
        <f t="shared" si="34"/>
        <v>1478103.7</v>
      </c>
      <c r="V164" s="1903">
        <f>SUM(V165,V184,V247,V249)</f>
        <v>1463322.7</v>
      </c>
      <c r="W164" s="1903">
        <f>SUM(W165,W184,W247,W249)</f>
        <v>14781</v>
      </c>
      <c r="X164" s="1423">
        <f t="shared" si="48"/>
        <v>0</v>
      </c>
    </row>
    <row r="165" spans="1:24" ht="37.5">
      <c r="A165" s="1867" t="s">
        <v>250</v>
      </c>
      <c r="B165" s="1897" t="s">
        <v>1395</v>
      </c>
      <c r="C165" s="1898"/>
      <c r="D165" s="1899">
        <f>SUM(E165:F165)</f>
        <v>2554631.5</v>
      </c>
      <c r="E165" s="1899">
        <f>SUM(E166,E170,E176,E180,E182,E168)</f>
        <v>1720932</v>
      </c>
      <c r="F165" s="1899">
        <f>SUM(F166,F170,F176,F180,F182,F168)</f>
        <v>833699.5</v>
      </c>
      <c r="G165" s="1899">
        <f>SUM(H165:I165)</f>
        <v>2554631.5</v>
      </c>
      <c r="H165" s="1899">
        <f>SUM(H166,H170,H176,H180,H182,H168)</f>
        <v>1720932</v>
      </c>
      <c r="I165" s="1899">
        <f>SUM(I166,I170,I176,I180,I182,I168)</f>
        <v>833699.5</v>
      </c>
      <c r="J165" s="1899">
        <f>SUM(K165:L165)</f>
        <v>142363.29999999999</v>
      </c>
      <c r="K165" s="1899">
        <f>SUM(K166,K170,K176,K180,K182,K168)</f>
        <v>87652.4</v>
      </c>
      <c r="L165" s="1899">
        <f>SUM(L166,L170,L176,L180,L182,L168)</f>
        <v>54710.9</v>
      </c>
      <c r="M165" s="1899">
        <f t="shared" si="41"/>
        <v>5.6</v>
      </c>
      <c r="N165" s="1899">
        <f t="shared" si="42"/>
        <v>5.0999999999999996</v>
      </c>
      <c r="O165" s="1899">
        <f t="shared" si="43"/>
        <v>6.6</v>
      </c>
      <c r="P165" s="1899">
        <f>SUM(P170,P180)+Q176</f>
        <v>0</v>
      </c>
      <c r="Q165" s="1899">
        <f>SUM(Q170,Q180)+R176</f>
        <v>182695.3</v>
      </c>
      <c r="R165" s="1899">
        <f>SUM(S165:T165)</f>
        <v>1266522.3999999999</v>
      </c>
      <c r="S165" s="1899">
        <f>SUM(S170,S176,S180,S182)</f>
        <v>926046.6</v>
      </c>
      <c r="T165" s="1899">
        <f>SUM(T170,T176,T180,T182)</f>
        <v>340475.8</v>
      </c>
      <c r="U165" s="1899">
        <f>SUM(V165:W165)</f>
        <v>1478103.7</v>
      </c>
      <c r="V165" s="1899">
        <f>SUM(V170,V176,V180,V182)</f>
        <v>1463322.7</v>
      </c>
      <c r="W165" s="1899">
        <f>SUM(W170,W176,W180,W182)</f>
        <v>14781</v>
      </c>
      <c r="X165" s="1423">
        <f t="shared" si="48"/>
        <v>0</v>
      </c>
    </row>
    <row r="166" spans="1:24" ht="23.25">
      <c r="A166" s="2004"/>
      <c r="B166" s="1897" t="s">
        <v>1650</v>
      </c>
      <c r="C166" s="1898"/>
      <c r="D166" s="1899">
        <f>E166+F166</f>
        <v>38316.699999999997</v>
      </c>
      <c r="E166" s="1899">
        <f>E167</f>
        <v>13988.1</v>
      </c>
      <c r="F166" s="1899">
        <f>F167</f>
        <v>24328.6</v>
      </c>
      <c r="G166" s="1899">
        <f>H166+I166</f>
        <v>38316.699999999997</v>
      </c>
      <c r="H166" s="1899">
        <f>H167</f>
        <v>13988.1</v>
      </c>
      <c r="I166" s="1899">
        <f>I167</f>
        <v>24328.6</v>
      </c>
      <c r="J166" s="1899">
        <f>K166+L166</f>
        <v>3713.8</v>
      </c>
      <c r="K166" s="1899">
        <f>K167</f>
        <v>1393.6</v>
      </c>
      <c r="L166" s="1899">
        <f>L167</f>
        <v>2320.1999999999998</v>
      </c>
      <c r="M166" s="1899">
        <f t="shared" si="41"/>
        <v>9.6999999999999993</v>
      </c>
      <c r="N166" s="1899">
        <f t="shared" si="42"/>
        <v>10</v>
      </c>
      <c r="O166" s="1899">
        <f t="shared" si="43"/>
        <v>9.5</v>
      </c>
      <c r="P166" s="1899"/>
      <c r="Q166" s="1899"/>
      <c r="R166" s="1899"/>
      <c r="S166" s="1899"/>
      <c r="T166" s="1899"/>
      <c r="U166" s="1899"/>
      <c r="V166" s="1899"/>
      <c r="W166" s="1899"/>
      <c r="X166" s="1423">
        <f t="shared" si="48"/>
        <v>0</v>
      </c>
    </row>
    <row r="167" spans="1:24" ht="52.5" customHeight="1">
      <c r="A167" s="2004">
        <f>A156+1</f>
        <v>78</v>
      </c>
      <c r="B167" s="1919" t="s">
        <v>1469</v>
      </c>
      <c r="C167" s="1898"/>
      <c r="D167" s="1600">
        <f>SUM(E167:F167)</f>
        <v>38316.699999999997</v>
      </c>
      <c r="E167" s="1614">
        <v>13988.1</v>
      </c>
      <c r="F167" s="1614">
        <f>23288.3+1040.3</f>
        <v>24328.6</v>
      </c>
      <c r="G167" s="1600">
        <f>SUM(H167:I167)</f>
        <v>38316.699999999997</v>
      </c>
      <c r="H167" s="1614">
        <f>E167</f>
        <v>13988.1</v>
      </c>
      <c r="I167" s="1614">
        <f>F167</f>
        <v>24328.6</v>
      </c>
      <c r="J167" s="1600">
        <f>SUM(K167:L167)</f>
        <v>3713.8</v>
      </c>
      <c r="K167" s="1614">
        <v>1393.6</v>
      </c>
      <c r="L167" s="1614">
        <v>2320.1999999999998</v>
      </c>
      <c r="M167" s="1893">
        <f t="shared" si="41"/>
        <v>9.6999999999999993</v>
      </c>
      <c r="N167" s="1894">
        <f t="shared" si="42"/>
        <v>10</v>
      </c>
      <c r="O167" s="1894">
        <f t="shared" si="43"/>
        <v>9.5</v>
      </c>
      <c r="P167" s="1899"/>
      <c r="Q167" s="1899"/>
      <c r="R167" s="1899"/>
      <c r="S167" s="1899"/>
      <c r="T167" s="1899"/>
      <c r="U167" s="1899"/>
      <c r="V167" s="1899"/>
      <c r="W167" s="1899"/>
      <c r="X167" s="1423">
        <f t="shared" si="48"/>
        <v>0</v>
      </c>
    </row>
    <row r="168" spans="1:24" ht="25.5" customHeight="1">
      <c r="A168" s="2011"/>
      <c r="B168" s="1897" t="s">
        <v>1396</v>
      </c>
      <c r="C168" s="1898"/>
      <c r="D168" s="1899">
        <f>SUM(E168:F168)</f>
        <v>109151.8</v>
      </c>
      <c r="E168" s="2012">
        <f>SUM(E169)</f>
        <v>99865.9</v>
      </c>
      <c r="F168" s="2012">
        <f>SUM(F169)</f>
        <v>9285.9</v>
      </c>
      <c r="G168" s="1899">
        <f>SUM(H168:I168)</f>
        <v>109151.8</v>
      </c>
      <c r="H168" s="2012">
        <f>SUM(H169)</f>
        <v>99865.9</v>
      </c>
      <c r="I168" s="2012">
        <f>SUM(I169)</f>
        <v>9285.9</v>
      </c>
      <c r="J168" s="1899">
        <f>SUM(K168:L168)</f>
        <v>0</v>
      </c>
      <c r="K168" s="2012">
        <f>SUM(K169)</f>
        <v>0</v>
      </c>
      <c r="L168" s="2012">
        <f>SUM(L169)</f>
        <v>0</v>
      </c>
      <c r="M168" s="1900">
        <f t="shared" si="41"/>
        <v>0</v>
      </c>
      <c r="N168" s="1901">
        <f t="shared" si="42"/>
        <v>0</v>
      </c>
      <c r="O168" s="1901">
        <f t="shared" si="43"/>
        <v>0</v>
      </c>
      <c r="P168" s="1899"/>
      <c r="Q168" s="1899"/>
      <c r="R168" s="1899"/>
      <c r="S168" s="1899"/>
      <c r="T168" s="1899"/>
      <c r="U168" s="1899"/>
      <c r="V168" s="1899"/>
      <c r="W168" s="1899"/>
      <c r="X168" s="1423">
        <f t="shared" si="48"/>
        <v>0</v>
      </c>
    </row>
    <row r="169" spans="1:24" ht="52.5" customHeight="1">
      <c r="A169" s="2011">
        <f>A167+1</f>
        <v>79</v>
      </c>
      <c r="B169" s="1885" t="s">
        <v>1392</v>
      </c>
      <c r="C169" s="1898"/>
      <c r="D169" s="1602">
        <f>SUM(E169:F169)</f>
        <v>109151.8</v>
      </c>
      <c r="E169" s="1615">
        <v>99865.9</v>
      </c>
      <c r="F169" s="1615">
        <v>9285.9</v>
      </c>
      <c r="G169" s="1602">
        <f>SUM(H169:I169)</f>
        <v>109151.8</v>
      </c>
      <c r="H169" s="1614">
        <f>E169</f>
        <v>99865.9</v>
      </c>
      <c r="I169" s="1614">
        <f>F169</f>
        <v>9285.9</v>
      </c>
      <c r="J169" s="1602">
        <f>SUM(K169:L169)</f>
        <v>0</v>
      </c>
      <c r="K169" s="1615">
        <v>0</v>
      </c>
      <c r="L169" s="1615">
        <v>0</v>
      </c>
      <c r="M169" s="1893">
        <f t="shared" si="41"/>
        <v>0</v>
      </c>
      <c r="N169" s="1894">
        <f t="shared" si="42"/>
        <v>0</v>
      </c>
      <c r="O169" s="1894">
        <f t="shared" si="43"/>
        <v>0</v>
      </c>
      <c r="P169" s="1899"/>
      <c r="Q169" s="1899"/>
      <c r="R169" s="1899"/>
      <c r="S169" s="1899"/>
      <c r="T169" s="1899"/>
      <c r="U169" s="1899"/>
      <c r="V169" s="1899"/>
      <c r="W169" s="1899"/>
      <c r="X169" s="1423">
        <f t="shared" si="48"/>
        <v>0</v>
      </c>
    </row>
    <row r="170" spans="1:24" ht="23.25">
      <c r="A170" s="1867"/>
      <c r="B170" s="1897" t="s">
        <v>1461</v>
      </c>
      <c r="C170" s="1898"/>
      <c r="D170" s="1899">
        <f>SUM(E170:F170)</f>
        <v>2358328.7999999998</v>
      </c>
      <c r="E170" s="1899">
        <f>SUM(E171:E175)</f>
        <v>1569072.1</v>
      </c>
      <c r="F170" s="1899">
        <f>SUM(F171:F175)</f>
        <v>789256.7</v>
      </c>
      <c r="G170" s="1899">
        <f t="shared" si="47"/>
        <v>2358328.7999999998</v>
      </c>
      <c r="H170" s="1899">
        <f>SUM(H171:H175)</f>
        <v>1569072.1</v>
      </c>
      <c r="I170" s="1899">
        <f>SUM(I171:I175)</f>
        <v>789256.7</v>
      </c>
      <c r="J170" s="1899">
        <f>SUM(K170:L170)</f>
        <v>120123.3</v>
      </c>
      <c r="K170" s="1899">
        <f>SUM(K171:K175)</f>
        <v>71840.5</v>
      </c>
      <c r="L170" s="1899">
        <f>SUM(L171:L175)</f>
        <v>48282.8</v>
      </c>
      <c r="M170" s="1899">
        <f t="shared" si="41"/>
        <v>5.0999999999999996</v>
      </c>
      <c r="N170" s="1899">
        <f t="shared" si="42"/>
        <v>4.5999999999999996</v>
      </c>
      <c r="O170" s="1899">
        <f t="shared" si="43"/>
        <v>6.1</v>
      </c>
      <c r="P170" s="1899">
        <f t="shared" ref="P170:W170" si="50">SUM(P171:P175)</f>
        <v>0</v>
      </c>
      <c r="Q170" s="1899">
        <f t="shared" si="50"/>
        <v>0</v>
      </c>
      <c r="R170" s="1899">
        <f t="shared" si="50"/>
        <v>1083827.1000000001</v>
      </c>
      <c r="S170" s="1899">
        <f t="shared" si="50"/>
        <v>745178.3</v>
      </c>
      <c r="T170" s="1899">
        <f t="shared" si="50"/>
        <v>338648.8</v>
      </c>
      <c r="U170" s="1899">
        <f t="shared" si="50"/>
        <v>416896.2</v>
      </c>
      <c r="V170" s="1899">
        <f t="shared" si="50"/>
        <v>412727.2</v>
      </c>
      <c r="W170" s="1899">
        <f t="shared" si="50"/>
        <v>4169</v>
      </c>
      <c r="X170" s="1423">
        <f t="shared" si="48"/>
        <v>0</v>
      </c>
    </row>
    <row r="171" spans="1:24" ht="66" customHeight="1">
      <c r="A171" s="1867">
        <v>80</v>
      </c>
      <c r="B171" s="1888" t="s">
        <v>1459</v>
      </c>
      <c r="C171" s="1866" t="s">
        <v>1547</v>
      </c>
      <c r="D171" s="1600">
        <f t="shared" si="49"/>
        <v>1038129.7</v>
      </c>
      <c r="E171" s="1614">
        <v>587130.1</v>
      </c>
      <c r="F171" s="1614">
        <f>384743.9+66255.7</f>
        <v>450999.6</v>
      </c>
      <c r="G171" s="1600">
        <f t="shared" si="47"/>
        <v>1038129.7</v>
      </c>
      <c r="H171" s="1614">
        <f>E171</f>
        <v>587130.1</v>
      </c>
      <c r="I171" s="1614">
        <f>F171</f>
        <v>450999.6</v>
      </c>
      <c r="J171" s="1600">
        <f>SUM(K171:L171)</f>
        <v>0</v>
      </c>
      <c r="K171" s="1614"/>
      <c r="L171" s="1614"/>
      <c r="M171" s="1893">
        <f t="shared" si="41"/>
        <v>0</v>
      </c>
      <c r="N171" s="1894">
        <f t="shared" si="42"/>
        <v>0</v>
      </c>
      <c r="O171" s="1894">
        <f t="shared" si="43"/>
        <v>0</v>
      </c>
      <c r="P171" s="1593" t="s">
        <v>1192</v>
      </c>
      <c r="Q171" s="1593" t="s">
        <v>1160</v>
      </c>
      <c r="R171" s="1600">
        <f t="shared" si="33"/>
        <v>0</v>
      </c>
      <c r="S171" s="1614">
        <v>0</v>
      </c>
      <c r="T171" s="1614">
        <v>0</v>
      </c>
      <c r="U171" s="1600">
        <f t="shared" si="34"/>
        <v>0</v>
      </c>
      <c r="V171" s="1614">
        <v>0</v>
      </c>
      <c r="W171" s="1614">
        <v>0</v>
      </c>
      <c r="X171" s="1423">
        <f t="shared" si="48"/>
        <v>0</v>
      </c>
    </row>
    <row r="172" spans="1:24" ht="37.5" hidden="1">
      <c r="A172" s="1867">
        <f>A171+1</f>
        <v>81</v>
      </c>
      <c r="B172" s="1888" t="s">
        <v>1645</v>
      </c>
      <c r="C172" s="1866"/>
      <c r="D172" s="1600">
        <f>E172+F172</f>
        <v>0</v>
      </c>
      <c r="E172" s="1614">
        <v>0</v>
      </c>
      <c r="F172" s="1614">
        <v>0</v>
      </c>
      <c r="G172" s="1600">
        <f>H172+I172</f>
        <v>0</v>
      </c>
      <c r="H172" s="1614">
        <v>0</v>
      </c>
      <c r="I172" s="1614">
        <v>0</v>
      </c>
      <c r="J172" s="1600">
        <f>K172+L172</f>
        <v>0</v>
      </c>
      <c r="K172" s="1614"/>
      <c r="L172" s="1614"/>
      <c r="M172" s="1600">
        <f t="shared" si="41"/>
        <v>0</v>
      </c>
      <c r="N172" s="1614">
        <f t="shared" si="42"/>
        <v>0</v>
      </c>
      <c r="O172" s="1614">
        <f t="shared" si="43"/>
        <v>0</v>
      </c>
      <c r="P172" s="1593"/>
      <c r="Q172" s="1593"/>
      <c r="R172" s="1600">
        <f>S172+T172</f>
        <v>416896.2</v>
      </c>
      <c r="S172" s="1614">
        <v>412727.2</v>
      </c>
      <c r="T172" s="1614">
        <v>4169</v>
      </c>
      <c r="U172" s="1600">
        <f>V172+W172</f>
        <v>416896.2</v>
      </c>
      <c r="V172" s="1614">
        <v>412727.2</v>
      </c>
      <c r="W172" s="1614">
        <v>4169</v>
      </c>
    </row>
    <row r="173" spans="1:24" ht="56.25" customHeight="1">
      <c r="A173" s="1867">
        <v>81</v>
      </c>
      <c r="B173" s="1888" t="s">
        <v>1460</v>
      </c>
      <c r="C173" s="1866" t="s">
        <v>1547</v>
      </c>
      <c r="D173" s="1600">
        <f t="shared" si="49"/>
        <v>1107192.2</v>
      </c>
      <c r="E173" s="1614">
        <v>771065.2</v>
      </c>
      <c r="F173" s="1614">
        <v>336127</v>
      </c>
      <c r="G173" s="1600">
        <f>SUM(H173:I173)</f>
        <v>1107192.2</v>
      </c>
      <c r="H173" s="1614">
        <f t="shared" ref="H173:I175" si="51">E173</f>
        <v>771065.2</v>
      </c>
      <c r="I173" s="1614">
        <f t="shared" si="51"/>
        <v>336127</v>
      </c>
      <c r="J173" s="1600">
        <f>SUM(K173:L173)</f>
        <v>120123.3</v>
      </c>
      <c r="K173" s="1614">
        <v>71840.5</v>
      </c>
      <c r="L173" s="1614">
        <v>48282.8</v>
      </c>
      <c r="M173" s="1893">
        <f t="shared" si="41"/>
        <v>10.8</v>
      </c>
      <c r="N173" s="1894">
        <f t="shared" si="42"/>
        <v>9.3000000000000007</v>
      </c>
      <c r="O173" s="1894">
        <f t="shared" si="43"/>
        <v>14.4</v>
      </c>
      <c r="P173" s="1593" t="s">
        <v>1192</v>
      </c>
      <c r="Q173" s="1593" t="s">
        <v>1159</v>
      </c>
      <c r="R173" s="1600">
        <f t="shared" si="33"/>
        <v>331121.7</v>
      </c>
      <c r="S173" s="1614">
        <v>0</v>
      </c>
      <c r="T173" s="1614">
        <v>331121.7</v>
      </c>
      <c r="U173" s="1600">
        <f t="shared" si="34"/>
        <v>0</v>
      </c>
      <c r="V173" s="1614">
        <v>0</v>
      </c>
      <c r="W173" s="1614">
        <v>0</v>
      </c>
      <c r="X173" s="1423">
        <f>D173-G173</f>
        <v>0</v>
      </c>
    </row>
    <row r="174" spans="1:24" ht="39" customHeight="1">
      <c r="A174" s="1867">
        <f t="shared" ref="A174:A179" si="52">A173+1</f>
        <v>82</v>
      </c>
      <c r="B174" s="1916" t="s">
        <v>1465</v>
      </c>
      <c r="C174" s="1866" t="s">
        <v>1547</v>
      </c>
      <c r="D174" s="1600">
        <f t="shared" si="49"/>
        <v>109222.6</v>
      </c>
      <c r="E174" s="1614">
        <v>108130.3</v>
      </c>
      <c r="F174" s="1614">
        <v>1092.3</v>
      </c>
      <c r="G174" s="1600">
        <f>SUM(H174:I174)</f>
        <v>109222.6</v>
      </c>
      <c r="H174" s="1614">
        <f t="shared" si="51"/>
        <v>108130.3</v>
      </c>
      <c r="I174" s="1614">
        <f t="shared" si="51"/>
        <v>1092.3</v>
      </c>
      <c r="J174" s="1600">
        <f>SUM(K174:L174)</f>
        <v>0</v>
      </c>
      <c r="K174" s="1614"/>
      <c r="L174" s="1614"/>
      <c r="M174" s="1893">
        <f t="shared" si="41"/>
        <v>0</v>
      </c>
      <c r="N174" s="1894">
        <f t="shared" si="42"/>
        <v>0</v>
      </c>
      <c r="O174" s="1894">
        <f t="shared" si="43"/>
        <v>0</v>
      </c>
      <c r="P174" s="1593" t="s">
        <v>1192</v>
      </c>
      <c r="Q174" s="1593" t="s">
        <v>1160</v>
      </c>
      <c r="R174" s="1600">
        <f t="shared" si="33"/>
        <v>172191.3</v>
      </c>
      <c r="S174" s="1614">
        <v>170469.4</v>
      </c>
      <c r="T174" s="1614">
        <v>1721.9</v>
      </c>
      <c r="U174" s="1600">
        <f t="shared" si="34"/>
        <v>0</v>
      </c>
      <c r="V174" s="1614">
        <v>0</v>
      </c>
      <c r="W174" s="1614">
        <v>0</v>
      </c>
      <c r="X174" s="1423">
        <f>D174-G174</f>
        <v>0</v>
      </c>
    </row>
    <row r="175" spans="1:24" ht="44.25" customHeight="1">
      <c r="A175" s="1867">
        <f t="shared" si="52"/>
        <v>83</v>
      </c>
      <c r="B175" s="1916" t="s">
        <v>1466</v>
      </c>
      <c r="C175" s="1866" t="s">
        <v>1547</v>
      </c>
      <c r="D175" s="1600">
        <f t="shared" si="49"/>
        <v>103784.3</v>
      </c>
      <c r="E175" s="1614">
        <v>102746.5</v>
      </c>
      <c r="F175" s="1614">
        <v>1037.8</v>
      </c>
      <c r="G175" s="1600">
        <f>SUM(H175:I175)</f>
        <v>103784.3</v>
      </c>
      <c r="H175" s="1614">
        <f t="shared" si="51"/>
        <v>102746.5</v>
      </c>
      <c r="I175" s="1614">
        <f t="shared" si="51"/>
        <v>1037.8</v>
      </c>
      <c r="J175" s="1600">
        <f>SUM(K175:L175)</f>
        <v>0</v>
      </c>
      <c r="K175" s="1614"/>
      <c r="L175" s="1614"/>
      <c r="M175" s="1893">
        <f t="shared" si="41"/>
        <v>0</v>
      </c>
      <c r="N175" s="1894">
        <f t="shared" si="42"/>
        <v>0</v>
      </c>
      <c r="O175" s="1894">
        <f t="shared" si="43"/>
        <v>0</v>
      </c>
      <c r="P175" s="1593" t="s">
        <v>1192</v>
      </c>
      <c r="Q175" s="1593" t="s">
        <v>1159</v>
      </c>
      <c r="R175" s="1600">
        <f t="shared" si="33"/>
        <v>163617.9</v>
      </c>
      <c r="S175" s="1614">
        <v>161981.70000000001</v>
      </c>
      <c r="T175" s="1614">
        <v>1636.2</v>
      </c>
      <c r="U175" s="1600">
        <f t="shared" si="34"/>
        <v>0</v>
      </c>
      <c r="V175" s="1614">
        <v>0</v>
      </c>
      <c r="W175" s="1614">
        <v>0</v>
      </c>
      <c r="X175" s="1423">
        <f>D175-G175</f>
        <v>0</v>
      </c>
    </row>
    <row r="176" spans="1:24" ht="19.5" hidden="1" customHeight="1">
      <c r="A176" s="1867"/>
      <c r="B176" s="1897" t="s">
        <v>1648</v>
      </c>
      <c r="C176" s="1899">
        <v>47690.1</v>
      </c>
      <c r="D176" s="1899">
        <f>D177+D179+D178</f>
        <v>0</v>
      </c>
      <c r="E176" s="1899">
        <f t="shared" ref="E176:W176" si="53">E177+E179+E178</f>
        <v>0</v>
      </c>
      <c r="F176" s="1899">
        <f t="shared" si="53"/>
        <v>0</v>
      </c>
      <c r="G176" s="1899">
        <f t="shared" ref="G176:L176" si="54">G177+G179+G178</f>
        <v>0</v>
      </c>
      <c r="H176" s="1899">
        <f t="shared" si="54"/>
        <v>0</v>
      </c>
      <c r="I176" s="1899">
        <f t="shared" si="54"/>
        <v>0</v>
      </c>
      <c r="J176" s="1899">
        <f t="shared" si="54"/>
        <v>0</v>
      </c>
      <c r="K176" s="1899">
        <f t="shared" si="54"/>
        <v>0</v>
      </c>
      <c r="L176" s="1899">
        <f t="shared" si="54"/>
        <v>0</v>
      </c>
      <c r="M176" s="1899">
        <f t="shared" si="41"/>
        <v>0</v>
      </c>
      <c r="N176" s="1899">
        <f t="shared" si="42"/>
        <v>0</v>
      </c>
      <c r="O176" s="1899">
        <f t="shared" si="43"/>
        <v>0</v>
      </c>
      <c r="P176" s="1899">
        <f t="shared" si="53"/>
        <v>0</v>
      </c>
      <c r="Q176" s="1899">
        <f t="shared" si="53"/>
        <v>0</v>
      </c>
      <c r="R176" s="1899">
        <f t="shared" si="53"/>
        <v>182695.3</v>
      </c>
      <c r="S176" s="1899">
        <f t="shared" si="53"/>
        <v>180868.3</v>
      </c>
      <c r="T176" s="1899">
        <f t="shared" si="53"/>
        <v>1827</v>
      </c>
      <c r="U176" s="1899">
        <f t="shared" si="53"/>
        <v>272422.7</v>
      </c>
      <c r="V176" s="1899">
        <f t="shared" si="53"/>
        <v>269698.5</v>
      </c>
      <c r="W176" s="1899">
        <f t="shared" si="53"/>
        <v>2724.2</v>
      </c>
    </row>
    <row r="177" spans="1:24" ht="18" hidden="1" customHeight="1">
      <c r="A177" s="1867">
        <f>A175+1</f>
        <v>84</v>
      </c>
      <c r="B177" s="1916" t="s">
        <v>1467</v>
      </c>
      <c r="C177" s="1866"/>
      <c r="D177" s="1600">
        <v>0</v>
      </c>
      <c r="E177" s="1614">
        <v>0</v>
      </c>
      <c r="F177" s="1614">
        <v>0</v>
      </c>
      <c r="G177" s="1600">
        <v>0</v>
      </c>
      <c r="H177" s="1614">
        <v>0</v>
      </c>
      <c r="I177" s="1614">
        <v>0</v>
      </c>
      <c r="J177" s="1600">
        <v>0</v>
      </c>
      <c r="K177" s="1614">
        <v>0</v>
      </c>
      <c r="L177" s="1614">
        <v>0</v>
      </c>
      <c r="M177" s="1893">
        <f t="shared" si="41"/>
        <v>0</v>
      </c>
      <c r="N177" s="1894">
        <f t="shared" si="42"/>
        <v>0</v>
      </c>
      <c r="O177" s="1894">
        <f t="shared" si="43"/>
        <v>0</v>
      </c>
      <c r="P177" s="1593"/>
      <c r="Q177" s="1593"/>
      <c r="R177" s="1600">
        <f>S177+T177</f>
        <v>82695.3</v>
      </c>
      <c r="S177" s="1614">
        <v>81868.3</v>
      </c>
      <c r="T177" s="1614">
        <v>827</v>
      </c>
      <c r="U177" s="1600">
        <f>V177+W177</f>
        <v>69829.7</v>
      </c>
      <c r="V177" s="1614">
        <v>69131.7</v>
      </c>
      <c r="W177" s="1614">
        <v>698</v>
      </c>
    </row>
    <row r="178" spans="1:24" ht="18" hidden="1" customHeight="1">
      <c r="A178" s="1867">
        <f t="shared" si="52"/>
        <v>85</v>
      </c>
      <c r="B178" s="1916" t="s">
        <v>1647</v>
      </c>
      <c r="C178" s="1866"/>
      <c r="D178" s="1600">
        <v>0</v>
      </c>
      <c r="E178" s="1614">
        <v>0</v>
      </c>
      <c r="F178" s="1614">
        <v>0</v>
      </c>
      <c r="G178" s="1600">
        <v>0</v>
      </c>
      <c r="H178" s="1614">
        <v>0</v>
      </c>
      <c r="I178" s="1614">
        <v>0</v>
      </c>
      <c r="J178" s="1600">
        <v>0</v>
      </c>
      <c r="K178" s="1614">
        <v>0</v>
      </c>
      <c r="L178" s="1614">
        <v>0</v>
      </c>
      <c r="M178" s="1893">
        <f t="shared" si="41"/>
        <v>0</v>
      </c>
      <c r="N178" s="1894">
        <f t="shared" si="42"/>
        <v>0</v>
      </c>
      <c r="O178" s="1894">
        <f t="shared" si="43"/>
        <v>0</v>
      </c>
      <c r="P178" s="1593"/>
      <c r="Q178" s="1593"/>
      <c r="R178" s="1600">
        <f>S178+T178</f>
        <v>100000</v>
      </c>
      <c r="S178" s="1614">
        <v>99000</v>
      </c>
      <c r="T178" s="1614">
        <v>1000</v>
      </c>
      <c r="U178" s="1600">
        <f>V178+W178</f>
        <v>0</v>
      </c>
      <c r="V178" s="1614">
        <v>0</v>
      </c>
      <c r="W178" s="1614">
        <v>0</v>
      </c>
    </row>
    <row r="179" spans="1:24" ht="15.75" hidden="1" customHeight="1">
      <c r="A179" s="1867">
        <f t="shared" si="52"/>
        <v>86</v>
      </c>
      <c r="B179" s="1916" t="s">
        <v>1646</v>
      </c>
      <c r="C179" s="1866"/>
      <c r="D179" s="1600">
        <f t="shared" si="49"/>
        <v>0</v>
      </c>
      <c r="E179" s="1614">
        <v>0</v>
      </c>
      <c r="F179" s="1614">
        <v>0</v>
      </c>
      <c r="G179" s="1600">
        <f t="shared" ref="G179:G222" si="55">SUM(H179:I179)</f>
        <v>0</v>
      </c>
      <c r="H179" s="1614">
        <v>0</v>
      </c>
      <c r="I179" s="1614">
        <v>0</v>
      </c>
      <c r="J179" s="1600">
        <f t="shared" ref="J179:J204" si="56">SUM(K179:L179)</f>
        <v>0</v>
      </c>
      <c r="K179" s="1614">
        <v>0</v>
      </c>
      <c r="L179" s="1614">
        <v>0</v>
      </c>
      <c r="M179" s="1600">
        <f t="shared" si="41"/>
        <v>0</v>
      </c>
      <c r="N179" s="1614">
        <f t="shared" si="42"/>
        <v>0</v>
      </c>
      <c r="O179" s="1614">
        <f t="shared" si="43"/>
        <v>0</v>
      </c>
      <c r="P179" s="1593"/>
      <c r="Q179" s="1593"/>
      <c r="R179" s="1600">
        <f>S179+T179</f>
        <v>0</v>
      </c>
      <c r="S179" s="1614">
        <v>0</v>
      </c>
      <c r="T179" s="1614">
        <v>0</v>
      </c>
      <c r="U179" s="1600">
        <f>V179+W179</f>
        <v>202593</v>
      </c>
      <c r="V179" s="1614">
        <v>200566.8</v>
      </c>
      <c r="W179" s="1614">
        <v>2026.2</v>
      </c>
    </row>
    <row r="180" spans="1:24" ht="23.25">
      <c r="A180" s="1867"/>
      <c r="B180" s="1897" t="s">
        <v>1470</v>
      </c>
      <c r="C180" s="1898"/>
      <c r="D180" s="1899">
        <f t="shared" si="49"/>
        <v>48834.2</v>
      </c>
      <c r="E180" s="1899">
        <f>SUM(E181)</f>
        <v>38005.9</v>
      </c>
      <c r="F180" s="1899">
        <f>SUM(F181)</f>
        <v>10828.3</v>
      </c>
      <c r="G180" s="1899">
        <f t="shared" si="55"/>
        <v>48834.2</v>
      </c>
      <c r="H180" s="1899">
        <f>SUM(H181)</f>
        <v>38005.9</v>
      </c>
      <c r="I180" s="1899">
        <f>SUM(I181)</f>
        <v>10828.3</v>
      </c>
      <c r="J180" s="1899">
        <f t="shared" si="56"/>
        <v>18526.2</v>
      </c>
      <c r="K180" s="1899">
        <f>SUM(K181)</f>
        <v>14418.3</v>
      </c>
      <c r="L180" s="1899">
        <f>SUM(L181)</f>
        <v>4107.8999999999996</v>
      </c>
      <c r="M180" s="1910">
        <f t="shared" si="41"/>
        <v>37.9</v>
      </c>
      <c r="N180" s="1911">
        <f t="shared" si="42"/>
        <v>37.9</v>
      </c>
      <c r="O180" s="1911">
        <f t="shared" si="43"/>
        <v>37.9</v>
      </c>
      <c r="P180" s="1599"/>
      <c r="Q180" s="1599"/>
      <c r="R180" s="1899">
        <f t="shared" si="33"/>
        <v>0</v>
      </c>
      <c r="S180" s="1899">
        <f>SUM(S181)</f>
        <v>0</v>
      </c>
      <c r="T180" s="1899">
        <f>SUM(T181)</f>
        <v>0</v>
      </c>
      <c r="U180" s="1899">
        <f t="shared" si="34"/>
        <v>0</v>
      </c>
      <c r="V180" s="1899">
        <f>SUM(V181)</f>
        <v>0</v>
      </c>
      <c r="W180" s="1899">
        <f>SUM(W181)</f>
        <v>0</v>
      </c>
      <c r="X180" s="1423">
        <f>D180-G180</f>
        <v>0</v>
      </c>
    </row>
    <row r="181" spans="1:24" ht="44.25" customHeight="1">
      <c r="A181" s="1867">
        <f>A175+1</f>
        <v>84</v>
      </c>
      <c r="B181" s="1888" t="s">
        <v>1653</v>
      </c>
      <c r="C181" s="1867" t="s">
        <v>1549</v>
      </c>
      <c r="D181" s="1600">
        <f t="shared" si="49"/>
        <v>48834.2</v>
      </c>
      <c r="E181" s="1614">
        <v>38005.9</v>
      </c>
      <c r="F181" s="1614">
        <v>10828.3</v>
      </c>
      <c r="G181" s="1600">
        <f t="shared" si="55"/>
        <v>48834.2</v>
      </c>
      <c r="H181" s="1614">
        <f>E181</f>
        <v>38005.9</v>
      </c>
      <c r="I181" s="1614">
        <f>F181</f>
        <v>10828.3</v>
      </c>
      <c r="J181" s="1600">
        <f t="shared" si="56"/>
        <v>18526.2</v>
      </c>
      <c r="K181" s="1614">
        <v>14418.3</v>
      </c>
      <c r="L181" s="1614">
        <v>4107.8999999999996</v>
      </c>
      <c r="M181" s="1604">
        <f t="shared" si="41"/>
        <v>37.9</v>
      </c>
      <c r="N181" s="1881">
        <f t="shared" si="42"/>
        <v>37.9</v>
      </c>
      <c r="O181" s="1881">
        <f t="shared" si="43"/>
        <v>37.9</v>
      </c>
      <c r="P181" s="1593" t="s">
        <v>1192</v>
      </c>
      <c r="Q181" s="1593" t="s">
        <v>1160</v>
      </c>
      <c r="R181" s="1600">
        <f>SUM(S181:T181)</f>
        <v>0</v>
      </c>
      <c r="S181" s="1614">
        <v>0</v>
      </c>
      <c r="T181" s="1614">
        <v>0</v>
      </c>
      <c r="U181" s="1600">
        <f>SUM(V181:W181)</f>
        <v>0</v>
      </c>
      <c r="V181" s="1614">
        <v>0</v>
      </c>
      <c r="W181" s="1614">
        <v>0</v>
      </c>
      <c r="X181" s="1423">
        <f>D181-G181</f>
        <v>0</v>
      </c>
    </row>
    <row r="182" spans="1:24" ht="27" hidden="1" customHeight="1">
      <c r="A182" s="1867"/>
      <c r="B182" s="1897" t="s">
        <v>1650</v>
      </c>
      <c r="C182" s="1898"/>
      <c r="D182" s="1899">
        <f>SUM(E182:F182)</f>
        <v>0</v>
      </c>
      <c r="E182" s="1899">
        <f>SUM(E183)</f>
        <v>0</v>
      </c>
      <c r="F182" s="1899">
        <f>SUM(F183)</f>
        <v>0</v>
      </c>
      <c r="G182" s="1899">
        <f t="shared" si="55"/>
        <v>0</v>
      </c>
      <c r="H182" s="1899">
        <f>SUM(H183)</f>
        <v>0</v>
      </c>
      <c r="I182" s="1899">
        <f>SUM(I183)</f>
        <v>0</v>
      </c>
      <c r="J182" s="1899">
        <f>SUM(K182:L182)</f>
        <v>0</v>
      </c>
      <c r="K182" s="1899">
        <f>SUM(K183)</f>
        <v>0</v>
      </c>
      <c r="L182" s="1899">
        <f>SUM(L183)</f>
        <v>0</v>
      </c>
      <c r="M182" s="1910">
        <f t="shared" si="41"/>
        <v>0</v>
      </c>
      <c r="N182" s="1911">
        <f t="shared" si="42"/>
        <v>0</v>
      </c>
      <c r="O182" s="1911">
        <f t="shared" si="43"/>
        <v>0</v>
      </c>
      <c r="P182" s="1599"/>
      <c r="Q182" s="1599"/>
      <c r="R182" s="1899">
        <f>SUM(S182:T182)</f>
        <v>0</v>
      </c>
      <c r="S182" s="1899">
        <f>SUM(S183)</f>
        <v>0</v>
      </c>
      <c r="T182" s="1899">
        <f>SUM(T183)</f>
        <v>0</v>
      </c>
      <c r="U182" s="1899">
        <f>SUM(V182:W182)</f>
        <v>788784.8</v>
      </c>
      <c r="V182" s="1899">
        <f>SUM(V183)</f>
        <v>780897</v>
      </c>
      <c r="W182" s="1899">
        <f>SUM(W183)</f>
        <v>7887.8</v>
      </c>
    </row>
    <row r="183" spans="1:24" s="1607" customFormat="1" ht="37.5" hidden="1" customHeight="1">
      <c r="A183" s="1867">
        <f>A181+1</f>
        <v>85</v>
      </c>
      <c r="B183" s="1890" t="s">
        <v>455</v>
      </c>
      <c r="C183" s="1880">
        <v>14057</v>
      </c>
      <c r="D183" s="1600">
        <f t="shared" si="49"/>
        <v>0</v>
      </c>
      <c r="E183" s="1614"/>
      <c r="F183" s="1614"/>
      <c r="G183" s="1600">
        <f t="shared" si="55"/>
        <v>0</v>
      </c>
      <c r="H183" s="1614"/>
      <c r="I183" s="1614"/>
      <c r="J183" s="1600">
        <f t="shared" si="56"/>
        <v>0</v>
      </c>
      <c r="K183" s="1614"/>
      <c r="L183" s="1614"/>
      <c r="M183" s="1604">
        <f t="shared" si="41"/>
        <v>0</v>
      </c>
      <c r="N183" s="1881">
        <f t="shared" si="42"/>
        <v>0</v>
      </c>
      <c r="O183" s="1881">
        <f t="shared" si="43"/>
        <v>0</v>
      </c>
      <c r="P183" s="1593" t="s">
        <v>1192</v>
      </c>
      <c r="Q183" s="1593" t="s">
        <v>1206</v>
      </c>
      <c r="R183" s="1600">
        <f>SUM(S183:T183)</f>
        <v>0</v>
      </c>
      <c r="S183" s="1614">
        <v>0</v>
      </c>
      <c r="T183" s="1614">
        <v>0</v>
      </c>
      <c r="U183" s="1600">
        <f>SUM(V183:W183)</f>
        <v>788784.8</v>
      </c>
      <c r="V183" s="1614">
        <v>780897</v>
      </c>
      <c r="W183" s="1614">
        <v>7887.8</v>
      </c>
    </row>
    <row r="184" spans="1:24" ht="64.5" customHeight="1">
      <c r="A184" s="1867" t="s">
        <v>251</v>
      </c>
      <c r="B184" s="1917" t="s">
        <v>1435</v>
      </c>
      <c r="C184" s="1918"/>
      <c r="D184" s="1860">
        <f>SUM(E184:F184)</f>
        <v>2999492.7</v>
      </c>
      <c r="E184" s="1860">
        <f>E185+E186</f>
        <v>2719850.8</v>
      </c>
      <c r="F184" s="1860">
        <f>F185+F186</f>
        <v>279641.90000000002</v>
      </c>
      <c r="G184" s="1860">
        <f t="shared" si="55"/>
        <v>2999492.7</v>
      </c>
      <c r="H184" s="1860">
        <f>H185+H186</f>
        <v>2719850.8</v>
      </c>
      <c r="I184" s="1860">
        <f>I185+I186</f>
        <v>279641.90000000002</v>
      </c>
      <c r="J184" s="1860">
        <f>J187+J193+J194+J195+J196+J197+J198+J199+J200+J201+J202+J208+J209+J210+J217+J218+J221+J222+J223+J224+J227+J230+J233+J236+J237+J238+J241+J244+J245+J246</f>
        <v>592172.69999999995</v>
      </c>
      <c r="K184" s="1860">
        <f>K185+K186</f>
        <v>556246.5</v>
      </c>
      <c r="L184" s="1860">
        <f>L185+L186</f>
        <v>35926.199999999997</v>
      </c>
      <c r="M184" s="1860">
        <f t="shared" si="41"/>
        <v>19.7</v>
      </c>
      <c r="N184" s="1860">
        <f t="shared" si="42"/>
        <v>20.5</v>
      </c>
      <c r="O184" s="1860">
        <f t="shared" si="43"/>
        <v>12.8</v>
      </c>
      <c r="P184" s="1860" t="e">
        <f t="shared" ref="P184:W184" si="57">P187+P193+P194+P195+P196+P197+P198+P199+P200+P201+P202+P208+P209+P210+P217+P218+P221+P222+P223+P224+P227+P230+P233+P236+P237+P238+P241+P244+P245+P246</f>
        <v>#VALUE!</v>
      </c>
      <c r="Q184" s="1860" t="e">
        <f t="shared" si="57"/>
        <v>#VALUE!</v>
      </c>
      <c r="R184" s="1860">
        <f t="shared" si="57"/>
        <v>887635.9</v>
      </c>
      <c r="S184" s="1860">
        <f t="shared" si="57"/>
        <v>0</v>
      </c>
      <c r="T184" s="1860">
        <f t="shared" si="57"/>
        <v>887635.9</v>
      </c>
      <c r="U184" s="1860">
        <f t="shared" si="57"/>
        <v>0</v>
      </c>
      <c r="V184" s="1860">
        <f t="shared" si="57"/>
        <v>0</v>
      </c>
      <c r="W184" s="1860">
        <f t="shared" si="57"/>
        <v>0</v>
      </c>
      <c r="X184" s="1423">
        <f t="shared" ref="X184:X199" si="58">D184-G184</f>
        <v>0</v>
      </c>
    </row>
    <row r="185" spans="1:24" ht="23.25">
      <c r="A185" s="1999"/>
      <c r="B185" s="2001" t="s">
        <v>1699</v>
      </c>
      <c r="C185" s="1918"/>
      <c r="D185" s="1860">
        <f>SUM(E185:F185)</f>
        <v>2894189.5</v>
      </c>
      <c r="E185" s="1860">
        <f>E188+E191+E193+E194+E195+E196+E197+E198+E199+E206+E208+E209+E212+E215+E217+E219+E221+E222+E223+E225+E228+E231+E234+E236+E237+E239+E242+E244+E246</f>
        <v>2719850.8</v>
      </c>
      <c r="F185" s="1860">
        <f>F188+F191+F193+F194+F195+F196+F197+F198+F199+F206+F208+F209+F212+F215+F217+F219+F221+F222+F223+F225+F228+F231+F234+F236+F237+F239+F242+F244+F246</f>
        <v>174338.7</v>
      </c>
      <c r="G185" s="1860">
        <f>SUM(H185:I185)</f>
        <v>2894189.5</v>
      </c>
      <c r="H185" s="1860">
        <f>H188+H191+H193+H194+H195+H196+H197+H198+H199+H206+H208+H209+H212+H215+H217+H219+H221+H222+H223+H225+H228+H231+H234+H236+H237+H239+H242+H244+H246</f>
        <v>2719850.8</v>
      </c>
      <c r="I185" s="1860">
        <f>I188+I191+I193+I194+I195+I196+I197+I198+I199+I206+I208+I209+I212+I215+I217+I219+I221+I222+I223+I225+I228+I231+I234+I236+I237+I239+I242+I244+I246</f>
        <v>174338.7</v>
      </c>
      <c r="J185" s="1860">
        <f>SUM(K185:L185)</f>
        <v>591772.4</v>
      </c>
      <c r="K185" s="1860">
        <f>K188+K191+K193+K194+K195+K196+K197+K198+K199+K206+K208+K209+K212+K215+K219+K221+K222+K223+K225+K228+K231+K234+K236+K237+K239+K242+K244+K246</f>
        <v>556246.5</v>
      </c>
      <c r="L185" s="1860">
        <f>L188+L191+L193+L194+L195+L196+L197+L198+L199+L206+L208+L209+L212+L215+L219+L221+L222+L223+L225+L228+L231+L234+L236+L237+L239+L242+L244+L246</f>
        <v>35525.9</v>
      </c>
      <c r="M185" s="1860">
        <f t="shared" si="41"/>
        <v>20.399999999999999</v>
      </c>
      <c r="N185" s="1860">
        <f t="shared" si="42"/>
        <v>20.5</v>
      </c>
      <c r="O185" s="1860">
        <f t="shared" si="43"/>
        <v>20.399999999999999</v>
      </c>
      <c r="P185" s="1860"/>
      <c r="Q185" s="1860"/>
      <c r="R185" s="1860"/>
      <c r="S185" s="1860"/>
      <c r="T185" s="1860"/>
      <c r="U185" s="1860"/>
      <c r="V185" s="1860"/>
      <c r="W185" s="1860"/>
      <c r="X185" s="1423">
        <f t="shared" si="58"/>
        <v>0</v>
      </c>
    </row>
    <row r="186" spans="1:24" ht="23.25">
      <c r="A186" s="1999"/>
      <c r="B186" s="2001" t="s">
        <v>1700</v>
      </c>
      <c r="C186" s="1918"/>
      <c r="D186" s="1860">
        <f>SUM(E186:F186)</f>
        <v>105303.2</v>
      </c>
      <c r="E186" s="1860">
        <f>E189+E192+E207+E213+E216+E220+E229+E232+E235+E243</f>
        <v>0</v>
      </c>
      <c r="F186" s="1860">
        <f>F189+F192+F207+F213+F216+F220+F229+F232+F235+F243</f>
        <v>105303.2</v>
      </c>
      <c r="G186" s="1860">
        <f>SUM(H186:I186)</f>
        <v>105303.2</v>
      </c>
      <c r="H186" s="1860">
        <f>H189+H192+H207+H213+H216+H220+H229+H232+H235+H243</f>
        <v>0</v>
      </c>
      <c r="I186" s="1860">
        <f>I189+I192+I207+I213+I216+I220+I229+I232+I235+I243</f>
        <v>105303.2</v>
      </c>
      <c r="J186" s="1860">
        <f>SUM(K186:L186)</f>
        <v>400.3</v>
      </c>
      <c r="K186" s="1860">
        <f>K189+K192+K207+K213+K216+K220+K229+K232+K235+K243</f>
        <v>0</v>
      </c>
      <c r="L186" s="1860">
        <f>L189+L192+L207+L213+L216+L220+L229+L232+L235+L243</f>
        <v>400.3</v>
      </c>
      <c r="M186" s="1860">
        <f t="shared" si="41"/>
        <v>0.4</v>
      </c>
      <c r="N186" s="1860">
        <f t="shared" si="42"/>
        <v>0</v>
      </c>
      <c r="O186" s="1860">
        <f t="shared" si="43"/>
        <v>0.4</v>
      </c>
      <c r="P186" s="1860"/>
      <c r="Q186" s="1860"/>
      <c r="R186" s="1860"/>
      <c r="S186" s="1860"/>
      <c r="T186" s="1860"/>
      <c r="U186" s="1860"/>
      <c r="V186" s="1860"/>
      <c r="W186" s="1860"/>
      <c r="X186" s="1423">
        <f t="shared" si="58"/>
        <v>0</v>
      </c>
    </row>
    <row r="187" spans="1:24" ht="67.5" customHeight="1">
      <c r="A187" s="1867">
        <f>A181+1</f>
        <v>85</v>
      </c>
      <c r="B187" s="1919" t="s">
        <v>1709</v>
      </c>
      <c r="C187" s="1878"/>
      <c r="D187" s="1600">
        <f t="shared" si="49"/>
        <v>4641.7</v>
      </c>
      <c r="E187" s="1619">
        <f>E188+E189</f>
        <v>612.20000000000005</v>
      </c>
      <c r="F187" s="1619">
        <f>F188+F189</f>
        <v>4029.5</v>
      </c>
      <c r="G187" s="1600">
        <f t="shared" si="55"/>
        <v>4641.7</v>
      </c>
      <c r="H187" s="1619">
        <f>H188+H189</f>
        <v>612.20000000000005</v>
      </c>
      <c r="I187" s="1619">
        <f>I188+I189</f>
        <v>4029.5</v>
      </c>
      <c r="J187" s="1600">
        <f t="shared" si="56"/>
        <v>400.3</v>
      </c>
      <c r="K187" s="1619">
        <f>K188+K189</f>
        <v>0</v>
      </c>
      <c r="L187" s="1619">
        <f>L188+L189</f>
        <v>400.3</v>
      </c>
      <c r="M187" s="1602">
        <f t="shared" si="41"/>
        <v>8.6</v>
      </c>
      <c r="N187" s="1602">
        <f t="shared" si="42"/>
        <v>0</v>
      </c>
      <c r="O187" s="1602">
        <f t="shared" si="43"/>
        <v>9.9</v>
      </c>
      <c r="P187" s="1593"/>
      <c r="Q187" s="1593"/>
      <c r="R187" s="1600">
        <f>S187+T187</f>
        <v>0</v>
      </c>
      <c r="S187" s="1619">
        <v>0</v>
      </c>
      <c r="T187" s="1619">
        <v>0</v>
      </c>
      <c r="U187" s="1600">
        <f>V187+W187</f>
        <v>0</v>
      </c>
      <c r="V187" s="1619">
        <v>0</v>
      </c>
      <c r="W187" s="1619">
        <v>0</v>
      </c>
      <c r="X187" s="1423">
        <f t="shared" si="58"/>
        <v>0</v>
      </c>
    </row>
    <row r="188" spans="1:24" ht="26.25" customHeight="1">
      <c r="A188" s="2002"/>
      <c r="B188" s="1619" t="s">
        <v>1620</v>
      </c>
      <c r="C188" s="2003"/>
      <c r="D188" s="1600">
        <f>SUM(E188:F188)</f>
        <v>652.9</v>
      </c>
      <c r="E188" s="1619">
        <v>612.20000000000005</v>
      </c>
      <c r="F188" s="1619">
        <v>40.700000000000003</v>
      </c>
      <c r="G188" s="1600">
        <f>SUM(H188:I188)</f>
        <v>652.9</v>
      </c>
      <c r="H188" s="1619">
        <v>612.20000000000005</v>
      </c>
      <c r="I188" s="1619">
        <v>40.700000000000003</v>
      </c>
      <c r="J188" s="1600">
        <f>SUM(K188:L188)</f>
        <v>0</v>
      </c>
      <c r="K188" s="1619"/>
      <c r="L188" s="1619"/>
      <c r="M188" s="1619">
        <f t="shared" si="41"/>
        <v>0</v>
      </c>
      <c r="N188" s="1619">
        <f t="shared" si="42"/>
        <v>0</v>
      </c>
      <c r="O188" s="1619">
        <f t="shared" si="43"/>
        <v>0</v>
      </c>
      <c r="P188" s="1593"/>
      <c r="Q188" s="1593"/>
      <c r="R188" s="1600"/>
      <c r="S188" s="1619"/>
      <c r="T188" s="1619"/>
      <c r="U188" s="1600"/>
      <c r="V188" s="1619"/>
      <c r="W188" s="1619"/>
      <c r="X188" s="1423">
        <f t="shared" si="58"/>
        <v>0</v>
      </c>
    </row>
    <row r="189" spans="1:24" ht="23.25">
      <c r="A189" s="1867"/>
      <c r="B189" s="1619" t="s">
        <v>1621</v>
      </c>
      <c r="C189" s="1878"/>
      <c r="D189" s="1600">
        <f t="shared" si="49"/>
        <v>3988.8</v>
      </c>
      <c r="E189" s="1619"/>
      <c r="F189" s="1619">
        <v>3988.8</v>
      </c>
      <c r="G189" s="1600">
        <f t="shared" si="55"/>
        <v>3988.8</v>
      </c>
      <c r="H189" s="1619"/>
      <c r="I189" s="1619">
        <v>3988.8</v>
      </c>
      <c r="J189" s="1600">
        <f t="shared" si="56"/>
        <v>400.3</v>
      </c>
      <c r="K189" s="1619"/>
      <c r="L189" s="1619">
        <v>400.3</v>
      </c>
      <c r="M189" s="1602">
        <f t="shared" si="41"/>
        <v>10</v>
      </c>
      <c r="N189" s="1602">
        <f t="shared" si="42"/>
        <v>0</v>
      </c>
      <c r="O189" s="1602">
        <f t="shared" si="43"/>
        <v>10</v>
      </c>
      <c r="P189" s="1593"/>
      <c r="Q189" s="1593"/>
      <c r="R189" s="1600">
        <f t="shared" ref="R189:R201" si="59">S189+T189</f>
        <v>0</v>
      </c>
      <c r="S189" s="1619">
        <v>0</v>
      </c>
      <c r="T189" s="1619">
        <v>0</v>
      </c>
      <c r="U189" s="1600">
        <f t="shared" ref="U189:U201" si="60">V189+W189</f>
        <v>0</v>
      </c>
      <c r="V189" s="1619">
        <v>0</v>
      </c>
      <c r="W189" s="1619">
        <v>0</v>
      </c>
      <c r="X189" s="1423">
        <f t="shared" si="58"/>
        <v>0</v>
      </c>
    </row>
    <row r="190" spans="1:24" ht="38.25" customHeight="1">
      <c r="A190" s="2002">
        <v>86</v>
      </c>
      <c r="B190" s="1905" t="s">
        <v>1702</v>
      </c>
      <c r="C190" s="2003"/>
      <c r="D190" s="1600">
        <f>SUM(E190:F190)</f>
        <v>125786.6</v>
      </c>
      <c r="E190" s="1619">
        <f>E191+E192</f>
        <v>113479.7</v>
      </c>
      <c r="F190" s="1619">
        <f>F191+F192</f>
        <v>12306.9</v>
      </c>
      <c r="G190" s="1600">
        <f>SUM(H190:I190)</f>
        <v>125786.6</v>
      </c>
      <c r="H190" s="1619">
        <f>H191+H192</f>
        <v>113479.7</v>
      </c>
      <c r="I190" s="1619">
        <f>I191+I192</f>
        <v>12306.9</v>
      </c>
      <c r="J190" s="1600">
        <f>SUM(K190:L190)</f>
        <v>0</v>
      </c>
      <c r="K190" s="1619">
        <f>K191+K192</f>
        <v>0</v>
      </c>
      <c r="L190" s="1619">
        <f>L191+L192</f>
        <v>0</v>
      </c>
      <c r="M190" s="1602">
        <f t="shared" si="41"/>
        <v>0</v>
      </c>
      <c r="N190" s="1602">
        <f t="shared" si="42"/>
        <v>0</v>
      </c>
      <c r="O190" s="1602">
        <f t="shared" si="43"/>
        <v>0</v>
      </c>
      <c r="P190" s="1593"/>
      <c r="Q190" s="1593"/>
      <c r="R190" s="1600"/>
      <c r="S190" s="1619"/>
      <c r="T190" s="1619"/>
      <c r="U190" s="1600"/>
      <c r="V190" s="1619"/>
      <c r="W190" s="1619"/>
      <c r="X190" s="1423">
        <f t="shared" si="58"/>
        <v>0</v>
      </c>
    </row>
    <row r="191" spans="1:24" ht="19.5" customHeight="1">
      <c r="A191" s="2002"/>
      <c r="B191" s="1619" t="s">
        <v>1620</v>
      </c>
      <c r="C191" s="2003"/>
      <c r="D191" s="1600">
        <f>SUM(E191:F191)</f>
        <v>121121.5</v>
      </c>
      <c r="E191" s="1619">
        <v>113479.7</v>
      </c>
      <c r="F191" s="1619">
        <v>7641.8</v>
      </c>
      <c r="G191" s="1600">
        <f>SUM(H191:I191)</f>
        <v>121121.5</v>
      </c>
      <c r="H191" s="1619">
        <v>113479.7</v>
      </c>
      <c r="I191" s="1619">
        <f>F191</f>
        <v>7641.8</v>
      </c>
      <c r="J191" s="1600">
        <f>SUM(K191:L191)</f>
        <v>0</v>
      </c>
      <c r="K191" s="1619"/>
      <c r="L191" s="1619"/>
      <c r="M191" s="1619">
        <f t="shared" si="41"/>
        <v>0</v>
      </c>
      <c r="N191" s="1619">
        <f t="shared" si="42"/>
        <v>0</v>
      </c>
      <c r="O191" s="1619">
        <f t="shared" si="43"/>
        <v>0</v>
      </c>
      <c r="P191" s="1593"/>
      <c r="Q191" s="1593"/>
      <c r="R191" s="1600"/>
      <c r="S191" s="1619"/>
      <c r="T191" s="1619"/>
      <c r="U191" s="1600"/>
      <c r="V191" s="1619"/>
      <c r="W191" s="1619"/>
      <c r="X191" s="1423">
        <f t="shared" si="58"/>
        <v>0</v>
      </c>
    </row>
    <row r="192" spans="1:24" ht="23.25">
      <c r="A192" s="2002"/>
      <c r="B192" s="1619" t="s">
        <v>1621</v>
      </c>
      <c r="C192" s="2003"/>
      <c r="D192" s="1600">
        <f>SUM(E192:F192)</f>
        <v>4665.1000000000004</v>
      </c>
      <c r="E192" s="1619"/>
      <c r="F192" s="1619">
        <f>4443.3+221.8</f>
        <v>4665.1000000000004</v>
      </c>
      <c r="G192" s="1600">
        <f>SUM(H192:I192)</f>
        <v>4665.1000000000004</v>
      </c>
      <c r="H192" s="1619"/>
      <c r="I192" s="1619">
        <f>F192</f>
        <v>4665.1000000000004</v>
      </c>
      <c r="J192" s="1600">
        <f>SUM(K192:L192)</f>
        <v>0</v>
      </c>
      <c r="K192" s="1619"/>
      <c r="L192" s="1619"/>
      <c r="M192" s="1602">
        <f t="shared" si="41"/>
        <v>0</v>
      </c>
      <c r="N192" s="1602">
        <f t="shared" si="42"/>
        <v>0</v>
      </c>
      <c r="O192" s="1602">
        <f t="shared" si="43"/>
        <v>0</v>
      </c>
      <c r="P192" s="1593"/>
      <c r="Q192" s="1593"/>
      <c r="R192" s="1600"/>
      <c r="S192" s="1619"/>
      <c r="T192" s="1619"/>
      <c r="U192" s="1600"/>
      <c r="V192" s="1619"/>
      <c r="W192" s="1619"/>
      <c r="X192" s="1423">
        <f t="shared" si="58"/>
        <v>0</v>
      </c>
    </row>
    <row r="193" spans="1:24" ht="40.5" customHeight="1">
      <c r="A193" s="1867">
        <v>87</v>
      </c>
      <c r="B193" s="1905" t="s">
        <v>1590</v>
      </c>
      <c r="C193" s="1878"/>
      <c r="D193" s="1600">
        <f t="shared" si="49"/>
        <v>20824.900000000001</v>
      </c>
      <c r="E193" s="1619">
        <v>19575.5</v>
      </c>
      <c r="F193" s="1619">
        <v>1249.4000000000001</v>
      </c>
      <c r="G193" s="1600">
        <f t="shared" si="55"/>
        <v>20824.900000000001</v>
      </c>
      <c r="H193" s="1619">
        <v>19575.5</v>
      </c>
      <c r="I193" s="1619">
        <v>1249.4000000000001</v>
      </c>
      <c r="J193" s="1600">
        <f t="shared" si="56"/>
        <v>36.6</v>
      </c>
      <c r="K193" s="1619">
        <v>34.4</v>
      </c>
      <c r="L193" s="1619">
        <v>2.2000000000000002</v>
      </c>
      <c r="M193" s="1619">
        <f t="shared" si="41"/>
        <v>0.2</v>
      </c>
      <c r="N193" s="1619">
        <f t="shared" si="42"/>
        <v>0.2</v>
      </c>
      <c r="O193" s="1619">
        <f t="shared" si="43"/>
        <v>0.2</v>
      </c>
      <c r="P193" s="1619">
        <v>0</v>
      </c>
      <c r="Q193" s="1619">
        <v>0</v>
      </c>
      <c r="R193" s="1600">
        <f t="shared" si="59"/>
        <v>0</v>
      </c>
      <c r="S193" s="1619">
        <v>0</v>
      </c>
      <c r="T193" s="1619">
        <v>0</v>
      </c>
      <c r="U193" s="1600">
        <f t="shared" si="60"/>
        <v>0</v>
      </c>
      <c r="V193" s="1619">
        <v>0</v>
      </c>
      <c r="W193" s="1619">
        <v>0</v>
      </c>
      <c r="X193" s="1423">
        <f t="shared" si="58"/>
        <v>0</v>
      </c>
    </row>
    <row r="194" spans="1:24" ht="58.5" customHeight="1">
      <c r="A194" s="1867">
        <f>A193+1</f>
        <v>88</v>
      </c>
      <c r="B194" s="1915" t="s">
        <v>1655</v>
      </c>
      <c r="C194" s="1866" t="s">
        <v>1544</v>
      </c>
      <c r="D194" s="1600">
        <f t="shared" si="49"/>
        <v>1408.4</v>
      </c>
      <c r="E194" s="1614">
        <v>1323.9</v>
      </c>
      <c r="F194" s="1614">
        <v>84.5</v>
      </c>
      <c r="G194" s="1600">
        <f t="shared" si="55"/>
        <v>1408.4</v>
      </c>
      <c r="H194" s="1614">
        <v>1323.9</v>
      </c>
      <c r="I194" s="1614">
        <v>84.5</v>
      </c>
      <c r="J194" s="1600">
        <f t="shared" si="56"/>
        <v>0</v>
      </c>
      <c r="K194" s="1614"/>
      <c r="L194" s="1614"/>
      <c r="M194" s="1893">
        <f t="shared" si="41"/>
        <v>0</v>
      </c>
      <c r="N194" s="1894">
        <f t="shared" si="42"/>
        <v>0</v>
      </c>
      <c r="O194" s="1894">
        <f t="shared" si="43"/>
        <v>0</v>
      </c>
      <c r="P194" s="1593"/>
      <c r="Q194" s="1593"/>
      <c r="R194" s="1600">
        <f t="shared" si="59"/>
        <v>0</v>
      </c>
      <c r="S194" s="1619">
        <v>0</v>
      </c>
      <c r="T194" s="1619">
        <v>0</v>
      </c>
      <c r="U194" s="1600">
        <f t="shared" si="60"/>
        <v>0</v>
      </c>
      <c r="V194" s="1619">
        <v>0</v>
      </c>
      <c r="W194" s="1619">
        <v>0</v>
      </c>
      <c r="X194" s="1423">
        <f t="shared" si="58"/>
        <v>0</v>
      </c>
    </row>
    <row r="195" spans="1:24" ht="85.5" customHeight="1">
      <c r="A195" s="1867">
        <f>A194+1</f>
        <v>89</v>
      </c>
      <c r="B195" s="1905" t="s">
        <v>1656</v>
      </c>
      <c r="C195" s="1906"/>
      <c r="D195" s="1600">
        <f t="shared" si="49"/>
        <v>35045.9</v>
      </c>
      <c r="E195" s="1609">
        <v>32942.9</v>
      </c>
      <c r="F195" s="1609">
        <v>2103</v>
      </c>
      <c r="G195" s="1600">
        <f t="shared" si="55"/>
        <v>35045.9</v>
      </c>
      <c r="H195" s="1609">
        <v>32942.9</v>
      </c>
      <c r="I195" s="1609">
        <v>2103</v>
      </c>
      <c r="J195" s="1600">
        <f t="shared" si="56"/>
        <v>18.399999999999999</v>
      </c>
      <c r="K195" s="1619">
        <v>17.3</v>
      </c>
      <c r="L195" s="1619">
        <v>1.1000000000000001</v>
      </c>
      <c r="M195" s="1893">
        <f t="shared" si="41"/>
        <v>0.1</v>
      </c>
      <c r="N195" s="1893">
        <f t="shared" si="42"/>
        <v>0.1</v>
      </c>
      <c r="O195" s="1893">
        <f t="shared" si="43"/>
        <v>0.1</v>
      </c>
      <c r="P195" s="1593"/>
      <c r="Q195" s="1593"/>
      <c r="R195" s="1600">
        <f t="shared" si="59"/>
        <v>0</v>
      </c>
      <c r="S195" s="1619">
        <v>0</v>
      </c>
      <c r="T195" s="1619">
        <v>0</v>
      </c>
      <c r="U195" s="1600">
        <f t="shared" si="60"/>
        <v>0</v>
      </c>
      <c r="V195" s="1619">
        <v>0</v>
      </c>
      <c r="W195" s="1619">
        <v>0</v>
      </c>
      <c r="X195" s="1423">
        <f t="shared" si="58"/>
        <v>0</v>
      </c>
    </row>
    <row r="196" spans="1:24" ht="68.25" customHeight="1">
      <c r="A196" s="1867">
        <f>A195+1</f>
        <v>90</v>
      </c>
      <c r="B196" s="1905" t="s">
        <v>1583</v>
      </c>
      <c r="C196" s="1906"/>
      <c r="D196" s="1600">
        <f t="shared" si="49"/>
        <v>9677.2999999999993</v>
      </c>
      <c r="E196" s="1609">
        <f>4321.2+3503+1272.4</f>
        <v>9096.6</v>
      </c>
      <c r="F196" s="1609">
        <f>275.8+223.6+81.3</f>
        <v>580.70000000000005</v>
      </c>
      <c r="G196" s="1600">
        <f t="shared" si="55"/>
        <v>9677.2999999999993</v>
      </c>
      <c r="H196" s="1609">
        <f>4321.2+3503+1272.4</f>
        <v>9096.6</v>
      </c>
      <c r="I196" s="1609">
        <f>275.8+223.6+81.3</f>
        <v>580.70000000000005</v>
      </c>
      <c r="J196" s="1600">
        <f t="shared" si="56"/>
        <v>0</v>
      </c>
      <c r="K196" s="1619"/>
      <c r="L196" s="1619"/>
      <c r="M196" s="1893">
        <f t="shared" si="41"/>
        <v>0</v>
      </c>
      <c r="N196" s="1893">
        <f t="shared" si="42"/>
        <v>0</v>
      </c>
      <c r="O196" s="1893">
        <f t="shared" si="43"/>
        <v>0</v>
      </c>
      <c r="P196" s="1593"/>
      <c r="Q196" s="1593"/>
      <c r="R196" s="1600">
        <f t="shared" si="59"/>
        <v>0</v>
      </c>
      <c r="S196" s="1619">
        <v>0</v>
      </c>
      <c r="T196" s="1619">
        <v>0</v>
      </c>
      <c r="U196" s="1600">
        <f t="shared" si="60"/>
        <v>0</v>
      </c>
      <c r="V196" s="1619">
        <v>0</v>
      </c>
      <c r="W196" s="1619">
        <v>0</v>
      </c>
      <c r="X196" s="1423">
        <f t="shared" si="58"/>
        <v>0</v>
      </c>
    </row>
    <row r="197" spans="1:24" ht="66.75" customHeight="1">
      <c r="A197" s="1867">
        <f t="shared" ref="A197:A210" si="61">A196+1</f>
        <v>91</v>
      </c>
      <c r="B197" s="1905" t="s">
        <v>1585</v>
      </c>
      <c r="C197" s="1906"/>
      <c r="D197" s="1600">
        <f t="shared" si="49"/>
        <v>5026.7</v>
      </c>
      <c r="E197" s="1609">
        <f>3699.2+1025.9</f>
        <v>4725.1000000000004</v>
      </c>
      <c r="F197" s="1609">
        <f>236.1+65.5</f>
        <v>301.60000000000002</v>
      </c>
      <c r="G197" s="1600">
        <f t="shared" si="55"/>
        <v>5026.7</v>
      </c>
      <c r="H197" s="1609">
        <f>3699.2+1025.9</f>
        <v>4725.1000000000004</v>
      </c>
      <c r="I197" s="1609">
        <f>236.1+65.5</f>
        <v>301.60000000000002</v>
      </c>
      <c r="J197" s="1600">
        <f t="shared" si="56"/>
        <v>115.6</v>
      </c>
      <c r="K197" s="1619">
        <v>108.7</v>
      </c>
      <c r="L197" s="1619">
        <v>6.9</v>
      </c>
      <c r="M197" s="1893">
        <f t="shared" si="41"/>
        <v>2.2999999999999998</v>
      </c>
      <c r="N197" s="1893">
        <f t="shared" si="42"/>
        <v>2.2999999999999998</v>
      </c>
      <c r="O197" s="1893">
        <f t="shared" si="43"/>
        <v>2.2999999999999998</v>
      </c>
      <c r="P197" s="1593"/>
      <c r="Q197" s="1593"/>
      <c r="R197" s="1600">
        <f t="shared" si="59"/>
        <v>0</v>
      </c>
      <c r="S197" s="1619">
        <v>0</v>
      </c>
      <c r="T197" s="1619">
        <v>0</v>
      </c>
      <c r="U197" s="1600">
        <f t="shared" si="60"/>
        <v>0</v>
      </c>
      <c r="V197" s="1619">
        <v>0</v>
      </c>
      <c r="W197" s="1619">
        <v>0</v>
      </c>
      <c r="X197" s="1423">
        <f t="shared" si="58"/>
        <v>0</v>
      </c>
    </row>
    <row r="198" spans="1:24" ht="57.75" customHeight="1">
      <c r="A198" s="1867">
        <f t="shared" si="61"/>
        <v>92</v>
      </c>
      <c r="B198" s="1905" t="s">
        <v>1586</v>
      </c>
      <c r="C198" s="1906"/>
      <c r="D198" s="1600">
        <f t="shared" si="49"/>
        <v>1246.9000000000001</v>
      </c>
      <c r="E198" s="1609">
        <f>1153.3+18.8</f>
        <v>1172.0999999999999</v>
      </c>
      <c r="F198" s="1609">
        <f>73.6+1.2</f>
        <v>74.8</v>
      </c>
      <c r="G198" s="1600">
        <f t="shared" si="55"/>
        <v>1246.9000000000001</v>
      </c>
      <c r="H198" s="1609">
        <f>1153.3+18.8</f>
        <v>1172.0999999999999</v>
      </c>
      <c r="I198" s="1609">
        <f>73.6+1.2</f>
        <v>74.8</v>
      </c>
      <c r="J198" s="1600">
        <f t="shared" si="56"/>
        <v>0</v>
      </c>
      <c r="K198" s="1619"/>
      <c r="L198" s="1619"/>
      <c r="M198" s="1893">
        <f t="shared" si="41"/>
        <v>0</v>
      </c>
      <c r="N198" s="1893">
        <f t="shared" si="42"/>
        <v>0</v>
      </c>
      <c r="O198" s="1893">
        <f t="shared" si="43"/>
        <v>0</v>
      </c>
      <c r="P198" s="1593"/>
      <c r="Q198" s="1593"/>
      <c r="R198" s="1600">
        <f t="shared" si="59"/>
        <v>0</v>
      </c>
      <c r="S198" s="1619">
        <v>0</v>
      </c>
      <c r="T198" s="1619">
        <v>0</v>
      </c>
      <c r="U198" s="1600">
        <f t="shared" si="60"/>
        <v>0</v>
      </c>
      <c r="V198" s="1619">
        <v>0</v>
      </c>
      <c r="W198" s="1619">
        <v>0</v>
      </c>
      <c r="X198" s="1423">
        <f t="shared" si="58"/>
        <v>0</v>
      </c>
    </row>
    <row r="199" spans="1:24" ht="81" customHeight="1">
      <c r="A199" s="1867">
        <f t="shared" si="61"/>
        <v>93</v>
      </c>
      <c r="B199" s="1912" t="s">
        <v>1662</v>
      </c>
      <c r="C199" s="1913"/>
      <c r="D199" s="1602">
        <f t="shared" si="49"/>
        <v>21566.9</v>
      </c>
      <c r="E199" s="1616">
        <f>13738.1+5138.2+1396.4</f>
        <v>20272.7</v>
      </c>
      <c r="F199" s="1616">
        <f>877+328+89.2</f>
        <v>1294.2</v>
      </c>
      <c r="G199" s="1602">
        <f t="shared" si="55"/>
        <v>21566.9</v>
      </c>
      <c r="H199" s="1616">
        <f>13738.1+5138.2+1396.4</f>
        <v>20272.7</v>
      </c>
      <c r="I199" s="1616">
        <f>877+328+89.2</f>
        <v>1294.2</v>
      </c>
      <c r="J199" s="1602">
        <f t="shared" si="56"/>
        <v>210.9</v>
      </c>
      <c r="K199" s="1616">
        <v>198.2</v>
      </c>
      <c r="L199" s="1616">
        <v>12.7</v>
      </c>
      <c r="M199" s="1893">
        <f t="shared" si="41"/>
        <v>1</v>
      </c>
      <c r="N199" s="1894">
        <f t="shared" si="42"/>
        <v>1</v>
      </c>
      <c r="O199" s="1894">
        <f t="shared" si="43"/>
        <v>1</v>
      </c>
      <c r="P199" s="1593"/>
      <c r="Q199" s="1593"/>
      <c r="R199" s="1600">
        <f t="shared" si="59"/>
        <v>0</v>
      </c>
      <c r="S199" s="1619">
        <v>0</v>
      </c>
      <c r="T199" s="1619">
        <v>0</v>
      </c>
      <c r="U199" s="1600">
        <f t="shared" si="60"/>
        <v>0</v>
      </c>
      <c r="V199" s="1619">
        <v>0</v>
      </c>
      <c r="W199" s="1619">
        <v>0</v>
      </c>
      <c r="X199" s="1423">
        <f t="shared" si="58"/>
        <v>0</v>
      </c>
    </row>
    <row r="200" spans="1:24" s="484" customFormat="1" ht="93.75" hidden="1">
      <c r="A200" s="1867">
        <f t="shared" si="61"/>
        <v>94</v>
      </c>
      <c r="B200" s="1912" t="s">
        <v>704</v>
      </c>
      <c r="C200" s="1866">
        <v>14092</v>
      </c>
      <c r="D200" s="1600">
        <f t="shared" si="49"/>
        <v>0</v>
      </c>
      <c r="E200" s="1608">
        <v>0</v>
      </c>
      <c r="F200" s="1608">
        <v>0</v>
      </c>
      <c r="G200" s="1600">
        <f t="shared" si="55"/>
        <v>0</v>
      </c>
      <c r="H200" s="1608">
        <v>0</v>
      </c>
      <c r="I200" s="1608">
        <v>0</v>
      </c>
      <c r="J200" s="1600">
        <f t="shared" si="56"/>
        <v>0</v>
      </c>
      <c r="K200" s="1608"/>
      <c r="L200" s="1608"/>
      <c r="M200" s="1893">
        <f t="shared" si="41"/>
        <v>0</v>
      </c>
      <c r="N200" s="1894">
        <f t="shared" si="42"/>
        <v>0</v>
      </c>
      <c r="O200" s="1894">
        <f t="shared" si="43"/>
        <v>0</v>
      </c>
      <c r="P200" s="1593" t="s">
        <v>1291</v>
      </c>
      <c r="Q200" s="1593" t="s">
        <v>1241</v>
      </c>
      <c r="R200" s="1600">
        <f t="shared" si="59"/>
        <v>0</v>
      </c>
      <c r="S200" s="1619">
        <v>0</v>
      </c>
      <c r="T200" s="1619">
        <v>0</v>
      </c>
      <c r="U200" s="1600">
        <f t="shared" si="60"/>
        <v>0</v>
      </c>
      <c r="V200" s="1619">
        <v>0</v>
      </c>
      <c r="W200" s="1619">
        <v>0</v>
      </c>
    </row>
    <row r="201" spans="1:24" s="484" customFormat="1" ht="93.75" hidden="1">
      <c r="A201" s="1867">
        <f t="shared" si="61"/>
        <v>95</v>
      </c>
      <c r="B201" s="1912" t="s">
        <v>703</v>
      </c>
      <c r="C201" s="1913"/>
      <c r="D201" s="1600">
        <f t="shared" si="49"/>
        <v>0</v>
      </c>
      <c r="E201" s="1608">
        <v>0</v>
      </c>
      <c r="F201" s="1608">
        <v>0</v>
      </c>
      <c r="G201" s="1600">
        <f t="shared" si="55"/>
        <v>0</v>
      </c>
      <c r="H201" s="1608">
        <v>0</v>
      </c>
      <c r="I201" s="1608">
        <v>0</v>
      </c>
      <c r="J201" s="1600">
        <f t="shared" si="56"/>
        <v>0</v>
      </c>
      <c r="K201" s="1608"/>
      <c r="L201" s="1608"/>
      <c r="M201" s="1893">
        <f t="shared" si="41"/>
        <v>0</v>
      </c>
      <c r="N201" s="1894">
        <f t="shared" si="42"/>
        <v>0</v>
      </c>
      <c r="O201" s="1894">
        <f t="shared" si="43"/>
        <v>0</v>
      </c>
      <c r="P201" s="1593" t="s">
        <v>1292</v>
      </c>
      <c r="Q201" s="1593" t="s">
        <v>1242</v>
      </c>
      <c r="R201" s="1600">
        <f t="shared" si="59"/>
        <v>0</v>
      </c>
      <c r="S201" s="1619">
        <v>0</v>
      </c>
      <c r="T201" s="1619">
        <v>0</v>
      </c>
      <c r="U201" s="1600">
        <f t="shared" si="60"/>
        <v>0</v>
      </c>
      <c r="V201" s="1619">
        <v>0</v>
      </c>
      <c r="W201" s="1619">
        <v>0</v>
      </c>
    </row>
    <row r="202" spans="1:24" s="484" customFormat="1" ht="65.25" customHeight="1">
      <c r="A202" s="1867">
        <f>A199+1</f>
        <v>94</v>
      </c>
      <c r="B202" s="1920" t="s">
        <v>1437</v>
      </c>
      <c r="C202" s="1913" t="s">
        <v>1544</v>
      </c>
      <c r="D202" s="1600">
        <f t="shared" si="49"/>
        <v>105852.6</v>
      </c>
      <c r="E202" s="1616">
        <f>SUM(E206:E207)</f>
        <v>69668.800000000003</v>
      </c>
      <c r="F202" s="1616">
        <f>SUM(F206:F207)</f>
        <v>36183.800000000003</v>
      </c>
      <c r="G202" s="1600">
        <f t="shared" si="55"/>
        <v>105852.6</v>
      </c>
      <c r="H202" s="1608">
        <f>SUM(H206:H207)</f>
        <v>69668.800000000003</v>
      </c>
      <c r="I202" s="1608">
        <f>SUM(I206:I207)</f>
        <v>36183.800000000003</v>
      </c>
      <c r="J202" s="1600">
        <f t="shared" si="56"/>
        <v>52976.3</v>
      </c>
      <c r="K202" s="1608">
        <f>SUM(K206:K207)</f>
        <v>49797.7</v>
      </c>
      <c r="L202" s="1608">
        <f>SUM(L206:L207)</f>
        <v>3178.6</v>
      </c>
      <c r="M202" s="1893">
        <f t="shared" si="41"/>
        <v>50</v>
      </c>
      <c r="N202" s="1894">
        <f t="shared" si="42"/>
        <v>71.5</v>
      </c>
      <c r="O202" s="1894">
        <f t="shared" si="43"/>
        <v>8.8000000000000007</v>
      </c>
      <c r="P202" s="1593" t="s">
        <v>1293</v>
      </c>
      <c r="Q202" s="1593" t="s">
        <v>1101</v>
      </c>
      <c r="R202" s="1600">
        <f>S202+T202</f>
        <v>0</v>
      </c>
      <c r="S202" s="1608">
        <v>0</v>
      </c>
      <c r="T202" s="1608">
        <v>0</v>
      </c>
      <c r="U202" s="1600">
        <f>V202+W202</f>
        <v>0</v>
      </c>
      <c r="V202" s="1608">
        <v>0</v>
      </c>
      <c r="W202" s="1608">
        <v>0</v>
      </c>
      <c r="X202" s="1423">
        <f>D202-G202</f>
        <v>0</v>
      </c>
    </row>
    <row r="203" spans="1:24" s="484" customFormat="1" ht="107.25" hidden="1" customHeight="1">
      <c r="A203" s="1867">
        <f t="shared" si="61"/>
        <v>95</v>
      </c>
      <c r="B203" s="1883" t="s">
        <v>1438</v>
      </c>
      <c r="C203" s="1913"/>
      <c r="D203" s="1600">
        <f t="shared" si="49"/>
        <v>0</v>
      </c>
      <c r="E203" s="1608"/>
      <c r="F203" s="1608"/>
      <c r="G203" s="1600">
        <f t="shared" si="55"/>
        <v>0</v>
      </c>
      <c r="H203" s="1608"/>
      <c r="I203" s="1608"/>
      <c r="J203" s="1600">
        <f t="shared" si="56"/>
        <v>0</v>
      </c>
      <c r="K203" s="1608"/>
      <c r="L203" s="1608"/>
      <c r="M203" s="1893">
        <f t="shared" si="41"/>
        <v>0</v>
      </c>
      <c r="N203" s="1894">
        <f t="shared" si="42"/>
        <v>0</v>
      </c>
      <c r="O203" s="1894">
        <f t="shared" si="43"/>
        <v>0</v>
      </c>
      <c r="P203" s="1593" t="s">
        <v>1192</v>
      </c>
      <c r="Q203" s="1593" t="s">
        <v>1243</v>
      </c>
      <c r="R203" s="1600">
        <f>S203+T203</f>
        <v>0</v>
      </c>
      <c r="S203" s="1608">
        <v>0</v>
      </c>
      <c r="T203" s="1608">
        <v>0</v>
      </c>
      <c r="U203" s="1600">
        <f>V203+W203</f>
        <v>0</v>
      </c>
      <c r="V203" s="1608">
        <v>0</v>
      </c>
      <c r="W203" s="1608">
        <v>0</v>
      </c>
    </row>
    <row r="204" spans="1:24" s="484" customFormat="1" ht="97.5" hidden="1" customHeight="1">
      <c r="A204" s="1867">
        <f t="shared" si="61"/>
        <v>96</v>
      </c>
      <c r="B204" s="1883" t="s">
        <v>1439</v>
      </c>
      <c r="C204" s="1913"/>
      <c r="D204" s="1600">
        <f t="shared" si="49"/>
        <v>0</v>
      </c>
      <c r="E204" s="1608"/>
      <c r="F204" s="1608"/>
      <c r="G204" s="1600">
        <f t="shared" si="55"/>
        <v>0</v>
      </c>
      <c r="H204" s="1608"/>
      <c r="I204" s="1608"/>
      <c r="J204" s="1600">
        <f t="shared" si="56"/>
        <v>0</v>
      </c>
      <c r="K204" s="1608"/>
      <c r="L204" s="1608"/>
      <c r="M204" s="1893">
        <f t="shared" si="41"/>
        <v>0</v>
      </c>
      <c r="N204" s="1894">
        <f t="shared" si="42"/>
        <v>0</v>
      </c>
      <c r="O204" s="1894">
        <f t="shared" si="43"/>
        <v>0</v>
      </c>
      <c r="P204" s="1593" t="s">
        <v>1294</v>
      </c>
      <c r="Q204" s="1593" t="s">
        <v>1244</v>
      </c>
      <c r="R204" s="1600">
        <f>S204+T204</f>
        <v>0</v>
      </c>
      <c r="S204" s="1608">
        <v>0</v>
      </c>
      <c r="T204" s="1608">
        <v>0</v>
      </c>
      <c r="U204" s="1600">
        <f>V204+W204</f>
        <v>0</v>
      </c>
      <c r="V204" s="1608">
        <v>0</v>
      </c>
      <c r="W204" s="1608">
        <v>0</v>
      </c>
    </row>
    <row r="205" spans="1:24" s="484" customFormat="1" ht="63" hidden="1" customHeight="1">
      <c r="A205" s="1867">
        <f t="shared" si="61"/>
        <v>97</v>
      </c>
      <c r="B205" s="1883" t="s">
        <v>1440</v>
      </c>
      <c r="C205" s="1913"/>
      <c r="D205" s="1600">
        <f>SUM(E205:F205)</f>
        <v>0</v>
      </c>
      <c r="E205" s="1608"/>
      <c r="F205" s="1608"/>
      <c r="G205" s="1600">
        <f t="shared" si="55"/>
        <v>0</v>
      </c>
      <c r="H205" s="1608"/>
      <c r="I205" s="1608"/>
      <c r="J205" s="1600">
        <f t="shared" ref="J205:J244" si="62">SUM(K205:L205)</f>
        <v>0</v>
      </c>
      <c r="K205" s="1608"/>
      <c r="L205" s="1608"/>
      <c r="M205" s="1921">
        <f t="shared" ref="M205:M268" si="63">IF(J205=0,0,J205/G205*100)</f>
        <v>0</v>
      </c>
      <c r="N205" s="1922">
        <f t="shared" ref="N205:N268" si="64">IF(K205=0,0,K205/H205*100)</f>
        <v>0</v>
      </c>
      <c r="O205" s="1922">
        <f t="shared" ref="O205:O268" si="65">IF(L205=0,0,L205/I205*100)</f>
        <v>0</v>
      </c>
      <c r="P205" s="1593" t="s">
        <v>1192</v>
      </c>
      <c r="Q205" s="1593" t="s">
        <v>1219</v>
      </c>
      <c r="R205" s="1600">
        <f>S205+T205</f>
        <v>0</v>
      </c>
      <c r="S205" s="1608">
        <v>0</v>
      </c>
      <c r="T205" s="1608">
        <v>0</v>
      </c>
      <c r="U205" s="1600">
        <f>V205+W205</f>
        <v>0</v>
      </c>
      <c r="V205" s="1608">
        <v>0</v>
      </c>
      <c r="W205" s="1608">
        <v>0</v>
      </c>
    </row>
    <row r="206" spans="1:24" s="484" customFormat="1" ht="23.25">
      <c r="A206" s="1867"/>
      <c r="B206" s="1619" t="s">
        <v>1620</v>
      </c>
      <c r="C206" s="1913"/>
      <c r="D206" s="1600">
        <f t="shared" si="49"/>
        <v>74115.8</v>
      </c>
      <c r="E206" s="1608">
        <v>69668.800000000003</v>
      </c>
      <c r="F206" s="1608">
        <f>4447</f>
        <v>4447</v>
      </c>
      <c r="G206" s="1600">
        <f t="shared" si="55"/>
        <v>74115.8</v>
      </c>
      <c r="H206" s="1608">
        <v>69668.800000000003</v>
      </c>
      <c r="I206" s="1608">
        <f>4447</f>
        <v>4447</v>
      </c>
      <c r="J206" s="1600">
        <f t="shared" si="62"/>
        <v>52976.3</v>
      </c>
      <c r="K206" s="1608">
        <v>49797.7</v>
      </c>
      <c r="L206" s="1608">
        <v>3178.6</v>
      </c>
      <c r="M206" s="1921">
        <f t="shared" si="63"/>
        <v>71.5</v>
      </c>
      <c r="N206" s="1922">
        <f t="shared" si="64"/>
        <v>71.5</v>
      </c>
      <c r="O206" s="1922">
        <f t="shared" si="65"/>
        <v>71.5</v>
      </c>
      <c r="P206" s="1593"/>
      <c r="Q206" s="1593"/>
      <c r="R206" s="1600">
        <f t="shared" ref="R206:R211" si="66">S206+T206</f>
        <v>0</v>
      </c>
      <c r="S206" s="1608">
        <v>0</v>
      </c>
      <c r="T206" s="1608">
        <v>0</v>
      </c>
      <c r="U206" s="1600">
        <f t="shared" ref="U206:U245" si="67">V206+W206</f>
        <v>0</v>
      </c>
      <c r="V206" s="1608">
        <v>0</v>
      </c>
      <c r="W206" s="1608">
        <v>0</v>
      </c>
      <c r="X206" s="1423">
        <f>D206-G206</f>
        <v>0</v>
      </c>
    </row>
    <row r="207" spans="1:24" s="484" customFormat="1" ht="23.25">
      <c r="A207" s="1867"/>
      <c r="B207" s="1619" t="s">
        <v>1621</v>
      </c>
      <c r="C207" s="1913"/>
      <c r="D207" s="1600">
        <f t="shared" si="49"/>
        <v>31736.799999999999</v>
      </c>
      <c r="E207" s="1608"/>
      <c r="F207" s="1608">
        <f>31736.8</f>
        <v>31736.799999999999</v>
      </c>
      <c r="G207" s="1600">
        <f t="shared" si="55"/>
        <v>31736.799999999999</v>
      </c>
      <c r="H207" s="1608"/>
      <c r="I207" s="1608">
        <f>31736.8</f>
        <v>31736.799999999999</v>
      </c>
      <c r="J207" s="1600">
        <f t="shared" si="62"/>
        <v>0</v>
      </c>
      <c r="K207" s="1608"/>
      <c r="L207" s="1608"/>
      <c r="M207" s="1921">
        <f t="shared" si="63"/>
        <v>0</v>
      </c>
      <c r="N207" s="1922">
        <f t="shared" si="64"/>
        <v>0</v>
      </c>
      <c r="O207" s="1922">
        <f t="shared" si="65"/>
        <v>0</v>
      </c>
      <c r="P207" s="1593"/>
      <c r="Q207" s="1593"/>
      <c r="R207" s="1600">
        <f t="shared" si="66"/>
        <v>0</v>
      </c>
      <c r="S207" s="1608">
        <v>0</v>
      </c>
      <c r="T207" s="1608">
        <v>0</v>
      </c>
      <c r="U207" s="1600">
        <f t="shared" si="67"/>
        <v>0</v>
      </c>
      <c r="V207" s="1608">
        <v>0</v>
      </c>
      <c r="W207" s="1608">
        <v>0</v>
      </c>
      <c r="X207" s="1423">
        <f>D207-G207</f>
        <v>0</v>
      </c>
    </row>
    <row r="208" spans="1:24" ht="62.25" customHeight="1">
      <c r="A208" s="1867">
        <f>A202+1</f>
        <v>95</v>
      </c>
      <c r="B208" s="1912" t="s">
        <v>1441</v>
      </c>
      <c r="C208" s="1913" t="s">
        <v>1544</v>
      </c>
      <c r="D208" s="1600">
        <f t="shared" si="49"/>
        <v>18702.400000000001</v>
      </c>
      <c r="E208" s="1616">
        <v>17580.099999999999</v>
      </c>
      <c r="F208" s="1616">
        <v>1122.3</v>
      </c>
      <c r="G208" s="1600">
        <f t="shared" si="55"/>
        <v>18702.400000000001</v>
      </c>
      <c r="H208" s="1616">
        <v>17580.099999999999</v>
      </c>
      <c r="I208" s="1616">
        <v>1122.3</v>
      </c>
      <c r="J208" s="1600">
        <f t="shared" si="62"/>
        <v>14.5</v>
      </c>
      <c r="K208" s="1608">
        <v>13.6</v>
      </c>
      <c r="L208" s="1608">
        <v>0.9</v>
      </c>
      <c r="M208" s="1893">
        <f t="shared" si="63"/>
        <v>0.1</v>
      </c>
      <c r="N208" s="1894">
        <f t="shared" si="64"/>
        <v>0.1</v>
      </c>
      <c r="O208" s="1894">
        <f t="shared" si="65"/>
        <v>0.1</v>
      </c>
      <c r="P208" s="1593" t="s">
        <v>1192</v>
      </c>
      <c r="Q208" s="1593" t="s">
        <v>1663</v>
      </c>
      <c r="R208" s="1600">
        <f t="shared" si="66"/>
        <v>0</v>
      </c>
      <c r="S208" s="1614">
        <v>0</v>
      </c>
      <c r="T208" s="1614">
        <v>0</v>
      </c>
      <c r="U208" s="1600">
        <f t="shared" si="67"/>
        <v>0</v>
      </c>
      <c r="V208" s="1614">
        <v>0</v>
      </c>
      <c r="W208" s="1614">
        <v>0</v>
      </c>
      <c r="X208" s="1423">
        <f>D208-G208</f>
        <v>0</v>
      </c>
    </row>
    <row r="209" spans="1:24" ht="58.5" customHeight="1">
      <c r="A209" s="1867">
        <f t="shared" si="61"/>
        <v>96</v>
      </c>
      <c r="B209" s="1912" t="s">
        <v>1442</v>
      </c>
      <c r="C209" s="1913" t="s">
        <v>1544</v>
      </c>
      <c r="D209" s="1600">
        <f t="shared" si="49"/>
        <v>14406.9</v>
      </c>
      <c r="E209" s="1616">
        <f>12178.9+1363.5</f>
        <v>13542.4</v>
      </c>
      <c r="F209" s="1616">
        <f>777.4+87.1</f>
        <v>864.5</v>
      </c>
      <c r="G209" s="1600">
        <f t="shared" si="55"/>
        <v>14406.9</v>
      </c>
      <c r="H209" s="1616">
        <f>12178.9+1363.5</f>
        <v>13542.4</v>
      </c>
      <c r="I209" s="1616">
        <f>777.4+87.1</f>
        <v>864.5</v>
      </c>
      <c r="J209" s="1600">
        <f t="shared" si="62"/>
        <v>3521.2</v>
      </c>
      <c r="K209" s="1608">
        <v>3309.9</v>
      </c>
      <c r="L209" s="1608">
        <v>211.3</v>
      </c>
      <c r="M209" s="1893">
        <f t="shared" si="63"/>
        <v>24.4</v>
      </c>
      <c r="N209" s="1894">
        <f t="shared" si="64"/>
        <v>24.4</v>
      </c>
      <c r="O209" s="1894">
        <f t="shared" si="65"/>
        <v>24.4</v>
      </c>
      <c r="P209" s="1593" t="s">
        <v>1285</v>
      </c>
      <c r="Q209" s="1593" t="s">
        <v>1252</v>
      </c>
      <c r="R209" s="1600">
        <f t="shared" si="66"/>
        <v>0</v>
      </c>
      <c r="S209" s="1614">
        <v>0</v>
      </c>
      <c r="T209" s="1614">
        <v>0</v>
      </c>
      <c r="U209" s="1600">
        <f t="shared" si="67"/>
        <v>0</v>
      </c>
      <c r="V209" s="1614">
        <v>0</v>
      </c>
      <c r="W209" s="1614">
        <v>0</v>
      </c>
      <c r="X209" s="1423">
        <f>D209-G209</f>
        <v>0</v>
      </c>
    </row>
    <row r="210" spans="1:24" ht="23.25" customHeight="1">
      <c r="A210" s="1867">
        <f t="shared" si="61"/>
        <v>97</v>
      </c>
      <c r="B210" s="1883" t="s">
        <v>1587</v>
      </c>
      <c r="C210" s="1880"/>
      <c r="D210" s="1600">
        <f t="shared" si="49"/>
        <v>37898.1</v>
      </c>
      <c r="E210" s="1616">
        <f>E212+E213</f>
        <v>2403.9</v>
      </c>
      <c r="F210" s="1616">
        <f>F212+F213</f>
        <v>35494.199999999997</v>
      </c>
      <c r="G210" s="1600">
        <f t="shared" si="55"/>
        <v>37898.1</v>
      </c>
      <c r="H210" s="1608">
        <f>H212+H213</f>
        <v>2403.9</v>
      </c>
      <c r="I210" s="1608">
        <f>I212+I213</f>
        <v>35494.199999999997</v>
      </c>
      <c r="J210" s="1600">
        <f t="shared" si="62"/>
        <v>0</v>
      </c>
      <c r="K210" s="1608">
        <f>K212+K213</f>
        <v>0</v>
      </c>
      <c r="L210" s="1608">
        <f>L212+L213</f>
        <v>0</v>
      </c>
      <c r="M210" s="1604">
        <f t="shared" si="63"/>
        <v>0</v>
      </c>
      <c r="N210" s="1881">
        <f t="shared" si="64"/>
        <v>0</v>
      </c>
      <c r="O210" s="1881">
        <f t="shared" si="65"/>
        <v>0</v>
      </c>
      <c r="P210" s="1593"/>
      <c r="Q210" s="1593"/>
      <c r="R210" s="1600">
        <f t="shared" si="66"/>
        <v>0</v>
      </c>
      <c r="S210" s="1614">
        <v>0</v>
      </c>
      <c r="T210" s="1614">
        <v>0</v>
      </c>
      <c r="U210" s="1600">
        <f t="shared" si="67"/>
        <v>0</v>
      </c>
      <c r="V210" s="1614">
        <v>0</v>
      </c>
      <c r="W210" s="1614">
        <v>0</v>
      </c>
      <c r="X210" s="1423">
        <f>D210-G210</f>
        <v>0</v>
      </c>
    </row>
    <row r="211" spans="1:24" ht="112.5" hidden="1">
      <c r="A211" s="1867">
        <v>98</v>
      </c>
      <c r="B211" s="1890" t="s">
        <v>1456</v>
      </c>
      <c r="C211" s="1880"/>
      <c r="D211" s="1600">
        <f t="shared" si="49"/>
        <v>0</v>
      </c>
      <c r="E211" s="1608">
        <v>0</v>
      </c>
      <c r="F211" s="1608">
        <v>0</v>
      </c>
      <c r="G211" s="1600">
        <f t="shared" si="55"/>
        <v>0</v>
      </c>
      <c r="H211" s="1608">
        <v>0</v>
      </c>
      <c r="I211" s="1608">
        <v>0</v>
      </c>
      <c r="J211" s="1600">
        <f t="shared" si="62"/>
        <v>0</v>
      </c>
      <c r="K211" s="1608"/>
      <c r="L211" s="1608"/>
      <c r="M211" s="1604">
        <f t="shared" si="63"/>
        <v>0</v>
      </c>
      <c r="N211" s="1881">
        <f t="shared" si="64"/>
        <v>0</v>
      </c>
      <c r="O211" s="1881">
        <f t="shared" si="65"/>
        <v>0</v>
      </c>
      <c r="P211" s="1593" t="s">
        <v>1290</v>
      </c>
      <c r="Q211" s="1593" t="s">
        <v>1240</v>
      </c>
      <c r="R211" s="1600">
        <f t="shared" si="66"/>
        <v>0</v>
      </c>
      <c r="S211" s="1608">
        <v>0</v>
      </c>
      <c r="T211" s="1608">
        <v>0</v>
      </c>
      <c r="U211" s="1600">
        <f t="shared" si="67"/>
        <v>0</v>
      </c>
      <c r="V211" s="1608">
        <v>0</v>
      </c>
      <c r="W211" s="1608">
        <v>0</v>
      </c>
    </row>
    <row r="212" spans="1:24" ht="23.25">
      <c r="A212" s="2004"/>
      <c r="B212" s="1619" t="s">
        <v>1620</v>
      </c>
      <c r="C212" s="1880"/>
      <c r="D212" s="1600">
        <f>SUM(E212:F212)</f>
        <v>2557.4</v>
      </c>
      <c r="E212" s="1616">
        <v>2403.9</v>
      </c>
      <c r="F212" s="1616">
        <v>153.5</v>
      </c>
      <c r="G212" s="1600">
        <f>SUM(H212:I212)</f>
        <v>2557.4</v>
      </c>
      <c r="H212" s="1616">
        <v>2403.9</v>
      </c>
      <c r="I212" s="1616">
        <v>153.5</v>
      </c>
      <c r="J212" s="1600">
        <f>SUM(K212:L212)</f>
        <v>0</v>
      </c>
      <c r="K212" s="1608">
        <v>0</v>
      </c>
      <c r="L212" s="1608">
        <v>0</v>
      </c>
      <c r="M212" s="1604">
        <f t="shared" si="63"/>
        <v>0</v>
      </c>
      <c r="N212" s="1881">
        <f t="shared" si="64"/>
        <v>0</v>
      </c>
      <c r="O212" s="1881">
        <f t="shared" si="65"/>
        <v>0</v>
      </c>
      <c r="P212" s="1593"/>
      <c r="Q212" s="1593"/>
      <c r="R212" s="1600"/>
      <c r="S212" s="1608"/>
      <c r="T212" s="1608"/>
      <c r="U212" s="1600"/>
      <c r="V212" s="1608"/>
      <c r="W212" s="1608"/>
      <c r="X212" s="1423">
        <f t="shared" ref="X212:X225" si="68">D212-G212</f>
        <v>0</v>
      </c>
    </row>
    <row r="213" spans="1:24" s="484" customFormat="1" ht="23.25">
      <c r="A213" s="1867"/>
      <c r="B213" s="1619" t="s">
        <v>1621</v>
      </c>
      <c r="C213" s="1906"/>
      <c r="D213" s="1600">
        <f t="shared" si="49"/>
        <v>35340.699999999997</v>
      </c>
      <c r="E213" s="1616"/>
      <c r="F213" s="1616">
        <v>35340.699999999997</v>
      </c>
      <c r="G213" s="1600">
        <f t="shared" si="55"/>
        <v>35340.699999999997</v>
      </c>
      <c r="H213" s="1608"/>
      <c r="I213" s="1608">
        <v>35340.699999999997</v>
      </c>
      <c r="J213" s="1600">
        <f t="shared" si="62"/>
        <v>0</v>
      </c>
      <c r="K213" s="1608"/>
      <c r="L213" s="1608"/>
      <c r="M213" s="1604">
        <f t="shared" si="63"/>
        <v>0</v>
      </c>
      <c r="N213" s="1907">
        <f t="shared" si="64"/>
        <v>0</v>
      </c>
      <c r="O213" s="1907">
        <f t="shared" si="65"/>
        <v>0</v>
      </c>
      <c r="P213" s="1593"/>
      <c r="Q213" s="1593"/>
      <c r="R213" s="1600">
        <f t="shared" ref="R213:R245" si="69">S213+T213</f>
        <v>0</v>
      </c>
      <c r="S213" s="1608">
        <v>0</v>
      </c>
      <c r="T213" s="1608">
        <v>0</v>
      </c>
      <c r="U213" s="1600">
        <f t="shared" si="67"/>
        <v>0</v>
      </c>
      <c r="V213" s="1608">
        <v>0</v>
      </c>
      <c r="W213" s="1608">
        <v>0</v>
      </c>
      <c r="X213" s="1423">
        <f t="shared" si="68"/>
        <v>0</v>
      </c>
    </row>
    <row r="214" spans="1:24" s="484" customFormat="1" ht="46.5" customHeight="1">
      <c r="A214" s="2002">
        <v>98</v>
      </c>
      <c r="B214" s="1905" t="s">
        <v>1591</v>
      </c>
      <c r="C214" s="1906"/>
      <c r="D214" s="1600">
        <f>SUM(E214:F214)</f>
        <v>314.10000000000002</v>
      </c>
      <c r="E214" s="1608">
        <f>E215+E216</f>
        <v>147.6</v>
      </c>
      <c r="F214" s="1608">
        <f>F215+F216</f>
        <v>166.5</v>
      </c>
      <c r="G214" s="1600">
        <f>SUM(H214:I214)</f>
        <v>314.10000000000002</v>
      </c>
      <c r="H214" s="1608">
        <f>H215+H216</f>
        <v>147.6</v>
      </c>
      <c r="I214" s="1608">
        <f>I215+I216</f>
        <v>166.5</v>
      </c>
      <c r="J214" s="1600">
        <f>SUM(K214:L214)</f>
        <v>0</v>
      </c>
      <c r="K214" s="1608">
        <f>K215+K216</f>
        <v>0</v>
      </c>
      <c r="L214" s="1608">
        <f>L215+L216</f>
        <v>0</v>
      </c>
      <c r="M214" s="1604">
        <f t="shared" si="63"/>
        <v>0</v>
      </c>
      <c r="N214" s="1881">
        <f t="shared" si="64"/>
        <v>0</v>
      </c>
      <c r="O214" s="1881">
        <f t="shared" si="65"/>
        <v>0</v>
      </c>
      <c r="P214" s="1593"/>
      <c r="Q214" s="1593"/>
      <c r="R214" s="1600"/>
      <c r="S214" s="1608"/>
      <c r="T214" s="1608"/>
      <c r="U214" s="1600"/>
      <c r="V214" s="1608"/>
      <c r="W214" s="1608"/>
      <c r="X214" s="1423">
        <f t="shared" si="68"/>
        <v>0</v>
      </c>
    </row>
    <row r="215" spans="1:24" s="484" customFormat="1" ht="24" customHeight="1">
      <c r="A215" s="2013"/>
      <c r="B215" s="1619" t="s">
        <v>1620</v>
      </c>
      <c r="C215" s="1906"/>
      <c r="D215" s="1600">
        <f>SUM(E215:F215)</f>
        <v>157.1</v>
      </c>
      <c r="E215" s="1608">
        <v>147.6</v>
      </c>
      <c r="F215" s="1608">
        <v>9.5</v>
      </c>
      <c r="G215" s="1600">
        <f>SUM(H215:I215)</f>
        <v>157.1</v>
      </c>
      <c r="H215" s="1608">
        <f>E215</f>
        <v>147.6</v>
      </c>
      <c r="I215" s="1608">
        <v>9.5</v>
      </c>
      <c r="J215" s="1600">
        <f>SUM(K215:L215)</f>
        <v>0</v>
      </c>
      <c r="K215" s="1608"/>
      <c r="L215" s="1608"/>
      <c r="M215" s="1604">
        <f t="shared" si="63"/>
        <v>0</v>
      </c>
      <c r="N215" s="1881">
        <f t="shared" si="64"/>
        <v>0</v>
      </c>
      <c r="O215" s="1881">
        <f t="shared" si="65"/>
        <v>0</v>
      </c>
      <c r="P215" s="1593"/>
      <c r="Q215" s="1593"/>
      <c r="R215" s="1600"/>
      <c r="S215" s="1608"/>
      <c r="T215" s="1608"/>
      <c r="U215" s="1600"/>
      <c r="V215" s="1608"/>
      <c r="W215" s="1608"/>
      <c r="X215" s="1423">
        <f t="shared" si="68"/>
        <v>0</v>
      </c>
    </row>
    <row r="216" spans="1:24" s="484" customFormat="1" ht="27" customHeight="1">
      <c r="A216" s="2013"/>
      <c r="B216" s="1619" t="s">
        <v>1621</v>
      </c>
      <c r="C216" s="1906"/>
      <c r="D216" s="1600">
        <f>SUM(E216:F216)</f>
        <v>157</v>
      </c>
      <c r="E216" s="1608">
        <v>0</v>
      </c>
      <c r="F216" s="1608">
        <v>157</v>
      </c>
      <c r="G216" s="1600">
        <f>SUM(H216:I216)</f>
        <v>157</v>
      </c>
      <c r="H216" s="1608">
        <v>0</v>
      </c>
      <c r="I216" s="1608">
        <f>F216</f>
        <v>157</v>
      </c>
      <c r="J216" s="1600">
        <f>SUM(K216:L216)</f>
        <v>0</v>
      </c>
      <c r="K216" s="1608"/>
      <c r="L216" s="1608"/>
      <c r="M216" s="1604">
        <f t="shared" si="63"/>
        <v>0</v>
      </c>
      <c r="N216" s="1881">
        <f t="shared" si="64"/>
        <v>0</v>
      </c>
      <c r="O216" s="1881">
        <f t="shared" si="65"/>
        <v>0</v>
      </c>
      <c r="P216" s="1593"/>
      <c r="Q216" s="1593"/>
      <c r="R216" s="1600"/>
      <c r="S216" s="1608"/>
      <c r="T216" s="1608"/>
      <c r="U216" s="1600"/>
      <c r="V216" s="1608"/>
      <c r="W216" s="1608"/>
      <c r="X216" s="1423">
        <f t="shared" si="68"/>
        <v>0</v>
      </c>
    </row>
    <row r="217" spans="1:24" s="1607" customFormat="1" ht="61.5" customHeight="1">
      <c r="A217" s="1867">
        <v>99</v>
      </c>
      <c r="B217" s="1914" t="s">
        <v>1600</v>
      </c>
      <c r="C217" s="1867"/>
      <c r="D217" s="1600">
        <f t="shared" si="49"/>
        <v>13576</v>
      </c>
      <c r="E217" s="1608">
        <v>12757.3</v>
      </c>
      <c r="F217" s="1608">
        <v>818.7</v>
      </c>
      <c r="G217" s="1600">
        <f t="shared" si="55"/>
        <v>13576</v>
      </c>
      <c r="H217" s="1608">
        <v>12757.3</v>
      </c>
      <c r="I217" s="1608">
        <v>818.7</v>
      </c>
      <c r="J217" s="1600">
        <f t="shared" si="62"/>
        <v>0</v>
      </c>
      <c r="K217" s="1608"/>
      <c r="L217" s="1608"/>
      <c r="M217" s="1604">
        <f t="shared" si="63"/>
        <v>0</v>
      </c>
      <c r="N217" s="1881">
        <f t="shared" si="64"/>
        <v>0</v>
      </c>
      <c r="O217" s="1881">
        <f t="shared" si="65"/>
        <v>0</v>
      </c>
      <c r="P217" s="1593"/>
      <c r="Q217" s="1593"/>
      <c r="R217" s="1600">
        <f t="shared" si="69"/>
        <v>0</v>
      </c>
      <c r="S217" s="1608">
        <v>0</v>
      </c>
      <c r="T217" s="1608">
        <v>0</v>
      </c>
      <c r="U217" s="1600">
        <f t="shared" si="67"/>
        <v>0</v>
      </c>
      <c r="V217" s="1608">
        <v>0</v>
      </c>
      <c r="W217" s="1608">
        <v>0</v>
      </c>
      <c r="X217" s="1423">
        <f t="shared" si="68"/>
        <v>0</v>
      </c>
    </row>
    <row r="218" spans="1:24" s="484" customFormat="1" ht="54" customHeight="1">
      <c r="A218" s="1867">
        <f>A217+1</f>
        <v>100</v>
      </c>
      <c r="B218" s="1914" t="s">
        <v>776</v>
      </c>
      <c r="C218" s="1866" t="s">
        <v>1545</v>
      </c>
      <c r="D218" s="1600">
        <f t="shared" si="49"/>
        <v>179059.7</v>
      </c>
      <c r="E218" s="1614">
        <f>E219+E220</f>
        <v>166418.20000000001</v>
      </c>
      <c r="F218" s="1614">
        <f>F219+F220</f>
        <v>12641.5</v>
      </c>
      <c r="G218" s="1600">
        <f t="shared" si="55"/>
        <v>179059.7</v>
      </c>
      <c r="H218" s="1614">
        <f>H219+H220</f>
        <v>166418.20000000001</v>
      </c>
      <c r="I218" s="1614">
        <f>I219+I220</f>
        <v>12641.5</v>
      </c>
      <c r="J218" s="1600">
        <f t="shared" si="62"/>
        <v>35352.699999999997</v>
      </c>
      <c r="K218" s="1614">
        <f>K219+K220</f>
        <v>33231.5</v>
      </c>
      <c r="L218" s="1614">
        <f>L219+L220</f>
        <v>2121.1999999999998</v>
      </c>
      <c r="M218" s="1893">
        <f t="shared" si="63"/>
        <v>19.7</v>
      </c>
      <c r="N218" s="1894">
        <f t="shared" si="64"/>
        <v>20</v>
      </c>
      <c r="O218" s="1894">
        <f t="shared" si="65"/>
        <v>16.8</v>
      </c>
      <c r="P218" s="1593" t="s">
        <v>1272</v>
      </c>
      <c r="Q218" s="1593" t="s">
        <v>1273</v>
      </c>
      <c r="R218" s="1600">
        <f t="shared" si="69"/>
        <v>0</v>
      </c>
      <c r="S218" s="1608">
        <v>0</v>
      </c>
      <c r="T218" s="1608">
        <v>0</v>
      </c>
      <c r="U218" s="1600">
        <f t="shared" si="67"/>
        <v>0</v>
      </c>
      <c r="V218" s="1608">
        <v>0</v>
      </c>
      <c r="W218" s="1608">
        <v>0</v>
      </c>
      <c r="X218" s="1423">
        <f t="shared" si="68"/>
        <v>0</v>
      </c>
    </row>
    <row r="219" spans="1:24" s="484" customFormat="1" ht="28.5" customHeight="1">
      <c r="A219" s="2013"/>
      <c r="B219" s="1619" t="s">
        <v>1620</v>
      </c>
      <c r="C219" s="1866"/>
      <c r="D219" s="1600">
        <f>SUM(E219:F219)</f>
        <v>177040.7</v>
      </c>
      <c r="E219" s="1614">
        <v>166418.20000000001</v>
      </c>
      <c r="F219" s="1614">
        <v>10622.5</v>
      </c>
      <c r="G219" s="1600">
        <f>SUM(H219:I219)</f>
        <v>177040.7</v>
      </c>
      <c r="H219" s="1614">
        <v>166418.20000000001</v>
      </c>
      <c r="I219" s="1614">
        <v>10622.5</v>
      </c>
      <c r="J219" s="1600">
        <f>SUM(K219:L219)</f>
        <v>35352.699999999997</v>
      </c>
      <c r="K219" s="1614">
        <v>33231.5</v>
      </c>
      <c r="L219" s="1614">
        <v>2121.1999999999998</v>
      </c>
      <c r="M219" s="1893">
        <f t="shared" si="63"/>
        <v>20</v>
      </c>
      <c r="N219" s="1894">
        <f t="shared" si="64"/>
        <v>20</v>
      </c>
      <c r="O219" s="1894">
        <f t="shared" si="65"/>
        <v>20</v>
      </c>
      <c r="P219" s="1593"/>
      <c r="Q219" s="1593"/>
      <c r="R219" s="1600"/>
      <c r="S219" s="1608"/>
      <c r="T219" s="1608"/>
      <c r="U219" s="1600"/>
      <c r="V219" s="1608"/>
      <c r="W219" s="1608"/>
      <c r="X219" s="1423">
        <f t="shared" si="68"/>
        <v>0</v>
      </c>
    </row>
    <row r="220" spans="1:24" s="484" customFormat="1" ht="29.25" customHeight="1">
      <c r="A220" s="2013"/>
      <c r="B220" s="1619" t="s">
        <v>1621</v>
      </c>
      <c r="C220" s="1866"/>
      <c r="D220" s="1600">
        <f>SUM(E220:F220)</f>
        <v>2019</v>
      </c>
      <c r="E220" s="1608">
        <v>0</v>
      </c>
      <c r="F220" s="1608">
        <v>2019</v>
      </c>
      <c r="G220" s="1600">
        <f>SUM(H220:I220)</f>
        <v>2019</v>
      </c>
      <c r="H220" s="1608">
        <v>0</v>
      </c>
      <c r="I220" s="1608">
        <f>F220</f>
        <v>2019</v>
      </c>
      <c r="J220" s="1600">
        <f>SUM(K220:L220)</f>
        <v>0</v>
      </c>
      <c r="K220" s="1608"/>
      <c r="L220" s="1608"/>
      <c r="M220" s="1604">
        <f t="shared" si="63"/>
        <v>0</v>
      </c>
      <c r="N220" s="1881">
        <f t="shared" si="64"/>
        <v>0</v>
      </c>
      <c r="O220" s="1881">
        <f t="shared" si="65"/>
        <v>0</v>
      </c>
      <c r="P220" s="1593"/>
      <c r="Q220" s="1593"/>
      <c r="R220" s="1600"/>
      <c r="S220" s="1608"/>
      <c r="T220" s="1608"/>
      <c r="U220" s="1600"/>
      <c r="V220" s="1608"/>
      <c r="W220" s="1608"/>
      <c r="X220" s="1423">
        <f t="shared" si="68"/>
        <v>0</v>
      </c>
    </row>
    <row r="221" spans="1:24" ht="50.25" customHeight="1">
      <c r="A221" s="1867">
        <f>A218+1</f>
        <v>101</v>
      </c>
      <c r="B221" s="1888" t="s">
        <v>1595</v>
      </c>
      <c r="C221" s="1866"/>
      <c r="D221" s="1600">
        <f t="shared" si="49"/>
        <v>10217.700000000001</v>
      </c>
      <c r="E221" s="1614">
        <v>9604.6</v>
      </c>
      <c r="F221" s="1614">
        <v>613.1</v>
      </c>
      <c r="G221" s="1600">
        <f t="shared" si="55"/>
        <v>10217.700000000001</v>
      </c>
      <c r="H221" s="1614">
        <v>9604.6</v>
      </c>
      <c r="I221" s="1614">
        <v>613.1</v>
      </c>
      <c r="J221" s="1600">
        <f t="shared" si="62"/>
        <v>0</v>
      </c>
      <c r="K221" s="1614"/>
      <c r="L221" s="1614"/>
      <c r="M221" s="1893">
        <f t="shared" si="63"/>
        <v>0</v>
      </c>
      <c r="N221" s="1894">
        <f t="shared" si="64"/>
        <v>0</v>
      </c>
      <c r="O221" s="1894">
        <f t="shared" si="65"/>
        <v>0</v>
      </c>
      <c r="P221" s="1593"/>
      <c r="Q221" s="1593"/>
      <c r="R221" s="1600">
        <f t="shared" si="69"/>
        <v>0</v>
      </c>
      <c r="S221" s="1608">
        <v>0</v>
      </c>
      <c r="T221" s="1608">
        <v>0</v>
      </c>
      <c r="U221" s="1600">
        <f t="shared" si="67"/>
        <v>0</v>
      </c>
      <c r="V221" s="1608">
        <v>0</v>
      </c>
      <c r="W221" s="1608">
        <v>0</v>
      </c>
      <c r="X221" s="1423">
        <f t="shared" si="68"/>
        <v>0</v>
      </c>
    </row>
    <row r="222" spans="1:24" ht="50.25" customHeight="1">
      <c r="A222" s="1867">
        <f>A221+1</f>
        <v>102</v>
      </c>
      <c r="B222" s="1888" t="s">
        <v>1596</v>
      </c>
      <c r="C222" s="1866"/>
      <c r="D222" s="1600">
        <f t="shared" si="49"/>
        <v>6626.8</v>
      </c>
      <c r="E222" s="1614">
        <v>6229.1</v>
      </c>
      <c r="F222" s="1614">
        <v>397.7</v>
      </c>
      <c r="G222" s="1600">
        <f t="shared" si="55"/>
        <v>6626.8</v>
      </c>
      <c r="H222" s="1614">
        <v>6229.1</v>
      </c>
      <c r="I222" s="1614">
        <v>397.7</v>
      </c>
      <c r="J222" s="1600">
        <f t="shared" si="62"/>
        <v>0</v>
      </c>
      <c r="K222" s="1614"/>
      <c r="L222" s="1614"/>
      <c r="M222" s="1893">
        <f t="shared" si="63"/>
        <v>0</v>
      </c>
      <c r="N222" s="1894">
        <f t="shared" si="64"/>
        <v>0</v>
      </c>
      <c r="O222" s="1894">
        <f t="shared" si="65"/>
        <v>0</v>
      </c>
      <c r="P222" s="1593"/>
      <c r="Q222" s="1593"/>
      <c r="R222" s="1600">
        <f t="shared" si="69"/>
        <v>0</v>
      </c>
      <c r="S222" s="1608">
        <v>0</v>
      </c>
      <c r="T222" s="1608">
        <v>0</v>
      </c>
      <c r="U222" s="1600">
        <f t="shared" si="67"/>
        <v>0</v>
      </c>
      <c r="V222" s="1608">
        <v>0</v>
      </c>
      <c r="W222" s="1608">
        <v>0</v>
      </c>
      <c r="X222" s="1423">
        <f t="shared" si="68"/>
        <v>0</v>
      </c>
    </row>
    <row r="223" spans="1:24" s="484" customFormat="1" ht="78.75" customHeight="1">
      <c r="A223" s="1867">
        <f>A222+1</f>
        <v>103</v>
      </c>
      <c r="B223" s="1914" t="s">
        <v>1599</v>
      </c>
      <c r="C223" s="1866" t="s">
        <v>1611</v>
      </c>
      <c r="D223" s="1600">
        <f t="shared" si="49"/>
        <v>171408.9</v>
      </c>
      <c r="E223" s="1608">
        <v>161122.70000000001</v>
      </c>
      <c r="F223" s="1608">
        <v>10286.200000000001</v>
      </c>
      <c r="G223" s="1600">
        <f t="shared" ref="G223:G240" si="70">SUM(H223:I223)</f>
        <v>171408.9</v>
      </c>
      <c r="H223" s="1608">
        <v>161122.70000000001</v>
      </c>
      <c r="I223" s="1608">
        <v>10286.200000000001</v>
      </c>
      <c r="J223" s="1600">
        <f t="shared" si="62"/>
        <v>0</v>
      </c>
      <c r="K223" s="1608"/>
      <c r="L223" s="1608"/>
      <c r="M223" s="1893">
        <f t="shared" si="63"/>
        <v>0</v>
      </c>
      <c r="N223" s="1894">
        <f t="shared" si="64"/>
        <v>0</v>
      </c>
      <c r="O223" s="1894">
        <f t="shared" si="65"/>
        <v>0</v>
      </c>
      <c r="P223" s="1593"/>
      <c r="Q223" s="1593"/>
      <c r="R223" s="1600">
        <f t="shared" si="69"/>
        <v>0</v>
      </c>
      <c r="S223" s="1608">
        <v>0</v>
      </c>
      <c r="T223" s="1608">
        <v>0</v>
      </c>
      <c r="U223" s="1600">
        <f t="shared" si="67"/>
        <v>0</v>
      </c>
      <c r="V223" s="1608">
        <v>0</v>
      </c>
      <c r="W223" s="1608">
        <v>0</v>
      </c>
      <c r="X223" s="1423">
        <f t="shared" si="68"/>
        <v>0</v>
      </c>
    </row>
    <row r="224" spans="1:24" s="484" customFormat="1" ht="30.75" customHeight="1">
      <c r="A224" s="1867">
        <f>A223+1</f>
        <v>104</v>
      </c>
      <c r="B224" s="516" t="s">
        <v>763</v>
      </c>
      <c r="C224" s="1923" t="s">
        <v>1550</v>
      </c>
      <c r="D224" s="1600">
        <f>SUM(E224:F224)</f>
        <v>172153.3</v>
      </c>
      <c r="E224" s="1608">
        <f>E225+E226</f>
        <v>161822.39999999999</v>
      </c>
      <c r="F224" s="1608">
        <f t="shared" ref="F224:W224" si="71">F225+F226</f>
        <v>10330.9</v>
      </c>
      <c r="G224" s="1600">
        <f t="shared" si="70"/>
        <v>172153.3</v>
      </c>
      <c r="H224" s="1608">
        <f>H225+H226</f>
        <v>161822.39999999999</v>
      </c>
      <c r="I224" s="1608">
        <f>I225+I226</f>
        <v>10330.9</v>
      </c>
      <c r="J224" s="1600">
        <f t="shared" si="62"/>
        <v>0</v>
      </c>
      <c r="K224" s="1608">
        <f>K225</f>
        <v>0</v>
      </c>
      <c r="L224" s="1608">
        <f>L225</f>
        <v>0</v>
      </c>
      <c r="M224" s="1608">
        <f t="shared" si="63"/>
        <v>0</v>
      </c>
      <c r="N224" s="1608">
        <f t="shared" si="64"/>
        <v>0</v>
      </c>
      <c r="O224" s="1608">
        <f t="shared" si="65"/>
        <v>0</v>
      </c>
      <c r="P224" s="1608">
        <f t="shared" si="71"/>
        <v>0</v>
      </c>
      <c r="Q224" s="1608">
        <f t="shared" si="71"/>
        <v>0</v>
      </c>
      <c r="R224" s="1941">
        <f t="shared" si="71"/>
        <v>109549.9</v>
      </c>
      <c r="S224" s="1608">
        <f t="shared" si="71"/>
        <v>0</v>
      </c>
      <c r="T224" s="1608">
        <f t="shared" si="71"/>
        <v>109549.9</v>
      </c>
      <c r="U224" s="1608">
        <f t="shared" si="71"/>
        <v>0</v>
      </c>
      <c r="V224" s="1608">
        <f t="shared" si="71"/>
        <v>0</v>
      </c>
      <c r="W224" s="1608">
        <f t="shared" si="71"/>
        <v>0</v>
      </c>
      <c r="X224" s="1423">
        <f t="shared" si="68"/>
        <v>0</v>
      </c>
    </row>
    <row r="225" spans="1:24" s="484" customFormat="1" ht="23.25">
      <c r="A225" s="1867"/>
      <c r="B225" s="1619" t="s">
        <v>1620</v>
      </c>
      <c r="C225" s="1924"/>
      <c r="D225" s="1600">
        <f>SUM(E225:F225)</f>
        <v>172153.3</v>
      </c>
      <c r="E225" s="1608">
        <v>161822.39999999999</v>
      </c>
      <c r="F225" s="1608">
        <v>10330.9</v>
      </c>
      <c r="G225" s="1600">
        <f t="shared" si="70"/>
        <v>172153.3</v>
      </c>
      <c r="H225" s="1608">
        <v>161822.39999999999</v>
      </c>
      <c r="I225" s="1608">
        <v>10330.9</v>
      </c>
      <c r="J225" s="1600">
        <f t="shared" si="62"/>
        <v>0</v>
      </c>
      <c r="K225" s="1608"/>
      <c r="L225" s="1608"/>
      <c r="M225" s="1893">
        <f t="shared" si="63"/>
        <v>0</v>
      </c>
      <c r="N225" s="1894">
        <f t="shared" si="64"/>
        <v>0</v>
      </c>
      <c r="O225" s="1894">
        <f t="shared" si="65"/>
        <v>0</v>
      </c>
      <c r="P225" s="1593"/>
      <c r="Q225" s="1593"/>
      <c r="R225" s="1600">
        <f>S225+T225</f>
        <v>0</v>
      </c>
      <c r="S225" s="1608">
        <v>0</v>
      </c>
      <c r="T225" s="1608">
        <v>0</v>
      </c>
      <c r="U225" s="1600">
        <f>V225+W225</f>
        <v>0</v>
      </c>
      <c r="V225" s="1608">
        <v>0</v>
      </c>
      <c r="W225" s="1624">
        <v>0</v>
      </c>
      <c r="X225" s="1423">
        <f t="shared" si="68"/>
        <v>0</v>
      </c>
    </row>
    <row r="226" spans="1:24" s="484" customFormat="1" ht="19.5" hidden="1" customHeight="1">
      <c r="A226" s="1867"/>
      <c r="B226" s="1619" t="s">
        <v>1621</v>
      </c>
      <c r="C226" s="1924"/>
      <c r="D226" s="1600">
        <f>SUM(E226:F226)</f>
        <v>0</v>
      </c>
      <c r="E226" s="1608"/>
      <c r="F226" s="1624">
        <v>0</v>
      </c>
      <c r="G226" s="1600">
        <f t="shared" si="70"/>
        <v>0</v>
      </c>
      <c r="H226" s="1608"/>
      <c r="I226" s="1624">
        <v>0</v>
      </c>
      <c r="J226" s="1600">
        <f t="shared" si="62"/>
        <v>0</v>
      </c>
      <c r="K226" s="1608"/>
      <c r="L226" s="1624"/>
      <c r="M226" s="1893">
        <f t="shared" si="63"/>
        <v>0</v>
      </c>
      <c r="N226" s="1894">
        <f t="shared" si="64"/>
        <v>0</v>
      </c>
      <c r="O226" s="1894">
        <f t="shared" si="65"/>
        <v>0</v>
      </c>
      <c r="P226" s="1593"/>
      <c r="Q226" s="1593"/>
      <c r="R226" s="1600">
        <f>S226+T226</f>
        <v>109549.9</v>
      </c>
      <c r="S226" s="1608">
        <v>0</v>
      </c>
      <c r="T226" s="1608">
        <v>109549.9</v>
      </c>
      <c r="U226" s="1600">
        <f>V226+W226</f>
        <v>0</v>
      </c>
      <c r="V226" s="1608">
        <v>0</v>
      </c>
      <c r="W226" s="1624">
        <v>0</v>
      </c>
    </row>
    <row r="227" spans="1:24" s="484" customFormat="1" ht="20.25" customHeight="1">
      <c r="A227" s="1867">
        <f>A224+1</f>
        <v>105</v>
      </c>
      <c r="B227" s="516" t="s">
        <v>765</v>
      </c>
      <c r="C227" s="1923" t="s">
        <v>1550</v>
      </c>
      <c r="D227" s="1600">
        <f t="shared" si="49"/>
        <v>33286.699999999997</v>
      </c>
      <c r="E227" s="1608">
        <f>SUM(E228:E229)</f>
        <v>21902.5</v>
      </c>
      <c r="F227" s="1608">
        <f>SUM(F228:F229)</f>
        <v>11384.2</v>
      </c>
      <c r="G227" s="1600">
        <f t="shared" si="70"/>
        <v>33286.699999999997</v>
      </c>
      <c r="H227" s="1608">
        <f>SUM(H228:H229)</f>
        <v>21902.5</v>
      </c>
      <c r="I227" s="1608">
        <f>SUM(I228:I229)</f>
        <v>11384.2</v>
      </c>
      <c r="J227" s="1600">
        <f t="shared" si="62"/>
        <v>0</v>
      </c>
      <c r="K227" s="1608">
        <f>K228+K229</f>
        <v>0</v>
      </c>
      <c r="L227" s="1608">
        <f>L228+L229</f>
        <v>0</v>
      </c>
      <c r="M227" s="1893">
        <f t="shared" si="63"/>
        <v>0</v>
      </c>
      <c r="N227" s="1894">
        <f t="shared" si="64"/>
        <v>0</v>
      </c>
      <c r="O227" s="1894">
        <f t="shared" si="65"/>
        <v>0</v>
      </c>
      <c r="P227" s="1593" t="s">
        <v>1267</v>
      </c>
      <c r="Q227" s="1593" t="s">
        <v>1219</v>
      </c>
      <c r="R227" s="1600">
        <f t="shared" si="69"/>
        <v>0</v>
      </c>
      <c r="S227" s="1608">
        <v>0</v>
      </c>
      <c r="T227" s="1608">
        <v>0</v>
      </c>
      <c r="U227" s="1600">
        <f t="shared" si="67"/>
        <v>0</v>
      </c>
      <c r="V227" s="1608">
        <v>0</v>
      </c>
      <c r="W227" s="1624">
        <v>0</v>
      </c>
      <c r="X227" s="1423">
        <f t="shared" ref="X227:X239" si="72">D227-G227</f>
        <v>0</v>
      </c>
    </row>
    <row r="228" spans="1:24" ht="23.25">
      <c r="A228" s="1867"/>
      <c r="B228" s="1619" t="s">
        <v>1620</v>
      </c>
      <c r="C228" s="1924"/>
      <c r="D228" s="1600">
        <f t="shared" si="49"/>
        <v>23300.799999999999</v>
      </c>
      <c r="E228" s="1608">
        <v>21902.5</v>
      </c>
      <c r="F228" s="1608">
        <v>1398.3</v>
      </c>
      <c r="G228" s="1600">
        <f t="shared" si="70"/>
        <v>23300.799999999999</v>
      </c>
      <c r="H228" s="1608">
        <v>21902.5</v>
      </c>
      <c r="I228" s="1608">
        <v>1398.3</v>
      </c>
      <c r="J228" s="1600">
        <f t="shared" si="62"/>
        <v>0</v>
      </c>
      <c r="K228" s="1608"/>
      <c r="L228" s="1608"/>
      <c r="M228" s="1893">
        <f t="shared" si="63"/>
        <v>0</v>
      </c>
      <c r="N228" s="1894">
        <f t="shared" si="64"/>
        <v>0</v>
      </c>
      <c r="O228" s="1894">
        <f t="shared" si="65"/>
        <v>0</v>
      </c>
      <c r="P228" s="1593"/>
      <c r="Q228" s="1593"/>
      <c r="R228" s="1600">
        <f t="shared" si="69"/>
        <v>0</v>
      </c>
      <c r="S228" s="1608">
        <v>0</v>
      </c>
      <c r="T228" s="1608">
        <v>0</v>
      </c>
      <c r="U228" s="1600">
        <f t="shared" si="67"/>
        <v>0</v>
      </c>
      <c r="V228" s="1608">
        <v>0</v>
      </c>
      <c r="W228" s="1624">
        <v>0</v>
      </c>
      <c r="X228" s="1423">
        <f t="shared" si="72"/>
        <v>0</v>
      </c>
    </row>
    <row r="229" spans="1:24" ht="23.25">
      <c r="A229" s="1867"/>
      <c r="B229" s="1619" t="s">
        <v>1621</v>
      </c>
      <c r="C229" s="1924"/>
      <c r="D229" s="1600">
        <f t="shared" si="49"/>
        <v>9985.9</v>
      </c>
      <c r="E229" s="1608"/>
      <c r="F229" s="1624">
        <v>9985.9</v>
      </c>
      <c r="G229" s="1600">
        <f t="shared" si="70"/>
        <v>9985.9</v>
      </c>
      <c r="H229" s="1608"/>
      <c r="I229" s="1624">
        <v>9985.9</v>
      </c>
      <c r="J229" s="1600">
        <f t="shared" si="62"/>
        <v>0</v>
      </c>
      <c r="K229" s="1608"/>
      <c r="L229" s="1624"/>
      <c r="M229" s="1893">
        <f t="shared" si="63"/>
        <v>0</v>
      </c>
      <c r="N229" s="1894">
        <f t="shared" si="64"/>
        <v>0</v>
      </c>
      <c r="O229" s="1894">
        <f t="shared" si="65"/>
        <v>0</v>
      </c>
      <c r="P229" s="1593"/>
      <c r="Q229" s="1593"/>
      <c r="R229" s="1600">
        <f t="shared" si="69"/>
        <v>0</v>
      </c>
      <c r="S229" s="1608">
        <v>0</v>
      </c>
      <c r="T229" s="1608">
        <v>0</v>
      </c>
      <c r="U229" s="1600">
        <f t="shared" si="67"/>
        <v>0</v>
      </c>
      <c r="V229" s="1608">
        <v>0</v>
      </c>
      <c r="W229" s="1624">
        <v>0</v>
      </c>
      <c r="X229" s="1423">
        <f t="shared" si="72"/>
        <v>0</v>
      </c>
    </row>
    <row r="230" spans="1:24" s="484" customFormat="1" ht="24.75" customHeight="1">
      <c r="A230" s="1867">
        <f>A227+1</f>
        <v>106</v>
      </c>
      <c r="B230" s="516" t="s">
        <v>766</v>
      </c>
      <c r="C230" s="1923" t="s">
        <v>1550</v>
      </c>
      <c r="D230" s="1600">
        <f t="shared" si="49"/>
        <v>20841.599999999999</v>
      </c>
      <c r="E230" s="1608">
        <f>SUM(E231:E232)</f>
        <v>13713.9</v>
      </c>
      <c r="F230" s="1608">
        <f>SUM(F231:F232)</f>
        <v>7127.7</v>
      </c>
      <c r="G230" s="1600">
        <f t="shared" si="70"/>
        <v>20841.599999999999</v>
      </c>
      <c r="H230" s="1608">
        <f>SUM(H231:H232)</f>
        <v>13713.9</v>
      </c>
      <c r="I230" s="1608">
        <f>SUM(I231:I232)</f>
        <v>7127.7</v>
      </c>
      <c r="J230" s="1600">
        <f t="shared" si="62"/>
        <v>0</v>
      </c>
      <c r="K230" s="1608">
        <f>K231+K232</f>
        <v>0</v>
      </c>
      <c r="L230" s="1608">
        <f>L231+L232</f>
        <v>0</v>
      </c>
      <c r="M230" s="1893">
        <f t="shared" si="63"/>
        <v>0</v>
      </c>
      <c r="N230" s="1894">
        <f t="shared" si="64"/>
        <v>0</v>
      </c>
      <c r="O230" s="1894">
        <f t="shared" si="65"/>
        <v>0</v>
      </c>
      <c r="P230" s="1593" t="s">
        <v>1303</v>
      </c>
      <c r="Q230" s="1593" t="s">
        <v>1268</v>
      </c>
      <c r="R230" s="1600">
        <f t="shared" si="69"/>
        <v>0</v>
      </c>
      <c r="S230" s="1608">
        <v>0</v>
      </c>
      <c r="T230" s="1608">
        <v>0</v>
      </c>
      <c r="U230" s="1600">
        <f t="shared" si="67"/>
        <v>0</v>
      </c>
      <c r="V230" s="1608">
        <v>0</v>
      </c>
      <c r="W230" s="1624">
        <v>0</v>
      </c>
      <c r="X230" s="1423">
        <f t="shared" si="72"/>
        <v>0</v>
      </c>
    </row>
    <row r="231" spans="1:24" ht="23.25">
      <c r="A231" s="1867"/>
      <c r="B231" s="1619" t="s">
        <v>1620</v>
      </c>
      <c r="C231" s="1924"/>
      <c r="D231" s="1600">
        <f t="shared" si="49"/>
        <v>14589.4</v>
      </c>
      <c r="E231" s="1608">
        <v>13713.9</v>
      </c>
      <c r="F231" s="1608">
        <v>875.5</v>
      </c>
      <c r="G231" s="1600">
        <f t="shared" si="70"/>
        <v>14589.4</v>
      </c>
      <c r="H231" s="1608">
        <v>13713.9</v>
      </c>
      <c r="I231" s="1608">
        <v>875.5</v>
      </c>
      <c r="J231" s="1600">
        <f t="shared" si="62"/>
        <v>0</v>
      </c>
      <c r="K231" s="1608"/>
      <c r="L231" s="1608"/>
      <c r="M231" s="1893">
        <f t="shared" si="63"/>
        <v>0</v>
      </c>
      <c r="N231" s="1894">
        <f t="shared" si="64"/>
        <v>0</v>
      </c>
      <c r="O231" s="1894">
        <f t="shared" si="65"/>
        <v>0</v>
      </c>
      <c r="P231" s="1593"/>
      <c r="Q231" s="1593"/>
      <c r="R231" s="1600">
        <f t="shared" si="69"/>
        <v>0</v>
      </c>
      <c r="S231" s="1608">
        <v>0</v>
      </c>
      <c r="T231" s="1608">
        <v>0</v>
      </c>
      <c r="U231" s="1600">
        <f t="shared" si="67"/>
        <v>0</v>
      </c>
      <c r="V231" s="1608">
        <v>0</v>
      </c>
      <c r="W231" s="1624">
        <v>0</v>
      </c>
      <c r="X231" s="1423">
        <f t="shared" si="72"/>
        <v>0</v>
      </c>
    </row>
    <row r="232" spans="1:24" ht="23.25">
      <c r="A232" s="1867"/>
      <c r="B232" s="1619" t="s">
        <v>1621</v>
      </c>
      <c r="C232" s="1924"/>
      <c r="D232" s="1600">
        <f t="shared" si="49"/>
        <v>6252.2</v>
      </c>
      <c r="E232" s="1608"/>
      <c r="F232" s="1624">
        <v>6252.2</v>
      </c>
      <c r="G232" s="1600">
        <f t="shared" si="70"/>
        <v>6252.2</v>
      </c>
      <c r="H232" s="1608"/>
      <c r="I232" s="1624">
        <v>6252.2</v>
      </c>
      <c r="J232" s="1600">
        <f t="shared" si="62"/>
        <v>0</v>
      </c>
      <c r="K232" s="1608"/>
      <c r="L232" s="1624"/>
      <c r="M232" s="1893">
        <f t="shared" si="63"/>
        <v>0</v>
      </c>
      <c r="N232" s="1894">
        <f t="shared" si="64"/>
        <v>0</v>
      </c>
      <c r="O232" s="1894">
        <f t="shared" si="65"/>
        <v>0</v>
      </c>
      <c r="P232" s="1593"/>
      <c r="Q232" s="1593"/>
      <c r="R232" s="1600">
        <f t="shared" si="69"/>
        <v>0</v>
      </c>
      <c r="S232" s="1608">
        <v>0</v>
      </c>
      <c r="T232" s="1608">
        <v>0</v>
      </c>
      <c r="U232" s="1600">
        <f t="shared" si="67"/>
        <v>0</v>
      </c>
      <c r="V232" s="1608">
        <v>0</v>
      </c>
      <c r="W232" s="1624">
        <v>0</v>
      </c>
      <c r="X232" s="1423">
        <f t="shared" si="72"/>
        <v>0</v>
      </c>
    </row>
    <row r="233" spans="1:24" ht="39" customHeight="1">
      <c r="A233" s="1867">
        <f>A230+1</f>
        <v>107</v>
      </c>
      <c r="B233" s="521" t="s">
        <v>478</v>
      </c>
      <c r="C233" s="1924" t="s">
        <v>1610</v>
      </c>
      <c r="D233" s="1600">
        <f t="shared" si="49"/>
        <v>450378.9</v>
      </c>
      <c r="E233" s="1608">
        <f>E234+E235</f>
        <v>423069.5</v>
      </c>
      <c r="F233" s="1608">
        <f>F234+F235</f>
        <v>27309.4</v>
      </c>
      <c r="G233" s="1600">
        <f t="shared" si="70"/>
        <v>450378.9</v>
      </c>
      <c r="H233" s="1608">
        <f>H234+H235</f>
        <v>423069.5</v>
      </c>
      <c r="I233" s="1608">
        <f>I234+I235</f>
        <v>27309.4</v>
      </c>
      <c r="J233" s="1600">
        <f t="shared" si="62"/>
        <v>321797.2</v>
      </c>
      <c r="K233" s="1608">
        <f>K234+K235</f>
        <v>302489.40000000002</v>
      </c>
      <c r="L233" s="1608">
        <f>L234+L235</f>
        <v>19307.8</v>
      </c>
      <c r="M233" s="1893">
        <f t="shared" si="63"/>
        <v>71.5</v>
      </c>
      <c r="N233" s="1894">
        <f t="shared" si="64"/>
        <v>71.5</v>
      </c>
      <c r="O233" s="1894">
        <f t="shared" si="65"/>
        <v>70.7</v>
      </c>
      <c r="P233" s="1593" t="s">
        <v>1298</v>
      </c>
      <c r="Q233" s="1593" t="s">
        <v>1261</v>
      </c>
      <c r="R233" s="1600">
        <f t="shared" si="69"/>
        <v>0</v>
      </c>
      <c r="S233" s="1608">
        <v>0</v>
      </c>
      <c r="T233" s="1608">
        <v>0</v>
      </c>
      <c r="U233" s="1600">
        <f t="shared" si="67"/>
        <v>0</v>
      </c>
      <c r="V233" s="1608">
        <v>0</v>
      </c>
      <c r="W233" s="1624">
        <v>0</v>
      </c>
      <c r="X233" s="1423">
        <f t="shared" si="72"/>
        <v>0</v>
      </c>
    </row>
    <row r="234" spans="1:24" ht="23.25">
      <c r="A234" s="1867"/>
      <c r="B234" s="1619" t="s">
        <v>1620</v>
      </c>
      <c r="C234" s="1924"/>
      <c r="D234" s="1600">
        <f t="shared" si="49"/>
        <v>450074</v>
      </c>
      <c r="E234" s="1608">
        <f>422106.8+962.7</f>
        <v>423069.5</v>
      </c>
      <c r="F234" s="1624">
        <f>26943+61.5</f>
        <v>27004.5</v>
      </c>
      <c r="G234" s="1600">
        <f t="shared" si="70"/>
        <v>450074</v>
      </c>
      <c r="H234" s="1608">
        <f>422106.8+962.7</f>
        <v>423069.5</v>
      </c>
      <c r="I234" s="1624">
        <f>26943+61.5</f>
        <v>27004.5</v>
      </c>
      <c r="J234" s="1600">
        <f t="shared" si="62"/>
        <v>321797.2</v>
      </c>
      <c r="K234" s="1608">
        <v>302489.40000000002</v>
      </c>
      <c r="L234" s="1624">
        <v>19307.8</v>
      </c>
      <c r="M234" s="1893">
        <f t="shared" si="63"/>
        <v>71.5</v>
      </c>
      <c r="N234" s="1894">
        <f t="shared" si="64"/>
        <v>71.5</v>
      </c>
      <c r="O234" s="1894">
        <f t="shared" si="65"/>
        <v>71.5</v>
      </c>
      <c r="P234" s="1593"/>
      <c r="Q234" s="1593"/>
      <c r="R234" s="1600">
        <f t="shared" si="69"/>
        <v>0</v>
      </c>
      <c r="S234" s="1608">
        <v>0</v>
      </c>
      <c r="T234" s="1608">
        <v>0</v>
      </c>
      <c r="U234" s="1600">
        <f t="shared" si="67"/>
        <v>0</v>
      </c>
      <c r="V234" s="1608">
        <v>0</v>
      </c>
      <c r="W234" s="1624">
        <v>0</v>
      </c>
      <c r="X234" s="1423">
        <f t="shared" si="72"/>
        <v>0</v>
      </c>
    </row>
    <row r="235" spans="1:24" ht="23.25">
      <c r="A235" s="1867"/>
      <c r="B235" s="1619" t="s">
        <v>1621</v>
      </c>
      <c r="C235" s="1924"/>
      <c r="D235" s="1600">
        <f t="shared" si="49"/>
        <v>304.89999999999998</v>
      </c>
      <c r="E235" s="1608"/>
      <c r="F235" s="1624">
        <v>304.89999999999998</v>
      </c>
      <c r="G235" s="1600">
        <f t="shared" si="70"/>
        <v>304.89999999999998</v>
      </c>
      <c r="H235" s="1608"/>
      <c r="I235" s="1624">
        <v>304.89999999999998</v>
      </c>
      <c r="J235" s="1600">
        <f t="shared" si="62"/>
        <v>0</v>
      </c>
      <c r="K235" s="1608"/>
      <c r="L235" s="1624"/>
      <c r="M235" s="1893">
        <f t="shared" si="63"/>
        <v>0</v>
      </c>
      <c r="N235" s="1894">
        <f t="shared" si="64"/>
        <v>0</v>
      </c>
      <c r="O235" s="1894">
        <f t="shared" si="65"/>
        <v>0</v>
      </c>
      <c r="P235" s="1593"/>
      <c r="Q235" s="1593"/>
      <c r="R235" s="1600">
        <f t="shared" si="69"/>
        <v>0</v>
      </c>
      <c r="S235" s="1608">
        <v>0</v>
      </c>
      <c r="T235" s="1608">
        <v>0</v>
      </c>
      <c r="U235" s="1600">
        <f t="shared" si="67"/>
        <v>0</v>
      </c>
      <c r="V235" s="1614"/>
      <c r="W235" s="1614"/>
      <c r="X235" s="1423">
        <f t="shared" si="72"/>
        <v>0</v>
      </c>
    </row>
    <row r="236" spans="1:24" s="484" customFormat="1" ht="39.75" customHeight="1">
      <c r="A236" s="1867">
        <f>A233+1</f>
        <v>108</v>
      </c>
      <c r="B236" s="1915" t="s">
        <v>694</v>
      </c>
      <c r="C236" s="1866" t="s">
        <v>1548</v>
      </c>
      <c r="D236" s="1600">
        <f t="shared" si="49"/>
        <v>315323.09999999998</v>
      </c>
      <c r="E236" s="1614">
        <v>296403.8</v>
      </c>
      <c r="F236" s="1614">
        <f>18919.3</f>
        <v>18919.3</v>
      </c>
      <c r="G236" s="1600">
        <f t="shared" si="70"/>
        <v>315323.09999999998</v>
      </c>
      <c r="H236" s="1614">
        <v>296403.8</v>
      </c>
      <c r="I236" s="1614">
        <f>18919.3</f>
        <v>18919.3</v>
      </c>
      <c r="J236" s="1600">
        <f t="shared" si="62"/>
        <v>0</v>
      </c>
      <c r="K236" s="1614"/>
      <c r="L236" s="1614"/>
      <c r="M236" s="1893">
        <f t="shared" si="63"/>
        <v>0</v>
      </c>
      <c r="N236" s="1894">
        <f t="shared" si="64"/>
        <v>0</v>
      </c>
      <c r="O236" s="1894">
        <f t="shared" si="65"/>
        <v>0</v>
      </c>
      <c r="P236" s="1593" t="s">
        <v>1272</v>
      </c>
      <c r="Q236" s="1593" t="s">
        <v>1273</v>
      </c>
      <c r="R236" s="1600">
        <f t="shared" si="69"/>
        <v>0</v>
      </c>
      <c r="S236" s="1614">
        <v>0</v>
      </c>
      <c r="T236" s="1614">
        <v>0</v>
      </c>
      <c r="U236" s="1600">
        <f t="shared" si="67"/>
        <v>0</v>
      </c>
      <c r="V236" s="1614">
        <v>0</v>
      </c>
      <c r="W236" s="1614">
        <v>0</v>
      </c>
      <c r="X236" s="1423">
        <f t="shared" si="72"/>
        <v>0</v>
      </c>
    </row>
    <row r="237" spans="1:24" s="484" customFormat="1" ht="42" customHeight="1">
      <c r="A237" s="1867">
        <f>A236+1</f>
        <v>109</v>
      </c>
      <c r="B237" s="1915" t="s">
        <v>695</v>
      </c>
      <c r="C237" s="1866"/>
      <c r="D237" s="1600">
        <f t="shared" si="49"/>
        <v>191952</v>
      </c>
      <c r="E237" s="1614">
        <v>180434.8</v>
      </c>
      <c r="F237" s="1614">
        <v>11517.2</v>
      </c>
      <c r="G237" s="1600">
        <f t="shared" si="70"/>
        <v>191952</v>
      </c>
      <c r="H237" s="1614">
        <v>180434.8</v>
      </c>
      <c r="I237" s="1614">
        <v>11517.2</v>
      </c>
      <c r="J237" s="1600">
        <f t="shared" si="62"/>
        <v>112460.3</v>
      </c>
      <c r="K237" s="1614">
        <v>105712.7</v>
      </c>
      <c r="L237" s="1614">
        <v>6747.6</v>
      </c>
      <c r="M237" s="1893">
        <f t="shared" si="63"/>
        <v>58.6</v>
      </c>
      <c r="N237" s="1894">
        <f t="shared" si="64"/>
        <v>58.6</v>
      </c>
      <c r="O237" s="1894">
        <f t="shared" si="65"/>
        <v>58.6</v>
      </c>
      <c r="P237" s="1593" t="s">
        <v>1272</v>
      </c>
      <c r="Q237" s="1593" t="s">
        <v>1273</v>
      </c>
      <c r="R237" s="1600">
        <f t="shared" si="69"/>
        <v>0</v>
      </c>
      <c r="S237" s="1614">
        <v>0</v>
      </c>
      <c r="T237" s="1614">
        <v>0</v>
      </c>
      <c r="U237" s="1600">
        <f t="shared" si="67"/>
        <v>0</v>
      </c>
      <c r="V237" s="1614">
        <v>0</v>
      </c>
      <c r="W237" s="1614">
        <v>0</v>
      </c>
      <c r="X237" s="1423">
        <f t="shared" si="72"/>
        <v>0</v>
      </c>
    </row>
    <row r="238" spans="1:24" s="484" customFormat="1" ht="42" customHeight="1">
      <c r="A238" s="1867">
        <f>A237+1</f>
        <v>110</v>
      </c>
      <c r="B238" s="1915" t="s">
        <v>698</v>
      </c>
      <c r="C238" s="1866"/>
      <c r="D238" s="1600">
        <f t="shared" si="49"/>
        <v>668866.80000000005</v>
      </c>
      <c r="E238" s="1614">
        <v>628534.1</v>
      </c>
      <c r="F238" s="1614">
        <f>40332.7</f>
        <v>40332.699999999997</v>
      </c>
      <c r="G238" s="1600">
        <f t="shared" si="70"/>
        <v>668866.80000000005</v>
      </c>
      <c r="H238" s="1614">
        <v>628534.1</v>
      </c>
      <c r="I238" s="1614">
        <f>40332.7</f>
        <v>40332.699999999997</v>
      </c>
      <c r="J238" s="1600">
        <f t="shared" si="62"/>
        <v>0</v>
      </c>
      <c r="K238" s="1614">
        <v>0</v>
      </c>
      <c r="L238" s="1614">
        <v>0</v>
      </c>
      <c r="M238" s="1893">
        <f t="shared" si="63"/>
        <v>0</v>
      </c>
      <c r="N238" s="1894">
        <f t="shared" si="64"/>
        <v>0</v>
      </c>
      <c r="O238" s="1894">
        <f t="shared" si="65"/>
        <v>0</v>
      </c>
      <c r="P238" s="1593" t="s">
        <v>1306</v>
      </c>
      <c r="Q238" s="1593" t="s">
        <v>1277</v>
      </c>
      <c r="R238" s="1600">
        <f>S238+T238</f>
        <v>778086</v>
      </c>
      <c r="S238" s="1615">
        <v>0</v>
      </c>
      <c r="T238" s="1615">
        <v>778086</v>
      </c>
      <c r="U238" s="1600">
        <f t="shared" si="67"/>
        <v>0</v>
      </c>
      <c r="V238" s="1615">
        <v>0</v>
      </c>
      <c r="W238" s="1615">
        <v>0</v>
      </c>
      <c r="X238" s="1423">
        <f t="shared" si="72"/>
        <v>0</v>
      </c>
    </row>
    <row r="239" spans="1:24" s="484" customFormat="1" ht="23.25">
      <c r="A239" s="1867"/>
      <c r="B239" s="1619" t="s">
        <v>1620</v>
      </c>
      <c r="C239" s="1924"/>
      <c r="D239" s="1600">
        <f>SUM(E239:F239)</f>
        <v>668866.80000000005</v>
      </c>
      <c r="E239" s="1608">
        <v>628534.1</v>
      </c>
      <c r="F239" s="1624">
        <v>40332.699999999997</v>
      </c>
      <c r="G239" s="1600">
        <f t="shared" si="70"/>
        <v>668866.80000000005</v>
      </c>
      <c r="H239" s="1608">
        <v>628534.1</v>
      </c>
      <c r="I239" s="1624">
        <v>40332.699999999997</v>
      </c>
      <c r="J239" s="1600">
        <f t="shared" si="62"/>
        <v>0</v>
      </c>
      <c r="K239" s="1608"/>
      <c r="L239" s="1624"/>
      <c r="M239" s="1893">
        <f t="shared" si="63"/>
        <v>0</v>
      </c>
      <c r="N239" s="1894">
        <f t="shared" si="64"/>
        <v>0</v>
      </c>
      <c r="O239" s="1894">
        <f t="shared" si="65"/>
        <v>0</v>
      </c>
      <c r="P239" s="1593"/>
      <c r="Q239" s="1593"/>
      <c r="R239" s="1600">
        <f>S239+T239</f>
        <v>0</v>
      </c>
      <c r="S239" s="1608">
        <v>0</v>
      </c>
      <c r="T239" s="1608">
        <v>0</v>
      </c>
      <c r="U239" s="1600">
        <f>V239+W239</f>
        <v>0</v>
      </c>
      <c r="V239" s="1608">
        <v>0</v>
      </c>
      <c r="W239" s="1624">
        <v>0</v>
      </c>
      <c r="X239" s="1423">
        <f t="shared" si="72"/>
        <v>0</v>
      </c>
    </row>
    <row r="240" spans="1:24" s="484" customFormat="1" hidden="1">
      <c r="A240" s="1867"/>
      <c r="B240" s="1619" t="s">
        <v>1621</v>
      </c>
      <c r="C240" s="1924"/>
      <c r="D240" s="1600">
        <f>SUM(E240:F240)</f>
        <v>0</v>
      </c>
      <c r="E240" s="1608"/>
      <c r="F240" s="1624">
        <v>0</v>
      </c>
      <c r="G240" s="1600">
        <f t="shared" si="70"/>
        <v>0</v>
      </c>
      <c r="H240" s="1608"/>
      <c r="I240" s="1624">
        <v>0</v>
      </c>
      <c r="J240" s="1600">
        <f t="shared" si="62"/>
        <v>0</v>
      </c>
      <c r="K240" s="1608"/>
      <c r="L240" s="1624"/>
      <c r="M240" s="1893">
        <f t="shared" si="63"/>
        <v>0</v>
      </c>
      <c r="N240" s="1894">
        <f t="shared" si="64"/>
        <v>0</v>
      </c>
      <c r="O240" s="1894">
        <f t="shared" si="65"/>
        <v>0</v>
      </c>
      <c r="P240" s="1593"/>
      <c r="Q240" s="1593"/>
      <c r="R240" s="1600">
        <f>S240+T240</f>
        <v>778086</v>
      </c>
      <c r="S240" s="1608">
        <v>0</v>
      </c>
      <c r="T240" s="1608">
        <v>778086</v>
      </c>
      <c r="U240" s="1600">
        <f>V240+W240</f>
        <v>0</v>
      </c>
      <c r="V240" s="1614"/>
      <c r="W240" s="1614"/>
    </row>
    <row r="241" spans="1:24" ht="70.5" customHeight="1">
      <c r="A241" s="1867">
        <f>A238+1</f>
        <v>111</v>
      </c>
      <c r="B241" s="1915" t="s">
        <v>697</v>
      </c>
      <c r="C241" s="1866"/>
      <c r="D241" s="1600">
        <f t="shared" si="49"/>
        <v>129890.7</v>
      </c>
      <c r="E241" s="1614">
        <f>E242+E243</f>
        <v>111860</v>
      </c>
      <c r="F241" s="1614">
        <f>F242+F243</f>
        <v>18030.7</v>
      </c>
      <c r="G241" s="1600">
        <f t="shared" ref="G241:G248" si="73">SUM(H241:I241)</f>
        <v>129890.7</v>
      </c>
      <c r="H241" s="1614">
        <f>H242+H243</f>
        <v>111860</v>
      </c>
      <c r="I241" s="1614">
        <f>I242+I243</f>
        <v>18030.7</v>
      </c>
      <c r="J241" s="1600">
        <f t="shared" si="62"/>
        <v>27276.3</v>
      </c>
      <c r="K241" s="1614">
        <f>K242+K243</f>
        <v>25631.599999999999</v>
      </c>
      <c r="L241" s="1614">
        <f>L242+L243</f>
        <v>1644.7</v>
      </c>
      <c r="M241" s="1893">
        <f t="shared" si="63"/>
        <v>21</v>
      </c>
      <c r="N241" s="1894">
        <f t="shared" si="64"/>
        <v>22.9</v>
      </c>
      <c r="O241" s="1894">
        <f t="shared" si="65"/>
        <v>9.1</v>
      </c>
      <c r="P241" s="1593" t="s">
        <v>1192</v>
      </c>
      <c r="Q241" s="1593" t="s">
        <v>1658</v>
      </c>
      <c r="R241" s="1600">
        <f t="shared" si="69"/>
        <v>0</v>
      </c>
      <c r="S241" s="1614">
        <v>0</v>
      </c>
      <c r="T241" s="1614">
        <v>0</v>
      </c>
      <c r="U241" s="1600">
        <f t="shared" si="67"/>
        <v>0</v>
      </c>
      <c r="V241" s="1615">
        <v>0</v>
      </c>
      <c r="W241" s="1615">
        <v>0</v>
      </c>
      <c r="X241" s="1423">
        <f>D241-G241</f>
        <v>0</v>
      </c>
    </row>
    <row r="242" spans="1:24" ht="23.25">
      <c r="A242" s="2013"/>
      <c r="B242" s="1619" t="s">
        <v>1620</v>
      </c>
      <c r="C242" s="1866"/>
      <c r="D242" s="1600">
        <f>SUM(E242:F242)</f>
        <v>119037.9</v>
      </c>
      <c r="E242" s="1614">
        <v>111860</v>
      </c>
      <c r="F242" s="1614">
        <v>7177.9</v>
      </c>
      <c r="G242" s="1600">
        <f>SUM(H242:I242)</f>
        <v>119037.9</v>
      </c>
      <c r="H242" s="1614">
        <v>111860</v>
      </c>
      <c r="I242" s="1614">
        <v>7177.9</v>
      </c>
      <c r="J242" s="1600">
        <f>SUM(K242:L242)</f>
        <v>27276.3</v>
      </c>
      <c r="K242" s="1614">
        <v>25631.599999999999</v>
      </c>
      <c r="L242" s="1614">
        <v>1644.7</v>
      </c>
      <c r="M242" s="1893">
        <f t="shared" si="63"/>
        <v>22.9</v>
      </c>
      <c r="N242" s="1894">
        <f t="shared" si="64"/>
        <v>22.9</v>
      </c>
      <c r="O242" s="1894">
        <f t="shared" si="65"/>
        <v>22.9</v>
      </c>
      <c r="P242" s="1593"/>
      <c r="Q242" s="1593"/>
      <c r="R242" s="1600"/>
      <c r="S242" s="1614"/>
      <c r="T242" s="1614"/>
      <c r="U242" s="1600"/>
      <c r="V242" s="1615"/>
      <c r="W242" s="1615"/>
      <c r="X242" s="1423">
        <f>D242-G242</f>
        <v>0</v>
      </c>
    </row>
    <row r="243" spans="1:24" ht="23.25">
      <c r="A243" s="2013"/>
      <c r="B243" s="1619" t="s">
        <v>1621</v>
      </c>
      <c r="C243" s="1866"/>
      <c r="D243" s="1600">
        <f>SUM(E243:F243)</f>
        <v>10852.8</v>
      </c>
      <c r="E243" s="1614">
        <v>0</v>
      </c>
      <c r="F243" s="1614">
        <v>10852.8</v>
      </c>
      <c r="G243" s="1600">
        <f>SUM(H243:I243)</f>
        <v>10852.8</v>
      </c>
      <c r="H243" s="1614">
        <v>0</v>
      </c>
      <c r="I243" s="1614">
        <f>F243</f>
        <v>10852.8</v>
      </c>
      <c r="J243" s="1600">
        <f>SUM(K243:L243)</f>
        <v>0</v>
      </c>
      <c r="K243" s="1614">
        <v>0</v>
      </c>
      <c r="L243" s="1614">
        <v>0</v>
      </c>
      <c r="M243" s="1893">
        <f t="shared" si="63"/>
        <v>0</v>
      </c>
      <c r="N243" s="1894">
        <f t="shared" si="64"/>
        <v>0</v>
      </c>
      <c r="O243" s="1894">
        <f t="shared" si="65"/>
        <v>0</v>
      </c>
      <c r="P243" s="1593"/>
      <c r="Q243" s="1593"/>
      <c r="R243" s="1600"/>
      <c r="S243" s="1614"/>
      <c r="T243" s="1614"/>
      <c r="U243" s="1600"/>
      <c r="V243" s="1615"/>
      <c r="W243" s="1615"/>
      <c r="X243" s="1423">
        <f>D243-G243</f>
        <v>0</v>
      </c>
    </row>
    <row r="244" spans="1:24" ht="78.75" customHeight="1">
      <c r="A244" s="1867">
        <f>A241+1</f>
        <v>112</v>
      </c>
      <c r="B244" s="1915" t="s">
        <v>942</v>
      </c>
      <c r="C244" s="1866"/>
      <c r="D244" s="1600">
        <f t="shared" si="49"/>
        <v>219861.4</v>
      </c>
      <c r="E244" s="1614">
        <v>206603.8</v>
      </c>
      <c r="F244" s="1614">
        <v>13257.6</v>
      </c>
      <c r="G244" s="1600">
        <f t="shared" si="73"/>
        <v>219861.4</v>
      </c>
      <c r="H244" s="1614">
        <v>206603.8</v>
      </c>
      <c r="I244" s="1614">
        <v>13257.6</v>
      </c>
      <c r="J244" s="1600">
        <f t="shared" si="62"/>
        <v>37992.400000000001</v>
      </c>
      <c r="K244" s="1614">
        <v>35701.5</v>
      </c>
      <c r="L244" s="1614">
        <v>2290.9</v>
      </c>
      <c r="M244" s="1893">
        <f t="shared" si="63"/>
        <v>17.3</v>
      </c>
      <c r="N244" s="1894">
        <f t="shared" si="64"/>
        <v>17.3</v>
      </c>
      <c r="O244" s="1894">
        <f t="shared" si="65"/>
        <v>17.3</v>
      </c>
      <c r="P244" s="1593" t="s">
        <v>1192</v>
      </c>
      <c r="Q244" s="1593" t="s">
        <v>1279</v>
      </c>
      <c r="R244" s="1600">
        <f t="shared" si="69"/>
        <v>0</v>
      </c>
      <c r="S244" s="1614">
        <v>0</v>
      </c>
      <c r="T244" s="1614">
        <v>0</v>
      </c>
      <c r="U244" s="1600">
        <f t="shared" si="67"/>
        <v>0</v>
      </c>
      <c r="V244" s="1615">
        <v>0</v>
      </c>
      <c r="W244" s="1615">
        <v>0</v>
      </c>
      <c r="X244" s="1423">
        <f>D244-G244</f>
        <v>0</v>
      </c>
    </row>
    <row r="245" spans="1:24" s="1626" customFormat="1" ht="23.25" hidden="1" customHeight="1">
      <c r="A245" s="1867">
        <v>117</v>
      </c>
      <c r="B245" s="1879" t="s">
        <v>1488</v>
      </c>
      <c r="C245" s="1913"/>
      <c r="D245" s="1600">
        <f t="shared" si="49"/>
        <v>0</v>
      </c>
      <c r="E245" s="1614">
        <v>0</v>
      </c>
      <c r="F245" s="1614">
        <v>0</v>
      </c>
      <c r="G245" s="1600">
        <f t="shared" si="73"/>
        <v>0</v>
      </c>
      <c r="H245" s="1614">
        <v>0</v>
      </c>
      <c r="I245" s="1614">
        <v>0</v>
      </c>
      <c r="J245" s="1600">
        <f t="shared" ref="J245:J276" si="74">SUM(K245:L245)</f>
        <v>0</v>
      </c>
      <c r="K245" s="1614"/>
      <c r="L245" s="1614"/>
      <c r="M245" s="1893">
        <f t="shared" si="63"/>
        <v>0</v>
      </c>
      <c r="N245" s="1894">
        <f t="shared" si="64"/>
        <v>0</v>
      </c>
      <c r="O245" s="1894">
        <f t="shared" si="65"/>
        <v>0</v>
      </c>
      <c r="P245" s="1593" t="s">
        <v>1299</v>
      </c>
      <c r="Q245" s="1593" t="s">
        <v>1262</v>
      </c>
      <c r="R245" s="1600">
        <f t="shared" si="69"/>
        <v>0</v>
      </c>
      <c r="S245" s="1614">
        <v>0</v>
      </c>
      <c r="T245" s="1614">
        <v>0</v>
      </c>
      <c r="U245" s="1600">
        <f t="shared" si="67"/>
        <v>0</v>
      </c>
      <c r="V245" s="1615">
        <v>0</v>
      </c>
      <c r="W245" s="1615">
        <v>0</v>
      </c>
    </row>
    <row r="246" spans="1:24" ht="82.5" customHeight="1">
      <c r="A246" s="1867">
        <f>A244+1</f>
        <v>113</v>
      </c>
      <c r="B246" s="1915" t="s">
        <v>1635</v>
      </c>
      <c r="C246" s="1866"/>
      <c r="D246" s="1600">
        <f t="shared" si="49"/>
        <v>13649.7</v>
      </c>
      <c r="E246" s="1614">
        <v>12830.6</v>
      </c>
      <c r="F246" s="1614">
        <v>819.1</v>
      </c>
      <c r="G246" s="1600">
        <f t="shared" si="73"/>
        <v>13649.7</v>
      </c>
      <c r="H246" s="1614">
        <v>12830.6</v>
      </c>
      <c r="I246" s="1614">
        <v>819.1</v>
      </c>
      <c r="J246" s="1600">
        <f t="shared" si="74"/>
        <v>0</v>
      </c>
      <c r="K246" s="1614"/>
      <c r="L246" s="1614"/>
      <c r="M246" s="1893">
        <f t="shared" si="63"/>
        <v>0</v>
      </c>
      <c r="N246" s="1894">
        <f t="shared" si="64"/>
        <v>0</v>
      </c>
      <c r="O246" s="1894">
        <f t="shared" si="65"/>
        <v>0</v>
      </c>
      <c r="P246" s="1593" t="s">
        <v>1192</v>
      </c>
      <c r="Q246" s="1593" t="s">
        <v>1279</v>
      </c>
      <c r="R246" s="1600">
        <f>S246+T246</f>
        <v>0</v>
      </c>
      <c r="S246" s="1614">
        <v>0</v>
      </c>
      <c r="T246" s="1614">
        <v>0</v>
      </c>
      <c r="U246" s="1600">
        <f>V246+W246</f>
        <v>0</v>
      </c>
      <c r="V246" s="1615">
        <v>0</v>
      </c>
      <c r="W246" s="1615">
        <v>0</v>
      </c>
      <c r="X246" s="1423">
        <f t="shared" ref="X246:X251" si="75">D246-G246</f>
        <v>0</v>
      </c>
    </row>
    <row r="247" spans="1:24" ht="77.25" customHeight="1">
      <c r="A247" s="1867" t="s">
        <v>1515</v>
      </c>
      <c r="B247" s="1897" t="s">
        <v>1513</v>
      </c>
      <c r="C247" s="1898"/>
      <c r="D247" s="1899">
        <f t="shared" si="49"/>
        <v>15004.3</v>
      </c>
      <c r="E247" s="1899">
        <f>E248</f>
        <v>0</v>
      </c>
      <c r="F247" s="1899">
        <f>F248</f>
        <v>15004.3</v>
      </c>
      <c r="G247" s="1899">
        <f t="shared" si="73"/>
        <v>15004.3</v>
      </c>
      <c r="H247" s="1899">
        <f>H248</f>
        <v>0</v>
      </c>
      <c r="I247" s="1899">
        <f>I248</f>
        <v>15004.3</v>
      </c>
      <c r="J247" s="1899">
        <f t="shared" si="74"/>
        <v>180</v>
      </c>
      <c r="K247" s="1899">
        <f>K248</f>
        <v>0</v>
      </c>
      <c r="L247" s="1899">
        <f>L248</f>
        <v>180</v>
      </c>
      <c r="M247" s="1900">
        <f t="shared" si="63"/>
        <v>1.2</v>
      </c>
      <c r="N247" s="1900">
        <f t="shared" si="64"/>
        <v>0</v>
      </c>
      <c r="O247" s="1900">
        <f t="shared" si="65"/>
        <v>1.2</v>
      </c>
      <c r="P247" s="1593"/>
      <c r="Q247" s="1593"/>
      <c r="R247" s="1899">
        <f t="shared" ref="R247:R253" si="76">SUM(S247:T247)</f>
        <v>0</v>
      </c>
      <c r="S247" s="1899">
        <f>S248</f>
        <v>0</v>
      </c>
      <c r="T247" s="1899">
        <f>T248</f>
        <v>0</v>
      </c>
      <c r="U247" s="1899">
        <f t="shared" ref="U247:U253" si="77">SUM(V247:W247)</f>
        <v>0</v>
      </c>
      <c r="V247" s="1899">
        <f>V248</f>
        <v>0</v>
      </c>
      <c r="W247" s="1899">
        <f>W248</f>
        <v>0</v>
      </c>
      <c r="X247" s="1423">
        <f t="shared" si="75"/>
        <v>0</v>
      </c>
    </row>
    <row r="248" spans="1:24" ht="57" customHeight="1">
      <c r="A248" s="1867">
        <f>A246+1</f>
        <v>114</v>
      </c>
      <c r="B248" s="1889" t="s">
        <v>1495</v>
      </c>
      <c r="C248" s="1867">
        <v>30131</v>
      </c>
      <c r="D248" s="1600">
        <f t="shared" si="49"/>
        <v>15004.3</v>
      </c>
      <c r="E248" s="1608"/>
      <c r="F248" s="1608">
        <v>15004.3</v>
      </c>
      <c r="G248" s="1600">
        <f t="shared" si="73"/>
        <v>15004.3</v>
      </c>
      <c r="H248" s="1608"/>
      <c r="I248" s="1608">
        <v>15004.3</v>
      </c>
      <c r="J248" s="1600">
        <f t="shared" si="74"/>
        <v>180</v>
      </c>
      <c r="K248" s="1608"/>
      <c r="L248" s="1608">
        <v>180</v>
      </c>
      <c r="M248" s="1604">
        <f t="shared" si="63"/>
        <v>1.2</v>
      </c>
      <c r="N248" s="1881">
        <f t="shared" si="64"/>
        <v>0</v>
      </c>
      <c r="O248" s="1881">
        <f t="shared" si="65"/>
        <v>1.2</v>
      </c>
      <c r="P248" s="1593" t="s">
        <v>1290</v>
      </c>
      <c r="Q248" s="1593" t="s">
        <v>1240</v>
      </c>
      <c r="R248" s="1600">
        <f t="shared" si="76"/>
        <v>0</v>
      </c>
      <c r="S248" s="1608">
        <v>0</v>
      </c>
      <c r="T248" s="1608">
        <v>0</v>
      </c>
      <c r="U248" s="1600">
        <f t="shared" si="77"/>
        <v>0</v>
      </c>
      <c r="V248" s="1608">
        <v>0</v>
      </c>
      <c r="W248" s="1608">
        <v>0</v>
      </c>
      <c r="X248" s="1423">
        <f t="shared" si="75"/>
        <v>0</v>
      </c>
    </row>
    <row r="249" spans="1:24" ht="24.75" customHeight="1">
      <c r="A249" s="1867" t="s">
        <v>1516</v>
      </c>
      <c r="B249" s="1897" t="s">
        <v>529</v>
      </c>
      <c r="C249" s="1898"/>
      <c r="D249" s="1899">
        <f>SUM(E249:F249)</f>
        <v>126421.7</v>
      </c>
      <c r="E249" s="1899">
        <f>SUM(E250:E254)</f>
        <v>0</v>
      </c>
      <c r="F249" s="1899">
        <f>SUM(F250:F254)</f>
        <v>126421.7</v>
      </c>
      <c r="G249" s="1899">
        <f t="shared" ref="G249:G300" si="78">SUM(H249:I249)</f>
        <v>126421.7</v>
      </c>
      <c r="H249" s="1899">
        <f>SUM(H250:H254)</f>
        <v>0</v>
      </c>
      <c r="I249" s="1899">
        <f>SUM(I250:I254)</f>
        <v>126421.7</v>
      </c>
      <c r="J249" s="1899">
        <f>SUM(K249:L249)</f>
        <v>12725.6</v>
      </c>
      <c r="K249" s="1899">
        <f>SUM(K250:K254)</f>
        <v>0</v>
      </c>
      <c r="L249" s="1899">
        <f>SUM(L250:L254)</f>
        <v>12725.6</v>
      </c>
      <c r="M249" s="1899">
        <f t="shared" si="63"/>
        <v>10.1</v>
      </c>
      <c r="N249" s="1899">
        <f t="shared" si="64"/>
        <v>0</v>
      </c>
      <c r="O249" s="1899">
        <f t="shared" si="65"/>
        <v>10.1</v>
      </c>
      <c r="P249" s="1599"/>
      <c r="Q249" s="1599"/>
      <c r="R249" s="1899">
        <f>SUM(S249:T249)</f>
        <v>220985.5</v>
      </c>
      <c r="S249" s="1899">
        <f>SUM(S250:S254)</f>
        <v>0</v>
      </c>
      <c r="T249" s="1899">
        <f>SUM(T250:T254)</f>
        <v>220985.5</v>
      </c>
      <c r="U249" s="1899">
        <f>SUM(V249:W249)</f>
        <v>0</v>
      </c>
      <c r="V249" s="1899">
        <f>SUM(V250:V254)</f>
        <v>0</v>
      </c>
      <c r="W249" s="1899">
        <f>SUM(W250:W254)</f>
        <v>0</v>
      </c>
      <c r="X249" s="1423">
        <f t="shared" si="75"/>
        <v>0</v>
      </c>
    </row>
    <row r="250" spans="1:24" ht="66" customHeight="1">
      <c r="A250" s="1867">
        <f>A248+1</f>
        <v>115</v>
      </c>
      <c r="B250" s="1925" t="s">
        <v>707</v>
      </c>
      <c r="C250" s="1866">
        <v>10120</v>
      </c>
      <c r="D250" s="1600">
        <f t="shared" si="49"/>
        <v>111741.3</v>
      </c>
      <c r="E250" s="1608"/>
      <c r="F250" s="1608">
        <v>111741.3</v>
      </c>
      <c r="G250" s="1600">
        <f t="shared" si="78"/>
        <v>111741.3</v>
      </c>
      <c r="H250" s="1608"/>
      <c r="I250" s="1608">
        <v>111741.3</v>
      </c>
      <c r="J250" s="1600">
        <f t="shared" si="74"/>
        <v>8951.1</v>
      </c>
      <c r="K250" s="1608"/>
      <c r="L250" s="1608">
        <v>8951.1</v>
      </c>
      <c r="M250" s="1893">
        <f t="shared" si="63"/>
        <v>8</v>
      </c>
      <c r="N250" s="1894">
        <f t="shared" si="64"/>
        <v>0</v>
      </c>
      <c r="O250" s="1894">
        <f t="shared" si="65"/>
        <v>8</v>
      </c>
      <c r="P250" s="1593" t="s">
        <v>1192</v>
      </c>
      <c r="Q250" s="1593" t="s">
        <v>1163</v>
      </c>
      <c r="R250" s="1600">
        <f t="shared" si="76"/>
        <v>0</v>
      </c>
      <c r="S250" s="1608">
        <v>0</v>
      </c>
      <c r="T250" s="1608">
        <v>0</v>
      </c>
      <c r="U250" s="1600">
        <f t="shared" si="77"/>
        <v>0</v>
      </c>
      <c r="V250" s="1608">
        <v>0</v>
      </c>
      <c r="W250" s="1608">
        <v>0</v>
      </c>
      <c r="X250" s="1423">
        <f t="shared" si="75"/>
        <v>0</v>
      </c>
    </row>
    <row r="251" spans="1:24" ht="84" customHeight="1">
      <c r="A251" s="1867">
        <f>A250+1</f>
        <v>116</v>
      </c>
      <c r="B251" s="1883" t="s">
        <v>1478</v>
      </c>
      <c r="C251" s="1866">
        <v>10122</v>
      </c>
      <c r="D251" s="1600">
        <f t="shared" si="49"/>
        <v>14680.4</v>
      </c>
      <c r="E251" s="1608"/>
      <c r="F251" s="1624">
        <v>14680.4</v>
      </c>
      <c r="G251" s="1600">
        <f t="shared" si="78"/>
        <v>14680.4</v>
      </c>
      <c r="H251" s="1608"/>
      <c r="I251" s="1624">
        <v>14680.4</v>
      </c>
      <c r="J251" s="1600">
        <f t="shared" si="74"/>
        <v>3774.5</v>
      </c>
      <c r="K251" s="1608"/>
      <c r="L251" s="1624">
        <v>3774.5</v>
      </c>
      <c r="M251" s="1893">
        <f t="shared" si="63"/>
        <v>25.7</v>
      </c>
      <c r="N251" s="1894">
        <f t="shared" si="64"/>
        <v>0</v>
      </c>
      <c r="O251" s="1894">
        <f t="shared" si="65"/>
        <v>25.7</v>
      </c>
      <c r="P251" s="1593" t="s">
        <v>1298</v>
      </c>
      <c r="Q251" s="1593" t="s">
        <v>1261</v>
      </c>
      <c r="R251" s="1600">
        <f t="shared" si="76"/>
        <v>0</v>
      </c>
      <c r="S251" s="1608">
        <v>0</v>
      </c>
      <c r="T251" s="1608">
        <v>0</v>
      </c>
      <c r="U251" s="1600">
        <f t="shared" si="77"/>
        <v>0</v>
      </c>
      <c r="V251" s="1608">
        <v>0</v>
      </c>
      <c r="W251" s="1608">
        <v>0</v>
      </c>
      <c r="X251" s="1423">
        <f t="shared" si="75"/>
        <v>0</v>
      </c>
    </row>
    <row r="252" spans="1:24" ht="59.25" hidden="1" customHeight="1">
      <c r="A252" s="1867">
        <f>A251+1</f>
        <v>117</v>
      </c>
      <c r="B252" s="493" t="s">
        <v>1492</v>
      </c>
      <c r="C252" s="1867">
        <v>14091</v>
      </c>
      <c r="D252" s="1600">
        <f t="shared" si="49"/>
        <v>0</v>
      </c>
      <c r="E252" s="1614"/>
      <c r="F252" s="1614">
        <v>0</v>
      </c>
      <c r="G252" s="1600">
        <f t="shared" si="78"/>
        <v>0</v>
      </c>
      <c r="H252" s="1614"/>
      <c r="I252" s="1614">
        <v>0</v>
      </c>
      <c r="J252" s="1600">
        <f t="shared" si="74"/>
        <v>0</v>
      </c>
      <c r="K252" s="1614"/>
      <c r="L252" s="1614"/>
      <c r="M252" s="1604">
        <f t="shared" si="63"/>
        <v>0</v>
      </c>
      <c r="N252" s="1881">
        <f t="shared" si="64"/>
        <v>0</v>
      </c>
      <c r="O252" s="1881">
        <f t="shared" si="65"/>
        <v>0</v>
      </c>
      <c r="P252" s="1593" t="s">
        <v>1192</v>
      </c>
      <c r="Q252" s="1593" t="s">
        <v>1206</v>
      </c>
      <c r="R252" s="1600">
        <f t="shared" si="76"/>
        <v>200000</v>
      </c>
      <c r="S252" s="1614">
        <v>0</v>
      </c>
      <c r="T252" s="1614">
        <v>200000</v>
      </c>
      <c r="U252" s="1600">
        <f t="shared" si="77"/>
        <v>0</v>
      </c>
      <c r="V252" s="1608">
        <v>0</v>
      </c>
      <c r="W252" s="1608">
        <v>0</v>
      </c>
    </row>
    <row r="253" spans="1:24" s="484" customFormat="1" ht="45.75" hidden="1" customHeight="1">
      <c r="A253" s="1867">
        <v>117</v>
      </c>
      <c r="B253" s="1912" t="s">
        <v>1712</v>
      </c>
      <c r="C253" s="1913" t="s">
        <v>1546</v>
      </c>
      <c r="D253" s="1600">
        <f t="shared" si="49"/>
        <v>0</v>
      </c>
      <c r="E253" s="1608"/>
      <c r="F253" s="1608">
        <v>0</v>
      </c>
      <c r="G253" s="1600">
        <f t="shared" si="78"/>
        <v>0</v>
      </c>
      <c r="H253" s="1608"/>
      <c r="I253" s="1608">
        <v>0</v>
      </c>
      <c r="J253" s="1600">
        <f t="shared" si="74"/>
        <v>0</v>
      </c>
      <c r="K253" s="1608"/>
      <c r="L253" s="1608"/>
      <c r="M253" s="1893">
        <f t="shared" si="63"/>
        <v>0</v>
      </c>
      <c r="N253" s="1894">
        <f t="shared" si="64"/>
        <v>0</v>
      </c>
      <c r="O253" s="1894">
        <f t="shared" si="65"/>
        <v>0</v>
      </c>
      <c r="P253" s="1593" t="s">
        <v>1291</v>
      </c>
      <c r="Q253" s="1593" t="s">
        <v>1241</v>
      </c>
      <c r="R253" s="1600">
        <f t="shared" si="76"/>
        <v>0</v>
      </c>
      <c r="S253" s="1608">
        <v>0</v>
      </c>
      <c r="T253" s="1608">
        <v>0</v>
      </c>
      <c r="U253" s="1600">
        <f t="shared" si="77"/>
        <v>0</v>
      </c>
      <c r="V253" s="1608">
        <v>0</v>
      </c>
      <c r="W253" s="1608">
        <v>0</v>
      </c>
    </row>
    <row r="254" spans="1:24" ht="225" hidden="1" customHeight="1">
      <c r="A254" s="1946" t="s">
        <v>1671</v>
      </c>
      <c r="B254" s="1888" t="s">
        <v>1669</v>
      </c>
      <c r="C254" s="1867" t="s">
        <v>1549</v>
      </c>
      <c r="D254" s="1600">
        <f>SUM(E254:F254)</f>
        <v>0</v>
      </c>
      <c r="E254" s="1614"/>
      <c r="F254" s="1614"/>
      <c r="G254" s="1600">
        <f t="shared" si="78"/>
        <v>0</v>
      </c>
      <c r="H254" s="1614"/>
      <c r="I254" s="1614"/>
      <c r="J254" s="1600">
        <f>SUM(K254:L254)</f>
        <v>0</v>
      </c>
      <c r="K254" s="1614"/>
      <c r="L254" s="1614"/>
      <c r="M254" s="1604">
        <f t="shared" si="63"/>
        <v>0</v>
      </c>
      <c r="N254" s="1881">
        <f t="shared" si="64"/>
        <v>0</v>
      </c>
      <c r="O254" s="1881">
        <f t="shared" si="65"/>
        <v>0</v>
      </c>
      <c r="P254" s="1593" t="s">
        <v>1192</v>
      </c>
      <c r="Q254" s="1593" t="s">
        <v>1160</v>
      </c>
      <c r="R254" s="1600">
        <f>SUM(S254:T254)</f>
        <v>20985.5</v>
      </c>
      <c r="S254" s="1614">
        <v>0</v>
      </c>
      <c r="T254" s="1614">
        <v>20985.5</v>
      </c>
      <c r="U254" s="1600">
        <f>SUM(V254:W254)</f>
        <v>0</v>
      </c>
      <c r="V254" s="1614">
        <v>0</v>
      </c>
      <c r="W254" s="1614">
        <v>0</v>
      </c>
    </row>
    <row r="255" spans="1:24" s="791" customFormat="1" ht="46.5" customHeight="1">
      <c r="A255" s="2565" t="s">
        <v>456</v>
      </c>
      <c r="B255" s="2565"/>
      <c r="C255" s="1869"/>
      <c r="D255" s="1594">
        <f t="shared" si="49"/>
        <v>2247417.1</v>
      </c>
      <c r="E255" s="1594">
        <f>SUM(E256,E277)</f>
        <v>1652457.1</v>
      </c>
      <c r="F255" s="1594">
        <f>SUM(F256,F277)</f>
        <v>594960</v>
      </c>
      <c r="G255" s="1594">
        <f t="shared" si="78"/>
        <v>1347417.1</v>
      </c>
      <c r="H255" s="1594">
        <f>SUM(H256,H277)</f>
        <v>752457.1</v>
      </c>
      <c r="I255" s="1594">
        <f>SUM(I256,I277)</f>
        <v>594960</v>
      </c>
      <c r="J255" s="1594">
        <f t="shared" si="74"/>
        <v>488343.9</v>
      </c>
      <c r="K255" s="1594">
        <f>SUM(K256,K277)</f>
        <v>295910.59999999998</v>
      </c>
      <c r="L255" s="1594">
        <f>SUM(L256,L277)</f>
        <v>192433.3</v>
      </c>
      <c r="M255" s="1870">
        <f t="shared" si="63"/>
        <v>36.200000000000003</v>
      </c>
      <c r="N255" s="1871">
        <f t="shared" si="64"/>
        <v>39.299999999999997</v>
      </c>
      <c r="O255" s="1871">
        <f t="shared" si="65"/>
        <v>32.299999999999997</v>
      </c>
      <c r="P255" s="1940"/>
      <c r="Q255" s="1593" t="s">
        <v>1104</v>
      </c>
      <c r="R255" s="1594">
        <f t="shared" ref="R255:R270" si="79">SUM(S255:T255)</f>
        <v>998248</v>
      </c>
      <c r="S255" s="1594">
        <f>SUM(S256,S277)</f>
        <v>658766.30000000005</v>
      </c>
      <c r="T255" s="1594">
        <f>SUM(T256,T277)</f>
        <v>339481.7</v>
      </c>
      <c r="U255" s="1594">
        <f t="shared" ref="U255:U270" si="80">SUM(V255:W255)</f>
        <v>359443.8</v>
      </c>
      <c r="V255" s="1594">
        <f>SUM(V256,V277)</f>
        <v>15000</v>
      </c>
      <c r="W255" s="1594">
        <f>SUM(W256,W277)</f>
        <v>344443.8</v>
      </c>
      <c r="X255" s="1423">
        <f t="shared" ref="X255:X292" si="81">D255-G255</f>
        <v>900000</v>
      </c>
    </row>
    <row r="256" spans="1:24" ht="91.5" customHeight="1">
      <c r="A256" s="1867" t="s">
        <v>6</v>
      </c>
      <c r="B256" s="1872" t="s">
        <v>439</v>
      </c>
      <c r="C256" s="1873"/>
      <c r="D256" s="1861">
        <f>SUM(E256:F256)</f>
        <v>113151.5</v>
      </c>
      <c r="E256" s="1861">
        <f>E257</f>
        <v>0</v>
      </c>
      <c r="F256" s="1861">
        <f>F257</f>
        <v>113151.5</v>
      </c>
      <c r="G256" s="1861">
        <f>SUM(H256:I256)</f>
        <v>113151.5</v>
      </c>
      <c r="H256" s="1861">
        <f>H257</f>
        <v>0</v>
      </c>
      <c r="I256" s="1861">
        <f>I257</f>
        <v>113151.5</v>
      </c>
      <c r="J256" s="1861">
        <f>SUM(K256:L256)</f>
        <v>1490</v>
      </c>
      <c r="K256" s="1861">
        <f>K257</f>
        <v>0</v>
      </c>
      <c r="L256" s="1861">
        <f>L257</f>
        <v>1490</v>
      </c>
      <c r="M256" s="1874">
        <f t="shared" si="63"/>
        <v>1.3</v>
      </c>
      <c r="N256" s="1875">
        <f t="shared" si="64"/>
        <v>0</v>
      </c>
      <c r="O256" s="1875">
        <f t="shared" si="65"/>
        <v>1.3</v>
      </c>
      <c r="P256" s="1597" t="s">
        <v>353</v>
      </c>
      <c r="Q256" s="1597" t="s">
        <v>353</v>
      </c>
      <c r="R256" s="1861">
        <f t="shared" si="79"/>
        <v>1700</v>
      </c>
      <c r="S256" s="1861">
        <f>S257</f>
        <v>0</v>
      </c>
      <c r="T256" s="1861">
        <f>SUM(T257)</f>
        <v>1700</v>
      </c>
      <c r="U256" s="1861">
        <f t="shared" si="80"/>
        <v>0</v>
      </c>
      <c r="V256" s="1861">
        <f>V257</f>
        <v>0</v>
      </c>
      <c r="W256" s="1861">
        <f>SUM(W257)</f>
        <v>0</v>
      </c>
      <c r="X256" s="1423">
        <f t="shared" si="81"/>
        <v>0</v>
      </c>
    </row>
    <row r="257" spans="1:24" ht="21.75" customHeight="1">
      <c r="A257" s="1867" t="s">
        <v>253</v>
      </c>
      <c r="B257" s="1876" t="s">
        <v>1393</v>
      </c>
      <c r="C257" s="1877"/>
      <c r="D257" s="1598">
        <f>SUM(E257:F257)</f>
        <v>113151.5</v>
      </c>
      <c r="E257" s="1598">
        <f>E271+E258+E269+E275+E273</f>
        <v>0</v>
      </c>
      <c r="F257" s="1598">
        <f>F271+F258+F269+F275+F273</f>
        <v>113151.5</v>
      </c>
      <c r="G257" s="1598">
        <f>SUM(H257:I257)</f>
        <v>113151.5</v>
      </c>
      <c r="H257" s="1598">
        <f>H271+H258+H269+H275+H273</f>
        <v>0</v>
      </c>
      <c r="I257" s="1598">
        <f>I271+I258+I269+I275+I273</f>
        <v>113151.5</v>
      </c>
      <c r="J257" s="1598">
        <f>SUM(K257:L257)</f>
        <v>1490</v>
      </c>
      <c r="K257" s="1598">
        <f>K271+K258+K269+K275+K273</f>
        <v>0</v>
      </c>
      <c r="L257" s="1598">
        <f>L271+L258+L269+L275+L273</f>
        <v>1490</v>
      </c>
      <c r="M257" s="1598">
        <f t="shared" si="63"/>
        <v>1.3</v>
      </c>
      <c r="N257" s="1598">
        <f t="shared" si="64"/>
        <v>0</v>
      </c>
      <c r="O257" s="1598">
        <f t="shared" si="65"/>
        <v>1.3</v>
      </c>
      <c r="P257" s="1598">
        <f>P271+P258</f>
        <v>0</v>
      </c>
      <c r="Q257" s="1598">
        <f>Q271+Q258</f>
        <v>0</v>
      </c>
      <c r="R257" s="1598">
        <f t="shared" si="79"/>
        <v>1700</v>
      </c>
      <c r="S257" s="1598">
        <f>S271+S258+S269+S275</f>
        <v>0</v>
      </c>
      <c r="T257" s="1598">
        <f>T271+T258+T269+T275+1000</f>
        <v>1700</v>
      </c>
      <c r="U257" s="1598">
        <f t="shared" si="80"/>
        <v>0</v>
      </c>
      <c r="V257" s="1598">
        <f>V271+V258+V269+V275</f>
        <v>0</v>
      </c>
      <c r="W257" s="1598">
        <f>W271+W258+W269+W275</f>
        <v>0</v>
      </c>
      <c r="X257" s="1423">
        <f t="shared" si="81"/>
        <v>0</v>
      </c>
    </row>
    <row r="258" spans="1:24" ht="23.25" customHeight="1">
      <c r="A258" s="1867"/>
      <c r="B258" s="506" t="s">
        <v>283</v>
      </c>
      <c r="C258" s="1866"/>
      <c r="D258" s="1602">
        <f t="shared" ref="D258:D322" si="82">SUM(E258:F258)</f>
        <v>106821.5</v>
      </c>
      <c r="E258" s="1601">
        <f>SUM(E259:E267)</f>
        <v>0</v>
      </c>
      <c r="F258" s="1601">
        <f>SUM(F259:F268)</f>
        <v>106821.5</v>
      </c>
      <c r="G258" s="1602">
        <f>SUBTOTAL(9,G259:G268)</f>
        <v>106821.5</v>
      </c>
      <c r="H258" s="1601">
        <f>SUM(H259:H267)</f>
        <v>0</v>
      </c>
      <c r="I258" s="1602">
        <f>SUBTOTAL(9,I259:I268)</f>
        <v>106821.5</v>
      </c>
      <c r="J258" s="1602">
        <f t="shared" si="74"/>
        <v>0</v>
      </c>
      <c r="K258" s="1601">
        <f>SUM(K259:K267)</f>
        <v>0</v>
      </c>
      <c r="L258" s="1601">
        <f>SUM(L259:L267)</f>
        <v>0</v>
      </c>
      <c r="M258" s="1603">
        <f t="shared" si="63"/>
        <v>0</v>
      </c>
      <c r="N258" s="1603">
        <f t="shared" si="64"/>
        <v>0</v>
      </c>
      <c r="O258" s="1603">
        <f t="shared" si="65"/>
        <v>0</v>
      </c>
      <c r="P258" s="1603">
        <f>SUM(P259:P267)</f>
        <v>0</v>
      </c>
      <c r="Q258" s="1603">
        <f>SUM(Q259:Q267)</f>
        <v>0</v>
      </c>
      <c r="R258" s="1602">
        <f t="shared" si="79"/>
        <v>0</v>
      </c>
      <c r="S258" s="1601">
        <f>SUM(S259:S267)</f>
        <v>0</v>
      </c>
      <c r="T258" s="1601">
        <f>SUM(T259:T267)</f>
        <v>0</v>
      </c>
      <c r="U258" s="1602">
        <f t="shared" si="80"/>
        <v>0</v>
      </c>
      <c r="V258" s="1601">
        <f>SUM(V259:V267)</f>
        <v>0</v>
      </c>
      <c r="W258" s="1601">
        <f>SUM(W259:W267)</f>
        <v>0</v>
      </c>
      <c r="X258" s="1423">
        <f t="shared" si="81"/>
        <v>0</v>
      </c>
    </row>
    <row r="259" spans="1:24" s="1566" customFormat="1" ht="62.25" customHeight="1">
      <c r="A259" s="1867">
        <v>1</v>
      </c>
      <c r="B259" s="1889" t="s">
        <v>1571</v>
      </c>
      <c r="C259" s="1866"/>
      <c r="D259" s="1602">
        <f t="shared" si="82"/>
        <v>10852.7</v>
      </c>
      <c r="E259" s="1601"/>
      <c r="F259" s="1619">
        <f>10687+165.7</f>
        <v>10852.7</v>
      </c>
      <c r="G259" s="1602">
        <f t="shared" si="78"/>
        <v>10852.7</v>
      </c>
      <c r="H259" s="1601"/>
      <c r="I259" s="1619">
        <f>F259</f>
        <v>10852.7</v>
      </c>
      <c r="J259" s="1602">
        <f t="shared" si="74"/>
        <v>0</v>
      </c>
      <c r="K259" s="1601"/>
      <c r="L259" s="1619"/>
      <c r="M259" s="1602">
        <f t="shared" si="63"/>
        <v>0</v>
      </c>
      <c r="N259" s="1600">
        <f t="shared" si="64"/>
        <v>0</v>
      </c>
      <c r="O259" s="1619">
        <f t="shared" si="65"/>
        <v>0</v>
      </c>
      <c r="P259" s="1599"/>
      <c r="Q259" s="1599"/>
      <c r="R259" s="1602">
        <f t="shared" si="79"/>
        <v>0</v>
      </c>
      <c r="S259" s="1619">
        <v>0</v>
      </c>
      <c r="T259" s="1619">
        <v>0</v>
      </c>
      <c r="U259" s="1602">
        <f t="shared" si="80"/>
        <v>0</v>
      </c>
      <c r="V259" s="1619">
        <v>0</v>
      </c>
      <c r="W259" s="1619">
        <v>0</v>
      </c>
      <c r="X259" s="1423">
        <f t="shared" si="81"/>
        <v>0</v>
      </c>
    </row>
    <row r="260" spans="1:24" s="1566" customFormat="1" ht="60.75" customHeight="1">
      <c r="A260" s="1867">
        <f>A259+1</f>
        <v>2</v>
      </c>
      <c r="B260" s="1889" t="s">
        <v>1665</v>
      </c>
      <c r="C260" s="1866"/>
      <c r="D260" s="1602">
        <f t="shared" si="82"/>
        <v>19800</v>
      </c>
      <c r="E260" s="1601"/>
      <c r="F260" s="1619">
        <v>19800</v>
      </c>
      <c r="G260" s="1602">
        <f t="shared" si="78"/>
        <v>19800</v>
      </c>
      <c r="H260" s="1601"/>
      <c r="I260" s="1619">
        <f t="shared" ref="I260:I268" si="83">F260</f>
        <v>19800</v>
      </c>
      <c r="J260" s="1602">
        <f t="shared" si="74"/>
        <v>0</v>
      </c>
      <c r="K260" s="1601"/>
      <c r="L260" s="1619"/>
      <c r="M260" s="1602">
        <f t="shared" si="63"/>
        <v>0</v>
      </c>
      <c r="N260" s="1600">
        <f t="shared" si="64"/>
        <v>0</v>
      </c>
      <c r="O260" s="1619">
        <f t="shared" si="65"/>
        <v>0</v>
      </c>
      <c r="P260" s="1599"/>
      <c r="Q260" s="1599"/>
      <c r="R260" s="1602">
        <f t="shared" si="79"/>
        <v>0</v>
      </c>
      <c r="S260" s="1619">
        <v>0</v>
      </c>
      <c r="T260" s="1619">
        <v>0</v>
      </c>
      <c r="U260" s="1602">
        <f t="shared" si="80"/>
        <v>0</v>
      </c>
      <c r="V260" s="1619">
        <v>0</v>
      </c>
      <c r="W260" s="1619">
        <v>0</v>
      </c>
      <c r="X260" s="1423">
        <f t="shared" si="81"/>
        <v>0</v>
      </c>
    </row>
    <row r="261" spans="1:24" s="1566" customFormat="1" ht="66.75" customHeight="1">
      <c r="A261" s="1867">
        <f t="shared" ref="A261:A266" si="84">A260+1</f>
        <v>3</v>
      </c>
      <c r="B261" s="1889" t="s">
        <v>1575</v>
      </c>
      <c r="C261" s="1866"/>
      <c r="D261" s="1602">
        <f t="shared" si="82"/>
        <v>7650</v>
      </c>
      <c r="E261" s="1601"/>
      <c r="F261" s="1619">
        <v>7650</v>
      </c>
      <c r="G261" s="1602">
        <f t="shared" si="78"/>
        <v>7650</v>
      </c>
      <c r="H261" s="1601"/>
      <c r="I261" s="1619">
        <f t="shared" si="83"/>
        <v>7650</v>
      </c>
      <c r="J261" s="1602">
        <f t="shared" si="74"/>
        <v>0</v>
      </c>
      <c r="K261" s="1601"/>
      <c r="L261" s="1619"/>
      <c r="M261" s="1602">
        <f t="shared" si="63"/>
        <v>0</v>
      </c>
      <c r="N261" s="1600">
        <f t="shared" si="64"/>
        <v>0</v>
      </c>
      <c r="O261" s="1619">
        <f t="shared" si="65"/>
        <v>0</v>
      </c>
      <c r="P261" s="1599"/>
      <c r="Q261" s="1599"/>
      <c r="R261" s="1602">
        <f t="shared" si="79"/>
        <v>0</v>
      </c>
      <c r="S261" s="1619">
        <v>0</v>
      </c>
      <c r="T261" s="1619">
        <v>0</v>
      </c>
      <c r="U261" s="1602">
        <f t="shared" si="80"/>
        <v>0</v>
      </c>
      <c r="V261" s="1619">
        <v>0</v>
      </c>
      <c r="W261" s="1619">
        <v>0</v>
      </c>
      <c r="X261" s="1423">
        <f t="shared" si="81"/>
        <v>0</v>
      </c>
    </row>
    <row r="262" spans="1:24" s="1566" customFormat="1" ht="76.5" customHeight="1">
      <c r="A262" s="1867">
        <f t="shared" si="84"/>
        <v>4</v>
      </c>
      <c r="B262" s="1889" t="s">
        <v>1666</v>
      </c>
      <c r="C262" s="1866"/>
      <c r="D262" s="1602">
        <f t="shared" si="82"/>
        <v>19800</v>
      </c>
      <c r="E262" s="1601"/>
      <c r="F262" s="1619">
        <v>19800</v>
      </c>
      <c r="G262" s="1602">
        <f t="shared" si="78"/>
        <v>19800</v>
      </c>
      <c r="H262" s="1601"/>
      <c r="I262" s="1619">
        <f t="shared" si="83"/>
        <v>19800</v>
      </c>
      <c r="J262" s="1602">
        <f t="shared" si="74"/>
        <v>0</v>
      </c>
      <c r="K262" s="1601"/>
      <c r="L262" s="1619"/>
      <c r="M262" s="1602">
        <f t="shared" si="63"/>
        <v>0</v>
      </c>
      <c r="N262" s="1600">
        <f t="shared" si="64"/>
        <v>0</v>
      </c>
      <c r="O262" s="1619">
        <f t="shared" si="65"/>
        <v>0</v>
      </c>
      <c r="P262" s="1599"/>
      <c r="Q262" s="1599"/>
      <c r="R262" s="1602">
        <f t="shared" si="79"/>
        <v>0</v>
      </c>
      <c r="S262" s="1619">
        <v>0</v>
      </c>
      <c r="T262" s="1619">
        <v>0</v>
      </c>
      <c r="U262" s="1602">
        <f t="shared" si="80"/>
        <v>0</v>
      </c>
      <c r="V262" s="1619">
        <v>0</v>
      </c>
      <c r="W262" s="1619">
        <v>0</v>
      </c>
      <c r="X262" s="1423">
        <f t="shared" si="81"/>
        <v>0</v>
      </c>
    </row>
    <row r="263" spans="1:24" s="1566" customFormat="1" ht="63" customHeight="1">
      <c r="A263" s="1867">
        <f t="shared" si="84"/>
        <v>5</v>
      </c>
      <c r="B263" s="1889" t="s">
        <v>1573</v>
      </c>
      <c r="C263" s="1866"/>
      <c r="D263" s="1602">
        <f t="shared" si="82"/>
        <v>17670</v>
      </c>
      <c r="E263" s="1601"/>
      <c r="F263" s="1619">
        <v>17670</v>
      </c>
      <c r="G263" s="1602">
        <f t="shared" si="78"/>
        <v>17670</v>
      </c>
      <c r="H263" s="1601"/>
      <c r="I263" s="1619">
        <f t="shared" si="83"/>
        <v>17670</v>
      </c>
      <c r="J263" s="1602">
        <f t="shared" si="74"/>
        <v>0</v>
      </c>
      <c r="K263" s="1601"/>
      <c r="L263" s="1619"/>
      <c r="M263" s="1602">
        <f t="shared" si="63"/>
        <v>0</v>
      </c>
      <c r="N263" s="1600">
        <f t="shared" si="64"/>
        <v>0</v>
      </c>
      <c r="O263" s="1619">
        <f t="shared" si="65"/>
        <v>0</v>
      </c>
      <c r="P263" s="1599"/>
      <c r="Q263" s="1599"/>
      <c r="R263" s="1602">
        <f t="shared" si="79"/>
        <v>0</v>
      </c>
      <c r="S263" s="1619">
        <v>0</v>
      </c>
      <c r="T263" s="1619">
        <v>0</v>
      </c>
      <c r="U263" s="1602">
        <f t="shared" si="80"/>
        <v>0</v>
      </c>
      <c r="V263" s="1619">
        <v>0</v>
      </c>
      <c r="W263" s="1619">
        <v>0</v>
      </c>
      <c r="X263" s="1423">
        <f t="shared" si="81"/>
        <v>0</v>
      </c>
    </row>
    <row r="264" spans="1:24" s="1566" customFormat="1" ht="57.75" customHeight="1">
      <c r="A264" s="1867">
        <f t="shared" si="84"/>
        <v>6</v>
      </c>
      <c r="B264" s="1889" t="s">
        <v>1605</v>
      </c>
      <c r="C264" s="1866"/>
      <c r="D264" s="1602">
        <f t="shared" si="82"/>
        <v>1176</v>
      </c>
      <c r="E264" s="1601"/>
      <c r="F264" s="1619">
        <v>1176</v>
      </c>
      <c r="G264" s="1602">
        <f t="shared" si="78"/>
        <v>1176</v>
      </c>
      <c r="H264" s="1601"/>
      <c r="I264" s="1619">
        <f t="shared" si="83"/>
        <v>1176</v>
      </c>
      <c r="J264" s="1602">
        <f t="shared" si="74"/>
        <v>0</v>
      </c>
      <c r="K264" s="1601"/>
      <c r="L264" s="1619"/>
      <c r="M264" s="1604">
        <f t="shared" si="63"/>
        <v>0</v>
      </c>
      <c r="N264" s="1600">
        <f t="shared" si="64"/>
        <v>0</v>
      </c>
      <c r="O264" s="1619">
        <f t="shared" si="65"/>
        <v>0</v>
      </c>
      <c r="P264" s="1599"/>
      <c r="Q264" s="1599"/>
      <c r="R264" s="1602">
        <f t="shared" si="79"/>
        <v>0</v>
      </c>
      <c r="S264" s="1619">
        <v>0</v>
      </c>
      <c r="T264" s="1619">
        <v>0</v>
      </c>
      <c r="U264" s="1602">
        <f t="shared" si="80"/>
        <v>0</v>
      </c>
      <c r="V264" s="1619">
        <v>0</v>
      </c>
      <c r="W264" s="1619">
        <v>0</v>
      </c>
      <c r="X264" s="1423">
        <f t="shared" si="81"/>
        <v>0</v>
      </c>
    </row>
    <row r="265" spans="1:24" s="1566" customFormat="1" ht="55.5" customHeight="1">
      <c r="A265" s="1867">
        <f t="shared" si="84"/>
        <v>7</v>
      </c>
      <c r="B265" s="1889" t="s">
        <v>1572</v>
      </c>
      <c r="C265" s="1866"/>
      <c r="D265" s="1602">
        <f t="shared" si="82"/>
        <v>3822</v>
      </c>
      <c r="E265" s="1601"/>
      <c r="F265" s="1619">
        <v>3822</v>
      </c>
      <c r="G265" s="1602">
        <f t="shared" si="78"/>
        <v>3822</v>
      </c>
      <c r="H265" s="1601"/>
      <c r="I265" s="1619">
        <f t="shared" si="83"/>
        <v>3822</v>
      </c>
      <c r="J265" s="1602">
        <f t="shared" si="74"/>
        <v>0</v>
      </c>
      <c r="K265" s="1601"/>
      <c r="L265" s="1619"/>
      <c r="M265" s="1602">
        <f t="shared" si="63"/>
        <v>0</v>
      </c>
      <c r="N265" s="1600">
        <f t="shared" si="64"/>
        <v>0</v>
      </c>
      <c r="O265" s="1619">
        <f t="shared" si="65"/>
        <v>0</v>
      </c>
      <c r="P265" s="1599"/>
      <c r="Q265" s="1599"/>
      <c r="R265" s="1602">
        <f t="shared" si="79"/>
        <v>0</v>
      </c>
      <c r="S265" s="1619">
        <v>0</v>
      </c>
      <c r="T265" s="1619">
        <v>0</v>
      </c>
      <c r="U265" s="1602">
        <f t="shared" si="80"/>
        <v>0</v>
      </c>
      <c r="V265" s="1619">
        <v>0</v>
      </c>
      <c r="W265" s="1619">
        <v>0</v>
      </c>
      <c r="X265" s="1423">
        <f t="shared" si="81"/>
        <v>0</v>
      </c>
    </row>
    <row r="266" spans="1:24" s="1566" customFormat="1" ht="39.75" customHeight="1">
      <c r="A266" s="1867">
        <f t="shared" si="84"/>
        <v>8</v>
      </c>
      <c r="B266" s="1889" t="s">
        <v>1570</v>
      </c>
      <c r="C266" s="1866"/>
      <c r="D266" s="1602">
        <f t="shared" si="82"/>
        <v>4116</v>
      </c>
      <c r="E266" s="1601"/>
      <c r="F266" s="1619">
        <v>4116</v>
      </c>
      <c r="G266" s="1602">
        <f t="shared" si="78"/>
        <v>4116</v>
      </c>
      <c r="H266" s="1601"/>
      <c r="I266" s="1619">
        <f t="shared" si="83"/>
        <v>4116</v>
      </c>
      <c r="J266" s="1602">
        <f t="shared" si="74"/>
        <v>0</v>
      </c>
      <c r="K266" s="1601"/>
      <c r="L266" s="1619"/>
      <c r="M266" s="1602">
        <f t="shared" si="63"/>
        <v>0</v>
      </c>
      <c r="N266" s="1600">
        <f t="shared" si="64"/>
        <v>0</v>
      </c>
      <c r="O266" s="1619">
        <f t="shared" si="65"/>
        <v>0</v>
      </c>
      <c r="P266" s="1599"/>
      <c r="Q266" s="1599"/>
      <c r="R266" s="1602">
        <f t="shared" si="79"/>
        <v>0</v>
      </c>
      <c r="S266" s="1619">
        <v>0</v>
      </c>
      <c r="T266" s="1619">
        <v>0</v>
      </c>
      <c r="U266" s="1602">
        <f t="shared" si="80"/>
        <v>0</v>
      </c>
      <c r="V266" s="1619">
        <v>0</v>
      </c>
      <c r="W266" s="1619">
        <v>0</v>
      </c>
      <c r="X266" s="1423">
        <f t="shared" si="81"/>
        <v>0</v>
      </c>
    </row>
    <row r="267" spans="1:24" s="1566" customFormat="1" ht="39" customHeight="1">
      <c r="A267" s="1867">
        <f>A266+1</f>
        <v>9</v>
      </c>
      <c r="B267" s="1905" t="s">
        <v>1569</v>
      </c>
      <c r="C267" s="1906"/>
      <c r="D267" s="1602">
        <f t="shared" si="82"/>
        <v>19450</v>
      </c>
      <c r="E267" s="1600"/>
      <c r="F267" s="1619">
        <v>19450</v>
      </c>
      <c r="G267" s="1602">
        <f t="shared" si="78"/>
        <v>19450</v>
      </c>
      <c r="H267" s="1600"/>
      <c r="I267" s="1619">
        <f t="shared" si="83"/>
        <v>19450</v>
      </c>
      <c r="J267" s="1602">
        <f t="shared" si="74"/>
        <v>0</v>
      </c>
      <c r="K267" s="1600"/>
      <c r="L267" s="1619"/>
      <c r="M267" s="1602">
        <f t="shared" si="63"/>
        <v>0</v>
      </c>
      <c r="N267" s="1600">
        <f t="shared" si="64"/>
        <v>0</v>
      </c>
      <c r="O267" s="1619">
        <f t="shared" si="65"/>
        <v>0</v>
      </c>
      <c r="P267" s="1599"/>
      <c r="Q267" s="1599"/>
      <c r="R267" s="1602">
        <f t="shared" si="79"/>
        <v>0</v>
      </c>
      <c r="S267" s="1619">
        <v>0</v>
      </c>
      <c r="T267" s="1619">
        <v>0</v>
      </c>
      <c r="U267" s="1602">
        <f t="shared" si="80"/>
        <v>0</v>
      </c>
      <c r="V267" s="1619">
        <v>0</v>
      </c>
      <c r="W267" s="1619">
        <v>0</v>
      </c>
      <c r="X267" s="1423">
        <f t="shared" si="81"/>
        <v>0</v>
      </c>
    </row>
    <row r="268" spans="1:24" s="1566" customFormat="1" ht="63.75" customHeight="1">
      <c r="A268" s="2004">
        <v>10</v>
      </c>
      <c r="B268" s="1926" t="s">
        <v>1708</v>
      </c>
      <c r="C268" s="1906"/>
      <c r="D268" s="1602">
        <f>SUM(E268:F268)</f>
        <v>2484.8000000000002</v>
      </c>
      <c r="E268" s="1600"/>
      <c r="F268" s="1619">
        <v>2484.8000000000002</v>
      </c>
      <c r="G268" s="1602">
        <f>SUM(H268:I268)</f>
        <v>2484.8000000000002</v>
      </c>
      <c r="H268" s="1600"/>
      <c r="I268" s="1619">
        <f t="shared" si="83"/>
        <v>2484.8000000000002</v>
      </c>
      <c r="J268" s="1602">
        <f>SUM(K268:L268)</f>
        <v>0</v>
      </c>
      <c r="K268" s="1600"/>
      <c r="L268" s="1619"/>
      <c r="M268" s="1602">
        <f t="shared" si="63"/>
        <v>0</v>
      </c>
      <c r="N268" s="1600">
        <f t="shared" si="64"/>
        <v>0</v>
      </c>
      <c r="O268" s="1619">
        <f t="shared" si="65"/>
        <v>0</v>
      </c>
      <c r="P268" s="1599"/>
      <c r="Q268" s="1599"/>
      <c r="R268" s="1602"/>
      <c r="S268" s="1619"/>
      <c r="T268" s="1619"/>
      <c r="U268" s="1602"/>
      <c r="V268" s="1619"/>
      <c r="W268" s="1619"/>
      <c r="X268" s="1423">
        <f t="shared" si="81"/>
        <v>0</v>
      </c>
    </row>
    <row r="269" spans="1:24" s="1566" customFormat="1" ht="23.25">
      <c r="A269" s="1867"/>
      <c r="B269" s="506" t="s">
        <v>615</v>
      </c>
      <c r="C269" s="1866">
        <v>24340</v>
      </c>
      <c r="D269" s="1600">
        <f t="shared" si="82"/>
        <v>3840</v>
      </c>
      <c r="E269" s="1601">
        <f>SUM(E270)</f>
        <v>0</v>
      </c>
      <c r="F269" s="1601">
        <f>SUM(F270)</f>
        <v>3840</v>
      </c>
      <c r="G269" s="1600">
        <f t="shared" si="78"/>
        <v>3840</v>
      </c>
      <c r="H269" s="1601">
        <f>SUM(H270)</f>
        <v>0</v>
      </c>
      <c r="I269" s="1601">
        <f>SUM(I270)</f>
        <v>3840</v>
      </c>
      <c r="J269" s="1600">
        <f t="shared" si="74"/>
        <v>0</v>
      </c>
      <c r="K269" s="1601">
        <f>SUM(K270)</f>
        <v>0</v>
      </c>
      <c r="L269" s="1601">
        <f>SUM(L270)</f>
        <v>0</v>
      </c>
      <c r="M269" s="1604">
        <f t="shared" ref="M269:M330" si="85">IF(J269=0,0,J269/G269*100)</f>
        <v>0</v>
      </c>
      <c r="N269" s="1881">
        <f t="shared" ref="N269:N330" si="86">IF(K269=0,0,K269/H269*100)</f>
        <v>0</v>
      </c>
      <c r="O269" s="1881">
        <f t="shared" ref="O269:O330" si="87">IF(L269=0,0,L269/I269*100)</f>
        <v>0</v>
      </c>
      <c r="P269" s="1599"/>
      <c r="Q269" s="1599"/>
      <c r="R269" s="1602">
        <f t="shared" si="79"/>
        <v>0</v>
      </c>
      <c r="S269" s="1619">
        <v>0</v>
      </c>
      <c r="T269" s="1619">
        <v>0</v>
      </c>
      <c r="U269" s="1602">
        <f t="shared" si="80"/>
        <v>0</v>
      </c>
      <c r="V269" s="1600">
        <v>0</v>
      </c>
      <c r="W269" s="1600">
        <v>0</v>
      </c>
      <c r="X269" s="1423">
        <f t="shared" si="81"/>
        <v>0</v>
      </c>
    </row>
    <row r="270" spans="1:24" s="1566" customFormat="1" ht="96" customHeight="1">
      <c r="A270" s="1867">
        <v>11</v>
      </c>
      <c r="B270" s="1926" t="s">
        <v>1420</v>
      </c>
      <c r="C270" s="1866">
        <v>24340</v>
      </c>
      <c r="D270" s="1600">
        <f t="shared" si="82"/>
        <v>3840</v>
      </c>
      <c r="E270" s="1608"/>
      <c r="F270" s="1608">
        <v>3840</v>
      </c>
      <c r="G270" s="1600">
        <f t="shared" si="78"/>
        <v>3840</v>
      </c>
      <c r="H270" s="1608"/>
      <c r="I270" s="1608">
        <v>3840</v>
      </c>
      <c r="J270" s="1600">
        <f t="shared" si="74"/>
        <v>0</v>
      </c>
      <c r="K270" s="1608"/>
      <c r="L270" s="1608"/>
      <c r="M270" s="1604">
        <f t="shared" si="85"/>
        <v>0</v>
      </c>
      <c r="N270" s="1881">
        <f t="shared" si="86"/>
        <v>0</v>
      </c>
      <c r="O270" s="1881">
        <f t="shared" si="87"/>
        <v>0</v>
      </c>
      <c r="P270" s="1599"/>
      <c r="Q270" s="1599"/>
      <c r="R270" s="1602">
        <f t="shared" si="79"/>
        <v>0</v>
      </c>
      <c r="S270" s="1619">
        <v>0</v>
      </c>
      <c r="T270" s="1619">
        <v>0</v>
      </c>
      <c r="U270" s="1602">
        <f t="shared" si="80"/>
        <v>0</v>
      </c>
      <c r="V270" s="1619">
        <v>0</v>
      </c>
      <c r="W270" s="1619">
        <v>0</v>
      </c>
      <c r="X270" s="1423">
        <f t="shared" si="81"/>
        <v>0</v>
      </c>
    </row>
    <row r="271" spans="1:24" s="1566" customFormat="1" ht="21" customHeight="1">
      <c r="A271" s="1867"/>
      <c r="B271" s="506" t="s">
        <v>431</v>
      </c>
      <c r="C271" s="1866"/>
      <c r="D271" s="1602">
        <f t="shared" si="82"/>
        <v>500</v>
      </c>
      <c r="E271" s="1601">
        <f>SUM(E272)</f>
        <v>0</v>
      </c>
      <c r="F271" s="1601">
        <f>SUM(F272)</f>
        <v>500</v>
      </c>
      <c r="G271" s="1602">
        <f t="shared" si="78"/>
        <v>500</v>
      </c>
      <c r="H271" s="1601">
        <f>SUM(H272)</f>
        <v>0</v>
      </c>
      <c r="I271" s="1601">
        <f>SUM(I272)</f>
        <v>500</v>
      </c>
      <c r="J271" s="1602">
        <f t="shared" si="74"/>
        <v>0</v>
      </c>
      <c r="K271" s="1601">
        <f>SUM(K272)</f>
        <v>0</v>
      </c>
      <c r="L271" s="1601">
        <f>SUM(L272)</f>
        <v>0</v>
      </c>
      <c r="M271" s="1604">
        <f t="shared" si="85"/>
        <v>0</v>
      </c>
      <c r="N271" s="1881">
        <f t="shared" si="86"/>
        <v>0</v>
      </c>
      <c r="O271" s="1881">
        <f t="shared" si="87"/>
        <v>0</v>
      </c>
      <c r="P271" s="1940"/>
      <c r="Q271" s="1593"/>
      <c r="R271" s="1602">
        <f>SUM(S271:T271)</f>
        <v>700</v>
      </c>
      <c r="S271" s="1601">
        <f>SUM(S272)</f>
        <v>0</v>
      </c>
      <c r="T271" s="1601">
        <f>SUM(T272)</f>
        <v>700</v>
      </c>
      <c r="U271" s="1602">
        <f>SUM(V271:W271)</f>
        <v>0</v>
      </c>
      <c r="V271" s="1601">
        <f>SUM(V272)</f>
        <v>0</v>
      </c>
      <c r="W271" s="1601">
        <f>SUM(W272)</f>
        <v>0</v>
      </c>
      <c r="X271" s="1423">
        <f t="shared" si="81"/>
        <v>0</v>
      </c>
    </row>
    <row r="272" spans="1:24" s="1566" customFormat="1" ht="38.25" customHeight="1">
      <c r="A272" s="1867">
        <f>A270+1</f>
        <v>12</v>
      </c>
      <c r="B272" s="1926" t="s">
        <v>1664</v>
      </c>
      <c r="C272" s="1866">
        <v>24340</v>
      </c>
      <c r="D272" s="1602">
        <f t="shared" si="82"/>
        <v>500</v>
      </c>
      <c r="E272" s="1608"/>
      <c r="F272" s="1608">
        <v>500</v>
      </c>
      <c r="G272" s="1602">
        <f t="shared" si="78"/>
        <v>500</v>
      </c>
      <c r="H272" s="1608"/>
      <c r="I272" s="1608">
        <v>500</v>
      </c>
      <c r="J272" s="1602">
        <f t="shared" si="74"/>
        <v>0</v>
      </c>
      <c r="K272" s="1608"/>
      <c r="L272" s="1608"/>
      <c r="M272" s="1604">
        <f t="shared" si="85"/>
        <v>0</v>
      </c>
      <c r="N272" s="1881">
        <f t="shared" si="86"/>
        <v>0</v>
      </c>
      <c r="O272" s="1881">
        <f t="shared" si="87"/>
        <v>0</v>
      </c>
      <c r="P272" s="1940"/>
      <c r="Q272" s="1593"/>
      <c r="R272" s="1602">
        <f>SUM(S272:T272)</f>
        <v>700</v>
      </c>
      <c r="S272" s="1616">
        <v>0</v>
      </c>
      <c r="T272" s="1616">
        <v>700</v>
      </c>
      <c r="U272" s="1602">
        <f>SUM(V272:W272)</f>
        <v>0</v>
      </c>
      <c r="V272" s="1616">
        <v>0</v>
      </c>
      <c r="W272" s="1616">
        <v>0</v>
      </c>
      <c r="X272" s="1423">
        <f t="shared" si="81"/>
        <v>0</v>
      </c>
    </row>
    <row r="273" spans="1:24" s="1566" customFormat="1" ht="23.25">
      <c r="A273" s="1961"/>
      <c r="B273" s="1974" t="s">
        <v>1688</v>
      </c>
      <c r="C273" s="1866"/>
      <c r="D273" s="1602">
        <f>SUM(E273:F273)</f>
        <v>1490</v>
      </c>
      <c r="E273" s="1601">
        <f>SUM(E274)</f>
        <v>0</v>
      </c>
      <c r="F273" s="1601">
        <f>SUM(F274)</f>
        <v>1490</v>
      </c>
      <c r="G273" s="1602">
        <f>SUM(H273:I273)</f>
        <v>1490</v>
      </c>
      <c r="H273" s="1601">
        <f>SUM(H274)</f>
        <v>0</v>
      </c>
      <c r="I273" s="1601">
        <f>SUM(I274)</f>
        <v>1490</v>
      </c>
      <c r="J273" s="1602">
        <f>SUM(K273:L273)</f>
        <v>1490</v>
      </c>
      <c r="K273" s="1601">
        <f>SUM(K274)</f>
        <v>0</v>
      </c>
      <c r="L273" s="1601">
        <f>SUM(L274)</f>
        <v>1490</v>
      </c>
      <c r="M273" s="1604">
        <f t="shared" si="85"/>
        <v>100</v>
      </c>
      <c r="N273" s="1881">
        <f t="shared" si="86"/>
        <v>0</v>
      </c>
      <c r="O273" s="1881">
        <f t="shared" si="87"/>
        <v>100</v>
      </c>
      <c r="P273" s="1940"/>
      <c r="Q273" s="1593"/>
      <c r="R273" s="1602"/>
      <c r="S273" s="1616"/>
      <c r="T273" s="1616"/>
      <c r="U273" s="1602"/>
      <c r="V273" s="1616"/>
      <c r="W273" s="1616"/>
      <c r="X273" s="1423">
        <f t="shared" si="81"/>
        <v>0</v>
      </c>
    </row>
    <row r="274" spans="1:24" s="1566" customFormat="1" ht="75">
      <c r="A274" s="1961">
        <v>13</v>
      </c>
      <c r="B274" s="1926" t="s">
        <v>1689</v>
      </c>
      <c r="C274" s="1866"/>
      <c r="D274" s="1602">
        <f>SUM(E274:F274)</f>
        <v>1490</v>
      </c>
      <c r="E274" s="1608"/>
      <c r="F274" s="1608">
        <v>1490</v>
      </c>
      <c r="G274" s="1602">
        <f>SUM(H274:I274)</f>
        <v>1490</v>
      </c>
      <c r="H274" s="1608"/>
      <c r="I274" s="1608">
        <v>1490</v>
      </c>
      <c r="J274" s="1602">
        <f>SUM(K274:L274)</f>
        <v>1490</v>
      </c>
      <c r="K274" s="1608"/>
      <c r="L274" s="1608">
        <v>1490</v>
      </c>
      <c r="M274" s="1604">
        <f t="shared" si="85"/>
        <v>100</v>
      </c>
      <c r="N274" s="1881">
        <f t="shared" si="86"/>
        <v>0</v>
      </c>
      <c r="O274" s="1881">
        <f t="shared" si="87"/>
        <v>100</v>
      </c>
      <c r="P274" s="1940"/>
      <c r="Q274" s="1593"/>
      <c r="R274" s="1602"/>
      <c r="S274" s="1616"/>
      <c r="T274" s="1616"/>
      <c r="U274" s="1602"/>
      <c r="V274" s="1616"/>
      <c r="W274" s="1616"/>
      <c r="X274" s="1423">
        <f t="shared" si="81"/>
        <v>0</v>
      </c>
    </row>
    <row r="275" spans="1:24" s="1566" customFormat="1" ht="24" customHeight="1">
      <c r="A275" s="1867"/>
      <c r="B275" s="506" t="s">
        <v>46</v>
      </c>
      <c r="C275" s="1866"/>
      <c r="D275" s="1602">
        <f t="shared" si="82"/>
        <v>500</v>
      </c>
      <c r="E275" s="1601">
        <f>SUM(E276)</f>
        <v>0</v>
      </c>
      <c r="F275" s="1601">
        <f>SUM(F276)</f>
        <v>500</v>
      </c>
      <c r="G275" s="1602">
        <f t="shared" si="78"/>
        <v>500</v>
      </c>
      <c r="H275" s="1601">
        <f>SUM(H276)</f>
        <v>0</v>
      </c>
      <c r="I275" s="1601">
        <f>SUM(I276)</f>
        <v>500</v>
      </c>
      <c r="J275" s="1602">
        <f t="shared" si="74"/>
        <v>0</v>
      </c>
      <c r="K275" s="1601">
        <f>SUM(K276)</f>
        <v>0</v>
      </c>
      <c r="L275" s="1601">
        <f>SUM(L276)</f>
        <v>0</v>
      </c>
      <c r="M275" s="1604">
        <f t="shared" si="85"/>
        <v>0</v>
      </c>
      <c r="N275" s="1881">
        <f t="shared" si="86"/>
        <v>0</v>
      </c>
      <c r="O275" s="1881">
        <f t="shared" si="87"/>
        <v>0</v>
      </c>
      <c r="P275" s="1940"/>
      <c r="Q275" s="1593"/>
      <c r="R275" s="1602">
        <f>SUM(S275:T275)</f>
        <v>0</v>
      </c>
      <c r="S275" s="1601">
        <f>SUM(S276)</f>
        <v>0</v>
      </c>
      <c r="T275" s="1601">
        <f>SUM(T276)</f>
        <v>0</v>
      </c>
      <c r="U275" s="1602">
        <f>SUM(V275:W275)</f>
        <v>0</v>
      </c>
      <c r="V275" s="1601">
        <f>SUM(V276)</f>
        <v>0</v>
      </c>
      <c r="W275" s="1601">
        <f>SUM(W276)</f>
        <v>0</v>
      </c>
      <c r="X275" s="1423">
        <f t="shared" si="81"/>
        <v>0</v>
      </c>
    </row>
    <row r="276" spans="1:24" s="1566" customFormat="1" ht="64.5" customHeight="1">
      <c r="A276" s="1867">
        <v>14</v>
      </c>
      <c r="B276" s="1926" t="s">
        <v>1638</v>
      </c>
      <c r="C276" s="1866">
        <v>24340</v>
      </c>
      <c r="D276" s="1602">
        <f t="shared" si="82"/>
        <v>500</v>
      </c>
      <c r="E276" s="1608"/>
      <c r="F276" s="1608">
        <v>500</v>
      </c>
      <c r="G276" s="1602">
        <f t="shared" si="78"/>
        <v>500</v>
      </c>
      <c r="H276" s="1608"/>
      <c r="I276" s="1608">
        <v>500</v>
      </c>
      <c r="J276" s="1602">
        <f t="shared" si="74"/>
        <v>0</v>
      </c>
      <c r="K276" s="1608"/>
      <c r="L276" s="1608"/>
      <c r="M276" s="1604">
        <f t="shared" si="85"/>
        <v>0</v>
      </c>
      <c r="N276" s="1881">
        <f t="shared" si="86"/>
        <v>0</v>
      </c>
      <c r="O276" s="1881">
        <f t="shared" si="87"/>
        <v>0</v>
      </c>
      <c r="P276" s="1940"/>
      <c r="Q276" s="1593"/>
      <c r="R276" s="1602">
        <f>SUM(S276:T276)</f>
        <v>0</v>
      </c>
      <c r="S276" s="1616">
        <v>0</v>
      </c>
      <c r="T276" s="1616">
        <v>0</v>
      </c>
      <c r="U276" s="1602">
        <f>SUM(V276:W276)</f>
        <v>0</v>
      </c>
      <c r="V276" s="1616">
        <v>0</v>
      </c>
      <c r="W276" s="1616">
        <v>0</v>
      </c>
      <c r="X276" s="1423">
        <f t="shared" si="81"/>
        <v>0</v>
      </c>
    </row>
    <row r="277" spans="1:24" s="1566" customFormat="1" ht="56.25">
      <c r="A277" s="1867" t="s">
        <v>2</v>
      </c>
      <c r="B277" s="1927" t="s">
        <v>222</v>
      </c>
      <c r="C277" s="1873"/>
      <c r="D277" s="1861">
        <f>SUM(E277:F277)</f>
        <v>2134265.6</v>
      </c>
      <c r="E277" s="1861">
        <f>SUM(E281,E278)</f>
        <v>1652457.1</v>
      </c>
      <c r="F277" s="1861">
        <f>SUM(F281,F278)</f>
        <v>481808.5</v>
      </c>
      <c r="G277" s="1861">
        <f>SUM(H277:I277)</f>
        <v>1234265.6000000001</v>
      </c>
      <c r="H277" s="1861">
        <f>SUM(H281,H278)</f>
        <v>752457.1</v>
      </c>
      <c r="I277" s="1861">
        <f>SUM(I281,I278)</f>
        <v>481808.5</v>
      </c>
      <c r="J277" s="1861">
        <f>SUM(K277:L277)</f>
        <v>486853.9</v>
      </c>
      <c r="K277" s="1861">
        <f>SUM(K281,K278)</f>
        <v>295910.59999999998</v>
      </c>
      <c r="L277" s="1861">
        <f>SUM(L281,L278)</f>
        <v>190943.3</v>
      </c>
      <c r="M277" s="1861">
        <f t="shared" si="85"/>
        <v>39.4</v>
      </c>
      <c r="N277" s="1861">
        <f t="shared" si="86"/>
        <v>39.299999999999997</v>
      </c>
      <c r="O277" s="1861">
        <f t="shared" si="87"/>
        <v>39.6</v>
      </c>
      <c r="P277" s="1861">
        <f>SUM(P281,P278)</f>
        <v>0</v>
      </c>
      <c r="Q277" s="1861">
        <f>SUM(Q281,Q278)</f>
        <v>0</v>
      </c>
      <c r="R277" s="1861">
        <f>SUM(S277:T277)</f>
        <v>996548</v>
      </c>
      <c r="S277" s="1861">
        <f>SUM(S281,S278)</f>
        <v>658766.30000000005</v>
      </c>
      <c r="T277" s="1861">
        <f>SUM(T281,T278)</f>
        <v>337781.7</v>
      </c>
      <c r="U277" s="1861">
        <f>SUM(V277:W277)</f>
        <v>359443.8</v>
      </c>
      <c r="V277" s="1861">
        <f>SUM(V281,V278)</f>
        <v>15000</v>
      </c>
      <c r="W277" s="1861">
        <f>SUM(W281,W278)</f>
        <v>344443.8</v>
      </c>
      <c r="X277" s="1423">
        <f t="shared" si="81"/>
        <v>900000</v>
      </c>
    </row>
    <row r="278" spans="1:24" s="1566" customFormat="1" ht="23.25">
      <c r="A278" s="1867" t="s">
        <v>246</v>
      </c>
      <c r="B278" s="1876" t="s">
        <v>1393</v>
      </c>
      <c r="C278" s="1877"/>
      <c r="D278" s="1598">
        <f>SUM(E278:F278)</f>
        <v>139700</v>
      </c>
      <c r="E278" s="1598">
        <f>SUM(E279:E280)</f>
        <v>0</v>
      </c>
      <c r="F278" s="1598">
        <f>SUM(F279:F280)</f>
        <v>139700</v>
      </c>
      <c r="G278" s="1598">
        <f t="shared" si="78"/>
        <v>139700</v>
      </c>
      <c r="H278" s="1598">
        <f>SUM(H279:H280)</f>
        <v>0</v>
      </c>
      <c r="I278" s="1598">
        <f>SUM(I279:I280)</f>
        <v>139700</v>
      </c>
      <c r="J278" s="1598">
        <f t="shared" ref="J278:J304" si="88">SUM(K278:L278)</f>
        <v>16603.8</v>
      </c>
      <c r="K278" s="1598">
        <f>SUM(K279:K280)</f>
        <v>0</v>
      </c>
      <c r="L278" s="1598">
        <f>SUM(L279:L280)</f>
        <v>16603.8</v>
      </c>
      <c r="M278" s="1598">
        <f t="shared" si="85"/>
        <v>11.9</v>
      </c>
      <c r="N278" s="1598">
        <f t="shared" si="86"/>
        <v>0</v>
      </c>
      <c r="O278" s="1598">
        <f t="shared" si="87"/>
        <v>11.9</v>
      </c>
      <c r="P278" s="1598">
        <f t="shared" ref="P278:V278" si="89">SUM(P279:P280)</f>
        <v>0</v>
      </c>
      <c r="Q278" s="1598">
        <f t="shared" si="89"/>
        <v>0</v>
      </c>
      <c r="R278" s="1598">
        <f t="shared" si="89"/>
        <v>60800</v>
      </c>
      <c r="S278" s="1598">
        <f t="shared" si="89"/>
        <v>0</v>
      </c>
      <c r="T278" s="1598">
        <f t="shared" si="89"/>
        <v>60800</v>
      </c>
      <c r="U278" s="1598">
        <f t="shared" si="89"/>
        <v>60800</v>
      </c>
      <c r="V278" s="1598">
        <f t="shared" si="89"/>
        <v>0</v>
      </c>
      <c r="W278" s="1598">
        <f>W279+W280</f>
        <v>60800</v>
      </c>
      <c r="X278" s="1423">
        <f t="shared" si="81"/>
        <v>0</v>
      </c>
    </row>
    <row r="279" spans="1:24" ht="25.5" customHeight="1">
      <c r="A279" s="1867"/>
      <c r="B279" s="524" t="s">
        <v>263</v>
      </c>
      <c r="C279" s="1928">
        <v>10001</v>
      </c>
      <c r="D279" s="1602">
        <f>SUM(E279:F279)</f>
        <v>139000</v>
      </c>
      <c r="E279" s="1629">
        <v>0</v>
      </c>
      <c r="F279" s="1629">
        <v>139000</v>
      </c>
      <c r="G279" s="1602">
        <f t="shared" si="78"/>
        <v>139000</v>
      </c>
      <c r="H279" s="1629">
        <v>0</v>
      </c>
      <c r="I279" s="1629">
        <f>F279</f>
        <v>139000</v>
      </c>
      <c r="J279" s="1602">
        <f t="shared" si="88"/>
        <v>16585.8</v>
      </c>
      <c r="K279" s="1629">
        <v>0</v>
      </c>
      <c r="L279" s="1629">
        <v>16585.8</v>
      </c>
      <c r="M279" s="1893">
        <f t="shared" si="85"/>
        <v>11.9</v>
      </c>
      <c r="N279" s="1894">
        <f t="shared" si="86"/>
        <v>0</v>
      </c>
      <c r="O279" s="1894">
        <f t="shared" si="87"/>
        <v>11.9</v>
      </c>
      <c r="P279" s="1940"/>
      <c r="Q279" s="1593" t="s">
        <v>1103</v>
      </c>
      <c r="R279" s="1600">
        <f t="shared" ref="R279:R291" si="90">SUM(S279:T279)</f>
        <v>60000</v>
      </c>
      <c r="S279" s="1629"/>
      <c r="T279" s="1629">
        <v>60000</v>
      </c>
      <c r="U279" s="1600">
        <f t="shared" ref="U279:U291" si="91">SUM(V279:W279)</f>
        <v>60000</v>
      </c>
      <c r="V279" s="1629">
        <v>0</v>
      </c>
      <c r="W279" s="1629">
        <v>60000</v>
      </c>
      <c r="X279" s="1423">
        <f t="shared" si="81"/>
        <v>0</v>
      </c>
    </row>
    <row r="280" spans="1:24" ht="42" customHeight="1">
      <c r="A280" s="1867"/>
      <c r="B280" s="524" t="s">
        <v>268</v>
      </c>
      <c r="C280" s="1928">
        <v>10044</v>
      </c>
      <c r="D280" s="1602">
        <f t="shared" si="82"/>
        <v>700</v>
      </c>
      <c r="E280" s="1629">
        <v>0</v>
      </c>
      <c r="F280" s="1629">
        <f>700</f>
        <v>700</v>
      </c>
      <c r="G280" s="1602">
        <f t="shared" si="78"/>
        <v>700</v>
      </c>
      <c r="H280" s="1629">
        <v>0</v>
      </c>
      <c r="I280" s="1629">
        <v>700</v>
      </c>
      <c r="J280" s="1602">
        <f t="shared" si="88"/>
        <v>18</v>
      </c>
      <c r="K280" s="1629">
        <v>0</v>
      </c>
      <c r="L280" s="1629">
        <v>18</v>
      </c>
      <c r="M280" s="1893">
        <f t="shared" si="85"/>
        <v>2.6</v>
      </c>
      <c r="N280" s="1894">
        <f t="shared" si="86"/>
        <v>0</v>
      </c>
      <c r="O280" s="1894">
        <f t="shared" si="87"/>
        <v>2.6</v>
      </c>
      <c r="P280" s="1940"/>
      <c r="Q280" s="1593" t="s">
        <v>1103</v>
      </c>
      <c r="R280" s="1602">
        <f>SUM(S280:T280)</f>
        <v>800</v>
      </c>
      <c r="S280" s="1629">
        <v>0</v>
      </c>
      <c r="T280" s="1629">
        <v>800</v>
      </c>
      <c r="U280" s="1602">
        <f t="shared" si="91"/>
        <v>800</v>
      </c>
      <c r="V280" s="1629">
        <v>0</v>
      </c>
      <c r="W280" s="1629">
        <v>800</v>
      </c>
      <c r="X280" s="1423">
        <f t="shared" si="81"/>
        <v>0</v>
      </c>
    </row>
    <row r="281" spans="1:24" ht="40.5" customHeight="1">
      <c r="A281" s="1867" t="s">
        <v>249</v>
      </c>
      <c r="B281" s="1876" t="s">
        <v>1394</v>
      </c>
      <c r="C281" s="1877"/>
      <c r="D281" s="1598">
        <f t="shared" si="82"/>
        <v>1994565.6</v>
      </c>
      <c r="E281" s="1598">
        <f>E282+E290+E292+E295+E299+E297</f>
        <v>1652457.1</v>
      </c>
      <c r="F281" s="1598">
        <f>F282+F290+F292+F295+F299+F297</f>
        <v>342108.5</v>
      </c>
      <c r="G281" s="1598">
        <f>SUM(H281:I281)</f>
        <v>1094565.6000000001</v>
      </c>
      <c r="H281" s="1598">
        <f>H282+H290+H292+H295+H299+H297</f>
        <v>752457.1</v>
      </c>
      <c r="I281" s="1598">
        <f>I282+I290+I292+I295+I299+I297</f>
        <v>342108.5</v>
      </c>
      <c r="J281" s="1598">
        <f t="shared" si="88"/>
        <v>470250.1</v>
      </c>
      <c r="K281" s="1598">
        <f>K282+K290+K292+K295+K299+K297</f>
        <v>295910.59999999998</v>
      </c>
      <c r="L281" s="1598">
        <f>L282+L290+L292+L295+L299+L297</f>
        <v>174339.5</v>
      </c>
      <c r="M281" s="1598">
        <f t="shared" si="85"/>
        <v>43</v>
      </c>
      <c r="N281" s="1598">
        <f t="shared" si="86"/>
        <v>39.299999999999997</v>
      </c>
      <c r="O281" s="1598">
        <f t="shared" si="87"/>
        <v>51</v>
      </c>
      <c r="P281" s="1599" t="s">
        <v>353</v>
      </c>
      <c r="Q281" s="1599" t="s">
        <v>353</v>
      </c>
      <c r="R281" s="1598">
        <f>SUM(S281:T281)</f>
        <v>935748</v>
      </c>
      <c r="S281" s="1598">
        <f>S282+S290+S292+S295+S299</f>
        <v>658766.30000000005</v>
      </c>
      <c r="T281" s="1598">
        <f>T282+T290+T292+T295+T299</f>
        <v>276981.7</v>
      </c>
      <c r="U281" s="1598">
        <f t="shared" si="91"/>
        <v>298643.8</v>
      </c>
      <c r="V281" s="1598">
        <f>V282+V290+V292+V295+V299</f>
        <v>15000</v>
      </c>
      <c r="W281" s="1598">
        <f>W282+W290+W292+W295+W299</f>
        <v>283643.8</v>
      </c>
      <c r="X281" s="1423">
        <f t="shared" si="81"/>
        <v>900000</v>
      </c>
    </row>
    <row r="282" spans="1:24" s="1570" customFormat="1" ht="39" customHeight="1">
      <c r="A282" s="1867" t="s">
        <v>250</v>
      </c>
      <c r="B282" s="1929" t="s">
        <v>1642</v>
      </c>
      <c r="C282" s="1930"/>
      <c r="D282" s="1899">
        <f t="shared" si="82"/>
        <v>574020.9</v>
      </c>
      <c r="E282" s="1931">
        <f>SUM(E283:E289)</f>
        <v>437900</v>
      </c>
      <c r="F282" s="1931">
        <f>SUM(F283:F289)</f>
        <v>136120.9</v>
      </c>
      <c r="G282" s="1899">
        <f t="shared" si="78"/>
        <v>574020.9</v>
      </c>
      <c r="H282" s="1931">
        <f>SUM(H283:H289)</f>
        <v>437900</v>
      </c>
      <c r="I282" s="1931">
        <f>SUM(I283:I289)</f>
        <v>136120.9</v>
      </c>
      <c r="J282" s="1899">
        <f t="shared" si="88"/>
        <v>52817.599999999999</v>
      </c>
      <c r="K282" s="1931">
        <f>SUM(K283:K289)</f>
        <v>49647.3</v>
      </c>
      <c r="L282" s="1931">
        <f>SUM(L283:L289)</f>
        <v>3170.3</v>
      </c>
      <c r="M282" s="1931">
        <f t="shared" si="85"/>
        <v>9.1999999999999993</v>
      </c>
      <c r="N282" s="1931">
        <f t="shared" si="86"/>
        <v>11.3</v>
      </c>
      <c r="O282" s="1931">
        <f t="shared" si="87"/>
        <v>2.2999999999999998</v>
      </c>
      <c r="P282" s="1940"/>
      <c r="Q282" s="1593"/>
      <c r="R282" s="1899">
        <f>SUM(S282:T282)</f>
        <v>0</v>
      </c>
      <c r="S282" s="1931">
        <f>SUM(S283:S289)</f>
        <v>0</v>
      </c>
      <c r="T282" s="1931">
        <f>SUM(T283:T289)</f>
        <v>0</v>
      </c>
      <c r="U282" s="1899">
        <f t="shared" si="91"/>
        <v>0</v>
      </c>
      <c r="V282" s="1931">
        <f>SUM(V283:V289)</f>
        <v>0</v>
      </c>
      <c r="W282" s="1931">
        <f>SUM(W283:W289)</f>
        <v>0</v>
      </c>
      <c r="X282" s="1423">
        <f t="shared" si="81"/>
        <v>0</v>
      </c>
    </row>
    <row r="283" spans="1:24" ht="45" customHeight="1">
      <c r="A283" s="1867">
        <f>A276+1</f>
        <v>15</v>
      </c>
      <c r="B283" s="1879" t="s">
        <v>1497</v>
      </c>
      <c r="C283" s="1880" t="s">
        <v>1543</v>
      </c>
      <c r="D283" s="1600">
        <f t="shared" si="82"/>
        <v>5804.9</v>
      </c>
      <c r="E283" s="1631">
        <v>5203.8999999999996</v>
      </c>
      <c r="F283" s="1629">
        <v>601</v>
      </c>
      <c r="G283" s="1602">
        <f t="shared" si="78"/>
        <v>5804.9</v>
      </c>
      <c r="H283" s="1631">
        <v>5203.8999999999996</v>
      </c>
      <c r="I283" s="1629">
        <f>332.5+268.5</f>
        <v>601</v>
      </c>
      <c r="J283" s="1602">
        <f t="shared" si="88"/>
        <v>201.1</v>
      </c>
      <c r="K283" s="1629">
        <v>189</v>
      </c>
      <c r="L283" s="1629">
        <v>12.1</v>
      </c>
      <c r="M283" s="1604">
        <f t="shared" si="85"/>
        <v>3.5</v>
      </c>
      <c r="N283" s="1881">
        <f t="shared" si="86"/>
        <v>3.6</v>
      </c>
      <c r="O283" s="1881">
        <f t="shared" si="87"/>
        <v>2</v>
      </c>
      <c r="P283" s="1940"/>
      <c r="Q283" s="1593"/>
      <c r="R283" s="1600">
        <f t="shared" si="90"/>
        <v>0</v>
      </c>
      <c r="S283" s="1631">
        <v>0</v>
      </c>
      <c r="T283" s="1629">
        <v>0</v>
      </c>
      <c r="U283" s="1600">
        <f t="shared" si="91"/>
        <v>0</v>
      </c>
      <c r="V283" s="1631">
        <v>0</v>
      </c>
      <c r="W283" s="1629">
        <v>0</v>
      </c>
      <c r="X283" s="1423">
        <f t="shared" si="81"/>
        <v>0</v>
      </c>
    </row>
    <row r="284" spans="1:24" ht="39.75" customHeight="1">
      <c r="A284" s="1867">
        <f t="shared" ref="A284:A289" si="92">A283+1</f>
        <v>16</v>
      </c>
      <c r="B284" s="1879" t="s">
        <v>1498</v>
      </c>
      <c r="C284" s="1880" t="s">
        <v>1543</v>
      </c>
      <c r="D284" s="1600">
        <f t="shared" si="82"/>
        <v>10770.1</v>
      </c>
      <c r="E284" s="1631">
        <v>9912.2999999999993</v>
      </c>
      <c r="F284" s="1629">
        <v>857.8</v>
      </c>
      <c r="G284" s="1602">
        <f t="shared" si="78"/>
        <v>10770.1</v>
      </c>
      <c r="H284" s="1631">
        <v>9912.2999999999993</v>
      </c>
      <c r="I284" s="1629">
        <f>633.3+224.5</f>
        <v>857.8</v>
      </c>
      <c r="J284" s="1602">
        <f t="shared" si="88"/>
        <v>300</v>
      </c>
      <c r="K284" s="1629">
        <v>282</v>
      </c>
      <c r="L284" s="1629">
        <v>18</v>
      </c>
      <c r="M284" s="1604">
        <f t="shared" si="85"/>
        <v>2.8</v>
      </c>
      <c r="N284" s="1881">
        <f t="shared" si="86"/>
        <v>2.8</v>
      </c>
      <c r="O284" s="1881">
        <f t="shared" si="87"/>
        <v>2.1</v>
      </c>
      <c r="P284" s="1940"/>
      <c r="Q284" s="1593"/>
      <c r="R284" s="1600">
        <f t="shared" si="90"/>
        <v>0</v>
      </c>
      <c r="S284" s="1631">
        <v>0</v>
      </c>
      <c r="T284" s="1629">
        <v>0</v>
      </c>
      <c r="U284" s="1600">
        <f t="shared" si="91"/>
        <v>0</v>
      </c>
      <c r="V284" s="1631">
        <v>0</v>
      </c>
      <c r="W284" s="1629">
        <v>0</v>
      </c>
      <c r="X284" s="1423">
        <f t="shared" si="81"/>
        <v>0</v>
      </c>
    </row>
    <row r="285" spans="1:24" ht="57" customHeight="1">
      <c r="A285" s="1867">
        <f t="shared" si="92"/>
        <v>17</v>
      </c>
      <c r="B285" s="1879" t="s">
        <v>1499</v>
      </c>
      <c r="C285" s="1880" t="s">
        <v>1543</v>
      </c>
      <c r="D285" s="1600">
        <f t="shared" si="82"/>
        <v>50668.2</v>
      </c>
      <c r="E285" s="1629">
        <v>47625.599999999999</v>
      </c>
      <c r="F285" s="1629">
        <v>3042.6</v>
      </c>
      <c r="G285" s="1602">
        <f t="shared" si="78"/>
        <v>50668.2</v>
      </c>
      <c r="H285" s="1629">
        <v>47625.599999999999</v>
      </c>
      <c r="I285" s="1629">
        <v>3042.6</v>
      </c>
      <c r="J285" s="1602">
        <f t="shared" si="88"/>
        <v>13704.1</v>
      </c>
      <c r="K285" s="1629">
        <f>8080.1+1623.7+2507.9+669.5</f>
        <v>12881.2</v>
      </c>
      <c r="L285" s="1629">
        <v>822.9</v>
      </c>
      <c r="M285" s="1893">
        <f t="shared" si="85"/>
        <v>27</v>
      </c>
      <c r="N285" s="1894">
        <f t="shared" si="86"/>
        <v>27</v>
      </c>
      <c r="O285" s="1894">
        <f t="shared" si="87"/>
        <v>27</v>
      </c>
      <c r="P285" s="1940"/>
      <c r="Q285" s="1593"/>
      <c r="R285" s="1600">
        <f t="shared" si="90"/>
        <v>0</v>
      </c>
      <c r="S285" s="1631">
        <v>0</v>
      </c>
      <c r="T285" s="1629">
        <v>0</v>
      </c>
      <c r="U285" s="1600">
        <f t="shared" si="91"/>
        <v>0</v>
      </c>
      <c r="V285" s="1631">
        <v>0</v>
      </c>
      <c r="W285" s="1629">
        <v>0</v>
      </c>
      <c r="X285" s="1423">
        <f t="shared" si="81"/>
        <v>0</v>
      </c>
    </row>
    <row r="286" spans="1:24" ht="58.5" customHeight="1">
      <c r="A286" s="1867">
        <f t="shared" si="92"/>
        <v>18</v>
      </c>
      <c r="B286" s="1879" t="s">
        <v>1500</v>
      </c>
      <c r="C286" s="1880" t="s">
        <v>1543</v>
      </c>
      <c r="D286" s="1600">
        <f t="shared" si="82"/>
        <v>19943</v>
      </c>
      <c r="E286" s="1629">
        <v>18629.8</v>
      </c>
      <c r="F286" s="1629">
        <v>1313.2</v>
      </c>
      <c r="G286" s="1602">
        <f t="shared" si="78"/>
        <v>19943</v>
      </c>
      <c r="H286" s="1629">
        <v>18629.8</v>
      </c>
      <c r="I286" s="1629">
        <f>1190.2+123</f>
        <v>1313.2</v>
      </c>
      <c r="J286" s="1602">
        <f t="shared" si="88"/>
        <v>5363.5</v>
      </c>
      <c r="K286" s="1629">
        <v>5041.3999999999996</v>
      </c>
      <c r="L286" s="1629">
        <v>322.10000000000002</v>
      </c>
      <c r="M286" s="1893">
        <f t="shared" si="85"/>
        <v>26.9</v>
      </c>
      <c r="N286" s="1894">
        <f t="shared" si="86"/>
        <v>27.1</v>
      </c>
      <c r="O286" s="1894">
        <f t="shared" si="87"/>
        <v>24.5</v>
      </c>
      <c r="P286" s="1940"/>
      <c r="Q286" s="1593"/>
      <c r="R286" s="1600">
        <f t="shared" si="90"/>
        <v>0</v>
      </c>
      <c r="S286" s="1631">
        <v>0</v>
      </c>
      <c r="T286" s="1629">
        <v>0</v>
      </c>
      <c r="U286" s="1600">
        <f t="shared" si="91"/>
        <v>0</v>
      </c>
      <c r="V286" s="1631">
        <v>0</v>
      </c>
      <c r="W286" s="1629">
        <v>0</v>
      </c>
      <c r="X286" s="1423">
        <f t="shared" si="81"/>
        <v>0</v>
      </c>
    </row>
    <row r="287" spans="1:24" ht="63.75" customHeight="1">
      <c r="A287" s="1867">
        <f t="shared" si="92"/>
        <v>19</v>
      </c>
      <c r="B287" s="1879" t="s">
        <v>1501</v>
      </c>
      <c r="C287" s="1880" t="s">
        <v>1505</v>
      </c>
      <c r="D287" s="1600">
        <f t="shared" si="82"/>
        <v>38330</v>
      </c>
      <c r="E287" s="1629">
        <v>36028.400000000001</v>
      </c>
      <c r="F287" s="1629">
        <v>2301.6</v>
      </c>
      <c r="G287" s="1602">
        <f t="shared" si="78"/>
        <v>38330</v>
      </c>
      <c r="H287" s="1629">
        <v>36028.400000000001</v>
      </c>
      <c r="I287" s="1629">
        <v>2301.6</v>
      </c>
      <c r="J287" s="1602">
        <f t="shared" si="88"/>
        <v>5577.5</v>
      </c>
      <c r="K287" s="1629">
        <f>3935.1+1307.5</f>
        <v>5242.6000000000004</v>
      </c>
      <c r="L287" s="1629">
        <f>251.4+83.5</f>
        <v>334.9</v>
      </c>
      <c r="M287" s="1893">
        <f t="shared" si="85"/>
        <v>14.6</v>
      </c>
      <c r="N287" s="1894">
        <f t="shared" si="86"/>
        <v>14.6</v>
      </c>
      <c r="O287" s="1894">
        <f t="shared" si="87"/>
        <v>14.6</v>
      </c>
      <c r="P287" s="1940"/>
      <c r="Q287" s="1593"/>
      <c r="R287" s="1600">
        <f t="shared" si="90"/>
        <v>0</v>
      </c>
      <c r="S287" s="1631">
        <v>0</v>
      </c>
      <c r="T287" s="1629">
        <v>0</v>
      </c>
      <c r="U287" s="1600">
        <f t="shared" si="91"/>
        <v>0</v>
      </c>
      <c r="V287" s="1631">
        <v>0</v>
      </c>
      <c r="W287" s="1629">
        <v>0</v>
      </c>
      <c r="X287" s="1423">
        <f t="shared" si="81"/>
        <v>0</v>
      </c>
    </row>
    <row r="288" spans="1:24" ht="48" customHeight="1">
      <c r="A288" s="1867">
        <f t="shared" si="92"/>
        <v>20</v>
      </c>
      <c r="B288" s="1879" t="s">
        <v>1502</v>
      </c>
      <c r="C288" s="1880" t="s">
        <v>1542</v>
      </c>
      <c r="D288" s="1600">
        <f t="shared" si="82"/>
        <v>98504.7</v>
      </c>
      <c r="E288" s="1629">
        <v>74778.8</v>
      </c>
      <c r="F288" s="1629">
        <v>23725.9</v>
      </c>
      <c r="G288" s="1602">
        <f t="shared" si="78"/>
        <v>98504.7</v>
      </c>
      <c r="H288" s="1629">
        <v>74778.8</v>
      </c>
      <c r="I288" s="1629">
        <v>23725.9</v>
      </c>
      <c r="J288" s="1602">
        <f t="shared" si="88"/>
        <v>27671.4</v>
      </c>
      <c r="K288" s="1629">
        <v>26011.1</v>
      </c>
      <c r="L288" s="1629">
        <v>1660.3</v>
      </c>
      <c r="M288" s="1893">
        <f t="shared" si="85"/>
        <v>28.1</v>
      </c>
      <c r="N288" s="1894">
        <f t="shared" si="86"/>
        <v>34.799999999999997</v>
      </c>
      <c r="O288" s="1894">
        <f t="shared" si="87"/>
        <v>7</v>
      </c>
      <c r="P288" s="1940"/>
      <c r="Q288" s="1593"/>
      <c r="R288" s="1600">
        <f t="shared" si="90"/>
        <v>0</v>
      </c>
      <c r="S288" s="1631">
        <v>0</v>
      </c>
      <c r="T288" s="1629">
        <v>0</v>
      </c>
      <c r="U288" s="1600">
        <f t="shared" si="91"/>
        <v>0</v>
      </c>
      <c r="V288" s="1631">
        <v>0</v>
      </c>
      <c r="W288" s="1629">
        <v>0</v>
      </c>
      <c r="X288" s="1423">
        <f t="shared" si="81"/>
        <v>0</v>
      </c>
    </row>
    <row r="289" spans="1:24" ht="39" customHeight="1">
      <c r="A289" s="1867">
        <f t="shared" si="92"/>
        <v>21</v>
      </c>
      <c r="B289" s="1932" t="s">
        <v>1503</v>
      </c>
      <c r="C289" s="1913" t="s">
        <v>1542</v>
      </c>
      <c r="D289" s="1600">
        <f t="shared" si="82"/>
        <v>350000</v>
      </c>
      <c r="E289" s="1629">
        <v>245721.2</v>
      </c>
      <c r="F289" s="1629">
        <f>156900-52621.2</f>
        <v>104278.8</v>
      </c>
      <c r="G289" s="1602">
        <f t="shared" si="78"/>
        <v>350000</v>
      </c>
      <c r="H289" s="1629">
        <v>245721.2</v>
      </c>
      <c r="I289" s="1629">
        <f>156900-52621.2</f>
        <v>104278.8</v>
      </c>
      <c r="J289" s="1602">
        <f t="shared" si="88"/>
        <v>0</v>
      </c>
      <c r="K289" s="1629">
        <v>0</v>
      </c>
      <c r="L289" s="1629">
        <v>0</v>
      </c>
      <c r="M289" s="1893">
        <f t="shared" si="85"/>
        <v>0</v>
      </c>
      <c r="N289" s="1894">
        <f t="shared" si="86"/>
        <v>0</v>
      </c>
      <c r="O289" s="1894">
        <f t="shared" si="87"/>
        <v>0</v>
      </c>
      <c r="P289" s="1940"/>
      <c r="Q289" s="1593"/>
      <c r="R289" s="1600">
        <f t="shared" si="90"/>
        <v>0</v>
      </c>
      <c r="S289" s="1631">
        <v>0</v>
      </c>
      <c r="T289" s="1629">
        <v>0</v>
      </c>
      <c r="U289" s="1600">
        <f t="shared" si="91"/>
        <v>0</v>
      </c>
      <c r="V289" s="1631">
        <v>0</v>
      </c>
      <c r="W289" s="1629">
        <v>0</v>
      </c>
      <c r="X289" s="1423">
        <f t="shared" si="81"/>
        <v>0</v>
      </c>
    </row>
    <row r="290" spans="1:24" ht="72" customHeight="1">
      <c r="A290" s="1867" t="s">
        <v>251</v>
      </c>
      <c r="B290" s="1933" t="s">
        <v>1640</v>
      </c>
      <c r="C290" s="1898"/>
      <c r="D290" s="1899">
        <f t="shared" si="82"/>
        <v>63829.8</v>
      </c>
      <c r="E290" s="1899">
        <f>E291</f>
        <v>60000</v>
      </c>
      <c r="F290" s="1899">
        <f>F291</f>
        <v>3829.8</v>
      </c>
      <c r="G290" s="1899">
        <f t="shared" si="78"/>
        <v>63829.8</v>
      </c>
      <c r="H290" s="1899">
        <f>H291</f>
        <v>60000</v>
      </c>
      <c r="I290" s="1899">
        <f>I291</f>
        <v>3829.8</v>
      </c>
      <c r="J290" s="1899">
        <f t="shared" si="88"/>
        <v>52467.5</v>
      </c>
      <c r="K290" s="1899">
        <f>K291</f>
        <v>49319.4</v>
      </c>
      <c r="L290" s="1899">
        <f>L291</f>
        <v>3148.1</v>
      </c>
      <c r="M290" s="1899">
        <f t="shared" si="85"/>
        <v>82.2</v>
      </c>
      <c r="N290" s="1899">
        <f t="shared" si="86"/>
        <v>82.2</v>
      </c>
      <c r="O290" s="1899">
        <f t="shared" si="87"/>
        <v>82.2</v>
      </c>
      <c r="P290" s="1940"/>
      <c r="Q290" s="1593"/>
      <c r="R290" s="1899">
        <f>SUM(S290:T290)</f>
        <v>55062.400000000001</v>
      </c>
      <c r="S290" s="1899">
        <f>S291</f>
        <v>51758.6</v>
      </c>
      <c r="T290" s="1899">
        <f>T291</f>
        <v>3303.8</v>
      </c>
      <c r="U290" s="1899">
        <f t="shared" si="91"/>
        <v>0</v>
      </c>
      <c r="V290" s="1899">
        <f>V291</f>
        <v>0</v>
      </c>
      <c r="W290" s="1899">
        <f>W291</f>
        <v>0</v>
      </c>
      <c r="X290" s="1423">
        <f t="shared" si="81"/>
        <v>0</v>
      </c>
    </row>
    <row r="291" spans="1:24" ht="39.75" customHeight="1">
      <c r="A291" s="1867">
        <f>A289+1</f>
        <v>22</v>
      </c>
      <c r="B291" s="1879" t="s">
        <v>623</v>
      </c>
      <c r="C291" s="1880" t="s">
        <v>1541</v>
      </c>
      <c r="D291" s="1600">
        <f t="shared" si="82"/>
        <v>63829.8</v>
      </c>
      <c r="E291" s="1631">
        <v>60000</v>
      </c>
      <c r="F291" s="1629">
        <v>3829.8</v>
      </c>
      <c r="G291" s="1602">
        <f t="shared" si="78"/>
        <v>63829.8</v>
      </c>
      <c r="H291" s="1631">
        <v>60000</v>
      </c>
      <c r="I291" s="1629">
        <v>3829.8</v>
      </c>
      <c r="J291" s="1602">
        <f t="shared" si="88"/>
        <v>52467.5</v>
      </c>
      <c r="K291" s="1629">
        <v>49319.4</v>
      </c>
      <c r="L291" s="1629">
        <v>3148.1</v>
      </c>
      <c r="M291" s="1604">
        <f t="shared" si="85"/>
        <v>82.2</v>
      </c>
      <c r="N291" s="1881">
        <f t="shared" si="86"/>
        <v>82.2</v>
      </c>
      <c r="O291" s="1881">
        <f t="shared" si="87"/>
        <v>82.2</v>
      </c>
      <c r="P291" s="1940"/>
      <c r="Q291" s="1593"/>
      <c r="R291" s="1600">
        <f t="shared" si="90"/>
        <v>55062.400000000001</v>
      </c>
      <c r="S291" s="1631">
        <v>51758.6</v>
      </c>
      <c r="T291" s="1629">
        <v>3303.8</v>
      </c>
      <c r="U291" s="1600">
        <f t="shared" si="91"/>
        <v>0</v>
      </c>
      <c r="V291" s="1631">
        <v>0</v>
      </c>
      <c r="W291" s="1629">
        <v>0</v>
      </c>
      <c r="X291" s="1423">
        <f t="shared" si="81"/>
        <v>0</v>
      </c>
    </row>
    <row r="292" spans="1:24" ht="56.25">
      <c r="A292" s="1867" t="s">
        <v>1515</v>
      </c>
      <c r="B292" s="1933" t="s">
        <v>1641</v>
      </c>
      <c r="C292" s="1898"/>
      <c r="D292" s="1899">
        <f>SUM(E292:F292)</f>
        <v>266310.90000000002</v>
      </c>
      <c r="E292" s="1899">
        <f>E294+E293</f>
        <v>114557.1</v>
      </c>
      <c r="F292" s="1899">
        <f t="shared" ref="F292:W292" si="93">F294+F293</f>
        <v>151753.79999999999</v>
      </c>
      <c r="G292" s="1899">
        <f t="shared" si="78"/>
        <v>266310.90000000002</v>
      </c>
      <c r="H292" s="1899">
        <f>H294+H293</f>
        <v>114557.1</v>
      </c>
      <c r="I292" s="1899">
        <f>I294+I293</f>
        <v>151753.79999999999</v>
      </c>
      <c r="J292" s="1899">
        <f t="shared" si="88"/>
        <v>227160.1</v>
      </c>
      <c r="K292" s="1899">
        <f>K294+K293</f>
        <v>97715.9</v>
      </c>
      <c r="L292" s="1899">
        <f>L294+L293</f>
        <v>129444.2</v>
      </c>
      <c r="M292" s="1899">
        <f t="shared" si="85"/>
        <v>85.3</v>
      </c>
      <c r="N292" s="1899">
        <f t="shared" si="86"/>
        <v>85.3</v>
      </c>
      <c r="O292" s="1899">
        <f t="shared" si="87"/>
        <v>85.3</v>
      </c>
      <c r="P292" s="1899">
        <f t="shared" si="93"/>
        <v>0</v>
      </c>
      <c r="Q292" s="1899">
        <f t="shared" si="93"/>
        <v>0</v>
      </c>
      <c r="R292" s="1899">
        <f t="shared" si="93"/>
        <v>0</v>
      </c>
      <c r="S292" s="1899">
        <f t="shared" si="93"/>
        <v>0</v>
      </c>
      <c r="T292" s="1899">
        <f t="shared" si="93"/>
        <v>0</v>
      </c>
      <c r="U292" s="1899">
        <f t="shared" si="93"/>
        <v>0</v>
      </c>
      <c r="V292" s="1899">
        <f t="shared" si="93"/>
        <v>0</v>
      </c>
      <c r="W292" s="1899">
        <f t="shared" si="93"/>
        <v>0</v>
      </c>
      <c r="X292" s="1423">
        <f t="shared" si="81"/>
        <v>0</v>
      </c>
    </row>
    <row r="293" spans="1:24" ht="37.5" hidden="1">
      <c r="A293" s="1867"/>
      <c r="B293" s="1934" t="s">
        <v>1649</v>
      </c>
      <c r="C293" s="1906"/>
      <c r="D293" s="1602">
        <f>SUM(E293:F293)</f>
        <v>0</v>
      </c>
      <c r="E293" s="1631">
        <v>0</v>
      </c>
      <c r="F293" s="1629">
        <v>0</v>
      </c>
      <c r="G293" s="1602">
        <f t="shared" si="78"/>
        <v>0</v>
      </c>
      <c r="H293" s="1631">
        <v>0</v>
      </c>
      <c r="I293" s="1629">
        <v>0</v>
      </c>
      <c r="J293" s="1602">
        <f t="shared" si="88"/>
        <v>0</v>
      </c>
      <c r="K293" s="1631">
        <v>0</v>
      </c>
      <c r="L293" s="1629">
        <v>0</v>
      </c>
      <c r="M293" s="1604">
        <f t="shared" si="85"/>
        <v>0</v>
      </c>
      <c r="N293" s="1881">
        <f t="shared" si="86"/>
        <v>0</v>
      </c>
      <c r="O293" s="1881">
        <f t="shared" si="87"/>
        <v>0</v>
      </c>
      <c r="P293" s="1940"/>
      <c r="Q293" s="1593"/>
      <c r="R293" s="1600">
        <f t="shared" ref="R293:R300" si="94">SUM(S293:T293)</f>
        <v>0</v>
      </c>
      <c r="S293" s="1631">
        <v>0</v>
      </c>
      <c r="T293" s="1629"/>
      <c r="U293" s="1600">
        <f t="shared" ref="U293:U300" si="95">SUM(V293:W293)</f>
        <v>0</v>
      </c>
      <c r="V293" s="1631">
        <v>0</v>
      </c>
      <c r="W293" s="1629"/>
    </row>
    <row r="294" spans="1:24" ht="60" customHeight="1">
      <c r="A294" s="1867">
        <f>A291+1</f>
        <v>23</v>
      </c>
      <c r="B294" s="1879" t="s">
        <v>1509</v>
      </c>
      <c r="C294" s="1880" t="s">
        <v>1540</v>
      </c>
      <c r="D294" s="1600">
        <f t="shared" si="82"/>
        <v>266310.90000000002</v>
      </c>
      <c r="E294" s="1631">
        <v>114557.1</v>
      </c>
      <c r="F294" s="1629">
        <v>151753.79999999999</v>
      </c>
      <c r="G294" s="1602">
        <f t="shared" si="78"/>
        <v>266310.90000000002</v>
      </c>
      <c r="H294" s="1631">
        <v>114557.1</v>
      </c>
      <c r="I294" s="1629">
        <v>151753.79999999999</v>
      </c>
      <c r="J294" s="1602">
        <f t="shared" si="88"/>
        <v>227160.1</v>
      </c>
      <c r="K294" s="1631">
        <v>97715.9</v>
      </c>
      <c r="L294" s="1629">
        <v>129444.2</v>
      </c>
      <c r="M294" s="1604">
        <f t="shared" si="85"/>
        <v>85.3</v>
      </c>
      <c r="N294" s="1881">
        <f t="shared" si="86"/>
        <v>85.3</v>
      </c>
      <c r="O294" s="1881">
        <f t="shared" si="87"/>
        <v>85.3</v>
      </c>
      <c r="P294" s="1940"/>
      <c r="Q294" s="1593"/>
      <c r="R294" s="1600">
        <f t="shared" si="94"/>
        <v>0</v>
      </c>
      <c r="S294" s="1631">
        <v>0</v>
      </c>
      <c r="T294" s="1629">
        <v>0</v>
      </c>
      <c r="U294" s="1600">
        <f t="shared" si="95"/>
        <v>0</v>
      </c>
      <c r="V294" s="1631">
        <v>0</v>
      </c>
      <c r="W294" s="1629">
        <v>0</v>
      </c>
      <c r="X294" s="1423">
        <f>D294-G294</f>
        <v>0</v>
      </c>
    </row>
    <row r="295" spans="1:24" ht="56.25" hidden="1">
      <c r="A295" s="1867" t="s">
        <v>1516</v>
      </c>
      <c r="B295" s="1897" t="s">
        <v>1513</v>
      </c>
      <c r="C295" s="1896">
        <v>10119</v>
      </c>
      <c r="D295" s="1899">
        <f t="shared" si="82"/>
        <v>0</v>
      </c>
      <c r="E295" s="1899">
        <f>E296</f>
        <v>0</v>
      </c>
      <c r="F295" s="1899">
        <f>F296</f>
        <v>0</v>
      </c>
      <c r="G295" s="1899">
        <f t="shared" si="78"/>
        <v>0</v>
      </c>
      <c r="H295" s="1899">
        <f>H296</f>
        <v>0</v>
      </c>
      <c r="I295" s="1899">
        <f>I296</f>
        <v>0</v>
      </c>
      <c r="J295" s="1899">
        <f t="shared" si="88"/>
        <v>0</v>
      </c>
      <c r="K295" s="1899">
        <f>K296</f>
        <v>0</v>
      </c>
      <c r="L295" s="1899">
        <f>L296</f>
        <v>0</v>
      </c>
      <c r="M295" s="1900">
        <f t="shared" si="85"/>
        <v>0</v>
      </c>
      <c r="N295" s="1900">
        <f t="shared" si="86"/>
        <v>0</v>
      </c>
      <c r="O295" s="1900">
        <f t="shared" si="87"/>
        <v>0</v>
      </c>
      <c r="P295" s="1593"/>
      <c r="Q295" s="1593"/>
      <c r="R295" s="1899">
        <f t="shared" si="94"/>
        <v>0</v>
      </c>
      <c r="S295" s="1899">
        <f>S296</f>
        <v>0</v>
      </c>
      <c r="T295" s="1899">
        <f>T296</f>
        <v>0</v>
      </c>
      <c r="U295" s="1899">
        <f t="shared" si="95"/>
        <v>0</v>
      </c>
      <c r="V295" s="1899">
        <f>V296</f>
        <v>0</v>
      </c>
      <c r="W295" s="1899">
        <f>W296</f>
        <v>0</v>
      </c>
    </row>
    <row r="296" spans="1:24" ht="63" hidden="1" customHeight="1">
      <c r="A296" s="1867">
        <f>A294+1</f>
        <v>24</v>
      </c>
      <c r="B296" s="1879" t="s">
        <v>1511</v>
      </c>
      <c r="C296" s="1867">
        <v>10119</v>
      </c>
      <c r="D296" s="1600">
        <f t="shared" si="82"/>
        <v>0</v>
      </c>
      <c r="E296" s="1608">
        <v>0</v>
      </c>
      <c r="F296" s="1608">
        <v>0</v>
      </c>
      <c r="G296" s="1602">
        <f t="shared" si="78"/>
        <v>0</v>
      </c>
      <c r="H296" s="1608">
        <v>0</v>
      </c>
      <c r="I296" s="1608">
        <v>0</v>
      </c>
      <c r="J296" s="1602">
        <f t="shared" si="88"/>
        <v>0</v>
      </c>
      <c r="K296" s="1608">
        <v>0</v>
      </c>
      <c r="L296" s="1608">
        <v>0</v>
      </c>
      <c r="M296" s="1604">
        <f t="shared" si="85"/>
        <v>0</v>
      </c>
      <c r="N296" s="1881">
        <f t="shared" si="86"/>
        <v>0</v>
      </c>
      <c r="O296" s="1881">
        <f t="shared" si="87"/>
        <v>0</v>
      </c>
      <c r="P296" s="1593" t="s">
        <v>1290</v>
      </c>
      <c r="Q296" s="1593" t="s">
        <v>1240</v>
      </c>
      <c r="R296" s="1600">
        <f t="shared" si="94"/>
        <v>0</v>
      </c>
      <c r="S296" s="1608">
        <v>0</v>
      </c>
      <c r="T296" s="1608">
        <v>0</v>
      </c>
      <c r="U296" s="1600">
        <f t="shared" si="95"/>
        <v>0</v>
      </c>
      <c r="V296" s="1608">
        <v>0</v>
      </c>
      <c r="W296" s="1608">
        <v>0</v>
      </c>
    </row>
    <row r="297" spans="1:24" ht="68.25" customHeight="1">
      <c r="A297" s="2017" t="s">
        <v>1516</v>
      </c>
      <c r="B297" s="1897" t="s">
        <v>1721</v>
      </c>
      <c r="C297" s="2017"/>
      <c r="D297" s="1899">
        <v>40404</v>
      </c>
      <c r="E297" s="1899">
        <v>40000</v>
      </c>
      <c r="F297" s="1899">
        <v>404</v>
      </c>
      <c r="G297" s="1899">
        <v>40404</v>
      </c>
      <c r="H297" s="1899">
        <v>40000</v>
      </c>
      <c r="I297" s="1899">
        <v>404</v>
      </c>
      <c r="J297" s="1899">
        <f t="shared" si="88"/>
        <v>0</v>
      </c>
      <c r="K297" s="1899">
        <v>0</v>
      </c>
      <c r="L297" s="1899">
        <v>0</v>
      </c>
      <c r="M297" s="2020">
        <f t="shared" si="85"/>
        <v>0</v>
      </c>
      <c r="N297" s="2021">
        <f t="shared" si="86"/>
        <v>0</v>
      </c>
      <c r="O297" s="2021">
        <f t="shared" si="87"/>
        <v>0</v>
      </c>
      <c r="P297" s="1593"/>
      <c r="Q297" s="1593"/>
      <c r="R297" s="1600"/>
      <c r="S297" s="1608"/>
      <c r="T297" s="1608"/>
      <c r="U297" s="1600"/>
      <c r="V297" s="1608"/>
      <c r="W297" s="1608"/>
      <c r="X297" s="1423">
        <f>D297-G297</f>
        <v>0</v>
      </c>
    </row>
    <row r="298" spans="1:24" ht="44.25" customHeight="1">
      <c r="A298" s="2017">
        <f>A294+1</f>
        <v>24</v>
      </c>
      <c r="B298" s="1934" t="s">
        <v>1710</v>
      </c>
      <c r="C298" s="2017"/>
      <c r="D298" s="2019">
        <v>40404</v>
      </c>
      <c r="E298" s="1629">
        <v>40000</v>
      </c>
      <c r="F298" s="1609">
        <v>404</v>
      </c>
      <c r="G298" s="2019">
        <v>40404</v>
      </c>
      <c r="H298" s="1629">
        <v>40000</v>
      </c>
      <c r="I298" s="1609">
        <v>404</v>
      </c>
      <c r="J298" s="2019">
        <f t="shared" si="88"/>
        <v>0</v>
      </c>
      <c r="K298" s="1629">
        <v>0</v>
      </c>
      <c r="L298" s="1616">
        <v>0</v>
      </c>
      <c r="M298" s="1604">
        <f t="shared" si="85"/>
        <v>0</v>
      </c>
      <c r="N298" s="1881">
        <f t="shared" si="86"/>
        <v>0</v>
      </c>
      <c r="O298" s="1881">
        <f t="shared" si="87"/>
        <v>0</v>
      </c>
      <c r="P298" s="1593"/>
      <c r="Q298" s="1593"/>
      <c r="R298" s="1600"/>
      <c r="S298" s="1608"/>
      <c r="T298" s="1608"/>
      <c r="U298" s="1600"/>
      <c r="V298" s="1608"/>
      <c r="W298" s="1608"/>
      <c r="X298" s="1423">
        <f>D298-G298</f>
        <v>0</v>
      </c>
    </row>
    <row r="299" spans="1:24" ht="23.25">
      <c r="A299" s="1867" t="s">
        <v>1636</v>
      </c>
      <c r="B299" s="1897" t="s">
        <v>529</v>
      </c>
      <c r="C299" s="1896">
        <v>10119</v>
      </c>
      <c r="D299" s="1899">
        <f t="shared" si="82"/>
        <v>1050000</v>
      </c>
      <c r="E299" s="1899">
        <f>E301+E302+E303+E304</f>
        <v>1000000</v>
      </c>
      <c r="F299" s="1899">
        <f>F301+F302+F303+F304</f>
        <v>50000</v>
      </c>
      <c r="G299" s="1899">
        <f>SUM(H299:I299)</f>
        <v>150000</v>
      </c>
      <c r="H299" s="1899">
        <f>H301+H302+H303+H304</f>
        <v>100000</v>
      </c>
      <c r="I299" s="1899">
        <f>I301+I302+I303+I304</f>
        <v>50000</v>
      </c>
      <c r="J299" s="1899">
        <f t="shared" si="88"/>
        <v>137804.9</v>
      </c>
      <c r="K299" s="1899">
        <f>K301+K302+K303+K304</f>
        <v>99228</v>
      </c>
      <c r="L299" s="1899">
        <f>L301+L302+L303+L304</f>
        <v>38576.9</v>
      </c>
      <c r="M299" s="1899">
        <f t="shared" si="85"/>
        <v>91.9</v>
      </c>
      <c r="N299" s="1899">
        <f t="shared" si="86"/>
        <v>99.2</v>
      </c>
      <c r="O299" s="1899">
        <f t="shared" si="87"/>
        <v>77.2</v>
      </c>
      <c r="P299" s="1899">
        <f>P302+P303+P300</f>
        <v>0</v>
      </c>
      <c r="Q299" s="1899">
        <f>Q302+Q303+Q300</f>
        <v>0</v>
      </c>
      <c r="R299" s="1899">
        <f t="shared" si="94"/>
        <v>880685.6</v>
      </c>
      <c r="S299" s="1899">
        <f>S302+S303+S300+S304</f>
        <v>607007.69999999995</v>
      </c>
      <c r="T299" s="1899">
        <f>T302+T303+T300+T304</f>
        <v>273677.90000000002</v>
      </c>
      <c r="U299" s="1899">
        <f t="shared" si="95"/>
        <v>298643.8</v>
      </c>
      <c r="V299" s="1899">
        <f>V302+V303+V300+V304</f>
        <v>15000</v>
      </c>
      <c r="W299" s="1899">
        <f>W302+W303+W300+W304</f>
        <v>283643.8</v>
      </c>
      <c r="X299" s="1423">
        <f>D299-G299</f>
        <v>900000</v>
      </c>
    </row>
    <row r="300" spans="1:24" ht="57.75" hidden="1" customHeight="1">
      <c r="A300" s="1867">
        <f>A296+1</f>
        <v>25</v>
      </c>
      <c r="B300" s="1934" t="s">
        <v>1649</v>
      </c>
      <c r="C300" s="1906"/>
      <c r="D300" s="1602">
        <f>SUM(E300:F300)</f>
        <v>0</v>
      </c>
      <c r="E300" s="1631">
        <v>0</v>
      </c>
      <c r="F300" s="1629">
        <v>0</v>
      </c>
      <c r="G300" s="1602">
        <f t="shared" si="78"/>
        <v>0</v>
      </c>
      <c r="H300" s="1631">
        <v>0</v>
      </c>
      <c r="I300" s="1629">
        <v>0</v>
      </c>
      <c r="J300" s="1602">
        <f t="shared" si="88"/>
        <v>0</v>
      </c>
      <c r="K300" s="1631">
        <v>0</v>
      </c>
      <c r="L300" s="1629">
        <v>0</v>
      </c>
      <c r="M300" s="1604">
        <f t="shared" si="85"/>
        <v>0</v>
      </c>
      <c r="N300" s="1881">
        <f t="shared" si="86"/>
        <v>0</v>
      </c>
      <c r="O300" s="1881">
        <f t="shared" si="87"/>
        <v>0</v>
      </c>
      <c r="P300" s="1940"/>
      <c r="Q300" s="1593"/>
      <c r="R300" s="1600">
        <f t="shared" si="94"/>
        <v>50000</v>
      </c>
      <c r="S300" s="1631">
        <v>0</v>
      </c>
      <c r="T300" s="1629">
        <v>50000</v>
      </c>
      <c r="U300" s="1600">
        <f t="shared" si="95"/>
        <v>50000</v>
      </c>
      <c r="V300" s="1631">
        <v>0</v>
      </c>
      <c r="W300" s="1629">
        <v>50000</v>
      </c>
    </row>
    <row r="301" spans="1:24" ht="42" hidden="1" customHeight="1">
      <c r="A301" s="2010"/>
      <c r="B301" s="1934"/>
      <c r="C301" s="1906"/>
      <c r="D301" s="1600"/>
      <c r="E301" s="1631"/>
      <c r="F301" s="1629"/>
      <c r="G301" s="1602"/>
      <c r="H301" s="1631"/>
      <c r="I301" s="1629"/>
      <c r="J301" s="1602">
        <f t="shared" si="88"/>
        <v>0</v>
      </c>
      <c r="K301" s="1631"/>
      <c r="L301" s="1629"/>
      <c r="M301" s="1604">
        <f t="shared" si="85"/>
        <v>0</v>
      </c>
      <c r="N301" s="1881">
        <f t="shared" si="86"/>
        <v>0</v>
      </c>
      <c r="O301" s="1881">
        <f t="shared" si="87"/>
        <v>0</v>
      </c>
      <c r="P301" s="1940"/>
      <c r="Q301" s="1593"/>
      <c r="R301" s="1600"/>
      <c r="S301" s="1631"/>
      <c r="T301" s="1629"/>
      <c r="U301" s="1600"/>
      <c r="V301" s="1631"/>
      <c r="W301" s="1629"/>
    </row>
    <row r="302" spans="1:24" ht="27" customHeight="1">
      <c r="A302" s="1867">
        <f>A298+1</f>
        <v>25</v>
      </c>
      <c r="B302" s="1934" t="s">
        <v>1606</v>
      </c>
      <c r="C302" s="1866" t="s">
        <v>1609</v>
      </c>
      <c r="D302" s="1600">
        <f t="shared" si="82"/>
        <v>100000</v>
      </c>
      <c r="E302" s="1631">
        <v>100000</v>
      </c>
      <c r="F302" s="1629">
        <v>0</v>
      </c>
      <c r="G302" s="1602">
        <f t="shared" ref="G302:G322" si="96">SUM(H302:I302)</f>
        <v>100000</v>
      </c>
      <c r="H302" s="1631">
        <v>100000</v>
      </c>
      <c r="I302" s="1629">
        <v>0</v>
      </c>
      <c r="J302" s="1602">
        <f t="shared" si="88"/>
        <v>99228</v>
      </c>
      <c r="K302" s="1631">
        <v>99228</v>
      </c>
      <c r="L302" s="1629"/>
      <c r="M302" s="1604">
        <f t="shared" si="85"/>
        <v>99.2</v>
      </c>
      <c r="N302" s="1881">
        <f t="shared" si="86"/>
        <v>99.2</v>
      </c>
      <c r="O302" s="1881">
        <f t="shared" si="87"/>
        <v>0</v>
      </c>
      <c r="P302" s="1940"/>
      <c r="Q302" s="1593"/>
      <c r="R302" s="1602">
        <f t="shared" ref="R302:R321" si="97">SUM(S302:T302)</f>
        <v>600000</v>
      </c>
      <c r="S302" s="1629">
        <v>600000</v>
      </c>
      <c r="T302" s="1862">
        <v>0</v>
      </c>
      <c r="U302" s="1602">
        <f t="shared" ref="U302:U321" si="98">SUM(V302:W302)</f>
        <v>0</v>
      </c>
      <c r="V302" s="1629">
        <v>0</v>
      </c>
      <c r="W302" s="1629">
        <v>0</v>
      </c>
      <c r="X302" s="1423">
        <f t="shared" ref="X302:X307" si="99">D302-G302</f>
        <v>0</v>
      </c>
    </row>
    <row r="303" spans="1:24" ht="37.5">
      <c r="A303" s="1867">
        <f>A302+1</f>
        <v>26</v>
      </c>
      <c r="B303" s="1934" t="s">
        <v>1607</v>
      </c>
      <c r="C303" s="1866">
        <v>10134</v>
      </c>
      <c r="D303" s="1600">
        <f t="shared" si="82"/>
        <v>50000</v>
      </c>
      <c r="E303" s="1631">
        <v>0</v>
      </c>
      <c r="F303" s="1629">
        <v>50000</v>
      </c>
      <c r="G303" s="1602">
        <f t="shared" si="96"/>
        <v>50000</v>
      </c>
      <c r="H303" s="1631">
        <v>0</v>
      </c>
      <c r="I303" s="1629">
        <v>50000</v>
      </c>
      <c r="J303" s="1602">
        <f t="shared" si="88"/>
        <v>38576.9</v>
      </c>
      <c r="K303" s="1631"/>
      <c r="L303" s="1629">
        <f>38471.9+30+75</f>
        <v>38576.9</v>
      </c>
      <c r="M303" s="1604">
        <f t="shared" si="85"/>
        <v>77.2</v>
      </c>
      <c r="N303" s="1881">
        <f t="shared" si="86"/>
        <v>0</v>
      </c>
      <c r="O303" s="1881">
        <f t="shared" si="87"/>
        <v>77.2</v>
      </c>
      <c r="P303" s="1940"/>
      <c r="Q303" s="1593"/>
      <c r="R303" s="1602">
        <f t="shared" si="97"/>
        <v>116064.7</v>
      </c>
      <c r="S303" s="1629">
        <v>0</v>
      </c>
      <c r="T303" s="1629">
        <v>116064.7</v>
      </c>
      <c r="U303" s="1602">
        <f t="shared" si="98"/>
        <v>121543.6</v>
      </c>
      <c r="V303" s="1629">
        <v>0</v>
      </c>
      <c r="W303" s="1629">
        <v>121543.6</v>
      </c>
      <c r="X303" s="1423">
        <f t="shared" si="99"/>
        <v>0</v>
      </c>
    </row>
    <row r="304" spans="1:24" ht="41.25" customHeight="1">
      <c r="A304" s="1867">
        <f>A303+1</f>
        <v>27</v>
      </c>
      <c r="B304" s="1934" t="s">
        <v>1730</v>
      </c>
      <c r="C304" s="1866"/>
      <c r="D304" s="1602">
        <f t="shared" si="82"/>
        <v>900000</v>
      </c>
      <c r="E304" s="1631">
        <v>900000</v>
      </c>
      <c r="F304" s="1629"/>
      <c r="G304" s="1602">
        <f t="shared" si="96"/>
        <v>0</v>
      </c>
      <c r="H304" s="1631"/>
      <c r="I304" s="1629"/>
      <c r="J304" s="1602">
        <f t="shared" si="88"/>
        <v>0</v>
      </c>
      <c r="K304" s="1631"/>
      <c r="L304" s="1629"/>
      <c r="M304" s="1604">
        <f t="shared" si="85"/>
        <v>0</v>
      </c>
      <c r="N304" s="1881">
        <f t="shared" si="86"/>
        <v>0</v>
      </c>
      <c r="O304" s="1881">
        <f t="shared" si="87"/>
        <v>0</v>
      </c>
      <c r="P304" s="1940"/>
      <c r="Q304" s="1593"/>
      <c r="R304" s="1602">
        <f t="shared" si="97"/>
        <v>114620.9</v>
      </c>
      <c r="S304" s="1629">
        <v>7007.7</v>
      </c>
      <c r="T304" s="1629">
        <v>107613.2</v>
      </c>
      <c r="U304" s="1602">
        <f t="shared" si="98"/>
        <v>127100.2</v>
      </c>
      <c r="V304" s="1629">
        <v>15000</v>
      </c>
      <c r="W304" s="1629">
        <v>112100.2</v>
      </c>
      <c r="X304" s="1423">
        <f t="shared" si="99"/>
        <v>900000</v>
      </c>
    </row>
    <row r="305" spans="1:24" s="791" customFormat="1" ht="51.75" customHeight="1">
      <c r="A305" s="2565" t="s">
        <v>1421</v>
      </c>
      <c r="B305" s="2565"/>
      <c r="C305" s="1869"/>
      <c r="D305" s="1594">
        <f t="shared" si="82"/>
        <v>37500</v>
      </c>
      <c r="E305" s="1594">
        <f>E306</f>
        <v>0</v>
      </c>
      <c r="F305" s="1594">
        <f>SUM(F306)</f>
        <v>37500</v>
      </c>
      <c r="G305" s="1594">
        <f t="shared" si="96"/>
        <v>37500</v>
      </c>
      <c r="H305" s="1594">
        <f>H306</f>
        <v>0</v>
      </c>
      <c r="I305" s="1594">
        <f>SUM(I306)</f>
        <v>37500</v>
      </c>
      <c r="J305" s="1594">
        <f t="shared" ref="J305:J322" si="100">SUM(K305:L305)</f>
        <v>0</v>
      </c>
      <c r="K305" s="1594">
        <f>K306</f>
        <v>0</v>
      </c>
      <c r="L305" s="1594">
        <f>SUM(L306)</f>
        <v>0</v>
      </c>
      <c r="M305" s="1870">
        <f t="shared" si="85"/>
        <v>0</v>
      </c>
      <c r="N305" s="1871">
        <f t="shared" si="86"/>
        <v>0</v>
      </c>
      <c r="O305" s="1871">
        <f t="shared" si="87"/>
        <v>0</v>
      </c>
      <c r="P305" s="1940"/>
      <c r="Q305" s="1593" t="s">
        <v>1104</v>
      </c>
      <c r="R305" s="1594">
        <f t="shared" si="97"/>
        <v>0</v>
      </c>
      <c r="S305" s="1594">
        <f>S306</f>
        <v>0</v>
      </c>
      <c r="T305" s="1594">
        <f>SUM(T306)</f>
        <v>0</v>
      </c>
      <c r="U305" s="1594">
        <f t="shared" si="98"/>
        <v>0</v>
      </c>
      <c r="V305" s="1594">
        <f>V306</f>
        <v>0</v>
      </c>
      <c r="W305" s="1594">
        <f>SUM(W306)</f>
        <v>0</v>
      </c>
      <c r="X305" s="1423">
        <f t="shared" si="99"/>
        <v>0</v>
      </c>
    </row>
    <row r="306" spans="1:24" ht="75">
      <c r="A306" s="1867" t="s">
        <v>6</v>
      </c>
      <c r="B306" s="1872" t="s">
        <v>439</v>
      </c>
      <c r="C306" s="1873"/>
      <c r="D306" s="1861">
        <f t="shared" si="82"/>
        <v>37500</v>
      </c>
      <c r="E306" s="1861">
        <f>SUM(E307,E320)</f>
        <v>0</v>
      </c>
      <c r="F306" s="1861">
        <f>SUM(F307,F320)</f>
        <v>37500</v>
      </c>
      <c r="G306" s="1861">
        <f t="shared" si="96"/>
        <v>37500</v>
      </c>
      <c r="H306" s="1861">
        <f>SUM(H307,H320)</f>
        <v>0</v>
      </c>
      <c r="I306" s="1861">
        <f>SUM(I307,I320)</f>
        <v>37500</v>
      </c>
      <c r="J306" s="1861">
        <f t="shared" si="100"/>
        <v>0</v>
      </c>
      <c r="K306" s="1861">
        <f>SUM(K307,K320)</f>
        <v>0</v>
      </c>
      <c r="L306" s="1861">
        <f>SUM(L307,L320)</f>
        <v>0</v>
      </c>
      <c r="M306" s="1874">
        <f t="shared" si="85"/>
        <v>0</v>
      </c>
      <c r="N306" s="1875">
        <f t="shared" si="86"/>
        <v>0</v>
      </c>
      <c r="O306" s="1875">
        <f t="shared" si="87"/>
        <v>0</v>
      </c>
      <c r="P306" s="1597" t="s">
        <v>353</v>
      </c>
      <c r="Q306" s="1597" t="s">
        <v>353</v>
      </c>
      <c r="R306" s="1861">
        <f t="shared" si="97"/>
        <v>0</v>
      </c>
      <c r="S306" s="1861">
        <f>SUM(S307,S320)</f>
        <v>0</v>
      </c>
      <c r="T306" s="1861">
        <f>SUM(T307,T320)</f>
        <v>0</v>
      </c>
      <c r="U306" s="1861">
        <f t="shared" si="98"/>
        <v>0</v>
      </c>
      <c r="V306" s="1861">
        <f>SUM(V307,V320)</f>
        <v>0</v>
      </c>
      <c r="W306" s="1861">
        <f>SUM(W307,W320)</f>
        <v>0</v>
      </c>
      <c r="X306" s="1423">
        <f t="shared" si="99"/>
        <v>0</v>
      </c>
    </row>
    <row r="307" spans="1:24" ht="23.25">
      <c r="A307" s="1867" t="s">
        <v>253</v>
      </c>
      <c r="B307" s="1876" t="s">
        <v>1393</v>
      </c>
      <c r="C307" s="1877"/>
      <c r="D307" s="1598">
        <f t="shared" si="82"/>
        <v>23000</v>
      </c>
      <c r="E307" s="1598">
        <f>SUM(E318,E312+E308+E310+E314+E316)</f>
        <v>0</v>
      </c>
      <c r="F307" s="1598">
        <f>SUM(F318,F312+F308+F310+F314+F316)</f>
        <v>23000</v>
      </c>
      <c r="G307" s="1598">
        <f t="shared" si="96"/>
        <v>23000</v>
      </c>
      <c r="H307" s="1598">
        <f>SUM(H318,H312+H308+H310+H314+H316)</f>
        <v>0</v>
      </c>
      <c r="I307" s="1598">
        <f>SUM(I318,I312+I308+I310+I314+I316)</f>
        <v>23000</v>
      </c>
      <c r="J307" s="1598">
        <f t="shared" si="100"/>
        <v>0</v>
      </c>
      <c r="K307" s="1598">
        <f>SUM(K318,K312+K308+K310+K314+K316)</f>
        <v>0</v>
      </c>
      <c r="L307" s="1598">
        <f>SUM(L318,L312+L308+L310+L314+L316)</f>
        <v>0</v>
      </c>
      <c r="M307" s="1598">
        <f t="shared" si="85"/>
        <v>0</v>
      </c>
      <c r="N307" s="1598">
        <f t="shared" si="86"/>
        <v>0</v>
      </c>
      <c r="O307" s="1598">
        <f t="shared" si="87"/>
        <v>0</v>
      </c>
      <c r="P307" s="1599" t="s">
        <v>353</v>
      </c>
      <c r="Q307" s="1599" t="s">
        <v>353</v>
      </c>
      <c r="R307" s="1598">
        <f t="shared" si="97"/>
        <v>0</v>
      </c>
      <c r="S307" s="1598">
        <f>SUM(S318,S312+S308+S310+S314+S316)</f>
        <v>0</v>
      </c>
      <c r="T307" s="1598">
        <f>SUM(T318,T312+T308+T310+T314+T316)</f>
        <v>0</v>
      </c>
      <c r="U307" s="1598">
        <f t="shared" si="98"/>
        <v>0</v>
      </c>
      <c r="V307" s="1598">
        <f>SUM(V318,V312+V308+V310+V314+V316)</f>
        <v>0</v>
      </c>
      <c r="W307" s="1598">
        <f>SUM(W318,W312+W308+W310+W314+W316)</f>
        <v>0</v>
      </c>
      <c r="X307" s="1423">
        <f t="shared" si="99"/>
        <v>0</v>
      </c>
    </row>
    <row r="308" spans="1:24" s="484" customFormat="1" hidden="1">
      <c r="A308" s="1867"/>
      <c r="B308" s="1935" t="s">
        <v>46</v>
      </c>
      <c r="C308" s="1906"/>
      <c r="D308" s="1602">
        <f t="shared" si="82"/>
        <v>0</v>
      </c>
      <c r="E308" s="1603">
        <f>SUM(E309)</f>
        <v>0</v>
      </c>
      <c r="F308" s="1603">
        <f>SUM(F309)</f>
        <v>0</v>
      </c>
      <c r="G308" s="1602">
        <f t="shared" si="96"/>
        <v>0</v>
      </c>
      <c r="H308" s="1603">
        <f>SUM(H309)</f>
        <v>0</v>
      </c>
      <c r="I308" s="1603">
        <f>SUM(I309)</f>
        <v>0</v>
      </c>
      <c r="J308" s="1602">
        <f t="shared" si="100"/>
        <v>0</v>
      </c>
      <c r="K308" s="1603">
        <f>SUM(K309)</f>
        <v>0</v>
      </c>
      <c r="L308" s="1603">
        <f>SUM(L309)</f>
        <v>0</v>
      </c>
      <c r="M308" s="1604">
        <f t="shared" si="85"/>
        <v>0</v>
      </c>
      <c r="N308" s="1881">
        <f t="shared" si="86"/>
        <v>0</v>
      </c>
      <c r="O308" s="1881">
        <f t="shared" si="87"/>
        <v>0</v>
      </c>
      <c r="P308" s="1593"/>
      <c r="Q308" s="1593"/>
      <c r="R308" s="1602">
        <f t="shared" si="97"/>
        <v>0</v>
      </c>
      <c r="S308" s="1603">
        <f>SUM(S309)</f>
        <v>0</v>
      </c>
      <c r="T308" s="1603">
        <f>SUM(T309)</f>
        <v>0</v>
      </c>
      <c r="U308" s="1602">
        <f t="shared" si="98"/>
        <v>0</v>
      </c>
      <c r="V308" s="1603">
        <f>SUM(V309)</f>
        <v>0</v>
      </c>
      <c r="W308" s="1603">
        <f>SUM(W309)</f>
        <v>0</v>
      </c>
    </row>
    <row r="309" spans="1:24" s="484" customFormat="1" ht="56.25" hidden="1">
      <c r="A309" s="1867">
        <v>1</v>
      </c>
      <c r="B309" s="1905" t="s">
        <v>1677</v>
      </c>
      <c r="C309" s="1866">
        <v>24381</v>
      </c>
      <c r="D309" s="1602">
        <f t="shared" si="82"/>
        <v>0</v>
      </c>
      <c r="E309" s="1616">
        <v>0</v>
      </c>
      <c r="F309" s="1616">
        <v>0</v>
      </c>
      <c r="G309" s="1602">
        <f t="shared" si="96"/>
        <v>0</v>
      </c>
      <c r="H309" s="1616">
        <v>0</v>
      </c>
      <c r="I309" s="1616">
        <v>0</v>
      </c>
      <c r="J309" s="1602">
        <f t="shared" si="100"/>
        <v>0</v>
      </c>
      <c r="K309" s="1616">
        <v>0</v>
      </c>
      <c r="L309" s="1616"/>
      <c r="M309" s="1604">
        <f t="shared" si="85"/>
        <v>0</v>
      </c>
      <c r="N309" s="1881">
        <f t="shared" si="86"/>
        <v>0</v>
      </c>
      <c r="O309" s="1881">
        <f t="shared" si="87"/>
        <v>0</v>
      </c>
      <c r="P309" s="1593"/>
      <c r="Q309" s="1593"/>
      <c r="R309" s="1602">
        <f t="shared" si="97"/>
        <v>0</v>
      </c>
      <c r="S309" s="1600"/>
      <c r="T309" s="1600"/>
      <c r="U309" s="1602">
        <f t="shared" si="98"/>
        <v>0</v>
      </c>
      <c r="V309" s="1600"/>
      <c r="W309" s="1600"/>
    </row>
    <row r="310" spans="1:24" s="484" customFormat="1" ht="23.25">
      <c r="A310" s="1867"/>
      <c r="B310" s="1935" t="s">
        <v>583</v>
      </c>
      <c r="C310" s="1906"/>
      <c r="D310" s="1602">
        <f t="shared" si="82"/>
        <v>3500</v>
      </c>
      <c r="E310" s="1603">
        <f>SUM(E311)</f>
        <v>0</v>
      </c>
      <c r="F310" s="1603">
        <f>SUM(F311)</f>
        <v>3500</v>
      </c>
      <c r="G310" s="1602">
        <f t="shared" si="96"/>
        <v>3500</v>
      </c>
      <c r="H310" s="1603">
        <f>SUM(H311)</f>
        <v>0</v>
      </c>
      <c r="I310" s="1603">
        <f>SUM(I311)</f>
        <v>3500</v>
      </c>
      <c r="J310" s="1602">
        <f t="shared" si="100"/>
        <v>0</v>
      </c>
      <c r="K310" s="1603">
        <f>SUM(K311)</f>
        <v>0</v>
      </c>
      <c r="L310" s="1603">
        <f>SUM(L311)</f>
        <v>0</v>
      </c>
      <c r="M310" s="1604">
        <f t="shared" si="85"/>
        <v>0</v>
      </c>
      <c r="N310" s="1881">
        <f t="shared" si="86"/>
        <v>0</v>
      </c>
      <c r="O310" s="1881">
        <f t="shared" si="87"/>
        <v>0</v>
      </c>
      <c r="P310" s="1593"/>
      <c r="Q310" s="1593"/>
      <c r="R310" s="1602">
        <f t="shared" si="97"/>
        <v>0</v>
      </c>
      <c r="S310" s="1603">
        <f>SUM(S311)</f>
        <v>0</v>
      </c>
      <c r="T310" s="1603">
        <f>SUM(T311)</f>
        <v>0</v>
      </c>
      <c r="U310" s="1602">
        <f t="shared" si="98"/>
        <v>0</v>
      </c>
      <c r="V310" s="1603">
        <f>SUM(V311)</f>
        <v>0</v>
      </c>
      <c r="W310" s="1603">
        <f>SUM(W311)</f>
        <v>0</v>
      </c>
      <c r="X310" s="1423">
        <f t="shared" ref="X310:X341" si="101">D310-G310</f>
        <v>0</v>
      </c>
    </row>
    <row r="311" spans="1:24" s="484" customFormat="1" ht="37.5">
      <c r="A311" s="1867">
        <f>A309+1</f>
        <v>2</v>
      </c>
      <c r="B311" s="1905" t="s">
        <v>1579</v>
      </c>
      <c r="C311" s="1906"/>
      <c r="D311" s="1602">
        <f t="shared" si="82"/>
        <v>3500</v>
      </c>
      <c r="E311" s="1616">
        <v>0</v>
      </c>
      <c r="F311" s="1616">
        <v>3500</v>
      </c>
      <c r="G311" s="1602">
        <f t="shared" si="96"/>
        <v>3500</v>
      </c>
      <c r="H311" s="1616">
        <v>0</v>
      </c>
      <c r="I311" s="1616">
        <v>3500</v>
      </c>
      <c r="J311" s="1602">
        <f t="shared" si="100"/>
        <v>0</v>
      </c>
      <c r="K311" s="1616">
        <v>0</v>
      </c>
      <c r="L311" s="1616"/>
      <c r="M311" s="1604">
        <f t="shared" si="85"/>
        <v>0</v>
      </c>
      <c r="N311" s="1881">
        <f t="shared" si="86"/>
        <v>0</v>
      </c>
      <c r="O311" s="1881">
        <f t="shared" si="87"/>
        <v>0</v>
      </c>
      <c r="P311" s="1593"/>
      <c r="Q311" s="1593"/>
      <c r="R311" s="1602">
        <f t="shared" si="97"/>
        <v>0</v>
      </c>
      <c r="S311" s="1616">
        <v>0</v>
      </c>
      <c r="T311" s="1616">
        <v>0</v>
      </c>
      <c r="U311" s="1602">
        <f t="shared" si="98"/>
        <v>0</v>
      </c>
      <c r="V311" s="1616">
        <v>0</v>
      </c>
      <c r="W311" s="1616">
        <v>0</v>
      </c>
      <c r="X311" s="1423">
        <f t="shared" si="101"/>
        <v>0</v>
      </c>
    </row>
    <row r="312" spans="1:24" ht="23.25">
      <c r="A312" s="1867"/>
      <c r="B312" s="506" t="s">
        <v>68</v>
      </c>
      <c r="C312" s="1867"/>
      <c r="D312" s="1602">
        <f t="shared" si="82"/>
        <v>2500</v>
      </c>
      <c r="E312" s="1603">
        <f>SUM(E313)</f>
        <v>0</v>
      </c>
      <c r="F312" s="1603">
        <f>SUM(F313)</f>
        <v>2500</v>
      </c>
      <c r="G312" s="1602">
        <f t="shared" si="96"/>
        <v>2500</v>
      </c>
      <c r="H312" s="1603">
        <f>SUM(H313)</f>
        <v>0</v>
      </c>
      <c r="I312" s="1603">
        <f>SUM(I313)</f>
        <v>2500</v>
      </c>
      <c r="J312" s="1602">
        <f t="shared" si="100"/>
        <v>0</v>
      </c>
      <c r="K312" s="1603">
        <f>SUM(K313)</f>
        <v>0</v>
      </c>
      <c r="L312" s="1603">
        <f>SUM(L313)</f>
        <v>0</v>
      </c>
      <c r="M312" s="1604">
        <f t="shared" si="85"/>
        <v>0</v>
      </c>
      <c r="N312" s="1881">
        <f t="shared" si="86"/>
        <v>0</v>
      </c>
      <c r="O312" s="1881">
        <f t="shared" si="87"/>
        <v>0</v>
      </c>
      <c r="P312" s="1940"/>
      <c r="Q312" s="1593"/>
      <c r="R312" s="1602">
        <f t="shared" si="97"/>
        <v>0</v>
      </c>
      <c r="S312" s="1603">
        <f>SUM(S313)</f>
        <v>0</v>
      </c>
      <c r="T312" s="1603">
        <f>SUM(T313)</f>
        <v>0</v>
      </c>
      <c r="U312" s="1602">
        <f t="shared" si="98"/>
        <v>0</v>
      </c>
      <c r="V312" s="1603">
        <f>SUM(V313)</f>
        <v>0</v>
      </c>
      <c r="W312" s="1603">
        <f>SUM(W313)</f>
        <v>0</v>
      </c>
      <c r="X312" s="1423">
        <f t="shared" si="101"/>
        <v>0</v>
      </c>
    </row>
    <row r="313" spans="1:24" ht="37.5">
      <c r="A313" s="1867">
        <f>A311+1</f>
        <v>3</v>
      </c>
      <c r="B313" s="1879" t="s">
        <v>1422</v>
      </c>
      <c r="C313" s="1867"/>
      <c r="D313" s="1602">
        <f t="shared" si="82"/>
        <v>2500</v>
      </c>
      <c r="E313" s="1616">
        <v>0</v>
      </c>
      <c r="F313" s="1616">
        <v>2500</v>
      </c>
      <c r="G313" s="1602">
        <f t="shared" si="96"/>
        <v>2500</v>
      </c>
      <c r="H313" s="1616">
        <v>0</v>
      </c>
      <c r="I313" s="1616">
        <v>2500</v>
      </c>
      <c r="J313" s="1602">
        <f t="shared" si="100"/>
        <v>0</v>
      </c>
      <c r="K313" s="1616">
        <v>0</v>
      </c>
      <c r="L313" s="1616"/>
      <c r="M313" s="1604">
        <f t="shared" si="85"/>
        <v>0</v>
      </c>
      <c r="N313" s="1881">
        <f t="shared" si="86"/>
        <v>0</v>
      </c>
      <c r="O313" s="1881">
        <f t="shared" si="87"/>
        <v>0</v>
      </c>
      <c r="P313" s="1940"/>
      <c r="Q313" s="1593"/>
      <c r="R313" s="1602">
        <f t="shared" si="97"/>
        <v>0</v>
      </c>
      <c r="S313" s="1616"/>
      <c r="T313" s="1616"/>
      <c r="U313" s="1602">
        <f t="shared" si="98"/>
        <v>0</v>
      </c>
      <c r="V313" s="1616"/>
      <c r="W313" s="1616"/>
      <c r="X313" s="1423">
        <f t="shared" si="101"/>
        <v>0</v>
      </c>
    </row>
    <row r="314" spans="1:24" ht="23.25">
      <c r="A314" s="1867"/>
      <c r="B314" s="506" t="s">
        <v>431</v>
      </c>
      <c r="C314" s="1867"/>
      <c r="D314" s="1602">
        <f t="shared" si="82"/>
        <v>4000</v>
      </c>
      <c r="E314" s="1603">
        <f>SUM(E315)</f>
        <v>0</v>
      </c>
      <c r="F314" s="1603">
        <f>SUM(F315)</f>
        <v>4000</v>
      </c>
      <c r="G314" s="1602">
        <f t="shared" si="96"/>
        <v>4000</v>
      </c>
      <c r="H314" s="1603">
        <f>SUM(H315)</f>
        <v>0</v>
      </c>
      <c r="I314" s="1603">
        <f>SUM(I315)</f>
        <v>4000</v>
      </c>
      <c r="J314" s="1602">
        <f t="shared" si="100"/>
        <v>0</v>
      </c>
      <c r="K314" s="1603">
        <f>SUM(K315)</f>
        <v>0</v>
      </c>
      <c r="L314" s="1603">
        <f>SUM(L315)</f>
        <v>0</v>
      </c>
      <c r="M314" s="1604">
        <f t="shared" si="85"/>
        <v>0</v>
      </c>
      <c r="N314" s="1881">
        <f t="shared" si="86"/>
        <v>0</v>
      </c>
      <c r="O314" s="1881">
        <f t="shared" si="87"/>
        <v>0</v>
      </c>
      <c r="P314" s="1940"/>
      <c r="Q314" s="1593"/>
      <c r="R314" s="1602">
        <f t="shared" si="97"/>
        <v>0</v>
      </c>
      <c r="S314" s="1603">
        <f>SUM(S315)</f>
        <v>0</v>
      </c>
      <c r="T314" s="1603">
        <f>SUM(T315)</f>
        <v>0</v>
      </c>
      <c r="U314" s="1602">
        <f t="shared" si="98"/>
        <v>0</v>
      </c>
      <c r="V314" s="1603">
        <f>SUM(V315)</f>
        <v>0</v>
      </c>
      <c r="W314" s="1603">
        <f>SUM(W315)</f>
        <v>0</v>
      </c>
      <c r="X314" s="1423">
        <f t="shared" si="101"/>
        <v>0</v>
      </c>
    </row>
    <row r="315" spans="1:24" ht="37.5">
      <c r="A315" s="1867">
        <f>A313+1</f>
        <v>4</v>
      </c>
      <c r="B315" s="1879" t="s">
        <v>1580</v>
      </c>
      <c r="C315" s="1867"/>
      <c r="D315" s="1602">
        <f t="shared" si="82"/>
        <v>4000</v>
      </c>
      <c r="E315" s="1616">
        <v>0</v>
      </c>
      <c r="F315" s="1616">
        <v>4000</v>
      </c>
      <c r="G315" s="1602">
        <f t="shared" si="96"/>
        <v>4000</v>
      </c>
      <c r="H315" s="1616">
        <v>0</v>
      </c>
      <c r="I315" s="1616">
        <v>4000</v>
      </c>
      <c r="J315" s="1602">
        <f t="shared" si="100"/>
        <v>0</v>
      </c>
      <c r="K315" s="1616">
        <v>0</v>
      </c>
      <c r="L315" s="1616"/>
      <c r="M315" s="1604">
        <f t="shared" si="85"/>
        <v>0</v>
      </c>
      <c r="N315" s="1881">
        <f t="shared" si="86"/>
        <v>0</v>
      </c>
      <c r="O315" s="1881">
        <f t="shared" si="87"/>
        <v>0</v>
      </c>
      <c r="P315" s="1940"/>
      <c r="Q315" s="1593"/>
      <c r="R315" s="1602">
        <f t="shared" si="97"/>
        <v>0</v>
      </c>
      <c r="S315" s="1616">
        <v>0</v>
      </c>
      <c r="T315" s="1616">
        <v>0</v>
      </c>
      <c r="U315" s="1602">
        <f t="shared" si="98"/>
        <v>0</v>
      </c>
      <c r="V315" s="1616">
        <v>0</v>
      </c>
      <c r="W315" s="1616">
        <v>0</v>
      </c>
      <c r="X315" s="1423">
        <f t="shared" si="101"/>
        <v>0</v>
      </c>
    </row>
    <row r="316" spans="1:24" ht="23.25">
      <c r="A316" s="1867"/>
      <c r="B316" s="506" t="s">
        <v>90</v>
      </c>
      <c r="C316" s="1867"/>
      <c r="D316" s="1602">
        <f t="shared" si="82"/>
        <v>3000</v>
      </c>
      <c r="E316" s="1603">
        <f>SUM(E317)</f>
        <v>0</v>
      </c>
      <c r="F316" s="1603">
        <f>SUM(F317)</f>
        <v>3000</v>
      </c>
      <c r="G316" s="1602">
        <f t="shared" si="96"/>
        <v>3000</v>
      </c>
      <c r="H316" s="1603">
        <f>SUM(H317)</f>
        <v>0</v>
      </c>
      <c r="I316" s="1603">
        <f>SUM(I317)</f>
        <v>3000</v>
      </c>
      <c r="J316" s="1602">
        <f t="shared" si="100"/>
        <v>0</v>
      </c>
      <c r="K316" s="1603">
        <f>SUM(K317)</f>
        <v>0</v>
      </c>
      <c r="L316" s="1603">
        <f>SUM(L317)</f>
        <v>0</v>
      </c>
      <c r="M316" s="1604">
        <f t="shared" si="85"/>
        <v>0</v>
      </c>
      <c r="N316" s="1881">
        <f t="shared" si="86"/>
        <v>0</v>
      </c>
      <c r="O316" s="1881">
        <f t="shared" si="87"/>
        <v>0</v>
      </c>
      <c r="P316" s="1940"/>
      <c r="Q316" s="1593"/>
      <c r="R316" s="1602">
        <f t="shared" si="97"/>
        <v>0</v>
      </c>
      <c r="S316" s="1603">
        <f>SUM(S317)</f>
        <v>0</v>
      </c>
      <c r="T316" s="1603">
        <f>SUM(T317)</f>
        <v>0</v>
      </c>
      <c r="U316" s="1602">
        <f t="shared" si="98"/>
        <v>0</v>
      </c>
      <c r="V316" s="1603">
        <f>SUM(V317)</f>
        <v>0</v>
      </c>
      <c r="W316" s="1603">
        <f>SUM(W317)</f>
        <v>0</v>
      </c>
      <c r="X316" s="1423">
        <f t="shared" si="101"/>
        <v>0</v>
      </c>
    </row>
    <row r="317" spans="1:24" ht="42.75" customHeight="1">
      <c r="A317" s="1867">
        <f>A315+1</f>
        <v>5</v>
      </c>
      <c r="B317" s="1879" t="s">
        <v>1581</v>
      </c>
      <c r="C317" s="1867"/>
      <c r="D317" s="1602">
        <f t="shared" si="82"/>
        <v>3000</v>
      </c>
      <c r="E317" s="1616">
        <v>0</v>
      </c>
      <c r="F317" s="1616">
        <v>3000</v>
      </c>
      <c r="G317" s="1602">
        <f t="shared" si="96"/>
        <v>3000</v>
      </c>
      <c r="H317" s="1616">
        <v>0</v>
      </c>
      <c r="I317" s="1616">
        <v>3000</v>
      </c>
      <c r="J317" s="1602">
        <f t="shared" si="100"/>
        <v>0</v>
      </c>
      <c r="K317" s="1616">
        <v>0</v>
      </c>
      <c r="L317" s="1616"/>
      <c r="M317" s="1604">
        <f t="shared" si="85"/>
        <v>0</v>
      </c>
      <c r="N317" s="1881">
        <f t="shared" si="86"/>
        <v>0</v>
      </c>
      <c r="O317" s="1881">
        <f t="shared" si="87"/>
        <v>0</v>
      </c>
      <c r="P317" s="1940"/>
      <c r="Q317" s="1593"/>
      <c r="R317" s="1602">
        <f t="shared" si="97"/>
        <v>0</v>
      </c>
      <c r="S317" s="1616">
        <v>0</v>
      </c>
      <c r="T317" s="1616"/>
      <c r="U317" s="1602">
        <f t="shared" si="98"/>
        <v>0</v>
      </c>
      <c r="V317" s="1616">
        <v>0</v>
      </c>
      <c r="W317" s="1616">
        <v>0</v>
      </c>
      <c r="X317" s="1423">
        <f t="shared" si="101"/>
        <v>0</v>
      </c>
    </row>
    <row r="318" spans="1:24" ht="23.25">
      <c r="A318" s="1867"/>
      <c r="B318" s="506" t="s">
        <v>457</v>
      </c>
      <c r="C318" s="1867">
        <v>24371</v>
      </c>
      <c r="D318" s="1602">
        <f t="shared" si="82"/>
        <v>10000</v>
      </c>
      <c r="E318" s="1603">
        <f>SUM(E319)</f>
        <v>0</v>
      </c>
      <c r="F318" s="1603">
        <f>SUM(F319)</f>
        <v>10000</v>
      </c>
      <c r="G318" s="1602">
        <f t="shared" si="96"/>
        <v>10000</v>
      </c>
      <c r="H318" s="1603">
        <f>SUM(H319)</f>
        <v>0</v>
      </c>
      <c r="I318" s="1603">
        <f>SUM(I319)</f>
        <v>10000</v>
      </c>
      <c r="J318" s="1602">
        <f t="shared" si="100"/>
        <v>0</v>
      </c>
      <c r="K318" s="1603">
        <f>SUM(K319)</f>
        <v>0</v>
      </c>
      <c r="L318" s="1603">
        <f>SUM(L319)</f>
        <v>0</v>
      </c>
      <c r="M318" s="1604">
        <f t="shared" si="85"/>
        <v>0</v>
      </c>
      <c r="N318" s="1881">
        <f t="shared" si="86"/>
        <v>0</v>
      </c>
      <c r="O318" s="1881">
        <f t="shared" si="87"/>
        <v>0</v>
      </c>
      <c r="P318" s="1940"/>
      <c r="Q318" s="1593"/>
      <c r="R318" s="1602">
        <f t="shared" si="97"/>
        <v>0</v>
      </c>
      <c r="S318" s="1603">
        <f>SUM(S319)</f>
        <v>0</v>
      </c>
      <c r="T318" s="1603">
        <f>SUM(T319)</f>
        <v>0</v>
      </c>
      <c r="U318" s="1602">
        <f t="shared" si="98"/>
        <v>0</v>
      </c>
      <c r="V318" s="1603">
        <f>SUM(V319)</f>
        <v>0</v>
      </c>
      <c r="W318" s="1603">
        <f>SUM(W319)</f>
        <v>0</v>
      </c>
      <c r="X318" s="1423">
        <f t="shared" si="101"/>
        <v>0</v>
      </c>
    </row>
    <row r="319" spans="1:24" ht="85.5" customHeight="1">
      <c r="A319" s="1867">
        <f>A317+1</f>
        <v>6</v>
      </c>
      <c r="B319" s="1879" t="s">
        <v>1424</v>
      </c>
      <c r="C319" s="1867">
        <v>24371</v>
      </c>
      <c r="D319" s="1602">
        <f t="shared" si="82"/>
        <v>10000</v>
      </c>
      <c r="E319" s="1616">
        <v>0</v>
      </c>
      <c r="F319" s="1616">
        <v>10000</v>
      </c>
      <c r="G319" s="1602">
        <f t="shared" si="96"/>
        <v>10000</v>
      </c>
      <c r="H319" s="1616">
        <v>0</v>
      </c>
      <c r="I319" s="1616">
        <v>10000</v>
      </c>
      <c r="J319" s="1602">
        <f t="shared" si="100"/>
        <v>0</v>
      </c>
      <c r="K319" s="1616">
        <v>0</v>
      </c>
      <c r="L319" s="1616"/>
      <c r="M319" s="1604">
        <f t="shared" si="85"/>
        <v>0</v>
      </c>
      <c r="N319" s="1881">
        <f t="shared" si="86"/>
        <v>0</v>
      </c>
      <c r="O319" s="1881">
        <f t="shared" si="87"/>
        <v>0</v>
      </c>
      <c r="P319" s="1940"/>
      <c r="Q319" s="1593"/>
      <c r="R319" s="1602">
        <f t="shared" si="97"/>
        <v>0</v>
      </c>
      <c r="S319" s="1616">
        <v>0</v>
      </c>
      <c r="T319" s="1616">
        <v>0</v>
      </c>
      <c r="U319" s="1602">
        <f t="shared" si="98"/>
        <v>0</v>
      </c>
      <c r="V319" s="1616">
        <v>0</v>
      </c>
      <c r="W319" s="1616">
        <v>0</v>
      </c>
      <c r="X319" s="1423">
        <f t="shared" si="101"/>
        <v>0</v>
      </c>
    </row>
    <row r="320" spans="1:24" ht="23.25">
      <c r="A320" s="1867" t="s">
        <v>254</v>
      </c>
      <c r="B320" s="1876" t="s">
        <v>1394</v>
      </c>
      <c r="C320" s="1936">
        <v>24372</v>
      </c>
      <c r="D320" s="1598">
        <f t="shared" si="82"/>
        <v>14500</v>
      </c>
      <c r="E320" s="1598">
        <f>E321</f>
        <v>0</v>
      </c>
      <c r="F320" s="1598">
        <f>F321</f>
        <v>14500</v>
      </c>
      <c r="G320" s="1598">
        <f t="shared" si="96"/>
        <v>14500</v>
      </c>
      <c r="H320" s="1598">
        <f>H321</f>
        <v>0</v>
      </c>
      <c r="I320" s="1598">
        <f>I321</f>
        <v>14500</v>
      </c>
      <c r="J320" s="1598">
        <f t="shared" si="100"/>
        <v>0</v>
      </c>
      <c r="K320" s="1598">
        <f>K321</f>
        <v>0</v>
      </c>
      <c r="L320" s="1598">
        <f>L321</f>
        <v>0</v>
      </c>
      <c r="M320" s="1937">
        <f t="shared" si="85"/>
        <v>0</v>
      </c>
      <c r="N320" s="1938">
        <f t="shared" si="86"/>
        <v>0</v>
      </c>
      <c r="O320" s="1938">
        <f t="shared" si="87"/>
        <v>0</v>
      </c>
      <c r="P320" s="1599" t="s">
        <v>353</v>
      </c>
      <c r="Q320" s="1599" t="s">
        <v>353</v>
      </c>
      <c r="R320" s="1598">
        <f t="shared" si="97"/>
        <v>0</v>
      </c>
      <c r="S320" s="1598">
        <f>S321</f>
        <v>0</v>
      </c>
      <c r="T320" s="1598">
        <f>T321</f>
        <v>0</v>
      </c>
      <c r="U320" s="1598">
        <f t="shared" si="98"/>
        <v>0</v>
      </c>
      <c r="V320" s="1598">
        <f>V321</f>
        <v>0</v>
      </c>
      <c r="W320" s="1598">
        <f>W321</f>
        <v>0</v>
      </c>
      <c r="X320" s="1423">
        <f t="shared" si="101"/>
        <v>0</v>
      </c>
    </row>
    <row r="321" spans="1:24" ht="23.25">
      <c r="A321" s="1867"/>
      <c r="B321" s="506" t="s">
        <v>615</v>
      </c>
      <c r="C321" s="1878"/>
      <c r="D321" s="1602">
        <f t="shared" si="82"/>
        <v>14500</v>
      </c>
      <c r="E321" s="1603">
        <f>SUM(E322)</f>
        <v>0</v>
      </c>
      <c r="F321" s="1603">
        <f>SUM(F322)</f>
        <v>14500</v>
      </c>
      <c r="G321" s="1602">
        <f t="shared" si="96"/>
        <v>14500</v>
      </c>
      <c r="H321" s="1603">
        <f>SUM(H322)</f>
        <v>0</v>
      </c>
      <c r="I321" s="1603">
        <f>SUM(I322)</f>
        <v>14500</v>
      </c>
      <c r="J321" s="1602">
        <f t="shared" si="100"/>
        <v>0</v>
      </c>
      <c r="K321" s="1603">
        <f>SUM(K322)</f>
        <v>0</v>
      </c>
      <c r="L321" s="1603">
        <f>SUM(L322)</f>
        <v>0</v>
      </c>
      <c r="M321" s="1604">
        <f t="shared" si="85"/>
        <v>0</v>
      </c>
      <c r="N321" s="1881">
        <f t="shared" si="86"/>
        <v>0</v>
      </c>
      <c r="O321" s="1881">
        <f t="shared" si="87"/>
        <v>0</v>
      </c>
      <c r="P321" s="1940"/>
      <c r="Q321" s="1593"/>
      <c r="R321" s="1602">
        <f t="shared" si="97"/>
        <v>0</v>
      </c>
      <c r="S321" s="1603">
        <f>SUM(S322)</f>
        <v>0</v>
      </c>
      <c r="T321" s="1603">
        <f>SUM(T322)</f>
        <v>0</v>
      </c>
      <c r="U321" s="1602">
        <f t="shared" si="98"/>
        <v>0</v>
      </c>
      <c r="V321" s="1603">
        <f>SUM(V322)</f>
        <v>0</v>
      </c>
      <c r="W321" s="1603">
        <f>SUM(W322)</f>
        <v>0</v>
      </c>
      <c r="X321" s="1423">
        <f t="shared" si="101"/>
        <v>0</v>
      </c>
    </row>
    <row r="322" spans="1:24" ht="23.25">
      <c r="A322" s="1867">
        <f>A319+1</f>
        <v>7</v>
      </c>
      <c r="B322" s="1879" t="s">
        <v>1423</v>
      </c>
      <c r="C322" s="1880">
        <v>24372</v>
      </c>
      <c r="D322" s="1602">
        <f t="shared" si="82"/>
        <v>14500</v>
      </c>
      <c r="E322" s="1616">
        <v>0</v>
      </c>
      <c r="F322" s="1616">
        <v>14500</v>
      </c>
      <c r="G322" s="1602">
        <f t="shared" si="96"/>
        <v>14500</v>
      </c>
      <c r="H322" s="1616">
        <v>0</v>
      </c>
      <c r="I322" s="1616">
        <v>14500</v>
      </c>
      <c r="J322" s="1602">
        <f t="shared" si="100"/>
        <v>0</v>
      </c>
      <c r="K322" s="1616">
        <v>0</v>
      </c>
      <c r="L322" s="1616"/>
      <c r="M322" s="1604">
        <f t="shared" si="85"/>
        <v>0</v>
      </c>
      <c r="N322" s="1881">
        <f t="shared" si="86"/>
        <v>0</v>
      </c>
      <c r="O322" s="1881">
        <f t="shared" si="87"/>
        <v>0</v>
      </c>
      <c r="P322" s="1940"/>
      <c r="Q322" s="1593"/>
      <c r="R322" s="1602">
        <f>SUM(S322:T322)</f>
        <v>0</v>
      </c>
      <c r="S322" s="1616">
        <v>0</v>
      </c>
      <c r="T322" s="1616">
        <v>0</v>
      </c>
      <c r="U322" s="1602">
        <f>SUM(V322:W322)</f>
        <v>0</v>
      </c>
      <c r="V322" s="1616">
        <v>0</v>
      </c>
      <c r="W322" s="1616">
        <v>0</v>
      </c>
      <c r="X322" s="1423">
        <f t="shared" si="101"/>
        <v>0</v>
      </c>
    </row>
    <row r="323" spans="1:24" ht="41.25" customHeight="1">
      <c r="A323" s="2565" t="s">
        <v>1369</v>
      </c>
      <c r="B323" s="2565"/>
      <c r="C323" s="1594">
        <v>62500</v>
      </c>
      <c r="D323" s="1594">
        <f>D324</f>
        <v>9236.2999999999993</v>
      </c>
      <c r="E323" s="1594">
        <f t="shared" ref="E323:L324" si="102">E324</f>
        <v>0</v>
      </c>
      <c r="F323" s="1594">
        <f t="shared" si="102"/>
        <v>9236.2999999999993</v>
      </c>
      <c r="G323" s="1594">
        <f t="shared" si="102"/>
        <v>9236.2999999999993</v>
      </c>
      <c r="H323" s="1594">
        <f t="shared" si="102"/>
        <v>0</v>
      </c>
      <c r="I323" s="1594">
        <f t="shared" si="102"/>
        <v>9236.2999999999993</v>
      </c>
      <c r="J323" s="1594">
        <f t="shared" si="102"/>
        <v>2044.1</v>
      </c>
      <c r="K323" s="1594">
        <f t="shared" si="102"/>
        <v>0</v>
      </c>
      <c r="L323" s="1594">
        <f t="shared" si="102"/>
        <v>2044.1</v>
      </c>
      <c r="M323" s="1966">
        <f t="shared" si="85"/>
        <v>22.1</v>
      </c>
      <c r="N323" s="1967">
        <f t="shared" si="86"/>
        <v>0</v>
      </c>
      <c r="O323" s="1967">
        <f t="shared" si="87"/>
        <v>22.1</v>
      </c>
      <c r="P323" s="1659"/>
      <c r="Q323" s="1794"/>
      <c r="R323" s="1964"/>
      <c r="S323" s="1965"/>
      <c r="T323" s="1965"/>
      <c r="U323" s="1964"/>
      <c r="V323" s="1965"/>
      <c r="W323" s="1965"/>
      <c r="X323" s="1423">
        <f t="shared" si="101"/>
        <v>0</v>
      </c>
    </row>
    <row r="324" spans="1:24" ht="75">
      <c r="A324" s="1960" t="s">
        <v>1681</v>
      </c>
      <c r="B324" s="1872" t="s">
        <v>439</v>
      </c>
      <c r="C324" s="1860">
        <v>2675651.2999999998</v>
      </c>
      <c r="D324" s="1861">
        <f>E324+F324</f>
        <v>9236.2999999999993</v>
      </c>
      <c r="E324" s="1861">
        <f>E325</f>
        <v>0</v>
      </c>
      <c r="F324" s="1861">
        <f t="shared" si="102"/>
        <v>9236.2999999999993</v>
      </c>
      <c r="G324" s="1861">
        <f t="shared" si="102"/>
        <v>9236.2999999999993</v>
      </c>
      <c r="H324" s="1861">
        <f t="shared" si="102"/>
        <v>0</v>
      </c>
      <c r="I324" s="1861">
        <f t="shared" si="102"/>
        <v>9236.2999999999993</v>
      </c>
      <c r="J324" s="1861">
        <f t="shared" si="102"/>
        <v>2044.1</v>
      </c>
      <c r="K324" s="1861">
        <f t="shared" si="102"/>
        <v>0</v>
      </c>
      <c r="L324" s="1861">
        <f t="shared" si="102"/>
        <v>2044.1</v>
      </c>
      <c r="M324" s="1968">
        <f t="shared" si="85"/>
        <v>22.1</v>
      </c>
      <c r="N324" s="1969">
        <f t="shared" si="86"/>
        <v>0</v>
      </c>
      <c r="O324" s="1969">
        <f t="shared" si="87"/>
        <v>22.1</v>
      </c>
      <c r="P324" s="1659"/>
      <c r="Q324" s="1794"/>
      <c r="R324" s="1964"/>
      <c r="S324" s="1965"/>
      <c r="T324" s="1965"/>
      <c r="U324" s="1964"/>
      <c r="V324" s="1965"/>
      <c r="W324" s="1965"/>
      <c r="X324" s="1423">
        <f t="shared" si="101"/>
        <v>0</v>
      </c>
    </row>
    <row r="325" spans="1:24" ht="23.25">
      <c r="A325" s="1960" t="s">
        <v>253</v>
      </c>
      <c r="B325" s="1876" t="s">
        <v>1393</v>
      </c>
      <c r="C325" s="1598">
        <v>14500</v>
      </c>
      <c r="D325" s="1598">
        <f>E325+F325</f>
        <v>9236.2999999999993</v>
      </c>
      <c r="E325" s="1598">
        <f>E328</f>
        <v>0</v>
      </c>
      <c r="F325" s="1598">
        <f t="shared" ref="F325:L325" si="103">F326+F328</f>
        <v>9236.2999999999993</v>
      </c>
      <c r="G325" s="1598">
        <f t="shared" si="103"/>
        <v>9236.2999999999993</v>
      </c>
      <c r="H325" s="1598">
        <f t="shared" si="103"/>
        <v>0</v>
      </c>
      <c r="I325" s="1598">
        <f t="shared" si="103"/>
        <v>9236.2999999999993</v>
      </c>
      <c r="J325" s="1598">
        <f t="shared" si="103"/>
        <v>2044.1</v>
      </c>
      <c r="K325" s="1598">
        <f t="shared" si="103"/>
        <v>0</v>
      </c>
      <c r="L325" s="1598">
        <f t="shared" si="103"/>
        <v>2044.1</v>
      </c>
      <c r="M325" s="1937">
        <f t="shared" si="85"/>
        <v>22.1</v>
      </c>
      <c r="N325" s="1938">
        <f t="shared" si="86"/>
        <v>0</v>
      </c>
      <c r="O325" s="1938">
        <f t="shared" si="87"/>
        <v>22.1</v>
      </c>
      <c r="P325" s="1659"/>
      <c r="Q325" s="1794"/>
      <c r="R325" s="1964"/>
      <c r="S325" s="1965"/>
      <c r="T325" s="1965"/>
      <c r="U325" s="1964"/>
      <c r="V325" s="1965"/>
      <c r="W325" s="1965"/>
      <c r="X325" s="1423">
        <f t="shared" si="101"/>
        <v>0</v>
      </c>
    </row>
    <row r="326" spans="1:24" ht="23.25">
      <c r="A326" s="2002"/>
      <c r="B326" s="2006" t="s">
        <v>283</v>
      </c>
      <c r="C326" s="1598"/>
      <c r="D326" s="1602">
        <f>D327</f>
        <v>3150</v>
      </c>
      <c r="E326" s="1602">
        <f>E327</f>
        <v>0</v>
      </c>
      <c r="F326" s="1602">
        <f>F327</f>
        <v>3150</v>
      </c>
      <c r="G326" s="1602">
        <f>H326+I326</f>
        <v>3150</v>
      </c>
      <c r="H326" s="1602"/>
      <c r="I326" s="1602">
        <f>I327</f>
        <v>3150</v>
      </c>
      <c r="J326" s="1602">
        <f>K326+L326</f>
        <v>0</v>
      </c>
      <c r="K326" s="1602"/>
      <c r="L326" s="1602">
        <f>L327</f>
        <v>0</v>
      </c>
      <c r="M326" s="1893">
        <f t="shared" si="85"/>
        <v>0</v>
      </c>
      <c r="N326" s="1894">
        <f t="shared" si="86"/>
        <v>0</v>
      </c>
      <c r="O326" s="1894">
        <f t="shared" si="87"/>
        <v>0</v>
      </c>
      <c r="P326" s="1659"/>
      <c r="Q326" s="1794"/>
      <c r="R326" s="1964"/>
      <c r="S326" s="1965"/>
      <c r="T326" s="1965"/>
      <c r="U326" s="1964"/>
      <c r="V326" s="1965"/>
      <c r="W326" s="1965"/>
      <c r="X326" s="1423">
        <f t="shared" si="101"/>
        <v>0</v>
      </c>
    </row>
    <row r="327" spans="1:24" ht="42" customHeight="1">
      <c r="A327" s="2002">
        <v>1</v>
      </c>
      <c r="B327" s="1919" t="s">
        <v>1701</v>
      </c>
      <c r="C327" s="1598"/>
      <c r="D327" s="1603">
        <f>E327+F327</f>
        <v>3150</v>
      </c>
      <c r="E327" s="1603"/>
      <c r="F327" s="1609">
        <v>3150</v>
      </c>
      <c r="G327" s="1603">
        <f>H327+I327</f>
        <v>3150</v>
      </c>
      <c r="H327" s="1603"/>
      <c r="I327" s="1609">
        <v>3150</v>
      </c>
      <c r="J327" s="1603">
        <f>K327+L327</f>
        <v>0</v>
      </c>
      <c r="K327" s="1603"/>
      <c r="L327" s="1609"/>
      <c r="M327" s="1893">
        <f t="shared" si="85"/>
        <v>0</v>
      </c>
      <c r="N327" s="1894">
        <f t="shared" si="86"/>
        <v>0</v>
      </c>
      <c r="O327" s="1894">
        <f t="shared" si="87"/>
        <v>0</v>
      </c>
      <c r="P327" s="1659"/>
      <c r="Q327" s="1794"/>
      <c r="R327" s="1964"/>
      <c r="S327" s="1965"/>
      <c r="T327" s="1965"/>
      <c r="U327" s="1964"/>
      <c r="V327" s="1965"/>
      <c r="W327" s="1965"/>
      <c r="X327" s="1423">
        <f t="shared" si="101"/>
        <v>0</v>
      </c>
    </row>
    <row r="328" spans="1:24" ht="23.25">
      <c r="A328" s="1960"/>
      <c r="B328" s="1959" t="s">
        <v>457</v>
      </c>
      <c r="C328" s="1602">
        <v>10000</v>
      </c>
      <c r="D328" s="1603">
        <f t="shared" ref="D328:L328" si="104">D329+D330</f>
        <v>6086.3</v>
      </c>
      <c r="E328" s="1603">
        <f t="shared" si="104"/>
        <v>0</v>
      </c>
      <c r="F328" s="1603">
        <f t="shared" si="104"/>
        <v>6086.3</v>
      </c>
      <c r="G328" s="1603">
        <f t="shared" si="104"/>
        <v>6086.3</v>
      </c>
      <c r="H328" s="1603">
        <f t="shared" si="104"/>
        <v>0</v>
      </c>
      <c r="I328" s="1603">
        <f t="shared" si="104"/>
        <v>6086.3</v>
      </c>
      <c r="J328" s="1603">
        <f t="shared" si="104"/>
        <v>2044.1</v>
      </c>
      <c r="K328" s="1603">
        <f t="shared" si="104"/>
        <v>0</v>
      </c>
      <c r="L328" s="1603">
        <f t="shared" si="104"/>
        <v>2044.1</v>
      </c>
      <c r="M328" s="1893">
        <f t="shared" si="85"/>
        <v>33.6</v>
      </c>
      <c r="N328" s="1894">
        <f>IF(K328=0,0,K328/H328*100)</f>
        <v>0</v>
      </c>
      <c r="O328" s="1894">
        <f>IF(L328=0,0,L328/I328*100)</f>
        <v>33.6</v>
      </c>
      <c r="P328" s="1659"/>
      <c r="Q328" s="1794"/>
      <c r="R328" s="1964"/>
      <c r="S328" s="1965"/>
      <c r="T328" s="1965"/>
      <c r="U328" s="1964"/>
      <c r="V328" s="1965"/>
      <c r="W328" s="1965"/>
      <c r="X328" s="1423">
        <f t="shared" si="101"/>
        <v>0</v>
      </c>
    </row>
    <row r="329" spans="1:24" ht="37.5">
      <c r="A329" s="1960">
        <v>1</v>
      </c>
      <c r="B329" s="1889" t="s">
        <v>1690</v>
      </c>
      <c r="C329" s="1602"/>
      <c r="D329" s="1603">
        <f>E329+F329</f>
        <v>2044.2</v>
      </c>
      <c r="E329" s="1603"/>
      <c r="F329" s="1609">
        <f>2044.1+0.1</f>
        <v>2044.2</v>
      </c>
      <c r="G329" s="1603">
        <f>H329+I329</f>
        <v>2044.2</v>
      </c>
      <c r="H329" s="1603"/>
      <c r="I329" s="1609">
        <v>2044.2</v>
      </c>
      <c r="J329" s="1603">
        <f>K329+L329</f>
        <v>2044.1</v>
      </c>
      <c r="K329" s="1603"/>
      <c r="L329" s="1609">
        <v>2044.1</v>
      </c>
      <c r="M329" s="1893">
        <f t="shared" si="85"/>
        <v>100</v>
      </c>
      <c r="N329" s="1894">
        <f>IF(K329=0,0,K329/H329*100)</f>
        <v>0</v>
      </c>
      <c r="O329" s="1894">
        <f>IF(L329=0,0,L329/I329*100)</f>
        <v>100</v>
      </c>
      <c r="P329" s="1659"/>
      <c r="Q329" s="1794"/>
      <c r="R329" s="1964"/>
      <c r="S329" s="1965"/>
      <c r="T329" s="1965"/>
      <c r="U329" s="1964"/>
      <c r="V329" s="1965"/>
      <c r="W329" s="1965"/>
      <c r="X329" s="1423">
        <f t="shared" si="101"/>
        <v>0</v>
      </c>
    </row>
    <row r="330" spans="1:24" ht="37.5">
      <c r="A330" s="1960">
        <f>A329+1</f>
        <v>2</v>
      </c>
      <c r="B330" s="1889" t="s">
        <v>1691</v>
      </c>
      <c r="C330" s="1602">
        <v>10000</v>
      </c>
      <c r="D330" s="1603">
        <f>E330+F330</f>
        <v>4042.1</v>
      </c>
      <c r="E330" s="1616"/>
      <c r="F330" s="1609">
        <v>4042.1</v>
      </c>
      <c r="G330" s="1603">
        <f>H330+I330</f>
        <v>4042.1</v>
      </c>
      <c r="H330" s="1616"/>
      <c r="I330" s="1609">
        <v>4042.1</v>
      </c>
      <c r="J330" s="1603">
        <f>K330+L330</f>
        <v>0</v>
      </c>
      <c r="K330" s="1616"/>
      <c r="L330" s="1609"/>
      <c r="M330" s="1893">
        <f t="shared" si="85"/>
        <v>0</v>
      </c>
      <c r="N330" s="1894">
        <f t="shared" si="86"/>
        <v>0</v>
      </c>
      <c r="O330" s="1894">
        <f t="shared" si="87"/>
        <v>0</v>
      </c>
      <c r="P330" s="1659"/>
      <c r="Q330" s="1794"/>
      <c r="R330" s="1964"/>
      <c r="S330" s="1965"/>
      <c r="T330" s="1965"/>
      <c r="U330" s="1964"/>
      <c r="V330" s="1965"/>
      <c r="W330" s="1965"/>
      <c r="X330" s="1423">
        <f t="shared" si="101"/>
        <v>0</v>
      </c>
    </row>
    <row r="331" spans="1:24" ht="23.25">
      <c r="A331" s="1856"/>
      <c r="B331" s="1962"/>
      <c r="C331" s="1963"/>
      <c r="D331" s="1964"/>
      <c r="E331" s="1965"/>
      <c r="F331" s="1965"/>
      <c r="G331" s="1964"/>
      <c r="H331" s="1965"/>
      <c r="I331" s="1965"/>
      <c r="J331" s="1964"/>
      <c r="K331" s="1965"/>
      <c r="L331" s="1965"/>
      <c r="M331" s="1648"/>
      <c r="N331" s="1647"/>
      <c r="O331" s="1647"/>
      <c r="P331" s="1659"/>
      <c r="Q331" s="1794"/>
      <c r="R331" s="1964"/>
      <c r="S331" s="1965"/>
      <c r="T331" s="1965"/>
      <c r="U331" s="1964"/>
      <c r="V331" s="1965"/>
      <c r="W331" s="1965"/>
      <c r="X331" s="1423">
        <f t="shared" si="101"/>
        <v>0</v>
      </c>
    </row>
    <row r="332" spans="1:24" ht="23.25">
      <c r="A332" s="1856"/>
      <c r="D332" s="1648"/>
      <c r="E332" s="1647"/>
      <c r="F332" s="1647"/>
      <c r="G332" s="1647"/>
      <c r="H332" s="1650"/>
      <c r="I332" s="1650"/>
      <c r="J332" s="1651"/>
      <c r="K332" s="1650"/>
      <c r="L332" s="2535"/>
      <c r="M332" s="2535"/>
      <c r="N332" s="1647"/>
      <c r="O332" s="1647"/>
      <c r="X332" s="1423">
        <f t="shared" si="101"/>
        <v>0</v>
      </c>
    </row>
    <row r="333" spans="1:24" ht="23.25">
      <c r="D333" s="1648"/>
      <c r="E333" s="1648"/>
      <c r="F333" s="1204"/>
      <c r="G333" s="1647"/>
      <c r="H333" s="1647"/>
      <c r="I333" s="1652"/>
      <c r="J333" s="1648"/>
      <c r="K333" s="1648"/>
      <c r="L333" s="1652"/>
      <c r="X333" s="1423">
        <f t="shared" si="101"/>
        <v>0</v>
      </c>
    </row>
    <row r="334" spans="1:24" ht="28.5" customHeight="1">
      <c r="A334" s="2566" t="s">
        <v>1520</v>
      </c>
      <c r="B334" s="2566"/>
      <c r="C334" s="1840"/>
      <c r="D334" s="1620">
        <f t="shared" ref="D334:D341" si="105">SUM(E334:F334)</f>
        <v>4027208</v>
      </c>
      <c r="E334" s="1600">
        <f>E165+E79</f>
        <v>3164460.2</v>
      </c>
      <c r="F334" s="1600">
        <f>F165+F79</f>
        <v>862747.8</v>
      </c>
      <c r="G334" s="1620">
        <f>SUM(H334:I334)</f>
        <v>4027208</v>
      </c>
      <c r="H334" s="1600">
        <f>H165+H79</f>
        <v>3164460.2</v>
      </c>
      <c r="I334" s="1600">
        <f>I165+I79</f>
        <v>862747.8</v>
      </c>
      <c r="J334" s="1620">
        <f>SUM(K334:L334)</f>
        <v>500894.1</v>
      </c>
      <c r="K334" s="1600">
        <f>K165+K79</f>
        <v>441763.7</v>
      </c>
      <c r="L334" s="1600">
        <f>L165+L79</f>
        <v>59130.400000000001</v>
      </c>
      <c r="M334" s="1620">
        <f>IF(J334=0,0,J334/G334*100)</f>
        <v>12.4</v>
      </c>
      <c r="N334" s="1600">
        <f>IF(K334=0,0,K334/H334*100)</f>
        <v>14</v>
      </c>
      <c r="O334" s="1600">
        <f>IF(L334=0,0,L334/I334*100)</f>
        <v>6.9</v>
      </c>
      <c r="X334" s="1423">
        <f t="shared" si="101"/>
        <v>0</v>
      </c>
    </row>
    <row r="335" spans="1:24" ht="37.5">
      <c r="A335" s="1947"/>
      <c r="B335" s="1889" t="s">
        <v>1521</v>
      </c>
      <c r="C335" s="1836"/>
      <c r="D335" s="1620">
        <f t="shared" si="105"/>
        <v>1471640.4</v>
      </c>
      <c r="E335" s="1619">
        <f>SUBTOTAL(9,E88)</f>
        <v>1442671.7</v>
      </c>
      <c r="F335" s="1619">
        <f>SUBTOTAL(9,F88)</f>
        <v>28968.7</v>
      </c>
      <c r="G335" s="1620">
        <f t="shared" ref="G335:G341" si="106">SUM(H335:I335)</f>
        <v>1471640.4</v>
      </c>
      <c r="H335" s="1619">
        <f>SUBTOTAL(9,H88)</f>
        <v>1442671.7</v>
      </c>
      <c r="I335" s="1619">
        <f>SUBTOTAL(9,I88)</f>
        <v>28968.7</v>
      </c>
      <c r="J335" s="1620">
        <f t="shared" ref="J335:J341" si="107">SUM(K335:L335)</f>
        <v>357594.7</v>
      </c>
      <c r="K335" s="1619">
        <f>SUBTOTAL(9,K88)</f>
        <v>353254.8</v>
      </c>
      <c r="L335" s="1619">
        <f>SUBTOTAL(9,L88)</f>
        <v>4339.8999999999996</v>
      </c>
      <c r="M335" s="1620">
        <f t="shared" ref="M335:M341" si="108">IF(J335=0,0,J335/G335*100)</f>
        <v>24.3</v>
      </c>
      <c r="N335" s="1600">
        <f t="shared" ref="N335:N341" si="109">IF(K335=0,0,K335/H335*100)</f>
        <v>24.5</v>
      </c>
      <c r="O335" s="1600">
        <f t="shared" ref="O335:O341" si="110">IF(L335=0,0,L335/I335*100)</f>
        <v>15</v>
      </c>
      <c r="X335" s="1423">
        <f t="shared" si="101"/>
        <v>0</v>
      </c>
    </row>
    <row r="336" spans="1:24" ht="71.25" customHeight="1">
      <c r="A336" s="2566" t="s">
        <v>1528</v>
      </c>
      <c r="B336" s="2566"/>
      <c r="C336" s="1840"/>
      <c r="D336" s="1620">
        <f>SUM(E336:F336)</f>
        <v>5213990.5999999996</v>
      </c>
      <c r="E336" s="1600">
        <f>SUM(E93,E184,E247,E282,E290,E292,E295,E297,E299)</f>
        <v>4512944.5</v>
      </c>
      <c r="F336" s="1600">
        <f>SUM(F93,F184,F247,F282,F290,F292,F295,F297,F299)</f>
        <v>701046.1</v>
      </c>
      <c r="G336" s="1620">
        <f>SUM(H336:I336)</f>
        <v>4313990.5999999996</v>
      </c>
      <c r="H336" s="1600">
        <f>SUM(H93,H184,H247,H282,H290,H292,H295,H297,H299)</f>
        <v>3612944.5</v>
      </c>
      <c r="I336" s="1600">
        <f>SUM(I93,I184,I247,I282,I290,I292,I295,I297,I299)</f>
        <v>701046.1</v>
      </c>
      <c r="J336" s="1620">
        <f>SUM(K336:L336)</f>
        <v>1062806.8</v>
      </c>
      <c r="K336" s="1600">
        <f>SUM(K93,K184,K247,K282,K290,K292,K295,K297,K299)</f>
        <v>852157.1</v>
      </c>
      <c r="L336" s="1600">
        <f>SUM(L93,L184,L247,L282,L290,L292,L295,L297,L299)</f>
        <v>210649.7</v>
      </c>
      <c r="M336" s="1620">
        <f t="shared" si="108"/>
        <v>24.6</v>
      </c>
      <c r="N336" s="1600">
        <f t="shared" si="109"/>
        <v>23.6</v>
      </c>
      <c r="O336" s="1600">
        <f t="shared" si="110"/>
        <v>30</v>
      </c>
      <c r="X336" s="1423">
        <f t="shared" si="101"/>
        <v>900000</v>
      </c>
    </row>
    <row r="337" spans="1:24" ht="49.5" customHeight="1">
      <c r="A337" s="1948"/>
      <c r="B337" s="493" t="s">
        <v>1527</v>
      </c>
      <c r="C337" s="1836"/>
      <c r="D337" s="1640">
        <f t="shared" si="105"/>
        <v>3778441.6</v>
      </c>
      <c r="E337" s="1609">
        <f>SUBTOTAL(9,E93,E184,E282)</f>
        <v>3298387.4</v>
      </c>
      <c r="F337" s="1609">
        <f>SUBTOTAL(9,F93,F184,F282)</f>
        <v>480054.2</v>
      </c>
      <c r="G337" s="1640">
        <f>SUM(H337:I337)</f>
        <v>3778441.6</v>
      </c>
      <c r="H337" s="1609">
        <f>SUBTOTAL(9,H93,H184,H282)</f>
        <v>3298387.4</v>
      </c>
      <c r="I337" s="1609">
        <f>SUBTOTAL(9,I93,I184,I282)</f>
        <v>480054.2</v>
      </c>
      <c r="J337" s="1640">
        <f>SUM(K337:L337)</f>
        <v>645194.30000000005</v>
      </c>
      <c r="K337" s="1609">
        <f>SUBTOTAL(9,K93,K184,K282)</f>
        <v>605893.80000000005</v>
      </c>
      <c r="L337" s="1609">
        <f>SUBTOTAL(9,L93,L184,L282)</f>
        <v>39300.5</v>
      </c>
      <c r="M337" s="1620">
        <f t="shared" si="108"/>
        <v>17.100000000000001</v>
      </c>
      <c r="N337" s="1600">
        <f t="shared" si="109"/>
        <v>18.399999999999999</v>
      </c>
      <c r="O337" s="1600">
        <f t="shared" si="110"/>
        <v>8.1999999999999993</v>
      </c>
      <c r="X337" s="1423">
        <f t="shared" si="101"/>
        <v>0</v>
      </c>
    </row>
    <row r="338" spans="1:24" ht="23.25">
      <c r="A338" s="1948"/>
      <c r="B338" s="1619" t="s">
        <v>1620</v>
      </c>
      <c r="C338" s="1836"/>
      <c r="D338" s="1640">
        <f t="shared" si="105"/>
        <v>3617825.1</v>
      </c>
      <c r="E338" s="1609">
        <f>E185+E94+E282</f>
        <v>3298387.4</v>
      </c>
      <c r="F338" s="1609">
        <f>F185+F94+F282</f>
        <v>319437.7</v>
      </c>
      <c r="G338" s="1640">
        <f t="shared" si="106"/>
        <v>3617825.1</v>
      </c>
      <c r="H338" s="1609">
        <f>H185+H94+H282</f>
        <v>3298387.4</v>
      </c>
      <c r="I338" s="1609">
        <f>I185+I94+I282</f>
        <v>319437.7</v>
      </c>
      <c r="J338" s="1640">
        <f t="shared" si="107"/>
        <v>644590</v>
      </c>
      <c r="K338" s="1609">
        <f>K185+K94+K282</f>
        <v>605893.80000000005</v>
      </c>
      <c r="L338" s="1609">
        <f>L185+L94+L282</f>
        <v>38696.199999999997</v>
      </c>
      <c r="M338" s="1620">
        <f t="shared" si="108"/>
        <v>17.8</v>
      </c>
      <c r="N338" s="1600">
        <f t="shared" si="109"/>
        <v>18.399999999999999</v>
      </c>
      <c r="O338" s="1600">
        <f t="shared" si="110"/>
        <v>12.1</v>
      </c>
      <c r="X338" s="1423">
        <f t="shared" si="101"/>
        <v>0</v>
      </c>
    </row>
    <row r="339" spans="1:24" ht="23.25">
      <c r="A339" s="1948"/>
      <c r="B339" s="1619" t="s">
        <v>1621</v>
      </c>
      <c r="C339" s="1836"/>
      <c r="D339" s="1640">
        <f t="shared" si="105"/>
        <v>160616.5</v>
      </c>
      <c r="E339" s="1609">
        <f>E186+E95</f>
        <v>0</v>
      </c>
      <c r="F339" s="1609">
        <f>F186+F95</f>
        <v>160616.5</v>
      </c>
      <c r="G339" s="1640">
        <f t="shared" si="106"/>
        <v>160616.5</v>
      </c>
      <c r="H339" s="1609">
        <f>H186+H95</f>
        <v>0</v>
      </c>
      <c r="I339" s="1609">
        <f>I186+I95</f>
        <v>160616.5</v>
      </c>
      <c r="J339" s="1640">
        <f t="shared" si="107"/>
        <v>604.29999999999995</v>
      </c>
      <c r="K339" s="1609">
        <f>K186+K95</f>
        <v>0</v>
      </c>
      <c r="L339" s="1609">
        <f>L186+L95</f>
        <v>604.29999999999995</v>
      </c>
      <c r="M339" s="1620">
        <f t="shared" si="108"/>
        <v>0.4</v>
      </c>
      <c r="N339" s="1600">
        <f t="shared" si="109"/>
        <v>0</v>
      </c>
      <c r="O339" s="1600">
        <f t="shared" si="110"/>
        <v>0.4</v>
      </c>
      <c r="X339" s="1423">
        <f t="shared" si="101"/>
        <v>0</v>
      </c>
    </row>
    <row r="340" spans="1:24" ht="23.25">
      <c r="A340" s="2566" t="s">
        <v>1529</v>
      </c>
      <c r="B340" s="2566"/>
      <c r="C340" s="1840"/>
      <c r="D340" s="1640">
        <f t="shared" si="105"/>
        <v>656299.6</v>
      </c>
      <c r="E340" s="1602">
        <f>SUBTOTAL(9,E15,E118,E257,E278,E307,E328)</f>
        <v>0</v>
      </c>
      <c r="F340" s="1602">
        <f>SUBTOTAL(9,F15,F118,F257,F278,F307,F325)</f>
        <v>656299.6</v>
      </c>
      <c r="G340" s="1640">
        <f t="shared" si="106"/>
        <v>656299.6</v>
      </c>
      <c r="H340" s="1602">
        <f>SUBTOTAL(9,H15,H118,H257,H278,H307,H328)</f>
        <v>0</v>
      </c>
      <c r="I340" s="1602">
        <f>SUBTOTAL(9,I15,I118,I257,I278,I307,I325)</f>
        <v>656299.6</v>
      </c>
      <c r="J340" s="1640">
        <f t="shared" si="107"/>
        <v>52327.6</v>
      </c>
      <c r="K340" s="1602">
        <f>SUBTOTAL(9,K15,K118,K257,K278,K307,K328)</f>
        <v>0</v>
      </c>
      <c r="L340" s="1602">
        <f>SUBTOTAL(9,L15,L118,L257,L278,L307,L325)</f>
        <v>52327.6</v>
      </c>
      <c r="M340" s="1620">
        <f t="shared" si="108"/>
        <v>8</v>
      </c>
      <c r="N340" s="1600">
        <f t="shared" si="109"/>
        <v>0</v>
      </c>
      <c r="O340" s="1600">
        <f t="shared" si="110"/>
        <v>8</v>
      </c>
      <c r="X340" s="1423">
        <f t="shared" si="101"/>
        <v>0</v>
      </c>
    </row>
    <row r="341" spans="1:24" ht="23.25">
      <c r="A341" s="2567" t="s">
        <v>529</v>
      </c>
      <c r="B341" s="2567"/>
      <c r="C341" s="1840"/>
      <c r="D341" s="1604">
        <f t="shared" si="105"/>
        <v>150660.5</v>
      </c>
      <c r="E341" s="1611">
        <f>E12-E334-E336-E340</f>
        <v>964.8</v>
      </c>
      <c r="F341" s="1611">
        <f>F12-F334-F336-F340</f>
        <v>149695.70000000001</v>
      </c>
      <c r="G341" s="1604">
        <f t="shared" si="106"/>
        <v>150660.5</v>
      </c>
      <c r="H341" s="1611">
        <f>H12-H334-H336-H340</f>
        <v>964.8</v>
      </c>
      <c r="I341" s="1611">
        <f>I12-I334-I336-I340</f>
        <v>149695.70000000001</v>
      </c>
      <c r="J341" s="1604">
        <f t="shared" si="107"/>
        <v>12725.6</v>
      </c>
      <c r="K341" s="1611">
        <f>K12-K334-K336-K340</f>
        <v>0</v>
      </c>
      <c r="L341" s="1611">
        <f>L12-L334-L336-L340</f>
        <v>12725.6</v>
      </c>
      <c r="M341" s="1620">
        <f t="shared" si="108"/>
        <v>8.4</v>
      </c>
      <c r="N341" s="1600">
        <f t="shared" si="109"/>
        <v>0</v>
      </c>
      <c r="O341" s="1600">
        <f t="shared" si="110"/>
        <v>8.5</v>
      </c>
      <c r="X341" s="1423">
        <f t="shared" si="101"/>
        <v>0</v>
      </c>
    </row>
    <row r="342" spans="1:24" ht="60.75" customHeight="1">
      <c r="A342" s="853" t="s">
        <v>1722</v>
      </c>
      <c r="B342" s="1950"/>
      <c r="C342" s="1556"/>
      <c r="D342" s="1951"/>
      <c r="E342" s="1952"/>
      <c r="F342" s="1953"/>
      <c r="G342" s="1953"/>
      <c r="H342" s="1954"/>
      <c r="I342" s="1955"/>
      <c r="J342" s="1956"/>
      <c r="K342" s="1955"/>
      <c r="L342" s="1957" t="s">
        <v>1723</v>
      </c>
      <c r="M342" s="1958"/>
    </row>
    <row r="343" spans="1:24">
      <c r="A343" s="712"/>
      <c r="B343" s="1648"/>
      <c r="C343" s="1647"/>
      <c r="D343" s="1649"/>
      <c r="E343" s="1649"/>
      <c r="F343" s="1650"/>
      <c r="G343" s="1650"/>
      <c r="H343" s="1651"/>
      <c r="I343" s="1650"/>
      <c r="J343" s="2535"/>
      <c r="K343" s="2535"/>
      <c r="L343" s="1647"/>
      <c r="M343" s="1647"/>
    </row>
  </sheetData>
  <autoFilter ref="A11:W330">
    <filterColumn colId="3">
      <filters>
        <filter val="1 000,0"/>
        <filter val="1 080 624,8"/>
        <filter val="1 108 548,1"/>
        <filter val="1 176,0"/>
        <filter val="1 191,2"/>
        <filter val="1 226,9"/>
        <filter val="1 239 248,1"/>
        <filter val="1 274 815,0"/>
        <filter val="1 300,0"/>
        <filter val="1 349 749,1"/>
        <filter val="1 388,4"/>
        <filter val="1 393,0"/>
        <filter val="1 400,0"/>
        <filter val="1 490,0"/>
        <filter val="1 500,0"/>
        <filter val="1 519,0"/>
        <filter val="1 530 706,3"/>
        <filter val="1 650,0"/>
        <filter val="1 765,3"/>
        <filter val="1 769,7"/>
        <filter val="1 788,0"/>
        <filter val="1 800,0"/>
        <filter val="1 945 332,3"/>
        <filter val="1 993 022,4"/>
        <filter val="10 000,0"/>
        <filter val="10 186,5"/>
        <filter val="10 192,0"/>
        <filter val="10 224,4"/>
        <filter val="10 500,0"/>
        <filter val="10 545,6"/>
        <filter val="10 687,0"/>
        <filter val="100 000,0"/>
        <filter val="103 784,3"/>
        <filter val="104 171,0"/>
        <filter val="104 813,3"/>
        <filter val="105 852,6"/>
        <filter val="109 222,6"/>
        <filter val="11 037,0"/>
        <filter val="11 200,0"/>
        <filter val="11 287,5"/>
        <filter val="11 495,0"/>
        <filter val="11 560,9"/>
        <filter val="110 087,9"/>
        <filter val="110 501,0"/>
        <filter val="12 400,0"/>
        <filter val="12 500,0"/>
        <filter val="12 956,3"/>
        <filter val="123 877,5"/>
        <filter val="13 404,9"/>
        <filter val="13 415,9"/>
        <filter val="13 755,5"/>
        <filter val="130 000,0"/>
        <filter val="130 700,0"/>
        <filter val="137 912,1"/>
        <filter val="14 000,0"/>
        <filter val="14 500,0"/>
        <filter val="14 589,4"/>
        <filter val="14 615,1"/>
        <filter val="14 680,4"/>
        <filter val="15 004,3"/>
        <filter val="15 739,7"/>
        <filter val="150 000,0"/>
        <filter val="16 320,0"/>
        <filter val="17 204,7"/>
        <filter val="17 550,0"/>
        <filter val="17 670,0"/>
        <filter val="171 408,9"/>
        <filter val="172 153,3"/>
        <filter val="176 874,6"/>
        <filter val="177 040,7"/>
        <filter val="18 602,2"/>
        <filter val="18 682,4"/>
        <filter val="18 698,7"/>
        <filter val="18 900,0"/>
        <filter val="19 000,0"/>
        <filter val="19 283,1"/>
        <filter val="19 450,0"/>
        <filter val="19 800,0"/>
        <filter val="19 820,0"/>
        <filter val="191 417,5"/>
        <filter val="193 225,4"/>
        <filter val="2 000,0"/>
        <filter val="2 044,2"/>
        <filter val="2 090,0"/>
        <filter val="2 100,0"/>
        <filter val="2 230,0"/>
        <filter val="2 373,0"/>
        <filter val="2 400,0"/>
        <filter val="2 446,0"/>
        <filter val="2 500,0"/>
        <filter val="2 550,0"/>
        <filter val="2 588 042,0"/>
        <filter val="2 675 651,3"/>
        <filter val="2 710,0"/>
        <filter val="2 714,8"/>
        <filter val="2 745,5"/>
        <filter val="2 900,0"/>
        <filter val="2 930,0"/>
        <filter val="20 000,0"/>
        <filter val="20 841,6"/>
        <filter val="201 856,9"/>
        <filter val="23 300,8"/>
        <filter val="23 800,0"/>
        <filter val="246 717,5"/>
        <filter val="25 000,0"/>
        <filter val="255 891,3"/>
        <filter val="266 310,9"/>
        <filter val="27 093,6"/>
        <filter val="283,1"/>
        <filter val="3 000,0"/>
        <filter val="3 150,8"/>
        <filter val="3 220,0"/>
        <filter val="3 420,0"/>
        <filter val="3 500,0"/>
        <filter val="3 564,2"/>
        <filter val="3 780,0"/>
        <filter val="3 822,0"/>
        <filter val="3 840,0"/>
        <filter val="3 935,3"/>
        <filter val="3 988,8"/>
        <filter val="30 000,0"/>
        <filter val="304,9"/>
        <filter val="31 736,8"/>
        <filter val="315 323,1"/>
        <filter val="33 286,7"/>
        <filter val="35 340,7"/>
        <filter val="35 698,6"/>
        <filter val="38 316,7"/>
        <filter val="38 330,0"/>
        <filter val="39 965,6"/>
        <filter val="4 000,0"/>
        <filter val="4 042,1"/>
        <filter val="4 116,0"/>
        <filter val="4 400,0"/>
        <filter val="4 480,0"/>
        <filter val="4 500,0"/>
        <filter val="4 597,0"/>
        <filter val="4 725,9"/>
        <filter val="4 860 552,6"/>
        <filter val="402 621,2"/>
        <filter val="41 650,0"/>
        <filter val="449 049,8"/>
        <filter val="449 354,7"/>
        <filter val="47 690,1"/>
        <filter val="48 000,0"/>
        <filter val="5 107 270,1"/>
        <filter val="5 180,0"/>
        <filter val="5 506,4"/>
        <filter val="5 536,4"/>
        <filter val="5 553,2"/>
        <filter val="50 000,0"/>
        <filter val="50 668,2"/>
        <filter val="500,0"/>
        <filter val="52 150,0"/>
        <filter val="55 300,0"/>
        <filter val="55 313,3"/>
        <filter val="6 086,3"/>
        <filter val="6 090,0"/>
        <filter val="6 252,2"/>
        <filter val="6 302,6"/>
        <filter val="6 338,1"/>
        <filter val="6 500,0"/>
        <filter val="6 637 976,4"/>
        <filter val="6 835,0"/>
        <filter val="62 500,0"/>
        <filter val="626 642,1"/>
        <filter val="63 829,8"/>
        <filter val="668 866,8"/>
        <filter val="7 000,0"/>
        <filter val="7 150,8"/>
        <filter val="7 650,0"/>
        <filter val="7 800,0"/>
        <filter val="7 941,5"/>
        <filter val="700,0"/>
        <filter val="74 115,8"/>
        <filter val="75 664,2"/>
        <filter val="8 056 311,8"/>
        <filter val="8 280,0"/>
        <filter val="8 734,5"/>
        <filter val="8 850,0"/>
        <filter val="8 870,0"/>
        <filter val="806 671,2"/>
        <filter val="845,0"/>
        <filter val="87 609,3"/>
        <filter val="87 760,0"/>
        <filter val="87 999,8"/>
        <filter val="9 872,7"/>
        <filter val="9 921,2"/>
        <filter val="9 985,9"/>
        <filter val="925 654,2"/>
        <filter val="964,8"/>
        <filter val="970 536,9"/>
        <filter val="99 120,7"/>
      </filters>
    </filterColumn>
  </autoFilter>
  <mergeCells count="35">
    <mergeCell ref="J343:K343"/>
    <mergeCell ref="A334:B334"/>
    <mergeCell ref="A341:B341"/>
    <mergeCell ref="A336:B336"/>
    <mergeCell ref="A340:B340"/>
    <mergeCell ref="L332:M332"/>
    <mergeCell ref="A305:B305"/>
    <mergeCell ref="S9:T9"/>
    <mergeCell ref="A13:B13"/>
    <mergeCell ref="Q66:Q67"/>
    <mergeCell ref="A255:B255"/>
    <mergeCell ref="K9:L9"/>
    <mergeCell ref="M9:M10"/>
    <mergeCell ref="N9:O9"/>
    <mergeCell ref="R9:R10"/>
    <mergeCell ref="A323:B323"/>
    <mergeCell ref="A1:B1"/>
    <mergeCell ref="L1:O1"/>
    <mergeCell ref="J3:M3"/>
    <mergeCell ref="P9:P10"/>
    <mergeCell ref="Q9:Q10"/>
    <mergeCell ref="N8:O8"/>
    <mergeCell ref="A9:A10"/>
    <mergeCell ref="B9:B10"/>
    <mergeCell ref="C9:C10"/>
    <mergeCell ref="U9:U10"/>
    <mergeCell ref="V9:W9"/>
    <mergeCell ref="A5:W5"/>
    <mergeCell ref="A6:W6"/>
    <mergeCell ref="A7:W7"/>
    <mergeCell ref="G9:G10"/>
    <mergeCell ref="H9:I9"/>
    <mergeCell ref="J9:J10"/>
    <mergeCell ref="D9:D10"/>
    <mergeCell ref="E9:F9"/>
  </mergeCells>
  <pageMargins left="0.31496062992125984" right="0.11811023622047245" top="0.55118110236220474" bottom="0.35433070866141736" header="0.31496062992125984" footer="0.15748031496062992"/>
  <pageSetup paperSize="9" scale="55" fitToHeight="17" orientation="landscape" r:id="rId1"/>
  <headerFooter>
    <oddFooter>&amp;C&amp;P</oddFooter>
  </headerFooter>
  <rowBreaks count="1" manualBreakCount="1">
    <brk id="330" max="17" man="1"/>
  </rowBreaks>
</worksheet>
</file>

<file path=xl/worksheets/sheet4.xml><?xml version="1.0" encoding="utf-8"?>
<worksheet xmlns="http://schemas.openxmlformats.org/spreadsheetml/2006/main" xmlns:r="http://schemas.openxmlformats.org/officeDocument/2006/relationships">
  <sheetPr>
    <pageSetUpPr fitToPage="1"/>
  </sheetPr>
  <dimension ref="A1:F96"/>
  <sheetViews>
    <sheetView topLeftCell="A7" zoomScale="120" zoomScaleNormal="120" zoomScaleSheetLayoutView="100" workbookViewId="0">
      <selection activeCell="C10" sqref="C10"/>
    </sheetView>
  </sheetViews>
  <sheetFormatPr defaultColWidth="9.140625" defaultRowHeight="12.75"/>
  <cols>
    <col min="1" max="1" width="4.85546875" style="232" customWidth="1"/>
    <col min="2" max="2" width="80" style="172" customWidth="1"/>
    <col min="3" max="3" width="14.28515625" style="172" customWidth="1"/>
    <col min="4" max="4" width="13.5703125" style="172" customWidth="1"/>
    <col min="5" max="5" width="10.42578125" style="172" customWidth="1"/>
    <col min="6" max="6" width="10.5703125" style="172" bestFit="1" customWidth="1"/>
    <col min="7" max="16384" width="9.140625" style="172"/>
  </cols>
  <sheetData>
    <row r="1" spans="1:5" hidden="1">
      <c r="A1" s="2297" t="s">
        <v>78</v>
      </c>
      <c r="B1" s="2297"/>
      <c r="C1" s="2297"/>
      <c r="D1" s="2297"/>
      <c r="E1" s="2297"/>
    </row>
    <row r="2" spans="1:5" ht="15.75" customHeight="1">
      <c r="A2" s="173"/>
      <c r="B2" s="174"/>
      <c r="C2" s="174"/>
      <c r="D2" s="174"/>
      <c r="E2" s="174"/>
    </row>
    <row r="3" spans="1:5" ht="15" customHeight="1">
      <c r="A3" s="173"/>
      <c r="B3" s="174"/>
      <c r="C3" s="2297" t="s">
        <v>136</v>
      </c>
      <c r="D3" s="2297"/>
      <c r="E3" s="2297"/>
    </row>
    <row r="4" spans="1:5" ht="19.5" customHeight="1">
      <c r="A4" s="2298" t="s">
        <v>5</v>
      </c>
      <c r="B4" s="2298"/>
      <c r="C4" s="2298"/>
      <c r="D4" s="2298"/>
      <c r="E4" s="2298"/>
    </row>
    <row r="5" spans="1:5" ht="15.75" customHeight="1">
      <c r="A5" s="2299" t="s">
        <v>28</v>
      </c>
      <c r="B5" s="2299"/>
      <c r="C5" s="2299"/>
      <c r="D5" s="2299"/>
      <c r="E5" s="2299"/>
    </row>
    <row r="6" spans="1:5" ht="15.75">
      <c r="A6" s="2299" t="s">
        <v>168</v>
      </c>
      <c r="B6" s="2299"/>
      <c r="C6" s="2299"/>
      <c r="D6" s="2299"/>
      <c r="E6" s="2299"/>
    </row>
    <row r="7" spans="1:5" ht="14.25" customHeight="1">
      <c r="A7" s="175"/>
      <c r="B7" s="176"/>
      <c r="C7" s="176"/>
      <c r="D7" s="176"/>
      <c r="E7" s="177" t="s">
        <v>7</v>
      </c>
    </row>
    <row r="8" spans="1:5" ht="24.75" customHeight="1">
      <c r="A8" s="2289" t="s">
        <v>18</v>
      </c>
      <c r="B8" s="2290" t="s">
        <v>0</v>
      </c>
      <c r="C8" s="2291" t="s">
        <v>226</v>
      </c>
      <c r="D8" s="2292" t="s">
        <v>8</v>
      </c>
      <c r="E8" s="2292" t="s">
        <v>11</v>
      </c>
    </row>
    <row r="9" spans="1:5" ht="51.75" customHeight="1">
      <c r="A9" s="2289"/>
      <c r="B9" s="2290"/>
      <c r="C9" s="2291"/>
      <c r="D9" s="2292"/>
      <c r="E9" s="2293"/>
    </row>
    <row r="10" spans="1:5">
      <c r="A10" s="179">
        <v>1</v>
      </c>
      <c r="B10" s="180">
        <v>2</v>
      </c>
      <c r="C10" s="181" t="s">
        <v>19</v>
      </c>
      <c r="D10" s="181" t="s">
        <v>20</v>
      </c>
      <c r="E10" s="180">
        <v>5</v>
      </c>
    </row>
    <row r="11" spans="1:5" s="182" customFormat="1" ht="19.5" customHeight="1">
      <c r="A11" s="249"/>
      <c r="B11" s="250" t="s">
        <v>10</v>
      </c>
      <c r="C11" s="251">
        <f>C15+C76</f>
        <v>1016000</v>
      </c>
      <c r="D11" s="251">
        <f>D15+D76</f>
        <v>0</v>
      </c>
      <c r="E11" s="252">
        <f>D11/C11*100</f>
        <v>0</v>
      </c>
    </row>
    <row r="12" spans="1:5" ht="15.75">
      <c r="A12" s="183"/>
      <c r="B12" s="184" t="s">
        <v>1</v>
      </c>
      <c r="C12" s="185"/>
      <c r="D12" s="185"/>
      <c r="E12" s="186"/>
    </row>
    <row r="13" spans="1:5" ht="18" customHeight="1">
      <c r="A13" s="187"/>
      <c r="B13" s="188" t="s">
        <v>33</v>
      </c>
      <c r="C13" s="189">
        <f>C19+C69</f>
        <v>186900</v>
      </c>
      <c r="D13" s="189">
        <f>D19+D69</f>
        <v>0</v>
      </c>
      <c r="E13" s="190">
        <f>D13/C13*100</f>
        <v>0</v>
      </c>
    </row>
    <row r="14" spans="1:5" ht="16.5" customHeight="1">
      <c r="A14" s="183"/>
      <c r="B14" s="191" t="s">
        <v>34</v>
      </c>
      <c r="C14" s="189">
        <f>C11-C13</f>
        <v>829100</v>
      </c>
      <c r="D14" s="189">
        <f>D11-D13</f>
        <v>0</v>
      </c>
      <c r="E14" s="190">
        <f>D14/C14*100</f>
        <v>0</v>
      </c>
    </row>
    <row r="15" spans="1:5" s="253" customFormat="1" ht="35.25" customHeight="1">
      <c r="A15" s="2294" t="s">
        <v>61</v>
      </c>
      <c r="B15" s="2295"/>
      <c r="C15" s="239">
        <f>SUM(C16,C52,C65)</f>
        <v>896000</v>
      </c>
      <c r="D15" s="239">
        <f>SUM(D16,D52,D65)</f>
        <v>0</v>
      </c>
      <c r="E15" s="240">
        <f>D15/C15*100</f>
        <v>0</v>
      </c>
    </row>
    <row r="16" spans="1:5" ht="45" customHeight="1">
      <c r="A16" s="241" t="s">
        <v>6</v>
      </c>
      <c r="B16" s="242" t="s">
        <v>15</v>
      </c>
      <c r="C16" s="243">
        <f>C17+C33</f>
        <v>224657</v>
      </c>
      <c r="D16" s="243">
        <f>D17+D33</f>
        <v>0</v>
      </c>
      <c r="E16" s="244">
        <f>D16/C16*100</f>
        <v>0</v>
      </c>
    </row>
    <row r="17" spans="1:6" s="192" customFormat="1" ht="15.75" hidden="1" customHeight="1">
      <c r="A17" s="171" t="s">
        <v>30</v>
      </c>
      <c r="B17" s="193" t="s">
        <v>41</v>
      </c>
      <c r="C17" s="185">
        <f>C19+C20</f>
        <v>0</v>
      </c>
      <c r="D17" s="185">
        <f>D19+D20</f>
        <v>0</v>
      </c>
      <c r="E17" s="186" t="e">
        <f>D17/C17*100</f>
        <v>#DIV/0!</v>
      </c>
    </row>
    <row r="18" spans="1:6" s="192" customFormat="1" ht="15.75" hidden="1">
      <c r="A18" s="171"/>
      <c r="B18" s="184" t="s">
        <v>1</v>
      </c>
      <c r="C18" s="185"/>
      <c r="D18" s="185"/>
      <c r="E18" s="186"/>
    </row>
    <row r="19" spans="1:6" s="192" customFormat="1" ht="15.75" hidden="1">
      <c r="A19" s="171"/>
      <c r="B19" s="188" t="s">
        <v>33</v>
      </c>
      <c r="C19" s="189">
        <f>C25+C31</f>
        <v>0</v>
      </c>
      <c r="D19" s="189">
        <f>D25+D31</f>
        <v>0</v>
      </c>
      <c r="E19" s="190" t="e">
        <f>D19/C19*100</f>
        <v>#DIV/0!</v>
      </c>
    </row>
    <row r="20" spans="1:6" s="192" customFormat="1" ht="15.75" hidden="1">
      <c r="A20" s="171"/>
      <c r="B20" s="191" t="s">
        <v>34</v>
      </c>
      <c r="C20" s="189">
        <f>C32</f>
        <v>0</v>
      </c>
      <c r="D20" s="189">
        <f>D32</f>
        <v>0</v>
      </c>
      <c r="E20" s="190" t="e">
        <f>D20/C20*100</f>
        <v>#DIV/0!</v>
      </c>
    </row>
    <row r="21" spans="1:6" s="192" customFormat="1" ht="28.5" hidden="1">
      <c r="A21" s="178" t="s">
        <v>35</v>
      </c>
      <c r="B21" s="194" t="s">
        <v>21</v>
      </c>
      <c r="C21" s="185">
        <f>C23+C24</f>
        <v>0</v>
      </c>
      <c r="D21" s="185">
        <f>D23+D24</f>
        <v>0</v>
      </c>
      <c r="E21" s="186" t="e">
        <f>D21/C21*100</f>
        <v>#DIV/0!</v>
      </c>
    </row>
    <row r="22" spans="1:6" s="192" customFormat="1" ht="15.75" hidden="1">
      <c r="A22" s="178"/>
      <c r="B22" s="195" t="s">
        <v>1</v>
      </c>
      <c r="C22" s="185"/>
      <c r="D22" s="185"/>
      <c r="E22" s="186"/>
    </row>
    <row r="23" spans="1:6" s="192" customFormat="1" ht="30" hidden="1" customHeight="1">
      <c r="A23" s="196"/>
      <c r="B23" s="197" t="s">
        <v>36</v>
      </c>
      <c r="C23" s="198">
        <v>0</v>
      </c>
      <c r="D23" s="198">
        <v>0</v>
      </c>
      <c r="E23" s="199"/>
    </row>
    <row r="24" spans="1:6" s="192" customFormat="1" ht="15.75" hidden="1">
      <c r="A24" s="196"/>
      <c r="B24" s="200" t="s">
        <v>34</v>
      </c>
      <c r="C24" s="198">
        <v>0</v>
      </c>
      <c r="D24" s="198">
        <v>0</v>
      </c>
      <c r="E24" s="199"/>
    </row>
    <row r="25" spans="1:6" s="192" customFormat="1" ht="28.5" hidden="1">
      <c r="A25" s="178" t="s">
        <v>50</v>
      </c>
      <c r="B25" s="201" t="s">
        <v>21</v>
      </c>
      <c r="C25" s="202">
        <f>C27</f>
        <v>0</v>
      </c>
      <c r="D25" s="202">
        <f>D27</f>
        <v>0</v>
      </c>
      <c r="E25" s="186" t="e">
        <f>D25/C25*100</f>
        <v>#DIV/0!</v>
      </c>
    </row>
    <row r="26" spans="1:6" s="192" customFormat="1" ht="15.75" hidden="1">
      <c r="A26" s="203"/>
      <c r="B26" s="195" t="s">
        <v>1</v>
      </c>
      <c r="C26" s="202"/>
      <c r="D26" s="202"/>
      <c r="E26" s="186"/>
    </row>
    <row r="27" spans="1:6" s="192" customFormat="1" ht="30" hidden="1">
      <c r="A27" s="178"/>
      <c r="B27" s="197" t="s">
        <v>36</v>
      </c>
      <c r="C27" s="204"/>
      <c r="D27" s="205"/>
      <c r="E27" s="206" t="e">
        <f>D27/C27*100</f>
        <v>#DIV/0!</v>
      </c>
    </row>
    <row r="28" spans="1:6" s="192" customFormat="1" ht="15.75" hidden="1">
      <c r="A28" s="178"/>
      <c r="B28" s="200" t="s">
        <v>34</v>
      </c>
      <c r="C28" s="204"/>
      <c r="D28" s="205"/>
      <c r="E28" s="206" t="e">
        <f>D28/C28*100</f>
        <v>#DIV/0!</v>
      </c>
    </row>
    <row r="29" spans="1:6" s="192" customFormat="1" ht="30.75" hidden="1" customHeight="1">
      <c r="A29" s="178" t="s">
        <v>4</v>
      </c>
      <c r="B29" s="201" t="s">
        <v>87</v>
      </c>
      <c r="C29" s="202">
        <f>SUM(C31:C32)</f>
        <v>0</v>
      </c>
      <c r="D29" s="202">
        <f>SUM(D31:D32)</f>
        <v>0</v>
      </c>
      <c r="E29" s="186" t="e">
        <f>D29/C29*100</f>
        <v>#DIV/0!</v>
      </c>
    </row>
    <row r="30" spans="1:6" s="192" customFormat="1" ht="15.75" hidden="1">
      <c r="A30" s="203"/>
      <c r="B30" s="195" t="s">
        <v>1</v>
      </c>
      <c r="C30" s="204"/>
      <c r="D30" s="205"/>
      <c r="E30" s="206"/>
    </row>
    <row r="31" spans="1:6" s="192" customFormat="1" ht="30" hidden="1">
      <c r="A31" s="178"/>
      <c r="B31" s="197" t="s">
        <v>36</v>
      </c>
      <c r="C31" s="204"/>
      <c r="D31" s="205"/>
      <c r="E31" s="206" t="e">
        <f t="shared" ref="E31:E67" si="0">D31/C31*100</f>
        <v>#DIV/0!</v>
      </c>
      <c r="F31" s="207"/>
    </row>
    <row r="32" spans="1:6" s="192" customFormat="1" ht="15.75" hidden="1">
      <c r="A32" s="178"/>
      <c r="B32" s="200" t="s">
        <v>34</v>
      </c>
      <c r="C32" s="204"/>
      <c r="D32" s="205"/>
      <c r="E32" s="206" t="e">
        <f t="shared" si="0"/>
        <v>#DIV/0!</v>
      </c>
    </row>
    <row r="33" spans="1:5" s="192" customFormat="1" ht="32.25" customHeight="1">
      <c r="A33" s="171" t="s">
        <v>30</v>
      </c>
      <c r="B33" s="193" t="s">
        <v>39</v>
      </c>
      <c r="C33" s="256">
        <f>SUM(C34,C39,C44,C50)</f>
        <v>224657</v>
      </c>
      <c r="D33" s="185">
        <f>SUM(D34,D39,D44,D50)</f>
        <v>0</v>
      </c>
      <c r="E33" s="186">
        <f t="shared" si="0"/>
        <v>0</v>
      </c>
    </row>
    <row r="34" spans="1:5" s="192" customFormat="1" ht="15.75">
      <c r="A34" s="171"/>
      <c r="B34" s="193" t="s">
        <v>22</v>
      </c>
      <c r="C34" s="185">
        <f>SUM(C35:C38)</f>
        <v>77480</v>
      </c>
      <c r="D34" s="185">
        <f>SUM(D35:D38)</f>
        <v>0</v>
      </c>
      <c r="E34" s="186">
        <f t="shared" si="0"/>
        <v>0</v>
      </c>
    </row>
    <row r="35" spans="1:5" s="192" customFormat="1" ht="32.25" customHeight="1">
      <c r="A35" s="179" t="s">
        <v>35</v>
      </c>
      <c r="B35" s="208" t="s">
        <v>32</v>
      </c>
      <c r="C35" s="255">
        <v>18300</v>
      </c>
      <c r="D35" s="209"/>
      <c r="E35" s="210">
        <f t="shared" si="0"/>
        <v>0</v>
      </c>
    </row>
    <row r="36" spans="1:5" s="192" customFormat="1" ht="18" customHeight="1">
      <c r="A36" s="179" t="s">
        <v>140</v>
      </c>
      <c r="B36" s="208" t="s">
        <v>44</v>
      </c>
      <c r="C36" s="254">
        <v>40000</v>
      </c>
      <c r="D36" s="205"/>
      <c r="E36" s="206">
        <f t="shared" si="0"/>
        <v>0</v>
      </c>
    </row>
    <row r="37" spans="1:5" s="192" customFormat="1" ht="31.5" customHeight="1">
      <c r="A37" s="179" t="s">
        <v>141</v>
      </c>
      <c r="B37" s="211" t="s">
        <v>170</v>
      </c>
      <c r="C37" s="254">
        <v>9180</v>
      </c>
      <c r="D37" s="205"/>
      <c r="E37" s="206">
        <f t="shared" si="0"/>
        <v>0</v>
      </c>
    </row>
    <row r="38" spans="1:5" s="192" customFormat="1" ht="31.5" customHeight="1">
      <c r="A38" s="179" t="s">
        <v>145</v>
      </c>
      <c r="B38" s="208" t="s">
        <v>171</v>
      </c>
      <c r="C38" s="254">
        <v>10000</v>
      </c>
      <c r="D38" s="205"/>
      <c r="E38" s="206">
        <f t="shared" si="0"/>
        <v>0</v>
      </c>
    </row>
    <row r="39" spans="1:5" s="192" customFormat="1" ht="15.75" customHeight="1">
      <c r="A39" s="179"/>
      <c r="B39" s="212" t="s">
        <v>46</v>
      </c>
      <c r="C39" s="185">
        <f>SUM(C40:C43)</f>
        <v>38071</v>
      </c>
      <c r="D39" s="185">
        <f>SUM(D40:D43)</f>
        <v>0</v>
      </c>
      <c r="E39" s="186">
        <f t="shared" si="0"/>
        <v>0</v>
      </c>
    </row>
    <row r="40" spans="1:5" s="192" customFormat="1" ht="31.5" customHeight="1">
      <c r="A40" s="179" t="s">
        <v>146</v>
      </c>
      <c r="B40" s="211" t="s">
        <v>172</v>
      </c>
      <c r="C40" s="254">
        <v>14105</v>
      </c>
      <c r="D40" s="205"/>
      <c r="E40" s="206">
        <f t="shared" si="0"/>
        <v>0</v>
      </c>
    </row>
    <row r="41" spans="1:5" s="192" customFormat="1" ht="33.75" customHeight="1">
      <c r="A41" s="179" t="s">
        <v>147</v>
      </c>
      <c r="B41" s="211" t="s">
        <v>173</v>
      </c>
      <c r="C41" s="254">
        <v>12723</v>
      </c>
      <c r="D41" s="205"/>
      <c r="E41" s="206">
        <f t="shared" si="0"/>
        <v>0</v>
      </c>
    </row>
    <row r="42" spans="1:5" s="192" customFormat="1" ht="30">
      <c r="A42" s="179" t="s">
        <v>148</v>
      </c>
      <c r="B42" s="211" t="s">
        <v>174</v>
      </c>
      <c r="C42" s="254">
        <v>4743</v>
      </c>
      <c r="D42" s="205"/>
      <c r="E42" s="206">
        <f t="shared" si="0"/>
        <v>0</v>
      </c>
    </row>
    <row r="43" spans="1:5" s="192" customFormat="1" ht="30" customHeight="1">
      <c r="A43" s="179" t="s">
        <v>175</v>
      </c>
      <c r="B43" s="211" t="s">
        <v>176</v>
      </c>
      <c r="C43" s="254">
        <v>6500</v>
      </c>
      <c r="D43" s="205"/>
      <c r="E43" s="206">
        <f t="shared" si="0"/>
        <v>0</v>
      </c>
    </row>
    <row r="44" spans="1:5" s="192" customFormat="1" ht="17.25" customHeight="1">
      <c r="A44" s="213"/>
      <c r="B44" s="214" t="s">
        <v>12</v>
      </c>
      <c r="C44" s="185">
        <f>SUM(C45:C49)</f>
        <v>106293</v>
      </c>
      <c r="D44" s="185">
        <f>SUM(D45:D49)</f>
        <v>0</v>
      </c>
      <c r="E44" s="186">
        <f t="shared" si="0"/>
        <v>0</v>
      </c>
    </row>
    <row r="45" spans="1:5" s="192" customFormat="1" ht="17.25" customHeight="1">
      <c r="A45" s="213" t="s">
        <v>179</v>
      </c>
      <c r="B45" s="211" t="s">
        <v>178</v>
      </c>
      <c r="C45" s="254">
        <v>30800</v>
      </c>
      <c r="D45" s="204"/>
      <c r="E45" s="206">
        <f t="shared" si="0"/>
        <v>0</v>
      </c>
    </row>
    <row r="46" spans="1:5" s="192" customFormat="1" ht="17.25" customHeight="1">
      <c r="A46" s="213" t="s">
        <v>180</v>
      </c>
      <c r="B46" s="211" t="s">
        <v>177</v>
      </c>
      <c r="C46" s="254">
        <v>11787</v>
      </c>
      <c r="D46" s="204"/>
      <c r="E46" s="206">
        <f t="shared" si="0"/>
        <v>0</v>
      </c>
    </row>
    <row r="47" spans="1:5" s="192" customFormat="1" ht="32.25" customHeight="1">
      <c r="A47" s="178" t="s">
        <v>181</v>
      </c>
      <c r="B47" s="211" t="s">
        <v>185</v>
      </c>
      <c r="C47" s="254">
        <v>27236</v>
      </c>
      <c r="D47" s="204"/>
      <c r="E47" s="206">
        <f t="shared" si="0"/>
        <v>0</v>
      </c>
    </row>
    <row r="48" spans="1:5" s="192" customFormat="1" ht="35.25" customHeight="1">
      <c r="A48" s="178" t="s">
        <v>182</v>
      </c>
      <c r="B48" s="211" t="s">
        <v>184</v>
      </c>
      <c r="C48" s="254">
        <v>34490</v>
      </c>
      <c r="D48" s="204"/>
      <c r="E48" s="206">
        <f t="shared" si="0"/>
        <v>0</v>
      </c>
    </row>
    <row r="49" spans="1:5" s="192" customFormat="1" ht="32.25" customHeight="1">
      <c r="A49" s="178" t="s">
        <v>183</v>
      </c>
      <c r="B49" s="211" t="s">
        <v>186</v>
      </c>
      <c r="C49" s="254">
        <v>1980</v>
      </c>
      <c r="D49" s="204"/>
      <c r="E49" s="206">
        <f t="shared" si="0"/>
        <v>0</v>
      </c>
    </row>
    <row r="50" spans="1:5" s="192" customFormat="1" ht="15.75">
      <c r="A50" s="203"/>
      <c r="B50" s="215" t="s">
        <v>90</v>
      </c>
      <c r="C50" s="185">
        <f>C51</f>
        <v>2813</v>
      </c>
      <c r="D50" s="185">
        <f>D51</f>
        <v>0</v>
      </c>
      <c r="E50" s="186">
        <f t="shared" si="0"/>
        <v>0</v>
      </c>
    </row>
    <row r="51" spans="1:5" s="192" customFormat="1" ht="17.25" customHeight="1">
      <c r="A51" s="178" t="s">
        <v>188</v>
      </c>
      <c r="B51" s="216" t="s">
        <v>187</v>
      </c>
      <c r="C51" s="254">
        <v>2813</v>
      </c>
      <c r="D51" s="204"/>
      <c r="E51" s="206">
        <f t="shared" si="0"/>
        <v>0</v>
      </c>
    </row>
    <row r="52" spans="1:5" s="192" customFormat="1" ht="36.75" customHeight="1">
      <c r="A52" s="245" t="s">
        <v>2</v>
      </c>
      <c r="B52" s="246" t="s">
        <v>221</v>
      </c>
      <c r="C52" s="243">
        <f>C53</f>
        <v>120743</v>
      </c>
      <c r="D52" s="243">
        <f>D53</f>
        <v>0</v>
      </c>
      <c r="E52" s="244">
        <f t="shared" si="0"/>
        <v>0</v>
      </c>
    </row>
    <row r="53" spans="1:5" ht="18.75" customHeight="1">
      <c r="A53" s="171" t="s">
        <v>37</v>
      </c>
      <c r="B53" s="193" t="s">
        <v>39</v>
      </c>
      <c r="C53" s="185">
        <f>SUM(C54:C64)</f>
        <v>120743</v>
      </c>
      <c r="D53" s="185">
        <f>SUM(D54:D64)</f>
        <v>0</v>
      </c>
      <c r="E53" s="186">
        <f t="shared" si="0"/>
        <v>0</v>
      </c>
    </row>
    <row r="54" spans="1:5" s="192" customFormat="1" ht="30">
      <c r="A54" s="178" t="s">
        <v>189</v>
      </c>
      <c r="B54" s="217" t="s">
        <v>58</v>
      </c>
      <c r="C54" s="254">
        <v>5800</v>
      </c>
      <c r="D54" s="204"/>
      <c r="E54" s="206">
        <f t="shared" si="0"/>
        <v>0</v>
      </c>
    </row>
    <row r="55" spans="1:5" ht="30.75" customHeight="1">
      <c r="A55" s="178" t="s">
        <v>190</v>
      </c>
      <c r="B55" s="218" t="s">
        <v>194</v>
      </c>
      <c r="C55" s="254">
        <v>943</v>
      </c>
      <c r="D55" s="204"/>
      <c r="E55" s="206">
        <f t="shared" si="0"/>
        <v>0</v>
      </c>
    </row>
    <row r="56" spans="1:5" ht="33" customHeight="1">
      <c r="A56" s="179" t="s">
        <v>191</v>
      </c>
      <c r="B56" s="216" t="s">
        <v>193</v>
      </c>
      <c r="C56" s="254">
        <v>9000</v>
      </c>
      <c r="D56" s="204"/>
      <c r="E56" s="206">
        <f t="shared" si="0"/>
        <v>0</v>
      </c>
    </row>
    <row r="57" spans="1:5" s="192" customFormat="1" ht="32.25" customHeight="1">
      <c r="A57" s="178" t="s">
        <v>192</v>
      </c>
      <c r="B57" s="218" t="s">
        <v>57</v>
      </c>
      <c r="C57" s="254">
        <v>16000</v>
      </c>
      <c r="D57" s="205"/>
      <c r="E57" s="206">
        <f t="shared" si="0"/>
        <v>0</v>
      </c>
    </row>
    <row r="58" spans="1:5" s="192" customFormat="1" ht="45.75" customHeight="1">
      <c r="A58" s="178" t="s">
        <v>195</v>
      </c>
      <c r="B58" s="218" t="s">
        <v>202</v>
      </c>
      <c r="C58" s="254">
        <v>2000</v>
      </c>
      <c r="D58" s="205"/>
      <c r="E58" s="206">
        <f t="shared" si="0"/>
        <v>0</v>
      </c>
    </row>
    <row r="59" spans="1:5" s="192" customFormat="1" ht="15.75">
      <c r="A59" s="178" t="s">
        <v>196</v>
      </c>
      <c r="B59" s="218" t="s">
        <v>197</v>
      </c>
      <c r="C59" s="254">
        <v>5775</v>
      </c>
      <c r="D59" s="205"/>
      <c r="E59" s="206">
        <f t="shared" si="0"/>
        <v>0</v>
      </c>
    </row>
    <row r="60" spans="1:5" s="192" customFormat="1" ht="30.75" customHeight="1">
      <c r="A60" s="178" t="s">
        <v>198</v>
      </c>
      <c r="B60" s="219" t="s">
        <v>199</v>
      </c>
      <c r="C60" s="257">
        <v>2000</v>
      </c>
      <c r="D60" s="209"/>
      <c r="E60" s="206">
        <f t="shared" si="0"/>
        <v>0</v>
      </c>
    </row>
    <row r="61" spans="1:5" s="192" customFormat="1" ht="15.75">
      <c r="A61" s="178" t="s">
        <v>200</v>
      </c>
      <c r="B61" s="218" t="s">
        <v>201</v>
      </c>
      <c r="C61" s="254">
        <v>558</v>
      </c>
      <c r="D61" s="205"/>
      <c r="E61" s="206">
        <f t="shared" si="0"/>
        <v>0</v>
      </c>
    </row>
    <row r="62" spans="1:5" s="192" customFormat="1" ht="30">
      <c r="A62" s="178" t="s">
        <v>204</v>
      </c>
      <c r="B62" s="216" t="s">
        <v>203</v>
      </c>
      <c r="C62" s="254">
        <v>62000</v>
      </c>
      <c r="D62" s="204"/>
      <c r="E62" s="206">
        <f t="shared" si="0"/>
        <v>0</v>
      </c>
    </row>
    <row r="63" spans="1:5" ht="33" customHeight="1">
      <c r="A63" s="179" t="s">
        <v>205</v>
      </c>
      <c r="B63" s="216" t="s">
        <v>206</v>
      </c>
      <c r="C63" s="254">
        <v>15667</v>
      </c>
      <c r="D63" s="204"/>
      <c r="E63" s="206">
        <f t="shared" si="0"/>
        <v>0</v>
      </c>
    </row>
    <row r="64" spans="1:5" s="192" customFormat="1" ht="32.25" customHeight="1">
      <c r="A64" s="179">
        <v>27</v>
      </c>
      <c r="B64" s="211" t="s">
        <v>16</v>
      </c>
      <c r="C64" s="254">
        <v>1000</v>
      </c>
      <c r="D64" s="205"/>
      <c r="E64" s="206">
        <f t="shared" si="0"/>
        <v>0</v>
      </c>
    </row>
    <row r="65" spans="1:6" s="192" customFormat="1" ht="28.5">
      <c r="A65" s="245" t="s">
        <v>3</v>
      </c>
      <c r="B65" s="247" t="s">
        <v>222</v>
      </c>
      <c r="C65" s="248">
        <f>C66</f>
        <v>550600</v>
      </c>
      <c r="D65" s="248">
        <f>D66</f>
        <v>0</v>
      </c>
      <c r="E65" s="244">
        <f t="shared" si="0"/>
        <v>0</v>
      </c>
    </row>
    <row r="66" spans="1:6" s="192" customFormat="1" ht="15.75">
      <c r="A66" s="171" t="s">
        <v>42</v>
      </c>
      <c r="B66" s="193" t="s">
        <v>40</v>
      </c>
      <c r="C66" s="185">
        <f>SUM(C67+C71)</f>
        <v>550600</v>
      </c>
      <c r="D66" s="185">
        <f>SUM(D67+D71)</f>
        <v>0</v>
      </c>
      <c r="E66" s="186">
        <f t="shared" si="0"/>
        <v>0</v>
      </c>
    </row>
    <row r="67" spans="1:6" s="192" customFormat="1" ht="15.75">
      <c r="A67" s="179" t="s">
        <v>210</v>
      </c>
      <c r="B67" s="220" t="s">
        <v>143</v>
      </c>
      <c r="C67" s="185">
        <f>C69+C70</f>
        <v>202600</v>
      </c>
      <c r="D67" s="185">
        <f>D69+D70</f>
        <v>0</v>
      </c>
      <c r="E67" s="186">
        <f t="shared" si="0"/>
        <v>0</v>
      </c>
    </row>
    <row r="68" spans="1:6" s="192" customFormat="1" ht="15.75">
      <c r="A68" s="171"/>
      <c r="B68" s="195" t="s">
        <v>1</v>
      </c>
      <c r="C68" s="204"/>
      <c r="D68" s="204"/>
      <c r="E68" s="206"/>
    </row>
    <row r="69" spans="1:6" s="192" customFormat="1" ht="15.75" customHeight="1">
      <c r="A69" s="221"/>
      <c r="B69" s="197" t="s">
        <v>33</v>
      </c>
      <c r="C69" s="258">
        <v>186900</v>
      </c>
      <c r="D69" s="205">
        <v>0</v>
      </c>
      <c r="E69" s="206">
        <f t="shared" ref="E69:E82" si="1">D69/C69*100</f>
        <v>0</v>
      </c>
    </row>
    <row r="70" spans="1:6" s="192" customFormat="1" ht="15.75" customHeight="1">
      <c r="A70" s="222"/>
      <c r="B70" s="200" t="s">
        <v>34</v>
      </c>
      <c r="C70" s="258">
        <v>15700</v>
      </c>
      <c r="D70" s="205">
        <v>0</v>
      </c>
      <c r="E70" s="206">
        <f t="shared" si="1"/>
        <v>0</v>
      </c>
    </row>
    <row r="71" spans="1:6" s="192" customFormat="1" ht="28.5">
      <c r="A71" s="171" t="s">
        <v>142</v>
      </c>
      <c r="B71" s="193" t="s">
        <v>39</v>
      </c>
      <c r="C71" s="185">
        <f>SUM(C72:C75)</f>
        <v>348000</v>
      </c>
      <c r="D71" s="185">
        <f>SUM(D72:E75)</f>
        <v>0</v>
      </c>
      <c r="E71" s="186">
        <f t="shared" si="1"/>
        <v>0</v>
      </c>
    </row>
    <row r="72" spans="1:6" s="192" customFormat="1" ht="31.5" customHeight="1">
      <c r="A72" s="178" t="s">
        <v>207</v>
      </c>
      <c r="B72" s="217" t="s">
        <v>144</v>
      </c>
      <c r="C72" s="258">
        <v>309207</v>
      </c>
      <c r="D72" s="205"/>
      <c r="E72" s="206">
        <f t="shared" si="1"/>
        <v>0</v>
      </c>
    </row>
    <row r="73" spans="1:6" s="192" customFormat="1" ht="30">
      <c r="A73" s="178" t="s">
        <v>208</v>
      </c>
      <c r="B73" s="223" t="s">
        <v>70</v>
      </c>
      <c r="C73" s="259">
        <v>1310</v>
      </c>
      <c r="D73" s="205"/>
      <c r="E73" s="206">
        <f t="shared" si="1"/>
        <v>0</v>
      </c>
    </row>
    <row r="74" spans="1:6" s="192" customFormat="1" ht="15.75" customHeight="1">
      <c r="A74" s="221" t="s">
        <v>209</v>
      </c>
      <c r="B74" s="211" t="s">
        <v>29</v>
      </c>
      <c r="C74" s="258">
        <v>15711</v>
      </c>
      <c r="D74" s="205"/>
      <c r="E74" s="206">
        <f t="shared" si="1"/>
        <v>0</v>
      </c>
    </row>
    <row r="75" spans="1:6" s="192" customFormat="1" ht="34.5" customHeight="1">
      <c r="A75" s="221" t="s">
        <v>212</v>
      </c>
      <c r="B75" s="211" t="s">
        <v>211</v>
      </c>
      <c r="C75" s="258">
        <v>21772</v>
      </c>
      <c r="D75" s="205"/>
      <c r="E75" s="206">
        <f t="shared" si="1"/>
        <v>0</v>
      </c>
      <c r="F75" s="192">
        <f>12979.83+8792.17</f>
        <v>21772</v>
      </c>
    </row>
    <row r="76" spans="1:6" s="253" customFormat="1" ht="23.25" customHeight="1">
      <c r="A76" s="2294" t="s">
        <v>216</v>
      </c>
      <c r="B76" s="2295"/>
      <c r="C76" s="239">
        <f>SUM(C77,C114,C127)</f>
        <v>120000</v>
      </c>
      <c r="D76" s="239">
        <f>SUM(D77,D114,D127)</f>
        <v>0</v>
      </c>
      <c r="E76" s="240">
        <f t="shared" si="1"/>
        <v>0</v>
      </c>
    </row>
    <row r="77" spans="1:6" s="192" customFormat="1" ht="42.75">
      <c r="A77" s="241" t="s">
        <v>6</v>
      </c>
      <c r="B77" s="242" t="s">
        <v>15</v>
      </c>
      <c r="C77" s="243">
        <f>C79</f>
        <v>120000</v>
      </c>
      <c r="D77" s="243">
        <f>D52+D57+D62+D68</f>
        <v>0</v>
      </c>
      <c r="E77" s="244">
        <f t="shared" si="1"/>
        <v>0</v>
      </c>
    </row>
    <row r="78" spans="1:6" s="192" customFormat="1" ht="32.25" customHeight="1">
      <c r="A78" s="171" t="s">
        <v>30</v>
      </c>
      <c r="B78" s="193" t="s">
        <v>39</v>
      </c>
      <c r="C78" s="185">
        <f>SUM(C79,C84,C89,C95)</f>
        <v>120000</v>
      </c>
      <c r="D78" s="185">
        <f>SUM(D79,D84,D89,D95)</f>
        <v>0</v>
      </c>
      <c r="E78" s="186">
        <f t="shared" si="1"/>
        <v>0</v>
      </c>
    </row>
    <row r="79" spans="1:6" s="192" customFormat="1" ht="15.75">
      <c r="A79" s="171"/>
      <c r="B79" s="193" t="s">
        <v>215</v>
      </c>
      <c r="C79" s="185">
        <f>SUM(C80:C82)</f>
        <v>120000</v>
      </c>
      <c r="D79" s="185">
        <f>SUM(D80:D82)</f>
        <v>0</v>
      </c>
      <c r="E79" s="186">
        <f t="shared" si="1"/>
        <v>0</v>
      </c>
    </row>
    <row r="80" spans="1:6" s="192" customFormat="1" ht="32.25" customHeight="1">
      <c r="A80" s="179" t="s">
        <v>225</v>
      </c>
      <c r="B80" s="208" t="s">
        <v>217</v>
      </c>
      <c r="C80" s="209">
        <v>70000</v>
      </c>
      <c r="D80" s="209"/>
      <c r="E80" s="210">
        <f t="shared" si="1"/>
        <v>0</v>
      </c>
    </row>
    <row r="81" spans="1:5" s="192" customFormat="1" ht="18" customHeight="1">
      <c r="A81" s="179" t="s">
        <v>223</v>
      </c>
      <c r="B81" s="208" t="s">
        <v>218</v>
      </c>
      <c r="C81" s="204">
        <v>40000</v>
      </c>
      <c r="D81" s="205"/>
      <c r="E81" s="206">
        <f t="shared" si="1"/>
        <v>0</v>
      </c>
    </row>
    <row r="82" spans="1:5" s="192" customFormat="1" ht="17.25" customHeight="1">
      <c r="A82" s="179" t="s">
        <v>224</v>
      </c>
      <c r="B82" s="211" t="s">
        <v>219</v>
      </c>
      <c r="C82" s="204">
        <v>10000</v>
      </c>
      <c r="D82" s="205"/>
      <c r="E82" s="206">
        <f t="shared" si="1"/>
        <v>0</v>
      </c>
    </row>
    <row r="83" spans="1:5" s="192" customFormat="1" ht="6" customHeight="1">
      <c r="A83" s="224"/>
      <c r="B83" s="225"/>
      <c r="C83" s="226"/>
      <c r="D83" s="227"/>
      <c r="E83" s="228"/>
    </row>
    <row r="84" spans="1:5" s="192" customFormat="1" ht="15.75" customHeight="1">
      <c r="A84" s="229" t="s">
        <v>62</v>
      </c>
      <c r="B84" s="2296" t="s">
        <v>213</v>
      </c>
      <c r="C84" s="2296"/>
      <c r="D84" s="2296"/>
    </row>
    <row r="85" spans="1:5" ht="15" customHeight="1">
      <c r="A85" s="173"/>
      <c r="B85" s="2296"/>
      <c r="C85" s="2296"/>
      <c r="D85" s="2296"/>
      <c r="E85" s="230"/>
    </row>
    <row r="86" spans="1:5" ht="10.5" customHeight="1">
      <c r="A86" s="229"/>
      <c r="B86" s="2287" t="s">
        <v>80</v>
      </c>
      <c r="C86" s="2287"/>
      <c r="D86" s="2287"/>
      <c r="E86" s="2287"/>
    </row>
    <row r="87" spans="1:5" ht="20.25" customHeight="1">
      <c r="A87" s="229"/>
      <c r="B87" s="231" t="s">
        <v>85</v>
      </c>
      <c r="C87" s="231"/>
      <c r="D87" s="2286" t="s">
        <v>86</v>
      </c>
      <c r="E87" s="2286"/>
    </row>
    <row r="88" spans="1:5" ht="17.25" hidden="1" customHeight="1">
      <c r="B88" s="2288" t="s">
        <v>59</v>
      </c>
      <c r="C88" s="2288"/>
      <c r="D88" s="2288"/>
      <c r="E88" s="2288"/>
    </row>
    <row r="89" spans="1:5" ht="16.5" hidden="1">
      <c r="B89" s="233" t="s">
        <v>79</v>
      </c>
      <c r="C89" s="233"/>
      <c r="D89" s="233" t="s">
        <v>81</v>
      </c>
      <c r="E89" s="233"/>
    </row>
    <row r="90" spans="1:5" ht="15.75" customHeight="1">
      <c r="A90" s="234"/>
      <c r="B90" s="235"/>
      <c r="E90" s="236"/>
    </row>
    <row r="91" spans="1:5" ht="30.75" customHeight="1">
      <c r="B91" s="235" t="s">
        <v>214</v>
      </c>
      <c r="E91" s="237"/>
    </row>
    <row r="92" spans="1:5" ht="14.25" customHeight="1">
      <c r="B92" s="235" t="s">
        <v>135</v>
      </c>
      <c r="E92" s="237"/>
    </row>
    <row r="93" spans="1:5" ht="14.25" customHeight="1">
      <c r="B93" s="235"/>
      <c r="E93" s="237"/>
    </row>
    <row r="95" spans="1:5" hidden="1">
      <c r="B95" s="238" t="s">
        <v>60</v>
      </c>
    </row>
    <row r="96" spans="1:5">
      <c r="B96" s="238"/>
    </row>
  </sheetData>
  <mergeCells count="17">
    <mergeCell ref="A1:E1"/>
    <mergeCell ref="C3:E3"/>
    <mergeCell ref="A4:E4"/>
    <mergeCell ref="A5:E5"/>
    <mergeCell ref="A6:E6"/>
    <mergeCell ref="D87:E87"/>
    <mergeCell ref="B86:E86"/>
    <mergeCell ref="B88:E88"/>
    <mergeCell ref="A8:A9"/>
    <mergeCell ref="B8:B9"/>
    <mergeCell ref="C8:C9"/>
    <mergeCell ref="D8:D9"/>
    <mergeCell ref="E8:E9"/>
    <mergeCell ref="A15:B15"/>
    <mergeCell ref="A76:B76"/>
    <mergeCell ref="B84:D84"/>
    <mergeCell ref="B85:D85"/>
  </mergeCells>
  <pageMargins left="0.54" right="0" top="0.47244094488188981" bottom="0.59055118110236227" header="0" footer="0"/>
  <pageSetup paperSize="9" scale="79" fitToHeight="3" orientation="portrait" r:id="rId1"/>
  <headerFooter alignWithMargins="0"/>
  <customProperties>
    <customPr name="krista_fm_consts" r:id="rId2"/>
  </customProperties>
</worksheet>
</file>

<file path=xl/worksheets/sheet40.xml><?xml version="1.0" encoding="utf-8"?>
<worksheet xmlns="http://schemas.openxmlformats.org/spreadsheetml/2006/main" xmlns:r="http://schemas.openxmlformats.org/officeDocument/2006/relationships">
  <sheetPr filterMode="1">
    <pageSetUpPr fitToPage="1"/>
  </sheetPr>
  <dimension ref="A1:X172"/>
  <sheetViews>
    <sheetView topLeftCell="A5" zoomScale="80" zoomScaleNormal="80" zoomScaleSheetLayoutView="70" workbookViewId="0">
      <selection activeCell="G14" sqref="G14"/>
    </sheetView>
  </sheetViews>
  <sheetFormatPr defaultColWidth="9.140625" defaultRowHeight="18.75"/>
  <cols>
    <col min="1" max="1" width="10.42578125" style="2036" customWidth="1"/>
    <col min="2" max="2" width="82.5703125" style="712" customWidth="1"/>
    <col min="3" max="3" width="13.42578125" style="1834" hidden="1" customWidth="1"/>
    <col min="4" max="4" width="17.42578125" style="1570" customWidth="1"/>
    <col min="5" max="6" width="14.85546875" style="712" customWidth="1"/>
    <col min="7" max="7" width="14.85546875" style="1570" customWidth="1"/>
    <col min="8" max="8" width="15.42578125" style="712" customWidth="1"/>
    <col min="9" max="9" width="14.85546875" style="712" customWidth="1"/>
    <col min="10" max="10" width="14.85546875" style="1569" customWidth="1"/>
    <col min="11" max="12" width="14.85546875" style="712" customWidth="1"/>
    <col min="13" max="13" width="9.28515625" style="1570" customWidth="1"/>
    <col min="14" max="14" width="12.140625" style="712" customWidth="1"/>
    <col min="15" max="15" width="9.285156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7.85546875" style="712" hidden="1" customWidth="1"/>
    <col min="25" max="16384" width="9.140625" style="712"/>
  </cols>
  <sheetData>
    <row r="1" spans="1:23" ht="20.25" hidden="1">
      <c r="A1" s="2537"/>
      <c r="B1" s="2537"/>
      <c r="D1" s="1563"/>
      <c r="E1" s="1563"/>
      <c r="F1" s="1563"/>
      <c r="G1" s="1563"/>
      <c r="H1" s="1563"/>
      <c r="I1" s="1563"/>
      <c r="J1" s="1563"/>
      <c r="L1" s="2384"/>
      <c r="M1" s="2384"/>
      <c r="N1" s="2384"/>
      <c r="O1" s="2384"/>
    </row>
    <row r="2" spans="1:23" hidden="1">
      <c r="A2" s="1942"/>
      <c r="B2" s="2022"/>
      <c r="D2" s="1569"/>
      <c r="E2" s="2022"/>
      <c r="F2" s="2022"/>
      <c r="M2" s="1569"/>
    </row>
    <row r="3" spans="1:23" s="1575" customFormat="1" hidden="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23"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23"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23" s="1575" customFormat="1" ht="33" customHeight="1">
      <c r="A6" s="2361" t="s">
        <v>1731</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23" s="1575" customFormat="1" ht="27">
      <c r="A7" s="2361" t="s">
        <v>1729</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23" s="1575" customFormat="1" ht="30.75" customHeight="1">
      <c r="A8" s="2034"/>
      <c r="B8" s="1571"/>
      <c r="C8" s="1835"/>
      <c r="D8" s="1587"/>
      <c r="E8" s="1587"/>
      <c r="F8" s="1587"/>
      <c r="G8" s="1587"/>
      <c r="H8" s="1587"/>
      <c r="I8" s="1587"/>
      <c r="J8" s="1587"/>
      <c r="K8" s="1587"/>
      <c r="L8" s="1587"/>
      <c r="M8" s="1585"/>
      <c r="N8" s="2533" t="s">
        <v>377</v>
      </c>
      <c r="O8" s="2533"/>
      <c r="P8" s="1577"/>
      <c r="Q8" s="1863"/>
      <c r="R8" s="1591"/>
      <c r="S8" s="1591"/>
      <c r="T8" s="1591"/>
      <c r="U8" s="1661"/>
      <c r="V8" s="1661"/>
      <c r="W8" s="1661" t="s">
        <v>1314</v>
      </c>
    </row>
    <row r="9" spans="1:23" ht="70.5" customHeight="1">
      <c r="A9" s="2564" t="s">
        <v>18</v>
      </c>
      <c r="B9" s="2380" t="s">
        <v>0</v>
      </c>
      <c r="C9" s="2564" t="s">
        <v>1535</v>
      </c>
      <c r="D9" s="2374" t="s">
        <v>1374</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23" ht="69" customHeight="1">
      <c r="A10" s="2564"/>
      <c r="B10" s="2380"/>
      <c r="C10" s="2564"/>
      <c r="D10" s="2374"/>
      <c r="E10" s="709" t="s">
        <v>1074</v>
      </c>
      <c r="F10" s="709" t="s">
        <v>258</v>
      </c>
      <c r="G10" s="2374"/>
      <c r="H10" s="709" t="s">
        <v>1074</v>
      </c>
      <c r="I10" s="709" t="s">
        <v>258</v>
      </c>
      <c r="J10" s="2374"/>
      <c r="K10" s="709" t="s">
        <v>1074</v>
      </c>
      <c r="L10" s="709" t="s">
        <v>258</v>
      </c>
      <c r="M10" s="2374"/>
      <c r="N10" s="709" t="s">
        <v>1074</v>
      </c>
      <c r="O10" s="709" t="s">
        <v>258</v>
      </c>
      <c r="P10" s="2550"/>
      <c r="Q10" s="2550"/>
      <c r="R10" s="2374"/>
      <c r="S10" s="709" t="s">
        <v>1074</v>
      </c>
      <c r="T10" s="709" t="s">
        <v>258</v>
      </c>
      <c r="U10" s="2374"/>
      <c r="V10" s="709" t="s">
        <v>1074</v>
      </c>
      <c r="W10" s="709" t="s">
        <v>258</v>
      </c>
    </row>
    <row r="11" spans="1:23">
      <c r="A11" s="2024">
        <v>1</v>
      </c>
      <c r="B11" s="507">
        <v>2</v>
      </c>
      <c r="C11" s="2024"/>
      <c r="D11" s="507">
        <v>3</v>
      </c>
      <c r="E11" s="507">
        <v>4</v>
      </c>
      <c r="F11" s="507">
        <v>5</v>
      </c>
      <c r="G11" s="1868">
        <v>7</v>
      </c>
      <c r="H11" s="1868">
        <v>8</v>
      </c>
      <c r="I11" s="1868">
        <v>9</v>
      </c>
      <c r="J11" s="1868">
        <v>10</v>
      </c>
      <c r="K11" s="1868">
        <v>11</v>
      </c>
      <c r="L11" s="1868">
        <v>12</v>
      </c>
      <c r="M11" s="1868">
        <v>13</v>
      </c>
      <c r="N11" s="1868">
        <v>14</v>
      </c>
      <c r="O11" s="1868">
        <v>15</v>
      </c>
      <c r="P11" s="1593">
        <v>10</v>
      </c>
      <c r="Q11" s="1593">
        <v>11</v>
      </c>
      <c r="R11" s="1593">
        <v>9</v>
      </c>
      <c r="S11" s="1593">
        <v>10</v>
      </c>
      <c r="T11" s="1593">
        <v>11</v>
      </c>
      <c r="U11" s="1593">
        <v>12</v>
      </c>
      <c r="V11" s="1593">
        <v>13</v>
      </c>
      <c r="W11" s="1593">
        <v>14</v>
      </c>
    </row>
    <row r="12" spans="1:23" ht="56.25">
      <c r="A12" s="2038"/>
      <c r="B12" s="2027" t="s">
        <v>1732</v>
      </c>
      <c r="C12" s="1621">
        <v>3824645.7</v>
      </c>
      <c r="D12" s="1621">
        <f>D13+D14</f>
        <v>3824645.7</v>
      </c>
      <c r="E12" s="1621">
        <f t="shared" ref="E12:L12" si="0">E13+E14</f>
        <v>3298387.4</v>
      </c>
      <c r="F12" s="1621">
        <f t="shared" si="0"/>
        <v>526258.30000000005</v>
      </c>
      <c r="G12" s="1621">
        <f t="shared" si="0"/>
        <v>3824645.7</v>
      </c>
      <c r="H12" s="1621">
        <f t="shared" si="0"/>
        <v>3298387.4</v>
      </c>
      <c r="I12" s="1621">
        <f t="shared" si="0"/>
        <v>526258.30000000005</v>
      </c>
      <c r="J12" s="1621">
        <f t="shared" si="0"/>
        <v>649191.19999999995</v>
      </c>
      <c r="K12" s="1621">
        <f t="shared" si="0"/>
        <v>605893.80000000005</v>
      </c>
      <c r="L12" s="1621">
        <f t="shared" si="0"/>
        <v>43297.4</v>
      </c>
      <c r="M12" s="2029">
        <v>17.3</v>
      </c>
      <c r="N12" s="2029">
        <v>7.6</v>
      </c>
      <c r="O12" s="2029">
        <f>IF(L12=0,0,L12/I12*100)</f>
        <v>8.1999999999999993</v>
      </c>
      <c r="P12" s="1593"/>
      <c r="Q12" s="1593"/>
      <c r="R12" s="1593"/>
      <c r="S12" s="1593"/>
      <c r="T12" s="1593"/>
      <c r="U12" s="1593"/>
      <c r="V12" s="1593"/>
      <c r="W12" s="1593"/>
    </row>
    <row r="13" spans="1:23">
      <c r="A13" s="2038" t="s">
        <v>50</v>
      </c>
      <c r="B13" s="2027" t="s">
        <v>1767</v>
      </c>
      <c r="C13" s="1621">
        <v>46204.1</v>
      </c>
      <c r="D13" s="1621">
        <f>D20+D65</f>
        <v>46204.1</v>
      </c>
      <c r="E13" s="1621">
        <f t="shared" ref="E13:L13" si="1">E20+E65</f>
        <v>0</v>
      </c>
      <c r="F13" s="1621">
        <f t="shared" si="1"/>
        <v>46204.1</v>
      </c>
      <c r="G13" s="1621">
        <f t="shared" si="1"/>
        <v>46204.1</v>
      </c>
      <c r="H13" s="1621">
        <f t="shared" si="1"/>
        <v>0</v>
      </c>
      <c r="I13" s="1621">
        <f>I20+I65</f>
        <v>46204.1</v>
      </c>
      <c r="J13" s="1621">
        <f t="shared" si="1"/>
        <v>3996.9</v>
      </c>
      <c r="K13" s="1621">
        <f t="shared" si="1"/>
        <v>0</v>
      </c>
      <c r="L13" s="1621">
        <f t="shared" si="1"/>
        <v>3996.9</v>
      </c>
      <c r="M13" s="2029">
        <v>0</v>
      </c>
      <c r="N13" s="2029">
        <v>4.0999999999999996</v>
      </c>
      <c r="O13" s="2029">
        <f>IF(L13=0,0,L13/I13*100)</f>
        <v>8.6999999999999993</v>
      </c>
      <c r="P13" s="1593"/>
      <c r="Q13" s="1593"/>
      <c r="R13" s="1593"/>
      <c r="S13" s="1593"/>
      <c r="T13" s="1593"/>
      <c r="U13" s="1593"/>
      <c r="V13" s="1593"/>
      <c r="W13" s="1593"/>
    </row>
    <row r="14" spans="1:23" ht="37.5">
      <c r="A14" s="2038" t="s">
        <v>4</v>
      </c>
      <c r="B14" s="2027" t="s">
        <v>1769</v>
      </c>
      <c r="C14" s="1621">
        <v>3778441.6</v>
      </c>
      <c r="D14" s="1621">
        <f>D15+D16</f>
        <v>3778441.6</v>
      </c>
      <c r="E14" s="1621">
        <f t="shared" ref="E14:L14" si="2">E15+E16</f>
        <v>3298387.4</v>
      </c>
      <c r="F14" s="1621">
        <f t="shared" si="2"/>
        <v>480054.2</v>
      </c>
      <c r="G14" s="1621">
        <f t="shared" si="2"/>
        <v>3778441.6</v>
      </c>
      <c r="H14" s="1621">
        <f t="shared" si="2"/>
        <v>3298387.4</v>
      </c>
      <c r="I14" s="1621">
        <f t="shared" si="2"/>
        <v>480054.2</v>
      </c>
      <c r="J14" s="1621">
        <f t="shared" si="2"/>
        <v>645194.30000000005</v>
      </c>
      <c r="K14" s="1621">
        <f t="shared" si="2"/>
        <v>605893.80000000005</v>
      </c>
      <c r="L14" s="1621">
        <f t="shared" si="2"/>
        <v>39300.5</v>
      </c>
      <c r="M14" s="2029">
        <v>17.3</v>
      </c>
      <c r="N14" s="2029">
        <v>8</v>
      </c>
      <c r="O14" s="2029">
        <f>IF(L14=0,0,L14/I14*100)</f>
        <v>8.1999999999999993</v>
      </c>
      <c r="P14" s="1593"/>
      <c r="Q14" s="1593"/>
      <c r="R14" s="1593"/>
      <c r="S14" s="1593"/>
      <c r="T14" s="1593"/>
      <c r="U14" s="1593"/>
      <c r="V14" s="1593"/>
      <c r="W14" s="1593"/>
    </row>
    <row r="15" spans="1:23">
      <c r="A15" s="2038" t="s">
        <v>1734</v>
      </c>
      <c r="B15" s="2028" t="s">
        <v>1620</v>
      </c>
      <c r="C15" s="1621">
        <v>3617825.1</v>
      </c>
      <c r="D15" s="1621">
        <f>SUBTOTAL(9,D31,D83,D149)</f>
        <v>3617825.1</v>
      </c>
      <c r="E15" s="1621">
        <f t="shared" ref="E15:L15" si="3">SUBTOTAL(9,E31,E83,E149)</f>
        <v>3298387.4</v>
      </c>
      <c r="F15" s="1621">
        <f t="shared" si="3"/>
        <v>319437.7</v>
      </c>
      <c r="G15" s="1621">
        <f t="shared" si="3"/>
        <v>3617825.1</v>
      </c>
      <c r="H15" s="1621">
        <f t="shared" si="3"/>
        <v>3298387.4</v>
      </c>
      <c r="I15" s="1621">
        <f t="shared" si="3"/>
        <v>319437.7</v>
      </c>
      <c r="J15" s="1621">
        <f t="shared" si="3"/>
        <v>644590</v>
      </c>
      <c r="K15" s="1621">
        <f t="shared" si="3"/>
        <v>605893.80000000005</v>
      </c>
      <c r="L15" s="1621">
        <f t="shared" si="3"/>
        <v>38696.199999999997</v>
      </c>
      <c r="M15" s="2029">
        <v>17.3</v>
      </c>
      <c r="N15" s="2029">
        <v>11.4</v>
      </c>
      <c r="O15" s="2029">
        <f>IF(L15=0,0,L15/I15*100)</f>
        <v>12.1</v>
      </c>
      <c r="P15" s="1593"/>
      <c r="Q15" s="1593"/>
      <c r="R15" s="1593"/>
      <c r="S15" s="1593"/>
      <c r="T15" s="1593"/>
      <c r="U15" s="1593"/>
      <c r="V15" s="1593"/>
      <c r="W15" s="1593"/>
    </row>
    <row r="16" spans="1:23">
      <c r="A16" s="2038" t="s">
        <v>1735</v>
      </c>
      <c r="B16" s="2028" t="s">
        <v>1621</v>
      </c>
      <c r="C16" s="1621">
        <v>160616.5</v>
      </c>
      <c r="D16" s="1621">
        <f>D32+D84</f>
        <v>160616.5</v>
      </c>
      <c r="E16" s="1621">
        <f t="shared" ref="E16:L16" si="4">E32+E84</f>
        <v>0</v>
      </c>
      <c r="F16" s="1621">
        <f t="shared" si="4"/>
        <v>160616.5</v>
      </c>
      <c r="G16" s="1621">
        <f t="shared" si="4"/>
        <v>160616.5</v>
      </c>
      <c r="H16" s="1621">
        <f t="shared" si="4"/>
        <v>0</v>
      </c>
      <c r="I16" s="1621">
        <f t="shared" si="4"/>
        <v>160616.5</v>
      </c>
      <c r="J16" s="1621">
        <f t="shared" si="4"/>
        <v>604.29999999999995</v>
      </c>
      <c r="K16" s="1621">
        <f t="shared" si="4"/>
        <v>0</v>
      </c>
      <c r="L16" s="1621">
        <f t="shared" si="4"/>
        <v>604.29999999999995</v>
      </c>
      <c r="M16" s="2029">
        <v>0</v>
      </c>
      <c r="N16" s="2029">
        <v>0.4</v>
      </c>
      <c r="O16" s="2029">
        <f>IF(L16=0,0,L16/I16*100)</f>
        <v>0.4</v>
      </c>
      <c r="P16" s="1593"/>
      <c r="Q16" s="1593"/>
      <c r="R16" s="1593"/>
      <c r="S16" s="1593"/>
      <c r="T16" s="1593"/>
      <c r="U16" s="1593"/>
      <c r="V16" s="1593"/>
      <c r="W16" s="1593"/>
    </row>
    <row r="17" spans="1:24" s="791" customFormat="1" ht="44.25" customHeight="1">
      <c r="A17" s="2568" t="s">
        <v>453</v>
      </c>
      <c r="B17" s="2569"/>
      <c r="C17" s="1869"/>
      <c r="D17" s="1594">
        <f>E17+F17</f>
        <v>3250624.8</v>
      </c>
      <c r="E17" s="1594">
        <f>E18+E54</f>
        <v>2860487.4</v>
      </c>
      <c r="F17" s="1594">
        <f>F18+F54</f>
        <v>390137.4</v>
      </c>
      <c r="G17" s="1594">
        <f>H17+I17</f>
        <v>3250624.8</v>
      </c>
      <c r="H17" s="1594">
        <f>H18+H54</f>
        <v>2860487.4</v>
      </c>
      <c r="I17" s="1594">
        <f>I18+I54</f>
        <v>390137.4</v>
      </c>
      <c r="J17" s="1594">
        <f>K17+L17</f>
        <v>596373.6</v>
      </c>
      <c r="K17" s="1594">
        <f>K18+K54</f>
        <v>556246.5</v>
      </c>
      <c r="L17" s="1594">
        <f>L18+L54</f>
        <v>40127.1</v>
      </c>
      <c r="M17" s="1870">
        <f t="shared" ref="M17:O23" si="5">IF(J17=0,0,J17/G17*100)</f>
        <v>18.3</v>
      </c>
      <c r="N17" s="1871">
        <f t="shared" si="5"/>
        <v>19.399999999999999</v>
      </c>
      <c r="O17" s="1871">
        <f t="shared" si="5"/>
        <v>10.3</v>
      </c>
      <c r="P17" s="643" t="s">
        <v>353</v>
      </c>
      <c r="Q17" s="643" t="s">
        <v>353</v>
      </c>
      <c r="R17" s="1594" t="e">
        <f>SUM(S17:T17)</f>
        <v>#REF!</v>
      </c>
      <c r="S17" s="1594" t="e">
        <f>SUM(S18,S54)</f>
        <v>#REF!</v>
      </c>
      <c r="T17" s="1594" t="e">
        <f>SUM(T18,T54)</f>
        <v>#REF!</v>
      </c>
      <c r="U17" s="1594" t="e">
        <f>SUM(V17:W17)</f>
        <v>#REF!</v>
      </c>
      <c r="V17" s="1594" t="e">
        <f>SUM(V18,V54)</f>
        <v>#REF!</v>
      </c>
      <c r="W17" s="1594" t="e">
        <f>SUM(W18,W54)</f>
        <v>#REF!</v>
      </c>
      <c r="X17" s="1423">
        <f>D17-G17</f>
        <v>0</v>
      </c>
    </row>
    <row r="18" spans="1:24" ht="87.75" customHeight="1">
      <c r="A18" s="2032" t="s">
        <v>1681</v>
      </c>
      <c r="B18" s="2007" t="s">
        <v>439</v>
      </c>
      <c r="C18" s="1873"/>
      <c r="D18" s="1596">
        <f t="shared" ref="D18:K18" si="6">D20+D30</f>
        <v>207828</v>
      </c>
      <c r="E18" s="1596">
        <f t="shared" si="6"/>
        <v>140636.6</v>
      </c>
      <c r="F18" s="1596">
        <f>F20+F30</f>
        <v>67191.399999999994</v>
      </c>
      <c r="G18" s="1596">
        <f t="shared" si="6"/>
        <v>207828</v>
      </c>
      <c r="H18" s="1596">
        <f t="shared" si="6"/>
        <v>140636.6</v>
      </c>
      <c r="I18" s="1596">
        <f>I20+I30</f>
        <v>67191.399999999994</v>
      </c>
      <c r="J18" s="1596">
        <f t="shared" si="6"/>
        <v>2228</v>
      </c>
      <c r="K18" s="1596">
        <f t="shared" si="6"/>
        <v>0</v>
      </c>
      <c r="L18" s="1596">
        <f>L20+L30</f>
        <v>2228</v>
      </c>
      <c r="M18" s="2008">
        <f t="shared" si="5"/>
        <v>1.1000000000000001</v>
      </c>
      <c r="N18" s="2009">
        <f t="shared" si="5"/>
        <v>0</v>
      </c>
      <c r="O18" s="2009">
        <f t="shared" si="5"/>
        <v>3.3</v>
      </c>
      <c r="P18" s="1597" t="s">
        <v>353</v>
      </c>
      <c r="Q18" s="1597" t="s">
        <v>353</v>
      </c>
      <c r="R18" s="1861" t="e">
        <f>SUM(S18:T18)</f>
        <v>#REF!</v>
      </c>
      <c r="S18" s="1861" t="e">
        <f>SUM(#REF!,#REF!)</f>
        <v>#REF!</v>
      </c>
      <c r="T18" s="1861" t="e">
        <f>SUM(#REF!,#REF!)</f>
        <v>#REF!</v>
      </c>
      <c r="U18" s="1861" t="e">
        <f>SUM(V18:W18)</f>
        <v>#REF!</v>
      </c>
      <c r="V18" s="1861" t="e">
        <f>SUM(#REF!,#REF!)</f>
        <v>#REF!</v>
      </c>
      <c r="W18" s="1861" t="e">
        <f>SUM(#REF!,#REF!)</f>
        <v>#REF!</v>
      </c>
      <c r="X18" s="1423">
        <f>D18-G18</f>
        <v>0</v>
      </c>
    </row>
    <row r="19" spans="1:24" ht="54.75" hidden="1" customHeight="1">
      <c r="A19" s="2024"/>
      <c r="B19" s="1892"/>
      <c r="C19" s="1880"/>
      <c r="D19" s="1602"/>
      <c r="E19" s="1615"/>
      <c r="F19" s="1615"/>
      <c r="G19" s="1602"/>
      <c r="H19" s="1615"/>
      <c r="I19" s="1615"/>
      <c r="J19" s="1602"/>
      <c r="K19" s="1615"/>
      <c r="L19" s="1615"/>
      <c r="M19" s="1604">
        <f t="shared" si="5"/>
        <v>0</v>
      </c>
      <c r="N19" s="1881">
        <f t="shared" si="5"/>
        <v>0</v>
      </c>
      <c r="O19" s="1881">
        <f t="shared" si="5"/>
        <v>0</v>
      </c>
      <c r="P19" s="1593"/>
      <c r="Q19" s="1593"/>
      <c r="R19" s="1602"/>
      <c r="S19" s="1614"/>
      <c r="T19" s="1614"/>
      <c r="U19" s="1602"/>
      <c r="V19" s="1614"/>
      <c r="W19" s="1614"/>
    </row>
    <row r="20" spans="1:24" s="484" customFormat="1" ht="23.25">
      <c r="A20" s="1898" t="s">
        <v>50</v>
      </c>
      <c r="B20" s="1897" t="s">
        <v>1733</v>
      </c>
      <c r="C20" s="1898"/>
      <c r="D20" s="1899">
        <f t="shared" ref="D20:D29" si="7">SUM(E20:F20)</f>
        <v>2900</v>
      </c>
      <c r="E20" s="1899">
        <f>SUM(E21,E23)</f>
        <v>0</v>
      </c>
      <c r="F20" s="1899">
        <f>SUM(F21,F23)</f>
        <v>2900</v>
      </c>
      <c r="G20" s="1899">
        <f t="shared" ref="G20:G46" si="8">SUM(H20:I20)</f>
        <v>2900</v>
      </c>
      <c r="H20" s="1899">
        <f>SUM(H21,H23)</f>
        <v>0</v>
      </c>
      <c r="I20" s="1899">
        <f>SUM(I21,I23)</f>
        <v>2900</v>
      </c>
      <c r="J20" s="1899">
        <f t="shared" ref="J20:J45" si="9">SUM(K20:L20)</f>
        <v>2024</v>
      </c>
      <c r="K20" s="1899">
        <f>SUM(K21,K23)</f>
        <v>0</v>
      </c>
      <c r="L20" s="1899">
        <f>SUM(L21,L23)</f>
        <v>2024</v>
      </c>
      <c r="M20" s="1900">
        <f t="shared" si="5"/>
        <v>69.8</v>
      </c>
      <c r="N20" s="1901">
        <f t="shared" si="5"/>
        <v>0</v>
      </c>
      <c r="O20" s="1901">
        <f t="shared" si="5"/>
        <v>69.8</v>
      </c>
      <c r="P20" s="2026" t="e">
        <f>SUM(P30+#REF!+P34)</f>
        <v>#REF!</v>
      </c>
      <c r="Q20" s="2026" t="e">
        <f>SUM(Q30+#REF!+Q34)</f>
        <v>#REF!</v>
      </c>
      <c r="R20" s="1899">
        <f>SUM(S20:T20)</f>
        <v>0</v>
      </c>
      <c r="S20" s="1899">
        <f>SUM(S21,S23)</f>
        <v>0</v>
      </c>
      <c r="T20" s="1899">
        <f>SUM(T21,T23)</f>
        <v>0</v>
      </c>
      <c r="U20" s="1899">
        <f>SUM(V20:W20)</f>
        <v>0</v>
      </c>
      <c r="V20" s="1899">
        <f>SUM(V21,V23)</f>
        <v>0</v>
      </c>
      <c r="W20" s="1899">
        <f>SUM(W21,W23)</f>
        <v>0</v>
      </c>
      <c r="X20" s="1423">
        <f>D20-G20</f>
        <v>0</v>
      </c>
    </row>
    <row r="21" spans="1:24" s="484" customFormat="1" ht="27" customHeight="1">
      <c r="A21" s="2025"/>
      <c r="B21" s="2023" t="s">
        <v>1401</v>
      </c>
      <c r="C21" s="1882"/>
      <c r="D21" s="1602">
        <f t="shared" si="7"/>
        <v>1400</v>
      </c>
      <c r="E21" s="1603">
        <f>E22</f>
        <v>0</v>
      </c>
      <c r="F21" s="1603">
        <f>F22</f>
        <v>1400</v>
      </c>
      <c r="G21" s="1602">
        <f t="shared" si="8"/>
        <v>1400</v>
      </c>
      <c r="H21" s="1603">
        <f>H22</f>
        <v>0</v>
      </c>
      <c r="I21" s="1603">
        <f>I22</f>
        <v>1400</v>
      </c>
      <c r="J21" s="1602">
        <f t="shared" si="9"/>
        <v>1400</v>
      </c>
      <c r="K21" s="1603">
        <f>K22</f>
        <v>0</v>
      </c>
      <c r="L21" s="1603">
        <f>L22</f>
        <v>1400</v>
      </c>
      <c r="M21" s="1604">
        <f t="shared" si="5"/>
        <v>100</v>
      </c>
      <c r="N21" s="1881">
        <f t="shared" si="5"/>
        <v>0</v>
      </c>
      <c r="O21" s="1881">
        <f t="shared" si="5"/>
        <v>100</v>
      </c>
      <c r="P21" s="1601">
        <f t="shared" ref="P21:W21" si="10">P22</f>
        <v>0</v>
      </c>
      <c r="Q21" s="1601">
        <f t="shared" si="10"/>
        <v>0</v>
      </c>
      <c r="R21" s="1601">
        <f t="shared" si="10"/>
        <v>0</v>
      </c>
      <c r="S21" s="1601">
        <f t="shared" si="10"/>
        <v>0</v>
      </c>
      <c r="T21" s="1601">
        <f t="shared" si="10"/>
        <v>0</v>
      </c>
      <c r="U21" s="1601">
        <f t="shared" si="10"/>
        <v>0</v>
      </c>
      <c r="V21" s="1601">
        <f t="shared" si="10"/>
        <v>0</v>
      </c>
      <c r="W21" s="1601">
        <f t="shared" si="10"/>
        <v>0</v>
      </c>
      <c r="X21" s="1423">
        <f>D21-G21</f>
        <v>0</v>
      </c>
    </row>
    <row r="22" spans="1:24" s="484" customFormat="1" ht="39.75" customHeight="1">
      <c r="A22" s="2025" t="s">
        <v>1338</v>
      </c>
      <c r="B22" s="1889" t="s">
        <v>681</v>
      </c>
      <c r="C22" s="1882">
        <v>90420</v>
      </c>
      <c r="D22" s="1602">
        <f t="shared" si="7"/>
        <v>1400</v>
      </c>
      <c r="E22" s="1616"/>
      <c r="F22" s="1616">
        <v>1400</v>
      </c>
      <c r="G22" s="1602">
        <f t="shared" si="8"/>
        <v>1400</v>
      </c>
      <c r="H22" s="1616">
        <f>E22</f>
        <v>0</v>
      </c>
      <c r="I22" s="1616">
        <f>F22</f>
        <v>1400</v>
      </c>
      <c r="J22" s="1602">
        <f t="shared" si="9"/>
        <v>1400</v>
      </c>
      <c r="K22" s="1616"/>
      <c r="L22" s="1616">
        <v>1400</v>
      </c>
      <c r="M22" s="1604">
        <f t="shared" si="5"/>
        <v>100</v>
      </c>
      <c r="N22" s="1881">
        <f t="shared" si="5"/>
        <v>0</v>
      </c>
      <c r="O22" s="1881">
        <f t="shared" si="5"/>
        <v>100</v>
      </c>
      <c r="P22" s="1593"/>
      <c r="Q22" s="1593"/>
      <c r="R22" s="1600">
        <f>S22+T22</f>
        <v>0</v>
      </c>
      <c r="S22" s="1614"/>
      <c r="T22" s="1614"/>
      <c r="U22" s="1600">
        <f>V22+W22</f>
        <v>0</v>
      </c>
      <c r="V22" s="1614"/>
      <c r="W22" s="1614"/>
      <c r="X22" s="1423">
        <f>D22-G22</f>
        <v>0</v>
      </c>
    </row>
    <row r="23" spans="1:24" s="484" customFormat="1" ht="23.25" customHeight="1">
      <c r="A23" s="2025"/>
      <c r="B23" s="2023" t="s">
        <v>1554</v>
      </c>
      <c r="C23" s="1882"/>
      <c r="D23" s="1602">
        <f t="shared" si="7"/>
        <v>1500</v>
      </c>
      <c r="E23" s="1603">
        <f>E24</f>
        <v>0</v>
      </c>
      <c r="F23" s="1603">
        <f>F24</f>
        <v>1500</v>
      </c>
      <c r="G23" s="1602">
        <f t="shared" si="8"/>
        <v>1500</v>
      </c>
      <c r="H23" s="1603">
        <f>H24</f>
        <v>0</v>
      </c>
      <c r="I23" s="1603">
        <f>I24</f>
        <v>1500</v>
      </c>
      <c r="J23" s="1602">
        <f t="shared" si="9"/>
        <v>624</v>
      </c>
      <c r="K23" s="1603">
        <f>K24</f>
        <v>0</v>
      </c>
      <c r="L23" s="1603">
        <f>L24</f>
        <v>624</v>
      </c>
      <c r="M23" s="1604">
        <f t="shared" si="5"/>
        <v>41.6</v>
      </c>
      <c r="N23" s="1881">
        <f t="shared" si="5"/>
        <v>0</v>
      </c>
      <c r="O23" s="1881">
        <f t="shared" si="5"/>
        <v>41.6</v>
      </c>
      <c r="P23" s="1593"/>
      <c r="Q23" s="1593"/>
      <c r="R23" s="1602">
        <f>SUM(S23:T23)</f>
        <v>0</v>
      </c>
      <c r="S23" s="1603">
        <f>S24</f>
        <v>0</v>
      </c>
      <c r="T23" s="1603">
        <f>T24</f>
        <v>0</v>
      </c>
      <c r="U23" s="1602">
        <f>SUM(V23:W23)</f>
        <v>0</v>
      </c>
      <c r="V23" s="1603">
        <f>V24</f>
        <v>0</v>
      </c>
      <c r="W23" s="1603">
        <f>W24</f>
        <v>0</v>
      </c>
      <c r="X23" s="1423">
        <f>D23-G23</f>
        <v>0</v>
      </c>
    </row>
    <row r="24" spans="1:24" s="484" customFormat="1" ht="39.75" customHeight="1">
      <c r="A24" s="2025" t="s">
        <v>1339</v>
      </c>
      <c r="B24" s="1889" t="s">
        <v>1623</v>
      </c>
      <c r="C24" s="1882">
        <v>90420</v>
      </c>
      <c r="D24" s="1602">
        <f t="shared" si="7"/>
        <v>1500</v>
      </c>
      <c r="E24" s="1616"/>
      <c r="F24" s="1616">
        <v>1500</v>
      </c>
      <c r="G24" s="1602">
        <f t="shared" si="8"/>
        <v>1500</v>
      </c>
      <c r="H24" s="1616">
        <f>E24</f>
        <v>0</v>
      </c>
      <c r="I24" s="1616">
        <f>F24</f>
        <v>1500</v>
      </c>
      <c r="J24" s="1602">
        <f t="shared" si="9"/>
        <v>624</v>
      </c>
      <c r="K24" s="1616"/>
      <c r="L24" s="1616">
        <v>624</v>
      </c>
      <c r="M24" s="1604">
        <f t="shared" ref="M24:O61" si="11">IF(J24=0,0,J24/G24*100)</f>
        <v>41.6</v>
      </c>
      <c r="N24" s="1881">
        <f t="shared" si="11"/>
        <v>0</v>
      </c>
      <c r="O24" s="1881">
        <f t="shared" si="11"/>
        <v>41.6</v>
      </c>
      <c r="P24" s="1593"/>
      <c r="Q24" s="1593"/>
      <c r="R24" s="1600">
        <f>S24+T24</f>
        <v>0</v>
      </c>
      <c r="S24" s="1614"/>
      <c r="T24" s="1614"/>
      <c r="U24" s="1600">
        <f>V24+W24</f>
        <v>0</v>
      </c>
      <c r="V24" s="1614"/>
      <c r="W24" s="1614"/>
      <c r="X24" s="1423">
        <f>D24-G24</f>
        <v>0</v>
      </c>
    </row>
    <row r="25" spans="1:24" hidden="1">
      <c r="A25" s="2024"/>
      <c r="B25" s="2023" t="s">
        <v>1667</v>
      </c>
      <c r="C25" s="2025"/>
      <c r="D25" s="1602">
        <f t="shared" si="7"/>
        <v>0</v>
      </c>
      <c r="E25" s="1603">
        <f>SUM(E26)</f>
        <v>0</v>
      </c>
      <c r="F25" s="1603">
        <f>SUM(F26)</f>
        <v>0</v>
      </c>
      <c r="G25" s="1602">
        <f t="shared" si="8"/>
        <v>0</v>
      </c>
      <c r="H25" s="1603">
        <f>SUM(H26)</f>
        <v>0</v>
      </c>
      <c r="I25" s="1603">
        <f>SUM(I26)</f>
        <v>0</v>
      </c>
      <c r="J25" s="1602">
        <f t="shared" si="9"/>
        <v>0</v>
      </c>
      <c r="K25" s="1603">
        <f>SUM(K26)</f>
        <v>0</v>
      </c>
      <c r="L25" s="1603">
        <f>SUM(L26)</f>
        <v>0</v>
      </c>
      <c r="M25" s="1604">
        <f t="shared" si="11"/>
        <v>0</v>
      </c>
      <c r="N25" s="1881">
        <f t="shared" si="11"/>
        <v>0</v>
      </c>
      <c r="O25" s="1881">
        <f t="shared" si="11"/>
        <v>0</v>
      </c>
      <c r="P25" s="1593" t="s">
        <v>353</v>
      </c>
      <c r="Q25" s="1593" t="s">
        <v>353</v>
      </c>
      <c r="R25" s="1602">
        <f>SUM(S25:T25)</f>
        <v>216010.9</v>
      </c>
      <c r="S25" s="1603">
        <f>SUM(S26)</f>
        <v>213850.8</v>
      </c>
      <c r="T25" s="1603">
        <f>SUM(T26)</f>
        <v>2160.1</v>
      </c>
      <c r="U25" s="1602">
        <f>SUM(V25:W25)</f>
        <v>327265.90000000002</v>
      </c>
      <c r="V25" s="1603">
        <f>SUM(V26)</f>
        <v>323993.2</v>
      </c>
      <c r="W25" s="1603">
        <f>SUM(W26)</f>
        <v>3272.7</v>
      </c>
    </row>
    <row r="26" spans="1:24" ht="59.25" hidden="1" customHeight="1">
      <c r="A26" s="2024" t="e">
        <f>#REF!+1</f>
        <v>#REF!</v>
      </c>
      <c r="B26" s="1885" t="s">
        <v>672</v>
      </c>
      <c r="C26" s="1904" t="s">
        <v>1539</v>
      </c>
      <c r="D26" s="1602">
        <f t="shared" si="7"/>
        <v>0</v>
      </c>
      <c r="E26" s="1615">
        <v>0</v>
      </c>
      <c r="F26" s="1615">
        <v>0</v>
      </c>
      <c r="G26" s="1602">
        <f t="shared" si="8"/>
        <v>0</v>
      </c>
      <c r="H26" s="1615">
        <v>0</v>
      </c>
      <c r="I26" s="1615">
        <v>0</v>
      </c>
      <c r="J26" s="1602">
        <f t="shared" si="9"/>
        <v>0</v>
      </c>
      <c r="K26" s="1615">
        <v>0</v>
      </c>
      <c r="L26" s="1615">
        <v>0</v>
      </c>
      <c r="M26" s="1893">
        <f t="shared" si="11"/>
        <v>0</v>
      </c>
      <c r="N26" s="1894">
        <f t="shared" si="11"/>
        <v>0</v>
      </c>
      <c r="O26" s="1894">
        <f t="shared" si="11"/>
        <v>0</v>
      </c>
      <c r="P26" s="1593" t="s">
        <v>1171</v>
      </c>
      <c r="Q26" s="1593" t="s">
        <v>1659</v>
      </c>
      <c r="R26" s="1600">
        <f>SUM(S26:T26)</f>
        <v>216010.9</v>
      </c>
      <c r="S26" s="1614">
        <v>213850.8</v>
      </c>
      <c r="T26" s="1614">
        <v>2160.1</v>
      </c>
      <c r="U26" s="1600">
        <f>SUM(V26:W26)</f>
        <v>327265.90000000002</v>
      </c>
      <c r="V26" s="1614">
        <v>323993.2</v>
      </c>
      <c r="W26" s="1614">
        <v>3272.7</v>
      </c>
    </row>
    <row r="27" spans="1:24" s="484" customFormat="1" ht="25.5" hidden="1" customHeight="1">
      <c r="A27" s="2024"/>
      <c r="B27" s="1897" t="s">
        <v>1650</v>
      </c>
      <c r="C27" s="1898"/>
      <c r="D27" s="1899">
        <f t="shared" si="7"/>
        <v>0</v>
      </c>
      <c r="E27" s="2026">
        <f t="shared" ref="E27:W27" si="12">SUM(E28)</f>
        <v>0</v>
      </c>
      <c r="F27" s="2026">
        <f t="shared" si="12"/>
        <v>0</v>
      </c>
      <c r="G27" s="1899">
        <f t="shared" si="8"/>
        <v>0</v>
      </c>
      <c r="H27" s="2026">
        <f t="shared" si="12"/>
        <v>0</v>
      </c>
      <c r="I27" s="2026">
        <f t="shared" si="12"/>
        <v>0</v>
      </c>
      <c r="J27" s="1899">
        <f t="shared" si="9"/>
        <v>0</v>
      </c>
      <c r="K27" s="2026">
        <f t="shared" si="12"/>
        <v>0</v>
      </c>
      <c r="L27" s="2026">
        <f t="shared" si="12"/>
        <v>0</v>
      </c>
      <c r="M27" s="2026">
        <f t="shared" si="11"/>
        <v>0</v>
      </c>
      <c r="N27" s="2026">
        <f t="shared" si="11"/>
        <v>0</v>
      </c>
      <c r="O27" s="2026">
        <f t="shared" si="11"/>
        <v>0</v>
      </c>
      <c r="P27" s="2026">
        <f t="shared" si="12"/>
        <v>0</v>
      </c>
      <c r="Q27" s="2026">
        <f t="shared" si="12"/>
        <v>0</v>
      </c>
      <c r="R27" s="2026">
        <f t="shared" si="12"/>
        <v>0</v>
      </c>
      <c r="S27" s="2026">
        <f t="shared" si="12"/>
        <v>0</v>
      </c>
      <c r="T27" s="2026">
        <f t="shared" si="12"/>
        <v>0</v>
      </c>
      <c r="U27" s="2026">
        <f t="shared" si="12"/>
        <v>0</v>
      </c>
      <c r="V27" s="2026">
        <f t="shared" si="12"/>
        <v>0</v>
      </c>
      <c r="W27" s="2026">
        <f t="shared" si="12"/>
        <v>0</v>
      </c>
    </row>
    <row r="28" spans="1:24" s="484" customFormat="1" ht="88.5" hidden="1" customHeight="1">
      <c r="A28" s="2024"/>
      <c r="B28" s="1885" t="s">
        <v>455</v>
      </c>
      <c r="C28" s="1904"/>
      <c r="D28" s="1602">
        <f t="shared" si="7"/>
        <v>0</v>
      </c>
      <c r="E28" s="1615">
        <v>0</v>
      </c>
      <c r="F28" s="1615">
        <v>0</v>
      </c>
      <c r="G28" s="1602">
        <f t="shared" si="8"/>
        <v>0</v>
      </c>
      <c r="H28" s="1615">
        <v>0</v>
      </c>
      <c r="I28" s="1615">
        <v>0</v>
      </c>
      <c r="J28" s="1602">
        <f t="shared" si="9"/>
        <v>0</v>
      </c>
      <c r="K28" s="1615">
        <v>0</v>
      </c>
      <c r="L28" s="1615">
        <v>0</v>
      </c>
      <c r="M28" s="1893">
        <f t="shared" si="11"/>
        <v>0</v>
      </c>
      <c r="N28" s="1894">
        <f t="shared" si="11"/>
        <v>0</v>
      </c>
      <c r="O28" s="1894">
        <f t="shared" si="11"/>
        <v>0</v>
      </c>
      <c r="P28" s="1593" t="s">
        <v>1171</v>
      </c>
      <c r="Q28" s="1593" t="s">
        <v>1659</v>
      </c>
      <c r="R28" s="1602">
        <f>SUM(S28:T28)</f>
        <v>0</v>
      </c>
      <c r="S28" s="1615">
        <v>0</v>
      </c>
      <c r="T28" s="1615">
        <v>0</v>
      </c>
      <c r="U28" s="1602">
        <f>SUM(V28:W28)</f>
        <v>0</v>
      </c>
      <c r="V28" s="1615">
        <v>0</v>
      </c>
      <c r="W28" s="1615">
        <v>0</v>
      </c>
    </row>
    <row r="29" spans="1:24" ht="75.75" hidden="1" customHeight="1">
      <c r="A29" s="2024" t="e">
        <f>#REF!+1</f>
        <v>#REF!</v>
      </c>
      <c r="B29" s="1879" t="s">
        <v>1668</v>
      </c>
      <c r="C29" s="1880"/>
      <c r="D29" s="1602">
        <f t="shared" si="7"/>
        <v>0</v>
      </c>
      <c r="E29" s="1616">
        <v>0</v>
      </c>
      <c r="F29" s="1616">
        <v>0</v>
      </c>
      <c r="G29" s="1602">
        <f t="shared" si="8"/>
        <v>0</v>
      </c>
      <c r="H29" s="1616">
        <v>0</v>
      </c>
      <c r="I29" s="1616">
        <v>0</v>
      </c>
      <c r="J29" s="1602">
        <f>SUM(K29:L29)</f>
        <v>0</v>
      </c>
      <c r="K29" s="1616">
        <v>0</v>
      </c>
      <c r="L29" s="1616">
        <v>0</v>
      </c>
      <c r="M29" s="1604">
        <f t="shared" si="11"/>
        <v>0</v>
      </c>
      <c r="N29" s="1881">
        <f t="shared" si="11"/>
        <v>0</v>
      </c>
      <c r="O29" s="1881">
        <f t="shared" si="11"/>
        <v>0</v>
      </c>
      <c r="P29" s="1599"/>
      <c r="Q29" s="1599"/>
      <c r="R29" s="1602">
        <f>SUM(S29:T29)</f>
        <v>0</v>
      </c>
      <c r="S29" s="1619">
        <v>0</v>
      </c>
      <c r="T29" s="1619">
        <v>0</v>
      </c>
      <c r="U29" s="1602">
        <f>SUM(V29:W29)</f>
        <v>30453.8</v>
      </c>
      <c r="V29" s="1619">
        <v>30149.3</v>
      </c>
      <c r="W29" s="1619">
        <v>304.5</v>
      </c>
    </row>
    <row r="30" spans="1:24" s="484" customFormat="1" ht="23.25">
      <c r="A30" s="1898">
        <v>2</v>
      </c>
      <c r="B30" s="1897" t="s">
        <v>1394</v>
      </c>
      <c r="C30" s="1877"/>
      <c r="D30" s="1899">
        <f t="shared" ref="D30:D73" si="13">SUM(E30:F30)</f>
        <v>204928</v>
      </c>
      <c r="E30" s="2026">
        <f>SUM(E33,E37,E41,E45,E47,E51)</f>
        <v>140636.6</v>
      </c>
      <c r="F30" s="2026">
        <f>SUM(F33,F37,F41,F45,F47,F51)</f>
        <v>64291.4</v>
      </c>
      <c r="G30" s="1899">
        <f t="shared" si="8"/>
        <v>204928</v>
      </c>
      <c r="H30" s="2026">
        <f>SUM(H33,H37,H41,H45,H47,H51)</f>
        <v>140636.6</v>
      </c>
      <c r="I30" s="2026">
        <f>SUM(I33,I37,I41,I45,I47,I51)</f>
        <v>64291.4</v>
      </c>
      <c r="J30" s="1899">
        <f t="shared" si="9"/>
        <v>204</v>
      </c>
      <c r="K30" s="2026">
        <f>SUM(K33,K37,K41,K45,K47,K51)</f>
        <v>0</v>
      </c>
      <c r="L30" s="2026">
        <f>SUM(L33,L37,L41,L45,L47,L51)</f>
        <v>204</v>
      </c>
      <c r="M30" s="2026">
        <f t="shared" si="11"/>
        <v>0.1</v>
      </c>
      <c r="N30" s="2026">
        <f t="shared" si="11"/>
        <v>0</v>
      </c>
      <c r="O30" s="2026">
        <f t="shared" si="11"/>
        <v>0.3</v>
      </c>
      <c r="P30" s="2026">
        <f>SUM(P45+P33+P47)</f>
        <v>0</v>
      </c>
      <c r="Q30" s="2026">
        <f>SUM(Q45+Q33+Q47)</f>
        <v>0</v>
      </c>
      <c r="R30" s="1598">
        <f t="shared" ref="R30:R36" si="14">SUM(S30:T30)</f>
        <v>0</v>
      </c>
      <c r="S30" s="1903">
        <f>SUM(S33,S37,S41,S45,S47,S51)</f>
        <v>0</v>
      </c>
      <c r="T30" s="1903">
        <f>SUM(T33,T37,T41,T45,T47,T51)</f>
        <v>0</v>
      </c>
      <c r="U30" s="1598">
        <f t="shared" ref="U30:U36" si="15">SUM(V30:W30)</f>
        <v>0</v>
      </c>
      <c r="V30" s="1903">
        <f>SUM(V33,V37,V41,V45,V47,V51)</f>
        <v>0</v>
      </c>
      <c r="W30" s="1903">
        <f>SUM(W33,W37,W41,W45,W47,W51)</f>
        <v>0</v>
      </c>
      <c r="X30" s="1423">
        <f t="shared" ref="X30:X54" si="16">D30-G30</f>
        <v>0</v>
      </c>
    </row>
    <row r="31" spans="1:24" s="484" customFormat="1" ht="23.25">
      <c r="A31" s="1898"/>
      <c r="B31" s="2033" t="s">
        <v>1699</v>
      </c>
      <c r="C31" s="1877"/>
      <c r="D31" s="1899">
        <f>SUM(E31:F31)</f>
        <v>149614.70000000001</v>
      </c>
      <c r="E31" s="2026">
        <f>E35+E46+E48+E43+E39</f>
        <v>140636.6</v>
      </c>
      <c r="F31" s="2026">
        <f>F35+F46+F48+F43+F39</f>
        <v>8978.1</v>
      </c>
      <c r="G31" s="1899">
        <f>SUM(H31:I31)</f>
        <v>149614.70000000001</v>
      </c>
      <c r="H31" s="2026">
        <f>H35+H46+H48+H43+H39</f>
        <v>140636.6</v>
      </c>
      <c r="I31" s="2026">
        <f>I35+I46+I48+I43+I39</f>
        <v>8978.1</v>
      </c>
      <c r="J31" s="1899">
        <f>SUM(K31:L31)</f>
        <v>0</v>
      </c>
      <c r="K31" s="2026">
        <f>K35+K46+K48</f>
        <v>0</v>
      </c>
      <c r="L31" s="2026">
        <f>L35+L46+L48</f>
        <v>0</v>
      </c>
      <c r="M31" s="2026">
        <f t="shared" si="11"/>
        <v>0</v>
      </c>
      <c r="N31" s="2026">
        <f t="shared" si="11"/>
        <v>0</v>
      </c>
      <c r="O31" s="2026">
        <f t="shared" si="11"/>
        <v>0</v>
      </c>
      <c r="P31" s="2026"/>
      <c r="Q31" s="2026"/>
      <c r="R31" s="1598"/>
      <c r="S31" s="1903"/>
      <c r="T31" s="1903"/>
      <c r="U31" s="1598"/>
      <c r="V31" s="1903"/>
      <c r="W31" s="1903"/>
      <c r="X31" s="1423">
        <f t="shared" si="16"/>
        <v>0</v>
      </c>
    </row>
    <row r="32" spans="1:24" s="484" customFormat="1" ht="23.25">
      <c r="A32" s="1898"/>
      <c r="B32" s="2033" t="s">
        <v>1700</v>
      </c>
      <c r="C32" s="1877"/>
      <c r="D32" s="1899">
        <f t="shared" si="13"/>
        <v>55313.3</v>
      </c>
      <c r="E32" s="2026">
        <f>E36+E40+E44+E50+E53</f>
        <v>0</v>
      </c>
      <c r="F32" s="2026">
        <f>F36+F40+F44+F50+F53</f>
        <v>55313.3</v>
      </c>
      <c r="G32" s="1899">
        <f>SUM(H32:I32)</f>
        <v>55313.3</v>
      </c>
      <c r="H32" s="2026">
        <f>H36+H40+H44+H50+H53</f>
        <v>0</v>
      </c>
      <c r="I32" s="2026">
        <f>I36+I40+I44+I50+I53</f>
        <v>55313.3</v>
      </c>
      <c r="J32" s="1899">
        <f>SUM(K32:L32)</f>
        <v>204</v>
      </c>
      <c r="K32" s="2026">
        <f>K36+K40+K44+K50+K53</f>
        <v>0</v>
      </c>
      <c r="L32" s="2026">
        <f>L36+L40+L44+L50+L53</f>
        <v>204</v>
      </c>
      <c r="M32" s="2026">
        <f t="shared" si="11"/>
        <v>0.4</v>
      </c>
      <c r="N32" s="2026">
        <f t="shared" si="11"/>
        <v>0</v>
      </c>
      <c r="O32" s="2026">
        <f t="shared" si="11"/>
        <v>0.4</v>
      </c>
      <c r="P32" s="2026"/>
      <c r="Q32" s="2570"/>
      <c r="R32" s="1598"/>
      <c r="S32" s="1903"/>
      <c r="T32" s="1903"/>
      <c r="U32" s="1598"/>
      <c r="V32" s="1903"/>
      <c r="W32" s="1903"/>
      <c r="X32" s="1423">
        <f t="shared" si="16"/>
        <v>0</v>
      </c>
    </row>
    <row r="33" spans="1:24" s="484" customFormat="1" ht="23.25">
      <c r="A33" s="2025"/>
      <c r="B33" s="2023" t="s">
        <v>433</v>
      </c>
      <c r="C33" s="1882"/>
      <c r="D33" s="1602">
        <f t="shared" si="13"/>
        <v>15739.7</v>
      </c>
      <c r="E33" s="1603">
        <f>E34</f>
        <v>9575.2000000000007</v>
      </c>
      <c r="F33" s="1603">
        <f>F34</f>
        <v>6164.5</v>
      </c>
      <c r="G33" s="1602">
        <f t="shared" si="8"/>
        <v>15739.7</v>
      </c>
      <c r="H33" s="1603">
        <f>H34</f>
        <v>9575.2000000000007</v>
      </c>
      <c r="I33" s="1603">
        <f>I34</f>
        <v>6164.5</v>
      </c>
      <c r="J33" s="1602">
        <f t="shared" si="9"/>
        <v>0</v>
      </c>
      <c r="K33" s="1603">
        <f>K34</f>
        <v>0</v>
      </c>
      <c r="L33" s="1603">
        <f>L34</f>
        <v>0</v>
      </c>
      <c r="M33" s="1601">
        <f t="shared" si="11"/>
        <v>0</v>
      </c>
      <c r="N33" s="1601">
        <f t="shared" si="11"/>
        <v>0</v>
      </c>
      <c r="O33" s="1601">
        <f t="shared" si="11"/>
        <v>0</v>
      </c>
      <c r="P33" s="1601">
        <f>SUM(P34)</f>
        <v>0</v>
      </c>
      <c r="Q33" s="2571">
        <f>SUM(Q34)</f>
        <v>0</v>
      </c>
      <c r="R33" s="1602">
        <f t="shared" si="14"/>
        <v>0</v>
      </c>
      <c r="S33" s="1603">
        <f>S34</f>
        <v>0</v>
      </c>
      <c r="T33" s="1603">
        <f>T34</f>
        <v>0</v>
      </c>
      <c r="U33" s="1602">
        <f t="shared" si="15"/>
        <v>0</v>
      </c>
      <c r="V33" s="1603">
        <f>V34</f>
        <v>0</v>
      </c>
      <c r="W33" s="1603">
        <f>W34</f>
        <v>0</v>
      </c>
      <c r="X33" s="1423">
        <f t="shared" si="16"/>
        <v>0</v>
      </c>
    </row>
    <row r="34" spans="1:24" s="484" customFormat="1" ht="40.5" customHeight="1">
      <c r="A34" s="2025" t="s">
        <v>1734</v>
      </c>
      <c r="B34" s="1905" t="s">
        <v>1563</v>
      </c>
      <c r="C34" s="1906"/>
      <c r="D34" s="1602">
        <f t="shared" si="13"/>
        <v>15739.7</v>
      </c>
      <c r="E34" s="1864">
        <f>E35+E36</f>
        <v>9575.2000000000007</v>
      </c>
      <c r="F34" s="1864">
        <f>F35+F36</f>
        <v>6164.5</v>
      </c>
      <c r="G34" s="1602">
        <f t="shared" si="8"/>
        <v>15739.7</v>
      </c>
      <c r="H34" s="1616">
        <f t="shared" ref="H34:I36" si="17">E34</f>
        <v>9575.2000000000007</v>
      </c>
      <c r="I34" s="1616">
        <f t="shared" si="17"/>
        <v>6164.5</v>
      </c>
      <c r="J34" s="1602">
        <f t="shared" si="9"/>
        <v>0</v>
      </c>
      <c r="K34" s="1864">
        <f>K35+K36</f>
        <v>0</v>
      </c>
      <c r="L34" s="1864">
        <f>L35+L36</f>
        <v>0</v>
      </c>
      <c r="M34" s="1600">
        <f t="shared" si="11"/>
        <v>0</v>
      </c>
      <c r="N34" s="1907">
        <f t="shared" si="11"/>
        <v>0</v>
      </c>
      <c r="O34" s="1907">
        <f t="shared" si="11"/>
        <v>0</v>
      </c>
      <c r="P34" s="1593"/>
      <c r="Q34" s="1593"/>
      <c r="R34" s="1602">
        <f t="shared" si="14"/>
        <v>0</v>
      </c>
      <c r="S34" s="1864">
        <f>S35+S36</f>
        <v>0</v>
      </c>
      <c r="T34" s="1864">
        <f>T35+T36</f>
        <v>0</v>
      </c>
      <c r="U34" s="1602">
        <f t="shared" si="15"/>
        <v>0</v>
      </c>
      <c r="V34" s="1864">
        <f>V35+V36</f>
        <v>0</v>
      </c>
      <c r="W34" s="1864">
        <f>W35+W36</f>
        <v>0</v>
      </c>
      <c r="X34" s="1423">
        <f t="shared" si="16"/>
        <v>0</v>
      </c>
    </row>
    <row r="35" spans="1:24" s="484" customFormat="1" ht="23.25">
      <c r="A35" s="2025"/>
      <c r="B35" s="1619" t="s">
        <v>1620</v>
      </c>
      <c r="C35" s="1906" t="s">
        <v>1630</v>
      </c>
      <c r="D35" s="1602">
        <f t="shared" si="13"/>
        <v>10186.5</v>
      </c>
      <c r="E35" s="1864">
        <v>9575.2000000000007</v>
      </c>
      <c r="F35" s="1864">
        <v>611.29999999999995</v>
      </c>
      <c r="G35" s="1602">
        <f t="shared" si="8"/>
        <v>10186.5</v>
      </c>
      <c r="H35" s="1616">
        <f t="shared" si="17"/>
        <v>9575.2000000000007</v>
      </c>
      <c r="I35" s="1616">
        <f t="shared" si="17"/>
        <v>611.29999999999995</v>
      </c>
      <c r="J35" s="1602">
        <f t="shared" si="9"/>
        <v>0</v>
      </c>
      <c r="K35" s="1864"/>
      <c r="L35" s="1864"/>
      <c r="M35" s="1600">
        <f t="shared" si="11"/>
        <v>0</v>
      </c>
      <c r="N35" s="1907">
        <f t="shared" si="11"/>
        <v>0</v>
      </c>
      <c r="O35" s="1907">
        <f t="shared" si="11"/>
        <v>0</v>
      </c>
      <c r="P35" s="1593"/>
      <c r="Q35" s="1593"/>
      <c r="R35" s="1602">
        <f t="shared" si="14"/>
        <v>0</v>
      </c>
      <c r="S35" s="1614">
        <v>0</v>
      </c>
      <c r="T35" s="1614">
        <v>0</v>
      </c>
      <c r="U35" s="1602">
        <f t="shared" si="15"/>
        <v>0</v>
      </c>
      <c r="V35" s="1614">
        <v>0</v>
      </c>
      <c r="W35" s="1614">
        <v>0</v>
      </c>
      <c r="X35" s="1423">
        <f t="shared" si="16"/>
        <v>0</v>
      </c>
    </row>
    <row r="36" spans="1:24" s="484" customFormat="1" ht="23.25">
      <c r="A36" s="2025"/>
      <c r="B36" s="1619" t="s">
        <v>1621</v>
      </c>
      <c r="C36" s="1906" t="s">
        <v>1631</v>
      </c>
      <c r="D36" s="1602">
        <f t="shared" si="13"/>
        <v>5553.2</v>
      </c>
      <c r="E36" s="1864"/>
      <c r="F36" s="1864">
        <v>5553.2</v>
      </c>
      <c r="G36" s="1602">
        <f t="shared" si="8"/>
        <v>5553.2</v>
      </c>
      <c r="H36" s="1616">
        <f t="shared" si="17"/>
        <v>0</v>
      </c>
      <c r="I36" s="1616">
        <f t="shared" si="17"/>
        <v>5553.2</v>
      </c>
      <c r="J36" s="1602">
        <f t="shared" si="9"/>
        <v>0</v>
      </c>
      <c r="K36" s="1864"/>
      <c r="L36" s="1864"/>
      <c r="M36" s="1600">
        <f t="shared" si="11"/>
        <v>0</v>
      </c>
      <c r="N36" s="1907">
        <f t="shared" si="11"/>
        <v>0</v>
      </c>
      <c r="O36" s="1907">
        <f t="shared" si="11"/>
        <v>0</v>
      </c>
      <c r="P36" s="1593"/>
      <c r="Q36" s="1593"/>
      <c r="R36" s="1602">
        <f t="shared" si="14"/>
        <v>0</v>
      </c>
      <c r="S36" s="1614">
        <v>0</v>
      </c>
      <c r="T36" s="1614">
        <v>0</v>
      </c>
      <c r="U36" s="1602">
        <f t="shared" si="15"/>
        <v>0</v>
      </c>
      <c r="V36" s="1614">
        <v>0</v>
      </c>
      <c r="W36" s="1614">
        <v>0</v>
      </c>
      <c r="X36" s="1423">
        <f t="shared" si="16"/>
        <v>0</v>
      </c>
    </row>
    <row r="37" spans="1:24" s="484" customFormat="1" ht="23.25">
      <c r="A37" s="2025"/>
      <c r="B37" s="2023" t="s">
        <v>583</v>
      </c>
      <c r="C37" s="1882"/>
      <c r="D37" s="1602">
        <f t="shared" si="13"/>
        <v>17870.099999999999</v>
      </c>
      <c r="E37" s="1603">
        <f t="shared" ref="E37:W37" si="18">E38</f>
        <v>8460</v>
      </c>
      <c r="F37" s="1603">
        <f t="shared" si="18"/>
        <v>9410.1</v>
      </c>
      <c r="G37" s="1602">
        <f t="shared" si="8"/>
        <v>17870.099999999999</v>
      </c>
      <c r="H37" s="1603">
        <f t="shared" si="18"/>
        <v>8460</v>
      </c>
      <c r="I37" s="1603">
        <f t="shared" si="18"/>
        <v>9410.1</v>
      </c>
      <c r="J37" s="1602">
        <f t="shared" si="9"/>
        <v>0</v>
      </c>
      <c r="K37" s="1603">
        <f t="shared" si="18"/>
        <v>0</v>
      </c>
      <c r="L37" s="1603">
        <f t="shared" si="18"/>
        <v>0</v>
      </c>
      <c r="M37" s="1601">
        <f t="shared" si="11"/>
        <v>0</v>
      </c>
      <c r="N37" s="1601">
        <f t="shared" si="11"/>
        <v>0</v>
      </c>
      <c r="O37" s="1601">
        <f t="shared" si="11"/>
        <v>0</v>
      </c>
      <c r="P37" s="1601">
        <f t="shared" si="18"/>
        <v>0</v>
      </c>
      <c r="Q37" s="1601">
        <f t="shared" si="18"/>
        <v>0</v>
      </c>
      <c r="R37" s="1601">
        <f t="shared" si="18"/>
        <v>0</v>
      </c>
      <c r="S37" s="1601">
        <f t="shared" si="18"/>
        <v>0</v>
      </c>
      <c r="T37" s="1601">
        <f t="shared" si="18"/>
        <v>0</v>
      </c>
      <c r="U37" s="1601">
        <f t="shared" si="18"/>
        <v>0</v>
      </c>
      <c r="V37" s="1601">
        <f t="shared" si="18"/>
        <v>0</v>
      </c>
      <c r="W37" s="1601">
        <f t="shared" si="18"/>
        <v>0</v>
      </c>
      <c r="X37" s="1423">
        <f t="shared" si="16"/>
        <v>0</v>
      </c>
    </row>
    <row r="38" spans="1:24" s="484" customFormat="1" ht="27.75" customHeight="1">
      <c r="A38" s="2025" t="s">
        <v>1735</v>
      </c>
      <c r="B38" s="1889" t="s">
        <v>1629</v>
      </c>
      <c r="C38" s="1882"/>
      <c r="D38" s="1602">
        <f t="shared" si="13"/>
        <v>17870.099999999999</v>
      </c>
      <c r="E38" s="1616">
        <f>E39+E40</f>
        <v>8460</v>
      </c>
      <c r="F38" s="1616">
        <f>F39+F40</f>
        <v>9410.1</v>
      </c>
      <c r="G38" s="1602">
        <f t="shared" si="8"/>
        <v>17870.099999999999</v>
      </c>
      <c r="H38" s="1616">
        <f t="shared" ref="H38:I40" si="19">E38</f>
        <v>8460</v>
      </c>
      <c r="I38" s="1616">
        <f t="shared" si="19"/>
        <v>9410.1</v>
      </c>
      <c r="J38" s="1602">
        <f t="shared" si="9"/>
        <v>0</v>
      </c>
      <c r="K38" s="1616">
        <f>K40</f>
        <v>0</v>
      </c>
      <c r="L38" s="1616"/>
      <c r="M38" s="1604">
        <f t="shared" si="11"/>
        <v>0</v>
      </c>
      <c r="N38" s="1881">
        <f t="shared" si="11"/>
        <v>0</v>
      </c>
      <c r="O38" s="1881">
        <f t="shared" si="11"/>
        <v>0</v>
      </c>
      <c r="P38" s="1593"/>
      <c r="Q38" s="1593"/>
      <c r="R38" s="1602">
        <f t="shared" ref="R38:R74" si="20">SUM(S38:T38)</f>
        <v>0</v>
      </c>
      <c r="S38" s="1616">
        <f>S40</f>
        <v>0</v>
      </c>
      <c r="T38" s="1616">
        <f>T40</f>
        <v>0</v>
      </c>
      <c r="U38" s="1602">
        <f t="shared" ref="U38:U74" si="21">SUM(V38:W38)</f>
        <v>0</v>
      </c>
      <c r="V38" s="1616">
        <f>V40</f>
        <v>0</v>
      </c>
      <c r="W38" s="1616">
        <f>W40</f>
        <v>0</v>
      </c>
      <c r="X38" s="1423">
        <f t="shared" si="16"/>
        <v>0</v>
      </c>
    </row>
    <row r="39" spans="1:24" s="484" customFormat="1" ht="27" customHeight="1">
      <c r="A39" s="2025"/>
      <c r="B39" s="1619" t="s">
        <v>1620</v>
      </c>
      <c r="C39" s="1882"/>
      <c r="D39" s="1602">
        <f>SUM(E39:F39)</f>
        <v>9000.1</v>
      </c>
      <c r="E39" s="1864">
        <v>8460</v>
      </c>
      <c r="F39" s="1864">
        <v>540.1</v>
      </c>
      <c r="G39" s="1602">
        <f>SUM(H39:I39)</f>
        <v>9000.1</v>
      </c>
      <c r="H39" s="1616">
        <f t="shared" si="19"/>
        <v>8460</v>
      </c>
      <c r="I39" s="1616">
        <f t="shared" si="19"/>
        <v>540.1</v>
      </c>
      <c r="J39" s="1602">
        <f>SUM(K39:L39)</f>
        <v>0</v>
      </c>
      <c r="K39" s="1864"/>
      <c r="L39" s="1864"/>
      <c r="M39" s="1600">
        <f t="shared" si="11"/>
        <v>0</v>
      </c>
      <c r="N39" s="1907">
        <f t="shared" si="11"/>
        <v>0</v>
      </c>
      <c r="O39" s="1907">
        <f t="shared" si="11"/>
        <v>0</v>
      </c>
      <c r="P39" s="1593"/>
      <c r="Q39" s="1593"/>
      <c r="R39" s="1602"/>
      <c r="S39" s="1616"/>
      <c r="T39" s="1616"/>
      <c r="U39" s="1602"/>
      <c r="V39" s="1616"/>
      <c r="W39" s="1616"/>
      <c r="X39" s="1423">
        <f t="shared" si="16"/>
        <v>0</v>
      </c>
    </row>
    <row r="40" spans="1:24" s="484" customFormat="1" ht="23.25">
      <c r="A40" s="2025"/>
      <c r="B40" s="1619" t="s">
        <v>1621</v>
      </c>
      <c r="C40" s="1906"/>
      <c r="D40" s="1602">
        <f t="shared" si="13"/>
        <v>8870</v>
      </c>
      <c r="E40" s="1864"/>
      <c r="F40" s="1864">
        <v>8870</v>
      </c>
      <c r="G40" s="1602">
        <f t="shared" si="8"/>
        <v>8870</v>
      </c>
      <c r="H40" s="1616">
        <f t="shared" si="19"/>
        <v>0</v>
      </c>
      <c r="I40" s="1616">
        <f t="shared" si="19"/>
        <v>8870</v>
      </c>
      <c r="J40" s="1602">
        <f t="shared" si="9"/>
        <v>0</v>
      </c>
      <c r="K40" s="1864"/>
      <c r="L40" s="1864"/>
      <c r="M40" s="1600">
        <f t="shared" si="11"/>
        <v>0</v>
      </c>
      <c r="N40" s="1907">
        <f t="shared" si="11"/>
        <v>0</v>
      </c>
      <c r="O40" s="1907">
        <f t="shared" si="11"/>
        <v>0</v>
      </c>
      <c r="P40" s="1593"/>
      <c r="Q40" s="1593"/>
      <c r="R40" s="1602">
        <f t="shared" si="20"/>
        <v>0</v>
      </c>
      <c r="S40" s="1865">
        <v>0</v>
      </c>
      <c r="T40" s="1865">
        <v>0</v>
      </c>
      <c r="U40" s="1602">
        <f t="shared" si="21"/>
        <v>0</v>
      </c>
      <c r="V40" s="1865">
        <v>0</v>
      </c>
      <c r="W40" s="1865">
        <v>0</v>
      </c>
      <c r="X40" s="1423">
        <f t="shared" si="16"/>
        <v>0</v>
      </c>
    </row>
    <row r="41" spans="1:24" s="484" customFormat="1" ht="25.5" customHeight="1">
      <c r="A41" s="2025"/>
      <c r="B41" s="2023" t="s">
        <v>1624</v>
      </c>
      <c r="C41" s="1882"/>
      <c r="D41" s="1602">
        <f t="shared" si="13"/>
        <v>5448</v>
      </c>
      <c r="E41" s="1603">
        <f>E42</f>
        <v>2540.3000000000002</v>
      </c>
      <c r="F41" s="1603">
        <f>F42</f>
        <v>2907.7</v>
      </c>
      <c r="G41" s="1602">
        <f t="shared" si="8"/>
        <v>5448</v>
      </c>
      <c r="H41" s="1603">
        <f>H42</f>
        <v>2540.3000000000002</v>
      </c>
      <c r="I41" s="1603">
        <f>I42</f>
        <v>2907.7</v>
      </c>
      <c r="J41" s="1602">
        <f t="shared" si="9"/>
        <v>204</v>
      </c>
      <c r="K41" s="1603">
        <f>K42</f>
        <v>0</v>
      </c>
      <c r="L41" s="1603">
        <f>L42</f>
        <v>204</v>
      </c>
      <c r="M41" s="1601">
        <f t="shared" si="11"/>
        <v>3.7</v>
      </c>
      <c r="N41" s="1601">
        <f t="shared" si="11"/>
        <v>0</v>
      </c>
      <c r="O41" s="1601">
        <f t="shared" si="11"/>
        <v>7</v>
      </c>
      <c r="P41" s="1601">
        <f>P42</f>
        <v>0</v>
      </c>
      <c r="Q41" s="1601">
        <f>Q42</f>
        <v>0</v>
      </c>
      <c r="R41" s="1602">
        <f t="shared" si="20"/>
        <v>0</v>
      </c>
      <c r="S41" s="1603">
        <f>S42</f>
        <v>0</v>
      </c>
      <c r="T41" s="1603">
        <f>T42</f>
        <v>0</v>
      </c>
      <c r="U41" s="1602">
        <f t="shared" si="21"/>
        <v>0</v>
      </c>
      <c r="V41" s="1603">
        <f>V42</f>
        <v>0</v>
      </c>
      <c r="W41" s="1603">
        <f>W42</f>
        <v>0</v>
      </c>
      <c r="X41" s="1423">
        <f t="shared" si="16"/>
        <v>0</v>
      </c>
    </row>
    <row r="42" spans="1:24" s="484" customFormat="1" ht="45.75" customHeight="1">
      <c r="A42" s="2025" t="s">
        <v>1736</v>
      </c>
      <c r="B42" s="1889" t="s">
        <v>1625</v>
      </c>
      <c r="C42" s="1882"/>
      <c r="D42" s="1602">
        <f t="shared" si="13"/>
        <v>5448</v>
      </c>
      <c r="E42" s="1616">
        <f>E43+E44</f>
        <v>2540.3000000000002</v>
      </c>
      <c r="F42" s="1616">
        <f>F43+F44</f>
        <v>2907.7</v>
      </c>
      <c r="G42" s="1602">
        <f t="shared" si="8"/>
        <v>5448</v>
      </c>
      <c r="H42" s="1616">
        <f t="shared" ref="H42:I44" si="22">E42</f>
        <v>2540.3000000000002</v>
      </c>
      <c r="I42" s="1616">
        <f t="shared" si="22"/>
        <v>2907.7</v>
      </c>
      <c r="J42" s="1602">
        <f t="shared" si="9"/>
        <v>204</v>
      </c>
      <c r="K42" s="1616">
        <f>K43+K44</f>
        <v>0</v>
      </c>
      <c r="L42" s="1616">
        <f>L43+L44</f>
        <v>204</v>
      </c>
      <c r="M42" s="1604">
        <f t="shared" si="11"/>
        <v>3.7</v>
      </c>
      <c r="N42" s="1881">
        <f t="shared" si="11"/>
        <v>0</v>
      </c>
      <c r="O42" s="1881">
        <f t="shared" si="11"/>
        <v>7</v>
      </c>
      <c r="P42" s="1593"/>
      <c r="Q42" s="1593"/>
      <c r="R42" s="1602">
        <f t="shared" si="20"/>
        <v>0</v>
      </c>
      <c r="S42" s="1616">
        <f>S44</f>
        <v>0</v>
      </c>
      <c r="T42" s="1616">
        <f>T44</f>
        <v>0</v>
      </c>
      <c r="U42" s="1602">
        <f t="shared" si="21"/>
        <v>0</v>
      </c>
      <c r="V42" s="1616">
        <f>V44</f>
        <v>0</v>
      </c>
      <c r="W42" s="1616">
        <f>W44</f>
        <v>0</v>
      </c>
      <c r="X42" s="1423">
        <f t="shared" si="16"/>
        <v>0</v>
      </c>
    </row>
    <row r="43" spans="1:24" s="484" customFormat="1" ht="28.5" customHeight="1">
      <c r="A43" s="2025"/>
      <c r="B43" s="1619" t="s">
        <v>1620</v>
      </c>
      <c r="C43" s="1882"/>
      <c r="D43" s="1602">
        <f>SUM(E43:F43)</f>
        <v>2702.5</v>
      </c>
      <c r="E43" s="1864">
        <v>2540.3000000000002</v>
      </c>
      <c r="F43" s="1864">
        <v>162.19999999999999</v>
      </c>
      <c r="G43" s="1602">
        <f>SUM(H43:I43)</f>
        <v>2702.5</v>
      </c>
      <c r="H43" s="1616">
        <f t="shared" si="22"/>
        <v>2540.3000000000002</v>
      </c>
      <c r="I43" s="1616">
        <f t="shared" si="22"/>
        <v>162.19999999999999</v>
      </c>
      <c r="J43" s="1602">
        <f>SUM(K43:L43)</f>
        <v>0</v>
      </c>
      <c r="K43" s="1864"/>
      <c r="L43" s="1864"/>
      <c r="M43" s="1600">
        <f t="shared" si="11"/>
        <v>0</v>
      </c>
      <c r="N43" s="1907">
        <f t="shared" si="11"/>
        <v>0</v>
      </c>
      <c r="O43" s="1907">
        <f t="shared" si="11"/>
        <v>0</v>
      </c>
      <c r="P43" s="1593"/>
      <c r="Q43" s="1593"/>
      <c r="R43" s="1602"/>
      <c r="S43" s="1616"/>
      <c r="T43" s="1616"/>
      <c r="U43" s="1602"/>
      <c r="V43" s="1616"/>
      <c r="W43" s="1616"/>
      <c r="X43" s="1423">
        <f t="shared" si="16"/>
        <v>0</v>
      </c>
    </row>
    <row r="44" spans="1:24" s="484" customFormat="1" ht="23.25">
      <c r="A44" s="2025"/>
      <c r="B44" s="1619" t="s">
        <v>1621</v>
      </c>
      <c r="C44" s="1906"/>
      <c r="D44" s="1602">
        <f t="shared" si="13"/>
        <v>2745.5</v>
      </c>
      <c r="E44" s="1864"/>
      <c r="F44" s="1864">
        <v>2745.5</v>
      </c>
      <c r="G44" s="1602">
        <f t="shared" si="8"/>
        <v>2745.5</v>
      </c>
      <c r="H44" s="1616">
        <f t="shared" si="22"/>
        <v>0</v>
      </c>
      <c r="I44" s="1616">
        <f t="shared" si="22"/>
        <v>2745.5</v>
      </c>
      <c r="J44" s="1602">
        <f t="shared" si="9"/>
        <v>204</v>
      </c>
      <c r="K44" s="1864"/>
      <c r="L44" s="1864">
        <v>204</v>
      </c>
      <c r="M44" s="1600">
        <f t="shared" si="11"/>
        <v>7.4</v>
      </c>
      <c r="N44" s="1907">
        <f t="shared" si="11"/>
        <v>0</v>
      </c>
      <c r="O44" s="1907">
        <f t="shared" si="11"/>
        <v>7.4</v>
      </c>
      <c r="P44" s="1593"/>
      <c r="Q44" s="1593"/>
      <c r="R44" s="1602">
        <f t="shared" si="20"/>
        <v>0</v>
      </c>
      <c r="S44" s="1614">
        <v>0</v>
      </c>
      <c r="T44" s="1614">
        <v>0</v>
      </c>
      <c r="U44" s="1602">
        <f t="shared" si="21"/>
        <v>0</v>
      </c>
      <c r="V44" s="1614">
        <v>0</v>
      </c>
      <c r="W44" s="1614">
        <v>0</v>
      </c>
      <c r="X44" s="1423">
        <f t="shared" si="16"/>
        <v>0</v>
      </c>
    </row>
    <row r="45" spans="1:24" s="484" customFormat="1" ht="19.5" customHeight="1">
      <c r="A45" s="2025"/>
      <c r="B45" s="2023" t="s">
        <v>1401</v>
      </c>
      <c r="C45" s="1882"/>
      <c r="D45" s="1602">
        <f t="shared" si="13"/>
        <v>87760</v>
      </c>
      <c r="E45" s="1603">
        <f>E46</f>
        <v>82493.5</v>
      </c>
      <c r="F45" s="1603">
        <f>F46</f>
        <v>5266.5</v>
      </c>
      <c r="G45" s="1602">
        <f t="shared" si="8"/>
        <v>87760</v>
      </c>
      <c r="H45" s="1603">
        <f>H46</f>
        <v>82493.5</v>
      </c>
      <c r="I45" s="1603">
        <f>I46</f>
        <v>5266.5</v>
      </c>
      <c r="J45" s="1602">
        <f t="shared" si="9"/>
        <v>0</v>
      </c>
      <c r="K45" s="1603">
        <f>K46</f>
        <v>0</v>
      </c>
      <c r="L45" s="1603">
        <f>L46</f>
        <v>0</v>
      </c>
      <c r="M45" s="1601">
        <f t="shared" si="11"/>
        <v>0</v>
      </c>
      <c r="N45" s="1601">
        <f t="shared" si="11"/>
        <v>0</v>
      </c>
      <c r="O45" s="1601">
        <f t="shared" si="11"/>
        <v>0</v>
      </c>
      <c r="P45" s="1601">
        <f>P46</f>
        <v>0</v>
      </c>
      <c r="Q45" s="1601">
        <f>Q46</f>
        <v>0</v>
      </c>
      <c r="R45" s="1602">
        <f t="shared" si="20"/>
        <v>0</v>
      </c>
      <c r="S45" s="1603">
        <f>S46</f>
        <v>0</v>
      </c>
      <c r="T45" s="1603">
        <f>T46</f>
        <v>0</v>
      </c>
      <c r="U45" s="1602">
        <f t="shared" si="21"/>
        <v>0</v>
      </c>
      <c r="V45" s="1603">
        <f>V46</f>
        <v>0</v>
      </c>
      <c r="W45" s="1603">
        <f>W46</f>
        <v>0</v>
      </c>
      <c r="X45" s="1423">
        <f t="shared" si="16"/>
        <v>0</v>
      </c>
    </row>
    <row r="46" spans="1:24" s="484" customFormat="1" ht="40.5" customHeight="1">
      <c r="A46" s="2025" t="s">
        <v>1737</v>
      </c>
      <c r="B46" s="1889" t="s">
        <v>681</v>
      </c>
      <c r="C46" s="1882"/>
      <c r="D46" s="1602">
        <f t="shared" si="13"/>
        <v>87760</v>
      </c>
      <c r="E46" s="1616">
        <v>82493.5</v>
      </c>
      <c r="F46" s="1616">
        <v>5266.5</v>
      </c>
      <c r="G46" s="1602">
        <f t="shared" si="8"/>
        <v>87760</v>
      </c>
      <c r="H46" s="1616">
        <f>E46</f>
        <v>82493.5</v>
      </c>
      <c r="I46" s="1616">
        <f>F46</f>
        <v>5266.5</v>
      </c>
      <c r="J46" s="1602">
        <f t="shared" ref="J46:J73" si="23">SUM(K46:L46)</f>
        <v>0</v>
      </c>
      <c r="K46" s="1616"/>
      <c r="L46" s="1616"/>
      <c r="M46" s="1604">
        <f t="shared" si="11"/>
        <v>0</v>
      </c>
      <c r="N46" s="1881">
        <f t="shared" si="11"/>
        <v>0</v>
      </c>
      <c r="O46" s="1881">
        <f t="shared" si="11"/>
        <v>0</v>
      </c>
      <c r="P46" s="1593"/>
      <c r="Q46" s="1593"/>
      <c r="R46" s="1602">
        <f t="shared" si="20"/>
        <v>0</v>
      </c>
      <c r="S46" s="1614">
        <v>0</v>
      </c>
      <c r="T46" s="1614">
        <v>0</v>
      </c>
      <c r="U46" s="1602">
        <f t="shared" si="21"/>
        <v>0</v>
      </c>
      <c r="V46" s="1614">
        <v>0</v>
      </c>
      <c r="W46" s="1614">
        <v>0</v>
      </c>
      <c r="X46" s="1423">
        <f t="shared" si="16"/>
        <v>0</v>
      </c>
    </row>
    <row r="47" spans="1:24" s="484" customFormat="1" ht="27" customHeight="1">
      <c r="A47" s="2025"/>
      <c r="B47" s="2023" t="s">
        <v>1554</v>
      </c>
      <c r="C47" s="1882"/>
      <c r="D47" s="1602">
        <f t="shared" si="13"/>
        <v>75664.2</v>
      </c>
      <c r="E47" s="1603">
        <f>SUM(E48:E49)</f>
        <v>37567.599999999999</v>
      </c>
      <c r="F47" s="1603">
        <f>SUM(F48:F49)</f>
        <v>38096.6</v>
      </c>
      <c r="G47" s="1602">
        <f t="shared" ref="G47:G74" si="24">SUM(H47:I47)</f>
        <v>75664.2</v>
      </c>
      <c r="H47" s="1603">
        <f>SUM(H48:H49)</f>
        <v>37567.599999999999</v>
      </c>
      <c r="I47" s="1603">
        <f>SUM(I48:I49)</f>
        <v>38096.6</v>
      </c>
      <c r="J47" s="1602">
        <f t="shared" si="23"/>
        <v>0</v>
      </c>
      <c r="K47" s="1603">
        <f>SUM(K48:K49)</f>
        <v>0</v>
      </c>
      <c r="L47" s="1603">
        <f>SUM(L48:L49)</f>
        <v>0</v>
      </c>
      <c r="M47" s="1601">
        <f t="shared" si="11"/>
        <v>0</v>
      </c>
      <c r="N47" s="1601">
        <f t="shared" si="11"/>
        <v>0</v>
      </c>
      <c r="O47" s="1601">
        <f t="shared" si="11"/>
        <v>0</v>
      </c>
      <c r="P47" s="1593"/>
      <c r="Q47" s="1593"/>
      <c r="R47" s="1602">
        <f t="shared" si="20"/>
        <v>0</v>
      </c>
      <c r="S47" s="1603">
        <f>SUM(S48:S49)</f>
        <v>0</v>
      </c>
      <c r="T47" s="1603">
        <f>SUM(T48:T49)</f>
        <v>0</v>
      </c>
      <c r="U47" s="1602">
        <f t="shared" si="21"/>
        <v>0</v>
      </c>
      <c r="V47" s="1603">
        <f>SUM(V48:V49)</f>
        <v>0</v>
      </c>
      <c r="W47" s="1603">
        <f>SUM(W48:W49)</f>
        <v>0</v>
      </c>
      <c r="X47" s="1423">
        <f t="shared" si="16"/>
        <v>0</v>
      </c>
    </row>
    <row r="48" spans="1:24" s="484" customFormat="1" ht="42.75" customHeight="1">
      <c r="A48" s="2025" t="s">
        <v>1738</v>
      </c>
      <c r="B48" s="1889" t="s">
        <v>1623</v>
      </c>
      <c r="C48" s="1882"/>
      <c r="D48" s="1602">
        <f t="shared" si="13"/>
        <v>39965.599999999999</v>
      </c>
      <c r="E48" s="1616">
        <v>37567.599999999999</v>
      </c>
      <c r="F48" s="1616">
        <v>2398</v>
      </c>
      <c r="G48" s="1602">
        <f t="shared" si="24"/>
        <v>39965.599999999999</v>
      </c>
      <c r="H48" s="1616">
        <f t="shared" ref="H48:I50" si="25">E48</f>
        <v>37567.599999999999</v>
      </c>
      <c r="I48" s="1616">
        <f t="shared" si="25"/>
        <v>2398</v>
      </c>
      <c r="J48" s="1602">
        <f t="shared" si="23"/>
        <v>0</v>
      </c>
      <c r="K48" s="1616"/>
      <c r="L48" s="1616"/>
      <c r="M48" s="1604">
        <f t="shared" si="11"/>
        <v>0</v>
      </c>
      <c r="N48" s="1881">
        <f t="shared" si="11"/>
        <v>0</v>
      </c>
      <c r="O48" s="1881">
        <f t="shared" si="11"/>
        <v>0</v>
      </c>
      <c r="P48" s="1593"/>
      <c r="Q48" s="1593"/>
      <c r="R48" s="1602">
        <f t="shared" si="20"/>
        <v>0</v>
      </c>
      <c r="S48" s="1614">
        <v>0</v>
      </c>
      <c r="T48" s="1614">
        <v>0</v>
      </c>
      <c r="U48" s="1602">
        <f t="shared" si="21"/>
        <v>0</v>
      </c>
      <c r="V48" s="1614">
        <v>0</v>
      </c>
      <c r="W48" s="1614">
        <v>0</v>
      </c>
      <c r="X48" s="1423">
        <f t="shared" si="16"/>
        <v>0</v>
      </c>
    </row>
    <row r="49" spans="1:24" s="484" customFormat="1" ht="44.25" customHeight="1">
      <c r="A49" s="2025" t="s">
        <v>1739</v>
      </c>
      <c r="B49" s="1889" t="s">
        <v>1660</v>
      </c>
      <c r="C49" s="1882"/>
      <c r="D49" s="1616">
        <f t="shared" si="13"/>
        <v>35698.6</v>
      </c>
      <c r="E49" s="1616">
        <f t="shared" ref="E49:L49" si="26">E50</f>
        <v>0</v>
      </c>
      <c r="F49" s="1616">
        <f t="shared" si="26"/>
        <v>35698.6</v>
      </c>
      <c r="G49" s="1616">
        <f t="shared" si="24"/>
        <v>35698.6</v>
      </c>
      <c r="H49" s="1616">
        <f t="shared" si="25"/>
        <v>0</v>
      </c>
      <c r="I49" s="1616">
        <f t="shared" si="25"/>
        <v>35698.6</v>
      </c>
      <c r="J49" s="1616">
        <f t="shared" si="23"/>
        <v>0</v>
      </c>
      <c r="K49" s="1616">
        <f t="shared" si="26"/>
        <v>0</v>
      </c>
      <c r="L49" s="1616">
        <f t="shared" si="26"/>
        <v>0</v>
      </c>
      <c r="M49" s="1604">
        <f t="shared" si="11"/>
        <v>0</v>
      </c>
      <c r="N49" s="1881">
        <f t="shared" si="11"/>
        <v>0</v>
      </c>
      <c r="O49" s="1881">
        <f t="shared" si="11"/>
        <v>0</v>
      </c>
      <c r="P49" s="1593"/>
      <c r="Q49" s="1593"/>
      <c r="R49" s="1616">
        <f t="shared" si="20"/>
        <v>0</v>
      </c>
      <c r="S49" s="1616">
        <f>S50</f>
        <v>0</v>
      </c>
      <c r="T49" s="1616">
        <f>T50</f>
        <v>0</v>
      </c>
      <c r="U49" s="1616">
        <f t="shared" si="21"/>
        <v>0</v>
      </c>
      <c r="V49" s="1616">
        <f>V50</f>
        <v>0</v>
      </c>
      <c r="W49" s="1616">
        <f>W50</f>
        <v>0</v>
      </c>
      <c r="X49" s="1423">
        <f t="shared" si="16"/>
        <v>0</v>
      </c>
    </row>
    <row r="50" spans="1:24" s="484" customFormat="1" ht="23.25">
      <c r="A50" s="2025"/>
      <c r="B50" s="1619" t="s">
        <v>1621</v>
      </c>
      <c r="C50" s="1906"/>
      <c r="D50" s="1602">
        <f t="shared" si="13"/>
        <v>35698.6</v>
      </c>
      <c r="E50" s="1864"/>
      <c r="F50" s="1864">
        <v>35698.6</v>
      </c>
      <c r="G50" s="1602">
        <f t="shared" si="24"/>
        <v>35698.6</v>
      </c>
      <c r="H50" s="1616">
        <f t="shared" si="25"/>
        <v>0</v>
      </c>
      <c r="I50" s="1616">
        <f t="shared" si="25"/>
        <v>35698.6</v>
      </c>
      <c r="J50" s="1602">
        <f t="shared" si="23"/>
        <v>0</v>
      </c>
      <c r="K50" s="1864"/>
      <c r="L50" s="1864"/>
      <c r="M50" s="1600">
        <f t="shared" si="11"/>
        <v>0</v>
      </c>
      <c r="N50" s="1907">
        <f t="shared" si="11"/>
        <v>0</v>
      </c>
      <c r="O50" s="1907">
        <f t="shared" si="11"/>
        <v>0</v>
      </c>
      <c r="P50" s="1593"/>
      <c r="Q50" s="1593"/>
      <c r="R50" s="1609">
        <f t="shared" si="20"/>
        <v>0</v>
      </c>
      <c r="S50" s="1614">
        <v>0</v>
      </c>
      <c r="T50" s="1614">
        <v>0</v>
      </c>
      <c r="U50" s="1602">
        <f t="shared" si="21"/>
        <v>0</v>
      </c>
      <c r="V50" s="1614">
        <v>0</v>
      </c>
      <c r="W50" s="1614">
        <v>0</v>
      </c>
      <c r="X50" s="1423">
        <f t="shared" si="16"/>
        <v>0</v>
      </c>
    </row>
    <row r="51" spans="1:24" s="484" customFormat="1" ht="23.25">
      <c r="A51" s="2025"/>
      <c r="B51" s="2023" t="s">
        <v>1626</v>
      </c>
      <c r="C51" s="1882"/>
      <c r="D51" s="1602">
        <f t="shared" si="13"/>
        <v>2446</v>
      </c>
      <c r="E51" s="1603">
        <f>E52</f>
        <v>0</v>
      </c>
      <c r="F51" s="1603">
        <f>F52</f>
        <v>2446</v>
      </c>
      <c r="G51" s="1602">
        <f t="shared" si="24"/>
        <v>2446</v>
      </c>
      <c r="H51" s="1603">
        <f>H52</f>
        <v>0</v>
      </c>
      <c r="I51" s="1603">
        <f>I52</f>
        <v>2446</v>
      </c>
      <c r="J51" s="1602">
        <f t="shared" si="23"/>
        <v>0</v>
      </c>
      <c r="K51" s="1603">
        <f>K52</f>
        <v>0</v>
      </c>
      <c r="L51" s="1603">
        <f>L52</f>
        <v>0</v>
      </c>
      <c r="M51" s="1601">
        <f t="shared" si="11"/>
        <v>0</v>
      </c>
      <c r="N51" s="1601">
        <f t="shared" si="11"/>
        <v>0</v>
      </c>
      <c r="O51" s="1601">
        <f t="shared" si="11"/>
        <v>0</v>
      </c>
      <c r="P51" s="1593"/>
      <c r="Q51" s="1593"/>
      <c r="R51" s="1602">
        <f t="shared" si="20"/>
        <v>0</v>
      </c>
      <c r="S51" s="1603">
        <f>S52</f>
        <v>0</v>
      </c>
      <c r="T51" s="1603">
        <f>T52</f>
        <v>0</v>
      </c>
      <c r="U51" s="1602">
        <f t="shared" si="21"/>
        <v>0</v>
      </c>
      <c r="V51" s="1603">
        <f>V52</f>
        <v>0</v>
      </c>
      <c r="W51" s="1603">
        <f>W52</f>
        <v>0</v>
      </c>
      <c r="X51" s="1423">
        <f t="shared" si="16"/>
        <v>0</v>
      </c>
    </row>
    <row r="52" spans="1:24" s="484" customFormat="1" ht="37.5">
      <c r="A52" s="2025" t="s">
        <v>1740</v>
      </c>
      <c r="B52" s="1889" t="s">
        <v>1627</v>
      </c>
      <c r="C52" s="1882"/>
      <c r="D52" s="1600">
        <f t="shared" si="13"/>
        <v>2446</v>
      </c>
      <c r="E52" s="1608">
        <f>E53</f>
        <v>0</v>
      </c>
      <c r="F52" s="1608">
        <f>F53</f>
        <v>2446</v>
      </c>
      <c r="G52" s="1600">
        <f t="shared" si="24"/>
        <v>2446</v>
      </c>
      <c r="H52" s="1616">
        <f>E52</f>
        <v>0</v>
      </c>
      <c r="I52" s="1616">
        <f>F52</f>
        <v>2446</v>
      </c>
      <c r="J52" s="1600">
        <f t="shared" si="23"/>
        <v>0</v>
      </c>
      <c r="K52" s="1608">
        <f>K53</f>
        <v>0</v>
      </c>
      <c r="L52" s="1608">
        <f>L53</f>
        <v>0</v>
      </c>
      <c r="M52" s="1604">
        <f t="shared" si="11"/>
        <v>0</v>
      </c>
      <c r="N52" s="1881">
        <f t="shared" si="11"/>
        <v>0</v>
      </c>
      <c r="O52" s="1881">
        <f t="shared" si="11"/>
        <v>0</v>
      </c>
      <c r="P52" s="1593"/>
      <c r="Q52" s="1593"/>
      <c r="R52" s="1600">
        <f t="shared" si="20"/>
        <v>0</v>
      </c>
      <c r="S52" s="1608">
        <f>S53</f>
        <v>0</v>
      </c>
      <c r="T52" s="1608">
        <f>T53</f>
        <v>0</v>
      </c>
      <c r="U52" s="1600">
        <f t="shared" si="21"/>
        <v>0</v>
      </c>
      <c r="V52" s="1608">
        <f>V53</f>
        <v>0</v>
      </c>
      <c r="W52" s="1608">
        <f>W53</f>
        <v>0</v>
      </c>
      <c r="X52" s="1423">
        <f t="shared" si="16"/>
        <v>0</v>
      </c>
    </row>
    <row r="53" spans="1:24" s="484" customFormat="1" ht="23.25">
      <c r="A53" s="2025"/>
      <c r="B53" s="1619" t="s">
        <v>1621</v>
      </c>
      <c r="C53" s="1906"/>
      <c r="D53" s="1600">
        <f t="shared" si="13"/>
        <v>2446</v>
      </c>
      <c r="E53" s="1865"/>
      <c r="F53" s="1865">
        <v>2446</v>
      </c>
      <c r="G53" s="1600">
        <f t="shared" si="24"/>
        <v>2446</v>
      </c>
      <c r="H53" s="1616">
        <f>E53</f>
        <v>0</v>
      </c>
      <c r="I53" s="1616">
        <f>F53</f>
        <v>2446</v>
      </c>
      <c r="J53" s="1600">
        <f t="shared" si="23"/>
        <v>0</v>
      </c>
      <c r="K53" s="1865"/>
      <c r="L53" s="1865"/>
      <c r="M53" s="1600">
        <f t="shared" si="11"/>
        <v>0</v>
      </c>
      <c r="N53" s="1907">
        <f t="shared" si="11"/>
        <v>0</v>
      </c>
      <c r="O53" s="1907">
        <f t="shared" si="11"/>
        <v>0</v>
      </c>
      <c r="P53" s="1593"/>
      <c r="Q53" s="1593"/>
      <c r="R53" s="1600">
        <f t="shared" si="20"/>
        <v>0</v>
      </c>
      <c r="S53" s="1614">
        <v>0</v>
      </c>
      <c r="T53" s="1614">
        <v>0</v>
      </c>
      <c r="U53" s="1600">
        <f t="shared" si="21"/>
        <v>0</v>
      </c>
      <c r="V53" s="1614">
        <v>0</v>
      </c>
      <c r="W53" s="1614">
        <v>0</v>
      </c>
      <c r="X53" s="1423">
        <f t="shared" si="16"/>
        <v>0</v>
      </c>
    </row>
    <row r="54" spans="1:24" ht="93.75">
      <c r="A54" s="2032" t="s">
        <v>2</v>
      </c>
      <c r="B54" s="2007" t="s">
        <v>1434</v>
      </c>
      <c r="C54" s="1873"/>
      <c r="D54" s="1596">
        <f t="shared" si="13"/>
        <v>3042796.8</v>
      </c>
      <c r="E54" s="1596">
        <f>E65+E82</f>
        <v>2719850.8</v>
      </c>
      <c r="F54" s="1596">
        <f>F65+F82</f>
        <v>322946</v>
      </c>
      <c r="G54" s="1596">
        <f t="shared" si="24"/>
        <v>3042796.8</v>
      </c>
      <c r="H54" s="1596">
        <f>H65+H82</f>
        <v>2719850.8</v>
      </c>
      <c r="I54" s="1596">
        <f>I65+I82</f>
        <v>322946</v>
      </c>
      <c r="J54" s="1596">
        <f t="shared" si="23"/>
        <v>594145.6</v>
      </c>
      <c r="K54" s="1596">
        <f>K65+K82</f>
        <v>556246.5</v>
      </c>
      <c r="L54" s="1596">
        <f>L65+L82</f>
        <v>37899.1</v>
      </c>
      <c r="M54" s="2008">
        <f t="shared" si="11"/>
        <v>19.5</v>
      </c>
      <c r="N54" s="2009">
        <f t="shared" si="11"/>
        <v>20.5</v>
      </c>
      <c r="O54" s="2009">
        <f t="shared" si="11"/>
        <v>11.7</v>
      </c>
      <c r="P54" s="1622" t="s">
        <v>353</v>
      </c>
      <c r="Q54" s="1622" t="s">
        <v>353</v>
      </c>
      <c r="R54" s="1861" t="e">
        <f t="shared" si="20"/>
        <v>#REF!</v>
      </c>
      <c r="S54" s="1861" t="e">
        <f>SUM(#REF!,#REF!)</f>
        <v>#REF!</v>
      </c>
      <c r="T54" s="1861" t="e">
        <f>SUM(#REF!,#REF!)</f>
        <v>#REF!</v>
      </c>
      <c r="U54" s="1861" t="e">
        <f t="shared" si="21"/>
        <v>#REF!</v>
      </c>
      <c r="V54" s="1861" t="e">
        <f>SUM(#REF!,#REF!)</f>
        <v>#REF!</v>
      </c>
      <c r="W54" s="1861" t="e">
        <f>SUM(#REF!,#REF!)</f>
        <v>#REF!</v>
      </c>
      <c r="X54" s="1423">
        <f t="shared" si="16"/>
        <v>0</v>
      </c>
    </row>
    <row r="55" spans="1:24" s="1570" customFormat="1" ht="24.75" hidden="1" customHeight="1">
      <c r="A55" s="2024" t="e">
        <f>A52+1</f>
        <v>#VALUE!</v>
      </c>
      <c r="B55" s="1885" t="s">
        <v>1588</v>
      </c>
      <c r="C55" s="2024" t="s">
        <v>1612</v>
      </c>
      <c r="D55" s="1600">
        <f t="shared" si="13"/>
        <v>0</v>
      </c>
      <c r="E55" s="1614"/>
      <c r="F55" s="1615">
        <v>0</v>
      </c>
      <c r="G55" s="1600">
        <f t="shared" si="24"/>
        <v>0</v>
      </c>
      <c r="H55" s="1614"/>
      <c r="I55" s="1614">
        <v>0</v>
      </c>
      <c r="J55" s="1600">
        <f t="shared" si="23"/>
        <v>0</v>
      </c>
      <c r="K55" s="1614"/>
      <c r="L55" s="1614"/>
      <c r="M55" s="1604">
        <f t="shared" si="11"/>
        <v>0</v>
      </c>
      <c r="N55" s="1881">
        <f t="shared" si="11"/>
        <v>0</v>
      </c>
      <c r="O55" s="1881">
        <f t="shared" si="11"/>
        <v>0</v>
      </c>
      <c r="P55" s="1593"/>
      <c r="Q55" s="1612"/>
      <c r="R55" s="1600">
        <f t="shared" si="20"/>
        <v>0</v>
      </c>
      <c r="S55" s="1614">
        <v>0</v>
      </c>
      <c r="T55" s="1614">
        <v>0</v>
      </c>
      <c r="U55" s="1600">
        <f t="shared" si="21"/>
        <v>0</v>
      </c>
      <c r="V55" s="1614">
        <v>0</v>
      </c>
      <c r="W55" s="1614">
        <v>0</v>
      </c>
    </row>
    <row r="56" spans="1:24" ht="45" hidden="1" customHeight="1">
      <c r="A56" s="2024" t="e">
        <f>#REF!+1</f>
        <v>#REF!</v>
      </c>
      <c r="B56" s="1883" t="s">
        <v>1443</v>
      </c>
      <c r="C56" s="2024">
        <v>14065</v>
      </c>
      <c r="D56" s="1600">
        <f t="shared" si="13"/>
        <v>0</v>
      </c>
      <c r="E56" s="1608"/>
      <c r="F56" s="1616">
        <v>0</v>
      </c>
      <c r="G56" s="1600">
        <f t="shared" si="24"/>
        <v>0</v>
      </c>
      <c r="H56" s="1608"/>
      <c r="I56" s="1608">
        <v>0</v>
      </c>
      <c r="J56" s="1600">
        <f t="shared" si="23"/>
        <v>0</v>
      </c>
      <c r="K56" s="1608"/>
      <c r="L56" s="1608"/>
      <c r="M56" s="1604">
        <f t="shared" si="11"/>
        <v>0</v>
      </c>
      <c r="N56" s="1881">
        <f t="shared" si="11"/>
        <v>0</v>
      </c>
      <c r="O56" s="1881">
        <f t="shared" si="11"/>
        <v>0</v>
      </c>
      <c r="P56" s="1593" t="s">
        <v>1290</v>
      </c>
      <c r="Q56" s="1593" t="s">
        <v>1240</v>
      </c>
      <c r="R56" s="1600">
        <f t="shared" si="20"/>
        <v>0</v>
      </c>
      <c r="S56" s="1614">
        <v>0</v>
      </c>
      <c r="T56" s="1614">
        <v>0</v>
      </c>
      <c r="U56" s="1600">
        <f t="shared" si="21"/>
        <v>0</v>
      </c>
      <c r="V56" s="1614">
        <v>0</v>
      </c>
      <c r="W56" s="1614">
        <v>0</v>
      </c>
    </row>
    <row r="57" spans="1:24" ht="36" hidden="1" customHeight="1">
      <c r="A57" s="2024" t="e">
        <f>#REF!+1</f>
        <v>#REF!</v>
      </c>
      <c r="B57" s="1883" t="s">
        <v>1451</v>
      </c>
      <c r="C57" s="1880">
        <v>14082</v>
      </c>
      <c r="D57" s="1600">
        <f t="shared" si="13"/>
        <v>0</v>
      </c>
      <c r="E57" s="1608"/>
      <c r="F57" s="1616">
        <v>0</v>
      </c>
      <c r="G57" s="1600">
        <f t="shared" si="24"/>
        <v>0</v>
      </c>
      <c r="H57" s="1608"/>
      <c r="I57" s="1608">
        <v>0</v>
      </c>
      <c r="J57" s="1600">
        <f t="shared" si="23"/>
        <v>0</v>
      </c>
      <c r="K57" s="1608"/>
      <c r="L57" s="1608"/>
      <c r="M57" s="1604">
        <f t="shared" si="11"/>
        <v>0</v>
      </c>
      <c r="N57" s="1881">
        <f t="shared" si="11"/>
        <v>0</v>
      </c>
      <c r="O57" s="1881">
        <f t="shared" si="11"/>
        <v>0</v>
      </c>
      <c r="P57" s="1593" t="s">
        <v>1290</v>
      </c>
      <c r="Q57" s="1593" t="s">
        <v>1240</v>
      </c>
      <c r="R57" s="1600">
        <f t="shared" si="20"/>
        <v>0</v>
      </c>
      <c r="S57" s="1614">
        <v>0</v>
      </c>
      <c r="T57" s="1614">
        <v>0</v>
      </c>
      <c r="U57" s="1600">
        <f t="shared" si="21"/>
        <v>0</v>
      </c>
      <c r="V57" s="1614">
        <v>0</v>
      </c>
      <c r="W57" s="1614">
        <v>0</v>
      </c>
    </row>
    <row r="58" spans="1:24" ht="40.5" hidden="1" customHeight="1">
      <c r="A58" s="2024" t="e">
        <f>#REF!+1</f>
        <v>#REF!</v>
      </c>
      <c r="B58" s="1883" t="s">
        <v>1453</v>
      </c>
      <c r="C58" s="1880">
        <v>14084</v>
      </c>
      <c r="D58" s="1600">
        <f t="shared" si="13"/>
        <v>0</v>
      </c>
      <c r="E58" s="1608"/>
      <c r="F58" s="1616">
        <v>0</v>
      </c>
      <c r="G58" s="1600">
        <f t="shared" si="24"/>
        <v>0</v>
      </c>
      <c r="H58" s="1608"/>
      <c r="I58" s="1608">
        <v>0</v>
      </c>
      <c r="J58" s="1600">
        <f t="shared" si="23"/>
        <v>0</v>
      </c>
      <c r="K58" s="1608"/>
      <c r="L58" s="1608"/>
      <c r="M58" s="1604">
        <f t="shared" si="11"/>
        <v>0</v>
      </c>
      <c r="N58" s="1881">
        <f t="shared" si="11"/>
        <v>0</v>
      </c>
      <c r="O58" s="1881">
        <f t="shared" si="11"/>
        <v>0</v>
      </c>
      <c r="P58" s="1593" t="s">
        <v>1290</v>
      </c>
      <c r="Q58" s="1593" t="s">
        <v>1240</v>
      </c>
      <c r="R58" s="1600">
        <f t="shared" si="20"/>
        <v>0</v>
      </c>
      <c r="S58" s="1614">
        <v>0</v>
      </c>
      <c r="T58" s="1614">
        <v>0</v>
      </c>
      <c r="U58" s="1600">
        <f t="shared" si="21"/>
        <v>0</v>
      </c>
      <c r="V58" s="1614">
        <v>0</v>
      </c>
      <c r="W58" s="1614">
        <v>0</v>
      </c>
    </row>
    <row r="59" spans="1:24" ht="38.25" hidden="1" customHeight="1">
      <c r="A59" s="2024" t="e">
        <f>A58+1</f>
        <v>#REF!</v>
      </c>
      <c r="B59" s="1883" t="s">
        <v>1454</v>
      </c>
      <c r="C59" s="1880">
        <v>14088</v>
      </c>
      <c r="D59" s="1600">
        <f t="shared" si="13"/>
        <v>0</v>
      </c>
      <c r="E59" s="1608"/>
      <c r="F59" s="1616">
        <v>0</v>
      </c>
      <c r="G59" s="1600">
        <f t="shared" si="24"/>
        <v>0</v>
      </c>
      <c r="H59" s="1608"/>
      <c r="I59" s="1608">
        <v>0</v>
      </c>
      <c r="J59" s="1600">
        <f t="shared" si="23"/>
        <v>0</v>
      </c>
      <c r="K59" s="1608"/>
      <c r="L59" s="1608"/>
      <c r="M59" s="1604">
        <f t="shared" si="11"/>
        <v>0</v>
      </c>
      <c r="N59" s="1881">
        <f t="shared" si="11"/>
        <v>0</v>
      </c>
      <c r="O59" s="1881">
        <f t="shared" si="11"/>
        <v>0</v>
      </c>
      <c r="P59" s="1593" t="s">
        <v>1290</v>
      </c>
      <c r="Q59" s="1593" t="s">
        <v>1240</v>
      </c>
      <c r="R59" s="1600">
        <f t="shared" si="20"/>
        <v>0</v>
      </c>
      <c r="S59" s="1614">
        <v>0</v>
      </c>
      <c r="T59" s="1614">
        <v>0</v>
      </c>
      <c r="U59" s="1600">
        <f t="shared" si="21"/>
        <v>0</v>
      </c>
      <c r="V59" s="1614">
        <v>0</v>
      </c>
      <c r="W59" s="1614">
        <v>0</v>
      </c>
    </row>
    <row r="60" spans="1:24" ht="58.5" hidden="1" customHeight="1">
      <c r="A60" s="2024" t="e">
        <f>#REF!+1</f>
        <v>#REF!</v>
      </c>
      <c r="B60" s="1912" t="s">
        <v>1608</v>
      </c>
      <c r="C60" s="1913"/>
      <c r="D60" s="1600">
        <f t="shared" si="13"/>
        <v>0</v>
      </c>
      <c r="E60" s="1608"/>
      <c r="F60" s="1616">
        <v>0</v>
      </c>
      <c r="G60" s="1600">
        <f t="shared" si="24"/>
        <v>0</v>
      </c>
      <c r="H60" s="1608"/>
      <c r="I60" s="1608">
        <v>0</v>
      </c>
      <c r="J60" s="1600">
        <f t="shared" si="23"/>
        <v>0</v>
      </c>
      <c r="K60" s="1608"/>
      <c r="L60" s="1608"/>
      <c r="M60" s="1893">
        <f t="shared" si="11"/>
        <v>0</v>
      </c>
      <c r="N60" s="1894">
        <f t="shared" si="11"/>
        <v>0</v>
      </c>
      <c r="O60" s="1894">
        <f t="shared" si="11"/>
        <v>0</v>
      </c>
      <c r="P60" s="1593"/>
      <c r="Q60" s="1593"/>
      <c r="R60" s="1600">
        <f t="shared" si="20"/>
        <v>0</v>
      </c>
      <c r="S60" s="1614">
        <v>0</v>
      </c>
      <c r="T60" s="1614">
        <v>0</v>
      </c>
      <c r="U60" s="1600">
        <f t="shared" si="21"/>
        <v>0</v>
      </c>
      <c r="V60" s="1614">
        <v>0</v>
      </c>
      <c r="W60" s="1614">
        <v>0</v>
      </c>
    </row>
    <row r="61" spans="1:24" ht="59.25" hidden="1" customHeight="1">
      <c r="A61" s="2024" t="e">
        <f>A60+1</f>
        <v>#REF!</v>
      </c>
      <c r="B61" s="1912" t="s">
        <v>1594</v>
      </c>
      <c r="C61" s="1913"/>
      <c r="D61" s="1600">
        <f t="shared" si="13"/>
        <v>0</v>
      </c>
      <c r="E61" s="1608"/>
      <c r="F61" s="1616">
        <v>0</v>
      </c>
      <c r="G61" s="1600">
        <f t="shared" si="24"/>
        <v>0</v>
      </c>
      <c r="H61" s="1608"/>
      <c r="I61" s="1608">
        <v>0</v>
      </c>
      <c r="J61" s="1600">
        <f t="shared" si="23"/>
        <v>0</v>
      </c>
      <c r="K61" s="1608"/>
      <c r="L61" s="1608"/>
      <c r="M61" s="1893">
        <f t="shared" si="11"/>
        <v>0</v>
      </c>
      <c r="N61" s="1894">
        <f t="shared" si="11"/>
        <v>0</v>
      </c>
      <c r="O61" s="1894">
        <f t="shared" si="11"/>
        <v>0</v>
      </c>
      <c r="P61" s="1593"/>
      <c r="Q61" s="1593"/>
      <c r="R61" s="1600">
        <f t="shared" si="20"/>
        <v>0</v>
      </c>
      <c r="S61" s="1614">
        <v>0</v>
      </c>
      <c r="T61" s="1614">
        <v>0</v>
      </c>
      <c r="U61" s="1600">
        <f t="shared" si="21"/>
        <v>0</v>
      </c>
      <c r="V61" s="1614">
        <v>0</v>
      </c>
      <c r="W61" s="1614">
        <v>0</v>
      </c>
    </row>
    <row r="62" spans="1:24" s="1607" customFormat="1" ht="60" hidden="1" customHeight="1">
      <c r="A62" s="2024" t="e">
        <f>#REF!+1</f>
        <v>#REF!</v>
      </c>
      <c r="B62" s="493" t="s">
        <v>1492</v>
      </c>
      <c r="C62" s="2024">
        <v>14091</v>
      </c>
      <c r="D62" s="1600">
        <f t="shared" si="13"/>
        <v>0</v>
      </c>
      <c r="E62" s="1614"/>
      <c r="F62" s="1615">
        <v>0</v>
      </c>
      <c r="G62" s="1600">
        <f t="shared" si="24"/>
        <v>0</v>
      </c>
      <c r="H62" s="1614"/>
      <c r="I62" s="1614">
        <v>0</v>
      </c>
      <c r="J62" s="1600">
        <f t="shared" si="23"/>
        <v>0</v>
      </c>
      <c r="K62" s="1614"/>
      <c r="L62" s="1614"/>
      <c r="M62" s="1604">
        <f t="shared" ref="M62:O102" si="27">IF(J62=0,0,J62/G62*100)</f>
        <v>0</v>
      </c>
      <c r="N62" s="1881">
        <f t="shared" si="27"/>
        <v>0</v>
      </c>
      <c r="O62" s="1881">
        <f t="shared" si="27"/>
        <v>0</v>
      </c>
      <c r="P62" s="1593" t="s">
        <v>1192</v>
      </c>
      <c r="Q62" s="1593" t="s">
        <v>1206</v>
      </c>
      <c r="R62" s="1600">
        <f t="shared" si="20"/>
        <v>0</v>
      </c>
      <c r="S62" s="1614">
        <v>0</v>
      </c>
      <c r="T62" s="1614">
        <v>0</v>
      </c>
      <c r="U62" s="1600">
        <f t="shared" si="21"/>
        <v>0</v>
      </c>
      <c r="V62" s="1608">
        <v>0</v>
      </c>
      <c r="W62" s="1608">
        <v>0</v>
      </c>
    </row>
    <row r="63" spans="1:24" ht="42.75" hidden="1" customHeight="1">
      <c r="A63" s="2024">
        <v>75</v>
      </c>
      <c r="B63" s="1883" t="s">
        <v>1704</v>
      </c>
      <c r="C63" s="1880"/>
      <c r="D63" s="1600">
        <f t="shared" ref="D63:D68" si="28">SUM(E63:F63)</f>
        <v>0</v>
      </c>
      <c r="E63" s="1608"/>
      <c r="F63" s="1616">
        <v>0</v>
      </c>
      <c r="G63" s="1600">
        <f>SUM(H63:I63)</f>
        <v>0</v>
      </c>
      <c r="H63" s="1608"/>
      <c r="I63" s="1608">
        <v>0</v>
      </c>
      <c r="J63" s="1600">
        <f>SUM(K63:L63)</f>
        <v>0</v>
      </c>
      <c r="K63" s="1608"/>
      <c r="L63" s="1608"/>
      <c r="M63" s="1604">
        <f t="shared" si="27"/>
        <v>0</v>
      </c>
      <c r="N63" s="1881">
        <f t="shared" si="27"/>
        <v>0</v>
      </c>
      <c r="O63" s="1881">
        <f t="shared" si="27"/>
        <v>0</v>
      </c>
      <c r="P63" s="1593"/>
      <c r="Q63" s="1593"/>
      <c r="R63" s="1600"/>
      <c r="S63" s="1608"/>
      <c r="T63" s="1608"/>
      <c r="U63" s="1600"/>
      <c r="V63" s="1608"/>
      <c r="W63" s="1608"/>
    </row>
    <row r="64" spans="1:24" ht="30" hidden="1" customHeight="1">
      <c r="A64" s="2024">
        <v>76</v>
      </c>
      <c r="B64" s="1883" t="s">
        <v>1705</v>
      </c>
      <c r="C64" s="1880"/>
      <c r="D64" s="1600">
        <f t="shared" si="28"/>
        <v>0</v>
      </c>
      <c r="E64" s="1608"/>
      <c r="F64" s="1616">
        <v>0</v>
      </c>
      <c r="G64" s="1600">
        <f>SUM(H64:I64)</f>
        <v>0</v>
      </c>
      <c r="H64" s="1608"/>
      <c r="I64" s="1608">
        <v>0</v>
      </c>
      <c r="J64" s="1600">
        <f>SUM(K64:L64)</f>
        <v>0</v>
      </c>
      <c r="K64" s="1608"/>
      <c r="L64" s="1608"/>
      <c r="M64" s="1604">
        <f t="shared" si="27"/>
        <v>0</v>
      </c>
      <c r="N64" s="1881">
        <f t="shared" si="27"/>
        <v>0</v>
      </c>
      <c r="O64" s="1881">
        <f t="shared" si="27"/>
        <v>0</v>
      </c>
      <c r="P64" s="1593"/>
      <c r="Q64" s="1593"/>
      <c r="R64" s="1600"/>
      <c r="S64" s="1608"/>
      <c r="T64" s="1608"/>
      <c r="U64" s="1600"/>
      <c r="V64" s="1608"/>
      <c r="W64" s="1608"/>
    </row>
    <row r="65" spans="1:24" s="484" customFormat="1" ht="23.25">
      <c r="A65" s="1898" t="s">
        <v>50</v>
      </c>
      <c r="B65" s="2030" t="s">
        <v>1733</v>
      </c>
      <c r="C65" s="1898"/>
      <c r="D65" s="1899">
        <f t="shared" si="28"/>
        <v>43304.1</v>
      </c>
      <c r="E65" s="1899">
        <f>SUM(E66:E74)</f>
        <v>0</v>
      </c>
      <c r="F65" s="1899">
        <f>SUM(F66:F74)</f>
        <v>43304.1</v>
      </c>
      <c r="G65" s="1899">
        <f t="shared" si="24"/>
        <v>43304.1</v>
      </c>
      <c r="H65" s="1899">
        <f>SUM(H66:H74)</f>
        <v>0</v>
      </c>
      <c r="I65" s="1899">
        <f>SUM(I66:I74)</f>
        <v>43304.1</v>
      </c>
      <c r="J65" s="1899">
        <f t="shared" si="23"/>
        <v>1972.9</v>
      </c>
      <c r="K65" s="1899">
        <f>SUM(K66:K74)</f>
        <v>0</v>
      </c>
      <c r="L65" s="1899">
        <f>SUM(L66:L74)</f>
        <v>1972.9</v>
      </c>
      <c r="M65" s="1900">
        <f t="shared" si="27"/>
        <v>4.5999999999999996</v>
      </c>
      <c r="N65" s="1901">
        <f t="shared" si="27"/>
        <v>0</v>
      </c>
      <c r="O65" s="1901">
        <f t="shared" si="27"/>
        <v>4.5999999999999996</v>
      </c>
      <c r="P65" s="2026" t="e">
        <f>SUM(#REF!+#REF!+P82)</f>
        <v>#REF!</v>
      </c>
      <c r="Q65" s="2026" t="e">
        <f>SUM(#REF!+#REF!+Q82)</f>
        <v>#REF!</v>
      </c>
      <c r="R65" s="1899">
        <f t="shared" si="20"/>
        <v>1000</v>
      </c>
      <c r="S65" s="1899">
        <f>SUM(S66:S74)</f>
        <v>0</v>
      </c>
      <c r="T65" s="1899">
        <f>SUM(T66:T74)</f>
        <v>1000</v>
      </c>
      <c r="U65" s="1899">
        <f t="shared" si="21"/>
        <v>0</v>
      </c>
      <c r="V65" s="1899">
        <f>SUM(V66:V74)</f>
        <v>0</v>
      </c>
      <c r="W65" s="1899">
        <f>SUM(W66:W74)</f>
        <v>0</v>
      </c>
      <c r="X65" s="1423">
        <f>D65-G65</f>
        <v>0</v>
      </c>
    </row>
    <row r="66" spans="1:24" ht="37.5" hidden="1" customHeight="1">
      <c r="A66" s="2024" t="e">
        <f>#REF!+1</f>
        <v>#REF!</v>
      </c>
      <c r="B66" s="1912" t="s">
        <v>1591</v>
      </c>
      <c r="C66" s="1913">
        <v>14098</v>
      </c>
      <c r="D66" s="1600">
        <f t="shared" si="28"/>
        <v>0</v>
      </c>
      <c r="E66" s="1608"/>
      <c r="F66" s="1616">
        <v>0</v>
      </c>
      <c r="G66" s="1600">
        <f t="shared" si="24"/>
        <v>0</v>
      </c>
      <c r="H66" s="1608"/>
      <c r="I66" s="1608">
        <v>0</v>
      </c>
      <c r="J66" s="1600">
        <f>SUM(K66:L66)</f>
        <v>0</v>
      </c>
      <c r="K66" s="1608"/>
      <c r="L66" s="1608"/>
      <c r="M66" s="1893">
        <f t="shared" si="27"/>
        <v>0</v>
      </c>
      <c r="N66" s="1894">
        <f t="shared" si="27"/>
        <v>0</v>
      </c>
      <c r="O66" s="1894">
        <f t="shared" si="27"/>
        <v>0</v>
      </c>
      <c r="P66" s="1593"/>
      <c r="Q66" s="1593"/>
      <c r="R66" s="1600">
        <f>SUM(S66:T66)</f>
        <v>0</v>
      </c>
      <c r="S66" s="1614">
        <v>0</v>
      </c>
      <c r="T66" s="1614">
        <v>0</v>
      </c>
      <c r="U66" s="1600">
        <f>SUM(V66:W66)</f>
        <v>0</v>
      </c>
      <c r="V66" s="1608">
        <v>0</v>
      </c>
      <c r="W66" s="1608">
        <v>0</v>
      </c>
    </row>
    <row r="67" spans="1:24" ht="37.5" customHeight="1">
      <c r="A67" s="2025" t="s">
        <v>1338</v>
      </c>
      <c r="B67" s="2015" t="s">
        <v>766</v>
      </c>
      <c r="C67" s="1913"/>
      <c r="D67" s="1600">
        <f t="shared" si="28"/>
        <v>670</v>
      </c>
      <c r="E67" s="1608"/>
      <c r="F67" s="1616">
        <v>670</v>
      </c>
      <c r="G67" s="1600">
        <f>SUM(H67:I67)</f>
        <v>670</v>
      </c>
      <c r="H67" s="1616">
        <f t="shared" ref="H67:I70" si="29">E67</f>
        <v>0</v>
      </c>
      <c r="I67" s="1616">
        <f t="shared" si="29"/>
        <v>670</v>
      </c>
      <c r="J67" s="1600">
        <f>SUM(K67:L67)</f>
        <v>0</v>
      </c>
      <c r="K67" s="1608"/>
      <c r="L67" s="1608"/>
      <c r="M67" s="1893">
        <f t="shared" si="27"/>
        <v>0</v>
      </c>
      <c r="N67" s="1894">
        <f t="shared" si="27"/>
        <v>0</v>
      </c>
      <c r="O67" s="1894">
        <f t="shared" si="27"/>
        <v>0</v>
      </c>
      <c r="P67" s="1593"/>
      <c r="Q67" s="1593"/>
      <c r="R67" s="1600"/>
      <c r="S67" s="1614"/>
      <c r="T67" s="1614"/>
      <c r="U67" s="1600"/>
      <c r="V67" s="1608"/>
      <c r="W67" s="1608"/>
      <c r="X67" s="1423">
        <f>D67-G67</f>
        <v>0</v>
      </c>
    </row>
    <row r="68" spans="1:24" s="1607" customFormat="1" ht="63" customHeight="1">
      <c r="A68" s="2025" t="s">
        <v>1339</v>
      </c>
      <c r="B68" s="521" t="s">
        <v>1661</v>
      </c>
      <c r="C68" s="1882"/>
      <c r="D68" s="1600">
        <f t="shared" si="28"/>
        <v>1592.1</v>
      </c>
      <c r="E68" s="1608"/>
      <c r="F68" s="1616">
        <f>1000+592.1</f>
        <v>1592.1</v>
      </c>
      <c r="G68" s="1600">
        <f t="shared" si="24"/>
        <v>1592.1</v>
      </c>
      <c r="H68" s="1616">
        <f t="shared" si="29"/>
        <v>0</v>
      </c>
      <c r="I68" s="1616">
        <f t="shared" si="29"/>
        <v>1592.1</v>
      </c>
      <c r="J68" s="1600">
        <f>SUM(K68:L68)</f>
        <v>0</v>
      </c>
      <c r="K68" s="1608"/>
      <c r="L68" s="1608"/>
      <c r="M68" s="1604">
        <f t="shared" si="27"/>
        <v>0</v>
      </c>
      <c r="N68" s="1881">
        <f t="shared" si="27"/>
        <v>0</v>
      </c>
      <c r="O68" s="1881">
        <f t="shared" si="27"/>
        <v>0</v>
      </c>
      <c r="P68" s="1593"/>
      <c r="Q68" s="1593"/>
      <c r="R68" s="1600">
        <f>SUM(S68:T68)</f>
        <v>0</v>
      </c>
      <c r="S68" s="1614">
        <v>0</v>
      </c>
      <c r="T68" s="1614">
        <v>0</v>
      </c>
      <c r="U68" s="1600">
        <f>SUM(V68:W68)</f>
        <v>0</v>
      </c>
      <c r="V68" s="1608">
        <v>0</v>
      </c>
      <c r="W68" s="1608">
        <v>0</v>
      </c>
      <c r="X68" s="1423">
        <f>D68-G68</f>
        <v>0</v>
      </c>
    </row>
    <row r="69" spans="1:24" s="1570" customFormat="1" ht="42.75" customHeight="1">
      <c r="A69" s="2025" t="s">
        <v>1741</v>
      </c>
      <c r="B69" s="1885" t="s">
        <v>1676</v>
      </c>
      <c r="C69" s="1880"/>
      <c r="D69" s="1600">
        <f t="shared" si="13"/>
        <v>1910.9</v>
      </c>
      <c r="E69" s="1614"/>
      <c r="F69" s="1615">
        <f>1000+910.9</f>
        <v>1910.9</v>
      </c>
      <c r="G69" s="1600">
        <f t="shared" si="24"/>
        <v>1910.9</v>
      </c>
      <c r="H69" s="1616">
        <f t="shared" si="29"/>
        <v>0</v>
      </c>
      <c r="I69" s="1616">
        <f t="shared" si="29"/>
        <v>1910.9</v>
      </c>
      <c r="J69" s="1600">
        <f t="shared" si="23"/>
        <v>474.9</v>
      </c>
      <c r="K69" s="1614"/>
      <c r="L69" s="1614">
        <v>474.9</v>
      </c>
      <c r="M69" s="1604">
        <f t="shared" si="27"/>
        <v>24.9</v>
      </c>
      <c r="N69" s="1881">
        <f t="shared" si="27"/>
        <v>0</v>
      </c>
      <c r="O69" s="1881">
        <f t="shared" si="27"/>
        <v>24.9</v>
      </c>
      <c r="P69" s="1593"/>
      <c r="Q69" s="1612"/>
      <c r="R69" s="1600">
        <f t="shared" si="20"/>
        <v>0</v>
      </c>
      <c r="S69" s="1614">
        <v>0</v>
      </c>
      <c r="T69" s="1614">
        <v>0</v>
      </c>
      <c r="U69" s="1600">
        <f t="shared" si="21"/>
        <v>0</v>
      </c>
      <c r="V69" s="1608">
        <v>0</v>
      </c>
      <c r="W69" s="1608">
        <v>0</v>
      </c>
      <c r="X69" s="1423">
        <f>D69-G69</f>
        <v>0</v>
      </c>
    </row>
    <row r="70" spans="1:24" s="1570" customFormat="1" ht="43.5" customHeight="1">
      <c r="A70" s="2025" t="s">
        <v>1742</v>
      </c>
      <c r="B70" s="1888" t="s">
        <v>1596</v>
      </c>
      <c r="C70" s="1880"/>
      <c r="D70" s="1600">
        <f t="shared" si="13"/>
        <v>1571.9</v>
      </c>
      <c r="E70" s="1614"/>
      <c r="F70" s="1615">
        <f>1500+71.9</f>
        <v>1571.9</v>
      </c>
      <c r="G70" s="1600">
        <f t="shared" si="24"/>
        <v>1571.9</v>
      </c>
      <c r="H70" s="1616">
        <f t="shared" si="29"/>
        <v>0</v>
      </c>
      <c r="I70" s="1616">
        <f t="shared" si="29"/>
        <v>1571.9</v>
      </c>
      <c r="J70" s="1600">
        <f t="shared" si="23"/>
        <v>1198</v>
      </c>
      <c r="K70" s="1614"/>
      <c r="L70" s="1614">
        <v>1198</v>
      </c>
      <c r="M70" s="1604">
        <f t="shared" si="27"/>
        <v>76.2</v>
      </c>
      <c r="N70" s="1881">
        <f t="shared" si="27"/>
        <v>0</v>
      </c>
      <c r="O70" s="1881">
        <f t="shared" si="27"/>
        <v>76.2</v>
      </c>
      <c r="P70" s="1593"/>
      <c r="Q70" s="1612"/>
      <c r="R70" s="1600">
        <f t="shared" si="20"/>
        <v>0</v>
      </c>
      <c r="S70" s="1614">
        <v>0</v>
      </c>
      <c r="T70" s="1614">
        <v>0</v>
      </c>
      <c r="U70" s="1600">
        <f t="shared" si="21"/>
        <v>0</v>
      </c>
      <c r="V70" s="1608">
        <v>0</v>
      </c>
      <c r="W70" s="1608">
        <v>0</v>
      </c>
      <c r="X70" s="1423">
        <f>D70-G70</f>
        <v>0</v>
      </c>
    </row>
    <row r="71" spans="1:24" s="1570" customFormat="1" ht="69" hidden="1" customHeight="1">
      <c r="A71" s="2024">
        <v>79</v>
      </c>
      <c r="B71" s="1888" t="s">
        <v>1703</v>
      </c>
      <c r="C71" s="1880"/>
      <c r="D71" s="1600">
        <f>SUM(E71:F71)</f>
        <v>0</v>
      </c>
      <c r="E71" s="1614"/>
      <c r="F71" s="1615">
        <v>0</v>
      </c>
      <c r="G71" s="1600">
        <f>SUM(H71:I71)</f>
        <v>0</v>
      </c>
      <c r="H71" s="1614"/>
      <c r="I71" s="1614">
        <v>0</v>
      </c>
      <c r="J71" s="1600">
        <f>SUM(K71:L71)</f>
        <v>0</v>
      </c>
      <c r="K71" s="1614"/>
      <c r="L71" s="1614">
        <v>0</v>
      </c>
      <c r="M71" s="1604">
        <f t="shared" si="27"/>
        <v>0</v>
      </c>
      <c r="N71" s="1881">
        <f t="shared" si="27"/>
        <v>0</v>
      </c>
      <c r="O71" s="1881">
        <f t="shared" si="27"/>
        <v>0</v>
      </c>
      <c r="P71" s="1593"/>
      <c r="Q71" s="1612"/>
      <c r="R71" s="1600"/>
      <c r="S71" s="1614"/>
      <c r="T71" s="1614"/>
      <c r="U71" s="1600"/>
      <c r="V71" s="1608"/>
      <c r="W71" s="1608"/>
    </row>
    <row r="72" spans="1:24" s="484" customFormat="1" ht="49.5" customHeight="1">
      <c r="A72" s="2025" t="s">
        <v>1743</v>
      </c>
      <c r="B72" s="1915" t="s">
        <v>694</v>
      </c>
      <c r="C72" s="1866" t="s">
        <v>1548</v>
      </c>
      <c r="D72" s="1600">
        <f t="shared" si="13"/>
        <v>6000</v>
      </c>
      <c r="E72" s="1614"/>
      <c r="F72" s="1615">
        <f>19000-13000</f>
        <v>6000</v>
      </c>
      <c r="G72" s="1600">
        <f t="shared" si="24"/>
        <v>6000</v>
      </c>
      <c r="H72" s="1616">
        <f t="shared" ref="H72:I74" si="30">E72</f>
        <v>0</v>
      </c>
      <c r="I72" s="1616">
        <f t="shared" si="30"/>
        <v>6000</v>
      </c>
      <c r="J72" s="1600">
        <f t="shared" si="23"/>
        <v>0</v>
      </c>
      <c r="K72" s="1614"/>
      <c r="L72" s="1614"/>
      <c r="M72" s="1893">
        <f t="shared" si="27"/>
        <v>0</v>
      </c>
      <c r="N72" s="1894">
        <f t="shared" si="27"/>
        <v>0</v>
      </c>
      <c r="O72" s="1894">
        <f t="shared" si="27"/>
        <v>0</v>
      </c>
      <c r="P72" s="1593" t="s">
        <v>1272</v>
      </c>
      <c r="Q72" s="1593" t="s">
        <v>1273</v>
      </c>
      <c r="R72" s="1600">
        <f t="shared" si="20"/>
        <v>1000</v>
      </c>
      <c r="S72" s="1614">
        <v>0</v>
      </c>
      <c r="T72" s="1614">
        <v>1000</v>
      </c>
      <c r="U72" s="1600">
        <f t="shared" si="21"/>
        <v>0</v>
      </c>
      <c r="V72" s="1608">
        <v>0</v>
      </c>
      <c r="W72" s="1608">
        <v>0</v>
      </c>
      <c r="X72" s="1423">
        <f>D72-G72</f>
        <v>0</v>
      </c>
    </row>
    <row r="73" spans="1:24" s="1607" customFormat="1" ht="66" customHeight="1">
      <c r="A73" s="2025" t="s">
        <v>1744</v>
      </c>
      <c r="B73" s="1914" t="s">
        <v>1600</v>
      </c>
      <c r="C73" s="2024"/>
      <c r="D73" s="1600">
        <f t="shared" si="13"/>
        <v>1559.2</v>
      </c>
      <c r="E73" s="1608"/>
      <c r="F73" s="1616">
        <f>1000+559.2</f>
        <v>1559.2</v>
      </c>
      <c r="G73" s="1600">
        <f t="shared" si="24"/>
        <v>1559.2</v>
      </c>
      <c r="H73" s="1616">
        <f t="shared" si="30"/>
        <v>0</v>
      </c>
      <c r="I73" s="1616">
        <f t="shared" si="30"/>
        <v>1559.2</v>
      </c>
      <c r="J73" s="1600">
        <f t="shared" si="23"/>
        <v>300</v>
      </c>
      <c r="K73" s="1608"/>
      <c r="L73" s="1608">
        <v>300</v>
      </c>
      <c r="M73" s="1604">
        <f t="shared" si="27"/>
        <v>19.2</v>
      </c>
      <c r="N73" s="1881">
        <f t="shared" si="27"/>
        <v>0</v>
      </c>
      <c r="O73" s="1881">
        <f t="shared" si="27"/>
        <v>19.2</v>
      </c>
      <c r="P73" s="1593"/>
      <c r="Q73" s="1593"/>
      <c r="R73" s="1600">
        <f t="shared" si="20"/>
        <v>0</v>
      </c>
      <c r="S73" s="1608">
        <v>0</v>
      </c>
      <c r="T73" s="1608">
        <v>0</v>
      </c>
      <c r="U73" s="1600">
        <f t="shared" si="21"/>
        <v>0</v>
      </c>
      <c r="V73" s="1608">
        <v>0</v>
      </c>
      <c r="W73" s="1608">
        <v>0</v>
      </c>
      <c r="X73" s="1423">
        <f>D73-G73</f>
        <v>0</v>
      </c>
    </row>
    <row r="74" spans="1:24" s="484" customFormat="1" ht="53.25" customHeight="1">
      <c r="A74" s="2025" t="s">
        <v>1745</v>
      </c>
      <c r="B74" s="1915" t="s">
        <v>698</v>
      </c>
      <c r="C74" s="1866"/>
      <c r="D74" s="1600">
        <f t="shared" ref="D74:D148" si="31">SUM(E74:F74)</f>
        <v>30000</v>
      </c>
      <c r="E74" s="1614"/>
      <c r="F74" s="1615">
        <v>30000</v>
      </c>
      <c r="G74" s="1600">
        <f t="shared" si="24"/>
        <v>30000</v>
      </c>
      <c r="H74" s="1616">
        <f t="shared" si="30"/>
        <v>0</v>
      </c>
      <c r="I74" s="1616">
        <f t="shared" si="30"/>
        <v>30000</v>
      </c>
      <c r="J74" s="1600">
        <f>SUM(K74:L74)</f>
        <v>0</v>
      </c>
      <c r="K74" s="1614"/>
      <c r="L74" s="1614"/>
      <c r="M74" s="1893">
        <f t="shared" si="27"/>
        <v>0</v>
      </c>
      <c r="N74" s="1894">
        <f t="shared" si="27"/>
        <v>0</v>
      </c>
      <c r="O74" s="1894">
        <f t="shared" si="27"/>
        <v>0</v>
      </c>
      <c r="P74" s="1593" t="s">
        <v>1306</v>
      </c>
      <c r="Q74" s="1593" t="s">
        <v>1277</v>
      </c>
      <c r="R74" s="1600">
        <f t="shared" si="20"/>
        <v>0</v>
      </c>
      <c r="S74" s="1608">
        <v>0</v>
      </c>
      <c r="T74" s="1608">
        <v>0</v>
      </c>
      <c r="U74" s="1600">
        <f t="shared" si="21"/>
        <v>0</v>
      </c>
      <c r="V74" s="1608">
        <v>0</v>
      </c>
      <c r="W74" s="1608">
        <v>0</v>
      </c>
      <c r="X74" s="1423">
        <f>D74-G74</f>
        <v>0</v>
      </c>
    </row>
    <row r="75" spans="1:24" ht="37.5" hidden="1">
      <c r="A75" s="2024" t="e">
        <f>#REF!+1</f>
        <v>#REF!</v>
      </c>
      <c r="B75" s="1888" t="s">
        <v>1645</v>
      </c>
      <c r="C75" s="1866"/>
      <c r="D75" s="1600">
        <f>E75+F75</f>
        <v>0</v>
      </c>
      <c r="E75" s="1614">
        <v>0</v>
      </c>
      <c r="F75" s="1614">
        <v>0</v>
      </c>
      <c r="G75" s="1600">
        <f>H75+I75</f>
        <v>0</v>
      </c>
      <c r="H75" s="1614">
        <v>0</v>
      </c>
      <c r="I75" s="1614">
        <v>0</v>
      </c>
      <c r="J75" s="1600">
        <f>K75+L75</f>
        <v>0</v>
      </c>
      <c r="K75" s="1614"/>
      <c r="L75" s="1614"/>
      <c r="M75" s="1600">
        <f t="shared" si="27"/>
        <v>0</v>
      </c>
      <c r="N75" s="1614">
        <f t="shared" si="27"/>
        <v>0</v>
      </c>
      <c r="O75" s="1614">
        <f t="shared" si="27"/>
        <v>0</v>
      </c>
      <c r="P75" s="1593"/>
      <c r="Q75" s="1593"/>
      <c r="R75" s="1600">
        <f>S75+T75</f>
        <v>416896.2</v>
      </c>
      <c r="S75" s="1614">
        <v>412727.2</v>
      </c>
      <c r="T75" s="1614">
        <v>4169</v>
      </c>
      <c r="U75" s="1600">
        <f>V75+W75</f>
        <v>416896.2</v>
      </c>
      <c r="V75" s="1614">
        <v>412727.2</v>
      </c>
      <c r="W75" s="1614">
        <v>4169</v>
      </c>
    </row>
    <row r="76" spans="1:24" ht="19.5" hidden="1" customHeight="1">
      <c r="A76" s="2024"/>
      <c r="B76" s="1897" t="s">
        <v>1648</v>
      </c>
      <c r="C76" s="1899">
        <v>47690.1</v>
      </c>
      <c r="D76" s="1899">
        <f>D77+D79+D78</f>
        <v>0</v>
      </c>
      <c r="E76" s="1899">
        <f t="shared" ref="E76:W76" si="32">E77+E79+E78</f>
        <v>0</v>
      </c>
      <c r="F76" s="1899">
        <f t="shared" si="32"/>
        <v>0</v>
      </c>
      <c r="G76" s="1899">
        <f t="shared" si="32"/>
        <v>0</v>
      </c>
      <c r="H76" s="1899">
        <f t="shared" si="32"/>
        <v>0</v>
      </c>
      <c r="I76" s="1899">
        <f t="shared" si="32"/>
        <v>0</v>
      </c>
      <c r="J76" s="1899">
        <f t="shared" si="32"/>
        <v>0</v>
      </c>
      <c r="K76" s="1899">
        <f t="shared" si="32"/>
        <v>0</v>
      </c>
      <c r="L76" s="1899">
        <f t="shared" si="32"/>
        <v>0</v>
      </c>
      <c r="M76" s="1899">
        <f t="shared" si="27"/>
        <v>0</v>
      </c>
      <c r="N76" s="1899">
        <f t="shared" si="27"/>
        <v>0</v>
      </c>
      <c r="O76" s="1899">
        <f t="shared" si="27"/>
        <v>0</v>
      </c>
      <c r="P76" s="1899">
        <f t="shared" si="32"/>
        <v>0</v>
      </c>
      <c r="Q76" s="1899">
        <f t="shared" si="32"/>
        <v>0</v>
      </c>
      <c r="R76" s="1899">
        <f t="shared" si="32"/>
        <v>182695.3</v>
      </c>
      <c r="S76" s="1899">
        <f t="shared" si="32"/>
        <v>180868.3</v>
      </c>
      <c r="T76" s="1899">
        <f t="shared" si="32"/>
        <v>1827</v>
      </c>
      <c r="U76" s="1899">
        <f t="shared" si="32"/>
        <v>272422.7</v>
      </c>
      <c r="V76" s="1899">
        <f t="shared" si="32"/>
        <v>269698.5</v>
      </c>
      <c r="W76" s="1899">
        <f t="shared" si="32"/>
        <v>2724.2</v>
      </c>
    </row>
    <row r="77" spans="1:24" ht="18" hidden="1" customHeight="1">
      <c r="A77" s="2024" t="e">
        <f>#REF!+1</f>
        <v>#REF!</v>
      </c>
      <c r="B77" s="1916" t="s">
        <v>1467</v>
      </c>
      <c r="C77" s="1866"/>
      <c r="D77" s="1600">
        <v>0</v>
      </c>
      <c r="E77" s="1614">
        <v>0</v>
      </c>
      <c r="F77" s="1614">
        <v>0</v>
      </c>
      <c r="G77" s="1600">
        <v>0</v>
      </c>
      <c r="H77" s="1614">
        <v>0</v>
      </c>
      <c r="I77" s="1614">
        <v>0</v>
      </c>
      <c r="J77" s="1600">
        <v>0</v>
      </c>
      <c r="K77" s="1614">
        <v>0</v>
      </c>
      <c r="L77" s="1614">
        <v>0</v>
      </c>
      <c r="M77" s="1893">
        <f t="shared" si="27"/>
        <v>0</v>
      </c>
      <c r="N77" s="1894">
        <f t="shared" si="27"/>
        <v>0</v>
      </c>
      <c r="O77" s="1894">
        <f t="shared" si="27"/>
        <v>0</v>
      </c>
      <c r="P77" s="1593"/>
      <c r="Q77" s="1593"/>
      <c r="R77" s="1600">
        <f>S77+T77</f>
        <v>82695.3</v>
      </c>
      <c r="S77" s="1614">
        <v>81868.3</v>
      </c>
      <c r="T77" s="1614">
        <v>827</v>
      </c>
      <c r="U77" s="1600">
        <f>V77+W77</f>
        <v>69829.7</v>
      </c>
      <c r="V77" s="1614">
        <v>69131.7</v>
      </c>
      <c r="W77" s="1614">
        <v>698</v>
      </c>
    </row>
    <row r="78" spans="1:24" ht="18" hidden="1" customHeight="1">
      <c r="A78" s="2024" t="e">
        <f>A77+1</f>
        <v>#REF!</v>
      </c>
      <c r="B78" s="1916" t="s">
        <v>1647</v>
      </c>
      <c r="C78" s="1866"/>
      <c r="D78" s="1600">
        <v>0</v>
      </c>
      <c r="E78" s="1614">
        <v>0</v>
      </c>
      <c r="F78" s="1614">
        <v>0</v>
      </c>
      <c r="G78" s="1600">
        <v>0</v>
      </c>
      <c r="H78" s="1614">
        <v>0</v>
      </c>
      <c r="I78" s="1614">
        <v>0</v>
      </c>
      <c r="J78" s="1600">
        <v>0</v>
      </c>
      <c r="K78" s="1614">
        <v>0</v>
      </c>
      <c r="L78" s="1614">
        <v>0</v>
      </c>
      <c r="M78" s="1893">
        <f t="shared" si="27"/>
        <v>0</v>
      </c>
      <c r="N78" s="1894">
        <f t="shared" si="27"/>
        <v>0</v>
      </c>
      <c r="O78" s="1894">
        <f t="shared" si="27"/>
        <v>0</v>
      </c>
      <c r="P78" s="1593"/>
      <c r="Q78" s="1593"/>
      <c r="R78" s="1600">
        <f>S78+T78</f>
        <v>100000</v>
      </c>
      <c r="S78" s="1614">
        <v>99000</v>
      </c>
      <c r="T78" s="1614">
        <v>1000</v>
      </c>
      <c r="U78" s="1600">
        <f>V78+W78</f>
        <v>0</v>
      </c>
      <c r="V78" s="1614">
        <v>0</v>
      </c>
      <c r="W78" s="1614">
        <v>0</v>
      </c>
    </row>
    <row r="79" spans="1:24" ht="15.75" hidden="1" customHeight="1">
      <c r="A79" s="2024" t="e">
        <f>A78+1</f>
        <v>#REF!</v>
      </c>
      <c r="B79" s="1916" t="s">
        <v>1646</v>
      </c>
      <c r="C79" s="1866"/>
      <c r="D79" s="1600">
        <f t="shared" si="31"/>
        <v>0</v>
      </c>
      <c r="E79" s="1614">
        <v>0</v>
      </c>
      <c r="F79" s="1614">
        <v>0</v>
      </c>
      <c r="G79" s="1600">
        <f t="shared" ref="G79:G120" si="33">SUM(H79:I79)</f>
        <v>0</v>
      </c>
      <c r="H79" s="1614">
        <v>0</v>
      </c>
      <c r="I79" s="1614">
        <v>0</v>
      </c>
      <c r="J79" s="1600">
        <f t="shared" ref="J79:J139" si="34">SUM(K79:L79)</f>
        <v>0</v>
      </c>
      <c r="K79" s="1614">
        <v>0</v>
      </c>
      <c r="L79" s="1614">
        <v>0</v>
      </c>
      <c r="M79" s="1600">
        <f t="shared" si="27"/>
        <v>0</v>
      </c>
      <c r="N79" s="1614">
        <f t="shared" si="27"/>
        <v>0</v>
      </c>
      <c r="O79" s="1614">
        <f t="shared" si="27"/>
        <v>0</v>
      </c>
      <c r="P79" s="1593"/>
      <c r="Q79" s="1593"/>
      <c r="R79" s="1600">
        <f>S79+T79</f>
        <v>0</v>
      </c>
      <c r="S79" s="1614">
        <v>0</v>
      </c>
      <c r="T79" s="1614">
        <v>0</v>
      </c>
      <c r="U79" s="1600">
        <f>V79+W79</f>
        <v>202593</v>
      </c>
      <c r="V79" s="1614">
        <v>200566.8</v>
      </c>
      <c r="W79" s="1614">
        <v>2026.2</v>
      </c>
    </row>
    <row r="80" spans="1:24" ht="27" hidden="1" customHeight="1">
      <c r="A80" s="2024"/>
      <c r="B80" s="1897" t="s">
        <v>1650</v>
      </c>
      <c r="C80" s="1898"/>
      <c r="D80" s="1899">
        <f>SUM(E80:F80)</f>
        <v>0</v>
      </c>
      <c r="E80" s="1899">
        <f>SUM(E81)</f>
        <v>0</v>
      </c>
      <c r="F80" s="1899">
        <f>SUM(F81)</f>
        <v>0</v>
      </c>
      <c r="G80" s="1899">
        <f t="shared" si="33"/>
        <v>0</v>
      </c>
      <c r="H80" s="1899">
        <f>SUM(H81)</f>
        <v>0</v>
      </c>
      <c r="I80" s="1899">
        <f>SUM(I81)</f>
        <v>0</v>
      </c>
      <c r="J80" s="1899">
        <f>SUM(K80:L80)</f>
        <v>0</v>
      </c>
      <c r="K80" s="1899">
        <f>SUM(K81)</f>
        <v>0</v>
      </c>
      <c r="L80" s="1899">
        <f>SUM(L81)</f>
        <v>0</v>
      </c>
      <c r="M80" s="1910">
        <f t="shared" si="27"/>
        <v>0</v>
      </c>
      <c r="N80" s="1911">
        <f t="shared" si="27"/>
        <v>0</v>
      </c>
      <c r="O80" s="1911">
        <f t="shared" si="27"/>
        <v>0</v>
      </c>
      <c r="P80" s="1599"/>
      <c r="Q80" s="1599"/>
      <c r="R80" s="1899">
        <f>SUM(S80:T80)</f>
        <v>0</v>
      </c>
      <c r="S80" s="1899">
        <f>SUM(S81)</f>
        <v>0</v>
      </c>
      <c r="T80" s="1899">
        <f>SUM(T81)</f>
        <v>0</v>
      </c>
      <c r="U80" s="1899">
        <f>SUM(V80:W80)</f>
        <v>788784.8</v>
      </c>
      <c r="V80" s="1899">
        <f>SUM(V81)</f>
        <v>780897</v>
      </c>
      <c r="W80" s="1899">
        <f>SUM(W81)</f>
        <v>7887.8</v>
      </c>
    </row>
    <row r="81" spans="1:24" s="1607" customFormat="1" ht="37.5" hidden="1" customHeight="1">
      <c r="A81" s="2024" t="e">
        <f>#REF!+1</f>
        <v>#REF!</v>
      </c>
      <c r="B81" s="1890" t="s">
        <v>455</v>
      </c>
      <c r="C81" s="1880">
        <v>14057</v>
      </c>
      <c r="D81" s="1600">
        <f t="shared" si="31"/>
        <v>0</v>
      </c>
      <c r="E81" s="1614"/>
      <c r="F81" s="1614"/>
      <c r="G81" s="1600">
        <f t="shared" si="33"/>
        <v>0</v>
      </c>
      <c r="H81" s="1614"/>
      <c r="I81" s="1614"/>
      <c r="J81" s="1600">
        <f t="shared" si="34"/>
        <v>0</v>
      </c>
      <c r="K81" s="1614"/>
      <c r="L81" s="1614"/>
      <c r="M81" s="1604">
        <f t="shared" si="27"/>
        <v>0</v>
      </c>
      <c r="N81" s="1881">
        <f t="shared" si="27"/>
        <v>0</v>
      </c>
      <c r="O81" s="1881">
        <f t="shared" si="27"/>
        <v>0</v>
      </c>
      <c r="P81" s="1593" t="s">
        <v>1192</v>
      </c>
      <c r="Q81" s="1593" t="s">
        <v>1206</v>
      </c>
      <c r="R81" s="1600">
        <f>SUM(S81:T81)</f>
        <v>0</v>
      </c>
      <c r="S81" s="1614">
        <v>0</v>
      </c>
      <c r="T81" s="1614">
        <v>0</v>
      </c>
      <c r="U81" s="1600">
        <f>SUM(V81:W81)</f>
        <v>788784.8</v>
      </c>
      <c r="V81" s="1614">
        <v>780897</v>
      </c>
      <c r="W81" s="1614">
        <v>7887.8</v>
      </c>
    </row>
    <row r="82" spans="1:24" ht="23.25">
      <c r="A82" s="1898" t="s">
        <v>4</v>
      </c>
      <c r="B82" s="1897" t="s">
        <v>1394</v>
      </c>
      <c r="C82" s="1918"/>
      <c r="D82" s="1899">
        <f>SUM(E82:F82)</f>
        <v>2999492.7</v>
      </c>
      <c r="E82" s="1899">
        <f>E83+E84</f>
        <v>2719850.8</v>
      </c>
      <c r="F82" s="1899">
        <f>F83+F84</f>
        <v>279641.90000000002</v>
      </c>
      <c r="G82" s="1899">
        <f t="shared" si="33"/>
        <v>2999492.7</v>
      </c>
      <c r="H82" s="1899">
        <f>H83+H84</f>
        <v>2719850.8</v>
      </c>
      <c r="I82" s="1899">
        <f>I83+I84</f>
        <v>279641.90000000002</v>
      </c>
      <c r="J82" s="1899">
        <f>J85+J91+J92+J93+J94+J95+J96+J97+J98+J99+J100+J106+J107+J108+J115+J116+J119+J120+J121+J122+J125+J128+J131+J134+J135+J136+J139+J142+J143+J144</f>
        <v>592172.69999999995</v>
      </c>
      <c r="K82" s="1899">
        <f>K83+K84</f>
        <v>556246.5</v>
      </c>
      <c r="L82" s="1899">
        <f>L83+L84</f>
        <v>35926.199999999997</v>
      </c>
      <c r="M82" s="1899">
        <f t="shared" si="27"/>
        <v>19.7</v>
      </c>
      <c r="N82" s="1899">
        <f t="shared" si="27"/>
        <v>20.5</v>
      </c>
      <c r="O82" s="1899">
        <f t="shared" si="27"/>
        <v>12.8</v>
      </c>
      <c r="P82" s="1860" t="e">
        <f t="shared" ref="P82:W82" si="35">P85+P91+P92+P93+P94+P95+P96+P97+P98+P99+P100+P106+P107+P108+P115+P116+P119+P120+P121+P122+P125+P128+P131+P134+P135+P136+P139+P142+P143+P144</f>
        <v>#VALUE!</v>
      </c>
      <c r="Q82" s="1860" t="e">
        <f t="shared" si="35"/>
        <v>#VALUE!</v>
      </c>
      <c r="R82" s="1860">
        <f t="shared" si="35"/>
        <v>887635.9</v>
      </c>
      <c r="S82" s="1860">
        <f t="shared" si="35"/>
        <v>0</v>
      </c>
      <c r="T82" s="1860">
        <f t="shared" si="35"/>
        <v>887635.9</v>
      </c>
      <c r="U82" s="1860">
        <f t="shared" si="35"/>
        <v>0</v>
      </c>
      <c r="V82" s="1860">
        <f t="shared" si="35"/>
        <v>0</v>
      </c>
      <c r="W82" s="1860">
        <f t="shared" si="35"/>
        <v>0</v>
      </c>
      <c r="X82" s="1423">
        <f t="shared" ref="X82:X97" si="36">D82-G82</f>
        <v>0</v>
      </c>
    </row>
    <row r="83" spans="1:24" ht="23.25">
      <c r="A83" s="1898"/>
      <c r="B83" s="2033" t="s">
        <v>1699</v>
      </c>
      <c r="C83" s="1918"/>
      <c r="D83" s="1899">
        <f>SUM(E83:F83)</f>
        <v>2894189.5</v>
      </c>
      <c r="E83" s="1899">
        <f>E86+E89+E91+E92+E93+E94+E95+E96+E97+E104+E106+E107+E110+E113+E115+E117+E119+E120+E121+E123+E126+E129+E132+E134+E135+E137+E140+E142+E144</f>
        <v>2719850.8</v>
      </c>
      <c r="F83" s="1899">
        <f>F86+F89+F91+F92+F93+F94+F95+F96+F97+F104+F106+F107+F110+F113+F115+F117+F119+F120+F121+F123+F126+F129+F132+F134+F135+F137+F140+F142+F144</f>
        <v>174338.7</v>
      </c>
      <c r="G83" s="1899">
        <f>SUM(H83:I83)</f>
        <v>2894189.5</v>
      </c>
      <c r="H83" s="1899">
        <f>H86+H89+H91+H92+H93+H94+H95+H96+H97+H104+H106+H107+H110+H113+H115+H117+H119+H120+H121+H123+H126+H129+H132+H134+H135+H137+H140+H142+H144</f>
        <v>2719850.8</v>
      </c>
      <c r="I83" s="1899">
        <f>I86+I89+I91+I92+I93+I94+I95+I96+I97+I104+I106+I107+I110+I113+I115+I117+I119+I120+I121+I123+I126+I129+I132+I134+I135+I137+I140+I142+I144</f>
        <v>174338.7</v>
      </c>
      <c r="J83" s="1899">
        <f>SUM(K83:L83)</f>
        <v>591772.4</v>
      </c>
      <c r="K83" s="1899">
        <f>K86+K89+K91+K92+K93+K94+K95+K96+K97+K104+K106+K107+K110+K113+K117+K119+K120+K121+K123+K126+K129+K132+K134+K135+K137+K140+K142+K144</f>
        <v>556246.5</v>
      </c>
      <c r="L83" s="1899">
        <f>L86+L89+L91+L92+L93+L94+L95+L96+L97+L104+L106+L107+L110+L113+L117+L119+L120+L121+L123+L126+L129+L132+L134+L135+L137+L140+L142+L144</f>
        <v>35525.9</v>
      </c>
      <c r="M83" s="1899">
        <f t="shared" si="27"/>
        <v>20.399999999999999</v>
      </c>
      <c r="N83" s="1899">
        <f t="shared" si="27"/>
        <v>20.5</v>
      </c>
      <c r="O83" s="1899">
        <f t="shared" si="27"/>
        <v>20.399999999999999</v>
      </c>
      <c r="P83" s="1860"/>
      <c r="Q83" s="1860"/>
      <c r="R83" s="1860"/>
      <c r="S83" s="1860"/>
      <c r="T83" s="1860"/>
      <c r="U83" s="1860"/>
      <c r="V83" s="1860"/>
      <c r="W83" s="1860"/>
      <c r="X83" s="1423">
        <f t="shared" si="36"/>
        <v>0</v>
      </c>
    </row>
    <row r="84" spans="1:24" ht="23.25">
      <c r="A84" s="1898"/>
      <c r="B84" s="2033" t="s">
        <v>1700</v>
      </c>
      <c r="C84" s="1918"/>
      <c r="D84" s="1899">
        <f>SUM(E84:F84)</f>
        <v>105303.2</v>
      </c>
      <c r="E84" s="1899">
        <f>E87+E90+E105+E111+E114+E118+E127+E130+E133+E141</f>
        <v>0</v>
      </c>
      <c r="F84" s="1899">
        <f>F87+F90+F105+F111+F114+F118+F127+F130+F133+F141</f>
        <v>105303.2</v>
      </c>
      <c r="G84" s="1899">
        <f>SUM(H84:I84)</f>
        <v>105303.2</v>
      </c>
      <c r="H84" s="1899">
        <f>H87+H90+H105+H111+H114+H118+H127+H130+H133+H141</f>
        <v>0</v>
      </c>
      <c r="I84" s="1899">
        <f>I87+I90+I105+I111+I114+I118+I127+I130+I133+I141</f>
        <v>105303.2</v>
      </c>
      <c r="J84" s="1899">
        <f>SUM(K84:L84)</f>
        <v>400.3</v>
      </c>
      <c r="K84" s="1899">
        <f>K87+K90+K105+K111+K114+K118+K127+K130+K133+K141</f>
        <v>0</v>
      </c>
      <c r="L84" s="1899">
        <f>L87+L90+L105+L111+L114+L118+L127+L130+L133+L141</f>
        <v>400.3</v>
      </c>
      <c r="M84" s="1899">
        <f t="shared" si="27"/>
        <v>0.4</v>
      </c>
      <c r="N84" s="1899">
        <f t="shared" si="27"/>
        <v>0</v>
      </c>
      <c r="O84" s="1899">
        <f t="shared" si="27"/>
        <v>0.4</v>
      </c>
      <c r="P84" s="1860"/>
      <c r="Q84" s="1860"/>
      <c r="R84" s="1860"/>
      <c r="S84" s="1860"/>
      <c r="T84" s="1860"/>
      <c r="U84" s="1860"/>
      <c r="V84" s="1860"/>
      <c r="W84" s="1860"/>
      <c r="X84" s="1423">
        <f t="shared" si="36"/>
        <v>0</v>
      </c>
    </row>
    <row r="85" spans="1:24" ht="67.5" customHeight="1">
      <c r="A85" s="2025" t="s">
        <v>1734</v>
      </c>
      <c r="B85" s="1919" t="s">
        <v>1709</v>
      </c>
      <c r="C85" s="2025"/>
      <c r="D85" s="1600">
        <f t="shared" si="31"/>
        <v>4641.7</v>
      </c>
      <c r="E85" s="1619">
        <f>E86+E87</f>
        <v>612.20000000000005</v>
      </c>
      <c r="F85" s="1619">
        <f>F86+F87</f>
        <v>4029.5</v>
      </c>
      <c r="G85" s="1600">
        <f t="shared" si="33"/>
        <v>4641.7</v>
      </c>
      <c r="H85" s="1616">
        <f t="shared" ref="H85:H97" si="37">E85</f>
        <v>612.20000000000005</v>
      </c>
      <c r="I85" s="1616">
        <f t="shared" ref="I85:I97" si="38">F85</f>
        <v>4029.5</v>
      </c>
      <c r="J85" s="1600">
        <f t="shared" si="34"/>
        <v>400.3</v>
      </c>
      <c r="K85" s="1619">
        <f>K86+K87</f>
        <v>0</v>
      </c>
      <c r="L85" s="1619">
        <f>L86+L87</f>
        <v>400.3</v>
      </c>
      <c r="M85" s="1602">
        <f t="shared" si="27"/>
        <v>8.6</v>
      </c>
      <c r="N85" s="1602">
        <f t="shared" si="27"/>
        <v>0</v>
      </c>
      <c r="O85" s="1602">
        <f t="shared" si="27"/>
        <v>9.9</v>
      </c>
      <c r="P85" s="1593"/>
      <c r="Q85" s="1593"/>
      <c r="R85" s="1600">
        <f>S85+T85</f>
        <v>0</v>
      </c>
      <c r="S85" s="1619">
        <v>0</v>
      </c>
      <c r="T85" s="1619">
        <v>0</v>
      </c>
      <c r="U85" s="1600">
        <f>V85+W85</f>
        <v>0</v>
      </c>
      <c r="V85" s="1619">
        <v>0</v>
      </c>
      <c r="W85" s="1619">
        <v>0</v>
      </c>
      <c r="X85" s="1423">
        <f t="shared" si="36"/>
        <v>0</v>
      </c>
    </row>
    <row r="86" spans="1:24" ht="26.25" customHeight="1">
      <c r="A86" s="2025"/>
      <c r="B86" s="1619" t="s">
        <v>1620</v>
      </c>
      <c r="C86" s="2025"/>
      <c r="D86" s="1600">
        <f>SUM(E86:F86)</f>
        <v>652.9</v>
      </c>
      <c r="E86" s="1619">
        <v>612.20000000000005</v>
      </c>
      <c r="F86" s="1619">
        <v>40.700000000000003</v>
      </c>
      <c r="G86" s="1600">
        <f>SUM(H86:I86)</f>
        <v>652.9</v>
      </c>
      <c r="H86" s="1616">
        <f t="shared" si="37"/>
        <v>612.20000000000005</v>
      </c>
      <c r="I86" s="1616">
        <f t="shared" si="38"/>
        <v>40.700000000000003</v>
      </c>
      <c r="J86" s="1600">
        <f>SUM(K86:L86)</f>
        <v>0</v>
      </c>
      <c r="K86" s="1619"/>
      <c r="L86" s="1619"/>
      <c r="M86" s="1619">
        <f t="shared" si="27"/>
        <v>0</v>
      </c>
      <c r="N86" s="1619">
        <f t="shared" si="27"/>
        <v>0</v>
      </c>
      <c r="O86" s="1619">
        <f t="shared" si="27"/>
        <v>0</v>
      </c>
      <c r="P86" s="1593"/>
      <c r="Q86" s="1593"/>
      <c r="R86" s="1600"/>
      <c r="S86" s="1619"/>
      <c r="T86" s="1619"/>
      <c r="U86" s="1600"/>
      <c r="V86" s="1619"/>
      <c r="W86" s="1619"/>
      <c r="X86" s="1423">
        <f t="shared" si="36"/>
        <v>0</v>
      </c>
    </row>
    <row r="87" spans="1:24" ht="23.25">
      <c r="A87" s="2025"/>
      <c r="B87" s="1619" t="s">
        <v>1621</v>
      </c>
      <c r="C87" s="2025"/>
      <c r="D87" s="1600">
        <f t="shared" si="31"/>
        <v>3988.8</v>
      </c>
      <c r="E87" s="1619"/>
      <c r="F87" s="1619">
        <v>3988.8</v>
      </c>
      <c r="G87" s="1600">
        <f t="shared" si="33"/>
        <v>3988.8</v>
      </c>
      <c r="H87" s="1616">
        <f t="shared" si="37"/>
        <v>0</v>
      </c>
      <c r="I87" s="1616">
        <f t="shared" si="38"/>
        <v>3988.8</v>
      </c>
      <c r="J87" s="1600">
        <f t="shared" si="34"/>
        <v>400.3</v>
      </c>
      <c r="K87" s="1619"/>
      <c r="L87" s="1619">
        <v>400.3</v>
      </c>
      <c r="M87" s="1602">
        <f t="shared" si="27"/>
        <v>10</v>
      </c>
      <c r="N87" s="1602">
        <f t="shared" si="27"/>
        <v>0</v>
      </c>
      <c r="O87" s="1602">
        <f t="shared" si="27"/>
        <v>10</v>
      </c>
      <c r="P87" s="1593"/>
      <c r="Q87" s="1593"/>
      <c r="R87" s="1600">
        <f t="shared" ref="R87:R99" si="39">S87+T87</f>
        <v>0</v>
      </c>
      <c r="S87" s="1619">
        <v>0</v>
      </c>
      <c r="T87" s="1619">
        <v>0</v>
      </c>
      <c r="U87" s="1600">
        <f t="shared" ref="U87:U99" si="40">V87+W87</f>
        <v>0</v>
      </c>
      <c r="V87" s="1619">
        <v>0</v>
      </c>
      <c r="W87" s="1619">
        <v>0</v>
      </c>
      <c r="X87" s="1423">
        <f t="shared" si="36"/>
        <v>0</v>
      </c>
    </row>
    <row r="88" spans="1:24" ht="38.25" customHeight="1">
      <c r="A88" s="2025" t="s">
        <v>1735</v>
      </c>
      <c r="B88" s="1905" t="s">
        <v>1702</v>
      </c>
      <c r="C88" s="2025"/>
      <c r="D88" s="1600">
        <f>SUM(E88:F88)</f>
        <v>125786.6</v>
      </c>
      <c r="E88" s="1619">
        <f>E89+E90</f>
        <v>113479.7</v>
      </c>
      <c r="F88" s="1619">
        <f>F89+F90</f>
        <v>12306.9</v>
      </c>
      <c r="G88" s="1600">
        <f>SUM(H88:I88)</f>
        <v>125786.6</v>
      </c>
      <c r="H88" s="1616">
        <f t="shared" si="37"/>
        <v>113479.7</v>
      </c>
      <c r="I88" s="1616">
        <f t="shared" si="38"/>
        <v>12306.9</v>
      </c>
      <c r="J88" s="1600">
        <f>SUM(K88:L88)</f>
        <v>0</v>
      </c>
      <c r="K88" s="1619">
        <f>K89+K90</f>
        <v>0</v>
      </c>
      <c r="L88" s="1619">
        <f>L89+L90</f>
        <v>0</v>
      </c>
      <c r="M88" s="1602">
        <f t="shared" si="27"/>
        <v>0</v>
      </c>
      <c r="N88" s="1602">
        <f t="shared" si="27"/>
        <v>0</v>
      </c>
      <c r="O88" s="1602">
        <f t="shared" si="27"/>
        <v>0</v>
      </c>
      <c r="P88" s="1593"/>
      <c r="Q88" s="1593"/>
      <c r="R88" s="1600"/>
      <c r="S88" s="1619"/>
      <c r="T88" s="1619"/>
      <c r="U88" s="1600"/>
      <c r="V88" s="1619"/>
      <c r="W88" s="1619"/>
      <c r="X88" s="1423">
        <f t="shared" si="36"/>
        <v>0</v>
      </c>
    </row>
    <row r="89" spans="1:24" ht="19.5" customHeight="1">
      <c r="A89" s="2025"/>
      <c r="B89" s="1619" t="s">
        <v>1620</v>
      </c>
      <c r="C89" s="2025"/>
      <c r="D89" s="1600">
        <f>SUM(E89:F89)</f>
        <v>121121.5</v>
      </c>
      <c r="E89" s="1619">
        <v>113479.7</v>
      </c>
      <c r="F89" s="1619">
        <v>7641.8</v>
      </c>
      <c r="G89" s="1600">
        <f>SUM(H89:I89)</f>
        <v>121121.5</v>
      </c>
      <c r="H89" s="1616">
        <f t="shared" si="37"/>
        <v>113479.7</v>
      </c>
      <c r="I89" s="1616">
        <f t="shared" si="38"/>
        <v>7641.8</v>
      </c>
      <c r="J89" s="1600">
        <f>SUM(K89:L89)</f>
        <v>0</v>
      </c>
      <c r="K89" s="1619"/>
      <c r="L89" s="1619"/>
      <c r="M89" s="1619">
        <f t="shared" si="27"/>
        <v>0</v>
      </c>
      <c r="N89" s="1619">
        <f t="shared" si="27"/>
        <v>0</v>
      </c>
      <c r="O89" s="1619">
        <f t="shared" si="27"/>
        <v>0</v>
      </c>
      <c r="P89" s="1593"/>
      <c r="Q89" s="1593"/>
      <c r="R89" s="1600"/>
      <c r="S89" s="1619"/>
      <c r="T89" s="1619"/>
      <c r="U89" s="1600"/>
      <c r="V89" s="1619"/>
      <c r="W89" s="1619"/>
      <c r="X89" s="1423">
        <f t="shared" si="36"/>
        <v>0</v>
      </c>
    </row>
    <row r="90" spans="1:24" ht="23.25">
      <c r="A90" s="2025"/>
      <c r="B90" s="1619" t="s">
        <v>1621</v>
      </c>
      <c r="C90" s="2025"/>
      <c r="D90" s="1600">
        <f>SUM(E90:F90)</f>
        <v>4665.1000000000004</v>
      </c>
      <c r="E90" s="1619"/>
      <c r="F90" s="1619">
        <f>4443.3+221.8</f>
        <v>4665.1000000000004</v>
      </c>
      <c r="G90" s="1600">
        <f>SUM(H90:I90)</f>
        <v>4665.1000000000004</v>
      </c>
      <c r="H90" s="1616">
        <f t="shared" si="37"/>
        <v>0</v>
      </c>
      <c r="I90" s="1616">
        <f t="shared" si="38"/>
        <v>4665.1000000000004</v>
      </c>
      <c r="J90" s="1600">
        <f>SUM(K90:L90)</f>
        <v>0</v>
      </c>
      <c r="K90" s="1619"/>
      <c r="L90" s="1619"/>
      <c r="M90" s="1602">
        <f t="shared" si="27"/>
        <v>0</v>
      </c>
      <c r="N90" s="1602">
        <f t="shared" si="27"/>
        <v>0</v>
      </c>
      <c r="O90" s="1602">
        <f t="shared" si="27"/>
        <v>0</v>
      </c>
      <c r="P90" s="1593"/>
      <c r="Q90" s="1593"/>
      <c r="R90" s="1600"/>
      <c r="S90" s="1619"/>
      <c r="T90" s="1619"/>
      <c r="U90" s="1600"/>
      <c r="V90" s="1619"/>
      <c r="W90" s="1619"/>
      <c r="X90" s="1423">
        <f t="shared" si="36"/>
        <v>0</v>
      </c>
    </row>
    <row r="91" spans="1:24" ht="40.5" customHeight="1">
      <c r="A91" s="2025" t="s">
        <v>1736</v>
      </c>
      <c r="B91" s="1905" t="s">
        <v>1590</v>
      </c>
      <c r="C91" s="2025"/>
      <c r="D91" s="1600">
        <f t="shared" si="31"/>
        <v>20824.900000000001</v>
      </c>
      <c r="E91" s="1619">
        <v>19575.5</v>
      </c>
      <c r="F91" s="1619">
        <v>1249.4000000000001</v>
      </c>
      <c r="G91" s="1600">
        <f t="shared" si="33"/>
        <v>20824.900000000001</v>
      </c>
      <c r="H91" s="1616">
        <f t="shared" si="37"/>
        <v>19575.5</v>
      </c>
      <c r="I91" s="1616">
        <f t="shared" si="38"/>
        <v>1249.4000000000001</v>
      </c>
      <c r="J91" s="1600">
        <f t="shared" si="34"/>
        <v>36.6</v>
      </c>
      <c r="K91" s="1619">
        <v>34.4</v>
      </c>
      <c r="L91" s="1619">
        <v>2.2000000000000002</v>
      </c>
      <c r="M91" s="1619">
        <f t="shared" si="27"/>
        <v>0.2</v>
      </c>
      <c r="N91" s="1619">
        <f t="shared" si="27"/>
        <v>0.2</v>
      </c>
      <c r="O91" s="1619">
        <f t="shared" si="27"/>
        <v>0.2</v>
      </c>
      <c r="P91" s="1619">
        <v>0</v>
      </c>
      <c r="Q91" s="1619">
        <v>0</v>
      </c>
      <c r="R91" s="1600">
        <f t="shared" si="39"/>
        <v>0</v>
      </c>
      <c r="S91" s="1619">
        <v>0</v>
      </c>
      <c r="T91" s="1619">
        <v>0</v>
      </c>
      <c r="U91" s="1600">
        <f t="shared" si="40"/>
        <v>0</v>
      </c>
      <c r="V91" s="1619">
        <v>0</v>
      </c>
      <c r="W91" s="1619">
        <v>0</v>
      </c>
      <c r="X91" s="1423">
        <f t="shared" si="36"/>
        <v>0</v>
      </c>
    </row>
    <row r="92" spans="1:24" ht="58.5" customHeight="1">
      <c r="A92" s="2025" t="s">
        <v>1737</v>
      </c>
      <c r="B92" s="1915" t="s">
        <v>1655</v>
      </c>
      <c r="C92" s="1866" t="s">
        <v>1544</v>
      </c>
      <c r="D92" s="1600">
        <f t="shared" si="31"/>
        <v>1408.4</v>
      </c>
      <c r="E92" s="1614">
        <v>1323.9</v>
      </c>
      <c r="F92" s="1614">
        <v>84.5</v>
      </c>
      <c r="G92" s="1600">
        <f t="shared" si="33"/>
        <v>1408.4</v>
      </c>
      <c r="H92" s="1616">
        <f t="shared" si="37"/>
        <v>1323.9</v>
      </c>
      <c r="I92" s="1616">
        <f t="shared" si="38"/>
        <v>84.5</v>
      </c>
      <c r="J92" s="1600">
        <f t="shared" si="34"/>
        <v>0</v>
      </c>
      <c r="K92" s="1614"/>
      <c r="L92" s="1614"/>
      <c r="M92" s="1893">
        <f t="shared" si="27"/>
        <v>0</v>
      </c>
      <c r="N92" s="1894">
        <f t="shared" si="27"/>
        <v>0</v>
      </c>
      <c r="O92" s="1894">
        <f t="shared" si="27"/>
        <v>0</v>
      </c>
      <c r="P92" s="1593"/>
      <c r="Q92" s="1593"/>
      <c r="R92" s="1600">
        <f t="shared" si="39"/>
        <v>0</v>
      </c>
      <c r="S92" s="1619">
        <v>0</v>
      </c>
      <c r="T92" s="1619">
        <v>0</v>
      </c>
      <c r="U92" s="1600">
        <f t="shared" si="40"/>
        <v>0</v>
      </c>
      <c r="V92" s="1619">
        <v>0</v>
      </c>
      <c r="W92" s="1619">
        <v>0</v>
      </c>
      <c r="X92" s="1423">
        <f t="shared" si="36"/>
        <v>0</v>
      </c>
    </row>
    <row r="93" spans="1:24" ht="85.5" customHeight="1">
      <c r="A93" s="2025" t="s">
        <v>1738</v>
      </c>
      <c r="B93" s="1905" t="s">
        <v>1656</v>
      </c>
      <c r="C93" s="1906"/>
      <c r="D93" s="1600">
        <f t="shared" si="31"/>
        <v>35045.9</v>
      </c>
      <c r="E93" s="1609">
        <v>32942.9</v>
      </c>
      <c r="F93" s="1609">
        <v>2103</v>
      </c>
      <c r="G93" s="1600">
        <f t="shared" si="33"/>
        <v>35045.9</v>
      </c>
      <c r="H93" s="1616">
        <f t="shared" si="37"/>
        <v>32942.9</v>
      </c>
      <c r="I93" s="1616">
        <f t="shared" si="38"/>
        <v>2103</v>
      </c>
      <c r="J93" s="1600">
        <f t="shared" si="34"/>
        <v>18.399999999999999</v>
      </c>
      <c r="K93" s="1619">
        <v>17.3</v>
      </c>
      <c r="L93" s="1619">
        <v>1.1000000000000001</v>
      </c>
      <c r="M93" s="1893">
        <f t="shared" si="27"/>
        <v>0.1</v>
      </c>
      <c r="N93" s="1893">
        <f t="shared" si="27"/>
        <v>0.1</v>
      </c>
      <c r="O93" s="1893">
        <f t="shared" si="27"/>
        <v>0.1</v>
      </c>
      <c r="P93" s="1593"/>
      <c r="Q93" s="1593"/>
      <c r="R93" s="1600">
        <f t="shared" si="39"/>
        <v>0</v>
      </c>
      <c r="S93" s="1619">
        <v>0</v>
      </c>
      <c r="T93" s="1619">
        <v>0</v>
      </c>
      <c r="U93" s="1600">
        <f t="shared" si="40"/>
        <v>0</v>
      </c>
      <c r="V93" s="1619">
        <v>0</v>
      </c>
      <c r="W93" s="1619">
        <v>0</v>
      </c>
      <c r="X93" s="1423">
        <f t="shared" si="36"/>
        <v>0</v>
      </c>
    </row>
    <row r="94" spans="1:24" ht="68.25" customHeight="1">
      <c r="A94" s="2025" t="s">
        <v>1739</v>
      </c>
      <c r="B94" s="1905" t="s">
        <v>1583</v>
      </c>
      <c r="C94" s="1906"/>
      <c r="D94" s="1600">
        <f t="shared" si="31"/>
        <v>9677.2999999999993</v>
      </c>
      <c r="E94" s="1609">
        <f>4321.2+3503+1272.4</f>
        <v>9096.6</v>
      </c>
      <c r="F94" s="1609">
        <f>275.8+223.6+81.3</f>
        <v>580.70000000000005</v>
      </c>
      <c r="G94" s="1600">
        <f t="shared" si="33"/>
        <v>9677.2999999999993</v>
      </c>
      <c r="H94" s="1616">
        <f t="shared" si="37"/>
        <v>9096.6</v>
      </c>
      <c r="I94" s="1616">
        <f t="shared" si="38"/>
        <v>580.70000000000005</v>
      </c>
      <c r="J94" s="1600">
        <f t="shared" si="34"/>
        <v>0</v>
      </c>
      <c r="K94" s="1619"/>
      <c r="L94" s="1619"/>
      <c r="M94" s="1893">
        <f t="shared" si="27"/>
        <v>0</v>
      </c>
      <c r="N94" s="1893">
        <f t="shared" si="27"/>
        <v>0</v>
      </c>
      <c r="O94" s="1893">
        <f t="shared" si="27"/>
        <v>0</v>
      </c>
      <c r="P94" s="1593"/>
      <c r="Q94" s="1593"/>
      <c r="R94" s="1600">
        <f t="shared" si="39"/>
        <v>0</v>
      </c>
      <c r="S94" s="1619">
        <v>0</v>
      </c>
      <c r="T94" s="1619">
        <v>0</v>
      </c>
      <c r="U94" s="1600">
        <f t="shared" si="40"/>
        <v>0</v>
      </c>
      <c r="V94" s="1619">
        <v>0</v>
      </c>
      <c r="W94" s="1619">
        <v>0</v>
      </c>
      <c r="X94" s="1423">
        <f t="shared" si="36"/>
        <v>0</v>
      </c>
    </row>
    <row r="95" spans="1:24" ht="66.75" customHeight="1">
      <c r="A95" s="2025" t="s">
        <v>1740</v>
      </c>
      <c r="B95" s="1905" t="s">
        <v>1585</v>
      </c>
      <c r="C95" s="1906"/>
      <c r="D95" s="1600">
        <f t="shared" si="31"/>
        <v>5026.7</v>
      </c>
      <c r="E95" s="1609">
        <f>3699.2+1025.9</f>
        <v>4725.1000000000004</v>
      </c>
      <c r="F95" s="1609">
        <f>236.1+65.5</f>
        <v>301.60000000000002</v>
      </c>
      <c r="G95" s="1600">
        <f t="shared" si="33"/>
        <v>5026.7</v>
      </c>
      <c r="H95" s="1616">
        <f t="shared" si="37"/>
        <v>4725.1000000000004</v>
      </c>
      <c r="I95" s="1616">
        <f t="shared" si="38"/>
        <v>301.60000000000002</v>
      </c>
      <c r="J95" s="1600">
        <f t="shared" si="34"/>
        <v>115.6</v>
      </c>
      <c r="K95" s="1619">
        <v>108.7</v>
      </c>
      <c r="L95" s="1619">
        <v>6.9</v>
      </c>
      <c r="M95" s="1893">
        <f t="shared" si="27"/>
        <v>2.2999999999999998</v>
      </c>
      <c r="N95" s="1893">
        <f t="shared" si="27"/>
        <v>2.2999999999999998</v>
      </c>
      <c r="O95" s="1893">
        <f t="shared" si="27"/>
        <v>2.2999999999999998</v>
      </c>
      <c r="P95" s="1593"/>
      <c r="Q95" s="1593"/>
      <c r="R95" s="1600">
        <f t="shared" si="39"/>
        <v>0</v>
      </c>
      <c r="S95" s="1619">
        <v>0</v>
      </c>
      <c r="T95" s="1619">
        <v>0</v>
      </c>
      <c r="U95" s="1600">
        <f t="shared" si="40"/>
        <v>0</v>
      </c>
      <c r="V95" s="1619">
        <v>0</v>
      </c>
      <c r="W95" s="1619">
        <v>0</v>
      </c>
      <c r="X95" s="1423">
        <f t="shared" si="36"/>
        <v>0</v>
      </c>
    </row>
    <row r="96" spans="1:24" ht="57.75" customHeight="1">
      <c r="A96" s="2025" t="s">
        <v>1746</v>
      </c>
      <c r="B96" s="1905" t="s">
        <v>1586</v>
      </c>
      <c r="C96" s="1906"/>
      <c r="D96" s="1600">
        <f t="shared" si="31"/>
        <v>1246.9000000000001</v>
      </c>
      <c r="E96" s="1609">
        <f>1153.3+18.8</f>
        <v>1172.0999999999999</v>
      </c>
      <c r="F96" s="1609">
        <f>73.6+1.2</f>
        <v>74.8</v>
      </c>
      <c r="G96" s="1600">
        <f t="shared" si="33"/>
        <v>1246.9000000000001</v>
      </c>
      <c r="H96" s="1616">
        <f t="shared" si="37"/>
        <v>1172.0999999999999</v>
      </c>
      <c r="I96" s="1616">
        <f t="shared" si="38"/>
        <v>74.8</v>
      </c>
      <c r="J96" s="1600">
        <f t="shared" si="34"/>
        <v>0</v>
      </c>
      <c r="K96" s="1619"/>
      <c r="L96" s="1619"/>
      <c r="M96" s="1893">
        <f t="shared" si="27"/>
        <v>0</v>
      </c>
      <c r="N96" s="1893">
        <f t="shared" si="27"/>
        <v>0</v>
      </c>
      <c r="O96" s="1893">
        <f t="shared" si="27"/>
        <v>0</v>
      </c>
      <c r="P96" s="1593"/>
      <c r="Q96" s="1593"/>
      <c r="R96" s="1600">
        <f t="shared" si="39"/>
        <v>0</v>
      </c>
      <c r="S96" s="1619">
        <v>0</v>
      </c>
      <c r="T96" s="1619">
        <v>0</v>
      </c>
      <c r="U96" s="1600">
        <f t="shared" si="40"/>
        <v>0</v>
      </c>
      <c r="V96" s="1619">
        <v>0</v>
      </c>
      <c r="W96" s="1619">
        <v>0</v>
      </c>
      <c r="X96" s="1423">
        <f t="shared" si="36"/>
        <v>0</v>
      </c>
    </row>
    <row r="97" spans="1:24" ht="81" customHeight="1">
      <c r="A97" s="2025" t="s">
        <v>1747</v>
      </c>
      <c r="B97" s="1912" t="s">
        <v>1662</v>
      </c>
      <c r="C97" s="1913"/>
      <c r="D97" s="1602">
        <f t="shared" si="31"/>
        <v>21566.9</v>
      </c>
      <c r="E97" s="1616">
        <f>13738.1+5138.2+1396.4</f>
        <v>20272.7</v>
      </c>
      <c r="F97" s="1616">
        <f>877+328+89.2</f>
        <v>1294.2</v>
      </c>
      <c r="G97" s="1602">
        <f t="shared" si="33"/>
        <v>21566.9</v>
      </c>
      <c r="H97" s="1616">
        <f t="shared" si="37"/>
        <v>20272.7</v>
      </c>
      <c r="I97" s="1616">
        <f t="shared" si="38"/>
        <v>1294.2</v>
      </c>
      <c r="J97" s="1602">
        <f t="shared" si="34"/>
        <v>210.9</v>
      </c>
      <c r="K97" s="1616">
        <v>198.2</v>
      </c>
      <c r="L97" s="1616">
        <v>12.7</v>
      </c>
      <c r="M97" s="1893">
        <f t="shared" si="27"/>
        <v>1</v>
      </c>
      <c r="N97" s="1894">
        <f t="shared" si="27"/>
        <v>1</v>
      </c>
      <c r="O97" s="1894">
        <f t="shared" si="27"/>
        <v>1</v>
      </c>
      <c r="P97" s="1593"/>
      <c r="Q97" s="1593"/>
      <c r="R97" s="1600">
        <f t="shared" si="39"/>
        <v>0</v>
      </c>
      <c r="S97" s="1619">
        <v>0</v>
      </c>
      <c r="T97" s="1619">
        <v>0</v>
      </c>
      <c r="U97" s="1600">
        <f t="shared" si="40"/>
        <v>0</v>
      </c>
      <c r="V97" s="1619">
        <v>0</v>
      </c>
      <c r="W97" s="1619">
        <v>0</v>
      </c>
      <c r="X97" s="1423">
        <f t="shared" si="36"/>
        <v>0</v>
      </c>
    </row>
    <row r="98" spans="1:24" s="484" customFormat="1" ht="93.75" hidden="1">
      <c r="A98" s="2024" t="e">
        <f>A97+1</f>
        <v>#VALUE!</v>
      </c>
      <c r="B98" s="1912" t="s">
        <v>704</v>
      </c>
      <c r="C98" s="1866">
        <v>14092</v>
      </c>
      <c r="D98" s="1600">
        <f t="shared" si="31"/>
        <v>0</v>
      </c>
      <c r="E98" s="1608">
        <v>0</v>
      </c>
      <c r="F98" s="1608">
        <v>0</v>
      </c>
      <c r="G98" s="1600">
        <f t="shared" si="33"/>
        <v>0</v>
      </c>
      <c r="H98" s="1608">
        <v>0</v>
      </c>
      <c r="I98" s="1608">
        <v>0</v>
      </c>
      <c r="J98" s="1600">
        <f t="shared" si="34"/>
        <v>0</v>
      </c>
      <c r="K98" s="1608"/>
      <c r="L98" s="1608"/>
      <c r="M98" s="1893">
        <f t="shared" si="27"/>
        <v>0</v>
      </c>
      <c r="N98" s="1894">
        <f t="shared" si="27"/>
        <v>0</v>
      </c>
      <c r="O98" s="1894">
        <f t="shared" si="27"/>
        <v>0</v>
      </c>
      <c r="P98" s="1593" t="s">
        <v>1291</v>
      </c>
      <c r="Q98" s="1593" t="s">
        <v>1241</v>
      </c>
      <c r="R98" s="1600">
        <f t="shared" si="39"/>
        <v>0</v>
      </c>
      <c r="S98" s="1619">
        <v>0</v>
      </c>
      <c r="T98" s="1619">
        <v>0</v>
      </c>
      <c r="U98" s="1600">
        <f t="shared" si="40"/>
        <v>0</v>
      </c>
      <c r="V98" s="1619">
        <v>0</v>
      </c>
      <c r="W98" s="1619">
        <v>0</v>
      </c>
    </row>
    <row r="99" spans="1:24" s="484" customFormat="1" ht="93.75" hidden="1">
      <c r="A99" s="2024" t="e">
        <f>A98+1</f>
        <v>#VALUE!</v>
      </c>
      <c r="B99" s="1912" t="s">
        <v>703</v>
      </c>
      <c r="C99" s="1913"/>
      <c r="D99" s="1600">
        <f t="shared" si="31"/>
        <v>0</v>
      </c>
      <c r="E99" s="1608">
        <v>0</v>
      </c>
      <c r="F99" s="1608">
        <v>0</v>
      </c>
      <c r="G99" s="1600">
        <f t="shared" si="33"/>
        <v>0</v>
      </c>
      <c r="H99" s="1608">
        <v>0</v>
      </c>
      <c r="I99" s="1608">
        <v>0</v>
      </c>
      <c r="J99" s="1600">
        <f t="shared" si="34"/>
        <v>0</v>
      </c>
      <c r="K99" s="1608"/>
      <c r="L99" s="1608"/>
      <c r="M99" s="1893">
        <f t="shared" si="27"/>
        <v>0</v>
      </c>
      <c r="N99" s="1894">
        <f t="shared" si="27"/>
        <v>0</v>
      </c>
      <c r="O99" s="1894">
        <f t="shared" si="27"/>
        <v>0</v>
      </c>
      <c r="P99" s="1593" t="s">
        <v>1292</v>
      </c>
      <c r="Q99" s="1593" t="s">
        <v>1242</v>
      </c>
      <c r="R99" s="1600">
        <f t="shared" si="39"/>
        <v>0</v>
      </c>
      <c r="S99" s="1619">
        <v>0</v>
      </c>
      <c r="T99" s="1619">
        <v>0</v>
      </c>
      <c r="U99" s="1600">
        <f t="shared" si="40"/>
        <v>0</v>
      </c>
      <c r="V99" s="1619">
        <v>0</v>
      </c>
      <c r="W99" s="1619">
        <v>0</v>
      </c>
    </row>
    <row r="100" spans="1:24" s="484" customFormat="1" ht="65.25" customHeight="1">
      <c r="A100" s="2025" t="s">
        <v>1748</v>
      </c>
      <c r="B100" s="1920" t="s">
        <v>1437</v>
      </c>
      <c r="C100" s="1913" t="s">
        <v>1544</v>
      </c>
      <c r="D100" s="1600">
        <f t="shared" si="31"/>
        <v>105852.6</v>
      </c>
      <c r="E100" s="1616">
        <f>SUM(E104:E105)</f>
        <v>69668.800000000003</v>
      </c>
      <c r="F100" s="1616">
        <f>SUM(F104:F105)</f>
        <v>36183.800000000003</v>
      </c>
      <c r="G100" s="1600">
        <f t="shared" si="33"/>
        <v>105852.6</v>
      </c>
      <c r="H100" s="1616">
        <f>E100</f>
        <v>69668.800000000003</v>
      </c>
      <c r="I100" s="1616">
        <f>F100</f>
        <v>36183.800000000003</v>
      </c>
      <c r="J100" s="1600">
        <f t="shared" si="34"/>
        <v>52976.3</v>
      </c>
      <c r="K100" s="1608">
        <f>SUM(K104:K105)</f>
        <v>49797.7</v>
      </c>
      <c r="L100" s="1608">
        <f>SUM(L104:L105)</f>
        <v>3178.6</v>
      </c>
      <c r="M100" s="1893">
        <f t="shared" si="27"/>
        <v>50</v>
      </c>
      <c r="N100" s="1894">
        <f t="shared" si="27"/>
        <v>71.5</v>
      </c>
      <c r="O100" s="1894">
        <f t="shared" si="27"/>
        <v>8.8000000000000007</v>
      </c>
      <c r="P100" s="1593" t="s">
        <v>1293</v>
      </c>
      <c r="Q100" s="1593" t="s">
        <v>1101</v>
      </c>
      <c r="R100" s="1600">
        <f>S100+T100</f>
        <v>0</v>
      </c>
      <c r="S100" s="1608">
        <v>0</v>
      </c>
      <c r="T100" s="1608">
        <v>0</v>
      </c>
      <c r="U100" s="1600">
        <f>V100+W100</f>
        <v>0</v>
      </c>
      <c r="V100" s="1608">
        <v>0</v>
      </c>
      <c r="W100" s="1608">
        <v>0</v>
      </c>
      <c r="X100" s="1423">
        <f>D100-G100</f>
        <v>0</v>
      </c>
    </row>
    <row r="101" spans="1:24" s="484" customFormat="1" ht="107.25" hidden="1" customHeight="1">
      <c r="A101" s="2024" t="e">
        <f>A100+1</f>
        <v>#VALUE!</v>
      </c>
      <c r="B101" s="1883" t="s">
        <v>1438</v>
      </c>
      <c r="C101" s="1913"/>
      <c r="D101" s="1600">
        <f t="shared" si="31"/>
        <v>0</v>
      </c>
      <c r="E101" s="1608"/>
      <c r="F101" s="1608"/>
      <c r="G101" s="1600">
        <f t="shared" si="33"/>
        <v>0</v>
      </c>
      <c r="H101" s="1608"/>
      <c r="I101" s="1608"/>
      <c r="J101" s="1600">
        <f t="shared" si="34"/>
        <v>0</v>
      </c>
      <c r="K101" s="1608"/>
      <c r="L101" s="1608"/>
      <c r="M101" s="1893">
        <f t="shared" si="27"/>
        <v>0</v>
      </c>
      <c r="N101" s="1894">
        <f t="shared" si="27"/>
        <v>0</v>
      </c>
      <c r="O101" s="1894">
        <f t="shared" si="27"/>
        <v>0</v>
      </c>
      <c r="P101" s="1593" t="s">
        <v>1192</v>
      </c>
      <c r="Q101" s="1593" t="s">
        <v>1243</v>
      </c>
      <c r="R101" s="1600">
        <f>S101+T101</f>
        <v>0</v>
      </c>
      <c r="S101" s="1608">
        <v>0</v>
      </c>
      <c r="T101" s="1608">
        <v>0</v>
      </c>
      <c r="U101" s="1600">
        <f>V101+W101</f>
        <v>0</v>
      </c>
      <c r="V101" s="1608">
        <v>0</v>
      </c>
      <c r="W101" s="1608">
        <v>0</v>
      </c>
    </row>
    <row r="102" spans="1:24" s="484" customFormat="1" ht="97.5" hidden="1" customHeight="1">
      <c r="A102" s="2024" t="e">
        <f>A101+1</f>
        <v>#VALUE!</v>
      </c>
      <c r="B102" s="1883" t="s">
        <v>1439</v>
      </c>
      <c r="C102" s="1913"/>
      <c r="D102" s="1600">
        <f t="shared" si="31"/>
        <v>0</v>
      </c>
      <c r="E102" s="1608"/>
      <c r="F102" s="1608"/>
      <c r="G102" s="1600">
        <f t="shared" si="33"/>
        <v>0</v>
      </c>
      <c r="H102" s="1608"/>
      <c r="I102" s="1608"/>
      <c r="J102" s="1600">
        <f t="shared" si="34"/>
        <v>0</v>
      </c>
      <c r="K102" s="1608"/>
      <c r="L102" s="1608"/>
      <c r="M102" s="1893">
        <f t="shared" si="27"/>
        <v>0</v>
      </c>
      <c r="N102" s="1894">
        <f t="shared" si="27"/>
        <v>0</v>
      </c>
      <c r="O102" s="1894">
        <f t="shared" si="27"/>
        <v>0</v>
      </c>
      <c r="P102" s="1593" t="s">
        <v>1294</v>
      </c>
      <c r="Q102" s="1593" t="s">
        <v>1244</v>
      </c>
      <c r="R102" s="1600">
        <f>S102+T102</f>
        <v>0</v>
      </c>
      <c r="S102" s="1608">
        <v>0</v>
      </c>
      <c r="T102" s="1608">
        <v>0</v>
      </c>
      <c r="U102" s="1600">
        <f>V102+W102</f>
        <v>0</v>
      </c>
      <c r="V102" s="1608">
        <v>0</v>
      </c>
      <c r="W102" s="1608">
        <v>0</v>
      </c>
    </row>
    <row r="103" spans="1:24" s="484" customFormat="1" ht="63" hidden="1" customHeight="1">
      <c r="A103" s="2024" t="e">
        <f>A102+1</f>
        <v>#VALUE!</v>
      </c>
      <c r="B103" s="1883" t="s">
        <v>1440</v>
      </c>
      <c r="C103" s="1913"/>
      <c r="D103" s="1600">
        <f>SUM(E103:F103)</f>
        <v>0</v>
      </c>
      <c r="E103" s="1608"/>
      <c r="F103" s="1608"/>
      <c r="G103" s="1600">
        <f t="shared" si="33"/>
        <v>0</v>
      </c>
      <c r="H103" s="1608"/>
      <c r="I103" s="1608"/>
      <c r="J103" s="1600">
        <f t="shared" si="34"/>
        <v>0</v>
      </c>
      <c r="K103" s="1608"/>
      <c r="L103" s="1608"/>
      <c r="M103" s="1921">
        <f t="shared" ref="M103:O148" si="41">IF(J103=0,0,J103/G103*100)</f>
        <v>0</v>
      </c>
      <c r="N103" s="1922">
        <f t="shared" si="41"/>
        <v>0</v>
      </c>
      <c r="O103" s="1922">
        <f t="shared" si="41"/>
        <v>0</v>
      </c>
      <c r="P103" s="1593" t="s">
        <v>1192</v>
      </c>
      <c r="Q103" s="1593" t="s">
        <v>1219</v>
      </c>
      <c r="R103" s="1600">
        <f>S103+T103</f>
        <v>0</v>
      </c>
      <c r="S103" s="1608">
        <v>0</v>
      </c>
      <c r="T103" s="1608">
        <v>0</v>
      </c>
      <c r="U103" s="1600">
        <f>V103+W103</f>
        <v>0</v>
      </c>
      <c r="V103" s="1608">
        <v>0</v>
      </c>
      <c r="W103" s="1608">
        <v>0</v>
      </c>
    </row>
    <row r="104" spans="1:24" s="484" customFormat="1" ht="23.25">
      <c r="A104" s="2025"/>
      <c r="B104" s="1619" t="s">
        <v>1620</v>
      </c>
      <c r="C104" s="1913"/>
      <c r="D104" s="1600">
        <f t="shared" si="31"/>
        <v>74115.8</v>
      </c>
      <c r="E104" s="1608">
        <v>69668.800000000003</v>
      </c>
      <c r="F104" s="1608">
        <f>4447</f>
        <v>4447</v>
      </c>
      <c r="G104" s="1600">
        <f t="shared" si="33"/>
        <v>74115.8</v>
      </c>
      <c r="H104" s="1616">
        <f t="shared" ref="H104:I108" si="42">E104</f>
        <v>69668.800000000003</v>
      </c>
      <c r="I104" s="1616">
        <f t="shared" si="42"/>
        <v>4447</v>
      </c>
      <c r="J104" s="1600">
        <f t="shared" si="34"/>
        <v>52976.3</v>
      </c>
      <c r="K104" s="1608">
        <v>49797.7</v>
      </c>
      <c r="L104" s="1608">
        <v>3178.6</v>
      </c>
      <c r="M104" s="1921">
        <f t="shared" si="41"/>
        <v>71.5</v>
      </c>
      <c r="N104" s="1922">
        <f t="shared" si="41"/>
        <v>71.5</v>
      </c>
      <c r="O104" s="1922">
        <f t="shared" si="41"/>
        <v>71.5</v>
      </c>
      <c r="P104" s="1593"/>
      <c r="Q104" s="1593"/>
      <c r="R104" s="1600">
        <f t="shared" ref="R104:R109" si="43">S104+T104</f>
        <v>0</v>
      </c>
      <c r="S104" s="1608">
        <v>0</v>
      </c>
      <c r="T104" s="1608">
        <v>0</v>
      </c>
      <c r="U104" s="1600">
        <f t="shared" ref="U104:U143" si="44">V104+W104</f>
        <v>0</v>
      </c>
      <c r="V104" s="1608">
        <v>0</v>
      </c>
      <c r="W104" s="1608">
        <v>0</v>
      </c>
      <c r="X104" s="1423">
        <f>D104-G104</f>
        <v>0</v>
      </c>
    </row>
    <row r="105" spans="1:24" s="484" customFormat="1" ht="23.25">
      <c r="A105" s="2025"/>
      <c r="B105" s="1619" t="s">
        <v>1621</v>
      </c>
      <c r="C105" s="1913"/>
      <c r="D105" s="1600">
        <f t="shared" si="31"/>
        <v>31736.799999999999</v>
      </c>
      <c r="E105" s="1608"/>
      <c r="F105" s="1608">
        <f>31736.8</f>
        <v>31736.799999999999</v>
      </c>
      <c r="G105" s="1600">
        <f t="shared" si="33"/>
        <v>31736.799999999999</v>
      </c>
      <c r="H105" s="1616">
        <f t="shared" si="42"/>
        <v>0</v>
      </c>
      <c r="I105" s="1616">
        <f t="shared" si="42"/>
        <v>31736.799999999999</v>
      </c>
      <c r="J105" s="1600">
        <f t="shared" si="34"/>
        <v>0</v>
      </c>
      <c r="K105" s="1608"/>
      <c r="L105" s="1608"/>
      <c r="M105" s="1921">
        <f t="shared" si="41"/>
        <v>0</v>
      </c>
      <c r="N105" s="1922">
        <f t="shared" si="41"/>
        <v>0</v>
      </c>
      <c r="O105" s="1922">
        <f t="shared" si="41"/>
        <v>0</v>
      </c>
      <c r="P105" s="1593"/>
      <c r="Q105" s="1593"/>
      <c r="R105" s="1600">
        <f t="shared" si="43"/>
        <v>0</v>
      </c>
      <c r="S105" s="1608">
        <v>0</v>
      </c>
      <c r="T105" s="1608">
        <v>0</v>
      </c>
      <c r="U105" s="1600">
        <f t="shared" si="44"/>
        <v>0</v>
      </c>
      <c r="V105" s="1608">
        <v>0</v>
      </c>
      <c r="W105" s="1608">
        <v>0</v>
      </c>
      <c r="X105" s="1423">
        <f>D105-G105</f>
        <v>0</v>
      </c>
    </row>
    <row r="106" spans="1:24" ht="62.25" customHeight="1">
      <c r="A106" s="2025" t="s">
        <v>1749</v>
      </c>
      <c r="B106" s="1912" t="s">
        <v>1441</v>
      </c>
      <c r="C106" s="1913" t="s">
        <v>1544</v>
      </c>
      <c r="D106" s="1600">
        <f t="shared" si="31"/>
        <v>18702.400000000001</v>
      </c>
      <c r="E106" s="1616">
        <v>17580.099999999999</v>
      </c>
      <c r="F106" s="1616">
        <v>1122.3</v>
      </c>
      <c r="G106" s="1600">
        <f t="shared" si="33"/>
        <v>18702.400000000001</v>
      </c>
      <c r="H106" s="1616">
        <f t="shared" si="42"/>
        <v>17580.099999999999</v>
      </c>
      <c r="I106" s="1616">
        <f t="shared" si="42"/>
        <v>1122.3</v>
      </c>
      <c r="J106" s="1600">
        <f t="shared" si="34"/>
        <v>14.5</v>
      </c>
      <c r="K106" s="1608">
        <v>13.6</v>
      </c>
      <c r="L106" s="1608">
        <v>0.9</v>
      </c>
      <c r="M106" s="1893">
        <f t="shared" si="41"/>
        <v>0.1</v>
      </c>
      <c r="N106" s="1894">
        <f t="shared" si="41"/>
        <v>0.1</v>
      </c>
      <c r="O106" s="1894">
        <f t="shared" si="41"/>
        <v>0.1</v>
      </c>
      <c r="P106" s="1593" t="s">
        <v>1192</v>
      </c>
      <c r="Q106" s="1593" t="s">
        <v>1663</v>
      </c>
      <c r="R106" s="1600">
        <f t="shared" si="43"/>
        <v>0</v>
      </c>
      <c r="S106" s="1614">
        <v>0</v>
      </c>
      <c r="T106" s="1614">
        <v>0</v>
      </c>
      <c r="U106" s="1600">
        <f t="shared" si="44"/>
        <v>0</v>
      </c>
      <c r="V106" s="1614">
        <v>0</v>
      </c>
      <c r="W106" s="1614">
        <v>0</v>
      </c>
      <c r="X106" s="1423">
        <f>D106-G106</f>
        <v>0</v>
      </c>
    </row>
    <row r="107" spans="1:24" ht="58.5" customHeight="1">
      <c r="A107" s="2025" t="s">
        <v>1750</v>
      </c>
      <c r="B107" s="1912" t="s">
        <v>1442</v>
      </c>
      <c r="C107" s="1913" t="s">
        <v>1544</v>
      </c>
      <c r="D107" s="1600">
        <f t="shared" si="31"/>
        <v>14406.9</v>
      </c>
      <c r="E107" s="1616">
        <f>12178.9+1363.5</f>
        <v>13542.4</v>
      </c>
      <c r="F107" s="1616">
        <f>777.4+87.1</f>
        <v>864.5</v>
      </c>
      <c r="G107" s="1600">
        <f t="shared" si="33"/>
        <v>14406.9</v>
      </c>
      <c r="H107" s="1616">
        <f t="shared" si="42"/>
        <v>13542.4</v>
      </c>
      <c r="I107" s="1616">
        <f t="shared" si="42"/>
        <v>864.5</v>
      </c>
      <c r="J107" s="1600">
        <f t="shared" si="34"/>
        <v>3521.2</v>
      </c>
      <c r="K107" s="1608">
        <v>3309.9</v>
      </c>
      <c r="L107" s="1608">
        <v>211.3</v>
      </c>
      <c r="M107" s="1893">
        <f t="shared" si="41"/>
        <v>24.4</v>
      </c>
      <c r="N107" s="1894">
        <f t="shared" si="41"/>
        <v>24.4</v>
      </c>
      <c r="O107" s="1894">
        <f t="shared" si="41"/>
        <v>24.4</v>
      </c>
      <c r="P107" s="1593" t="s">
        <v>1285</v>
      </c>
      <c r="Q107" s="1593" t="s">
        <v>1252</v>
      </c>
      <c r="R107" s="1600">
        <f t="shared" si="43"/>
        <v>0</v>
      </c>
      <c r="S107" s="1614">
        <v>0</v>
      </c>
      <c r="T107" s="1614">
        <v>0</v>
      </c>
      <c r="U107" s="1600">
        <f t="shared" si="44"/>
        <v>0</v>
      </c>
      <c r="V107" s="1614">
        <v>0</v>
      </c>
      <c r="W107" s="1614">
        <v>0</v>
      </c>
      <c r="X107" s="1423">
        <f>D107-G107</f>
        <v>0</v>
      </c>
    </row>
    <row r="108" spans="1:24" ht="23.25" customHeight="1">
      <c r="A108" s="2025" t="s">
        <v>1751</v>
      </c>
      <c r="B108" s="1883" t="s">
        <v>1587</v>
      </c>
      <c r="C108" s="1880"/>
      <c r="D108" s="1600">
        <f t="shared" si="31"/>
        <v>37898.1</v>
      </c>
      <c r="E108" s="1616">
        <f>E110+E111</f>
        <v>2403.9</v>
      </c>
      <c r="F108" s="1616">
        <f>F110+F111</f>
        <v>35494.199999999997</v>
      </c>
      <c r="G108" s="1600">
        <f t="shared" si="33"/>
        <v>37898.1</v>
      </c>
      <c r="H108" s="1616">
        <f t="shared" si="42"/>
        <v>2403.9</v>
      </c>
      <c r="I108" s="1616">
        <f t="shared" si="42"/>
        <v>35494.199999999997</v>
      </c>
      <c r="J108" s="1600">
        <f t="shared" si="34"/>
        <v>0</v>
      </c>
      <c r="K108" s="1608">
        <f>K110+K111</f>
        <v>0</v>
      </c>
      <c r="L108" s="1608">
        <f>L110+L111</f>
        <v>0</v>
      </c>
      <c r="M108" s="1604">
        <f t="shared" si="41"/>
        <v>0</v>
      </c>
      <c r="N108" s="1881">
        <f t="shared" si="41"/>
        <v>0</v>
      </c>
      <c r="O108" s="1881">
        <f t="shared" si="41"/>
        <v>0</v>
      </c>
      <c r="P108" s="1593"/>
      <c r="Q108" s="1593"/>
      <c r="R108" s="1600">
        <f t="shared" si="43"/>
        <v>0</v>
      </c>
      <c r="S108" s="1614">
        <v>0</v>
      </c>
      <c r="T108" s="1614">
        <v>0</v>
      </c>
      <c r="U108" s="1600">
        <f t="shared" si="44"/>
        <v>0</v>
      </c>
      <c r="V108" s="1614">
        <v>0</v>
      </c>
      <c r="W108" s="1614">
        <v>0</v>
      </c>
      <c r="X108" s="1423">
        <f>D108-G108</f>
        <v>0</v>
      </c>
    </row>
    <row r="109" spans="1:24" ht="112.5" hidden="1">
      <c r="A109" s="2024">
        <v>98</v>
      </c>
      <c r="B109" s="1890" t="s">
        <v>1456</v>
      </c>
      <c r="C109" s="1880"/>
      <c r="D109" s="1600">
        <f t="shared" si="31"/>
        <v>0</v>
      </c>
      <c r="E109" s="1608">
        <v>0</v>
      </c>
      <c r="F109" s="1608">
        <v>0</v>
      </c>
      <c r="G109" s="1600">
        <f t="shared" si="33"/>
        <v>0</v>
      </c>
      <c r="H109" s="1608">
        <v>0</v>
      </c>
      <c r="I109" s="1608">
        <v>0</v>
      </c>
      <c r="J109" s="1600">
        <f t="shared" si="34"/>
        <v>0</v>
      </c>
      <c r="K109" s="1608"/>
      <c r="L109" s="1608"/>
      <c r="M109" s="1604">
        <f t="shared" si="41"/>
        <v>0</v>
      </c>
      <c r="N109" s="1881">
        <f t="shared" si="41"/>
        <v>0</v>
      </c>
      <c r="O109" s="1881">
        <f t="shared" si="41"/>
        <v>0</v>
      </c>
      <c r="P109" s="1593" t="s">
        <v>1290</v>
      </c>
      <c r="Q109" s="1593" t="s">
        <v>1240</v>
      </c>
      <c r="R109" s="1600">
        <f t="shared" si="43"/>
        <v>0</v>
      </c>
      <c r="S109" s="1608">
        <v>0</v>
      </c>
      <c r="T109" s="1608">
        <v>0</v>
      </c>
      <c r="U109" s="1600">
        <f t="shared" si="44"/>
        <v>0</v>
      </c>
      <c r="V109" s="1608">
        <v>0</v>
      </c>
      <c r="W109" s="1608">
        <v>0</v>
      </c>
    </row>
    <row r="110" spans="1:24" ht="23.25">
      <c r="A110" s="2025"/>
      <c r="B110" s="1619" t="s">
        <v>1620</v>
      </c>
      <c r="C110" s="1880"/>
      <c r="D110" s="1600">
        <f>SUM(E110:F110)</f>
        <v>2557.4</v>
      </c>
      <c r="E110" s="1616">
        <v>2403.9</v>
      </c>
      <c r="F110" s="1616">
        <v>153.5</v>
      </c>
      <c r="G110" s="1600">
        <f>SUM(H110:I110)</f>
        <v>2557.4</v>
      </c>
      <c r="H110" s="1616">
        <f t="shared" ref="H110:H123" si="45">E110</f>
        <v>2403.9</v>
      </c>
      <c r="I110" s="1616">
        <f t="shared" ref="I110:I123" si="46">F110</f>
        <v>153.5</v>
      </c>
      <c r="J110" s="1600">
        <f>SUM(K110:L110)</f>
        <v>0</v>
      </c>
      <c r="K110" s="1608">
        <v>0</v>
      </c>
      <c r="L110" s="1608">
        <v>0</v>
      </c>
      <c r="M110" s="1604">
        <f t="shared" si="41"/>
        <v>0</v>
      </c>
      <c r="N110" s="1881">
        <f t="shared" si="41"/>
        <v>0</v>
      </c>
      <c r="O110" s="1881">
        <f t="shared" si="41"/>
        <v>0</v>
      </c>
      <c r="P110" s="1593"/>
      <c r="Q110" s="1593"/>
      <c r="R110" s="1600"/>
      <c r="S110" s="1608"/>
      <c r="T110" s="1608"/>
      <c r="U110" s="1600"/>
      <c r="V110" s="1608"/>
      <c r="W110" s="1608"/>
      <c r="X110" s="1423">
        <f t="shared" ref="X110:X123" si="47">D110-G110</f>
        <v>0</v>
      </c>
    </row>
    <row r="111" spans="1:24" s="484" customFormat="1" ht="23.25">
      <c r="A111" s="2025"/>
      <c r="B111" s="1619" t="s">
        <v>1621</v>
      </c>
      <c r="C111" s="1906"/>
      <c r="D111" s="1600">
        <f t="shared" si="31"/>
        <v>35340.699999999997</v>
      </c>
      <c r="E111" s="1616"/>
      <c r="F111" s="1616">
        <v>35340.699999999997</v>
      </c>
      <c r="G111" s="1600">
        <f t="shared" si="33"/>
        <v>35340.699999999997</v>
      </c>
      <c r="H111" s="1616">
        <f t="shared" si="45"/>
        <v>0</v>
      </c>
      <c r="I111" s="1616">
        <f t="shared" si="46"/>
        <v>35340.699999999997</v>
      </c>
      <c r="J111" s="1600">
        <f t="shared" si="34"/>
        <v>0</v>
      </c>
      <c r="K111" s="1608"/>
      <c r="L111" s="1608"/>
      <c r="M111" s="1604">
        <f t="shared" si="41"/>
        <v>0</v>
      </c>
      <c r="N111" s="1907">
        <f t="shared" si="41"/>
        <v>0</v>
      </c>
      <c r="O111" s="1907">
        <f t="shared" si="41"/>
        <v>0</v>
      </c>
      <c r="P111" s="1593"/>
      <c r="Q111" s="1593"/>
      <c r="R111" s="1600">
        <f t="shared" ref="R111:R143" si="48">S111+T111</f>
        <v>0</v>
      </c>
      <c r="S111" s="1608">
        <v>0</v>
      </c>
      <c r="T111" s="1608">
        <v>0</v>
      </c>
      <c r="U111" s="1600">
        <f t="shared" si="44"/>
        <v>0</v>
      </c>
      <c r="V111" s="1608">
        <v>0</v>
      </c>
      <c r="W111" s="1608">
        <v>0</v>
      </c>
      <c r="X111" s="1423">
        <f t="shared" si="47"/>
        <v>0</v>
      </c>
    </row>
    <row r="112" spans="1:24" s="484" customFormat="1" ht="46.5" customHeight="1">
      <c r="A112" s="2025" t="s">
        <v>1752</v>
      </c>
      <c r="B112" s="1905" t="s">
        <v>1591</v>
      </c>
      <c r="C112" s="1906"/>
      <c r="D112" s="1600">
        <f>SUM(E112:F112)</f>
        <v>314.10000000000002</v>
      </c>
      <c r="E112" s="1608">
        <f>E113+E114</f>
        <v>147.6</v>
      </c>
      <c r="F112" s="1608">
        <f>F113+F114</f>
        <v>166.5</v>
      </c>
      <c r="G112" s="1600">
        <f>SUM(H112:I112)</f>
        <v>314.10000000000002</v>
      </c>
      <c r="H112" s="1616">
        <f t="shared" si="45"/>
        <v>147.6</v>
      </c>
      <c r="I112" s="1616">
        <f t="shared" si="46"/>
        <v>166.5</v>
      </c>
      <c r="J112" s="1600">
        <f>SUM(K112:L112)</f>
        <v>0</v>
      </c>
      <c r="K112" s="1608">
        <f>K113+K114</f>
        <v>0</v>
      </c>
      <c r="L112" s="1608">
        <f>L113+L114</f>
        <v>0</v>
      </c>
      <c r="M112" s="1604">
        <f t="shared" si="41"/>
        <v>0</v>
      </c>
      <c r="N112" s="1881">
        <f t="shared" si="41"/>
        <v>0</v>
      </c>
      <c r="O112" s="1881">
        <f t="shared" si="41"/>
        <v>0</v>
      </c>
      <c r="P112" s="1593"/>
      <c r="Q112" s="1593"/>
      <c r="R112" s="1600"/>
      <c r="S112" s="1608"/>
      <c r="T112" s="1608"/>
      <c r="U112" s="1600"/>
      <c r="V112" s="1608"/>
      <c r="W112" s="1608"/>
      <c r="X112" s="1423">
        <f t="shared" si="47"/>
        <v>0</v>
      </c>
    </row>
    <row r="113" spans="1:24" s="484" customFormat="1" ht="24" customHeight="1">
      <c r="A113" s="2025"/>
      <c r="B113" s="1619" t="s">
        <v>1620</v>
      </c>
      <c r="C113" s="1906"/>
      <c r="D113" s="1600">
        <f>SUM(E113:F113)</f>
        <v>157.1</v>
      </c>
      <c r="E113" s="1608">
        <v>147.6</v>
      </c>
      <c r="F113" s="1608">
        <v>9.5</v>
      </c>
      <c r="G113" s="1600">
        <f>SUM(H113:I113)</f>
        <v>157.1</v>
      </c>
      <c r="H113" s="1616">
        <f t="shared" si="45"/>
        <v>147.6</v>
      </c>
      <c r="I113" s="1616">
        <f t="shared" si="46"/>
        <v>9.5</v>
      </c>
      <c r="J113" s="1600">
        <f>SUM(K113:L113)</f>
        <v>0</v>
      </c>
      <c r="K113" s="1608"/>
      <c r="L113" s="1608"/>
      <c r="M113" s="1604">
        <f t="shared" si="41"/>
        <v>0</v>
      </c>
      <c r="N113" s="1881">
        <f t="shared" si="41"/>
        <v>0</v>
      </c>
      <c r="O113" s="1881">
        <f t="shared" si="41"/>
        <v>0</v>
      </c>
      <c r="P113" s="1593"/>
      <c r="Q113" s="1593"/>
      <c r="R113" s="1600"/>
      <c r="S113" s="1608"/>
      <c r="T113" s="1608"/>
      <c r="U113" s="1600"/>
      <c r="V113" s="1608"/>
      <c r="W113" s="1608"/>
      <c r="X113" s="1423">
        <f t="shared" si="47"/>
        <v>0</v>
      </c>
    </row>
    <row r="114" spans="1:24" s="484" customFormat="1" ht="27" customHeight="1">
      <c r="A114" s="2025"/>
      <c r="B114" s="1619" t="s">
        <v>1621</v>
      </c>
      <c r="C114" s="1906"/>
      <c r="D114" s="1600">
        <f>SUM(E114:F114)</f>
        <v>157</v>
      </c>
      <c r="E114" s="1608">
        <v>0</v>
      </c>
      <c r="F114" s="1608">
        <v>157</v>
      </c>
      <c r="G114" s="1600">
        <f>SUM(H114:I114)</f>
        <v>157</v>
      </c>
      <c r="H114" s="1616">
        <f t="shared" si="45"/>
        <v>0</v>
      </c>
      <c r="I114" s="1616">
        <f t="shared" si="46"/>
        <v>157</v>
      </c>
      <c r="J114" s="1600">
        <f>SUM(K114:L114)</f>
        <v>0</v>
      </c>
      <c r="K114" s="1608"/>
      <c r="L114" s="1608"/>
      <c r="M114" s="1604">
        <f t="shared" si="41"/>
        <v>0</v>
      </c>
      <c r="N114" s="1881">
        <f t="shared" si="41"/>
        <v>0</v>
      </c>
      <c r="O114" s="1881">
        <f t="shared" si="41"/>
        <v>0</v>
      </c>
      <c r="P114" s="1593"/>
      <c r="Q114" s="1593"/>
      <c r="R114" s="1600"/>
      <c r="S114" s="1608"/>
      <c r="T114" s="1608"/>
      <c r="U114" s="1600"/>
      <c r="V114" s="1608"/>
      <c r="W114" s="1608"/>
      <c r="X114" s="1423">
        <f t="shared" si="47"/>
        <v>0</v>
      </c>
    </row>
    <row r="115" spans="1:24" s="1607" customFormat="1" ht="61.5" customHeight="1">
      <c r="A115" s="2025" t="s">
        <v>1753</v>
      </c>
      <c r="B115" s="1914" t="s">
        <v>1600</v>
      </c>
      <c r="C115" s="2024"/>
      <c r="D115" s="1600">
        <f t="shared" si="31"/>
        <v>13576</v>
      </c>
      <c r="E115" s="1608">
        <v>12757.3</v>
      </c>
      <c r="F115" s="1608">
        <v>818.7</v>
      </c>
      <c r="G115" s="1600">
        <f t="shared" si="33"/>
        <v>13576</v>
      </c>
      <c r="H115" s="1616">
        <f t="shared" si="45"/>
        <v>12757.3</v>
      </c>
      <c r="I115" s="1616">
        <f t="shared" si="46"/>
        <v>818.7</v>
      </c>
      <c r="J115" s="1600">
        <f t="shared" si="34"/>
        <v>0</v>
      </c>
      <c r="K115" s="1608"/>
      <c r="L115" s="1608"/>
      <c r="M115" s="1604">
        <f t="shared" si="41"/>
        <v>0</v>
      </c>
      <c r="N115" s="1881">
        <f t="shared" si="41"/>
        <v>0</v>
      </c>
      <c r="O115" s="1881">
        <f t="shared" si="41"/>
        <v>0</v>
      </c>
      <c r="P115" s="1593"/>
      <c r="Q115" s="1593"/>
      <c r="R115" s="1600">
        <f t="shared" si="48"/>
        <v>0</v>
      </c>
      <c r="S115" s="1608">
        <v>0</v>
      </c>
      <c r="T115" s="1608">
        <v>0</v>
      </c>
      <c r="U115" s="1600">
        <f t="shared" si="44"/>
        <v>0</v>
      </c>
      <c r="V115" s="1608">
        <v>0</v>
      </c>
      <c r="W115" s="1608">
        <v>0</v>
      </c>
      <c r="X115" s="1423">
        <f t="shared" si="47"/>
        <v>0</v>
      </c>
    </row>
    <row r="116" spans="1:24" s="484" customFormat="1" ht="54" customHeight="1">
      <c r="A116" s="2025" t="s">
        <v>1754</v>
      </c>
      <c r="B116" s="1914" t="s">
        <v>776</v>
      </c>
      <c r="C116" s="1866" t="s">
        <v>1545</v>
      </c>
      <c r="D116" s="1600">
        <f t="shared" si="31"/>
        <v>179059.7</v>
      </c>
      <c r="E116" s="1614">
        <f>E117+E118</f>
        <v>166418.20000000001</v>
      </c>
      <c r="F116" s="1614">
        <f>F117+F118</f>
        <v>12641.5</v>
      </c>
      <c r="G116" s="1600">
        <f t="shared" si="33"/>
        <v>179059.7</v>
      </c>
      <c r="H116" s="1616">
        <f t="shared" si="45"/>
        <v>166418.20000000001</v>
      </c>
      <c r="I116" s="1616">
        <f t="shared" si="46"/>
        <v>12641.5</v>
      </c>
      <c r="J116" s="1600">
        <f t="shared" si="34"/>
        <v>35352.699999999997</v>
      </c>
      <c r="K116" s="1614">
        <f>K117+K118</f>
        <v>33231.5</v>
      </c>
      <c r="L116" s="1614">
        <f>L117+L118</f>
        <v>2121.1999999999998</v>
      </c>
      <c r="M116" s="1893">
        <f t="shared" si="41"/>
        <v>19.7</v>
      </c>
      <c r="N116" s="1894">
        <f t="shared" si="41"/>
        <v>20</v>
      </c>
      <c r="O116" s="1894">
        <f t="shared" si="41"/>
        <v>16.8</v>
      </c>
      <c r="P116" s="1593" t="s">
        <v>1272</v>
      </c>
      <c r="Q116" s="1593" t="s">
        <v>1273</v>
      </c>
      <c r="R116" s="1600">
        <f t="shared" si="48"/>
        <v>0</v>
      </c>
      <c r="S116" s="1608">
        <v>0</v>
      </c>
      <c r="T116" s="1608">
        <v>0</v>
      </c>
      <c r="U116" s="1600">
        <f t="shared" si="44"/>
        <v>0</v>
      </c>
      <c r="V116" s="1608">
        <v>0</v>
      </c>
      <c r="W116" s="1608">
        <v>0</v>
      </c>
      <c r="X116" s="1423">
        <f t="shared" si="47"/>
        <v>0</v>
      </c>
    </row>
    <row r="117" spans="1:24" s="484" customFormat="1" ht="28.5" customHeight="1">
      <c r="A117" s="2025"/>
      <c r="B117" s="1619" t="s">
        <v>1620</v>
      </c>
      <c r="C117" s="1866"/>
      <c r="D117" s="1600">
        <f>SUM(E117:F117)</f>
        <v>177040.7</v>
      </c>
      <c r="E117" s="1614">
        <v>166418.20000000001</v>
      </c>
      <c r="F117" s="1614">
        <v>10622.5</v>
      </c>
      <c r="G117" s="1600">
        <f>SUM(H117:I117)</f>
        <v>177040.7</v>
      </c>
      <c r="H117" s="1616">
        <f t="shared" si="45"/>
        <v>166418.20000000001</v>
      </c>
      <c r="I117" s="1616">
        <f t="shared" si="46"/>
        <v>10622.5</v>
      </c>
      <c r="J117" s="1600">
        <f>SUM(K117:L117)</f>
        <v>35352.699999999997</v>
      </c>
      <c r="K117" s="1614">
        <v>33231.5</v>
      </c>
      <c r="L117" s="1614">
        <v>2121.1999999999998</v>
      </c>
      <c r="M117" s="1893">
        <f t="shared" si="41"/>
        <v>20</v>
      </c>
      <c r="N117" s="1894">
        <f t="shared" si="41"/>
        <v>20</v>
      </c>
      <c r="O117" s="1894">
        <f t="shared" si="41"/>
        <v>20</v>
      </c>
      <c r="P117" s="1593"/>
      <c r="Q117" s="1593"/>
      <c r="R117" s="1600"/>
      <c r="S117" s="1608"/>
      <c r="T117" s="1608"/>
      <c r="U117" s="1600"/>
      <c r="V117" s="1608"/>
      <c r="W117" s="1608"/>
      <c r="X117" s="1423">
        <f t="shared" si="47"/>
        <v>0</v>
      </c>
    </row>
    <row r="118" spans="1:24" s="484" customFormat="1" ht="29.25" customHeight="1">
      <c r="A118" s="2025"/>
      <c r="B118" s="1619" t="s">
        <v>1621</v>
      </c>
      <c r="C118" s="1866"/>
      <c r="D118" s="1600">
        <f>SUM(E118:F118)</f>
        <v>2019</v>
      </c>
      <c r="E118" s="1608">
        <v>0</v>
      </c>
      <c r="F118" s="1608">
        <v>2019</v>
      </c>
      <c r="G118" s="1600">
        <f>SUM(H118:I118)</f>
        <v>2019</v>
      </c>
      <c r="H118" s="1616">
        <f t="shared" si="45"/>
        <v>0</v>
      </c>
      <c r="I118" s="1616">
        <f t="shared" si="46"/>
        <v>2019</v>
      </c>
      <c r="J118" s="1600">
        <f>SUM(K118:L118)</f>
        <v>0</v>
      </c>
      <c r="K118" s="1608"/>
      <c r="L118" s="1608"/>
      <c r="M118" s="1604">
        <f t="shared" si="41"/>
        <v>0</v>
      </c>
      <c r="N118" s="1881">
        <f t="shared" si="41"/>
        <v>0</v>
      </c>
      <c r="O118" s="1881">
        <f t="shared" si="41"/>
        <v>0</v>
      </c>
      <c r="P118" s="1593"/>
      <c r="Q118" s="1593"/>
      <c r="R118" s="1600"/>
      <c r="S118" s="1608"/>
      <c r="T118" s="1608"/>
      <c r="U118" s="1600"/>
      <c r="V118" s="1608"/>
      <c r="W118" s="1608"/>
      <c r="X118" s="1423">
        <f t="shared" si="47"/>
        <v>0</v>
      </c>
    </row>
    <row r="119" spans="1:24" ht="50.25" customHeight="1">
      <c r="A119" s="2025" t="s">
        <v>1755</v>
      </c>
      <c r="B119" s="1888" t="s">
        <v>1595</v>
      </c>
      <c r="C119" s="1866"/>
      <c r="D119" s="1600">
        <f t="shared" si="31"/>
        <v>10217.700000000001</v>
      </c>
      <c r="E119" s="1614">
        <v>9604.6</v>
      </c>
      <c r="F119" s="1614">
        <v>613.1</v>
      </c>
      <c r="G119" s="1600">
        <f t="shared" si="33"/>
        <v>10217.700000000001</v>
      </c>
      <c r="H119" s="1616">
        <f t="shared" si="45"/>
        <v>9604.6</v>
      </c>
      <c r="I119" s="1616">
        <f t="shared" si="46"/>
        <v>613.1</v>
      </c>
      <c r="J119" s="1600">
        <f t="shared" si="34"/>
        <v>0</v>
      </c>
      <c r="K119" s="1614"/>
      <c r="L119" s="1614"/>
      <c r="M119" s="1893">
        <f t="shared" si="41"/>
        <v>0</v>
      </c>
      <c r="N119" s="1894">
        <f t="shared" si="41"/>
        <v>0</v>
      </c>
      <c r="O119" s="1894">
        <f t="shared" si="41"/>
        <v>0</v>
      </c>
      <c r="P119" s="1593"/>
      <c r="Q119" s="1593"/>
      <c r="R119" s="1600">
        <f t="shared" si="48"/>
        <v>0</v>
      </c>
      <c r="S119" s="1608">
        <v>0</v>
      </c>
      <c r="T119" s="1608">
        <v>0</v>
      </c>
      <c r="U119" s="1600">
        <f t="shared" si="44"/>
        <v>0</v>
      </c>
      <c r="V119" s="1608">
        <v>0</v>
      </c>
      <c r="W119" s="1608">
        <v>0</v>
      </c>
      <c r="X119" s="1423">
        <f t="shared" si="47"/>
        <v>0</v>
      </c>
    </row>
    <row r="120" spans="1:24" ht="50.25" customHeight="1">
      <c r="A120" s="2025" t="s">
        <v>1756</v>
      </c>
      <c r="B120" s="1888" t="s">
        <v>1596</v>
      </c>
      <c r="C120" s="1866"/>
      <c r="D120" s="1600">
        <f t="shared" si="31"/>
        <v>6626.8</v>
      </c>
      <c r="E120" s="1614">
        <v>6229.1</v>
      </c>
      <c r="F120" s="1614">
        <v>397.7</v>
      </c>
      <c r="G120" s="1600">
        <f t="shared" si="33"/>
        <v>6626.8</v>
      </c>
      <c r="H120" s="1616">
        <f t="shared" si="45"/>
        <v>6229.1</v>
      </c>
      <c r="I120" s="1616">
        <f t="shared" si="46"/>
        <v>397.7</v>
      </c>
      <c r="J120" s="1600">
        <f t="shared" si="34"/>
        <v>0</v>
      </c>
      <c r="K120" s="1614"/>
      <c r="L120" s="1614"/>
      <c r="M120" s="1893">
        <f t="shared" si="41"/>
        <v>0</v>
      </c>
      <c r="N120" s="1894">
        <f t="shared" si="41"/>
        <v>0</v>
      </c>
      <c r="O120" s="1894">
        <f t="shared" si="41"/>
        <v>0</v>
      </c>
      <c r="P120" s="1593"/>
      <c r="Q120" s="1593"/>
      <c r="R120" s="1600">
        <f t="shared" si="48"/>
        <v>0</v>
      </c>
      <c r="S120" s="1608">
        <v>0</v>
      </c>
      <c r="T120" s="1608">
        <v>0</v>
      </c>
      <c r="U120" s="1600">
        <f t="shared" si="44"/>
        <v>0</v>
      </c>
      <c r="V120" s="1608">
        <v>0</v>
      </c>
      <c r="W120" s="1608">
        <v>0</v>
      </c>
      <c r="X120" s="1423">
        <f t="shared" si="47"/>
        <v>0</v>
      </c>
    </row>
    <row r="121" spans="1:24" s="484" customFormat="1" ht="78.75" customHeight="1">
      <c r="A121" s="2025" t="s">
        <v>1757</v>
      </c>
      <c r="B121" s="1914" t="s">
        <v>1599</v>
      </c>
      <c r="C121" s="1866" t="s">
        <v>1611</v>
      </c>
      <c r="D121" s="1600">
        <f t="shared" si="31"/>
        <v>171408.9</v>
      </c>
      <c r="E121" s="1608">
        <v>161122.70000000001</v>
      </c>
      <c r="F121" s="1608">
        <v>10286.200000000001</v>
      </c>
      <c r="G121" s="1600">
        <f t="shared" ref="G121:G153" si="49">SUM(H121:I121)</f>
        <v>171408.9</v>
      </c>
      <c r="H121" s="1616">
        <f t="shared" si="45"/>
        <v>161122.70000000001</v>
      </c>
      <c r="I121" s="1616">
        <f t="shared" si="46"/>
        <v>10286.200000000001</v>
      </c>
      <c r="J121" s="1600">
        <f t="shared" si="34"/>
        <v>0</v>
      </c>
      <c r="K121" s="1608"/>
      <c r="L121" s="1608"/>
      <c r="M121" s="1893">
        <f t="shared" si="41"/>
        <v>0</v>
      </c>
      <c r="N121" s="1894">
        <f t="shared" si="41"/>
        <v>0</v>
      </c>
      <c r="O121" s="1894">
        <f t="shared" si="41"/>
        <v>0</v>
      </c>
      <c r="P121" s="1593"/>
      <c r="Q121" s="1593"/>
      <c r="R121" s="1600">
        <f t="shared" si="48"/>
        <v>0</v>
      </c>
      <c r="S121" s="1608">
        <v>0</v>
      </c>
      <c r="T121" s="1608">
        <v>0</v>
      </c>
      <c r="U121" s="1600">
        <f t="shared" si="44"/>
        <v>0</v>
      </c>
      <c r="V121" s="1608">
        <v>0</v>
      </c>
      <c r="W121" s="1608">
        <v>0</v>
      </c>
      <c r="X121" s="1423">
        <f t="shared" si="47"/>
        <v>0</v>
      </c>
    </row>
    <row r="122" spans="1:24" s="484" customFormat="1" ht="30.75" customHeight="1">
      <c r="A122" s="2037" t="s">
        <v>1758</v>
      </c>
      <c r="B122" s="516" t="s">
        <v>763</v>
      </c>
      <c r="C122" s="1923" t="s">
        <v>1550</v>
      </c>
      <c r="D122" s="1600">
        <f>SUM(E122:F122)</f>
        <v>172153.3</v>
      </c>
      <c r="E122" s="1608">
        <f>E123+E124</f>
        <v>161822.39999999999</v>
      </c>
      <c r="F122" s="1608">
        <f t="shared" ref="F122:W122" si="50">F123+F124</f>
        <v>10330.9</v>
      </c>
      <c r="G122" s="1600">
        <f t="shared" si="49"/>
        <v>172153.3</v>
      </c>
      <c r="H122" s="1616">
        <f t="shared" si="45"/>
        <v>161822.39999999999</v>
      </c>
      <c r="I122" s="1616">
        <f t="shared" si="46"/>
        <v>10330.9</v>
      </c>
      <c r="J122" s="1600">
        <f t="shared" si="34"/>
        <v>0</v>
      </c>
      <c r="K122" s="1608">
        <f>K123</f>
        <v>0</v>
      </c>
      <c r="L122" s="1608">
        <f>L123</f>
        <v>0</v>
      </c>
      <c r="M122" s="1608">
        <f t="shared" si="41"/>
        <v>0</v>
      </c>
      <c r="N122" s="1608">
        <f t="shared" si="41"/>
        <v>0</v>
      </c>
      <c r="O122" s="1608">
        <f t="shared" si="41"/>
        <v>0</v>
      </c>
      <c r="P122" s="1608">
        <f t="shared" si="50"/>
        <v>0</v>
      </c>
      <c r="Q122" s="1608">
        <f t="shared" si="50"/>
        <v>0</v>
      </c>
      <c r="R122" s="1941">
        <f t="shared" si="50"/>
        <v>109549.9</v>
      </c>
      <c r="S122" s="1608">
        <f t="shared" si="50"/>
        <v>0</v>
      </c>
      <c r="T122" s="1608">
        <f t="shared" si="50"/>
        <v>109549.9</v>
      </c>
      <c r="U122" s="1608">
        <f t="shared" si="50"/>
        <v>0</v>
      </c>
      <c r="V122" s="1608">
        <f t="shared" si="50"/>
        <v>0</v>
      </c>
      <c r="W122" s="1608">
        <f t="shared" si="50"/>
        <v>0</v>
      </c>
      <c r="X122" s="1423">
        <f t="shared" si="47"/>
        <v>0</v>
      </c>
    </row>
    <row r="123" spans="1:24" s="484" customFormat="1" ht="23.25">
      <c r="A123" s="2025"/>
      <c r="B123" s="1619" t="s">
        <v>1620</v>
      </c>
      <c r="C123" s="1924"/>
      <c r="D123" s="1600">
        <f>SUM(E123:F123)</f>
        <v>172153.3</v>
      </c>
      <c r="E123" s="1608">
        <v>161822.39999999999</v>
      </c>
      <c r="F123" s="1608">
        <v>10330.9</v>
      </c>
      <c r="G123" s="1600">
        <f t="shared" si="49"/>
        <v>172153.3</v>
      </c>
      <c r="H123" s="1616">
        <f t="shared" si="45"/>
        <v>161822.39999999999</v>
      </c>
      <c r="I123" s="1616">
        <f t="shared" si="46"/>
        <v>10330.9</v>
      </c>
      <c r="J123" s="1600">
        <f t="shared" si="34"/>
        <v>0</v>
      </c>
      <c r="K123" s="1608"/>
      <c r="L123" s="1608"/>
      <c r="M123" s="1893">
        <f t="shared" si="41"/>
        <v>0</v>
      </c>
      <c r="N123" s="1894">
        <f t="shared" si="41"/>
        <v>0</v>
      </c>
      <c r="O123" s="1894">
        <f t="shared" si="41"/>
        <v>0</v>
      </c>
      <c r="P123" s="1593"/>
      <c r="Q123" s="1593"/>
      <c r="R123" s="1600">
        <f>S123+T123</f>
        <v>0</v>
      </c>
      <c r="S123" s="1608">
        <v>0</v>
      </c>
      <c r="T123" s="1608">
        <v>0</v>
      </c>
      <c r="U123" s="1600">
        <f>V123+W123</f>
        <v>0</v>
      </c>
      <c r="V123" s="1608">
        <v>0</v>
      </c>
      <c r="W123" s="1624">
        <v>0</v>
      </c>
      <c r="X123" s="1423">
        <f t="shared" si="47"/>
        <v>0</v>
      </c>
    </row>
    <row r="124" spans="1:24" s="484" customFormat="1" ht="19.5" hidden="1" customHeight="1">
      <c r="A124" s="2024"/>
      <c r="B124" s="1619" t="s">
        <v>1621</v>
      </c>
      <c r="C124" s="1924"/>
      <c r="D124" s="1600">
        <f>SUM(E124:F124)</f>
        <v>0</v>
      </c>
      <c r="E124" s="1608"/>
      <c r="F124" s="1624">
        <v>0</v>
      </c>
      <c r="G124" s="1600">
        <f t="shared" si="49"/>
        <v>0</v>
      </c>
      <c r="H124" s="1608"/>
      <c r="I124" s="1624">
        <v>0</v>
      </c>
      <c r="J124" s="1600">
        <f t="shared" si="34"/>
        <v>0</v>
      </c>
      <c r="K124" s="1608"/>
      <c r="L124" s="1624"/>
      <c r="M124" s="1893">
        <f t="shared" si="41"/>
        <v>0</v>
      </c>
      <c r="N124" s="1894">
        <f t="shared" si="41"/>
        <v>0</v>
      </c>
      <c r="O124" s="1894">
        <f t="shared" si="41"/>
        <v>0</v>
      </c>
      <c r="P124" s="1593"/>
      <c r="Q124" s="1593"/>
      <c r="R124" s="1600">
        <f>S124+T124</f>
        <v>109549.9</v>
      </c>
      <c r="S124" s="1608">
        <v>0</v>
      </c>
      <c r="T124" s="1608">
        <v>109549.9</v>
      </c>
      <c r="U124" s="1600">
        <f>V124+W124</f>
        <v>0</v>
      </c>
      <c r="V124" s="1608">
        <v>0</v>
      </c>
      <c r="W124" s="1624">
        <v>0</v>
      </c>
    </row>
    <row r="125" spans="1:24" s="484" customFormat="1" ht="20.25" customHeight="1">
      <c r="A125" s="2037" t="s">
        <v>1759</v>
      </c>
      <c r="B125" s="516" t="s">
        <v>765</v>
      </c>
      <c r="C125" s="1923" t="s">
        <v>1550</v>
      </c>
      <c r="D125" s="1600">
        <f t="shared" si="31"/>
        <v>33286.699999999997</v>
      </c>
      <c r="E125" s="1608">
        <f>SUM(E126:E127)</f>
        <v>21902.5</v>
      </c>
      <c r="F125" s="1608">
        <f>SUM(F126:F127)</f>
        <v>11384.2</v>
      </c>
      <c r="G125" s="1600">
        <f t="shared" si="49"/>
        <v>33286.699999999997</v>
      </c>
      <c r="H125" s="1616">
        <f t="shared" ref="H125:H137" si="51">E125</f>
        <v>21902.5</v>
      </c>
      <c r="I125" s="1616">
        <f t="shared" ref="I125:I137" si="52">F125</f>
        <v>11384.2</v>
      </c>
      <c r="J125" s="1600">
        <f t="shared" si="34"/>
        <v>0</v>
      </c>
      <c r="K125" s="1608">
        <f>K126+K127</f>
        <v>0</v>
      </c>
      <c r="L125" s="1608">
        <f>L126+L127</f>
        <v>0</v>
      </c>
      <c r="M125" s="1893">
        <f t="shared" si="41"/>
        <v>0</v>
      </c>
      <c r="N125" s="1894">
        <f t="shared" si="41"/>
        <v>0</v>
      </c>
      <c r="O125" s="1894">
        <f t="shared" si="41"/>
        <v>0</v>
      </c>
      <c r="P125" s="1593" t="s">
        <v>1267</v>
      </c>
      <c r="Q125" s="1593" t="s">
        <v>1219</v>
      </c>
      <c r="R125" s="1600">
        <f t="shared" si="48"/>
        <v>0</v>
      </c>
      <c r="S125" s="1608">
        <v>0</v>
      </c>
      <c r="T125" s="1608">
        <v>0</v>
      </c>
      <c r="U125" s="1600">
        <f t="shared" si="44"/>
        <v>0</v>
      </c>
      <c r="V125" s="1608">
        <v>0</v>
      </c>
      <c r="W125" s="1624">
        <v>0</v>
      </c>
      <c r="X125" s="1423">
        <f t="shared" ref="X125:X137" si="53">D125-G125</f>
        <v>0</v>
      </c>
    </row>
    <row r="126" spans="1:24" ht="23.25">
      <c r="A126" s="2025"/>
      <c r="B126" s="1619" t="s">
        <v>1620</v>
      </c>
      <c r="C126" s="1924"/>
      <c r="D126" s="1600">
        <f t="shared" si="31"/>
        <v>23300.799999999999</v>
      </c>
      <c r="E126" s="1608">
        <v>21902.5</v>
      </c>
      <c r="F126" s="1608">
        <v>1398.3</v>
      </c>
      <c r="G126" s="1600">
        <f t="shared" si="49"/>
        <v>23300.799999999999</v>
      </c>
      <c r="H126" s="1616">
        <f t="shared" si="51"/>
        <v>21902.5</v>
      </c>
      <c r="I126" s="1616">
        <f t="shared" si="52"/>
        <v>1398.3</v>
      </c>
      <c r="J126" s="1600">
        <f t="shared" si="34"/>
        <v>0</v>
      </c>
      <c r="K126" s="1608"/>
      <c r="L126" s="1608"/>
      <c r="M126" s="1893">
        <f t="shared" si="41"/>
        <v>0</v>
      </c>
      <c r="N126" s="1894">
        <f t="shared" si="41"/>
        <v>0</v>
      </c>
      <c r="O126" s="1894">
        <f t="shared" si="41"/>
        <v>0</v>
      </c>
      <c r="P126" s="1593"/>
      <c r="Q126" s="1593"/>
      <c r="R126" s="1600">
        <f t="shared" si="48"/>
        <v>0</v>
      </c>
      <c r="S126" s="1608">
        <v>0</v>
      </c>
      <c r="T126" s="1608">
        <v>0</v>
      </c>
      <c r="U126" s="1600">
        <f t="shared" si="44"/>
        <v>0</v>
      </c>
      <c r="V126" s="1608">
        <v>0</v>
      </c>
      <c r="W126" s="1624">
        <v>0</v>
      </c>
      <c r="X126" s="1423">
        <f t="shared" si="53"/>
        <v>0</v>
      </c>
    </row>
    <row r="127" spans="1:24" ht="23.25">
      <c r="A127" s="2025"/>
      <c r="B127" s="1619" t="s">
        <v>1621</v>
      </c>
      <c r="C127" s="1924"/>
      <c r="D127" s="1600">
        <f t="shared" si="31"/>
        <v>9985.9</v>
      </c>
      <c r="E127" s="1608"/>
      <c r="F127" s="1624">
        <v>9985.9</v>
      </c>
      <c r="G127" s="1600">
        <f t="shared" si="49"/>
        <v>9985.9</v>
      </c>
      <c r="H127" s="1616">
        <f t="shared" si="51"/>
        <v>0</v>
      </c>
      <c r="I127" s="1616">
        <f t="shared" si="52"/>
        <v>9985.9</v>
      </c>
      <c r="J127" s="1600">
        <f t="shared" si="34"/>
        <v>0</v>
      </c>
      <c r="K127" s="1608"/>
      <c r="L127" s="1624"/>
      <c r="M127" s="1893">
        <f t="shared" si="41"/>
        <v>0</v>
      </c>
      <c r="N127" s="1894">
        <f t="shared" si="41"/>
        <v>0</v>
      </c>
      <c r="O127" s="1894">
        <f t="shared" si="41"/>
        <v>0</v>
      </c>
      <c r="P127" s="1593"/>
      <c r="Q127" s="1593"/>
      <c r="R127" s="1600">
        <f t="shared" si="48"/>
        <v>0</v>
      </c>
      <c r="S127" s="1608">
        <v>0</v>
      </c>
      <c r="T127" s="1608">
        <v>0</v>
      </c>
      <c r="U127" s="1600">
        <f t="shared" si="44"/>
        <v>0</v>
      </c>
      <c r="V127" s="1608">
        <v>0</v>
      </c>
      <c r="W127" s="1624">
        <v>0</v>
      </c>
      <c r="X127" s="1423">
        <f t="shared" si="53"/>
        <v>0</v>
      </c>
    </row>
    <row r="128" spans="1:24" s="484" customFormat="1" ht="24.75" customHeight="1">
      <c r="A128" s="2037" t="s">
        <v>1760</v>
      </c>
      <c r="B128" s="516" t="s">
        <v>766</v>
      </c>
      <c r="C128" s="1923" t="s">
        <v>1550</v>
      </c>
      <c r="D128" s="1600">
        <f t="shared" si="31"/>
        <v>20841.599999999999</v>
      </c>
      <c r="E128" s="1608">
        <f>SUM(E129:E130)</f>
        <v>13713.9</v>
      </c>
      <c r="F128" s="1608">
        <f>SUM(F129:F130)</f>
        <v>7127.7</v>
      </c>
      <c r="G128" s="1600">
        <f t="shared" si="49"/>
        <v>20841.599999999999</v>
      </c>
      <c r="H128" s="1616">
        <f t="shared" si="51"/>
        <v>13713.9</v>
      </c>
      <c r="I128" s="1616">
        <f t="shared" si="52"/>
        <v>7127.7</v>
      </c>
      <c r="J128" s="1600">
        <f t="shared" si="34"/>
        <v>0</v>
      </c>
      <c r="K128" s="1608">
        <f>K129+K130</f>
        <v>0</v>
      </c>
      <c r="L128" s="1608">
        <f>L129+L130</f>
        <v>0</v>
      </c>
      <c r="M128" s="1893">
        <f t="shared" si="41"/>
        <v>0</v>
      </c>
      <c r="N128" s="1894">
        <f t="shared" si="41"/>
        <v>0</v>
      </c>
      <c r="O128" s="1894">
        <f t="shared" si="41"/>
        <v>0</v>
      </c>
      <c r="P128" s="1593" t="s">
        <v>1303</v>
      </c>
      <c r="Q128" s="1593" t="s">
        <v>1268</v>
      </c>
      <c r="R128" s="1600">
        <f t="shared" si="48"/>
        <v>0</v>
      </c>
      <c r="S128" s="1608">
        <v>0</v>
      </c>
      <c r="T128" s="1608">
        <v>0</v>
      </c>
      <c r="U128" s="1600">
        <f t="shared" si="44"/>
        <v>0</v>
      </c>
      <c r="V128" s="1608">
        <v>0</v>
      </c>
      <c r="W128" s="1624">
        <v>0</v>
      </c>
      <c r="X128" s="1423">
        <f t="shared" si="53"/>
        <v>0</v>
      </c>
    </row>
    <row r="129" spans="1:24" ht="23.25">
      <c r="A129" s="2025"/>
      <c r="B129" s="1619" t="s">
        <v>1620</v>
      </c>
      <c r="C129" s="1924"/>
      <c r="D129" s="1600">
        <f t="shared" si="31"/>
        <v>14589.4</v>
      </c>
      <c r="E129" s="1608">
        <v>13713.9</v>
      </c>
      <c r="F129" s="1608">
        <v>875.5</v>
      </c>
      <c r="G129" s="1600">
        <f t="shared" si="49"/>
        <v>14589.4</v>
      </c>
      <c r="H129" s="1616">
        <f t="shared" si="51"/>
        <v>13713.9</v>
      </c>
      <c r="I129" s="1616">
        <f t="shared" si="52"/>
        <v>875.5</v>
      </c>
      <c r="J129" s="1600">
        <f t="shared" si="34"/>
        <v>0</v>
      </c>
      <c r="K129" s="1608"/>
      <c r="L129" s="1608"/>
      <c r="M129" s="1893">
        <f t="shared" si="41"/>
        <v>0</v>
      </c>
      <c r="N129" s="1894">
        <f t="shared" si="41"/>
        <v>0</v>
      </c>
      <c r="O129" s="1894">
        <f t="shared" si="41"/>
        <v>0</v>
      </c>
      <c r="P129" s="1593"/>
      <c r="Q129" s="1593"/>
      <c r="R129" s="1600">
        <f t="shared" si="48"/>
        <v>0</v>
      </c>
      <c r="S129" s="1608">
        <v>0</v>
      </c>
      <c r="T129" s="1608">
        <v>0</v>
      </c>
      <c r="U129" s="1600">
        <f t="shared" si="44"/>
        <v>0</v>
      </c>
      <c r="V129" s="1608">
        <v>0</v>
      </c>
      <c r="W129" s="1624">
        <v>0</v>
      </c>
      <c r="X129" s="1423">
        <f t="shared" si="53"/>
        <v>0</v>
      </c>
    </row>
    <row r="130" spans="1:24" ht="23.25">
      <c r="A130" s="2025"/>
      <c r="B130" s="1619" t="s">
        <v>1621</v>
      </c>
      <c r="C130" s="1924"/>
      <c r="D130" s="1600">
        <f t="shared" si="31"/>
        <v>6252.2</v>
      </c>
      <c r="E130" s="1608"/>
      <c r="F130" s="1624">
        <v>6252.2</v>
      </c>
      <c r="G130" s="1600">
        <f t="shared" si="49"/>
        <v>6252.2</v>
      </c>
      <c r="H130" s="1616">
        <f t="shared" si="51"/>
        <v>0</v>
      </c>
      <c r="I130" s="1616">
        <f t="shared" si="52"/>
        <v>6252.2</v>
      </c>
      <c r="J130" s="1600">
        <f t="shared" si="34"/>
        <v>0</v>
      </c>
      <c r="K130" s="1608"/>
      <c r="L130" s="1624"/>
      <c r="M130" s="1893">
        <f t="shared" si="41"/>
        <v>0</v>
      </c>
      <c r="N130" s="1894">
        <f t="shared" si="41"/>
        <v>0</v>
      </c>
      <c r="O130" s="1894">
        <f t="shared" si="41"/>
        <v>0</v>
      </c>
      <c r="P130" s="1593"/>
      <c r="Q130" s="1593"/>
      <c r="R130" s="1600">
        <f t="shared" si="48"/>
        <v>0</v>
      </c>
      <c r="S130" s="1608">
        <v>0</v>
      </c>
      <c r="T130" s="1608">
        <v>0</v>
      </c>
      <c r="U130" s="1600">
        <f t="shared" si="44"/>
        <v>0</v>
      </c>
      <c r="V130" s="1608">
        <v>0</v>
      </c>
      <c r="W130" s="1624">
        <v>0</v>
      </c>
      <c r="X130" s="1423">
        <f t="shared" si="53"/>
        <v>0</v>
      </c>
    </row>
    <row r="131" spans="1:24" ht="39" customHeight="1">
      <c r="A131" s="2037" t="s">
        <v>1761</v>
      </c>
      <c r="B131" s="521" t="s">
        <v>478</v>
      </c>
      <c r="C131" s="1924" t="s">
        <v>1610</v>
      </c>
      <c r="D131" s="1600">
        <f t="shared" si="31"/>
        <v>450378.9</v>
      </c>
      <c r="E131" s="1608">
        <f>E132+E133</f>
        <v>423069.5</v>
      </c>
      <c r="F131" s="1608">
        <f>F132+F133</f>
        <v>27309.4</v>
      </c>
      <c r="G131" s="1600">
        <f t="shared" si="49"/>
        <v>450378.9</v>
      </c>
      <c r="H131" s="1616">
        <f t="shared" si="51"/>
        <v>423069.5</v>
      </c>
      <c r="I131" s="1616">
        <f t="shared" si="52"/>
        <v>27309.4</v>
      </c>
      <c r="J131" s="1600">
        <f t="shared" si="34"/>
        <v>321797.2</v>
      </c>
      <c r="K131" s="1608">
        <f>K132+K133</f>
        <v>302489.40000000002</v>
      </c>
      <c r="L131" s="1608">
        <f>L132+L133</f>
        <v>19307.8</v>
      </c>
      <c r="M131" s="1893">
        <f t="shared" si="41"/>
        <v>71.5</v>
      </c>
      <c r="N131" s="1894">
        <f t="shared" si="41"/>
        <v>71.5</v>
      </c>
      <c r="O131" s="1894">
        <f t="shared" si="41"/>
        <v>70.7</v>
      </c>
      <c r="P131" s="1593" t="s">
        <v>1298</v>
      </c>
      <c r="Q131" s="1593" t="s">
        <v>1261</v>
      </c>
      <c r="R131" s="1600">
        <f t="shared" si="48"/>
        <v>0</v>
      </c>
      <c r="S131" s="1608">
        <v>0</v>
      </c>
      <c r="T131" s="1608">
        <v>0</v>
      </c>
      <c r="U131" s="1600">
        <f t="shared" si="44"/>
        <v>0</v>
      </c>
      <c r="V131" s="1608">
        <v>0</v>
      </c>
      <c r="W131" s="1624">
        <v>0</v>
      </c>
      <c r="X131" s="1423">
        <f t="shared" si="53"/>
        <v>0</v>
      </c>
    </row>
    <row r="132" spans="1:24" ht="23.25">
      <c r="A132" s="2025"/>
      <c r="B132" s="1619" t="s">
        <v>1620</v>
      </c>
      <c r="C132" s="1924"/>
      <c r="D132" s="1600">
        <f t="shared" si="31"/>
        <v>450074</v>
      </c>
      <c r="E132" s="1608">
        <f>422106.8+962.7</f>
        <v>423069.5</v>
      </c>
      <c r="F132" s="1624">
        <f>26943+61.5</f>
        <v>27004.5</v>
      </c>
      <c r="G132" s="1600">
        <f t="shared" si="49"/>
        <v>450074</v>
      </c>
      <c r="H132" s="1616">
        <f t="shared" si="51"/>
        <v>423069.5</v>
      </c>
      <c r="I132" s="1616">
        <f t="shared" si="52"/>
        <v>27004.5</v>
      </c>
      <c r="J132" s="1600">
        <f t="shared" si="34"/>
        <v>321797.2</v>
      </c>
      <c r="K132" s="1608">
        <v>302489.40000000002</v>
      </c>
      <c r="L132" s="1624">
        <v>19307.8</v>
      </c>
      <c r="M132" s="1893">
        <f t="shared" si="41"/>
        <v>71.5</v>
      </c>
      <c r="N132" s="1894">
        <f t="shared" si="41"/>
        <v>71.5</v>
      </c>
      <c r="O132" s="1894">
        <f t="shared" si="41"/>
        <v>71.5</v>
      </c>
      <c r="P132" s="1593"/>
      <c r="Q132" s="1593"/>
      <c r="R132" s="1600">
        <f t="shared" si="48"/>
        <v>0</v>
      </c>
      <c r="S132" s="1608">
        <v>0</v>
      </c>
      <c r="T132" s="1608">
        <v>0</v>
      </c>
      <c r="U132" s="1600">
        <f t="shared" si="44"/>
        <v>0</v>
      </c>
      <c r="V132" s="1608">
        <v>0</v>
      </c>
      <c r="W132" s="1624">
        <v>0</v>
      </c>
      <c r="X132" s="1423">
        <f t="shared" si="53"/>
        <v>0</v>
      </c>
    </row>
    <row r="133" spans="1:24" ht="23.25">
      <c r="A133" s="2025"/>
      <c r="B133" s="1619" t="s">
        <v>1621</v>
      </c>
      <c r="C133" s="1924"/>
      <c r="D133" s="1600">
        <f t="shared" si="31"/>
        <v>304.89999999999998</v>
      </c>
      <c r="E133" s="1608"/>
      <c r="F133" s="1624">
        <v>304.89999999999998</v>
      </c>
      <c r="G133" s="1600">
        <f t="shared" si="49"/>
        <v>304.89999999999998</v>
      </c>
      <c r="H133" s="1616">
        <f t="shared" si="51"/>
        <v>0</v>
      </c>
      <c r="I133" s="1616">
        <f t="shared" si="52"/>
        <v>304.89999999999998</v>
      </c>
      <c r="J133" s="1600">
        <f t="shared" si="34"/>
        <v>0</v>
      </c>
      <c r="K133" s="1608"/>
      <c r="L133" s="1624"/>
      <c r="M133" s="1893">
        <f t="shared" si="41"/>
        <v>0</v>
      </c>
      <c r="N133" s="1894">
        <f t="shared" si="41"/>
        <v>0</v>
      </c>
      <c r="O133" s="1894">
        <f t="shared" si="41"/>
        <v>0</v>
      </c>
      <c r="P133" s="1593"/>
      <c r="Q133" s="1593"/>
      <c r="R133" s="1600">
        <f t="shared" si="48"/>
        <v>0</v>
      </c>
      <c r="S133" s="1608">
        <v>0</v>
      </c>
      <c r="T133" s="1608">
        <v>0</v>
      </c>
      <c r="U133" s="1600">
        <f t="shared" si="44"/>
        <v>0</v>
      </c>
      <c r="V133" s="1614"/>
      <c r="W133" s="1614"/>
      <c r="X133" s="1423">
        <f t="shared" si="53"/>
        <v>0</v>
      </c>
    </row>
    <row r="134" spans="1:24" s="484" customFormat="1" ht="39.75" customHeight="1">
      <c r="A134" s="2037" t="s">
        <v>1762</v>
      </c>
      <c r="B134" s="1915" t="s">
        <v>694</v>
      </c>
      <c r="C134" s="1866" t="s">
        <v>1548</v>
      </c>
      <c r="D134" s="1600">
        <f t="shared" si="31"/>
        <v>315323.09999999998</v>
      </c>
      <c r="E134" s="1614">
        <v>296403.8</v>
      </c>
      <c r="F134" s="1614">
        <f>18919.3</f>
        <v>18919.3</v>
      </c>
      <c r="G134" s="1600">
        <f t="shared" si="49"/>
        <v>315323.09999999998</v>
      </c>
      <c r="H134" s="1616">
        <f t="shared" si="51"/>
        <v>296403.8</v>
      </c>
      <c r="I134" s="1616">
        <f t="shared" si="52"/>
        <v>18919.3</v>
      </c>
      <c r="J134" s="1600">
        <f t="shared" si="34"/>
        <v>0</v>
      </c>
      <c r="K134" s="1614"/>
      <c r="L134" s="1614"/>
      <c r="M134" s="1893">
        <f t="shared" si="41"/>
        <v>0</v>
      </c>
      <c r="N134" s="1894">
        <f t="shared" si="41"/>
        <v>0</v>
      </c>
      <c r="O134" s="1894">
        <f t="shared" si="41"/>
        <v>0</v>
      </c>
      <c r="P134" s="1593" t="s">
        <v>1272</v>
      </c>
      <c r="Q134" s="1593" t="s">
        <v>1273</v>
      </c>
      <c r="R134" s="1600">
        <f t="shared" si="48"/>
        <v>0</v>
      </c>
      <c r="S134" s="1614">
        <v>0</v>
      </c>
      <c r="T134" s="1614">
        <v>0</v>
      </c>
      <c r="U134" s="1600">
        <f t="shared" si="44"/>
        <v>0</v>
      </c>
      <c r="V134" s="1614">
        <v>0</v>
      </c>
      <c r="W134" s="1614">
        <v>0</v>
      </c>
      <c r="X134" s="1423">
        <f t="shared" si="53"/>
        <v>0</v>
      </c>
    </row>
    <row r="135" spans="1:24" s="484" customFormat="1" ht="42" customHeight="1">
      <c r="A135" s="2037" t="s">
        <v>1763</v>
      </c>
      <c r="B135" s="1915" t="s">
        <v>695</v>
      </c>
      <c r="C135" s="1866"/>
      <c r="D135" s="1600">
        <f t="shared" si="31"/>
        <v>191952</v>
      </c>
      <c r="E135" s="1614">
        <v>180434.8</v>
      </c>
      <c r="F135" s="1614">
        <v>11517.2</v>
      </c>
      <c r="G135" s="1600">
        <f t="shared" si="49"/>
        <v>191952</v>
      </c>
      <c r="H135" s="1616">
        <f t="shared" si="51"/>
        <v>180434.8</v>
      </c>
      <c r="I135" s="1616">
        <f t="shared" si="52"/>
        <v>11517.2</v>
      </c>
      <c r="J135" s="1600">
        <f t="shared" si="34"/>
        <v>112460.3</v>
      </c>
      <c r="K135" s="1614">
        <v>105712.7</v>
      </c>
      <c r="L135" s="1614">
        <v>6747.6</v>
      </c>
      <c r="M135" s="1893">
        <f t="shared" si="41"/>
        <v>58.6</v>
      </c>
      <c r="N135" s="1894">
        <f t="shared" si="41"/>
        <v>58.6</v>
      </c>
      <c r="O135" s="1894">
        <f t="shared" si="41"/>
        <v>58.6</v>
      </c>
      <c r="P135" s="1593" t="s">
        <v>1272</v>
      </c>
      <c r="Q135" s="1593" t="s">
        <v>1273</v>
      </c>
      <c r="R135" s="1600">
        <f t="shared" si="48"/>
        <v>0</v>
      </c>
      <c r="S135" s="1614">
        <v>0</v>
      </c>
      <c r="T135" s="1614">
        <v>0</v>
      </c>
      <c r="U135" s="1600">
        <f t="shared" si="44"/>
        <v>0</v>
      </c>
      <c r="V135" s="1614">
        <v>0</v>
      </c>
      <c r="W135" s="1614">
        <v>0</v>
      </c>
      <c r="X135" s="1423">
        <f t="shared" si="53"/>
        <v>0</v>
      </c>
    </row>
    <row r="136" spans="1:24" s="484" customFormat="1" ht="42" customHeight="1">
      <c r="A136" s="2037" t="s">
        <v>1764</v>
      </c>
      <c r="B136" s="1915" t="s">
        <v>698</v>
      </c>
      <c r="C136" s="1866"/>
      <c r="D136" s="1600">
        <f t="shared" si="31"/>
        <v>668866.80000000005</v>
      </c>
      <c r="E136" s="1614">
        <v>628534.1</v>
      </c>
      <c r="F136" s="1614">
        <f>40332.7</f>
        <v>40332.699999999997</v>
      </c>
      <c r="G136" s="1600">
        <f t="shared" si="49"/>
        <v>668866.80000000005</v>
      </c>
      <c r="H136" s="1616">
        <f t="shared" si="51"/>
        <v>628534.1</v>
      </c>
      <c r="I136" s="1616">
        <f t="shared" si="52"/>
        <v>40332.699999999997</v>
      </c>
      <c r="J136" s="1600">
        <f t="shared" si="34"/>
        <v>0</v>
      </c>
      <c r="K136" s="1614">
        <v>0</v>
      </c>
      <c r="L136" s="1614">
        <v>0</v>
      </c>
      <c r="M136" s="1893">
        <f t="shared" si="41"/>
        <v>0</v>
      </c>
      <c r="N136" s="1894">
        <f t="shared" si="41"/>
        <v>0</v>
      </c>
      <c r="O136" s="1894">
        <f t="shared" si="41"/>
        <v>0</v>
      </c>
      <c r="P136" s="1593" t="s">
        <v>1306</v>
      </c>
      <c r="Q136" s="1593" t="s">
        <v>1277</v>
      </c>
      <c r="R136" s="1600">
        <f>S136+T136</f>
        <v>778086</v>
      </c>
      <c r="S136" s="1615">
        <v>0</v>
      </c>
      <c r="T136" s="1615">
        <v>778086</v>
      </c>
      <c r="U136" s="1600">
        <f t="shared" si="44"/>
        <v>0</v>
      </c>
      <c r="V136" s="1615">
        <v>0</v>
      </c>
      <c r="W136" s="1615">
        <v>0</v>
      </c>
      <c r="X136" s="1423">
        <f t="shared" si="53"/>
        <v>0</v>
      </c>
    </row>
    <row r="137" spans="1:24" s="484" customFormat="1" ht="23.25">
      <c r="A137" s="2025"/>
      <c r="B137" s="1619" t="s">
        <v>1620</v>
      </c>
      <c r="C137" s="1924"/>
      <c r="D137" s="1600">
        <f>SUM(E137:F137)</f>
        <v>668866.80000000005</v>
      </c>
      <c r="E137" s="1608">
        <v>628534.1</v>
      </c>
      <c r="F137" s="1624">
        <v>40332.699999999997</v>
      </c>
      <c r="G137" s="1600">
        <f t="shared" si="49"/>
        <v>668866.80000000005</v>
      </c>
      <c r="H137" s="1616">
        <f t="shared" si="51"/>
        <v>628534.1</v>
      </c>
      <c r="I137" s="1616">
        <f t="shared" si="52"/>
        <v>40332.699999999997</v>
      </c>
      <c r="J137" s="1600">
        <f t="shared" si="34"/>
        <v>0</v>
      </c>
      <c r="K137" s="1608"/>
      <c r="L137" s="1624"/>
      <c r="M137" s="1893">
        <f t="shared" si="41"/>
        <v>0</v>
      </c>
      <c r="N137" s="1894">
        <f t="shared" si="41"/>
        <v>0</v>
      </c>
      <c r="O137" s="1894">
        <f t="shared" si="41"/>
        <v>0</v>
      </c>
      <c r="P137" s="1593"/>
      <c r="Q137" s="1593"/>
      <c r="R137" s="1600">
        <f>S137+T137</f>
        <v>0</v>
      </c>
      <c r="S137" s="1608">
        <v>0</v>
      </c>
      <c r="T137" s="1608">
        <v>0</v>
      </c>
      <c r="U137" s="1600">
        <f>V137+W137</f>
        <v>0</v>
      </c>
      <c r="V137" s="1608">
        <v>0</v>
      </c>
      <c r="W137" s="1624">
        <v>0</v>
      </c>
      <c r="X137" s="1423">
        <f t="shared" si="53"/>
        <v>0</v>
      </c>
    </row>
    <row r="138" spans="1:24" s="484" customFormat="1" hidden="1">
      <c r="A138" s="2024"/>
      <c r="B138" s="1619" t="s">
        <v>1621</v>
      </c>
      <c r="C138" s="1924"/>
      <c r="D138" s="1600">
        <f>SUM(E138:F138)</f>
        <v>0</v>
      </c>
      <c r="E138" s="1608"/>
      <c r="F138" s="1624">
        <v>0</v>
      </c>
      <c r="G138" s="1600">
        <f t="shared" si="49"/>
        <v>0</v>
      </c>
      <c r="H138" s="1608"/>
      <c r="I138" s="1624">
        <v>0</v>
      </c>
      <c r="J138" s="1600">
        <f t="shared" si="34"/>
        <v>0</v>
      </c>
      <c r="K138" s="1608"/>
      <c r="L138" s="1624"/>
      <c r="M138" s="1893">
        <f t="shared" si="41"/>
        <v>0</v>
      </c>
      <c r="N138" s="1894">
        <f t="shared" si="41"/>
        <v>0</v>
      </c>
      <c r="O138" s="1894">
        <f t="shared" si="41"/>
        <v>0</v>
      </c>
      <c r="P138" s="1593"/>
      <c r="Q138" s="1593"/>
      <c r="R138" s="1600">
        <f>S138+T138</f>
        <v>778086</v>
      </c>
      <c r="S138" s="1608">
        <v>0</v>
      </c>
      <c r="T138" s="1608">
        <v>778086</v>
      </c>
      <c r="U138" s="1600">
        <f>V138+W138</f>
        <v>0</v>
      </c>
      <c r="V138" s="1614"/>
      <c r="W138" s="1614"/>
    </row>
    <row r="139" spans="1:24" ht="70.5" customHeight="1">
      <c r="A139" s="2037" t="s">
        <v>1765</v>
      </c>
      <c r="B139" s="1915" t="s">
        <v>697</v>
      </c>
      <c r="C139" s="1866"/>
      <c r="D139" s="1600">
        <f t="shared" si="31"/>
        <v>129890.7</v>
      </c>
      <c r="E139" s="1614">
        <f>E140+E141</f>
        <v>111860</v>
      </c>
      <c r="F139" s="1614">
        <f>F140+F141</f>
        <v>18030.7</v>
      </c>
      <c r="G139" s="1600">
        <f t="shared" si="49"/>
        <v>129890.7</v>
      </c>
      <c r="H139" s="1616">
        <f t="shared" ref="H139:I142" si="54">E139</f>
        <v>111860</v>
      </c>
      <c r="I139" s="1616">
        <f t="shared" si="54"/>
        <v>18030.7</v>
      </c>
      <c r="J139" s="1600">
        <f t="shared" si="34"/>
        <v>27276.3</v>
      </c>
      <c r="K139" s="1614">
        <f>K140+K141</f>
        <v>25631.599999999999</v>
      </c>
      <c r="L139" s="1614">
        <f>L140+L141</f>
        <v>1644.7</v>
      </c>
      <c r="M139" s="1893">
        <f t="shared" si="41"/>
        <v>21</v>
      </c>
      <c r="N139" s="1894">
        <f t="shared" si="41"/>
        <v>22.9</v>
      </c>
      <c r="O139" s="1894">
        <f t="shared" si="41"/>
        <v>9.1</v>
      </c>
      <c r="P139" s="1593" t="s">
        <v>1192</v>
      </c>
      <c r="Q139" s="1593" t="s">
        <v>1658</v>
      </c>
      <c r="R139" s="1600">
        <f t="shared" si="48"/>
        <v>0</v>
      </c>
      <c r="S139" s="1614">
        <v>0</v>
      </c>
      <c r="T139" s="1614">
        <v>0</v>
      </c>
      <c r="U139" s="1600">
        <f t="shared" si="44"/>
        <v>0</v>
      </c>
      <c r="V139" s="1615">
        <v>0</v>
      </c>
      <c r="W139" s="1615">
        <v>0</v>
      </c>
      <c r="X139" s="1423">
        <f>D139-G139</f>
        <v>0</v>
      </c>
    </row>
    <row r="140" spans="1:24" ht="23.25">
      <c r="A140" s="2025"/>
      <c r="B140" s="1619" t="s">
        <v>1620</v>
      </c>
      <c r="C140" s="1866"/>
      <c r="D140" s="1600">
        <f>SUM(E140:F140)</f>
        <v>119037.9</v>
      </c>
      <c r="E140" s="1614">
        <v>111860</v>
      </c>
      <c r="F140" s="1614">
        <v>7177.9</v>
      </c>
      <c r="G140" s="1600">
        <f>SUM(H140:I140)</f>
        <v>119037.9</v>
      </c>
      <c r="H140" s="1616">
        <f t="shared" si="54"/>
        <v>111860</v>
      </c>
      <c r="I140" s="1616">
        <f t="shared" si="54"/>
        <v>7177.9</v>
      </c>
      <c r="J140" s="1600">
        <f t="shared" ref="J140:J149" si="55">SUM(K140:L140)</f>
        <v>27276.3</v>
      </c>
      <c r="K140" s="1614">
        <v>25631.599999999999</v>
      </c>
      <c r="L140" s="1614">
        <v>1644.7</v>
      </c>
      <c r="M140" s="1893">
        <f t="shared" si="41"/>
        <v>22.9</v>
      </c>
      <c r="N140" s="1894">
        <f t="shared" si="41"/>
        <v>22.9</v>
      </c>
      <c r="O140" s="1894">
        <f t="shared" si="41"/>
        <v>22.9</v>
      </c>
      <c r="P140" s="1593"/>
      <c r="Q140" s="1593"/>
      <c r="R140" s="1600"/>
      <c r="S140" s="1614"/>
      <c r="T140" s="1614"/>
      <c r="U140" s="1600"/>
      <c r="V140" s="1615"/>
      <c r="W140" s="1615"/>
      <c r="X140" s="1423">
        <f>D140-G140</f>
        <v>0</v>
      </c>
    </row>
    <row r="141" spans="1:24" ht="23.25">
      <c r="A141" s="2025"/>
      <c r="B141" s="1619" t="s">
        <v>1621</v>
      </c>
      <c r="C141" s="1866"/>
      <c r="D141" s="1600">
        <f>SUM(E141:F141)</f>
        <v>10852.8</v>
      </c>
      <c r="E141" s="1614">
        <v>0</v>
      </c>
      <c r="F141" s="1614">
        <v>10852.8</v>
      </c>
      <c r="G141" s="1600">
        <f>SUM(H141:I141)</f>
        <v>10852.8</v>
      </c>
      <c r="H141" s="1616">
        <f t="shared" si="54"/>
        <v>0</v>
      </c>
      <c r="I141" s="1616">
        <f t="shared" si="54"/>
        <v>10852.8</v>
      </c>
      <c r="J141" s="1600">
        <f t="shared" si="55"/>
        <v>0</v>
      </c>
      <c r="K141" s="1614">
        <v>0</v>
      </c>
      <c r="L141" s="1614">
        <v>0</v>
      </c>
      <c r="M141" s="1893">
        <f t="shared" si="41"/>
        <v>0</v>
      </c>
      <c r="N141" s="1894">
        <f t="shared" si="41"/>
        <v>0</v>
      </c>
      <c r="O141" s="1894">
        <f t="shared" si="41"/>
        <v>0</v>
      </c>
      <c r="P141" s="1593"/>
      <c r="Q141" s="1593"/>
      <c r="R141" s="1600"/>
      <c r="S141" s="1614"/>
      <c r="T141" s="1614"/>
      <c r="U141" s="1600"/>
      <c r="V141" s="1615"/>
      <c r="W141" s="1615"/>
      <c r="X141" s="1423">
        <f>D141-G141</f>
        <v>0</v>
      </c>
    </row>
    <row r="142" spans="1:24" ht="78.75" customHeight="1">
      <c r="A142" s="2037" t="s">
        <v>1766</v>
      </c>
      <c r="B142" s="1915" t="s">
        <v>942</v>
      </c>
      <c r="C142" s="1866"/>
      <c r="D142" s="1600">
        <f t="shared" si="31"/>
        <v>219861.4</v>
      </c>
      <c r="E142" s="1614">
        <v>206603.8</v>
      </c>
      <c r="F142" s="1614">
        <v>13257.6</v>
      </c>
      <c r="G142" s="1600">
        <f t="shared" si="49"/>
        <v>219861.4</v>
      </c>
      <c r="H142" s="1616">
        <f t="shared" si="54"/>
        <v>206603.8</v>
      </c>
      <c r="I142" s="1616">
        <f t="shared" si="54"/>
        <v>13257.6</v>
      </c>
      <c r="J142" s="1600">
        <f t="shared" si="55"/>
        <v>37992.400000000001</v>
      </c>
      <c r="K142" s="1614">
        <v>35701.5</v>
      </c>
      <c r="L142" s="1614">
        <v>2290.9</v>
      </c>
      <c r="M142" s="1893">
        <f t="shared" si="41"/>
        <v>17.3</v>
      </c>
      <c r="N142" s="1894">
        <f t="shared" si="41"/>
        <v>17.3</v>
      </c>
      <c r="O142" s="1894">
        <f t="shared" si="41"/>
        <v>17.3</v>
      </c>
      <c r="P142" s="1593" t="s">
        <v>1192</v>
      </c>
      <c r="Q142" s="1593" t="s">
        <v>1279</v>
      </c>
      <c r="R142" s="1600">
        <f t="shared" si="48"/>
        <v>0</v>
      </c>
      <c r="S142" s="1614">
        <v>0</v>
      </c>
      <c r="T142" s="1614">
        <v>0</v>
      </c>
      <c r="U142" s="1600">
        <f t="shared" si="44"/>
        <v>0</v>
      </c>
      <c r="V142" s="1615">
        <v>0</v>
      </c>
      <c r="W142" s="1615">
        <v>0</v>
      </c>
      <c r="X142" s="1423">
        <f>D142-G142</f>
        <v>0</v>
      </c>
    </row>
    <row r="143" spans="1:24" s="1626" customFormat="1" ht="23.25" hidden="1" customHeight="1">
      <c r="A143" s="2024">
        <v>117</v>
      </c>
      <c r="B143" s="1879" t="s">
        <v>1488</v>
      </c>
      <c r="C143" s="1913"/>
      <c r="D143" s="1600">
        <f t="shared" si="31"/>
        <v>0</v>
      </c>
      <c r="E143" s="1614">
        <v>0</v>
      </c>
      <c r="F143" s="1614">
        <v>0</v>
      </c>
      <c r="G143" s="1600">
        <f t="shared" si="49"/>
        <v>0</v>
      </c>
      <c r="H143" s="1614">
        <v>0</v>
      </c>
      <c r="I143" s="1614">
        <v>0</v>
      </c>
      <c r="J143" s="1600">
        <f t="shared" si="55"/>
        <v>0</v>
      </c>
      <c r="K143" s="1614"/>
      <c r="L143" s="1614"/>
      <c r="M143" s="1893">
        <f t="shared" si="41"/>
        <v>0</v>
      </c>
      <c r="N143" s="1894">
        <f t="shared" si="41"/>
        <v>0</v>
      </c>
      <c r="O143" s="1894">
        <f t="shared" si="41"/>
        <v>0</v>
      </c>
      <c r="P143" s="1593" t="s">
        <v>1299</v>
      </c>
      <c r="Q143" s="1593" t="s">
        <v>1262</v>
      </c>
      <c r="R143" s="1600">
        <f t="shared" si="48"/>
        <v>0</v>
      </c>
      <c r="S143" s="1614">
        <v>0</v>
      </c>
      <c r="T143" s="1614">
        <v>0</v>
      </c>
      <c r="U143" s="1600">
        <f t="shared" si="44"/>
        <v>0</v>
      </c>
      <c r="V143" s="1615">
        <v>0</v>
      </c>
      <c r="W143" s="1615">
        <v>0</v>
      </c>
    </row>
    <row r="144" spans="1:24" ht="82.5" customHeight="1">
      <c r="A144" s="2037" t="s">
        <v>1768</v>
      </c>
      <c r="B144" s="1915" t="s">
        <v>1635</v>
      </c>
      <c r="C144" s="1866"/>
      <c r="D144" s="1600">
        <f t="shared" si="31"/>
        <v>13649.7</v>
      </c>
      <c r="E144" s="1614">
        <v>12830.6</v>
      </c>
      <c r="F144" s="1614">
        <v>819.1</v>
      </c>
      <c r="G144" s="1600">
        <f t="shared" si="49"/>
        <v>13649.7</v>
      </c>
      <c r="H144" s="1616">
        <f>E144</f>
        <v>12830.6</v>
      </c>
      <c r="I144" s="1616">
        <f>F144</f>
        <v>819.1</v>
      </c>
      <c r="J144" s="1600">
        <f t="shared" si="55"/>
        <v>0</v>
      </c>
      <c r="K144" s="1614"/>
      <c r="L144" s="1614"/>
      <c r="M144" s="1893">
        <f t="shared" si="41"/>
        <v>0</v>
      </c>
      <c r="N144" s="1894">
        <f t="shared" si="41"/>
        <v>0</v>
      </c>
      <c r="O144" s="1894">
        <f t="shared" si="41"/>
        <v>0</v>
      </c>
      <c r="P144" s="1593" t="s">
        <v>1192</v>
      </c>
      <c r="Q144" s="1593" t="s">
        <v>1279</v>
      </c>
      <c r="R144" s="1600">
        <f>S144+T144</f>
        <v>0</v>
      </c>
      <c r="S144" s="1614">
        <v>0</v>
      </c>
      <c r="T144" s="1614">
        <v>0</v>
      </c>
      <c r="U144" s="1600">
        <f>V144+W144</f>
        <v>0</v>
      </c>
      <c r="V144" s="1615">
        <v>0</v>
      </c>
      <c r="W144" s="1615">
        <v>0</v>
      </c>
      <c r="X144" s="1423">
        <f>D144-G144</f>
        <v>0</v>
      </c>
    </row>
    <row r="145" spans="1:24" ht="59.25" hidden="1" customHeight="1">
      <c r="A145" s="2024" t="e">
        <f>#REF!+1</f>
        <v>#REF!</v>
      </c>
      <c r="B145" s="493" t="s">
        <v>1492</v>
      </c>
      <c r="C145" s="2024">
        <v>14091</v>
      </c>
      <c r="D145" s="1600">
        <f t="shared" si="31"/>
        <v>0</v>
      </c>
      <c r="E145" s="1614"/>
      <c r="F145" s="1614">
        <v>0</v>
      </c>
      <c r="G145" s="1600">
        <f t="shared" si="49"/>
        <v>0</v>
      </c>
      <c r="H145" s="1614"/>
      <c r="I145" s="1614">
        <v>0</v>
      </c>
      <c r="J145" s="1600">
        <f t="shared" si="55"/>
        <v>0</v>
      </c>
      <c r="K145" s="1614"/>
      <c r="L145" s="1614"/>
      <c r="M145" s="1604">
        <f t="shared" si="41"/>
        <v>0</v>
      </c>
      <c r="N145" s="1881">
        <f t="shared" si="41"/>
        <v>0</v>
      </c>
      <c r="O145" s="1881">
        <f t="shared" si="41"/>
        <v>0</v>
      </c>
      <c r="P145" s="1593" t="s">
        <v>1192</v>
      </c>
      <c r="Q145" s="1593" t="s">
        <v>1206</v>
      </c>
      <c r="R145" s="1600">
        <f>SUM(S145:T145)</f>
        <v>200000</v>
      </c>
      <c r="S145" s="1614">
        <v>0</v>
      </c>
      <c r="T145" s="1614">
        <v>200000</v>
      </c>
      <c r="U145" s="1600">
        <f>SUM(V145:W145)</f>
        <v>0</v>
      </c>
      <c r="V145" s="1608">
        <v>0</v>
      </c>
      <c r="W145" s="1608">
        <v>0</v>
      </c>
    </row>
    <row r="146" spans="1:24" s="484" customFormat="1" ht="45.75" hidden="1" customHeight="1">
      <c r="A146" s="2024">
        <v>117</v>
      </c>
      <c r="B146" s="1912" t="s">
        <v>1712</v>
      </c>
      <c r="C146" s="1913" t="s">
        <v>1546</v>
      </c>
      <c r="D146" s="1600">
        <f t="shared" si="31"/>
        <v>0</v>
      </c>
      <c r="E146" s="1608"/>
      <c r="F146" s="1608">
        <v>0</v>
      </c>
      <c r="G146" s="1600">
        <f t="shared" si="49"/>
        <v>0</v>
      </c>
      <c r="H146" s="1608"/>
      <c r="I146" s="1608">
        <v>0</v>
      </c>
      <c r="J146" s="1600">
        <f t="shared" si="55"/>
        <v>0</v>
      </c>
      <c r="K146" s="1608"/>
      <c r="L146" s="1608"/>
      <c r="M146" s="1893">
        <f t="shared" si="41"/>
        <v>0</v>
      </c>
      <c r="N146" s="1894">
        <f t="shared" si="41"/>
        <v>0</v>
      </c>
      <c r="O146" s="1894">
        <f t="shared" si="41"/>
        <v>0</v>
      </c>
      <c r="P146" s="1593" t="s">
        <v>1291</v>
      </c>
      <c r="Q146" s="1593" t="s">
        <v>1241</v>
      </c>
      <c r="R146" s="1600">
        <f>SUM(S146:T146)</f>
        <v>0</v>
      </c>
      <c r="S146" s="1608">
        <v>0</v>
      </c>
      <c r="T146" s="1608">
        <v>0</v>
      </c>
      <c r="U146" s="1600">
        <f>SUM(V146:W146)</f>
        <v>0</v>
      </c>
      <c r="V146" s="1608">
        <v>0</v>
      </c>
      <c r="W146" s="1608">
        <v>0</v>
      </c>
    </row>
    <row r="147" spans="1:24" ht="225" hidden="1" customHeight="1">
      <c r="A147" s="1946" t="s">
        <v>1671</v>
      </c>
      <c r="B147" s="1888" t="s">
        <v>1669</v>
      </c>
      <c r="C147" s="2024" t="s">
        <v>1549</v>
      </c>
      <c r="D147" s="1600">
        <f>SUM(E147:F147)</f>
        <v>0</v>
      </c>
      <c r="E147" s="1614"/>
      <c r="F147" s="1614"/>
      <c r="G147" s="1600">
        <f t="shared" si="49"/>
        <v>0</v>
      </c>
      <c r="H147" s="1614"/>
      <c r="I147" s="1614"/>
      <c r="J147" s="1600">
        <f t="shared" si="55"/>
        <v>0</v>
      </c>
      <c r="K147" s="1614"/>
      <c r="L147" s="1614"/>
      <c r="M147" s="1604">
        <f t="shared" si="41"/>
        <v>0</v>
      </c>
      <c r="N147" s="1881">
        <f t="shared" si="41"/>
        <v>0</v>
      </c>
      <c r="O147" s="1881">
        <f t="shared" si="41"/>
        <v>0</v>
      </c>
      <c r="P147" s="1593" t="s">
        <v>1192</v>
      </c>
      <c r="Q147" s="1593" t="s">
        <v>1160</v>
      </c>
      <c r="R147" s="1600">
        <f>SUM(S147:T147)</f>
        <v>20985.5</v>
      </c>
      <c r="S147" s="1614">
        <v>0</v>
      </c>
      <c r="T147" s="1614">
        <v>20985.5</v>
      </c>
      <c r="U147" s="1600">
        <f>SUM(V147:W147)</f>
        <v>0</v>
      </c>
      <c r="V147" s="1614">
        <v>0</v>
      </c>
      <c r="W147" s="1614">
        <v>0</v>
      </c>
    </row>
    <row r="148" spans="1:24" s="791" customFormat="1" ht="46.5" customHeight="1">
      <c r="A148" s="2565" t="s">
        <v>456</v>
      </c>
      <c r="B148" s="2565"/>
      <c r="C148" s="1869"/>
      <c r="D148" s="1594">
        <f t="shared" si="31"/>
        <v>574020.9</v>
      </c>
      <c r="E148" s="1594">
        <f>SUBTOTAL(9,E149)</f>
        <v>437900</v>
      </c>
      <c r="F148" s="1594">
        <f>SUBTOTAL(9,F149)</f>
        <v>136120.9</v>
      </c>
      <c r="G148" s="1594">
        <f t="shared" si="49"/>
        <v>574020.9</v>
      </c>
      <c r="H148" s="1594">
        <f>SUBTOTAL(9,H149)</f>
        <v>437900</v>
      </c>
      <c r="I148" s="1594">
        <f>SUBTOTAL(9,I149)</f>
        <v>136120.9</v>
      </c>
      <c r="J148" s="1594">
        <f t="shared" si="55"/>
        <v>52817.599999999999</v>
      </c>
      <c r="K148" s="1594">
        <f>SUBTOTAL(9,K149)</f>
        <v>49647.3</v>
      </c>
      <c r="L148" s="1594">
        <f>SUBTOTAL(9,L149)</f>
        <v>3170.3</v>
      </c>
      <c r="M148" s="1870">
        <f t="shared" si="41"/>
        <v>9.1999999999999993</v>
      </c>
      <c r="N148" s="1871">
        <f t="shared" si="41"/>
        <v>11.3</v>
      </c>
      <c r="O148" s="1871">
        <f t="shared" si="41"/>
        <v>2.2999999999999998</v>
      </c>
      <c r="P148" s="1940"/>
      <c r="Q148" s="1593" t="s">
        <v>1104</v>
      </c>
      <c r="R148" s="1594" t="e">
        <f>SUM(S148:T148)</f>
        <v>#REF!</v>
      </c>
      <c r="S148" s="1594" t="e">
        <f>SUM(#REF!,#REF!)</f>
        <v>#REF!</v>
      </c>
      <c r="T148" s="1594" t="e">
        <f>SUM(#REF!,#REF!)</f>
        <v>#REF!</v>
      </c>
      <c r="U148" s="1594" t="e">
        <f>SUM(V148:W148)</f>
        <v>#REF!</v>
      </c>
      <c r="V148" s="1594" t="e">
        <f>SUM(#REF!,#REF!)</f>
        <v>#REF!</v>
      </c>
      <c r="W148" s="1594" t="e">
        <f>SUM(#REF!,#REF!)</f>
        <v>#REF!</v>
      </c>
      <c r="X148" s="1423">
        <f t="shared" ref="X148:X156" si="56">D148-G148</f>
        <v>0</v>
      </c>
    </row>
    <row r="149" spans="1:24" s="1570" customFormat="1" ht="23.25">
      <c r="A149" s="1898" t="s">
        <v>50</v>
      </c>
      <c r="B149" s="1897" t="s">
        <v>1394</v>
      </c>
      <c r="C149" s="1930"/>
      <c r="D149" s="1899">
        <f t="shared" ref="D149:D162" si="57">SUM(E149:F149)</f>
        <v>574020.9</v>
      </c>
      <c r="E149" s="1931">
        <f>SUM(E150:E156)</f>
        <v>437900</v>
      </c>
      <c r="F149" s="1931">
        <f>SUM(F150:F156)</f>
        <v>136120.9</v>
      </c>
      <c r="G149" s="1899">
        <f>SUM(H149:I149)</f>
        <v>574020.9</v>
      </c>
      <c r="H149" s="1931">
        <f>SUM(H150:H156)</f>
        <v>437900</v>
      </c>
      <c r="I149" s="1931">
        <f>SUM(I150:I156)</f>
        <v>136120.9</v>
      </c>
      <c r="J149" s="1899">
        <f t="shared" si="55"/>
        <v>52817.599999999999</v>
      </c>
      <c r="K149" s="1931">
        <f>SUM(K150:K156)</f>
        <v>49647.3</v>
      </c>
      <c r="L149" s="1931">
        <f>SUM(L150:L156)</f>
        <v>3170.3</v>
      </c>
      <c r="M149" s="1931">
        <f t="shared" ref="M149:O162" si="58">IF(J149=0,0,J149/G149*100)</f>
        <v>9.1999999999999993</v>
      </c>
      <c r="N149" s="1931">
        <f t="shared" si="58"/>
        <v>11.3</v>
      </c>
      <c r="O149" s="1931">
        <f t="shared" si="58"/>
        <v>2.2999999999999998</v>
      </c>
      <c r="P149" s="1940"/>
      <c r="Q149" s="1593"/>
      <c r="R149" s="1899">
        <f>SUM(S149:T149)</f>
        <v>0</v>
      </c>
      <c r="S149" s="1931">
        <f>SUM(S150:S156)</f>
        <v>0</v>
      </c>
      <c r="T149" s="1931">
        <f>SUM(T150:T156)</f>
        <v>0</v>
      </c>
      <c r="U149" s="1899">
        <f t="shared" ref="U149:U156" si="59">SUM(V149:W149)</f>
        <v>0</v>
      </c>
      <c r="V149" s="1931">
        <f>SUM(V150:V156)</f>
        <v>0</v>
      </c>
      <c r="W149" s="1931">
        <f>SUM(W150:W156)</f>
        <v>0</v>
      </c>
      <c r="X149" s="1423">
        <f t="shared" si="56"/>
        <v>0</v>
      </c>
    </row>
    <row r="150" spans="1:24" ht="45" customHeight="1">
      <c r="A150" s="2025" t="s">
        <v>1338</v>
      </c>
      <c r="B150" s="1879" t="s">
        <v>1497</v>
      </c>
      <c r="C150" s="1880" t="s">
        <v>1543</v>
      </c>
      <c r="D150" s="1600">
        <f t="shared" si="57"/>
        <v>5804.9</v>
      </c>
      <c r="E150" s="1631">
        <v>5203.8999999999996</v>
      </c>
      <c r="F150" s="1629">
        <v>601</v>
      </c>
      <c r="G150" s="1602">
        <f t="shared" si="49"/>
        <v>5804.9</v>
      </c>
      <c r="H150" s="1616">
        <f t="shared" ref="H150:H156" si="60">E150</f>
        <v>5203.8999999999996</v>
      </c>
      <c r="I150" s="1616">
        <f t="shared" ref="I150:I156" si="61">F150</f>
        <v>601</v>
      </c>
      <c r="J150" s="1602">
        <f t="shared" ref="J150:J162" si="62">SUM(K150:L150)</f>
        <v>201.1</v>
      </c>
      <c r="K150" s="1629">
        <v>189</v>
      </c>
      <c r="L150" s="1629">
        <v>12.1</v>
      </c>
      <c r="M150" s="1604">
        <f t="shared" si="58"/>
        <v>3.5</v>
      </c>
      <c r="N150" s="1881">
        <f t="shared" si="58"/>
        <v>3.6</v>
      </c>
      <c r="O150" s="1881">
        <f t="shared" si="58"/>
        <v>2</v>
      </c>
      <c r="P150" s="1940"/>
      <c r="Q150" s="1593"/>
      <c r="R150" s="1600">
        <f t="shared" ref="R150:R156" si="63">SUM(S150:T150)</f>
        <v>0</v>
      </c>
      <c r="S150" s="1631">
        <v>0</v>
      </c>
      <c r="T150" s="1629">
        <v>0</v>
      </c>
      <c r="U150" s="1600">
        <f t="shared" si="59"/>
        <v>0</v>
      </c>
      <c r="V150" s="1631">
        <v>0</v>
      </c>
      <c r="W150" s="1629">
        <v>0</v>
      </c>
      <c r="X150" s="1423">
        <f t="shared" si="56"/>
        <v>0</v>
      </c>
    </row>
    <row r="151" spans="1:24" ht="39.75" customHeight="1">
      <c r="A151" s="2025" t="s">
        <v>1339</v>
      </c>
      <c r="B151" s="1879" t="s">
        <v>1498</v>
      </c>
      <c r="C151" s="1880" t="s">
        <v>1543</v>
      </c>
      <c r="D151" s="1600">
        <f t="shared" si="57"/>
        <v>10770.1</v>
      </c>
      <c r="E151" s="1631">
        <v>9912.2999999999993</v>
      </c>
      <c r="F151" s="1629">
        <v>857.8</v>
      </c>
      <c r="G151" s="1602">
        <f t="shared" si="49"/>
        <v>10770.1</v>
      </c>
      <c r="H151" s="1616">
        <f t="shared" si="60"/>
        <v>9912.2999999999993</v>
      </c>
      <c r="I151" s="1616">
        <f t="shared" si="61"/>
        <v>857.8</v>
      </c>
      <c r="J151" s="1602">
        <f t="shared" si="62"/>
        <v>300</v>
      </c>
      <c r="K151" s="1629">
        <v>282</v>
      </c>
      <c r="L151" s="1629">
        <v>18</v>
      </c>
      <c r="M151" s="1604">
        <f t="shared" si="58"/>
        <v>2.8</v>
      </c>
      <c r="N151" s="1881">
        <f t="shared" si="58"/>
        <v>2.8</v>
      </c>
      <c r="O151" s="1881">
        <f t="shared" si="58"/>
        <v>2.1</v>
      </c>
      <c r="P151" s="1940"/>
      <c r="Q151" s="1593"/>
      <c r="R151" s="1600">
        <f t="shared" si="63"/>
        <v>0</v>
      </c>
      <c r="S151" s="1631">
        <v>0</v>
      </c>
      <c r="T151" s="1629">
        <v>0</v>
      </c>
      <c r="U151" s="1600">
        <f t="shared" si="59"/>
        <v>0</v>
      </c>
      <c r="V151" s="1631">
        <v>0</v>
      </c>
      <c r="W151" s="1629">
        <v>0</v>
      </c>
      <c r="X151" s="1423">
        <f t="shared" si="56"/>
        <v>0</v>
      </c>
    </row>
    <row r="152" spans="1:24" ht="57" customHeight="1">
      <c r="A152" s="2025" t="s">
        <v>1741</v>
      </c>
      <c r="B152" s="1879" t="s">
        <v>1499</v>
      </c>
      <c r="C152" s="1880" t="s">
        <v>1543</v>
      </c>
      <c r="D152" s="1600">
        <f t="shared" si="57"/>
        <v>50668.2</v>
      </c>
      <c r="E152" s="1629">
        <v>47625.599999999999</v>
      </c>
      <c r="F152" s="1629">
        <v>3042.6</v>
      </c>
      <c r="G152" s="1602">
        <f t="shared" si="49"/>
        <v>50668.2</v>
      </c>
      <c r="H152" s="1616">
        <f t="shared" si="60"/>
        <v>47625.599999999999</v>
      </c>
      <c r="I152" s="1616">
        <f t="shared" si="61"/>
        <v>3042.6</v>
      </c>
      <c r="J152" s="1602">
        <f t="shared" si="62"/>
        <v>13704.1</v>
      </c>
      <c r="K152" s="1629">
        <f>8080.1+1623.7+2507.9+669.5</f>
        <v>12881.2</v>
      </c>
      <c r="L152" s="1629">
        <v>822.9</v>
      </c>
      <c r="M152" s="1893">
        <f t="shared" si="58"/>
        <v>27</v>
      </c>
      <c r="N152" s="1894">
        <f t="shared" si="58"/>
        <v>27</v>
      </c>
      <c r="O152" s="1894">
        <f t="shared" si="58"/>
        <v>27</v>
      </c>
      <c r="P152" s="1940"/>
      <c r="Q152" s="1593"/>
      <c r="R152" s="1600">
        <f t="shared" si="63"/>
        <v>0</v>
      </c>
      <c r="S152" s="1631">
        <v>0</v>
      </c>
      <c r="T152" s="1629">
        <v>0</v>
      </c>
      <c r="U152" s="1600">
        <f t="shared" si="59"/>
        <v>0</v>
      </c>
      <c r="V152" s="1631">
        <v>0</v>
      </c>
      <c r="W152" s="1629">
        <v>0</v>
      </c>
      <c r="X152" s="1423">
        <f t="shared" si="56"/>
        <v>0</v>
      </c>
    </row>
    <row r="153" spans="1:24" ht="58.5" customHeight="1">
      <c r="A153" s="2025" t="s">
        <v>1742</v>
      </c>
      <c r="B153" s="1879" t="s">
        <v>1500</v>
      </c>
      <c r="C153" s="1880" t="s">
        <v>1543</v>
      </c>
      <c r="D153" s="1600">
        <f t="shared" si="57"/>
        <v>19943</v>
      </c>
      <c r="E153" s="1629">
        <v>18629.8</v>
      </c>
      <c r="F153" s="1629">
        <v>1313.2</v>
      </c>
      <c r="G153" s="1602">
        <f t="shared" si="49"/>
        <v>19943</v>
      </c>
      <c r="H153" s="1616">
        <f t="shared" si="60"/>
        <v>18629.8</v>
      </c>
      <c r="I153" s="1616">
        <f t="shared" si="61"/>
        <v>1313.2</v>
      </c>
      <c r="J153" s="1602">
        <f t="shared" si="62"/>
        <v>5363.5</v>
      </c>
      <c r="K153" s="1629">
        <v>5041.3999999999996</v>
      </c>
      <c r="L153" s="1629">
        <v>322.10000000000002</v>
      </c>
      <c r="M153" s="1893">
        <f t="shared" si="58"/>
        <v>26.9</v>
      </c>
      <c r="N153" s="1894">
        <f t="shared" si="58"/>
        <v>27.1</v>
      </c>
      <c r="O153" s="1894">
        <f t="shared" si="58"/>
        <v>24.5</v>
      </c>
      <c r="P153" s="1940"/>
      <c r="Q153" s="1593"/>
      <c r="R153" s="1600">
        <f t="shared" si="63"/>
        <v>0</v>
      </c>
      <c r="S153" s="1631">
        <v>0</v>
      </c>
      <c r="T153" s="1629">
        <v>0</v>
      </c>
      <c r="U153" s="1600">
        <f t="shared" si="59"/>
        <v>0</v>
      </c>
      <c r="V153" s="1631">
        <v>0</v>
      </c>
      <c r="W153" s="1629">
        <v>0</v>
      </c>
      <c r="X153" s="1423">
        <f t="shared" si="56"/>
        <v>0</v>
      </c>
    </row>
    <row r="154" spans="1:24" ht="63.75" customHeight="1">
      <c r="A154" s="2025" t="s">
        <v>1743</v>
      </c>
      <c r="B154" s="1879" t="s">
        <v>1501</v>
      </c>
      <c r="C154" s="1880" t="s">
        <v>1505</v>
      </c>
      <c r="D154" s="1600">
        <f t="shared" si="57"/>
        <v>38330</v>
      </c>
      <c r="E154" s="1629">
        <v>36028.400000000001</v>
      </c>
      <c r="F154" s="1629">
        <v>2301.6</v>
      </c>
      <c r="G154" s="1602">
        <f t="shared" ref="G154:G160" si="64">SUM(H154:I154)</f>
        <v>38330</v>
      </c>
      <c r="H154" s="1616">
        <f t="shared" si="60"/>
        <v>36028.400000000001</v>
      </c>
      <c r="I154" s="1616">
        <f t="shared" si="61"/>
        <v>2301.6</v>
      </c>
      <c r="J154" s="1602">
        <f t="shared" si="62"/>
        <v>5577.5</v>
      </c>
      <c r="K154" s="1629">
        <f>3935.1+1307.5</f>
        <v>5242.6000000000004</v>
      </c>
      <c r="L154" s="1629">
        <f>251.4+83.5</f>
        <v>334.9</v>
      </c>
      <c r="M154" s="1893">
        <f t="shared" si="58"/>
        <v>14.6</v>
      </c>
      <c r="N154" s="1894">
        <f t="shared" si="58"/>
        <v>14.6</v>
      </c>
      <c r="O154" s="1894">
        <f t="shared" si="58"/>
        <v>14.6</v>
      </c>
      <c r="P154" s="1940"/>
      <c r="Q154" s="1593"/>
      <c r="R154" s="1600">
        <f t="shared" si="63"/>
        <v>0</v>
      </c>
      <c r="S154" s="1631">
        <v>0</v>
      </c>
      <c r="T154" s="1629">
        <v>0</v>
      </c>
      <c r="U154" s="1600">
        <f t="shared" si="59"/>
        <v>0</v>
      </c>
      <c r="V154" s="1631">
        <v>0</v>
      </c>
      <c r="W154" s="1629">
        <v>0</v>
      </c>
      <c r="X154" s="1423">
        <f t="shared" si="56"/>
        <v>0</v>
      </c>
    </row>
    <row r="155" spans="1:24" ht="48" customHeight="1">
      <c r="A155" s="2025" t="s">
        <v>1744</v>
      </c>
      <c r="B155" s="1879" t="s">
        <v>1502</v>
      </c>
      <c r="C155" s="1880" t="s">
        <v>1542</v>
      </c>
      <c r="D155" s="1600">
        <f t="shared" si="57"/>
        <v>98504.7</v>
      </c>
      <c r="E155" s="1629">
        <v>74778.8</v>
      </c>
      <c r="F155" s="1629">
        <v>23725.9</v>
      </c>
      <c r="G155" s="1602">
        <f t="shared" si="64"/>
        <v>98504.7</v>
      </c>
      <c r="H155" s="1616">
        <f t="shared" si="60"/>
        <v>74778.8</v>
      </c>
      <c r="I155" s="1616">
        <f t="shared" si="61"/>
        <v>23725.9</v>
      </c>
      <c r="J155" s="1602">
        <f t="shared" si="62"/>
        <v>27671.4</v>
      </c>
      <c r="K155" s="1629">
        <v>26011.1</v>
      </c>
      <c r="L155" s="1629">
        <v>1660.3</v>
      </c>
      <c r="M155" s="1893">
        <f t="shared" si="58"/>
        <v>28.1</v>
      </c>
      <c r="N155" s="1894">
        <f t="shared" si="58"/>
        <v>34.799999999999997</v>
      </c>
      <c r="O155" s="1894">
        <f t="shared" si="58"/>
        <v>7</v>
      </c>
      <c r="P155" s="1940"/>
      <c r="Q155" s="1593"/>
      <c r="R155" s="1600">
        <f t="shared" si="63"/>
        <v>0</v>
      </c>
      <c r="S155" s="1631">
        <v>0</v>
      </c>
      <c r="T155" s="1629">
        <v>0</v>
      </c>
      <c r="U155" s="1600">
        <f t="shared" si="59"/>
        <v>0</v>
      </c>
      <c r="V155" s="1631">
        <v>0</v>
      </c>
      <c r="W155" s="1629">
        <v>0</v>
      </c>
      <c r="X155" s="1423">
        <f t="shared" si="56"/>
        <v>0</v>
      </c>
    </row>
    <row r="156" spans="1:24" ht="39" customHeight="1">
      <c r="A156" s="2025" t="s">
        <v>1745</v>
      </c>
      <c r="B156" s="1932" t="s">
        <v>1503</v>
      </c>
      <c r="C156" s="1913" t="s">
        <v>1542</v>
      </c>
      <c r="D156" s="1600">
        <f t="shared" si="57"/>
        <v>350000</v>
      </c>
      <c r="E156" s="1629">
        <v>245721.2</v>
      </c>
      <c r="F156" s="1629">
        <f>156900-52621.2</f>
        <v>104278.8</v>
      </c>
      <c r="G156" s="1602">
        <f t="shared" si="64"/>
        <v>350000</v>
      </c>
      <c r="H156" s="1616">
        <f t="shared" si="60"/>
        <v>245721.2</v>
      </c>
      <c r="I156" s="1616">
        <f t="shared" si="61"/>
        <v>104278.8</v>
      </c>
      <c r="J156" s="1602">
        <f t="shared" si="62"/>
        <v>0</v>
      </c>
      <c r="K156" s="1629">
        <v>0</v>
      </c>
      <c r="L156" s="1629">
        <v>0</v>
      </c>
      <c r="M156" s="1893">
        <f t="shared" si="58"/>
        <v>0</v>
      </c>
      <c r="N156" s="1894">
        <f t="shared" si="58"/>
        <v>0</v>
      </c>
      <c r="O156" s="1894">
        <f t="shared" si="58"/>
        <v>0</v>
      </c>
      <c r="P156" s="1940"/>
      <c r="Q156" s="1593"/>
      <c r="R156" s="1600">
        <f t="shared" si="63"/>
        <v>0</v>
      </c>
      <c r="S156" s="1631">
        <v>0</v>
      </c>
      <c r="T156" s="1629">
        <v>0</v>
      </c>
      <c r="U156" s="1600">
        <f t="shared" si="59"/>
        <v>0</v>
      </c>
      <c r="V156" s="1631">
        <v>0</v>
      </c>
      <c r="W156" s="1629">
        <v>0</v>
      </c>
      <c r="X156" s="1423">
        <f t="shared" si="56"/>
        <v>0</v>
      </c>
    </row>
    <row r="157" spans="1:24" ht="37.5" hidden="1">
      <c r="A157" s="2024"/>
      <c r="B157" s="1934" t="s">
        <v>1649</v>
      </c>
      <c r="C157" s="1906"/>
      <c r="D157" s="1602">
        <f>SUM(E157:F157)</f>
        <v>0</v>
      </c>
      <c r="E157" s="1631">
        <v>0</v>
      </c>
      <c r="F157" s="1629">
        <v>0</v>
      </c>
      <c r="G157" s="1602">
        <f t="shared" si="64"/>
        <v>0</v>
      </c>
      <c r="H157" s="1631">
        <v>0</v>
      </c>
      <c r="I157" s="1629">
        <v>0</v>
      </c>
      <c r="J157" s="1602">
        <f t="shared" si="62"/>
        <v>0</v>
      </c>
      <c r="K157" s="1631">
        <v>0</v>
      </c>
      <c r="L157" s="1629">
        <v>0</v>
      </c>
      <c r="M157" s="1604">
        <f t="shared" si="58"/>
        <v>0</v>
      </c>
      <c r="N157" s="1881">
        <f t="shared" si="58"/>
        <v>0</v>
      </c>
      <c r="O157" s="1881">
        <f t="shared" si="58"/>
        <v>0</v>
      </c>
      <c r="P157" s="1940"/>
      <c r="Q157" s="1593"/>
      <c r="R157" s="1600">
        <f>SUM(S157:T157)</f>
        <v>0</v>
      </c>
      <c r="S157" s="1631">
        <v>0</v>
      </c>
      <c r="T157" s="1629"/>
      <c r="U157" s="1600">
        <f>SUM(V157:W157)</f>
        <v>0</v>
      </c>
      <c r="V157" s="1631">
        <v>0</v>
      </c>
      <c r="W157" s="1629"/>
    </row>
    <row r="158" spans="1:24" ht="56.25" hidden="1">
      <c r="A158" s="2024" t="s">
        <v>1516</v>
      </c>
      <c r="B158" s="1897" t="s">
        <v>1513</v>
      </c>
      <c r="C158" s="1896">
        <v>10119</v>
      </c>
      <c r="D158" s="1899">
        <f t="shared" si="57"/>
        <v>0</v>
      </c>
      <c r="E158" s="1899">
        <f>E159</f>
        <v>0</v>
      </c>
      <c r="F158" s="1899">
        <f>F159</f>
        <v>0</v>
      </c>
      <c r="G158" s="1899">
        <f t="shared" si="64"/>
        <v>0</v>
      </c>
      <c r="H158" s="1899">
        <f>H159</f>
        <v>0</v>
      </c>
      <c r="I158" s="1899">
        <f>I159</f>
        <v>0</v>
      </c>
      <c r="J158" s="1899">
        <f t="shared" si="62"/>
        <v>0</v>
      </c>
      <c r="K158" s="1899">
        <f>K159</f>
        <v>0</v>
      </c>
      <c r="L158" s="1899">
        <f>L159</f>
        <v>0</v>
      </c>
      <c r="M158" s="1900">
        <f t="shared" si="58"/>
        <v>0</v>
      </c>
      <c r="N158" s="1900">
        <f t="shared" si="58"/>
        <v>0</v>
      </c>
      <c r="O158" s="1900">
        <f t="shared" si="58"/>
        <v>0</v>
      </c>
      <c r="P158" s="1593"/>
      <c r="Q158" s="1593"/>
      <c r="R158" s="1899">
        <f>SUM(S158:T158)</f>
        <v>0</v>
      </c>
      <c r="S158" s="1899">
        <f>S159</f>
        <v>0</v>
      </c>
      <c r="T158" s="1899">
        <f>T159</f>
        <v>0</v>
      </c>
      <c r="U158" s="1899">
        <f>SUM(V158:W158)</f>
        <v>0</v>
      </c>
      <c r="V158" s="1899">
        <f>V159</f>
        <v>0</v>
      </c>
      <c r="W158" s="1899">
        <f>W159</f>
        <v>0</v>
      </c>
    </row>
    <row r="159" spans="1:24" ht="63" hidden="1" customHeight="1">
      <c r="A159" s="2024" t="e">
        <f>#REF!+1</f>
        <v>#REF!</v>
      </c>
      <c r="B159" s="1879" t="s">
        <v>1511</v>
      </c>
      <c r="C159" s="2024">
        <v>10119</v>
      </c>
      <c r="D159" s="1600">
        <f t="shared" si="57"/>
        <v>0</v>
      </c>
      <c r="E159" s="1608">
        <v>0</v>
      </c>
      <c r="F159" s="1608">
        <v>0</v>
      </c>
      <c r="G159" s="1602">
        <f t="shared" si="64"/>
        <v>0</v>
      </c>
      <c r="H159" s="1608">
        <v>0</v>
      </c>
      <c r="I159" s="1608">
        <v>0</v>
      </c>
      <c r="J159" s="1602">
        <f t="shared" si="62"/>
        <v>0</v>
      </c>
      <c r="K159" s="1608">
        <v>0</v>
      </c>
      <c r="L159" s="1608">
        <v>0</v>
      </c>
      <c r="M159" s="1604">
        <f t="shared" si="58"/>
        <v>0</v>
      </c>
      <c r="N159" s="1881">
        <f t="shared" si="58"/>
        <v>0</v>
      </c>
      <c r="O159" s="1881">
        <f t="shared" si="58"/>
        <v>0</v>
      </c>
      <c r="P159" s="1593" t="s">
        <v>1290</v>
      </c>
      <c r="Q159" s="1593" t="s">
        <v>1240</v>
      </c>
      <c r="R159" s="1600">
        <f>SUM(S159:T159)</f>
        <v>0</v>
      </c>
      <c r="S159" s="1608">
        <v>0</v>
      </c>
      <c r="T159" s="1608">
        <v>0</v>
      </c>
      <c r="U159" s="1600">
        <f>SUM(V159:W159)</f>
        <v>0</v>
      </c>
      <c r="V159" s="1608">
        <v>0</v>
      </c>
      <c r="W159" s="1608">
        <v>0</v>
      </c>
    </row>
    <row r="160" spans="1:24" ht="57.75" hidden="1" customHeight="1">
      <c r="A160" s="2024" t="e">
        <f>A159+1</f>
        <v>#REF!</v>
      </c>
      <c r="B160" s="1934" t="s">
        <v>1649</v>
      </c>
      <c r="C160" s="1906"/>
      <c r="D160" s="1602">
        <f>SUM(E160:F160)</f>
        <v>0</v>
      </c>
      <c r="E160" s="1631">
        <v>0</v>
      </c>
      <c r="F160" s="1629">
        <v>0</v>
      </c>
      <c r="G160" s="1602">
        <f t="shared" si="64"/>
        <v>0</v>
      </c>
      <c r="H160" s="1631">
        <v>0</v>
      </c>
      <c r="I160" s="1629">
        <v>0</v>
      </c>
      <c r="J160" s="1602">
        <f t="shared" si="62"/>
        <v>0</v>
      </c>
      <c r="K160" s="1631">
        <v>0</v>
      </c>
      <c r="L160" s="1629">
        <v>0</v>
      </c>
      <c r="M160" s="1604">
        <f t="shared" si="58"/>
        <v>0</v>
      </c>
      <c r="N160" s="1881">
        <f t="shared" si="58"/>
        <v>0</v>
      </c>
      <c r="O160" s="1881">
        <f t="shared" si="58"/>
        <v>0</v>
      </c>
      <c r="P160" s="1940"/>
      <c r="Q160" s="1593"/>
      <c r="R160" s="1600">
        <f>SUM(S160:T160)</f>
        <v>50000</v>
      </c>
      <c r="S160" s="1631">
        <v>0</v>
      </c>
      <c r="T160" s="1629">
        <v>50000</v>
      </c>
      <c r="U160" s="1600">
        <f>SUM(V160:W160)</f>
        <v>50000</v>
      </c>
      <c r="V160" s="1631">
        <v>0</v>
      </c>
      <c r="W160" s="1629">
        <v>50000</v>
      </c>
    </row>
    <row r="161" spans="1:24" ht="42" hidden="1" customHeight="1">
      <c r="A161" s="2024"/>
      <c r="B161" s="1934"/>
      <c r="C161" s="1906"/>
      <c r="D161" s="1600"/>
      <c r="E161" s="1631"/>
      <c r="F161" s="1629"/>
      <c r="G161" s="1602"/>
      <c r="H161" s="1631"/>
      <c r="I161" s="1629"/>
      <c r="J161" s="1602">
        <f t="shared" si="62"/>
        <v>0</v>
      </c>
      <c r="K161" s="1631"/>
      <c r="L161" s="1629"/>
      <c r="M161" s="1604">
        <f t="shared" si="58"/>
        <v>0</v>
      </c>
      <c r="N161" s="1881">
        <f t="shared" si="58"/>
        <v>0</v>
      </c>
      <c r="O161" s="1881">
        <f t="shared" si="58"/>
        <v>0</v>
      </c>
      <c r="P161" s="1940"/>
      <c r="Q161" s="1593"/>
      <c r="R161" s="1600"/>
      <c r="S161" s="1631"/>
      <c r="T161" s="1629"/>
      <c r="U161" s="1600"/>
      <c r="V161" s="1631"/>
      <c r="W161" s="1629"/>
    </row>
    <row r="162" spans="1:24" s="484" customFormat="1" hidden="1">
      <c r="A162" s="2024"/>
      <c r="B162" s="1935" t="s">
        <v>46</v>
      </c>
      <c r="C162" s="1906"/>
      <c r="D162" s="1602" t="e">
        <f t="shared" si="57"/>
        <v>#REF!</v>
      </c>
      <c r="E162" s="1603" t="e">
        <f>SUM(#REF!)</f>
        <v>#REF!</v>
      </c>
      <c r="F162" s="1603" t="e">
        <f>SUM(#REF!)</f>
        <v>#REF!</v>
      </c>
      <c r="G162" s="1602" t="e">
        <f>SUM(H162:I162)</f>
        <v>#REF!</v>
      </c>
      <c r="H162" s="1603" t="e">
        <f>SUM(#REF!)</f>
        <v>#REF!</v>
      </c>
      <c r="I162" s="1603" t="e">
        <f>SUM(#REF!)</f>
        <v>#REF!</v>
      </c>
      <c r="J162" s="1602" t="e">
        <f t="shared" si="62"/>
        <v>#REF!</v>
      </c>
      <c r="K162" s="1603" t="e">
        <f>SUM(#REF!)</f>
        <v>#REF!</v>
      </c>
      <c r="L162" s="1603" t="e">
        <f>SUM(#REF!)</f>
        <v>#REF!</v>
      </c>
      <c r="M162" s="1604" t="e">
        <f t="shared" si="58"/>
        <v>#REF!</v>
      </c>
      <c r="N162" s="1881" t="e">
        <f t="shared" si="58"/>
        <v>#REF!</v>
      </c>
      <c r="O162" s="1881" t="e">
        <f t="shared" si="58"/>
        <v>#REF!</v>
      </c>
      <c r="P162" s="1593"/>
      <c r="Q162" s="1593"/>
      <c r="R162" s="1602" t="e">
        <f>SUM(S162:T162)</f>
        <v>#REF!</v>
      </c>
      <c r="S162" s="1603" t="e">
        <f>SUM(#REF!)</f>
        <v>#REF!</v>
      </c>
      <c r="T162" s="1603" t="e">
        <f>SUM(#REF!)</f>
        <v>#REF!</v>
      </c>
      <c r="U162" s="1602" t="e">
        <f>SUM(V162:W162)</f>
        <v>#REF!</v>
      </c>
      <c r="V162" s="1603" t="e">
        <f>SUM(#REF!)</f>
        <v>#REF!</v>
      </c>
      <c r="W162" s="1603" t="e">
        <f>SUM(#REF!)</f>
        <v>#REF!</v>
      </c>
    </row>
    <row r="163" spans="1:24" ht="49.5" hidden="1" customHeight="1">
      <c r="A163" s="2035"/>
      <c r="B163" s="2031" t="s">
        <v>1527</v>
      </c>
      <c r="C163" s="1836"/>
      <c r="D163" s="2029">
        <f>SUM(E163:F163)</f>
        <v>3778441.6</v>
      </c>
      <c r="E163" s="2028">
        <f>SUBTOTAL(9,E30,E82,E149)</f>
        <v>3298387.4</v>
      </c>
      <c r="F163" s="2028">
        <f>SUBTOTAL(9,F30,F82,F149)</f>
        <v>480054.2</v>
      </c>
      <c r="G163" s="2029">
        <f>SUM(H163:I163)</f>
        <v>3778441.6</v>
      </c>
      <c r="H163" s="2028">
        <f>SUBTOTAL(9,H30,H82,H149)</f>
        <v>3298387.4</v>
      </c>
      <c r="I163" s="2028">
        <f>SUBTOTAL(9,I30,I82,I149)</f>
        <v>480054.2</v>
      </c>
      <c r="J163" s="2029">
        <f>SUM(K163:L163)</f>
        <v>645194.30000000005</v>
      </c>
      <c r="K163" s="2028">
        <f>SUBTOTAL(9,K30,K82,K149)</f>
        <v>605893.80000000005</v>
      </c>
      <c r="L163" s="2028">
        <f>SUBTOTAL(9,L30,L82,L149)</f>
        <v>39300.5</v>
      </c>
      <c r="M163" s="2029">
        <f t="shared" ref="M163:O165" si="65">IF(J163=0,0,J163/G163*100)</f>
        <v>17.100000000000001</v>
      </c>
      <c r="N163" s="1621">
        <f t="shared" si="65"/>
        <v>18.399999999999999</v>
      </c>
      <c r="O163" s="1621">
        <f t="shared" si="65"/>
        <v>8.1999999999999993</v>
      </c>
      <c r="X163" s="1423">
        <f>D163-G163</f>
        <v>0</v>
      </c>
    </row>
    <row r="164" spans="1:24" ht="23.25" hidden="1">
      <c r="A164" s="2035"/>
      <c r="B164" s="2028" t="s">
        <v>1620</v>
      </c>
      <c r="C164" s="1836"/>
      <c r="D164" s="2029">
        <f>SUM(E164:F164)</f>
        <v>3617825.1</v>
      </c>
      <c r="E164" s="2028">
        <f>E83+E31+E149</f>
        <v>3298387.4</v>
      </c>
      <c r="F164" s="2028">
        <f>F83+F31+F149</f>
        <v>319437.7</v>
      </c>
      <c r="G164" s="2029">
        <f>SUM(H164:I164)</f>
        <v>3617825.1</v>
      </c>
      <c r="H164" s="2028">
        <f>H83+H31+H149</f>
        <v>3298387.4</v>
      </c>
      <c r="I164" s="2028">
        <f>I83+I31+I149</f>
        <v>319437.7</v>
      </c>
      <c r="J164" s="2029">
        <f>SUM(K164:L164)</f>
        <v>644590</v>
      </c>
      <c r="K164" s="2028">
        <f>K83+K31+K149</f>
        <v>605893.80000000005</v>
      </c>
      <c r="L164" s="2028">
        <f>L83+L31+L149</f>
        <v>38696.199999999997</v>
      </c>
      <c r="M164" s="2029">
        <f t="shared" si="65"/>
        <v>17.8</v>
      </c>
      <c r="N164" s="1621">
        <f t="shared" si="65"/>
        <v>18.399999999999999</v>
      </c>
      <c r="O164" s="1621">
        <f t="shared" si="65"/>
        <v>12.1</v>
      </c>
      <c r="X164" s="1423">
        <f>D164-G164</f>
        <v>0</v>
      </c>
    </row>
    <row r="165" spans="1:24" ht="27" hidden="1" customHeight="1">
      <c r="A165" s="2035"/>
      <c r="B165" s="2028" t="s">
        <v>1621</v>
      </c>
      <c r="C165" s="1836"/>
      <c r="D165" s="2029">
        <f>SUM(E165:F165)</f>
        <v>160616.5</v>
      </c>
      <c r="E165" s="2028">
        <f>E84+E32</f>
        <v>0</v>
      </c>
      <c r="F165" s="2028">
        <f>F84+F32</f>
        <v>160616.5</v>
      </c>
      <c r="G165" s="2029">
        <f>SUM(H165:I165)</f>
        <v>160616.5</v>
      </c>
      <c r="H165" s="2028">
        <f>H84+H32</f>
        <v>0</v>
      </c>
      <c r="I165" s="2028">
        <f>I84+I32</f>
        <v>160616.5</v>
      </c>
      <c r="J165" s="2029">
        <f>SUM(K165:L165)</f>
        <v>604.29999999999995</v>
      </c>
      <c r="K165" s="2028">
        <f>K84+K32</f>
        <v>0</v>
      </c>
      <c r="L165" s="2028">
        <f>L84+L32</f>
        <v>604.29999999999995</v>
      </c>
      <c r="M165" s="2029">
        <f t="shared" si="65"/>
        <v>0.4</v>
      </c>
      <c r="N165" s="1621">
        <f t="shared" si="65"/>
        <v>0</v>
      </c>
      <c r="O165" s="1621">
        <f t="shared" si="65"/>
        <v>0.4</v>
      </c>
      <c r="X165" s="1423">
        <f>D165-G165</f>
        <v>0</v>
      </c>
    </row>
    <row r="166" spans="1:24" ht="60.75" hidden="1" customHeight="1">
      <c r="A166" s="852" t="s">
        <v>1722</v>
      </c>
      <c r="B166" s="1950"/>
      <c r="C166" s="1556"/>
      <c r="D166" s="1951"/>
      <c r="E166" s="1952"/>
      <c r="F166" s="1953"/>
      <c r="G166" s="1953"/>
      <c r="H166" s="1954"/>
      <c r="I166" s="1955"/>
      <c r="J166" s="1956"/>
      <c r="K166" s="1955"/>
      <c r="L166" s="1957" t="s">
        <v>1723</v>
      </c>
      <c r="M166" s="1958"/>
    </row>
    <row r="167" spans="1:24" hidden="1">
      <c r="A167" s="1570"/>
      <c r="B167" s="1648"/>
      <c r="C167" s="1647"/>
      <c r="D167" s="1649"/>
      <c r="E167" s="1649"/>
      <c r="F167" s="1650"/>
      <c r="G167" s="1650"/>
      <c r="H167" s="1651"/>
      <c r="I167" s="1650"/>
      <c r="J167" s="2535"/>
      <c r="K167" s="2535"/>
      <c r="L167" s="1647"/>
      <c r="M167" s="1647"/>
    </row>
    <row r="168" spans="1:24" hidden="1"/>
    <row r="169" spans="1:24" hidden="1"/>
    <row r="170" spans="1:24" hidden="1"/>
    <row r="171" spans="1:24" hidden="1"/>
    <row r="172" spans="1:24" hidden="1">
      <c r="D172" s="992"/>
    </row>
  </sheetData>
  <autoFilter ref="A11:W162">
    <filterColumn colId="3">
      <filters>
        <filter val="1 000,0"/>
        <filter val="1 080 624,8"/>
        <filter val="1 108 548,1"/>
        <filter val="1 176,0"/>
        <filter val="1 191,2"/>
        <filter val="1 226,9"/>
        <filter val="1 239 248,1"/>
        <filter val="1 274 815,0"/>
        <filter val="1 300,0"/>
        <filter val="1 349 749,1"/>
        <filter val="1 388,4"/>
        <filter val="1 393,0"/>
        <filter val="1 400,0"/>
        <filter val="1 490,0"/>
        <filter val="1 500,0"/>
        <filter val="1 519,0"/>
        <filter val="1 530 706,3"/>
        <filter val="1 650,0"/>
        <filter val="1 765,3"/>
        <filter val="1 769,7"/>
        <filter val="1 788,0"/>
        <filter val="1 800,0"/>
        <filter val="1 945 332,3"/>
        <filter val="1 993 022,4"/>
        <filter val="10 000,0"/>
        <filter val="10 186,5"/>
        <filter val="10 192,0"/>
        <filter val="10 224,4"/>
        <filter val="10 500,0"/>
        <filter val="10 545,6"/>
        <filter val="10 687,0"/>
        <filter val="100 000,0"/>
        <filter val="103 784,3"/>
        <filter val="104 171,0"/>
        <filter val="104 813,3"/>
        <filter val="105 852,6"/>
        <filter val="109 222,6"/>
        <filter val="11 037,0"/>
        <filter val="11 200,0"/>
        <filter val="11 287,5"/>
        <filter val="11 495,0"/>
        <filter val="11 560,9"/>
        <filter val="110 087,9"/>
        <filter val="110 501,0"/>
        <filter val="12 400,0"/>
        <filter val="12 500,0"/>
        <filter val="12 956,3"/>
        <filter val="123 877,5"/>
        <filter val="13 404,9"/>
        <filter val="13 415,9"/>
        <filter val="13 755,5"/>
        <filter val="130 000,0"/>
        <filter val="130 700,0"/>
        <filter val="137 912,1"/>
        <filter val="14 000,0"/>
        <filter val="14 500,0"/>
        <filter val="14 589,4"/>
        <filter val="14 615,1"/>
        <filter val="14 680,4"/>
        <filter val="15 004,3"/>
        <filter val="15 739,7"/>
        <filter val="150 000,0"/>
        <filter val="16 320,0"/>
        <filter val="17 204,7"/>
        <filter val="17 550,0"/>
        <filter val="17 670,0"/>
        <filter val="171 408,9"/>
        <filter val="172 153,3"/>
        <filter val="176 874,6"/>
        <filter val="177 040,7"/>
        <filter val="18 602,2"/>
        <filter val="18 682,4"/>
        <filter val="18 698,7"/>
        <filter val="18 900,0"/>
        <filter val="19 000,0"/>
        <filter val="19 283,1"/>
        <filter val="19 450,0"/>
        <filter val="19 800,0"/>
        <filter val="19 820,0"/>
        <filter val="191 417,5"/>
        <filter val="193 225,4"/>
        <filter val="2 000,0"/>
        <filter val="2 044,2"/>
        <filter val="2 090,0"/>
        <filter val="2 100,0"/>
        <filter val="2 230,0"/>
        <filter val="2 373,0"/>
        <filter val="2 400,0"/>
        <filter val="2 446,0"/>
        <filter val="2 500,0"/>
        <filter val="2 550,0"/>
        <filter val="2 588 042,0"/>
        <filter val="2 675 651,3"/>
        <filter val="2 710,0"/>
        <filter val="2 714,8"/>
        <filter val="2 745,5"/>
        <filter val="2 900,0"/>
        <filter val="2 930,0"/>
        <filter val="20 000,0"/>
        <filter val="20 841,6"/>
        <filter val="201 856,9"/>
        <filter val="23 300,8"/>
        <filter val="23 800,0"/>
        <filter val="246 717,5"/>
        <filter val="25 000,0"/>
        <filter val="255 891,3"/>
        <filter val="266 310,9"/>
        <filter val="27 093,6"/>
        <filter val="283,1"/>
        <filter val="3 000,0"/>
        <filter val="3 150,8"/>
        <filter val="3 220,0"/>
        <filter val="3 420,0"/>
        <filter val="3 500,0"/>
        <filter val="3 564,2"/>
        <filter val="3 780,0"/>
        <filter val="3 822,0"/>
        <filter val="3 840,0"/>
        <filter val="3 935,3"/>
        <filter val="3 988,8"/>
        <filter val="30 000,0"/>
        <filter val="304,9"/>
        <filter val="31 736,8"/>
        <filter val="315 323,1"/>
        <filter val="33 286,7"/>
        <filter val="35 340,7"/>
        <filter val="35 698,6"/>
        <filter val="38 316,7"/>
        <filter val="38 330,0"/>
        <filter val="39 965,6"/>
        <filter val="4 000,0"/>
        <filter val="4 042,1"/>
        <filter val="4 116,0"/>
        <filter val="4 400,0"/>
        <filter val="4 480,0"/>
        <filter val="4 500,0"/>
        <filter val="4 597,0"/>
        <filter val="4 725,9"/>
        <filter val="4 860 552,6"/>
        <filter val="402 621,2"/>
        <filter val="41 650,0"/>
        <filter val="449 049,8"/>
        <filter val="449 354,7"/>
        <filter val="47 690,1"/>
        <filter val="48 000,0"/>
        <filter val="5 107 270,1"/>
        <filter val="5 180,0"/>
        <filter val="5 506,4"/>
        <filter val="5 536,4"/>
        <filter val="5 553,2"/>
        <filter val="50 000,0"/>
        <filter val="50 668,2"/>
        <filter val="500,0"/>
        <filter val="52 150,0"/>
        <filter val="55 300,0"/>
        <filter val="55 313,3"/>
        <filter val="6 086,3"/>
        <filter val="6 090,0"/>
        <filter val="6 252,2"/>
        <filter val="6 302,6"/>
        <filter val="6 338,1"/>
        <filter val="6 500,0"/>
        <filter val="6 637 976,4"/>
        <filter val="6 835,0"/>
        <filter val="62 500,0"/>
        <filter val="626 642,1"/>
        <filter val="63 829,8"/>
        <filter val="668 866,8"/>
        <filter val="7 000,0"/>
        <filter val="7 150,8"/>
        <filter val="7 650,0"/>
        <filter val="7 800,0"/>
        <filter val="7 941,5"/>
        <filter val="700,0"/>
        <filter val="74 115,8"/>
        <filter val="75 664,2"/>
        <filter val="8 056 311,8"/>
        <filter val="8 280,0"/>
        <filter val="8 734,5"/>
        <filter val="8 850,0"/>
        <filter val="8 870,0"/>
        <filter val="806 671,2"/>
        <filter val="845,0"/>
        <filter val="87 609,3"/>
        <filter val="87 760,0"/>
        <filter val="87 999,8"/>
        <filter val="9 872,7"/>
        <filter val="9 921,2"/>
        <filter val="9 985,9"/>
        <filter val="925 654,2"/>
        <filter val="964,8"/>
        <filter val="970 536,9"/>
        <filter val="99 120,7"/>
      </filters>
    </filterColumn>
  </autoFilter>
  <mergeCells count="28">
    <mergeCell ref="J167:K167"/>
    <mergeCell ref="U9:U10"/>
    <mergeCell ref="V9:W9"/>
    <mergeCell ref="A17:B17"/>
    <mergeCell ref="Q32:Q33"/>
    <mergeCell ref="A148:B148"/>
    <mergeCell ref="M9:M10"/>
    <mergeCell ref="N9:O9"/>
    <mergeCell ref="B9:B10"/>
    <mergeCell ref="C9:C10"/>
    <mergeCell ref="D9:D10"/>
    <mergeCell ref="E9:F9"/>
    <mergeCell ref="A1:B1"/>
    <mergeCell ref="L1:O1"/>
    <mergeCell ref="J3:M3"/>
    <mergeCell ref="A5:W5"/>
    <mergeCell ref="A6:W6"/>
    <mergeCell ref="A7:W7"/>
    <mergeCell ref="N8:O8"/>
    <mergeCell ref="A9:A10"/>
    <mergeCell ref="G9:G10"/>
    <mergeCell ref="H9:I9"/>
    <mergeCell ref="R9:R10"/>
    <mergeCell ref="S9:T9"/>
    <mergeCell ref="P9:P10"/>
    <mergeCell ref="Q9:Q10"/>
    <mergeCell ref="J9:J10"/>
    <mergeCell ref="K9:L9"/>
  </mergeCells>
  <pageMargins left="0.31496062992125984" right="0.11811023622047245" top="0.55118110236220474" bottom="0.35433070866141736" header="0.31496062992125984" footer="0.15748031496062992"/>
  <pageSetup paperSize="9" scale="55" fitToHeight="17" orientation="landscape" r:id="rId1"/>
  <headerFooter>
    <oddFooter>&amp;C&amp;P</oddFooter>
  </headerFooter>
</worksheet>
</file>

<file path=xl/worksheets/sheet41.xml><?xml version="1.0" encoding="utf-8"?>
<worksheet xmlns="http://schemas.openxmlformats.org/spreadsheetml/2006/main" xmlns:r="http://schemas.openxmlformats.org/officeDocument/2006/relationships">
  <sheetPr>
    <pageSetUpPr fitToPage="1"/>
  </sheetPr>
  <dimension ref="A1:AG412"/>
  <sheetViews>
    <sheetView topLeftCell="A5" zoomScale="70" zoomScaleNormal="70" zoomScaleSheetLayoutView="70" workbookViewId="0">
      <selection activeCell="B14" sqref="B14"/>
    </sheetView>
  </sheetViews>
  <sheetFormatPr defaultColWidth="9.140625" defaultRowHeight="18.75"/>
  <cols>
    <col min="1" max="1" width="12.42578125" style="1942" customWidth="1"/>
    <col min="2" max="2" width="82.5703125" style="712" customWidth="1"/>
    <col min="3" max="3" width="13.42578125" style="1834" hidden="1" customWidth="1"/>
    <col min="4" max="4" width="17.42578125" style="1570" customWidth="1"/>
    <col min="5" max="6" width="14.85546875" style="712" customWidth="1"/>
    <col min="7" max="7" width="16.85546875" style="1570" customWidth="1"/>
    <col min="8" max="8" width="15.42578125" style="712" customWidth="1"/>
    <col min="9" max="9" width="14.85546875" style="712" customWidth="1"/>
    <col min="10" max="10" width="15.85546875" style="1569" customWidth="1"/>
    <col min="11" max="12" width="14.85546875" style="712" customWidth="1"/>
    <col min="13" max="13" width="12.5703125" style="1570" customWidth="1"/>
    <col min="14" max="14" width="20.140625" style="712" customWidth="1"/>
    <col min="15" max="15" width="21.57031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7.85546875" style="712" hidden="1" customWidth="1"/>
    <col min="25" max="25" width="22" style="712" hidden="1" customWidth="1"/>
    <col min="26" max="26" width="16.42578125" style="712" bestFit="1" customWidth="1"/>
    <col min="27" max="27" width="19.28515625" style="712" bestFit="1" customWidth="1"/>
    <col min="28" max="28" width="14.5703125" style="712" bestFit="1" customWidth="1"/>
    <col min="29" max="29" width="12.5703125" style="712" bestFit="1" customWidth="1"/>
    <col min="30" max="30" width="14.5703125" style="712" bestFit="1" customWidth="1"/>
    <col min="31" max="31" width="21.140625" style="712" bestFit="1" customWidth="1"/>
    <col min="32" max="32" width="14.5703125" style="712" bestFit="1" customWidth="1"/>
    <col min="33" max="33" width="12.85546875" style="712" bestFit="1" customWidth="1"/>
    <col min="34" max="16384" width="9.140625" style="712"/>
  </cols>
  <sheetData>
    <row r="1" spans="1:33" ht="20.25" hidden="1">
      <c r="A1" s="2537"/>
      <c r="B1" s="2537"/>
      <c r="D1" s="1563"/>
      <c r="E1" s="1563"/>
      <c r="F1" s="1563"/>
      <c r="G1" s="1563"/>
      <c r="H1" s="1563"/>
      <c r="I1" s="1563"/>
      <c r="J1" s="1563"/>
      <c r="L1" s="2384"/>
      <c r="M1" s="2384"/>
      <c r="N1" s="2384"/>
      <c r="O1" s="2384"/>
    </row>
    <row r="2" spans="1:33" hidden="1">
      <c r="B2" s="2039"/>
      <c r="D2" s="1569"/>
      <c r="E2" s="2055"/>
      <c r="F2" s="2039"/>
      <c r="M2" s="1569"/>
    </row>
    <row r="3" spans="1:33" s="1575" customFormat="1" hidden="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33"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33"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33" s="1575" customFormat="1" ht="33" customHeight="1">
      <c r="A6" s="2361" t="s">
        <v>236</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33" s="1575" customFormat="1" ht="27">
      <c r="A7" s="2361" t="s">
        <v>1818</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33" s="1575" customFormat="1">
      <c r="A8" s="1943"/>
      <c r="B8" s="1571"/>
      <c r="C8" s="1835"/>
      <c r="D8" s="1587"/>
      <c r="E8" s="1660"/>
      <c r="F8" s="1661"/>
      <c r="H8" s="1661"/>
      <c r="I8" s="1589"/>
      <c r="J8" s="1587"/>
      <c r="K8" s="1591"/>
      <c r="L8" s="1591"/>
      <c r="M8" s="1585"/>
      <c r="N8" s="2533" t="s">
        <v>377</v>
      </c>
      <c r="O8" s="2533"/>
      <c r="P8" s="1577"/>
      <c r="Q8" s="1863"/>
      <c r="R8" s="1591"/>
      <c r="S8" s="1591"/>
      <c r="T8" s="1591"/>
      <c r="U8" s="1661"/>
      <c r="V8" s="1661"/>
      <c r="W8" s="1661" t="s">
        <v>1314</v>
      </c>
    </row>
    <row r="9" spans="1:33" ht="42.75" customHeight="1">
      <c r="A9" s="2563" t="s">
        <v>18</v>
      </c>
      <c r="B9" s="2380" t="s">
        <v>0</v>
      </c>
      <c r="C9" s="2564" t="s">
        <v>1535</v>
      </c>
      <c r="D9" s="2573" t="s">
        <v>1813</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33" ht="210.75" customHeight="1">
      <c r="A10" s="2563"/>
      <c r="B10" s="2380"/>
      <c r="C10" s="2564"/>
      <c r="D10" s="2574"/>
      <c r="E10" s="709" t="s">
        <v>1814</v>
      </c>
      <c r="F10" s="709" t="s">
        <v>258</v>
      </c>
      <c r="G10" s="2374"/>
      <c r="H10" s="709" t="s">
        <v>1815</v>
      </c>
      <c r="I10" s="709" t="s">
        <v>258</v>
      </c>
      <c r="J10" s="2374"/>
      <c r="K10" s="709" t="s">
        <v>1074</v>
      </c>
      <c r="L10" s="709" t="s">
        <v>258</v>
      </c>
      <c r="M10" s="2374"/>
      <c r="N10" s="709" t="s">
        <v>1816</v>
      </c>
      <c r="O10" s="709" t="s">
        <v>258</v>
      </c>
      <c r="P10" s="2550"/>
      <c r="Q10" s="2550"/>
      <c r="R10" s="2374"/>
      <c r="S10" s="709" t="s">
        <v>1074</v>
      </c>
      <c r="T10" s="709" t="s">
        <v>258</v>
      </c>
      <c r="U10" s="2374"/>
      <c r="V10" s="709" t="s">
        <v>1074</v>
      </c>
      <c r="W10" s="709" t="s">
        <v>258</v>
      </c>
    </row>
    <row r="11" spans="1:33">
      <c r="A11" s="2041">
        <v>1</v>
      </c>
      <c r="B11" s="507">
        <v>2</v>
      </c>
      <c r="C11" s="2041"/>
      <c r="D11" s="507">
        <v>3</v>
      </c>
      <c r="E11" s="507">
        <v>4</v>
      </c>
      <c r="F11" s="507">
        <v>5</v>
      </c>
      <c r="G11" s="1868">
        <v>7</v>
      </c>
      <c r="H11" s="1868">
        <v>8</v>
      </c>
      <c r="I11" s="1868">
        <v>9</v>
      </c>
      <c r="J11" s="1868">
        <v>10</v>
      </c>
      <c r="K11" s="1868">
        <v>11</v>
      </c>
      <c r="L11" s="1868">
        <v>12</v>
      </c>
      <c r="M11" s="1868">
        <v>13</v>
      </c>
      <c r="N11" s="1868">
        <v>14</v>
      </c>
      <c r="O11" s="1868">
        <v>15</v>
      </c>
      <c r="P11" s="1593">
        <v>10</v>
      </c>
      <c r="Q11" s="1593">
        <v>11</v>
      </c>
      <c r="R11" s="1593">
        <v>9</v>
      </c>
      <c r="S11" s="1593">
        <v>10</v>
      </c>
      <c r="T11" s="1593">
        <v>11</v>
      </c>
      <c r="U11" s="1593">
        <v>12</v>
      </c>
      <c r="V11" s="1593">
        <v>13</v>
      </c>
      <c r="W11" s="1593">
        <v>14</v>
      </c>
    </row>
    <row r="12" spans="1:33" s="791" customFormat="1" ht="23.25">
      <c r="A12" s="2041"/>
      <c r="B12" s="487" t="s">
        <v>10</v>
      </c>
      <c r="C12" s="1869"/>
      <c r="D12" s="1594">
        <f>SUM(E12:F12)</f>
        <v>10464503.6</v>
      </c>
      <c r="E12" s="1594">
        <f>SUM(E13,E312,E364,E386)</f>
        <v>8453826.5</v>
      </c>
      <c r="F12" s="1594">
        <f>SUM(F13,F312,F364,F386)</f>
        <v>2010677.1</v>
      </c>
      <c r="G12" s="1594">
        <f>SUM(H12:I12)</f>
        <v>10193841.6</v>
      </c>
      <c r="H12" s="1594">
        <f>SUM(H13,H312,H364,H386)</f>
        <v>8184284.2000000002</v>
      </c>
      <c r="I12" s="1594">
        <f>SUM(I13,I312,I364,I386)</f>
        <v>2009557.4</v>
      </c>
      <c r="J12" s="1594">
        <f>SUM(K12:L12)</f>
        <v>5120230.8</v>
      </c>
      <c r="K12" s="1594">
        <f>SUM(K13,K312,K364,K386)</f>
        <v>4151164.1</v>
      </c>
      <c r="L12" s="1594">
        <f>SUM(L13,L312,L364,L386)</f>
        <v>969066.7</v>
      </c>
      <c r="M12" s="1870">
        <f>IF(J12=0,0,J12/G12*100)</f>
        <v>50.2</v>
      </c>
      <c r="N12" s="1870">
        <f>IF(K12=0,0,K12/H12*100)</f>
        <v>50.7</v>
      </c>
      <c r="O12" s="1870">
        <f>IF(L12=0,0,L12/I12*100)</f>
        <v>48.2</v>
      </c>
      <c r="P12" s="643" t="s">
        <v>353</v>
      </c>
      <c r="Q12" s="643"/>
      <c r="R12" s="1594" t="e">
        <f t="shared" ref="R12:R61" si="0">SUM(S12:T12)</f>
        <v>#REF!</v>
      </c>
      <c r="S12" s="1594" t="e">
        <f>SUM(S13,S312,S364)</f>
        <v>#REF!</v>
      </c>
      <c r="T12" s="1594" t="e">
        <f>SUM(T13,T312,T364)</f>
        <v>#REF!</v>
      </c>
      <c r="U12" s="1594" t="e">
        <f t="shared" ref="U12:U22" si="1">SUM(V12:W12)</f>
        <v>#REF!</v>
      </c>
      <c r="V12" s="1594" t="e">
        <f>SUM(V13,V312,V364)</f>
        <v>#REF!</v>
      </c>
      <c r="W12" s="1594" t="e">
        <f>SUM(W13,W312,W364)</f>
        <v>#REF!</v>
      </c>
      <c r="X12" s="1423">
        <f>D12-G12</f>
        <v>270662</v>
      </c>
      <c r="Z12" s="1423"/>
      <c r="AA12" s="1423"/>
      <c r="AB12" s="1423"/>
    </row>
    <row r="13" spans="1:33" s="791" customFormat="1" ht="44.25" customHeight="1">
      <c r="A13" s="2565" t="s">
        <v>453</v>
      </c>
      <c r="B13" s="2565"/>
      <c r="C13" s="1869"/>
      <c r="D13" s="1594">
        <f>SUM(E13:F13)</f>
        <v>7995243.7999999998</v>
      </c>
      <c r="E13" s="1594">
        <f>SUM(E14,E126)</f>
        <v>6500062.7999999998</v>
      </c>
      <c r="F13" s="1594">
        <f>SUM(F14,F126)</f>
        <v>1495181</v>
      </c>
      <c r="G13" s="1594">
        <f>SUM(H13:I13)</f>
        <v>7993672.2999999998</v>
      </c>
      <c r="H13" s="1594">
        <f>SUM(H14,H126)</f>
        <v>6499308</v>
      </c>
      <c r="I13" s="1594">
        <f>SUM(I14,I126)</f>
        <v>1494364.3</v>
      </c>
      <c r="J13" s="1594">
        <f>SUM(K13:L13)</f>
        <v>4109681.4</v>
      </c>
      <c r="K13" s="1594">
        <f>SUM(K14,K126)</f>
        <v>3444166.2</v>
      </c>
      <c r="L13" s="1594">
        <f>SUM(L14,L126)</f>
        <v>665515.19999999995</v>
      </c>
      <c r="M13" s="1870">
        <f t="shared" ref="M13:O78" si="2">IF(J13=0,0,J13/G13*100)</f>
        <v>51.4</v>
      </c>
      <c r="N13" s="1871">
        <f t="shared" si="2"/>
        <v>53</v>
      </c>
      <c r="O13" s="1871">
        <f t="shared" si="2"/>
        <v>44.5</v>
      </c>
      <c r="P13" s="643" t="s">
        <v>353</v>
      </c>
      <c r="Q13" s="643" t="s">
        <v>353</v>
      </c>
      <c r="R13" s="1594" t="e">
        <f t="shared" si="0"/>
        <v>#REF!</v>
      </c>
      <c r="S13" s="1594" t="e">
        <f>SUM(S14,S126)</f>
        <v>#REF!</v>
      </c>
      <c r="T13" s="1594" t="e">
        <f>SUM(T14,T126)</f>
        <v>#REF!</v>
      </c>
      <c r="U13" s="1594" t="e">
        <f t="shared" si="1"/>
        <v>#REF!</v>
      </c>
      <c r="V13" s="1594" t="e">
        <f>SUM(V14,V126)</f>
        <v>#REF!</v>
      </c>
      <c r="W13" s="1594" t="e">
        <f>SUM(W14,W126)</f>
        <v>#REF!</v>
      </c>
      <c r="X13" s="1423">
        <f t="shared" ref="X13:X45" si="3">D13-G13</f>
        <v>1571.5</v>
      </c>
      <c r="Y13" s="1423"/>
      <c r="Z13" s="1423"/>
      <c r="AA13" s="1423"/>
      <c r="AB13" s="1423"/>
      <c r="AC13" s="1423"/>
      <c r="AD13" s="1423"/>
      <c r="AE13" s="1423"/>
      <c r="AF13" s="1423"/>
      <c r="AG13" s="1423"/>
    </row>
    <row r="14" spans="1:33" ht="87.75" customHeight="1">
      <c r="A14" s="2041" t="s">
        <v>6</v>
      </c>
      <c r="B14" s="2007" t="s">
        <v>439</v>
      </c>
      <c r="C14" s="1873"/>
      <c r="D14" s="1596">
        <f>SUM(E14:F14)</f>
        <v>1476531</v>
      </c>
      <c r="E14" s="1596">
        <f>SUM(E15,E80)</f>
        <v>1357239.8</v>
      </c>
      <c r="F14" s="1596">
        <f>SUM(F15,F80)</f>
        <v>119291.2</v>
      </c>
      <c r="G14" s="1596">
        <f>SUM(H14:I14)</f>
        <v>1475728</v>
      </c>
      <c r="H14" s="1596">
        <f>SUM(H15,H80)</f>
        <v>1356485</v>
      </c>
      <c r="I14" s="1596">
        <f>SUM(I15,I80)</f>
        <v>119243</v>
      </c>
      <c r="J14" s="1596">
        <f>SUM(K14:L14)</f>
        <v>1199855.5</v>
      </c>
      <c r="K14" s="1596">
        <f>SUM(K15,K80)</f>
        <v>1120211.7</v>
      </c>
      <c r="L14" s="1596">
        <f>SUM(L15,L80)</f>
        <v>79643.8</v>
      </c>
      <c r="M14" s="2008">
        <f t="shared" si="2"/>
        <v>81.3</v>
      </c>
      <c r="N14" s="2009">
        <f t="shared" si="2"/>
        <v>82.6</v>
      </c>
      <c r="O14" s="2009">
        <f t="shared" si="2"/>
        <v>66.8</v>
      </c>
      <c r="P14" s="1597" t="s">
        <v>353</v>
      </c>
      <c r="Q14" s="1597" t="s">
        <v>353</v>
      </c>
      <c r="R14" s="1861" t="e">
        <f t="shared" si="0"/>
        <v>#REF!</v>
      </c>
      <c r="S14" s="1861" t="e">
        <f>SUM(S15,S80)</f>
        <v>#REF!</v>
      </c>
      <c r="T14" s="1861" t="e">
        <f>SUM(T15,T80)</f>
        <v>#REF!</v>
      </c>
      <c r="U14" s="1861" t="e">
        <f t="shared" si="1"/>
        <v>#REF!</v>
      </c>
      <c r="V14" s="1861" t="e">
        <f>SUM(V15,V80)</f>
        <v>#REF!</v>
      </c>
      <c r="W14" s="1861" t="e">
        <f>SUM(W15,W80)</f>
        <v>#REF!</v>
      </c>
      <c r="X14" s="1423">
        <f t="shared" si="3"/>
        <v>803</v>
      </c>
      <c r="Y14" s="725">
        <v>522</v>
      </c>
      <c r="AA14" s="725"/>
    </row>
    <row r="15" spans="1:33" ht="36.75" customHeight="1">
      <c r="A15" s="2041" t="s">
        <v>253</v>
      </c>
      <c r="B15" s="1876" t="s">
        <v>1393</v>
      </c>
      <c r="C15" s="1877"/>
      <c r="D15" s="1598">
        <f t="shared" ref="D15:D86" si="4">SUM(E15:F15)</f>
        <v>71639.100000000006</v>
      </c>
      <c r="E15" s="1598">
        <f>SUM(E16,E24,E29,E33,E36,E41,E43,E50,E58,E64,E70,E75)</f>
        <v>964.8</v>
      </c>
      <c r="F15" s="1598">
        <f>SUM(F16,F24,F29,F33,F36,F41,F43,F50,F58,F64,F70,F75)</f>
        <v>70674.3</v>
      </c>
      <c r="G15" s="1598">
        <f t="shared" ref="G15" si="5">SUM(H15:I15)</f>
        <v>71639.100000000006</v>
      </c>
      <c r="H15" s="1598">
        <f>SUM(H16,H24,H29,H33,H36,H41,H43,H50,H58,H64,H70,H75)</f>
        <v>964.8</v>
      </c>
      <c r="I15" s="1598">
        <f>SUM(I16,I24,I29,I33,I36,I41,I43,I50,I58,I64,I70,I75)</f>
        <v>70674.3</v>
      </c>
      <c r="J15" s="1598">
        <f t="shared" ref="J15" si="6">SUM(K15:L15)</f>
        <v>43351.5</v>
      </c>
      <c r="K15" s="1598">
        <f>SUM(K16,K24,K29,K33,K36,K41,K43,K50,K58,K64,K70,K75)</f>
        <v>0</v>
      </c>
      <c r="L15" s="1598">
        <f>SUM(L16,L24,L29,L33,L36,L41,L43,L50,L58,L64,L70,L75)</f>
        <v>43351.5</v>
      </c>
      <c r="M15" s="1598">
        <f t="shared" si="2"/>
        <v>60.5</v>
      </c>
      <c r="N15" s="1598">
        <f t="shared" si="2"/>
        <v>0</v>
      </c>
      <c r="O15" s="1598">
        <f t="shared" si="2"/>
        <v>61.3</v>
      </c>
      <c r="P15" s="1599" t="s">
        <v>353</v>
      </c>
      <c r="Q15" s="1599" t="s">
        <v>353</v>
      </c>
      <c r="R15" s="1598">
        <f>SUM(S15:T15)</f>
        <v>31834.5</v>
      </c>
      <c r="S15" s="1598">
        <f>SUM(S16,S19,S21,S24,S29,S31,S33,S36,S41,S43,S47,S50,S56,S58,S61,S64,S70,S75)</f>
        <v>0</v>
      </c>
      <c r="T15" s="1598">
        <f>SUM(T16,T19,T21,T24,T29,T31,T33,T36,T41,T43,T47,T50,T56,T58,T61,T64,T70,T75)</f>
        <v>31834.5</v>
      </c>
      <c r="U15" s="1598">
        <f>SUM(V15:W15)</f>
        <v>0</v>
      </c>
      <c r="V15" s="1598">
        <f>SUM(V16,V19,V21,V24,V29,V31,V33,V36,V41,V43,V47,V50,V56,V58,V61,V64,V70,V75)</f>
        <v>0</v>
      </c>
      <c r="W15" s="1598">
        <f>SUM(W16,W19,W21,W24,W29,W31,W33,W36,W41,W43,W47,W50,W56,W58,W61,W64,W70,W75)</f>
        <v>0</v>
      </c>
      <c r="X15" s="1423">
        <f t="shared" si="3"/>
        <v>0</v>
      </c>
      <c r="Y15" s="712" t="s">
        <v>1788</v>
      </c>
      <c r="AA15" s="725"/>
    </row>
    <row r="16" spans="1:33" ht="26.25" customHeight="1">
      <c r="A16" s="2041"/>
      <c r="B16" s="2040" t="s">
        <v>283</v>
      </c>
      <c r="C16" s="2042"/>
      <c r="D16" s="1600">
        <f t="shared" si="4"/>
        <v>3514.8</v>
      </c>
      <c r="E16" s="1600">
        <f>E17+E18</f>
        <v>964.8</v>
      </c>
      <c r="F16" s="1600">
        <f>F17+F18</f>
        <v>2550</v>
      </c>
      <c r="G16" s="1600">
        <f t="shared" ref="G16:G47" si="7">SUM(H16:I16)</f>
        <v>3514.8</v>
      </c>
      <c r="H16" s="1600">
        <f>H17+H18</f>
        <v>964.8</v>
      </c>
      <c r="I16" s="1600">
        <f>I17+I18</f>
        <v>2550</v>
      </c>
      <c r="J16" s="1600">
        <f t="shared" ref="J16:J46" si="8">SUM(K16:L16)</f>
        <v>2550</v>
      </c>
      <c r="K16" s="1600">
        <f>K17</f>
        <v>0</v>
      </c>
      <c r="L16" s="1600">
        <f>L17</f>
        <v>2550</v>
      </c>
      <c r="M16" s="1600">
        <f t="shared" si="2"/>
        <v>72.599999999999994</v>
      </c>
      <c r="N16" s="1600">
        <f t="shared" si="2"/>
        <v>0</v>
      </c>
      <c r="O16" s="1600">
        <f t="shared" si="2"/>
        <v>100</v>
      </c>
      <c r="P16" s="1599"/>
      <c r="Q16" s="1599"/>
      <c r="R16" s="1600">
        <f>SUM(S16:T16)</f>
        <v>0</v>
      </c>
      <c r="S16" s="1600">
        <f>S17</f>
        <v>0</v>
      </c>
      <c r="T16" s="1600">
        <f>T17</f>
        <v>0</v>
      </c>
      <c r="U16" s="1600">
        <f>SUM(V16:W16)</f>
        <v>0</v>
      </c>
      <c r="V16" s="1600">
        <f>V17</f>
        <v>0</v>
      </c>
      <c r="W16" s="1600">
        <f>W17</f>
        <v>0</v>
      </c>
      <c r="X16" s="1423">
        <f t="shared" si="3"/>
        <v>0</v>
      </c>
      <c r="Y16" s="725"/>
      <c r="AA16" s="725"/>
    </row>
    <row r="17" spans="1:27" ht="64.5" customHeight="1">
      <c r="A17" s="2041">
        <v>1</v>
      </c>
      <c r="B17" s="1879" t="s">
        <v>1565</v>
      </c>
      <c r="C17" s="1880"/>
      <c r="D17" s="1602">
        <f t="shared" si="4"/>
        <v>2550</v>
      </c>
      <c r="E17" s="1616">
        <v>0</v>
      </c>
      <c r="F17" s="1616">
        <v>2550</v>
      </c>
      <c r="G17" s="1602">
        <f t="shared" si="7"/>
        <v>2550</v>
      </c>
      <c r="H17" s="1616">
        <f>E17</f>
        <v>0</v>
      </c>
      <c r="I17" s="1616">
        <f>F17</f>
        <v>2550</v>
      </c>
      <c r="J17" s="1602">
        <f t="shared" si="8"/>
        <v>2550</v>
      </c>
      <c r="K17" s="1616">
        <v>0</v>
      </c>
      <c r="L17" s="1616">
        <v>2550</v>
      </c>
      <c r="M17" s="1604">
        <f t="shared" si="2"/>
        <v>100</v>
      </c>
      <c r="N17" s="1881">
        <f t="shared" si="2"/>
        <v>0</v>
      </c>
      <c r="O17" s="1881">
        <f t="shared" si="2"/>
        <v>100</v>
      </c>
      <c r="P17" s="1599"/>
      <c r="Q17" s="1599"/>
      <c r="R17" s="1602">
        <f t="shared" si="0"/>
        <v>0</v>
      </c>
      <c r="S17" s="1619">
        <v>0</v>
      </c>
      <c r="T17" s="1619">
        <v>0</v>
      </c>
      <c r="U17" s="1602">
        <f t="shared" si="1"/>
        <v>0</v>
      </c>
      <c r="V17" s="1619">
        <v>0</v>
      </c>
      <c r="W17" s="1619">
        <v>0</v>
      </c>
      <c r="X17" s="1423">
        <f t="shared" si="3"/>
        <v>0</v>
      </c>
      <c r="Y17" s="725"/>
      <c r="AA17" s="725"/>
    </row>
    <row r="18" spans="1:27" ht="131.25" customHeight="1">
      <c r="A18" s="2041">
        <f>A17+1</f>
        <v>2</v>
      </c>
      <c r="B18" s="1885" t="s">
        <v>1412</v>
      </c>
      <c r="C18" s="1880"/>
      <c r="D18" s="1602">
        <f>SUM(E18:F18)</f>
        <v>964.8</v>
      </c>
      <c r="E18" s="1616">
        <v>964.8</v>
      </c>
      <c r="F18" s="1616">
        <v>0</v>
      </c>
      <c r="G18" s="1602">
        <f>SUM(H18:I18)</f>
        <v>964.8</v>
      </c>
      <c r="H18" s="1616">
        <f>E18</f>
        <v>964.8</v>
      </c>
      <c r="I18" s="1616">
        <f>F18</f>
        <v>0</v>
      </c>
      <c r="J18" s="1602">
        <f>SUM(K18:L18)</f>
        <v>0</v>
      </c>
      <c r="K18" s="1616"/>
      <c r="L18" s="1616"/>
      <c r="M18" s="1604">
        <f t="shared" si="2"/>
        <v>0</v>
      </c>
      <c r="N18" s="1881">
        <f t="shared" si="2"/>
        <v>0</v>
      </c>
      <c r="O18" s="1881">
        <f t="shared" si="2"/>
        <v>0</v>
      </c>
      <c r="P18" s="1599"/>
      <c r="Q18" s="1599"/>
      <c r="R18" s="1602"/>
      <c r="S18" s="1619"/>
      <c r="T18" s="1619"/>
      <c r="U18" s="1602"/>
      <c r="V18" s="1619"/>
      <c r="W18" s="1619"/>
      <c r="X18" s="1423"/>
      <c r="Y18" s="725"/>
      <c r="AA18" s="725"/>
    </row>
    <row r="19" spans="1:27" s="1607" customFormat="1" ht="25.5" hidden="1" customHeight="1">
      <c r="A19" s="2041"/>
      <c r="B19" s="2040" t="s">
        <v>433</v>
      </c>
      <c r="C19" s="2042"/>
      <c r="D19" s="1602">
        <f t="shared" si="4"/>
        <v>0</v>
      </c>
      <c r="E19" s="1602">
        <f t="shared" ref="E19:L19" si="9">E20</f>
        <v>0</v>
      </c>
      <c r="F19" s="1602">
        <f t="shared" si="9"/>
        <v>0</v>
      </c>
      <c r="G19" s="1602">
        <f>SUM(H19:I19)</f>
        <v>0</v>
      </c>
      <c r="H19" s="1602">
        <f t="shared" si="9"/>
        <v>0</v>
      </c>
      <c r="I19" s="1602">
        <f t="shared" si="9"/>
        <v>0</v>
      </c>
      <c r="J19" s="1602">
        <f t="shared" si="8"/>
        <v>0</v>
      </c>
      <c r="K19" s="1602">
        <f t="shared" si="9"/>
        <v>0</v>
      </c>
      <c r="L19" s="1602">
        <f t="shared" si="9"/>
        <v>0</v>
      </c>
      <c r="M19" s="1601">
        <f t="shared" si="2"/>
        <v>0</v>
      </c>
      <c r="N19" s="1601">
        <f t="shared" si="2"/>
        <v>0</v>
      </c>
      <c r="O19" s="1601">
        <f t="shared" si="2"/>
        <v>0</v>
      </c>
      <c r="P19" s="1593" t="s">
        <v>353</v>
      </c>
      <c r="Q19" s="1593" t="s">
        <v>353</v>
      </c>
      <c r="R19" s="1602">
        <f t="shared" si="0"/>
        <v>0</v>
      </c>
      <c r="S19" s="1602">
        <f>S20</f>
        <v>0</v>
      </c>
      <c r="T19" s="1602">
        <f>T20</f>
        <v>0</v>
      </c>
      <c r="U19" s="1602">
        <f t="shared" si="1"/>
        <v>0</v>
      </c>
      <c r="V19" s="1602">
        <f>V20</f>
        <v>0</v>
      </c>
      <c r="W19" s="1602">
        <f>W20</f>
        <v>0</v>
      </c>
      <c r="X19" s="1423">
        <f t="shared" si="3"/>
        <v>0</v>
      </c>
      <c r="Y19" s="725"/>
      <c r="AA19" s="725"/>
    </row>
    <row r="20" spans="1:27" s="1607" customFormat="1" ht="120.75" hidden="1" customHeight="1">
      <c r="A20" s="2041">
        <f>A18+1</f>
        <v>3</v>
      </c>
      <c r="B20" s="521" t="s">
        <v>1674</v>
      </c>
      <c r="C20" s="1882"/>
      <c r="D20" s="1602">
        <f t="shared" si="4"/>
        <v>0</v>
      </c>
      <c r="E20" s="1616"/>
      <c r="F20" s="1616">
        <v>0</v>
      </c>
      <c r="G20" s="1602">
        <f t="shared" si="7"/>
        <v>0</v>
      </c>
      <c r="H20" s="1616">
        <f>E20</f>
        <v>0</v>
      </c>
      <c r="I20" s="1616">
        <v>0</v>
      </c>
      <c r="J20" s="1602">
        <f t="shared" si="8"/>
        <v>0</v>
      </c>
      <c r="K20" s="1616"/>
      <c r="L20" s="1616"/>
      <c r="M20" s="1604">
        <f t="shared" si="2"/>
        <v>0</v>
      </c>
      <c r="N20" s="1881">
        <f t="shared" si="2"/>
        <v>0</v>
      </c>
      <c r="O20" s="1881">
        <f t="shared" si="2"/>
        <v>0</v>
      </c>
      <c r="P20" s="1593"/>
      <c r="Q20" s="1593"/>
      <c r="R20" s="1602">
        <f t="shared" si="0"/>
        <v>0</v>
      </c>
      <c r="S20" s="1616">
        <v>0</v>
      </c>
      <c r="T20" s="1616">
        <v>0</v>
      </c>
      <c r="U20" s="1602">
        <f t="shared" si="1"/>
        <v>0</v>
      </c>
      <c r="V20" s="1616">
        <v>0</v>
      </c>
      <c r="W20" s="1616">
        <v>0</v>
      </c>
      <c r="X20" s="1423">
        <f t="shared" si="3"/>
        <v>0</v>
      </c>
      <c r="Y20" s="725"/>
      <c r="AA20" s="725"/>
    </row>
    <row r="21" spans="1:27" s="1607" customFormat="1" ht="19.5" hidden="1" customHeight="1">
      <c r="A21" s="2041"/>
      <c r="B21" s="2040" t="s">
        <v>709</v>
      </c>
      <c r="C21" s="2042"/>
      <c r="D21" s="1602">
        <f t="shared" si="4"/>
        <v>0</v>
      </c>
      <c r="E21" s="1603">
        <f>SUM(E22:E23)</f>
        <v>0</v>
      </c>
      <c r="F21" s="1603">
        <f>SUM(F22:F23)</f>
        <v>0</v>
      </c>
      <c r="G21" s="1602">
        <f t="shared" si="7"/>
        <v>0</v>
      </c>
      <c r="H21" s="1603">
        <f t="shared" ref="H21:H78" si="10">E21</f>
        <v>0</v>
      </c>
      <c r="I21" s="1603">
        <f t="shared" ref="I21:I78" si="11">F21</f>
        <v>0</v>
      </c>
      <c r="J21" s="1602">
        <f t="shared" si="8"/>
        <v>0</v>
      </c>
      <c r="K21" s="1603">
        <f>SUM(K22:K23)</f>
        <v>0</v>
      </c>
      <c r="L21" s="1603">
        <f>SUM(L22:L23)</f>
        <v>0</v>
      </c>
      <c r="M21" s="1601">
        <f t="shared" si="2"/>
        <v>0</v>
      </c>
      <c r="N21" s="1601">
        <f t="shared" si="2"/>
        <v>0</v>
      </c>
      <c r="O21" s="1601">
        <f t="shared" si="2"/>
        <v>0</v>
      </c>
      <c r="P21" s="1593" t="s">
        <v>353</v>
      </c>
      <c r="Q21" s="1593" t="s">
        <v>353</v>
      </c>
      <c r="R21" s="1602">
        <f t="shared" si="0"/>
        <v>0</v>
      </c>
      <c r="S21" s="1603">
        <f>SUM(S22:S23)</f>
        <v>0</v>
      </c>
      <c r="T21" s="1603">
        <f>SUM(T22:T23)</f>
        <v>0</v>
      </c>
      <c r="U21" s="1602">
        <f t="shared" si="1"/>
        <v>0</v>
      </c>
      <c r="V21" s="1603">
        <f>SUM(V22:V23)</f>
        <v>0</v>
      </c>
      <c r="W21" s="1603">
        <f>SUM(W22:W23)</f>
        <v>0</v>
      </c>
      <c r="X21" s="1423">
        <f t="shared" si="3"/>
        <v>0</v>
      </c>
      <c r="Y21" s="725"/>
      <c r="AA21" s="725"/>
    </row>
    <row r="22" spans="1:27" s="1607" customFormat="1" ht="60" hidden="1" customHeight="1">
      <c r="A22" s="2041">
        <f>A20+1</f>
        <v>4</v>
      </c>
      <c r="B22" s="521" t="s">
        <v>1397</v>
      </c>
      <c r="C22" s="1882">
        <v>24368</v>
      </c>
      <c r="D22" s="1602">
        <f t="shared" si="4"/>
        <v>0</v>
      </c>
      <c r="E22" s="1616"/>
      <c r="F22" s="1616">
        <v>0</v>
      </c>
      <c r="G22" s="1602">
        <f t="shared" si="7"/>
        <v>0</v>
      </c>
      <c r="H22" s="1616">
        <f>E22</f>
        <v>0</v>
      </c>
      <c r="I22" s="1616">
        <f>F22</f>
        <v>0</v>
      </c>
      <c r="J22" s="1602">
        <f t="shared" si="8"/>
        <v>0</v>
      </c>
      <c r="K22" s="1616"/>
      <c r="L22" s="1616"/>
      <c r="M22" s="1604">
        <f t="shared" si="2"/>
        <v>0</v>
      </c>
      <c r="N22" s="1881">
        <f t="shared" si="2"/>
        <v>0</v>
      </c>
      <c r="O22" s="1881">
        <f t="shared" si="2"/>
        <v>0</v>
      </c>
      <c r="P22" s="1593" t="s">
        <v>1171</v>
      </c>
      <c r="Q22" s="1593" t="s">
        <v>1116</v>
      </c>
      <c r="R22" s="1600">
        <f t="shared" si="0"/>
        <v>0</v>
      </c>
      <c r="S22" s="1608">
        <v>0</v>
      </c>
      <c r="T22" s="1608">
        <v>0</v>
      </c>
      <c r="U22" s="1600">
        <f t="shared" si="1"/>
        <v>0</v>
      </c>
      <c r="V22" s="1608">
        <v>0</v>
      </c>
      <c r="W22" s="1608">
        <v>0</v>
      </c>
      <c r="X22" s="1423">
        <f t="shared" si="3"/>
        <v>0</v>
      </c>
      <c r="Y22" s="725"/>
      <c r="AA22" s="725"/>
    </row>
    <row r="23" spans="1:27" s="1607" customFormat="1" ht="42" hidden="1" customHeight="1">
      <c r="A23" s="2041">
        <f>A22+1</f>
        <v>5</v>
      </c>
      <c r="B23" s="1883" t="s">
        <v>1399</v>
      </c>
      <c r="C23" s="1882">
        <v>24368</v>
      </c>
      <c r="D23" s="1602">
        <f t="shared" si="4"/>
        <v>0</v>
      </c>
      <c r="E23" s="1616"/>
      <c r="F23" s="1616">
        <v>0</v>
      </c>
      <c r="G23" s="1602">
        <f t="shared" si="7"/>
        <v>0</v>
      </c>
      <c r="H23" s="1616">
        <f>E23</f>
        <v>0</v>
      </c>
      <c r="I23" s="1616">
        <f>F23</f>
        <v>0</v>
      </c>
      <c r="J23" s="1602">
        <f t="shared" si="8"/>
        <v>0</v>
      </c>
      <c r="K23" s="1616"/>
      <c r="L23" s="1616"/>
      <c r="M23" s="1604">
        <f t="shared" si="2"/>
        <v>0</v>
      </c>
      <c r="N23" s="1881">
        <f t="shared" si="2"/>
        <v>0</v>
      </c>
      <c r="O23" s="1881">
        <f t="shared" si="2"/>
        <v>0</v>
      </c>
      <c r="P23" s="1593" t="s">
        <v>1171</v>
      </c>
      <c r="Q23" s="1593" t="s">
        <v>1116</v>
      </c>
      <c r="R23" s="1600">
        <f t="shared" si="0"/>
        <v>0</v>
      </c>
      <c r="S23" s="1608">
        <v>0</v>
      </c>
      <c r="T23" s="1608">
        <v>0</v>
      </c>
      <c r="U23" s="1600">
        <v>0</v>
      </c>
      <c r="V23" s="1608">
        <v>0</v>
      </c>
      <c r="W23" s="1608">
        <v>0</v>
      </c>
      <c r="X23" s="1423">
        <f t="shared" si="3"/>
        <v>0</v>
      </c>
      <c r="Y23" s="725"/>
      <c r="AA23" s="725"/>
    </row>
    <row r="24" spans="1:27" s="1570" customFormat="1" ht="21" customHeight="1">
      <c r="A24" s="2041"/>
      <c r="B24" s="1884" t="s">
        <v>712</v>
      </c>
      <c r="C24" s="1880">
        <v>24366</v>
      </c>
      <c r="D24" s="1602">
        <f>SUM(E24:F24)</f>
        <v>168.1</v>
      </c>
      <c r="E24" s="1603">
        <f>SUM(E25:E28)</f>
        <v>0</v>
      </c>
      <c r="F24" s="1603">
        <f>SUM(F25:F28)</f>
        <v>168.1</v>
      </c>
      <c r="G24" s="1602">
        <f>SUM(H24:I24)</f>
        <v>168.1</v>
      </c>
      <c r="H24" s="1603">
        <f>SUM(H25:H28)</f>
        <v>0</v>
      </c>
      <c r="I24" s="1603">
        <f>SUM(I25:I28)</f>
        <v>168.1</v>
      </c>
      <c r="J24" s="1602">
        <f>SUM(K24:L24)</f>
        <v>167.4</v>
      </c>
      <c r="K24" s="1603">
        <f>SUM(K25:K28)</f>
        <v>0</v>
      </c>
      <c r="L24" s="1603">
        <f>SUM(L25:L28)</f>
        <v>167.4</v>
      </c>
      <c r="M24" s="1601">
        <f t="shared" si="2"/>
        <v>99.6</v>
      </c>
      <c r="N24" s="1601">
        <f t="shared" si="2"/>
        <v>0</v>
      </c>
      <c r="O24" s="1601">
        <f t="shared" si="2"/>
        <v>99.6</v>
      </c>
      <c r="P24" s="1593" t="s">
        <v>353</v>
      </c>
      <c r="Q24" s="1612" t="s">
        <v>353</v>
      </c>
      <c r="R24" s="1602">
        <f t="shared" si="0"/>
        <v>0</v>
      </c>
      <c r="S24" s="1603">
        <f>SUM(S25:S27)</f>
        <v>0</v>
      </c>
      <c r="T24" s="1603">
        <f>SUM(T25:T27)</f>
        <v>0</v>
      </c>
      <c r="U24" s="1602">
        <f t="shared" ref="U24:U61" si="12">SUM(V24:W24)</f>
        <v>0</v>
      </c>
      <c r="V24" s="1603">
        <f>SUM(V25:V27)</f>
        <v>0</v>
      </c>
      <c r="W24" s="1603">
        <f>SUM(W25:W27)</f>
        <v>0</v>
      </c>
      <c r="X24" s="1423">
        <f t="shared" si="3"/>
        <v>0</v>
      </c>
      <c r="Y24" s="725"/>
      <c r="AA24" s="725"/>
    </row>
    <row r="25" spans="1:27" s="1570" customFormat="1" ht="43.5" customHeight="1">
      <c r="A25" s="2041">
        <f>A18+1</f>
        <v>3</v>
      </c>
      <c r="B25" s="1885" t="s">
        <v>1568</v>
      </c>
      <c r="C25" s="1880"/>
      <c r="D25" s="1600">
        <f t="shared" si="4"/>
        <v>168.1</v>
      </c>
      <c r="E25" s="1614"/>
      <c r="F25" s="1614">
        <f>283.1-115</f>
        <v>168.1</v>
      </c>
      <c r="G25" s="1600">
        <f t="shared" si="7"/>
        <v>168.1</v>
      </c>
      <c r="H25" s="1608">
        <f t="shared" si="10"/>
        <v>0</v>
      </c>
      <c r="I25" s="1614">
        <f>283.1-115</f>
        <v>168.1</v>
      </c>
      <c r="J25" s="1600">
        <f t="shared" si="8"/>
        <v>167.4</v>
      </c>
      <c r="K25" s="1615"/>
      <c r="L25" s="1615">
        <v>167.4</v>
      </c>
      <c r="M25" s="1604">
        <f t="shared" si="2"/>
        <v>99.6</v>
      </c>
      <c r="N25" s="1881">
        <f t="shared" si="2"/>
        <v>0</v>
      </c>
      <c r="O25" s="1881">
        <f t="shared" si="2"/>
        <v>99.6</v>
      </c>
      <c r="P25" s="1593"/>
      <c r="Q25" s="1612"/>
      <c r="R25" s="1602">
        <f t="shared" si="0"/>
        <v>0</v>
      </c>
      <c r="S25" s="1615">
        <v>0</v>
      </c>
      <c r="T25" s="1615">
        <v>0</v>
      </c>
      <c r="U25" s="1602">
        <f t="shared" si="12"/>
        <v>0</v>
      </c>
      <c r="V25" s="1615">
        <v>0</v>
      </c>
      <c r="W25" s="1615">
        <v>0</v>
      </c>
      <c r="X25" s="1423">
        <f t="shared" si="3"/>
        <v>0</v>
      </c>
      <c r="Y25" s="725"/>
      <c r="AA25" s="725"/>
    </row>
    <row r="26" spans="1:27" s="1570" customFormat="1" ht="33.75" hidden="1" customHeight="1">
      <c r="A26" s="2077">
        <f>A25+1</f>
        <v>4</v>
      </c>
      <c r="B26" s="1885" t="s">
        <v>1801</v>
      </c>
      <c r="C26" s="1880"/>
      <c r="D26" s="1600">
        <f>SUM(E26:F26)</f>
        <v>0</v>
      </c>
      <c r="E26" s="1614"/>
      <c r="F26" s="1614">
        <v>0</v>
      </c>
      <c r="G26" s="1600">
        <f>SUM(H26:I26)</f>
        <v>0</v>
      </c>
      <c r="H26" s="1608">
        <f>E26</f>
        <v>0</v>
      </c>
      <c r="I26" s="1608">
        <v>0</v>
      </c>
      <c r="J26" s="1600">
        <f>SUM(K26:L26)</f>
        <v>0</v>
      </c>
      <c r="K26" s="1615"/>
      <c r="L26" s="1615"/>
      <c r="M26" s="1604">
        <f t="shared" si="2"/>
        <v>0</v>
      </c>
      <c r="N26" s="1881">
        <f>IF(K26=0,0,K26/H26*100)</f>
        <v>0</v>
      </c>
      <c r="O26" s="1881">
        <f>IF(L26=0,0,L26/I26*100)</f>
        <v>0</v>
      </c>
      <c r="P26" s="1593"/>
      <c r="Q26" s="1612"/>
      <c r="R26" s="1602"/>
      <c r="S26" s="1615"/>
      <c r="T26" s="1615"/>
      <c r="U26" s="1602"/>
      <c r="V26" s="1615"/>
      <c r="W26" s="1615"/>
      <c r="X26" s="1423"/>
      <c r="Y26" s="725"/>
      <c r="AA26" s="725"/>
    </row>
    <row r="27" spans="1:27" ht="59.25" hidden="1" customHeight="1">
      <c r="A27" s="2041"/>
      <c r="B27" s="1885" t="s">
        <v>1713</v>
      </c>
      <c r="C27" s="2016">
        <v>1500</v>
      </c>
      <c r="D27" s="1600">
        <f>SUM(E27:F27)</f>
        <v>0</v>
      </c>
      <c r="E27" s="1614"/>
      <c r="F27" s="1614">
        <v>0</v>
      </c>
      <c r="G27" s="1600">
        <f>SUM(H27:I27)</f>
        <v>0</v>
      </c>
      <c r="H27" s="1608">
        <f t="shared" si="10"/>
        <v>0</v>
      </c>
      <c r="I27" s="1608">
        <f t="shared" si="11"/>
        <v>0</v>
      </c>
      <c r="J27" s="1600">
        <f t="shared" si="8"/>
        <v>0</v>
      </c>
      <c r="K27" s="1615"/>
      <c r="L27" s="1615"/>
      <c r="M27" s="1604">
        <f t="shared" si="2"/>
        <v>0</v>
      </c>
      <c r="N27" s="1881">
        <f t="shared" si="2"/>
        <v>0</v>
      </c>
      <c r="O27" s="1881">
        <f t="shared" si="2"/>
        <v>0</v>
      </c>
      <c r="P27" s="1593" t="s">
        <v>1171</v>
      </c>
      <c r="Q27" s="1593" t="s">
        <v>1111</v>
      </c>
      <c r="R27" s="1600">
        <f t="shared" si="0"/>
        <v>0</v>
      </c>
      <c r="S27" s="1614">
        <v>0</v>
      </c>
      <c r="T27" s="1614">
        <v>0</v>
      </c>
      <c r="U27" s="1600">
        <f t="shared" si="12"/>
        <v>0</v>
      </c>
      <c r="V27" s="1614">
        <v>0</v>
      </c>
      <c r="W27" s="1614">
        <v>0</v>
      </c>
      <c r="X27" s="1423">
        <f t="shared" si="3"/>
        <v>0</v>
      </c>
      <c r="Y27" s="725"/>
      <c r="AA27" s="725"/>
    </row>
    <row r="28" spans="1:27" ht="63.75" hidden="1" customHeight="1">
      <c r="A28" s="2041"/>
      <c r="B28" s="1879" t="s">
        <v>1714</v>
      </c>
      <c r="C28" s="2016">
        <v>4200</v>
      </c>
      <c r="D28" s="1600">
        <f>SUM(E28:F28)</f>
        <v>0</v>
      </c>
      <c r="E28" s="1614"/>
      <c r="F28" s="1614">
        <v>0</v>
      </c>
      <c r="G28" s="1600">
        <f>SUM(H28:I28)</f>
        <v>0</v>
      </c>
      <c r="H28" s="1608">
        <f t="shared" si="10"/>
        <v>0</v>
      </c>
      <c r="I28" s="1608">
        <f t="shared" si="11"/>
        <v>0</v>
      </c>
      <c r="J28" s="1600"/>
      <c r="K28" s="1615"/>
      <c r="L28" s="1615"/>
      <c r="M28" s="1604">
        <f t="shared" si="2"/>
        <v>0</v>
      </c>
      <c r="N28" s="1881">
        <f t="shared" si="2"/>
        <v>0</v>
      </c>
      <c r="O28" s="1881">
        <f t="shared" si="2"/>
        <v>0</v>
      </c>
      <c r="P28" s="1593"/>
      <c r="Q28" s="1593"/>
      <c r="R28" s="1600"/>
      <c r="S28" s="1614"/>
      <c r="T28" s="1614"/>
      <c r="U28" s="1600"/>
      <c r="V28" s="1614"/>
      <c r="W28" s="1614"/>
      <c r="X28" s="1423">
        <f t="shared" si="3"/>
        <v>0</v>
      </c>
      <c r="Y28" s="725"/>
      <c r="AA28" s="725"/>
    </row>
    <row r="29" spans="1:27" s="1570" customFormat="1" ht="23.25">
      <c r="A29" s="2041"/>
      <c r="B29" s="1884" t="s">
        <v>1406</v>
      </c>
      <c r="C29" s="2041" t="s">
        <v>1538</v>
      </c>
      <c r="D29" s="1602">
        <f t="shared" si="4"/>
        <v>5580.7</v>
      </c>
      <c r="E29" s="1603">
        <f>E30</f>
        <v>0</v>
      </c>
      <c r="F29" s="1603">
        <f>F30</f>
        <v>5580.7</v>
      </c>
      <c r="G29" s="1602">
        <f t="shared" si="7"/>
        <v>5580.7</v>
      </c>
      <c r="H29" s="1603">
        <f t="shared" si="10"/>
        <v>0</v>
      </c>
      <c r="I29" s="1603">
        <f t="shared" si="11"/>
        <v>5580.7</v>
      </c>
      <c r="J29" s="1602">
        <f t="shared" si="8"/>
        <v>0</v>
      </c>
      <c r="K29" s="1603">
        <f>K30</f>
        <v>0</v>
      </c>
      <c r="L29" s="1603">
        <f>L30</f>
        <v>0</v>
      </c>
      <c r="M29" s="1601">
        <f t="shared" si="2"/>
        <v>0</v>
      </c>
      <c r="N29" s="1601">
        <f t="shared" si="2"/>
        <v>0</v>
      </c>
      <c r="O29" s="1601">
        <f t="shared" si="2"/>
        <v>0</v>
      </c>
      <c r="P29" s="1593" t="s">
        <v>353</v>
      </c>
      <c r="Q29" s="1612" t="s">
        <v>353</v>
      </c>
      <c r="R29" s="1602">
        <f t="shared" si="0"/>
        <v>0</v>
      </c>
      <c r="S29" s="1603">
        <f>S30</f>
        <v>0</v>
      </c>
      <c r="T29" s="1603">
        <f>T30</f>
        <v>0</v>
      </c>
      <c r="U29" s="1602">
        <f t="shared" si="12"/>
        <v>0</v>
      </c>
      <c r="V29" s="1603">
        <f>V30</f>
        <v>0</v>
      </c>
      <c r="W29" s="1603">
        <f>W30</f>
        <v>0</v>
      </c>
      <c r="X29" s="1423">
        <f t="shared" si="3"/>
        <v>0</v>
      </c>
      <c r="Y29" s="725"/>
      <c r="AA29" s="725"/>
    </row>
    <row r="30" spans="1:27" ht="38.25" customHeight="1">
      <c r="A30" s="2041">
        <f>A25+1</f>
        <v>4</v>
      </c>
      <c r="B30" s="1886" t="s">
        <v>1407</v>
      </c>
      <c r="C30" s="2041" t="s">
        <v>1538</v>
      </c>
      <c r="D30" s="1602">
        <f t="shared" si="4"/>
        <v>5580.7</v>
      </c>
      <c r="E30" s="1615"/>
      <c r="F30" s="1615">
        <f>18602.2-13021.5</f>
        <v>5580.7</v>
      </c>
      <c r="G30" s="1602">
        <f t="shared" si="7"/>
        <v>5580.7</v>
      </c>
      <c r="H30" s="1616">
        <f>E30</f>
        <v>0</v>
      </c>
      <c r="I30" s="1616">
        <f>F30</f>
        <v>5580.7</v>
      </c>
      <c r="J30" s="1602">
        <f t="shared" si="8"/>
        <v>0</v>
      </c>
      <c r="K30" s="1615"/>
      <c r="L30" s="1615"/>
      <c r="M30" s="1604">
        <f t="shared" si="2"/>
        <v>0</v>
      </c>
      <c r="N30" s="1881">
        <f t="shared" si="2"/>
        <v>0</v>
      </c>
      <c r="O30" s="1881">
        <f t="shared" si="2"/>
        <v>0</v>
      </c>
      <c r="P30" s="1593" t="s">
        <v>1171</v>
      </c>
      <c r="Q30" s="1593" t="s">
        <v>1111</v>
      </c>
      <c r="R30" s="1600">
        <f t="shared" si="0"/>
        <v>0</v>
      </c>
      <c r="S30" s="1614">
        <v>0</v>
      </c>
      <c r="T30" s="1614">
        <v>0</v>
      </c>
      <c r="U30" s="1600">
        <f t="shared" si="12"/>
        <v>0</v>
      </c>
      <c r="V30" s="1614">
        <v>0</v>
      </c>
      <c r="W30" s="1614">
        <v>0</v>
      </c>
      <c r="X30" s="1423">
        <f t="shared" si="3"/>
        <v>0</v>
      </c>
      <c r="Y30" s="725"/>
      <c r="AA30" s="725"/>
    </row>
    <row r="31" spans="1:27" s="1607" customFormat="1" ht="23.25" hidden="1" customHeight="1">
      <c r="A31" s="2041"/>
      <c r="B31" s="2040" t="s">
        <v>46</v>
      </c>
      <c r="C31" s="1882">
        <v>24347</v>
      </c>
      <c r="D31" s="1602">
        <f t="shared" si="4"/>
        <v>0</v>
      </c>
      <c r="E31" s="1603">
        <f>E32</f>
        <v>0</v>
      </c>
      <c r="F31" s="1603">
        <f>F32</f>
        <v>0</v>
      </c>
      <c r="G31" s="1602">
        <f t="shared" si="7"/>
        <v>0</v>
      </c>
      <c r="H31" s="1603">
        <f t="shared" si="10"/>
        <v>0</v>
      </c>
      <c r="I31" s="1603">
        <f t="shared" si="11"/>
        <v>0</v>
      </c>
      <c r="J31" s="1602">
        <f t="shared" si="8"/>
        <v>0</v>
      </c>
      <c r="K31" s="1603">
        <f>K32</f>
        <v>0</v>
      </c>
      <c r="L31" s="1603">
        <f>L32</f>
        <v>0</v>
      </c>
      <c r="M31" s="1604">
        <f t="shared" si="2"/>
        <v>0</v>
      </c>
      <c r="N31" s="1881">
        <f t="shared" si="2"/>
        <v>0</v>
      </c>
      <c r="O31" s="1881">
        <f t="shared" si="2"/>
        <v>0</v>
      </c>
      <c r="P31" s="1593" t="s">
        <v>353</v>
      </c>
      <c r="Q31" s="1593" t="s">
        <v>353</v>
      </c>
      <c r="R31" s="1602">
        <f t="shared" si="0"/>
        <v>0</v>
      </c>
      <c r="S31" s="1603">
        <f>S32</f>
        <v>0</v>
      </c>
      <c r="T31" s="1603">
        <f>T32</f>
        <v>0</v>
      </c>
      <c r="U31" s="1602">
        <f t="shared" si="12"/>
        <v>0</v>
      </c>
      <c r="V31" s="1603">
        <f>V32</f>
        <v>0</v>
      </c>
      <c r="W31" s="1603">
        <f>W32</f>
        <v>0</v>
      </c>
      <c r="X31" s="1423">
        <f t="shared" si="3"/>
        <v>0</v>
      </c>
      <c r="Y31" s="725"/>
      <c r="AA31" s="725"/>
    </row>
    <row r="32" spans="1:27" s="1607" customFormat="1" ht="81.75" hidden="1" customHeight="1">
      <c r="A32" s="2041">
        <f>A30+1</f>
        <v>5</v>
      </c>
      <c r="B32" s="521" t="s">
        <v>1517</v>
      </c>
      <c r="C32" s="1882">
        <v>24347</v>
      </c>
      <c r="D32" s="1602">
        <f t="shared" si="4"/>
        <v>0</v>
      </c>
      <c r="E32" s="1616"/>
      <c r="F32" s="1616">
        <v>0</v>
      </c>
      <c r="G32" s="1602">
        <f t="shared" si="7"/>
        <v>0</v>
      </c>
      <c r="H32" s="1616">
        <f>E32</f>
        <v>0</v>
      </c>
      <c r="I32" s="1616">
        <v>0</v>
      </c>
      <c r="J32" s="1602">
        <f t="shared" si="8"/>
        <v>0</v>
      </c>
      <c r="K32" s="1616"/>
      <c r="L32" s="1616"/>
      <c r="M32" s="1604">
        <f t="shared" si="2"/>
        <v>0</v>
      </c>
      <c r="N32" s="1881">
        <f t="shared" si="2"/>
        <v>0</v>
      </c>
      <c r="O32" s="1881">
        <f t="shared" si="2"/>
        <v>0</v>
      </c>
      <c r="P32" s="1593" t="s">
        <v>1184</v>
      </c>
      <c r="Q32" s="1593" t="s">
        <v>1136</v>
      </c>
      <c r="R32" s="1600">
        <f t="shared" si="0"/>
        <v>0</v>
      </c>
      <c r="S32" s="1608">
        <v>0</v>
      </c>
      <c r="T32" s="1608">
        <v>0</v>
      </c>
      <c r="U32" s="1600">
        <f t="shared" si="12"/>
        <v>0</v>
      </c>
      <c r="V32" s="1608">
        <v>0</v>
      </c>
      <c r="W32" s="1608">
        <v>0</v>
      </c>
      <c r="X32" s="1423">
        <f t="shared" si="3"/>
        <v>0</v>
      </c>
      <c r="Y32" s="725"/>
      <c r="AA32" s="725"/>
    </row>
    <row r="33" spans="1:27" s="1570" customFormat="1" ht="24.75" customHeight="1">
      <c r="A33" s="2041"/>
      <c r="B33" s="1884" t="s">
        <v>583</v>
      </c>
      <c r="C33" s="2041">
        <v>24366</v>
      </c>
      <c r="D33" s="1602">
        <f t="shared" si="4"/>
        <v>8774</v>
      </c>
      <c r="E33" s="1603">
        <f>E34+E35</f>
        <v>0</v>
      </c>
      <c r="F33" s="1603">
        <f>F34+F35</f>
        <v>8774</v>
      </c>
      <c r="G33" s="1602">
        <f t="shared" si="7"/>
        <v>8774</v>
      </c>
      <c r="H33" s="1603">
        <f t="shared" si="10"/>
        <v>0</v>
      </c>
      <c r="I33" s="1603">
        <f t="shared" si="11"/>
        <v>8774</v>
      </c>
      <c r="J33" s="1602">
        <f>SUM(K33:L33)</f>
        <v>7497.1</v>
      </c>
      <c r="K33" s="1603">
        <f>K34+K35</f>
        <v>0</v>
      </c>
      <c r="L33" s="1603">
        <f>L34+L35</f>
        <v>7497.1</v>
      </c>
      <c r="M33" s="1604">
        <f t="shared" si="2"/>
        <v>85.4</v>
      </c>
      <c r="N33" s="1604">
        <f t="shared" si="2"/>
        <v>0</v>
      </c>
      <c r="O33" s="1604">
        <f t="shared" si="2"/>
        <v>85.4</v>
      </c>
      <c r="P33" s="1593" t="s">
        <v>353</v>
      </c>
      <c r="Q33" s="1612" t="s">
        <v>353</v>
      </c>
      <c r="R33" s="1602">
        <f t="shared" si="0"/>
        <v>0</v>
      </c>
      <c r="S33" s="1603">
        <f>S34</f>
        <v>0</v>
      </c>
      <c r="T33" s="1603">
        <f>T34</f>
        <v>0</v>
      </c>
      <c r="U33" s="1602">
        <f t="shared" si="12"/>
        <v>0</v>
      </c>
      <c r="V33" s="1603">
        <f>V34</f>
        <v>0</v>
      </c>
      <c r="W33" s="1603">
        <f>W34</f>
        <v>0</v>
      </c>
      <c r="X33" s="1423">
        <f t="shared" si="3"/>
        <v>0</v>
      </c>
      <c r="Y33" s="725"/>
      <c r="AA33" s="725"/>
    </row>
    <row r="34" spans="1:27" ht="42.75" hidden="1" customHeight="1">
      <c r="A34" s="2041">
        <f>A30+1</f>
        <v>5</v>
      </c>
      <c r="B34" s="1887" t="s">
        <v>1403</v>
      </c>
      <c r="C34" s="2041">
        <v>24366</v>
      </c>
      <c r="D34" s="1602">
        <f t="shared" si="4"/>
        <v>0</v>
      </c>
      <c r="E34" s="1615"/>
      <c r="F34" s="1615">
        <v>0</v>
      </c>
      <c r="G34" s="1602">
        <f t="shared" si="7"/>
        <v>0</v>
      </c>
      <c r="H34" s="1616">
        <f t="shared" si="10"/>
        <v>0</v>
      </c>
      <c r="I34" s="1616">
        <f t="shared" si="11"/>
        <v>0</v>
      </c>
      <c r="J34" s="1602">
        <f t="shared" si="8"/>
        <v>0</v>
      </c>
      <c r="K34" s="1615"/>
      <c r="L34" s="1615"/>
      <c r="M34" s="1604">
        <f t="shared" si="2"/>
        <v>0</v>
      </c>
      <c r="N34" s="1881">
        <f t="shared" si="2"/>
        <v>0</v>
      </c>
      <c r="O34" s="1881">
        <f t="shared" si="2"/>
        <v>0</v>
      </c>
      <c r="P34" s="1593" t="s">
        <v>1171</v>
      </c>
      <c r="Q34" s="1593" t="s">
        <v>1111</v>
      </c>
      <c r="R34" s="1600">
        <f t="shared" si="0"/>
        <v>0</v>
      </c>
      <c r="S34" s="1614">
        <v>0</v>
      </c>
      <c r="T34" s="1614">
        <v>0</v>
      </c>
      <c r="U34" s="1600">
        <f t="shared" si="12"/>
        <v>0</v>
      </c>
      <c r="V34" s="1614">
        <v>0</v>
      </c>
      <c r="W34" s="1614">
        <v>0</v>
      </c>
      <c r="X34" s="1423">
        <f t="shared" si="3"/>
        <v>0</v>
      </c>
      <c r="Y34" s="725"/>
      <c r="AA34" s="725"/>
    </row>
    <row r="35" spans="1:27" ht="77.25" customHeight="1">
      <c r="A35" s="2041">
        <f>A30+1</f>
        <v>5</v>
      </c>
      <c r="B35" s="1919" t="s">
        <v>434</v>
      </c>
      <c r="C35" s="1877"/>
      <c r="D35" s="1602">
        <f>SUM(E35:F35)</f>
        <v>8774</v>
      </c>
      <c r="E35" s="1616"/>
      <c r="F35" s="1616">
        <v>8774</v>
      </c>
      <c r="G35" s="1602">
        <f>SUM(H35:I35)</f>
        <v>8774</v>
      </c>
      <c r="H35" s="1616">
        <f t="shared" si="10"/>
        <v>0</v>
      </c>
      <c r="I35" s="1616">
        <f t="shared" si="11"/>
        <v>8774</v>
      </c>
      <c r="J35" s="1602">
        <f>SUM(K35:L35)</f>
        <v>7497.1</v>
      </c>
      <c r="K35" s="1616"/>
      <c r="L35" s="1616">
        <v>7497.1</v>
      </c>
      <c r="M35" s="1604">
        <f t="shared" si="2"/>
        <v>85.4</v>
      </c>
      <c r="N35" s="1881">
        <f t="shared" si="2"/>
        <v>0</v>
      </c>
      <c r="O35" s="1881">
        <f t="shared" si="2"/>
        <v>85.4</v>
      </c>
      <c r="P35" s="1593"/>
      <c r="Q35" s="1593"/>
      <c r="R35" s="1600"/>
      <c r="S35" s="1614"/>
      <c r="T35" s="1614"/>
      <c r="U35" s="1600"/>
      <c r="V35" s="1614"/>
      <c r="W35" s="1614"/>
      <c r="X35" s="1423"/>
      <c r="Y35" s="725"/>
      <c r="AA35" s="725"/>
    </row>
    <row r="36" spans="1:27" ht="21.75" customHeight="1">
      <c r="A36" s="2041"/>
      <c r="B36" s="2040" t="s">
        <v>68</v>
      </c>
      <c r="C36" s="2041">
        <v>24366</v>
      </c>
      <c r="D36" s="1602">
        <f t="shared" si="4"/>
        <v>9964.2000000000007</v>
      </c>
      <c r="E36" s="1603">
        <f>SUM(E37:E40)</f>
        <v>0</v>
      </c>
      <c r="F36" s="1603">
        <f>SUM(F37:F40)</f>
        <v>9964.2000000000007</v>
      </c>
      <c r="G36" s="1602">
        <f>SUM(H36:I36)</f>
        <v>9964.2000000000007</v>
      </c>
      <c r="H36" s="1603">
        <f>SUM(H37:H40)</f>
        <v>0</v>
      </c>
      <c r="I36" s="1603">
        <f>SUM(I37:I40)</f>
        <v>9964.2000000000007</v>
      </c>
      <c r="J36" s="1602">
        <f t="shared" si="8"/>
        <v>9964.2000000000007</v>
      </c>
      <c r="K36" s="1603">
        <f>SUM(K37:K40)</f>
        <v>0</v>
      </c>
      <c r="L36" s="1603">
        <f>SUM(L37:L40)</f>
        <v>9964.2000000000007</v>
      </c>
      <c r="M36" s="1601">
        <f t="shared" si="2"/>
        <v>100</v>
      </c>
      <c r="N36" s="1601">
        <f t="shared" si="2"/>
        <v>0</v>
      </c>
      <c r="O36" s="1601">
        <f t="shared" si="2"/>
        <v>100</v>
      </c>
      <c r="P36" s="1601">
        <f>SUM(P37:P40)</f>
        <v>0</v>
      </c>
      <c r="Q36" s="1601">
        <f>SUM(Q37:Q40)</f>
        <v>0</v>
      </c>
      <c r="R36" s="1602">
        <f t="shared" si="0"/>
        <v>8734.5</v>
      </c>
      <c r="S36" s="1603">
        <f>SUM(S37:S40)</f>
        <v>0</v>
      </c>
      <c r="T36" s="1603">
        <f>SUM(T37:T40)</f>
        <v>8734.5</v>
      </c>
      <c r="U36" s="1602">
        <f t="shared" si="12"/>
        <v>0</v>
      </c>
      <c r="V36" s="1603">
        <f>SUM(V37:V40)</f>
        <v>0</v>
      </c>
      <c r="W36" s="1603">
        <f>SUM(W37:W40)</f>
        <v>0</v>
      </c>
      <c r="X36" s="1423">
        <f t="shared" si="3"/>
        <v>0</v>
      </c>
      <c r="Y36" s="725"/>
      <c r="AA36" s="725"/>
    </row>
    <row r="37" spans="1:27" ht="137.25" customHeight="1">
      <c r="A37" s="2041">
        <f>A35+1</f>
        <v>6</v>
      </c>
      <c r="B37" s="1888" t="s">
        <v>1553</v>
      </c>
      <c r="C37" s="2041"/>
      <c r="D37" s="1602">
        <f t="shared" si="4"/>
        <v>4000</v>
      </c>
      <c r="E37" s="1616"/>
      <c r="F37" s="1616">
        <v>4000</v>
      </c>
      <c r="G37" s="1602">
        <f t="shared" si="7"/>
        <v>4000</v>
      </c>
      <c r="H37" s="1616">
        <f t="shared" si="10"/>
        <v>0</v>
      </c>
      <c r="I37" s="1616">
        <f t="shared" si="11"/>
        <v>4000</v>
      </c>
      <c r="J37" s="1602">
        <f t="shared" si="8"/>
        <v>4000</v>
      </c>
      <c r="K37" s="1616"/>
      <c r="L37" s="1616">
        <v>4000</v>
      </c>
      <c r="M37" s="1604">
        <f t="shared" si="2"/>
        <v>100</v>
      </c>
      <c r="N37" s="1881">
        <f t="shared" si="2"/>
        <v>0</v>
      </c>
      <c r="O37" s="1881">
        <f t="shared" si="2"/>
        <v>100</v>
      </c>
      <c r="P37" s="1593"/>
      <c r="Q37" s="1593"/>
      <c r="R37" s="1600">
        <f t="shared" si="0"/>
        <v>0</v>
      </c>
      <c r="S37" s="1865">
        <v>0</v>
      </c>
      <c r="T37" s="1865">
        <v>0</v>
      </c>
      <c r="U37" s="1600">
        <f t="shared" si="12"/>
        <v>0</v>
      </c>
      <c r="V37" s="1865">
        <v>0</v>
      </c>
      <c r="W37" s="1865">
        <v>0</v>
      </c>
      <c r="X37" s="1423">
        <f t="shared" si="3"/>
        <v>0</v>
      </c>
      <c r="Y37" s="725"/>
      <c r="AA37" s="725"/>
    </row>
    <row r="38" spans="1:27" ht="118.5" customHeight="1">
      <c r="A38" s="2041">
        <f>A37+1</f>
        <v>7</v>
      </c>
      <c r="B38" s="1889" t="s">
        <v>1552</v>
      </c>
      <c r="C38" s="2041"/>
      <c r="D38" s="1602">
        <f t="shared" si="4"/>
        <v>2400</v>
      </c>
      <c r="E38" s="1616"/>
      <c r="F38" s="1616">
        <v>2400</v>
      </c>
      <c r="G38" s="1602">
        <f t="shared" si="7"/>
        <v>2400</v>
      </c>
      <c r="H38" s="1616">
        <f t="shared" si="10"/>
        <v>0</v>
      </c>
      <c r="I38" s="1616">
        <f t="shared" si="11"/>
        <v>2400</v>
      </c>
      <c r="J38" s="1602">
        <f t="shared" si="8"/>
        <v>2400</v>
      </c>
      <c r="K38" s="1616"/>
      <c r="L38" s="1616">
        <v>2400</v>
      </c>
      <c r="M38" s="1604">
        <f t="shared" si="2"/>
        <v>100</v>
      </c>
      <c r="N38" s="1881">
        <f t="shared" si="2"/>
        <v>0</v>
      </c>
      <c r="O38" s="1881">
        <f t="shared" si="2"/>
        <v>100</v>
      </c>
      <c r="P38" s="1593"/>
      <c r="Q38" s="1593"/>
      <c r="R38" s="1600">
        <f t="shared" si="0"/>
        <v>0</v>
      </c>
      <c r="S38" s="1865">
        <v>0</v>
      </c>
      <c r="T38" s="1865">
        <v>0</v>
      </c>
      <c r="U38" s="1600">
        <f t="shared" si="12"/>
        <v>0</v>
      </c>
      <c r="V38" s="1865">
        <v>0</v>
      </c>
      <c r="W38" s="1865">
        <v>0</v>
      </c>
      <c r="X38" s="1423">
        <f t="shared" si="3"/>
        <v>0</v>
      </c>
      <c r="Y38" s="725"/>
      <c r="AA38" s="725"/>
    </row>
    <row r="39" spans="1:27" ht="60.75" customHeight="1">
      <c r="A39" s="2041">
        <f>A38+1</f>
        <v>8</v>
      </c>
      <c r="B39" s="1888" t="s">
        <v>1561</v>
      </c>
      <c r="C39" s="2041"/>
      <c r="D39" s="1602">
        <f t="shared" si="4"/>
        <v>3564.2</v>
      </c>
      <c r="E39" s="1616"/>
      <c r="F39" s="1616">
        <v>3564.2</v>
      </c>
      <c r="G39" s="1602">
        <f t="shared" si="7"/>
        <v>3564.2</v>
      </c>
      <c r="H39" s="1616">
        <f t="shared" si="10"/>
        <v>0</v>
      </c>
      <c r="I39" s="1616">
        <f t="shared" si="11"/>
        <v>3564.2</v>
      </c>
      <c r="J39" s="1602">
        <f t="shared" si="8"/>
        <v>3564.2</v>
      </c>
      <c r="K39" s="1616"/>
      <c r="L39" s="1616">
        <v>3564.2</v>
      </c>
      <c r="M39" s="1604">
        <f t="shared" si="2"/>
        <v>100</v>
      </c>
      <c r="N39" s="1881">
        <f t="shared" si="2"/>
        <v>0</v>
      </c>
      <c r="O39" s="1881">
        <f t="shared" si="2"/>
        <v>100</v>
      </c>
      <c r="P39" s="1593"/>
      <c r="Q39" s="1593"/>
      <c r="R39" s="1600">
        <f t="shared" si="0"/>
        <v>0</v>
      </c>
      <c r="S39" s="1865">
        <v>0</v>
      </c>
      <c r="T39" s="1865">
        <v>0</v>
      </c>
      <c r="U39" s="1600">
        <f t="shared" si="12"/>
        <v>0</v>
      </c>
      <c r="V39" s="1865">
        <v>0</v>
      </c>
      <c r="W39" s="1865">
        <v>0</v>
      </c>
      <c r="X39" s="1423">
        <f t="shared" si="3"/>
        <v>0</v>
      </c>
      <c r="Y39" s="725"/>
      <c r="AA39" s="725"/>
    </row>
    <row r="40" spans="1:27" ht="47.25" hidden="1" customHeight="1">
      <c r="A40" s="2041">
        <f>A39+1</f>
        <v>9</v>
      </c>
      <c r="B40" s="1890" t="s">
        <v>1651</v>
      </c>
      <c r="C40" s="2041">
        <v>24366</v>
      </c>
      <c r="D40" s="1602">
        <f t="shared" si="4"/>
        <v>0</v>
      </c>
      <c r="E40" s="1616"/>
      <c r="F40" s="1616">
        <v>0</v>
      </c>
      <c r="G40" s="1602">
        <f t="shared" si="7"/>
        <v>0</v>
      </c>
      <c r="H40" s="1616">
        <f t="shared" si="10"/>
        <v>0</v>
      </c>
      <c r="I40" s="1616">
        <f t="shared" si="11"/>
        <v>0</v>
      </c>
      <c r="J40" s="1602">
        <f t="shared" si="8"/>
        <v>0</v>
      </c>
      <c r="K40" s="1616"/>
      <c r="L40" s="1616"/>
      <c r="M40" s="1604">
        <f t="shared" si="2"/>
        <v>0</v>
      </c>
      <c r="N40" s="1881">
        <f t="shared" si="2"/>
        <v>0</v>
      </c>
      <c r="O40" s="1881">
        <f t="shared" si="2"/>
        <v>0</v>
      </c>
      <c r="P40" s="1593" t="s">
        <v>1176</v>
      </c>
      <c r="Q40" s="1593" t="s">
        <v>1125</v>
      </c>
      <c r="R40" s="1600">
        <f t="shared" si="0"/>
        <v>8734.5</v>
      </c>
      <c r="S40" s="1608">
        <v>0</v>
      </c>
      <c r="T40" s="1608">
        <v>8734.5</v>
      </c>
      <c r="U40" s="1600">
        <f t="shared" si="12"/>
        <v>0</v>
      </c>
      <c r="V40" s="1608">
        <v>0</v>
      </c>
      <c r="W40" s="1608">
        <v>0</v>
      </c>
      <c r="X40" s="1423">
        <f t="shared" si="3"/>
        <v>0</v>
      </c>
      <c r="Y40" s="725"/>
      <c r="AA40" s="725"/>
    </row>
    <row r="41" spans="1:27" s="1570" customFormat="1" ht="24.75" customHeight="1">
      <c r="A41" s="2041"/>
      <c r="B41" s="1884" t="s">
        <v>1408</v>
      </c>
      <c r="C41" s="1880" t="s">
        <v>1538</v>
      </c>
      <c r="D41" s="1602">
        <f t="shared" si="4"/>
        <v>1620.2</v>
      </c>
      <c r="E41" s="1603">
        <f>SUM(E42)</f>
        <v>0</v>
      </c>
      <c r="F41" s="1601">
        <f>SUM(F42)</f>
        <v>1620.2</v>
      </c>
      <c r="G41" s="1600">
        <f t="shared" si="7"/>
        <v>1620.2</v>
      </c>
      <c r="H41" s="1601">
        <f t="shared" si="10"/>
        <v>0</v>
      </c>
      <c r="I41" s="1601">
        <f t="shared" si="11"/>
        <v>1620.2</v>
      </c>
      <c r="J41" s="1600">
        <f t="shared" si="8"/>
        <v>1620.2</v>
      </c>
      <c r="K41" s="1603">
        <f>SUM(K42)</f>
        <v>0</v>
      </c>
      <c r="L41" s="1603">
        <f>SUM(L42)</f>
        <v>1620.2</v>
      </c>
      <c r="M41" s="1604">
        <f t="shared" si="2"/>
        <v>100</v>
      </c>
      <c r="N41" s="1604">
        <f t="shared" si="2"/>
        <v>0</v>
      </c>
      <c r="O41" s="1604">
        <f t="shared" si="2"/>
        <v>100</v>
      </c>
      <c r="P41" s="1593" t="s">
        <v>353</v>
      </c>
      <c r="Q41" s="1612" t="s">
        <v>353</v>
      </c>
      <c r="R41" s="1602">
        <f t="shared" si="0"/>
        <v>0</v>
      </c>
      <c r="S41" s="1603">
        <f>SUM(S42)</f>
        <v>0</v>
      </c>
      <c r="T41" s="1603">
        <f>SUM(T42)</f>
        <v>0</v>
      </c>
      <c r="U41" s="1602">
        <f t="shared" si="12"/>
        <v>0</v>
      </c>
      <c r="V41" s="1603">
        <f>SUM(V42)</f>
        <v>0</v>
      </c>
      <c r="W41" s="1603">
        <f>SUM(W42)</f>
        <v>0</v>
      </c>
      <c r="X41" s="1423">
        <f t="shared" si="3"/>
        <v>0</v>
      </c>
      <c r="Y41" s="725"/>
      <c r="AA41" s="725"/>
    </row>
    <row r="42" spans="1:27" ht="45" customHeight="1">
      <c r="A42" s="2041">
        <f>A39+1</f>
        <v>9</v>
      </c>
      <c r="B42" s="1886" t="s">
        <v>1409</v>
      </c>
      <c r="C42" s="1880" t="s">
        <v>1538</v>
      </c>
      <c r="D42" s="1602">
        <f t="shared" si="4"/>
        <v>1620.2</v>
      </c>
      <c r="E42" s="1615"/>
      <c r="F42" s="1614">
        <f>11495-8046.5-1828.3</f>
        <v>1620.2</v>
      </c>
      <c r="G42" s="1600">
        <f t="shared" si="7"/>
        <v>1620.2</v>
      </c>
      <c r="H42" s="1608">
        <f>E42</f>
        <v>0</v>
      </c>
      <c r="I42" s="1608">
        <f>F42</f>
        <v>1620.2</v>
      </c>
      <c r="J42" s="1600">
        <f t="shared" si="8"/>
        <v>1620.2</v>
      </c>
      <c r="K42" s="1615"/>
      <c r="L42" s="1615">
        <v>1620.2</v>
      </c>
      <c r="M42" s="1604">
        <f t="shared" si="2"/>
        <v>100</v>
      </c>
      <c r="N42" s="1881">
        <f t="shared" si="2"/>
        <v>0</v>
      </c>
      <c r="O42" s="1881">
        <f t="shared" si="2"/>
        <v>100</v>
      </c>
      <c r="P42" s="1593" t="s">
        <v>1171</v>
      </c>
      <c r="Q42" s="1593" t="s">
        <v>1111</v>
      </c>
      <c r="R42" s="1600">
        <f t="shared" si="0"/>
        <v>0</v>
      </c>
      <c r="S42" s="1614">
        <v>0</v>
      </c>
      <c r="T42" s="1614">
        <v>0</v>
      </c>
      <c r="U42" s="1600">
        <f t="shared" si="12"/>
        <v>0</v>
      </c>
      <c r="V42" s="1614">
        <v>0</v>
      </c>
      <c r="W42" s="1614">
        <v>0</v>
      </c>
      <c r="X42" s="1423">
        <f t="shared" si="3"/>
        <v>0</v>
      </c>
      <c r="Y42" s="725"/>
      <c r="AA42" s="725"/>
    </row>
    <row r="43" spans="1:27" ht="27" customHeight="1">
      <c r="A43" s="2041"/>
      <c r="B43" s="1891" t="s">
        <v>431</v>
      </c>
      <c r="C43" s="1880"/>
      <c r="D43" s="1602">
        <f>SUM(E43:F43)</f>
        <v>10633.3</v>
      </c>
      <c r="E43" s="1603">
        <f>SUM(E44:E46)</f>
        <v>0</v>
      </c>
      <c r="F43" s="1601">
        <f>SUM(F44:F46)</f>
        <v>10633.3</v>
      </c>
      <c r="G43" s="1600">
        <f t="shared" si="7"/>
        <v>10633.3</v>
      </c>
      <c r="H43" s="1601">
        <f t="shared" si="10"/>
        <v>0</v>
      </c>
      <c r="I43" s="1601">
        <f t="shared" si="11"/>
        <v>10633.3</v>
      </c>
      <c r="J43" s="1600">
        <f t="shared" si="8"/>
        <v>10633.3</v>
      </c>
      <c r="K43" s="1603">
        <f>SUM(K44:K46)</f>
        <v>0</v>
      </c>
      <c r="L43" s="1603">
        <f>SUM(L44:L46)</f>
        <v>10633.3</v>
      </c>
      <c r="M43" s="1601">
        <f t="shared" si="2"/>
        <v>100</v>
      </c>
      <c r="N43" s="1601">
        <f t="shared" si="2"/>
        <v>0</v>
      </c>
      <c r="O43" s="1601">
        <f t="shared" si="2"/>
        <v>100</v>
      </c>
      <c r="P43" s="1593"/>
      <c r="Q43" s="1593"/>
      <c r="R43" s="1602">
        <f t="shared" si="0"/>
        <v>12400</v>
      </c>
      <c r="S43" s="1603">
        <f>SUM(S44:S46)</f>
        <v>0</v>
      </c>
      <c r="T43" s="1603">
        <f>SUM(T44:T46)</f>
        <v>12400</v>
      </c>
      <c r="U43" s="1602">
        <f t="shared" si="12"/>
        <v>0</v>
      </c>
      <c r="V43" s="1603">
        <f>SUM(V44:V46)</f>
        <v>0</v>
      </c>
      <c r="W43" s="1603">
        <f>SUM(W44:W46)</f>
        <v>0</v>
      </c>
      <c r="X43" s="1423">
        <f t="shared" si="3"/>
        <v>0</v>
      </c>
      <c r="Y43" s="725"/>
      <c r="AA43" s="725"/>
    </row>
    <row r="44" spans="1:27" ht="38.25" hidden="1" customHeight="1">
      <c r="A44" s="2041">
        <f>A42+1</f>
        <v>10</v>
      </c>
      <c r="B44" s="1886" t="s">
        <v>1715</v>
      </c>
      <c r="C44" s="1880"/>
      <c r="D44" s="1602">
        <f>SUM(E44:F44)</f>
        <v>0</v>
      </c>
      <c r="E44" s="1603"/>
      <c r="F44" s="1865">
        <v>0</v>
      </c>
      <c r="G44" s="1600">
        <f>SUM(H44:I44)</f>
        <v>0</v>
      </c>
      <c r="H44" s="1608">
        <f t="shared" si="10"/>
        <v>0</v>
      </c>
      <c r="I44" s="1608">
        <v>0</v>
      </c>
      <c r="J44" s="1600">
        <f t="shared" si="8"/>
        <v>0</v>
      </c>
      <c r="K44" s="1615"/>
      <c r="L44" s="1615"/>
      <c r="M44" s="1604">
        <f t="shared" si="2"/>
        <v>0</v>
      </c>
      <c r="N44" s="1881">
        <f t="shared" si="2"/>
        <v>0</v>
      </c>
      <c r="O44" s="1881">
        <f t="shared" si="2"/>
        <v>0</v>
      </c>
      <c r="P44" s="1593"/>
      <c r="Q44" s="1593"/>
      <c r="R44" s="1602">
        <f t="shared" si="0"/>
        <v>12400</v>
      </c>
      <c r="S44" s="1614">
        <v>0</v>
      </c>
      <c r="T44" s="1614">
        <v>12400</v>
      </c>
      <c r="U44" s="1602">
        <f t="shared" si="12"/>
        <v>0</v>
      </c>
      <c r="V44" s="1614">
        <v>0</v>
      </c>
      <c r="W44" s="1614">
        <v>0</v>
      </c>
      <c r="X44" s="1423">
        <f t="shared" si="3"/>
        <v>0</v>
      </c>
      <c r="Y44" s="725"/>
      <c r="AA44" s="725"/>
    </row>
    <row r="45" spans="1:27" ht="46.5" customHeight="1">
      <c r="A45" s="2041">
        <f>A42+1</f>
        <v>10</v>
      </c>
      <c r="B45" s="1886" t="s">
        <v>1716</v>
      </c>
      <c r="C45" s="1880"/>
      <c r="D45" s="1602">
        <f>SUM(E45:F45)</f>
        <v>4133.3</v>
      </c>
      <c r="E45" s="1615"/>
      <c r="F45" s="1615">
        <v>4133.3</v>
      </c>
      <c r="G45" s="1602">
        <f>SUM(H45:I45)</f>
        <v>4133.3</v>
      </c>
      <c r="H45" s="1616">
        <f t="shared" si="10"/>
        <v>0</v>
      </c>
      <c r="I45" s="1616">
        <f t="shared" si="11"/>
        <v>4133.3</v>
      </c>
      <c r="J45" s="1602">
        <f t="shared" si="8"/>
        <v>4133.3</v>
      </c>
      <c r="K45" s="1615"/>
      <c r="L45" s="1615">
        <v>4133.3</v>
      </c>
      <c r="M45" s="1604">
        <f t="shared" si="2"/>
        <v>100</v>
      </c>
      <c r="N45" s="1881">
        <f t="shared" si="2"/>
        <v>0</v>
      </c>
      <c r="O45" s="1881">
        <f t="shared" si="2"/>
        <v>100</v>
      </c>
      <c r="P45" s="1593"/>
      <c r="Q45" s="1593"/>
      <c r="R45" s="1602">
        <f t="shared" si="0"/>
        <v>0</v>
      </c>
      <c r="S45" s="1614">
        <v>0</v>
      </c>
      <c r="T45" s="1614">
        <v>0</v>
      </c>
      <c r="U45" s="1602">
        <f t="shared" si="12"/>
        <v>0</v>
      </c>
      <c r="V45" s="1614">
        <v>0</v>
      </c>
      <c r="W45" s="1614">
        <v>0</v>
      </c>
      <c r="X45" s="1423">
        <f t="shared" si="3"/>
        <v>0</v>
      </c>
      <c r="Y45" s="725"/>
      <c r="AA45" s="725"/>
    </row>
    <row r="46" spans="1:27" ht="63.75" customHeight="1">
      <c r="A46" s="2041">
        <f>A45+1</f>
        <v>11</v>
      </c>
      <c r="B46" s="1886" t="s">
        <v>1562</v>
      </c>
      <c r="C46" s="1880"/>
      <c r="D46" s="1602">
        <f t="shared" si="4"/>
        <v>6500</v>
      </c>
      <c r="E46" s="1615"/>
      <c r="F46" s="1615">
        <v>6500</v>
      </c>
      <c r="G46" s="1602">
        <f t="shared" si="7"/>
        <v>6500</v>
      </c>
      <c r="H46" s="1616">
        <f t="shared" si="10"/>
        <v>0</v>
      </c>
      <c r="I46" s="1616">
        <f t="shared" si="11"/>
        <v>6500</v>
      </c>
      <c r="J46" s="1602">
        <f t="shared" si="8"/>
        <v>6500</v>
      </c>
      <c r="K46" s="1615"/>
      <c r="L46" s="1615">
        <v>6500</v>
      </c>
      <c r="M46" s="1604">
        <f t="shared" si="2"/>
        <v>100</v>
      </c>
      <c r="N46" s="1881">
        <f t="shared" si="2"/>
        <v>0</v>
      </c>
      <c r="O46" s="1881">
        <f t="shared" si="2"/>
        <v>100</v>
      </c>
      <c r="P46" s="1593"/>
      <c r="Q46" s="1593"/>
      <c r="R46" s="1602">
        <f t="shared" si="0"/>
        <v>0</v>
      </c>
      <c r="S46" s="1614">
        <v>0</v>
      </c>
      <c r="T46" s="1614">
        <v>0</v>
      </c>
      <c r="U46" s="1602">
        <f t="shared" si="12"/>
        <v>0</v>
      </c>
      <c r="V46" s="1614">
        <v>0</v>
      </c>
      <c r="W46" s="1614">
        <v>0</v>
      </c>
      <c r="X46" s="1423">
        <f t="shared" ref="X46:X82" si="13">D46-G46</f>
        <v>0</v>
      </c>
      <c r="Y46" s="725"/>
      <c r="AA46" s="725"/>
    </row>
    <row r="47" spans="1:27" s="1570" customFormat="1" ht="22.5" hidden="1" customHeight="1">
      <c r="A47" s="2041"/>
      <c r="B47" s="1884" t="s">
        <v>729</v>
      </c>
      <c r="C47" s="1880">
        <v>24366</v>
      </c>
      <c r="D47" s="1603">
        <f t="shared" si="4"/>
        <v>0</v>
      </c>
      <c r="E47" s="1603">
        <f>SUM(E48:E49)</f>
        <v>0</v>
      </c>
      <c r="F47" s="1603">
        <f>SUM(F48:F49)</f>
        <v>0</v>
      </c>
      <c r="G47" s="1603">
        <f t="shared" si="7"/>
        <v>0</v>
      </c>
      <c r="H47" s="1603">
        <f t="shared" si="10"/>
        <v>0</v>
      </c>
      <c r="I47" s="1603">
        <f t="shared" si="11"/>
        <v>0</v>
      </c>
      <c r="J47" s="1603">
        <f t="shared" ref="J47:J109" si="14">SUM(K47:L47)</f>
        <v>0</v>
      </c>
      <c r="K47" s="1603">
        <f>SUM(K48:K49)</f>
        <v>0</v>
      </c>
      <c r="L47" s="1603">
        <f>SUM(L48:L49)</f>
        <v>0</v>
      </c>
      <c r="M47" s="1601">
        <f t="shared" si="2"/>
        <v>0</v>
      </c>
      <c r="N47" s="1601">
        <f t="shared" si="2"/>
        <v>0</v>
      </c>
      <c r="O47" s="1601">
        <f t="shared" si="2"/>
        <v>0</v>
      </c>
      <c r="P47" s="1593" t="s">
        <v>353</v>
      </c>
      <c r="Q47" s="1612" t="s">
        <v>353</v>
      </c>
      <c r="R47" s="1600">
        <f t="shared" si="0"/>
        <v>0</v>
      </c>
      <c r="S47" s="1610">
        <f>SUM(S48:S48)</f>
        <v>0</v>
      </c>
      <c r="T47" s="1610">
        <f>SUM(T48:T48)</f>
        <v>0</v>
      </c>
      <c r="U47" s="1600">
        <f t="shared" si="12"/>
        <v>0</v>
      </c>
      <c r="V47" s="1610">
        <f>SUM(V48:V48)</f>
        <v>0</v>
      </c>
      <c r="W47" s="1610">
        <f>SUM(W48:W48)</f>
        <v>0</v>
      </c>
      <c r="X47" s="1423">
        <f t="shared" si="13"/>
        <v>0</v>
      </c>
      <c r="Y47" s="725"/>
      <c r="AA47" s="725"/>
    </row>
    <row r="48" spans="1:27" ht="28.5" hidden="1" customHeight="1">
      <c r="A48" s="2041">
        <f>A46+1</f>
        <v>12</v>
      </c>
      <c r="B48" s="1883" t="s">
        <v>1405</v>
      </c>
      <c r="C48" s="1880">
        <v>24366</v>
      </c>
      <c r="D48" s="1602">
        <f t="shared" si="4"/>
        <v>0</v>
      </c>
      <c r="E48" s="1615"/>
      <c r="F48" s="1615">
        <v>0</v>
      </c>
      <c r="G48" s="1602">
        <f t="shared" ref="G48:G110" si="15">SUM(H48:I48)</f>
        <v>0</v>
      </c>
      <c r="H48" s="1616">
        <f t="shared" si="10"/>
        <v>0</v>
      </c>
      <c r="I48" s="1616">
        <f t="shared" si="11"/>
        <v>0</v>
      </c>
      <c r="J48" s="1602">
        <f t="shared" si="14"/>
        <v>0</v>
      </c>
      <c r="K48" s="1615"/>
      <c r="L48" s="1615"/>
      <c r="M48" s="1604">
        <f t="shared" si="2"/>
        <v>0</v>
      </c>
      <c r="N48" s="1881">
        <f t="shared" si="2"/>
        <v>0</v>
      </c>
      <c r="O48" s="1881">
        <f t="shared" si="2"/>
        <v>0</v>
      </c>
      <c r="P48" s="1593" t="s">
        <v>1171</v>
      </c>
      <c r="Q48" s="1593" t="s">
        <v>1111</v>
      </c>
      <c r="R48" s="1600">
        <f t="shared" si="0"/>
        <v>0</v>
      </c>
      <c r="S48" s="1614">
        <v>0</v>
      </c>
      <c r="T48" s="1614">
        <v>0</v>
      </c>
      <c r="U48" s="1600">
        <f t="shared" si="12"/>
        <v>0</v>
      </c>
      <c r="V48" s="1614">
        <v>0</v>
      </c>
      <c r="W48" s="1614">
        <v>0</v>
      </c>
      <c r="X48" s="1423">
        <f t="shared" si="13"/>
        <v>0</v>
      </c>
      <c r="Y48" s="725"/>
      <c r="AA48" s="725"/>
    </row>
    <row r="49" spans="1:27" s="484" customFormat="1" ht="45" hidden="1" customHeight="1">
      <c r="A49" s="2041">
        <f>A48+1</f>
        <v>13</v>
      </c>
      <c r="B49" s="1888" t="s">
        <v>1675</v>
      </c>
      <c r="C49" s="1866"/>
      <c r="D49" s="1602">
        <f t="shared" si="4"/>
        <v>0</v>
      </c>
      <c r="E49" s="1615"/>
      <c r="F49" s="1615">
        <v>0</v>
      </c>
      <c r="G49" s="1602">
        <f t="shared" si="15"/>
        <v>0</v>
      </c>
      <c r="H49" s="1616">
        <f t="shared" si="10"/>
        <v>0</v>
      </c>
      <c r="I49" s="1616">
        <f t="shared" si="11"/>
        <v>0</v>
      </c>
      <c r="J49" s="1602">
        <f t="shared" si="14"/>
        <v>0</v>
      </c>
      <c r="K49" s="1615"/>
      <c r="L49" s="1615"/>
      <c r="M49" s="1893">
        <f t="shared" si="2"/>
        <v>0</v>
      </c>
      <c r="N49" s="1894">
        <f t="shared" si="2"/>
        <v>0</v>
      </c>
      <c r="O49" s="1894">
        <f t="shared" si="2"/>
        <v>0</v>
      </c>
      <c r="P49" s="1593"/>
      <c r="Q49" s="1593"/>
      <c r="R49" s="1600">
        <f t="shared" si="0"/>
        <v>0</v>
      </c>
      <c r="S49" s="1615">
        <v>0</v>
      </c>
      <c r="T49" s="1615">
        <v>0</v>
      </c>
      <c r="U49" s="1600">
        <f t="shared" si="12"/>
        <v>0</v>
      </c>
      <c r="V49" s="1615">
        <v>0</v>
      </c>
      <c r="W49" s="1615">
        <v>0</v>
      </c>
      <c r="X49" s="1423">
        <f t="shared" si="13"/>
        <v>0</v>
      </c>
      <c r="Y49" s="725"/>
      <c r="AA49" s="725"/>
    </row>
    <row r="50" spans="1:27" s="1570" customFormat="1" ht="30" customHeight="1">
      <c r="A50" s="2041"/>
      <c r="B50" s="1884" t="s">
        <v>12</v>
      </c>
      <c r="C50" s="1880">
        <v>24366</v>
      </c>
      <c r="D50" s="1603">
        <f t="shared" si="4"/>
        <v>3675.7</v>
      </c>
      <c r="E50" s="1603">
        <f>SUM(E51:E55)</f>
        <v>0</v>
      </c>
      <c r="F50" s="1603">
        <f>SUM(F51:F55)</f>
        <v>3675.7</v>
      </c>
      <c r="G50" s="1603">
        <f t="shared" si="15"/>
        <v>3675.7</v>
      </c>
      <c r="H50" s="1603">
        <f t="shared" si="10"/>
        <v>0</v>
      </c>
      <c r="I50" s="1603">
        <f>SUBTOTAL(9,I51:I55)</f>
        <v>3675.7</v>
      </c>
      <c r="J50" s="1603">
        <f t="shared" si="14"/>
        <v>3675.7</v>
      </c>
      <c r="K50" s="1603">
        <f>SUM(K51:K55)</f>
        <v>0</v>
      </c>
      <c r="L50" s="1603">
        <f>SUM(L51:L55)</f>
        <v>3675.7</v>
      </c>
      <c r="M50" s="1604">
        <f t="shared" si="2"/>
        <v>100</v>
      </c>
      <c r="N50" s="1604">
        <f t="shared" si="2"/>
        <v>0</v>
      </c>
      <c r="O50" s="1604">
        <f t="shared" si="2"/>
        <v>100</v>
      </c>
      <c r="P50" s="1593" t="s">
        <v>353</v>
      </c>
      <c r="Q50" s="1612" t="s">
        <v>353</v>
      </c>
      <c r="R50" s="1603">
        <f t="shared" si="0"/>
        <v>0</v>
      </c>
      <c r="S50" s="1603">
        <f>SUM(S51:S55)</f>
        <v>0</v>
      </c>
      <c r="T50" s="1603">
        <f>SUM(T51:T55)</f>
        <v>0</v>
      </c>
      <c r="U50" s="1603">
        <f t="shared" si="12"/>
        <v>0</v>
      </c>
      <c r="V50" s="1603">
        <f>SUM(V51:V55)</f>
        <v>0</v>
      </c>
      <c r="W50" s="1603">
        <f>SUM(W51:W55)</f>
        <v>0</v>
      </c>
      <c r="X50" s="1423">
        <f t="shared" si="13"/>
        <v>0</v>
      </c>
      <c r="Y50" s="725"/>
      <c r="AA50" s="725"/>
    </row>
    <row r="51" spans="1:27" ht="43.5" hidden="1" customHeight="1">
      <c r="A51" s="2041">
        <f>A49+1</f>
        <v>14</v>
      </c>
      <c r="B51" s="1883" t="s">
        <v>1717</v>
      </c>
      <c r="C51" s="1880">
        <v>24366</v>
      </c>
      <c r="D51" s="1602">
        <f>SUM(E51:F51)</f>
        <v>0</v>
      </c>
      <c r="E51" s="1615"/>
      <c r="F51" s="1615">
        <v>0</v>
      </c>
      <c r="G51" s="1602">
        <f>SUM(H51:I51)</f>
        <v>0</v>
      </c>
      <c r="H51" s="1616">
        <f t="shared" si="10"/>
        <v>0</v>
      </c>
      <c r="I51" s="1615">
        <v>0</v>
      </c>
      <c r="J51" s="1602">
        <f t="shared" si="14"/>
        <v>0</v>
      </c>
      <c r="K51" s="1615"/>
      <c r="L51" s="1615"/>
      <c r="M51" s="1604">
        <f t="shared" si="2"/>
        <v>0</v>
      </c>
      <c r="N51" s="1881">
        <f t="shared" si="2"/>
        <v>0</v>
      </c>
      <c r="O51" s="1881">
        <f t="shared" si="2"/>
        <v>0</v>
      </c>
      <c r="P51" s="1593" t="s">
        <v>1171</v>
      </c>
      <c r="Q51" s="1593" t="s">
        <v>1111</v>
      </c>
      <c r="R51" s="1600">
        <f t="shared" si="0"/>
        <v>0</v>
      </c>
      <c r="S51" s="1614">
        <v>0</v>
      </c>
      <c r="T51" s="1614">
        <v>0</v>
      </c>
      <c r="U51" s="1600">
        <f t="shared" si="12"/>
        <v>0</v>
      </c>
      <c r="V51" s="1614">
        <v>0</v>
      </c>
      <c r="W51" s="1614">
        <v>0</v>
      </c>
      <c r="X51" s="1423">
        <f t="shared" si="13"/>
        <v>0</v>
      </c>
      <c r="Y51" s="725"/>
      <c r="AA51" s="725"/>
    </row>
    <row r="52" spans="1:27" ht="43.5" hidden="1" customHeight="1">
      <c r="A52" s="2041">
        <f>A51+1</f>
        <v>15</v>
      </c>
      <c r="B52" s="1883" t="s">
        <v>1718</v>
      </c>
      <c r="C52" s="1880"/>
      <c r="D52" s="1602">
        <f>SUM(E52:F52)</f>
        <v>0</v>
      </c>
      <c r="E52" s="1615"/>
      <c r="F52" s="1615">
        <v>0</v>
      </c>
      <c r="G52" s="1602">
        <f>SUM(H52:I52)</f>
        <v>0</v>
      </c>
      <c r="H52" s="1616">
        <f t="shared" si="10"/>
        <v>0</v>
      </c>
      <c r="I52" s="1615">
        <v>0</v>
      </c>
      <c r="J52" s="1602">
        <f t="shared" si="14"/>
        <v>0</v>
      </c>
      <c r="K52" s="1615"/>
      <c r="L52" s="1615"/>
      <c r="M52" s="1604">
        <f t="shared" si="2"/>
        <v>0</v>
      </c>
      <c r="N52" s="1881">
        <f t="shared" si="2"/>
        <v>0</v>
      </c>
      <c r="O52" s="1881">
        <f t="shared" si="2"/>
        <v>0</v>
      </c>
      <c r="P52" s="1593"/>
      <c r="Q52" s="1593"/>
      <c r="R52" s="1600"/>
      <c r="S52" s="1614"/>
      <c r="T52" s="1614"/>
      <c r="U52" s="1600"/>
      <c r="V52" s="1614"/>
      <c r="W52" s="1614"/>
      <c r="X52" s="1423">
        <f t="shared" si="13"/>
        <v>0</v>
      </c>
      <c r="Y52" s="725"/>
      <c r="AA52" s="725"/>
    </row>
    <row r="53" spans="1:27" ht="43.5" hidden="1" customHeight="1">
      <c r="A53" s="2041">
        <f>A52+1</f>
        <v>16</v>
      </c>
      <c r="B53" s="1883" t="s">
        <v>1719</v>
      </c>
      <c r="C53" s="1880"/>
      <c r="D53" s="1602">
        <f>SUM(E53:F53)</f>
        <v>0</v>
      </c>
      <c r="E53" s="1615"/>
      <c r="F53" s="1615">
        <v>0</v>
      </c>
      <c r="G53" s="1602">
        <f>SUM(H53:I53)</f>
        <v>0</v>
      </c>
      <c r="H53" s="1616">
        <f t="shared" si="10"/>
        <v>0</v>
      </c>
      <c r="I53" s="1615">
        <v>0</v>
      </c>
      <c r="J53" s="1602">
        <f t="shared" si="14"/>
        <v>0</v>
      </c>
      <c r="K53" s="1615"/>
      <c r="L53" s="1615"/>
      <c r="M53" s="1604">
        <f t="shared" si="2"/>
        <v>0</v>
      </c>
      <c r="N53" s="1881">
        <f t="shared" si="2"/>
        <v>0</v>
      </c>
      <c r="O53" s="1881">
        <f t="shared" si="2"/>
        <v>0</v>
      </c>
      <c r="P53" s="1593"/>
      <c r="Q53" s="1593"/>
      <c r="R53" s="1600"/>
      <c r="S53" s="1614"/>
      <c r="T53" s="1614"/>
      <c r="U53" s="1600"/>
      <c r="V53" s="1614"/>
      <c r="W53" s="1614"/>
      <c r="X53" s="1423">
        <f t="shared" si="13"/>
        <v>0</v>
      </c>
      <c r="Y53" s="725"/>
      <c r="AA53" s="725"/>
    </row>
    <row r="54" spans="1:27" ht="43.5" hidden="1" customHeight="1">
      <c r="A54" s="2041">
        <f>A53+1</f>
        <v>17</v>
      </c>
      <c r="B54" s="1883" t="s">
        <v>1720</v>
      </c>
      <c r="C54" s="1880"/>
      <c r="D54" s="1602">
        <f>SUM(E54:F54)</f>
        <v>0</v>
      </c>
      <c r="E54" s="1615"/>
      <c r="F54" s="1615">
        <v>0</v>
      </c>
      <c r="G54" s="1602">
        <f>SUM(H54:I54)</f>
        <v>0</v>
      </c>
      <c r="H54" s="1616">
        <f t="shared" si="10"/>
        <v>0</v>
      </c>
      <c r="I54" s="1615">
        <v>0</v>
      </c>
      <c r="J54" s="1602">
        <f t="shared" si="14"/>
        <v>0</v>
      </c>
      <c r="K54" s="1615"/>
      <c r="L54" s="1615"/>
      <c r="M54" s="1604">
        <f t="shared" si="2"/>
        <v>0</v>
      </c>
      <c r="N54" s="1881">
        <f t="shared" si="2"/>
        <v>0</v>
      </c>
      <c r="O54" s="1881">
        <f t="shared" si="2"/>
        <v>0</v>
      </c>
      <c r="P54" s="1593"/>
      <c r="Q54" s="1593"/>
      <c r="R54" s="1600"/>
      <c r="S54" s="1614"/>
      <c r="T54" s="1614"/>
      <c r="U54" s="1600"/>
      <c r="V54" s="1614"/>
      <c r="W54" s="1614"/>
      <c r="X54" s="1423">
        <f t="shared" si="13"/>
        <v>0</v>
      </c>
      <c r="Y54" s="725"/>
      <c r="AA54" s="725"/>
    </row>
    <row r="55" spans="1:27" ht="54" customHeight="1">
      <c r="A55" s="2041">
        <f>A46+1</f>
        <v>12</v>
      </c>
      <c r="B55" s="1888" t="s">
        <v>1567</v>
      </c>
      <c r="C55" s="1866"/>
      <c r="D55" s="1602">
        <f t="shared" si="4"/>
        <v>3675.7</v>
      </c>
      <c r="E55" s="1615">
        <v>0</v>
      </c>
      <c r="F55" s="1615">
        <f>4725.9-1050.2</f>
        <v>3675.7</v>
      </c>
      <c r="G55" s="1602">
        <f t="shared" si="15"/>
        <v>3675.7</v>
      </c>
      <c r="H55" s="1616">
        <f t="shared" si="10"/>
        <v>0</v>
      </c>
      <c r="I55" s="1615">
        <f>4725.9-1050.2</f>
        <v>3675.7</v>
      </c>
      <c r="J55" s="1602">
        <f t="shared" si="14"/>
        <v>3675.7</v>
      </c>
      <c r="K55" s="1615">
        <v>0</v>
      </c>
      <c r="L55" s="1615">
        <v>3675.7</v>
      </c>
      <c r="M55" s="1604">
        <f t="shared" si="2"/>
        <v>100</v>
      </c>
      <c r="N55" s="1881">
        <f t="shared" si="2"/>
        <v>0</v>
      </c>
      <c r="O55" s="1881">
        <f t="shared" si="2"/>
        <v>100</v>
      </c>
      <c r="P55" s="1593"/>
      <c r="Q55" s="1593"/>
      <c r="R55" s="1600">
        <f t="shared" si="0"/>
        <v>0</v>
      </c>
      <c r="S55" s="1614">
        <v>0</v>
      </c>
      <c r="T55" s="1614">
        <v>0</v>
      </c>
      <c r="U55" s="1600">
        <f t="shared" si="12"/>
        <v>0</v>
      </c>
      <c r="V55" s="1614">
        <v>0</v>
      </c>
      <c r="W55" s="1614">
        <v>0</v>
      </c>
      <c r="X55" s="1423">
        <f t="shared" si="13"/>
        <v>0</v>
      </c>
      <c r="Y55" s="725"/>
      <c r="AA55" s="725"/>
    </row>
    <row r="56" spans="1:27" s="1570" customFormat="1" ht="25.5" hidden="1" customHeight="1">
      <c r="A56" s="2041"/>
      <c r="B56" s="1884" t="s">
        <v>90</v>
      </c>
      <c r="C56" s="1880">
        <v>24366</v>
      </c>
      <c r="D56" s="1602">
        <f t="shared" si="4"/>
        <v>0</v>
      </c>
      <c r="E56" s="1603">
        <f>SUM(E57)</f>
        <v>0</v>
      </c>
      <c r="F56" s="1601">
        <f>SUM(F57)</f>
        <v>0</v>
      </c>
      <c r="G56" s="1600">
        <f t="shared" si="15"/>
        <v>0</v>
      </c>
      <c r="H56" s="1601">
        <f t="shared" si="10"/>
        <v>0</v>
      </c>
      <c r="I56" s="1601">
        <f t="shared" si="11"/>
        <v>0</v>
      </c>
      <c r="J56" s="1600">
        <f t="shared" si="14"/>
        <v>0</v>
      </c>
      <c r="K56" s="1603">
        <f>SUM(K57)</f>
        <v>0</v>
      </c>
      <c r="L56" s="1603">
        <f>SUM(L57)</f>
        <v>0</v>
      </c>
      <c r="M56" s="1604">
        <f t="shared" si="2"/>
        <v>0</v>
      </c>
      <c r="N56" s="1604">
        <f t="shared" si="2"/>
        <v>0</v>
      </c>
      <c r="O56" s="1604">
        <f t="shared" si="2"/>
        <v>0</v>
      </c>
      <c r="P56" s="1593" t="s">
        <v>353</v>
      </c>
      <c r="Q56" s="1612" t="s">
        <v>353</v>
      </c>
      <c r="R56" s="1600">
        <f t="shared" si="0"/>
        <v>0</v>
      </c>
      <c r="S56" s="1610">
        <f>SUM(S57:S57)</f>
        <v>0</v>
      </c>
      <c r="T56" s="1610">
        <f>SUM(T57:T57)</f>
        <v>0</v>
      </c>
      <c r="U56" s="1600">
        <f t="shared" si="12"/>
        <v>0</v>
      </c>
      <c r="V56" s="1610">
        <f>SUM(V57:V57)</f>
        <v>0</v>
      </c>
      <c r="W56" s="1610">
        <f>SUM(W57:W57)</f>
        <v>0</v>
      </c>
      <c r="X56" s="1423">
        <f t="shared" si="13"/>
        <v>0</v>
      </c>
      <c r="Y56" s="725"/>
      <c r="AA56" s="725"/>
    </row>
    <row r="57" spans="1:27" ht="47.25" hidden="1" customHeight="1">
      <c r="A57" s="2041">
        <f>A55+1</f>
        <v>13</v>
      </c>
      <c r="B57" s="1879" t="s">
        <v>1404</v>
      </c>
      <c r="C57" s="1880">
        <v>24366</v>
      </c>
      <c r="D57" s="1602">
        <f t="shared" si="4"/>
        <v>0</v>
      </c>
      <c r="E57" s="1615"/>
      <c r="F57" s="1614">
        <v>0</v>
      </c>
      <c r="G57" s="1600">
        <f t="shared" si="15"/>
        <v>0</v>
      </c>
      <c r="H57" s="1608">
        <f>E57</f>
        <v>0</v>
      </c>
      <c r="I57" s="1608">
        <f>F57</f>
        <v>0</v>
      </c>
      <c r="J57" s="1600">
        <f t="shared" si="14"/>
        <v>0</v>
      </c>
      <c r="K57" s="1615"/>
      <c r="L57" s="1615">
        <v>0</v>
      </c>
      <c r="M57" s="1604">
        <f t="shared" si="2"/>
        <v>0</v>
      </c>
      <c r="N57" s="1881">
        <f t="shared" si="2"/>
        <v>0</v>
      </c>
      <c r="O57" s="1881">
        <f t="shared" si="2"/>
        <v>0</v>
      </c>
      <c r="P57" s="1593" t="s">
        <v>1171</v>
      </c>
      <c r="Q57" s="1593" t="s">
        <v>1111</v>
      </c>
      <c r="R57" s="1600">
        <f t="shared" si="0"/>
        <v>0</v>
      </c>
      <c r="S57" s="1614">
        <v>0</v>
      </c>
      <c r="T57" s="1614">
        <v>0</v>
      </c>
      <c r="U57" s="1600">
        <f t="shared" si="12"/>
        <v>0</v>
      </c>
      <c r="V57" s="1614">
        <v>0</v>
      </c>
      <c r="W57" s="1614">
        <v>0</v>
      </c>
      <c r="X57" s="1423">
        <f t="shared" si="13"/>
        <v>0</v>
      </c>
      <c r="Y57" s="725"/>
      <c r="AA57" s="725"/>
    </row>
    <row r="58" spans="1:27" s="1607" customFormat="1" ht="18.75" customHeight="1">
      <c r="A58" s="2041"/>
      <c r="B58" s="2040" t="s">
        <v>1401</v>
      </c>
      <c r="C58" s="1882">
        <v>24366</v>
      </c>
      <c r="D58" s="1603">
        <f t="shared" si="4"/>
        <v>772.5</v>
      </c>
      <c r="E58" s="1603">
        <f>SUM(E59:E60)</f>
        <v>0</v>
      </c>
      <c r="F58" s="1601">
        <f>SUM(F59:F60)</f>
        <v>772.5</v>
      </c>
      <c r="G58" s="1601">
        <f t="shared" si="15"/>
        <v>772.5</v>
      </c>
      <c r="H58" s="1601">
        <f t="shared" si="10"/>
        <v>0</v>
      </c>
      <c r="I58" s="1601">
        <f t="shared" si="11"/>
        <v>772.5</v>
      </c>
      <c r="J58" s="1601">
        <f t="shared" si="14"/>
        <v>772.5</v>
      </c>
      <c r="K58" s="1603">
        <f>SUM(K59:K60)</f>
        <v>0</v>
      </c>
      <c r="L58" s="1603">
        <f>SUM(L59:L60)</f>
        <v>772.5</v>
      </c>
      <c r="M58" s="1601">
        <f t="shared" si="2"/>
        <v>100</v>
      </c>
      <c r="N58" s="1601">
        <f t="shared" si="2"/>
        <v>0</v>
      </c>
      <c r="O58" s="1601">
        <f t="shared" si="2"/>
        <v>100</v>
      </c>
      <c r="P58" s="1593" t="s">
        <v>353</v>
      </c>
      <c r="Q58" s="1593" t="s">
        <v>353</v>
      </c>
      <c r="R58" s="1603">
        <f t="shared" si="0"/>
        <v>0</v>
      </c>
      <c r="S58" s="1603">
        <f>SUM(S59:S60)</f>
        <v>0</v>
      </c>
      <c r="T58" s="1603">
        <f>SUM(T59:T60)</f>
        <v>0</v>
      </c>
      <c r="U58" s="1603">
        <f t="shared" si="12"/>
        <v>0</v>
      </c>
      <c r="V58" s="1603">
        <f>SUM(V59:V60)</f>
        <v>0</v>
      </c>
      <c r="W58" s="1603">
        <f>SUM(W59:W60)</f>
        <v>0</v>
      </c>
      <c r="X58" s="1423">
        <f t="shared" si="13"/>
        <v>0</v>
      </c>
      <c r="Y58" s="725"/>
      <c r="AA58" s="725"/>
    </row>
    <row r="59" spans="1:27" s="1607" customFormat="1" ht="23.25" hidden="1" customHeight="1">
      <c r="A59" s="2041">
        <f>A57+1</f>
        <v>14</v>
      </c>
      <c r="B59" s="521" t="s">
        <v>1518</v>
      </c>
      <c r="C59" s="1882">
        <v>24366</v>
      </c>
      <c r="D59" s="1602">
        <f t="shared" si="4"/>
        <v>0</v>
      </c>
      <c r="E59" s="1616"/>
      <c r="F59" s="1608">
        <v>0</v>
      </c>
      <c r="G59" s="1600">
        <f t="shared" si="15"/>
        <v>0</v>
      </c>
      <c r="H59" s="1608">
        <f>E59</f>
        <v>0</v>
      </c>
      <c r="I59" s="1608">
        <v>0</v>
      </c>
      <c r="J59" s="1600">
        <f t="shared" si="14"/>
        <v>0</v>
      </c>
      <c r="K59" s="1616"/>
      <c r="L59" s="1616"/>
      <c r="M59" s="1604">
        <f t="shared" si="2"/>
        <v>0</v>
      </c>
      <c r="N59" s="1881">
        <f t="shared" si="2"/>
        <v>0</v>
      </c>
      <c r="O59" s="1881">
        <f t="shared" si="2"/>
        <v>0</v>
      </c>
      <c r="P59" s="1593" t="s">
        <v>1171</v>
      </c>
      <c r="Q59" s="1593" t="s">
        <v>1116</v>
      </c>
      <c r="R59" s="1600">
        <f t="shared" si="0"/>
        <v>0</v>
      </c>
      <c r="S59" s="1608">
        <v>0</v>
      </c>
      <c r="T59" s="1608">
        <v>0</v>
      </c>
      <c r="U59" s="1600">
        <f t="shared" si="12"/>
        <v>0</v>
      </c>
      <c r="V59" s="1608">
        <v>0</v>
      </c>
      <c r="W59" s="1608">
        <v>0</v>
      </c>
      <c r="X59" s="1423">
        <f t="shared" si="13"/>
        <v>0</v>
      </c>
      <c r="Y59" s="725"/>
      <c r="AA59" s="725"/>
    </row>
    <row r="60" spans="1:27" ht="78" customHeight="1">
      <c r="A60" s="2041">
        <f>A55+1</f>
        <v>13</v>
      </c>
      <c r="B60" s="1879" t="s">
        <v>434</v>
      </c>
      <c r="C60" s="1880"/>
      <c r="D60" s="1602">
        <f t="shared" si="4"/>
        <v>772.5</v>
      </c>
      <c r="E60" s="1616">
        <v>0</v>
      </c>
      <c r="F60" s="1616">
        <f>845-72.5</f>
        <v>772.5</v>
      </c>
      <c r="G60" s="1602">
        <f t="shared" si="15"/>
        <v>772.5</v>
      </c>
      <c r="H60" s="1616">
        <f>E60</f>
        <v>0</v>
      </c>
      <c r="I60" s="1616">
        <f>F60</f>
        <v>772.5</v>
      </c>
      <c r="J60" s="1602">
        <f t="shared" si="14"/>
        <v>772.5</v>
      </c>
      <c r="K60" s="1616">
        <v>0</v>
      </c>
      <c r="L60" s="1616">
        <v>772.5</v>
      </c>
      <c r="M60" s="1604">
        <f t="shared" si="2"/>
        <v>100</v>
      </c>
      <c r="N60" s="1881">
        <f t="shared" si="2"/>
        <v>0</v>
      </c>
      <c r="O60" s="1881">
        <f t="shared" si="2"/>
        <v>100</v>
      </c>
      <c r="P60" s="1599"/>
      <c r="Q60" s="1599"/>
      <c r="R60" s="1600">
        <f t="shared" si="0"/>
        <v>0</v>
      </c>
      <c r="S60" s="1619">
        <v>0</v>
      </c>
      <c r="T60" s="1619">
        <v>0</v>
      </c>
      <c r="U60" s="1600">
        <f t="shared" si="12"/>
        <v>0</v>
      </c>
      <c r="V60" s="1619">
        <v>0</v>
      </c>
      <c r="W60" s="1619">
        <v>0</v>
      </c>
      <c r="X60" s="1423">
        <f t="shared" si="13"/>
        <v>0</v>
      </c>
      <c r="Y60" s="725"/>
      <c r="AA60" s="725"/>
    </row>
    <row r="61" spans="1:27" s="1607" customFormat="1" ht="23.25" hidden="1" customHeight="1">
      <c r="A61" s="2041"/>
      <c r="B61" s="2040" t="s">
        <v>1554</v>
      </c>
      <c r="C61" s="1882"/>
      <c r="D61" s="1602">
        <f t="shared" si="4"/>
        <v>0</v>
      </c>
      <c r="E61" s="1603">
        <f>SUM(E62:E63)</f>
        <v>0</v>
      </c>
      <c r="F61" s="1603">
        <f>SUM(F62:F63)</f>
        <v>0</v>
      </c>
      <c r="G61" s="1602">
        <f t="shared" si="15"/>
        <v>0</v>
      </c>
      <c r="H61" s="1603">
        <f t="shared" si="10"/>
        <v>0</v>
      </c>
      <c r="I61" s="1603">
        <f t="shared" si="11"/>
        <v>0</v>
      </c>
      <c r="J61" s="1602">
        <f t="shared" si="14"/>
        <v>0</v>
      </c>
      <c r="K61" s="1603">
        <f>SUM(K62:K63)</f>
        <v>0</v>
      </c>
      <c r="L61" s="1603">
        <f>SUM(L62:L63)</f>
        <v>0</v>
      </c>
      <c r="M61" s="1601">
        <f t="shared" si="2"/>
        <v>0</v>
      </c>
      <c r="N61" s="1601">
        <f t="shared" si="2"/>
        <v>0</v>
      </c>
      <c r="O61" s="1601">
        <f t="shared" si="2"/>
        <v>0</v>
      </c>
      <c r="P61" s="1593"/>
      <c r="Q61" s="1593"/>
      <c r="R61" s="1602">
        <f t="shared" si="0"/>
        <v>0</v>
      </c>
      <c r="S61" s="1603">
        <f>SUM(S62:S63)</f>
        <v>0</v>
      </c>
      <c r="T61" s="1603">
        <f>SUM(T62:T63)</f>
        <v>0</v>
      </c>
      <c r="U61" s="1602">
        <f t="shared" si="12"/>
        <v>0</v>
      </c>
      <c r="V61" s="1603">
        <f>SUM(V62:V63)</f>
        <v>0</v>
      </c>
      <c r="W61" s="1603">
        <f>SUM(W62:W63)</f>
        <v>0</v>
      </c>
      <c r="X61" s="1423">
        <f t="shared" si="13"/>
        <v>0</v>
      </c>
      <c r="Y61" s="725"/>
      <c r="AA61" s="725"/>
    </row>
    <row r="62" spans="1:27" s="1607" customFormat="1" ht="84.75" hidden="1" customHeight="1">
      <c r="A62" s="2041">
        <f>A60+1</f>
        <v>14</v>
      </c>
      <c r="B62" s="521" t="s">
        <v>1555</v>
      </c>
      <c r="C62" s="1882"/>
      <c r="D62" s="1602">
        <f t="shared" si="4"/>
        <v>0</v>
      </c>
      <c r="E62" s="1616"/>
      <c r="F62" s="1616">
        <v>0</v>
      </c>
      <c r="G62" s="1602">
        <f t="shared" si="15"/>
        <v>0</v>
      </c>
      <c r="H62" s="1616">
        <f t="shared" si="10"/>
        <v>0</v>
      </c>
      <c r="I62" s="1616">
        <f t="shared" si="11"/>
        <v>0</v>
      </c>
      <c r="J62" s="1602">
        <f t="shared" si="14"/>
        <v>0</v>
      </c>
      <c r="K62" s="1616"/>
      <c r="L62" s="1616"/>
      <c r="M62" s="1604">
        <f t="shared" si="2"/>
        <v>0</v>
      </c>
      <c r="N62" s="1881">
        <f t="shared" si="2"/>
        <v>0</v>
      </c>
      <c r="O62" s="1881">
        <f t="shared" si="2"/>
        <v>0</v>
      </c>
      <c r="P62" s="1593"/>
      <c r="Q62" s="1593"/>
      <c r="R62" s="1600">
        <f>S62+T62</f>
        <v>0</v>
      </c>
      <c r="S62" s="1608">
        <v>0</v>
      </c>
      <c r="T62" s="1608">
        <v>0</v>
      </c>
      <c r="U62" s="1600">
        <f>V62+W62</f>
        <v>0</v>
      </c>
      <c r="V62" s="1608">
        <v>0</v>
      </c>
      <c r="W62" s="1608">
        <v>0</v>
      </c>
      <c r="X62" s="1423">
        <f t="shared" si="13"/>
        <v>0</v>
      </c>
      <c r="Y62" s="725"/>
      <c r="AA62" s="725"/>
    </row>
    <row r="63" spans="1:27" s="1607" customFormat="1" ht="41.25" hidden="1" customHeight="1">
      <c r="A63" s="2041">
        <f>A62+1</f>
        <v>15</v>
      </c>
      <c r="B63" s="521" t="s">
        <v>1556</v>
      </c>
      <c r="C63" s="1882"/>
      <c r="D63" s="1602">
        <f t="shared" si="4"/>
        <v>0</v>
      </c>
      <c r="E63" s="1616"/>
      <c r="F63" s="1616">
        <v>0</v>
      </c>
      <c r="G63" s="1602">
        <f t="shared" si="15"/>
        <v>0</v>
      </c>
      <c r="H63" s="1616">
        <f t="shared" si="10"/>
        <v>0</v>
      </c>
      <c r="I63" s="1616">
        <f t="shared" si="11"/>
        <v>0</v>
      </c>
      <c r="J63" s="1602">
        <f t="shared" si="14"/>
        <v>0</v>
      </c>
      <c r="K63" s="1616"/>
      <c r="L63" s="1616"/>
      <c r="M63" s="1604">
        <f t="shared" si="2"/>
        <v>0</v>
      </c>
      <c r="N63" s="1881">
        <f t="shared" si="2"/>
        <v>0</v>
      </c>
      <c r="O63" s="1881">
        <f t="shared" si="2"/>
        <v>0</v>
      </c>
      <c r="P63" s="1593"/>
      <c r="Q63" s="1593"/>
      <c r="R63" s="1600">
        <f>S63+T63</f>
        <v>0</v>
      </c>
      <c r="S63" s="1608">
        <v>0</v>
      </c>
      <c r="T63" s="1608">
        <v>0</v>
      </c>
      <c r="U63" s="1600">
        <f>V63+W63</f>
        <v>0</v>
      </c>
      <c r="V63" s="1608">
        <v>0</v>
      </c>
      <c r="W63" s="1608">
        <v>0</v>
      </c>
      <c r="X63" s="1423">
        <f t="shared" si="13"/>
        <v>0</v>
      </c>
      <c r="Y63" s="725"/>
      <c r="AA63" s="725"/>
    </row>
    <row r="64" spans="1:27" ht="27" customHeight="1">
      <c r="A64" s="2041"/>
      <c r="B64" s="2040" t="s">
        <v>457</v>
      </c>
      <c r="C64" s="2042"/>
      <c r="D64" s="1602">
        <f t="shared" si="4"/>
        <v>3942</v>
      </c>
      <c r="E64" s="1603">
        <f>SUM(E65:E69)</f>
        <v>0</v>
      </c>
      <c r="F64" s="1603">
        <f>SUM(F65:F69)</f>
        <v>3942</v>
      </c>
      <c r="G64" s="1602">
        <f t="shared" si="15"/>
        <v>3942</v>
      </c>
      <c r="H64" s="1603">
        <f t="shared" si="10"/>
        <v>0</v>
      </c>
      <c r="I64" s="1603">
        <f>SUBTOTAL(9,I65:I67)</f>
        <v>3942</v>
      </c>
      <c r="J64" s="1602">
        <f t="shared" si="14"/>
        <v>3942</v>
      </c>
      <c r="K64" s="1603">
        <f>SUM(K65:K69)</f>
        <v>0</v>
      </c>
      <c r="L64" s="1603">
        <f>SUM(L65:L69)</f>
        <v>3942</v>
      </c>
      <c r="M64" s="1604">
        <f t="shared" si="2"/>
        <v>100</v>
      </c>
      <c r="N64" s="1881">
        <f t="shared" si="2"/>
        <v>0</v>
      </c>
      <c r="O64" s="1881">
        <f t="shared" si="2"/>
        <v>100</v>
      </c>
      <c r="P64" s="1593" t="s">
        <v>353</v>
      </c>
      <c r="Q64" s="1593" t="s">
        <v>353</v>
      </c>
      <c r="R64" s="1602">
        <f t="shared" ref="R64:R75" si="16">SUM(S64:T64)</f>
        <v>10700</v>
      </c>
      <c r="S64" s="1603">
        <f>SUM(S65:S69)</f>
        <v>0</v>
      </c>
      <c r="T64" s="1603">
        <f>SUM(T65:T69)</f>
        <v>10700</v>
      </c>
      <c r="U64" s="1602">
        <f t="shared" ref="U64:U75" si="17">SUM(V64:W64)</f>
        <v>0</v>
      </c>
      <c r="V64" s="1603">
        <f>SUM(V65:V69)</f>
        <v>0</v>
      </c>
      <c r="W64" s="1603">
        <f>SUM(W65:W69)</f>
        <v>0</v>
      </c>
      <c r="X64" s="1423">
        <f t="shared" si="13"/>
        <v>0</v>
      </c>
      <c r="Y64" s="725"/>
      <c r="AA64" s="725"/>
    </row>
    <row r="65" spans="1:27" ht="89.25" hidden="1" customHeight="1">
      <c r="A65" s="2041">
        <f>A63+1</f>
        <v>16</v>
      </c>
      <c r="B65" s="1879" t="s">
        <v>1419</v>
      </c>
      <c r="C65" s="1880">
        <v>24347</v>
      </c>
      <c r="D65" s="1602">
        <f t="shared" si="4"/>
        <v>0</v>
      </c>
      <c r="E65" s="1616"/>
      <c r="F65" s="1616">
        <v>0</v>
      </c>
      <c r="G65" s="1602">
        <f t="shared" si="15"/>
        <v>0</v>
      </c>
      <c r="H65" s="1616">
        <f t="shared" si="10"/>
        <v>0</v>
      </c>
      <c r="I65" s="1616">
        <v>0</v>
      </c>
      <c r="J65" s="1602">
        <f t="shared" si="14"/>
        <v>0</v>
      </c>
      <c r="K65" s="1616"/>
      <c r="L65" s="1616"/>
      <c r="M65" s="1604">
        <f t="shared" si="2"/>
        <v>0</v>
      </c>
      <c r="N65" s="1881">
        <f t="shared" si="2"/>
        <v>0</v>
      </c>
      <c r="O65" s="1881">
        <f t="shared" si="2"/>
        <v>0</v>
      </c>
      <c r="P65" s="1593" t="s">
        <v>1171</v>
      </c>
      <c r="Q65" s="1593" t="s">
        <v>1137</v>
      </c>
      <c r="R65" s="1600">
        <f t="shared" si="16"/>
        <v>0</v>
      </c>
      <c r="S65" s="1608">
        <v>0</v>
      </c>
      <c r="T65" s="1608">
        <v>0</v>
      </c>
      <c r="U65" s="1600">
        <f t="shared" si="17"/>
        <v>0</v>
      </c>
      <c r="V65" s="1608">
        <v>0</v>
      </c>
      <c r="W65" s="1608">
        <v>0</v>
      </c>
      <c r="X65" s="1423">
        <f t="shared" si="13"/>
        <v>0</v>
      </c>
      <c r="Y65" s="725"/>
      <c r="AA65" s="725"/>
    </row>
    <row r="66" spans="1:27" ht="82.5" customHeight="1">
      <c r="A66" s="2041">
        <f>A60+1</f>
        <v>14</v>
      </c>
      <c r="B66" s="1879" t="s">
        <v>1417</v>
      </c>
      <c r="C66" s="1880">
        <v>24347</v>
      </c>
      <c r="D66" s="1602">
        <f t="shared" si="4"/>
        <v>3942</v>
      </c>
      <c r="E66" s="1616"/>
      <c r="F66" s="1616">
        <f>7000-3058</f>
        <v>3942</v>
      </c>
      <c r="G66" s="1602">
        <f t="shared" si="15"/>
        <v>3942</v>
      </c>
      <c r="H66" s="1616">
        <f t="shared" si="10"/>
        <v>0</v>
      </c>
      <c r="I66" s="1616">
        <f t="shared" si="11"/>
        <v>3942</v>
      </c>
      <c r="J66" s="1602">
        <f t="shared" si="14"/>
        <v>3942</v>
      </c>
      <c r="K66" s="1616"/>
      <c r="L66" s="1616">
        <v>3942</v>
      </c>
      <c r="M66" s="1604">
        <f t="shared" si="2"/>
        <v>100</v>
      </c>
      <c r="N66" s="1881">
        <f t="shared" si="2"/>
        <v>0</v>
      </c>
      <c r="O66" s="1881">
        <f t="shared" si="2"/>
        <v>100</v>
      </c>
      <c r="P66" s="1593" t="s">
        <v>1171</v>
      </c>
      <c r="Q66" s="1593" t="s">
        <v>1137</v>
      </c>
      <c r="R66" s="1600">
        <f t="shared" si="16"/>
        <v>0</v>
      </c>
      <c r="S66" s="1608">
        <v>0</v>
      </c>
      <c r="T66" s="1608">
        <v>0</v>
      </c>
      <c r="U66" s="1600">
        <f t="shared" si="17"/>
        <v>0</v>
      </c>
      <c r="V66" s="1608">
        <v>0</v>
      </c>
      <c r="W66" s="1608">
        <v>0</v>
      </c>
      <c r="X66" s="1423">
        <f t="shared" si="13"/>
        <v>0</v>
      </c>
      <c r="Y66" s="725"/>
      <c r="AA66" s="725"/>
    </row>
    <row r="67" spans="1:27" ht="99.75" hidden="1" customHeight="1">
      <c r="A67" s="2041">
        <f>A66+1</f>
        <v>15</v>
      </c>
      <c r="B67" s="1879" t="s">
        <v>1418</v>
      </c>
      <c r="C67" s="1880">
        <v>24347</v>
      </c>
      <c r="D67" s="1602">
        <f t="shared" si="4"/>
        <v>0</v>
      </c>
      <c r="E67" s="1616"/>
      <c r="F67" s="1616">
        <v>0</v>
      </c>
      <c r="G67" s="1602">
        <f t="shared" si="15"/>
        <v>0</v>
      </c>
      <c r="H67" s="1616">
        <f t="shared" si="10"/>
        <v>0</v>
      </c>
      <c r="I67" s="1616">
        <v>0</v>
      </c>
      <c r="J67" s="1602">
        <f t="shared" si="14"/>
        <v>0</v>
      </c>
      <c r="K67" s="1616"/>
      <c r="L67" s="1616"/>
      <c r="M67" s="1604">
        <f t="shared" si="2"/>
        <v>0</v>
      </c>
      <c r="N67" s="1881">
        <f t="shared" si="2"/>
        <v>0</v>
      </c>
      <c r="O67" s="1881">
        <f t="shared" si="2"/>
        <v>0</v>
      </c>
      <c r="P67" s="1593" t="s">
        <v>1171</v>
      </c>
      <c r="Q67" s="1593" t="s">
        <v>1137</v>
      </c>
      <c r="R67" s="1600">
        <f t="shared" si="16"/>
        <v>0</v>
      </c>
      <c r="S67" s="1608">
        <v>0</v>
      </c>
      <c r="T67" s="1608">
        <v>0</v>
      </c>
      <c r="U67" s="1600">
        <f t="shared" si="17"/>
        <v>0</v>
      </c>
      <c r="V67" s="1608">
        <v>0</v>
      </c>
      <c r="W67" s="1608">
        <v>0</v>
      </c>
      <c r="X67" s="1423">
        <f t="shared" si="13"/>
        <v>0</v>
      </c>
      <c r="Y67" s="725"/>
      <c r="AA67" s="725"/>
    </row>
    <row r="68" spans="1:27" ht="97.5" hidden="1" customHeight="1">
      <c r="A68" s="2041"/>
      <c r="B68" s="1895" t="s">
        <v>1415</v>
      </c>
      <c r="C68" s="1882">
        <v>24355</v>
      </c>
      <c r="D68" s="1602">
        <f t="shared" si="4"/>
        <v>0</v>
      </c>
      <c r="E68" s="1616"/>
      <c r="F68" s="1616">
        <v>0</v>
      </c>
      <c r="G68" s="1602">
        <f t="shared" si="15"/>
        <v>0</v>
      </c>
      <c r="H68" s="1616">
        <f t="shared" si="10"/>
        <v>0</v>
      </c>
      <c r="I68" s="1616">
        <f t="shared" si="11"/>
        <v>0</v>
      </c>
      <c r="J68" s="1602">
        <f t="shared" si="14"/>
        <v>0</v>
      </c>
      <c r="K68" s="1616"/>
      <c r="L68" s="1616"/>
      <c r="M68" s="1604">
        <f t="shared" si="2"/>
        <v>0</v>
      </c>
      <c r="N68" s="1881">
        <f t="shared" si="2"/>
        <v>0</v>
      </c>
      <c r="O68" s="1881">
        <f t="shared" si="2"/>
        <v>0</v>
      </c>
      <c r="P68" s="1593" t="s">
        <v>1171</v>
      </c>
      <c r="Q68" s="2550" t="s">
        <v>1138</v>
      </c>
      <c r="R68" s="1600">
        <f t="shared" si="16"/>
        <v>4720</v>
      </c>
      <c r="S68" s="1608">
        <v>0</v>
      </c>
      <c r="T68" s="1608">
        <v>4720</v>
      </c>
      <c r="U68" s="1600">
        <f t="shared" si="17"/>
        <v>0</v>
      </c>
      <c r="V68" s="1608">
        <v>0</v>
      </c>
      <c r="W68" s="1608">
        <v>0</v>
      </c>
      <c r="X68" s="1423">
        <f t="shared" si="13"/>
        <v>0</v>
      </c>
      <c r="Y68" s="725"/>
      <c r="AA68" s="725"/>
    </row>
    <row r="69" spans="1:27" ht="98.25" hidden="1" customHeight="1">
      <c r="A69" s="2041"/>
      <c r="B69" s="1895" t="s">
        <v>1416</v>
      </c>
      <c r="C69" s="1882">
        <v>24355</v>
      </c>
      <c r="D69" s="1602">
        <f t="shared" si="4"/>
        <v>0</v>
      </c>
      <c r="E69" s="1616"/>
      <c r="F69" s="1616">
        <v>0</v>
      </c>
      <c r="G69" s="1602">
        <f t="shared" si="15"/>
        <v>0</v>
      </c>
      <c r="H69" s="1616">
        <f t="shared" si="10"/>
        <v>0</v>
      </c>
      <c r="I69" s="1616">
        <f t="shared" si="11"/>
        <v>0</v>
      </c>
      <c r="J69" s="1602">
        <f t="shared" si="14"/>
        <v>0</v>
      </c>
      <c r="K69" s="1616"/>
      <c r="L69" s="1616"/>
      <c r="M69" s="1604">
        <f t="shared" si="2"/>
        <v>0</v>
      </c>
      <c r="N69" s="1881">
        <f t="shared" si="2"/>
        <v>0</v>
      </c>
      <c r="O69" s="1881">
        <f t="shared" si="2"/>
        <v>0</v>
      </c>
      <c r="P69" s="1593" t="s">
        <v>1171</v>
      </c>
      <c r="Q69" s="2550"/>
      <c r="R69" s="1600">
        <f t="shared" si="16"/>
        <v>5980</v>
      </c>
      <c r="S69" s="1608">
        <v>0</v>
      </c>
      <c r="T69" s="1608">
        <v>5980</v>
      </c>
      <c r="U69" s="1600">
        <f t="shared" si="17"/>
        <v>0</v>
      </c>
      <c r="V69" s="1608">
        <v>0</v>
      </c>
      <c r="W69" s="1608">
        <v>0</v>
      </c>
      <c r="X69" s="1423">
        <f t="shared" si="13"/>
        <v>0</v>
      </c>
      <c r="Y69" s="725"/>
      <c r="AA69" s="725"/>
    </row>
    <row r="70" spans="1:27" s="1607" customFormat="1" ht="24" customHeight="1">
      <c r="A70" s="2041"/>
      <c r="B70" s="2040" t="s">
        <v>1400</v>
      </c>
      <c r="C70" s="2042"/>
      <c r="D70" s="1602">
        <f t="shared" si="4"/>
        <v>20093.599999999999</v>
      </c>
      <c r="E70" s="1603">
        <f>SUM(E72:E74)</f>
        <v>0</v>
      </c>
      <c r="F70" s="1603">
        <f>SUM(F71:F74)</f>
        <v>20093.599999999999</v>
      </c>
      <c r="G70" s="1602">
        <f t="shared" si="15"/>
        <v>20093.599999999999</v>
      </c>
      <c r="H70" s="1603">
        <f t="shared" si="10"/>
        <v>0</v>
      </c>
      <c r="I70" s="1603">
        <f t="shared" si="11"/>
        <v>20093.599999999999</v>
      </c>
      <c r="J70" s="1602">
        <f t="shared" si="14"/>
        <v>0</v>
      </c>
      <c r="K70" s="1603">
        <f>SUM(K72:K74)</f>
        <v>0</v>
      </c>
      <c r="L70" s="1603">
        <f>SUM(L72:L74)</f>
        <v>0</v>
      </c>
      <c r="M70" s="1604">
        <f t="shared" si="2"/>
        <v>0</v>
      </c>
      <c r="N70" s="1881">
        <f t="shared" si="2"/>
        <v>0</v>
      </c>
      <c r="O70" s="1881">
        <f t="shared" si="2"/>
        <v>0</v>
      </c>
      <c r="P70" s="1593" t="s">
        <v>353</v>
      </c>
      <c r="Q70" s="1593" t="s">
        <v>353</v>
      </c>
      <c r="R70" s="1602">
        <f t="shared" si="16"/>
        <v>0</v>
      </c>
      <c r="S70" s="1603">
        <f>SUM(S72:S74)</f>
        <v>0</v>
      </c>
      <c r="T70" s="1603">
        <f>SUM(T72:T74)</f>
        <v>0</v>
      </c>
      <c r="U70" s="1602">
        <f t="shared" si="17"/>
        <v>0</v>
      </c>
      <c r="V70" s="1603">
        <f>SUM(V72:V74)</f>
        <v>0</v>
      </c>
      <c r="W70" s="1603">
        <f>SUM(W72:W74)</f>
        <v>0</v>
      </c>
      <c r="X70" s="1423">
        <f t="shared" si="13"/>
        <v>0</v>
      </c>
      <c r="Y70" s="725"/>
      <c r="AA70" s="725"/>
    </row>
    <row r="71" spans="1:27" s="1607" customFormat="1" ht="42.75" hidden="1" customHeight="1">
      <c r="A71" s="2041">
        <f>A67+1</f>
        <v>16</v>
      </c>
      <c r="B71" s="1889" t="s">
        <v>1706</v>
      </c>
      <c r="C71" s="2042"/>
      <c r="D71" s="1600">
        <f>SUM(E71:F71)</f>
        <v>0</v>
      </c>
      <c r="E71" s="1608"/>
      <c r="F71" s="1608">
        <v>0</v>
      </c>
      <c r="G71" s="1600">
        <f>SUM(H71:I71)</f>
        <v>0</v>
      </c>
      <c r="H71" s="1608">
        <f t="shared" si="10"/>
        <v>0</v>
      </c>
      <c r="I71" s="1608">
        <f t="shared" si="11"/>
        <v>0</v>
      </c>
      <c r="J71" s="1600">
        <f>SUM(K71:L71)</f>
        <v>0</v>
      </c>
      <c r="K71" s="1616"/>
      <c r="L71" s="1616"/>
      <c r="M71" s="1604">
        <f t="shared" si="2"/>
        <v>0</v>
      </c>
      <c r="N71" s="1881">
        <f t="shared" si="2"/>
        <v>0</v>
      </c>
      <c r="O71" s="1881">
        <f t="shared" si="2"/>
        <v>0</v>
      </c>
      <c r="P71" s="1593"/>
      <c r="Q71" s="1593"/>
      <c r="R71" s="1602"/>
      <c r="S71" s="1603"/>
      <c r="T71" s="1603"/>
      <c r="U71" s="1602"/>
      <c r="V71" s="1603"/>
      <c r="W71" s="1603"/>
      <c r="X71" s="1423">
        <f t="shared" si="13"/>
        <v>0</v>
      </c>
      <c r="Y71" s="725"/>
      <c r="AA71" s="725"/>
    </row>
    <row r="72" spans="1:27" s="1607" customFormat="1" ht="42" hidden="1" customHeight="1">
      <c r="A72" s="2041">
        <f>A71+1</f>
        <v>17</v>
      </c>
      <c r="B72" s="521" t="s">
        <v>1398</v>
      </c>
      <c r="C72" s="1882">
        <v>24366</v>
      </c>
      <c r="D72" s="1600">
        <f t="shared" si="4"/>
        <v>0</v>
      </c>
      <c r="E72" s="1608"/>
      <c r="F72" s="1608">
        <v>0</v>
      </c>
      <c r="G72" s="1600">
        <f t="shared" si="15"/>
        <v>0</v>
      </c>
      <c r="H72" s="1608">
        <f t="shared" si="10"/>
        <v>0</v>
      </c>
      <c r="I72" s="1608">
        <f t="shared" si="11"/>
        <v>0</v>
      </c>
      <c r="J72" s="1600">
        <f t="shared" si="14"/>
        <v>0</v>
      </c>
      <c r="K72" s="1616"/>
      <c r="L72" s="1616"/>
      <c r="M72" s="1604">
        <f t="shared" si="2"/>
        <v>0</v>
      </c>
      <c r="N72" s="1881">
        <f t="shared" si="2"/>
        <v>0</v>
      </c>
      <c r="O72" s="1881">
        <f t="shared" si="2"/>
        <v>0</v>
      </c>
      <c r="P72" s="1593" t="s">
        <v>1171</v>
      </c>
      <c r="Q72" s="1593" t="s">
        <v>1116</v>
      </c>
      <c r="R72" s="1600">
        <f t="shared" si="16"/>
        <v>0</v>
      </c>
      <c r="S72" s="1608">
        <v>0</v>
      </c>
      <c r="T72" s="1608">
        <v>0</v>
      </c>
      <c r="U72" s="1600">
        <f t="shared" si="17"/>
        <v>0</v>
      </c>
      <c r="V72" s="1608">
        <v>0</v>
      </c>
      <c r="W72" s="1608">
        <v>0</v>
      </c>
      <c r="X72" s="1423">
        <f t="shared" si="13"/>
        <v>0</v>
      </c>
      <c r="Y72" s="725"/>
      <c r="AA72" s="725"/>
    </row>
    <row r="73" spans="1:27" s="1607" customFormat="1" ht="30.75" customHeight="1">
      <c r="A73" s="2041">
        <f>A66+1</f>
        <v>15</v>
      </c>
      <c r="B73" s="521" t="s">
        <v>1413</v>
      </c>
      <c r="C73" s="1882">
        <v>24366</v>
      </c>
      <c r="D73" s="1602">
        <f t="shared" si="4"/>
        <v>6338.1</v>
      </c>
      <c r="E73" s="1616"/>
      <c r="F73" s="1616">
        <v>6338.1</v>
      </c>
      <c r="G73" s="1602">
        <f t="shared" si="15"/>
        <v>6338.1</v>
      </c>
      <c r="H73" s="1616">
        <f t="shared" si="10"/>
        <v>0</v>
      </c>
      <c r="I73" s="1616">
        <f t="shared" si="11"/>
        <v>6338.1</v>
      </c>
      <c r="J73" s="1602">
        <f t="shared" si="14"/>
        <v>0</v>
      </c>
      <c r="K73" s="1616"/>
      <c r="L73" s="1616"/>
      <c r="M73" s="1604">
        <f t="shared" si="2"/>
        <v>0</v>
      </c>
      <c r="N73" s="1881">
        <f t="shared" si="2"/>
        <v>0</v>
      </c>
      <c r="O73" s="1881">
        <f t="shared" si="2"/>
        <v>0</v>
      </c>
      <c r="P73" s="1593" t="s">
        <v>1171</v>
      </c>
      <c r="Q73" s="1593" t="s">
        <v>1116</v>
      </c>
      <c r="R73" s="1600">
        <f t="shared" si="16"/>
        <v>0</v>
      </c>
      <c r="S73" s="1608">
        <v>0</v>
      </c>
      <c r="T73" s="1608">
        <v>0</v>
      </c>
      <c r="U73" s="1600">
        <f t="shared" si="17"/>
        <v>0</v>
      </c>
      <c r="V73" s="1608">
        <v>0</v>
      </c>
      <c r="W73" s="1608">
        <v>0</v>
      </c>
      <c r="X73" s="1423">
        <f t="shared" si="13"/>
        <v>0</v>
      </c>
      <c r="Y73" s="725"/>
      <c r="AA73" s="725"/>
    </row>
    <row r="74" spans="1:27" s="1607" customFormat="1" ht="46.5" customHeight="1">
      <c r="A74" s="2041">
        <f>A73+1</f>
        <v>16</v>
      </c>
      <c r="B74" s="1883" t="s">
        <v>1414</v>
      </c>
      <c r="C74" s="1880">
        <v>24366</v>
      </c>
      <c r="D74" s="1602">
        <f t="shared" si="4"/>
        <v>13755.5</v>
      </c>
      <c r="E74" s="1616"/>
      <c r="F74" s="1616">
        <v>13755.5</v>
      </c>
      <c r="G74" s="1602">
        <f t="shared" si="15"/>
        <v>13755.5</v>
      </c>
      <c r="H74" s="1616">
        <f t="shared" si="10"/>
        <v>0</v>
      </c>
      <c r="I74" s="1616">
        <f t="shared" si="11"/>
        <v>13755.5</v>
      </c>
      <c r="J74" s="1602">
        <f t="shared" si="14"/>
        <v>0</v>
      </c>
      <c r="K74" s="1616"/>
      <c r="L74" s="1616"/>
      <c r="M74" s="1604">
        <f t="shared" si="2"/>
        <v>0</v>
      </c>
      <c r="N74" s="1881">
        <f t="shared" si="2"/>
        <v>0</v>
      </c>
      <c r="O74" s="1881">
        <f t="shared" si="2"/>
        <v>0</v>
      </c>
      <c r="P74" s="1593" t="s">
        <v>1171</v>
      </c>
      <c r="Q74" s="1593" t="s">
        <v>1116</v>
      </c>
      <c r="R74" s="1600">
        <f t="shared" si="16"/>
        <v>0</v>
      </c>
      <c r="S74" s="1608">
        <v>0</v>
      </c>
      <c r="T74" s="1608">
        <v>0</v>
      </c>
      <c r="U74" s="1600">
        <f t="shared" si="17"/>
        <v>0</v>
      </c>
      <c r="V74" s="1608">
        <v>0</v>
      </c>
      <c r="W74" s="1608">
        <v>0</v>
      </c>
      <c r="X74" s="1423">
        <f t="shared" si="13"/>
        <v>0</v>
      </c>
      <c r="Y74" s="725"/>
      <c r="AA74" s="725"/>
    </row>
    <row r="75" spans="1:27" s="484" customFormat="1" ht="57.75" customHeight="1">
      <c r="A75" s="2057"/>
      <c r="B75" s="1897" t="s">
        <v>1628</v>
      </c>
      <c r="C75" s="1898"/>
      <c r="D75" s="1899">
        <f t="shared" si="4"/>
        <v>2900</v>
      </c>
      <c r="E75" s="1899">
        <f>SUM(E76,E78)</f>
        <v>0</v>
      </c>
      <c r="F75" s="1899">
        <f>SUM(F76,F78)</f>
        <v>2900</v>
      </c>
      <c r="G75" s="1899">
        <f>SUM(H75:I75)</f>
        <v>2900</v>
      </c>
      <c r="H75" s="1899">
        <f>SUM(H76,H78)</f>
        <v>0</v>
      </c>
      <c r="I75" s="1899">
        <f>SUM(I76,I78)</f>
        <v>2900</v>
      </c>
      <c r="J75" s="1899">
        <f>SUM(K75:L75)</f>
        <v>2529.1</v>
      </c>
      <c r="K75" s="1899">
        <f>SUM(K76,K78)</f>
        <v>0</v>
      </c>
      <c r="L75" s="1899">
        <f>SUM(L76,L78)</f>
        <v>2529.1</v>
      </c>
      <c r="M75" s="1900">
        <f t="shared" si="2"/>
        <v>87.2</v>
      </c>
      <c r="N75" s="1901">
        <f t="shared" si="2"/>
        <v>0</v>
      </c>
      <c r="O75" s="1901">
        <f t="shared" si="2"/>
        <v>87.2</v>
      </c>
      <c r="P75" s="2059" t="e">
        <f>SUM(P92+P80+P98)</f>
        <v>#VALUE!</v>
      </c>
      <c r="Q75" s="2059" t="e">
        <f>SUM(Q92+Q80+Q98)</f>
        <v>#VALUE!</v>
      </c>
      <c r="R75" s="1899">
        <f t="shared" si="16"/>
        <v>0</v>
      </c>
      <c r="S75" s="1899">
        <f>SUM(S76,S78)</f>
        <v>0</v>
      </c>
      <c r="T75" s="1899">
        <f>SUM(T76,T78)</f>
        <v>0</v>
      </c>
      <c r="U75" s="1899">
        <f t="shared" si="17"/>
        <v>0</v>
      </c>
      <c r="V75" s="1899">
        <f>SUM(V76,V78)</f>
        <v>0</v>
      </c>
      <c r="W75" s="1899">
        <f>SUM(W76,W78)</f>
        <v>0</v>
      </c>
      <c r="X75" s="1423">
        <f t="shared" si="13"/>
        <v>0</v>
      </c>
      <c r="Y75" s="725" t="s">
        <v>1782</v>
      </c>
      <c r="AA75" s="725"/>
    </row>
    <row r="76" spans="1:27" s="484" customFormat="1" ht="27" customHeight="1">
      <c r="A76" s="2057"/>
      <c r="B76" s="2056" t="s">
        <v>1401</v>
      </c>
      <c r="C76" s="1882"/>
      <c r="D76" s="1600">
        <f t="shared" si="4"/>
        <v>1400</v>
      </c>
      <c r="E76" s="1601">
        <f>E77</f>
        <v>0</v>
      </c>
      <c r="F76" s="1601">
        <f>F77</f>
        <v>1400</v>
      </c>
      <c r="G76" s="1600">
        <f t="shared" si="15"/>
        <v>1400</v>
      </c>
      <c r="H76" s="1601">
        <f t="shared" si="10"/>
        <v>0</v>
      </c>
      <c r="I76" s="1601">
        <f t="shared" si="11"/>
        <v>1400</v>
      </c>
      <c r="J76" s="1600">
        <f t="shared" si="14"/>
        <v>1400</v>
      </c>
      <c r="K76" s="1603">
        <f>K77</f>
        <v>0</v>
      </c>
      <c r="L76" s="1603">
        <f>L77</f>
        <v>1400</v>
      </c>
      <c r="M76" s="1604">
        <f t="shared" si="2"/>
        <v>100</v>
      </c>
      <c r="N76" s="1881">
        <f t="shared" si="2"/>
        <v>0</v>
      </c>
      <c r="O76" s="1881">
        <f t="shared" si="2"/>
        <v>100</v>
      </c>
      <c r="P76" s="1601">
        <f t="shared" ref="P76:W76" si="18">P77</f>
        <v>0</v>
      </c>
      <c r="Q76" s="1601">
        <f t="shared" si="18"/>
        <v>0</v>
      </c>
      <c r="R76" s="1601">
        <f t="shared" si="18"/>
        <v>0</v>
      </c>
      <c r="S76" s="1601">
        <f t="shared" si="18"/>
        <v>0</v>
      </c>
      <c r="T76" s="1601">
        <f t="shared" si="18"/>
        <v>0</v>
      </c>
      <c r="U76" s="1601">
        <f t="shared" si="18"/>
        <v>0</v>
      </c>
      <c r="V76" s="1601">
        <f t="shared" si="18"/>
        <v>0</v>
      </c>
      <c r="W76" s="1601">
        <f t="shared" si="18"/>
        <v>0</v>
      </c>
      <c r="X76" s="1423">
        <f t="shared" si="13"/>
        <v>0</v>
      </c>
      <c r="Y76" s="725"/>
      <c r="AA76" s="725"/>
    </row>
    <row r="77" spans="1:27" s="484" customFormat="1" ht="39.75" customHeight="1">
      <c r="A77" s="2057" t="s">
        <v>1804</v>
      </c>
      <c r="B77" s="1889" t="s">
        <v>681</v>
      </c>
      <c r="C77" s="1882">
        <v>90420</v>
      </c>
      <c r="D77" s="1600">
        <f t="shared" si="4"/>
        <v>1400</v>
      </c>
      <c r="E77" s="1608"/>
      <c r="F77" s="1608">
        <v>1400</v>
      </c>
      <c r="G77" s="1600">
        <f t="shared" si="15"/>
        <v>1400</v>
      </c>
      <c r="H77" s="1608">
        <f>E77</f>
        <v>0</v>
      </c>
      <c r="I77" s="1608">
        <f>F77</f>
        <v>1400</v>
      </c>
      <c r="J77" s="1600">
        <f t="shared" si="14"/>
        <v>1400</v>
      </c>
      <c r="K77" s="1616"/>
      <c r="L77" s="1616">
        <v>1400</v>
      </c>
      <c r="M77" s="1604">
        <f t="shared" si="2"/>
        <v>100</v>
      </c>
      <c r="N77" s="1881">
        <f t="shared" si="2"/>
        <v>0</v>
      </c>
      <c r="O77" s="1881">
        <f t="shared" si="2"/>
        <v>100</v>
      </c>
      <c r="P77" s="1593"/>
      <c r="Q77" s="1593"/>
      <c r="R77" s="1600">
        <f>S77+T77</f>
        <v>0</v>
      </c>
      <c r="S77" s="1614"/>
      <c r="T77" s="1614"/>
      <c r="U77" s="1600">
        <f>V77+W77</f>
        <v>0</v>
      </c>
      <c r="V77" s="1614"/>
      <c r="W77" s="1614"/>
      <c r="X77" s="1423">
        <f t="shared" si="13"/>
        <v>0</v>
      </c>
      <c r="Y77" s="725"/>
      <c r="AA77" s="725"/>
    </row>
    <row r="78" spans="1:27" s="484" customFormat="1" ht="23.25" customHeight="1">
      <c r="A78" s="2057"/>
      <c r="B78" s="2056" t="s">
        <v>1554</v>
      </c>
      <c r="C78" s="1882"/>
      <c r="D78" s="1600">
        <f t="shared" si="4"/>
        <v>1500</v>
      </c>
      <c r="E78" s="1601">
        <f>E79</f>
        <v>0</v>
      </c>
      <c r="F78" s="1601">
        <f>F79</f>
        <v>1500</v>
      </c>
      <c r="G78" s="1600">
        <f t="shared" si="15"/>
        <v>1500</v>
      </c>
      <c r="H78" s="1601">
        <f t="shared" si="10"/>
        <v>0</v>
      </c>
      <c r="I78" s="1601">
        <f t="shared" si="11"/>
        <v>1500</v>
      </c>
      <c r="J78" s="1600">
        <f t="shared" si="14"/>
        <v>1129.0999999999999</v>
      </c>
      <c r="K78" s="1603">
        <f>K79</f>
        <v>0</v>
      </c>
      <c r="L78" s="1603">
        <f>L79</f>
        <v>1129.0999999999999</v>
      </c>
      <c r="M78" s="1604">
        <f t="shared" si="2"/>
        <v>75.3</v>
      </c>
      <c r="N78" s="1881">
        <f t="shared" si="2"/>
        <v>0</v>
      </c>
      <c r="O78" s="1881">
        <f t="shared" si="2"/>
        <v>75.3</v>
      </c>
      <c r="P78" s="1593"/>
      <c r="Q78" s="1593"/>
      <c r="R78" s="1602">
        <f>SUM(S78:T78)</f>
        <v>0</v>
      </c>
      <c r="S78" s="1603">
        <f>S79</f>
        <v>0</v>
      </c>
      <c r="T78" s="1603">
        <f>T79</f>
        <v>0</v>
      </c>
      <c r="U78" s="1602">
        <f>SUM(V78:W78)</f>
        <v>0</v>
      </c>
      <c r="V78" s="1603">
        <f>V79</f>
        <v>0</v>
      </c>
      <c r="W78" s="1603">
        <f>W79</f>
        <v>0</v>
      </c>
      <c r="X78" s="1423">
        <f t="shared" si="13"/>
        <v>0</v>
      </c>
      <c r="Y78" s="725"/>
      <c r="AA78" s="725"/>
    </row>
    <row r="79" spans="1:27" s="484" customFormat="1" ht="39.75" customHeight="1">
      <c r="A79" s="2057" t="s">
        <v>1805</v>
      </c>
      <c r="B79" s="1889" t="s">
        <v>1623</v>
      </c>
      <c r="C79" s="1882">
        <v>90420</v>
      </c>
      <c r="D79" s="1602">
        <f t="shared" si="4"/>
        <v>1500</v>
      </c>
      <c r="E79" s="1616"/>
      <c r="F79" s="1616">
        <v>1500</v>
      </c>
      <c r="G79" s="1602">
        <f t="shared" si="15"/>
        <v>1500</v>
      </c>
      <c r="H79" s="1616">
        <f>E79</f>
        <v>0</v>
      </c>
      <c r="I79" s="1616">
        <f>F79</f>
        <v>1500</v>
      </c>
      <c r="J79" s="1602">
        <f t="shared" si="14"/>
        <v>1129.0999999999999</v>
      </c>
      <c r="K79" s="1616"/>
      <c r="L79" s="1616">
        <v>1129.0999999999999</v>
      </c>
      <c r="M79" s="1604">
        <f t="shared" ref="M79:O149" si="19">IF(J79=0,0,J79/G79*100)</f>
        <v>75.3</v>
      </c>
      <c r="N79" s="1881">
        <f t="shared" si="19"/>
        <v>0</v>
      </c>
      <c r="O79" s="1881">
        <f t="shared" si="19"/>
        <v>75.3</v>
      </c>
      <c r="P79" s="1593"/>
      <c r="Q79" s="1593"/>
      <c r="R79" s="1600">
        <f>S79+T79</f>
        <v>0</v>
      </c>
      <c r="S79" s="1614"/>
      <c r="T79" s="1614"/>
      <c r="U79" s="1600">
        <f>V79+W79</f>
        <v>0</v>
      </c>
      <c r="V79" s="1614"/>
      <c r="W79" s="1614"/>
      <c r="X79" s="1423">
        <f t="shared" si="13"/>
        <v>0</v>
      </c>
      <c r="Y79" s="725"/>
      <c r="AA79" s="725"/>
    </row>
    <row r="80" spans="1:27" ht="25.5" customHeight="1">
      <c r="A80" s="2057" t="s">
        <v>254</v>
      </c>
      <c r="B80" s="1876" t="s">
        <v>1394</v>
      </c>
      <c r="C80" s="1877"/>
      <c r="D80" s="1598">
        <f t="shared" si="4"/>
        <v>1404891.9</v>
      </c>
      <c r="E80" s="1903">
        <f>E81+E92</f>
        <v>1356275</v>
      </c>
      <c r="F80" s="1903">
        <f>F81+F92</f>
        <v>48616.9</v>
      </c>
      <c r="G80" s="1598">
        <f>SUM(H80:I80)</f>
        <v>1404088.9</v>
      </c>
      <c r="H80" s="1903">
        <f>H81+H92</f>
        <v>1355520.2</v>
      </c>
      <c r="I80" s="1903">
        <f>I81+I92</f>
        <v>48568.7</v>
      </c>
      <c r="J80" s="1598">
        <f>SUM(K80:L80)</f>
        <v>1156504</v>
      </c>
      <c r="K80" s="1903">
        <f>K81+K92</f>
        <v>1120211.7</v>
      </c>
      <c r="L80" s="1903">
        <f>L81+L92</f>
        <v>36292.300000000003</v>
      </c>
      <c r="M80" s="1903">
        <f t="shared" si="19"/>
        <v>82.4</v>
      </c>
      <c r="N80" s="1903">
        <f t="shared" si="19"/>
        <v>82.6</v>
      </c>
      <c r="O80" s="1903">
        <f t="shared" si="19"/>
        <v>74.7</v>
      </c>
      <c r="P80" s="1599" t="s">
        <v>353</v>
      </c>
      <c r="Q80" s="1599" t="s">
        <v>353</v>
      </c>
      <c r="R80" s="1598" t="e">
        <f>SUM(S80:T80)</f>
        <v>#REF!</v>
      </c>
      <c r="S80" s="1903" t="e">
        <f>SUM(S81+S92+#REF!)</f>
        <v>#REF!</v>
      </c>
      <c r="T80" s="1903" t="e">
        <f>SUM(T81+T92+#REF!)</f>
        <v>#REF!</v>
      </c>
      <c r="U80" s="1598" t="e">
        <f>SUM(V80:W80)</f>
        <v>#REF!</v>
      </c>
      <c r="V80" s="1903" t="e">
        <f>SUM(V81+V92+#REF!)</f>
        <v>#REF!</v>
      </c>
      <c r="W80" s="1903" t="e">
        <f>SUM(W81+W92+#REF!)</f>
        <v>#REF!</v>
      </c>
      <c r="X80" s="1423">
        <f t="shared" si="13"/>
        <v>803</v>
      </c>
      <c r="Y80" s="725"/>
      <c r="AA80" s="725"/>
    </row>
    <row r="81" spans="1:27" ht="30.75" customHeight="1">
      <c r="A81" s="2057" t="s">
        <v>1519</v>
      </c>
      <c r="B81" s="1897" t="s">
        <v>1395</v>
      </c>
      <c r="C81" s="1898"/>
      <c r="D81" s="1899">
        <f>SUM(E81:F81)</f>
        <v>1227331.5</v>
      </c>
      <c r="E81" s="1899">
        <f>E82+E89+E87</f>
        <v>1199733.2</v>
      </c>
      <c r="F81" s="1899">
        <f>F82+F89</f>
        <v>27598.3</v>
      </c>
      <c r="G81" s="1899">
        <f>SUM(H81:I81)</f>
        <v>1227331.5</v>
      </c>
      <c r="H81" s="1899">
        <f>H82+H89+H87</f>
        <v>1199733.2</v>
      </c>
      <c r="I81" s="1899">
        <f>I82+I89</f>
        <v>27598.3</v>
      </c>
      <c r="J81" s="1899">
        <f>SUM(K81:L81)</f>
        <v>1107645.6000000001</v>
      </c>
      <c r="K81" s="1899">
        <f>K82+K89+K87</f>
        <v>1082256.6000000001</v>
      </c>
      <c r="L81" s="1899">
        <f>L82+L89</f>
        <v>25389</v>
      </c>
      <c r="M81" s="1899">
        <f t="shared" si="19"/>
        <v>90.2</v>
      </c>
      <c r="N81" s="1899">
        <f t="shared" si="19"/>
        <v>90.2</v>
      </c>
      <c r="O81" s="1899">
        <f t="shared" si="19"/>
        <v>92</v>
      </c>
      <c r="P81" s="1899" t="e">
        <f t="shared" ref="P81:W81" si="20">P82+P89+P87</f>
        <v>#VALUE!</v>
      </c>
      <c r="Q81" s="1899" t="e">
        <f t="shared" si="20"/>
        <v>#VALUE!</v>
      </c>
      <c r="R81" s="1899">
        <f t="shared" si="20"/>
        <v>702732.2</v>
      </c>
      <c r="S81" s="1899">
        <f t="shared" si="20"/>
        <v>695705</v>
      </c>
      <c r="T81" s="1899">
        <f t="shared" si="20"/>
        <v>7027.2</v>
      </c>
      <c r="U81" s="1899">
        <f t="shared" si="20"/>
        <v>2102737.1</v>
      </c>
      <c r="V81" s="1899">
        <f t="shared" si="20"/>
        <v>2081709.6</v>
      </c>
      <c r="W81" s="1899">
        <f t="shared" si="20"/>
        <v>21027.5</v>
      </c>
      <c r="X81" s="1423">
        <f t="shared" si="13"/>
        <v>0</v>
      </c>
      <c r="Y81" s="725"/>
      <c r="AA81" s="725"/>
    </row>
    <row r="82" spans="1:27" ht="24.75" customHeight="1">
      <c r="A82" s="2057"/>
      <c r="B82" s="1897" t="s">
        <v>1396</v>
      </c>
      <c r="C82" s="1898"/>
      <c r="D82" s="1899">
        <f>SUM(E82:F82)</f>
        <v>936.1</v>
      </c>
      <c r="E82" s="1899">
        <f>E85+E83</f>
        <v>856.5</v>
      </c>
      <c r="F82" s="1899">
        <f t="shared" ref="F82:W82" si="21">F85+F83</f>
        <v>79.599999999999994</v>
      </c>
      <c r="G82" s="1899">
        <f>SUM(H82:I82)</f>
        <v>936.1</v>
      </c>
      <c r="H82" s="1899">
        <f>H85+H83</f>
        <v>856.5</v>
      </c>
      <c r="I82" s="1899">
        <f>I85+I83</f>
        <v>79.599999999999994</v>
      </c>
      <c r="J82" s="1899">
        <f>SUM(K82:L82)</f>
        <v>936.1</v>
      </c>
      <c r="K82" s="1899">
        <f>K85+K83</f>
        <v>856.5</v>
      </c>
      <c r="L82" s="1899">
        <f>L85+L83</f>
        <v>79.599999999999994</v>
      </c>
      <c r="M82" s="1899">
        <f t="shared" si="19"/>
        <v>100</v>
      </c>
      <c r="N82" s="1899">
        <f t="shared" si="19"/>
        <v>100</v>
      </c>
      <c r="O82" s="1899">
        <f t="shared" si="19"/>
        <v>100</v>
      </c>
      <c r="P82" s="1899" t="e">
        <f t="shared" si="21"/>
        <v>#VALUE!</v>
      </c>
      <c r="Q82" s="1899" t="e">
        <f t="shared" si="21"/>
        <v>#VALUE!</v>
      </c>
      <c r="R82" s="1899">
        <f t="shared" si="21"/>
        <v>216010.9</v>
      </c>
      <c r="S82" s="1899">
        <f t="shared" si="21"/>
        <v>213850.8</v>
      </c>
      <c r="T82" s="1899">
        <f t="shared" si="21"/>
        <v>2160.1</v>
      </c>
      <c r="U82" s="1899">
        <f t="shared" si="21"/>
        <v>327265.90000000002</v>
      </c>
      <c r="V82" s="1899">
        <f t="shared" si="21"/>
        <v>323993.2</v>
      </c>
      <c r="W82" s="1899">
        <f t="shared" si="21"/>
        <v>3272.7</v>
      </c>
      <c r="X82" s="1423">
        <f t="shared" si="13"/>
        <v>0</v>
      </c>
      <c r="Y82" s="725" t="s">
        <v>1783</v>
      </c>
      <c r="AA82" s="725"/>
    </row>
    <row r="83" spans="1:27" ht="37.5" hidden="1" customHeight="1">
      <c r="A83" s="2057"/>
      <c r="B83" s="2056" t="s">
        <v>1667</v>
      </c>
      <c r="C83" s="2058"/>
      <c r="D83" s="1602">
        <f>SUM(E83:F83)</f>
        <v>0</v>
      </c>
      <c r="E83" s="1603">
        <f>SUM(E84)</f>
        <v>0</v>
      </c>
      <c r="F83" s="1603">
        <f>SUM(F84)</f>
        <v>0</v>
      </c>
      <c r="G83" s="1602">
        <f t="shared" si="15"/>
        <v>0</v>
      </c>
      <c r="H83" s="1603">
        <f t="shared" ref="H83:H155" si="22">E83</f>
        <v>0</v>
      </c>
      <c r="I83" s="1603">
        <f t="shared" ref="I83:I155" si="23">F83</f>
        <v>0</v>
      </c>
      <c r="J83" s="1602">
        <f t="shared" si="14"/>
        <v>0</v>
      </c>
      <c r="K83" s="1603">
        <f>SUM(K84)</f>
        <v>0</v>
      </c>
      <c r="L83" s="1603">
        <f>SUM(L84)</f>
        <v>0</v>
      </c>
      <c r="M83" s="1604">
        <f t="shared" si="19"/>
        <v>0</v>
      </c>
      <c r="N83" s="1881">
        <f t="shared" si="19"/>
        <v>0</v>
      </c>
      <c r="O83" s="1881">
        <f t="shared" si="19"/>
        <v>0</v>
      </c>
      <c r="P83" s="1593" t="s">
        <v>353</v>
      </c>
      <c r="Q83" s="1593" t="s">
        <v>353</v>
      </c>
      <c r="R83" s="1602">
        <f>SUM(S83:T83)</f>
        <v>216010.9</v>
      </c>
      <c r="S83" s="1603">
        <f>SUM(S84)</f>
        <v>213850.8</v>
      </c>
      <c r="T83" s="1603">
        <f>SUM(T84)</f>
        <v>2160.1</v>
      </c>
      <c r="U83" s="1602">
        <f>SUM(V83:W83)</f>
        <v>327265.90000000002</v>
      </c>
      <c r="V83" s="1603">
        <f>SUM(V84)</f>
        <v>323993.2</v>
      </c>
      <c r="W83" s="1603">
        <f>SUM(W84)</f>
        <v>3272.7</v>
      </c>
      <c r="AA83" s="725"/>
    </row>
    <row r="84" spans="1:27" ht="59.25" hidden="1" customHeight="1">
      <c r="A84" s="2057"/>
      <c r="B84" s="1885" t="s">
        <v>672</v>
      </c>
      <c r="C84" s="1904" t="s">
        <v>1539</v>
      </c>
      <c r="D84" s="1602">
        <f>SUM(E84:F84)</f>
        <v>0</v>
      </c>
      <c r="E84" s="1615">
        <v>0</v>
      </c>
      <c r="F84" s="1615">
        <v>0</v>
      </c>
      <c r="G84" s="1602">
        <f t="shared" si="15"/>
        <v>0</v>
      </c>
      <c r="H84" s="1615">
        <f t="shared" si="22"/>
        <v>0</v>
      </c>
      <c r="I84" s="1615">
        <f t="shared" si="23"/>
        <v>0</v>
      </c>
      <c r="J84" s="1602">
        <f t="shared" si="14"/>
        <v>0</v>
      </c>
      <c r="K84" s="1615">
        <v>0</v>
      </c>
      <c r="L84" s="1615">
        <v>0</v>
      </c>
      <c r="M84" s="1893">
        <f t="shared" si="19"/>
        <v>0</v>
      </c>
      <c r="N84" s="1894">
        <f t="shared" si="19"/>
        <v>0</v>
      </c>
      <c r="O84" s="1894">
        <f t="shared" si="19"/>
        <v>0</v>
      </c>
      <c r="P84" s="1593" t="s">
        <v>1171</v>
      </c>
      <c r="Q84" s="1593" t="s">
        <v>1659</v>
      </c>
      <c r="R84" s="1600">
        <f>SUM(S84:T84)</f>
        <v>216010.9</v>
      </c>
      <c r="S84" s="1614">
        <v>213850.8</v>
      </c>
      <c r="T84" s="1614">
        <v>2160.1</v>
      </c>
      <c r="U84" s="1600">
        <f>SUM(V84:W84)</f>
        <v>327265.90000000002</v>
      </c>
      <c r="V84" s="1614">
        <v>323993.2</v>
      </c>
      <c r="W84" s="1614">
        <v>3272.7</v>
      </c>
      <c r="AA84" s="725"/>
    </row>
    <row r="85" spans="1:27" ht="29.25" customHeight="1">
      <c r="A85" s="2057"/>
      <c r="B85" s="2056" t="s">
        <v>457</v>
      </c>
      <c r="C85" s="2058"/>
      <c r="D85" s="1602">
        <f t="shared" si="4"/>
        <v>936.1</v>
      </c>
      <c r="E85" s="1603">
        <f>SUM(E86)</f>
        <v>856.5</v>
      </c>
      <c r="F85" s="1603">
        <f>SUM(F86)</f>
        <v>79.599999999999994</v>
      </c>
      <c r="G85" s="1602">
        <f t="shared" si="15"/>
        <v>936.1</v>
      </c>
      <c r="H85" s="1603">
        <f t="shared" si="22"/>
        <v>856.5</v>
      </c>
      <c r="I85" s="1603">
        <f t="shared" si="23"/>
        <v>79.599999999999994</v>
      </c>
      <c r="J85" s="1602">
        <f t="shared" si="14"/>
        <v>936.1</v>
      </c>
      <c r="K85" s="1603">
        <f>SUM(K86)</f>
        <v>856.5</v>
      </c>
      <c r="L85" s="1603">
        <f>SUM(L86)</f>
        <v>79.599999999999994</v>
      </c>
      <c r="M85" s="1604">
        <f t="shared" si="19"/>
        <v>100</v>
      </c>
      <c r="N85" s="1881">
        <f t="shared" si="19"/>
        <v>100</v>
      </c>
      <c r="O85" s="1881">
        <f t="shared" si="19"/>
        <v>100</v>
      </c>
      <c r="P85" s="1593" t="s">
        <v>353</v>
      </c>
      <c r="Q85" s="1593" t="s">
        <v>353</v>
      </c>
      <c r="R85" s="1602">
        <f>SUM(S85:T85)</f>
        <v>0</v>
      </c>
      <c r="S85" s="1603">
        <f>SUM(S86)</f>
        <v>0</v>
      </c>
      <c r="T85" s="1603">
        <f>SUM(T86)</f>
        <v>0</v>
      </c>
      <c r="U85" s="1602">
        <f>SUM(V85:W85)</f>
        <v>0</v>
      </c>
      <c r="V85" s="1603">
        <f>SUM(V86)</f>
        <v>0</v>
      </c>
      <c r="W85" s="1603">
        <f>SUM(W86)</f>
        <v>0</v>
      </c>
      <c r="X85" s="1423">
        <f>D85-G85</f>
        <v>0</v>
      </c>
      <c r="Y85" s="725"/>
      <c r="AA85" s="725"/>
    </row>
    <row r="86" spans="1:27" s="484" customFormat="1" ht="46.5" customHeight="1">
      <c r="A86" s="2057">
        <f>A74+1</f>
        <v>17</v>
      </c>
      <c r="B86" s="1885" t="s">
        <v>1392</v>
      </c>
      <c r="C86" s="1904" t="s">
        <v>1539</v>
      </c>
      <c r="D86" s="1602">
        <f t="shared" si="4"/>
        <v>936.1</v>
      </c>
      <c r="E86" s="1615">
        <v>856.5</v>
      </c>
      <c r="F86" s="1615">
        <v>79.599999999999994</v>
      </c>
      <c r="G86" s="1600">
        <f t="shared" si="15"/>
        <v>936.1</v>
      </c>
      <c r="H86" s="1608">
        <f>E86</f>
        <v>856.5</v>
      </c>
      <c r="I86" s="1608">
        <f>F86</f>
        <v>79.599999999999994</v>
      </c>
      <c r="J86" s="1600">
        <f t="shared" si="14"/>
        <v>936.1</v>
      </c>
      <c r="K86" s="1614">
        <v>856.5</v>
      </c>
      <c r="L86" s="1615">
        <v>79.599999999999994</v>
      </c>
      <c r="M86" s="1893">
        <f t="shared" si="19"/>
        <v>100</v>
      </c>
      <c r="N86" s="1894">
        <f t="shared" si="19"/>
        <v>100</v>
      </c>
      <c r="O86" s="1894">
        <f t="shared" si="19"/>
        <v>100</v>
      </c>
      <c r="P86" s="1593" t="s">
        <v>1171</v>
      </c>
      <c r="Q86" s="1593" t="s">
        <v>1659</v>
      </c>
      <c r="R86" s="1600">
        <f>SUM(S86:T86)</f>
        <v>0</v>
      </c>
      <c r="S86" s="1614">
        <v>0</v>
      </c>
      <c r="T86" s="1614">
        <v>0</v>
      </c>
      <c r="U86" s="1600">
        <f>SUM(V86:W86)</f>
        <v>0</v>
      </c>
      <c r="V86" s="1614">
        <v>0</v>
      </c>
      <c r="W86" s="1614">
        <v>0</v>
      </c>
      <c r="X86" s="1423">
        <f>D86-G86</f>
        <v>0</v>
      </c>
      <c r="Y86" s="725"/>
      <c r="AA86" s="725"/>
    </row>
    <row r="87" spans="1:27" s="484" customFormat="1" ht="25.5" hidden="1" customHeight="1">
      <c r="A87" s="2057"/>
      <c r="B87" s="1897" t="s">
        <v>1650</v>
      </c>
      <c r="C87" s="1898"/>
      <c r="D87" s="1899">
        <f>SUM(E87:F87)</f>
        <v>0</v>
      </c>
      <c r="E87" s="2059">
        <f t="shared" ref="E87:W87" si="24">SUM(E88)</f>
        <v>0</v>
      </c>
      <c r="F87" s="2059">
        <f t="shared" si="24"/>
        <v>0</v>
      </c>
      <c r="G87" s="1899">
        <f t="shared" si="15"/>
        <v>0</v>
      </c>
      <c r="H87" s="2059">
        <f t="shared" si="22"/>
        <v>0</v>
      </c>
      <c r="I87" s="2059">
        <f t="shared" si="23"/>
        <v>0</v>
      </c>
      <c r="J87" s="1899">
        <f t="shared" si="14"/>
        <v>0</v>
      </c>
      <c r="K87" s="2059">
        <f t="shared" si="24"/>
        <v>0</v>
      </c>
      <c r="L87" s="2059">
        <f t="shared" si="24"/>
        <v>0</v>
      </c>
      <c r="M87" s="2059">
        <f t="shared" si="19"/>
        <v>0</v>
      </c>
      <c r="N87" s="2059">
        <f t="shared" si="19"/>
        <v>0</v>
      </c>
      <c r="O87" s="2059">
        <f t="shared" si="19"/>
        <v>0</v>
      </c>
      <c r="P87" s="2059">
        <f t="shared" si="24"/>
        <v>0</v>
      </c>
      <c r="Q87" s="2059">
        <f t="shared" si="24"/>
        <v>0</v>
      </c>
      <c r="R87" s="2059">
        <f t="shared" si="24"/>
        <v>0</v>
      </c>
      <c r="S87" s="2059">
        <f t="shared" si="24"/>
        <v>0</v>
      </c>
      <c r="T87" s="2059">
        <f t="shared" si="24"/>
        <v>0</v>
      </c>
      <c r="U87" s="2059">
        <f t="shared" si="24"/>
        <v>0</v>
      </c>
      <c r="V87" s="2059">
        <f t="shared" si="24"/>
        <v>0</v>
      </c>
      <c r="W87" s="2059">
        <f t="shared" si="24"/>
        <v>0</v>
      </c>
      <c r="AA87" s="725"/>
    </row>
    <row r="88" spans="1:27" s="484" customFormat="1" ht="88.5" hidden="1" customHeight="1">
      <c r="A88" s="2057"/>
      <c r="B88" s="1885" t="s">
        <v>455</v>
      </c>
      <c r="C88" s="1904"/>
      <c r="D88" s="1602">
        <f>SUM(E88:F88)</f>
        <v>0</v>
      </c>
      <c r="E88" s="1615">
        <v>0</v>
      </c>
      <c r="F88" s="1615">
        <v>0</v>
      </c>
      <c r="G88" s="1602">
        <f t="shared" si="15"/>
        <v>0</v>
      </c>
      <c r="H88" s="1615">
        <f t="shared" si="22"/>
        <v>0</v>
      </c>
      <c r="I88" s="1615">
        <f t="shared" si="23"/>
        <v>0</v>
      </c>
      <c r="J88" s="1602">
        <f t="shared" si="14"/>
        <v>0</v>
      </c>
      <c r="K88" s="1615">
        <v>0</v>
      </c>
      <c r="L88" s="1615">
        <v>0</v>
      </c>
      <c r="M88" s="1893">
        <f t="shared" si="19"/>
        <v>0</v>
      </c>
      <c r="N88" s="1894">
        <f t="shared" si="19"/>
        <v>0</v>
      </c>
      <c r="O88" s="1894">
        <f t="shared" si="19"/>
        <v>0</v>
      </c>
      <c r="P88" s="1593" t="s">
        <v>1171</v>
      </c>
      <c r="Q88" s="1593" t="s">
        <v>1659</v>
      </c>
      <c r="R88" s="1602">
        <f>SUM(S88:T88)</f>
        <v>0</v>
      </c>
      <c r="S88" s="1615">
        <v>0</v>
      </c>
      <c r="T88" s="1615">
        <v>0</v>
      </c>
      <c r="U88" s="1602">
        <f>SUM(V88:W88)</f>
        <v>0</v>
      </c>
      <c r="V88" s="1615">
        <v>0</v>
      </c>
      <c r="W88" s="1615">
        <v>0</v>
      </c>
      <c r="AA88" s="725"/>
    </row>
    <row r="89" spans="1:27" ht="33" customHeight="1">
      <c r="A89" s="2057"/>
      <c r="B89" s="1897" t="s">
        <v>1410</v>
      </c>
      <c r="C89" s="1898"/>
      <c r="D89" s="1899">
        <f t="shared" ref="D89:D175" si="25">SUM(E89:F89)</f>
        <v>1226395.3999999999</v>
      </c>
      <c r="E89" s="2059">
        <f>SUM(E90)</f>
        <v>1198876.7</v>
      </c>
      <c r="F89" s="2059">
        <f t="shared" ref="F89:W89" si="26">SUM(F90)</f>
        <v>27518.7</v>
      </c>
      <c r="G89" s="1899">
        <f t="shared" si="15"/>
        <v>1226395.3999999999</v>
      </c>
      <c r="H89" s="2082">
        <f>SUM(H90)</f>
        <v>1198876.7</v>
      </c>
      <c r="I89" s="2082">
        <f t="shared" si="26"/>
        <v>27518.7</v>
      </c>
      <c r="J89" s="1899">
        <f t="shared" si="14"/>
        <v>1106709.5</v>
      </c>
      <c r="K89" s="2082">
        <f>SUM(K90)</f>
        <v>1081400.1000000001</v>
      </c>
      <c r="L89" s="2082">
        <f t="shared" si="26"/>
        <v>25309.4</v>
      </c>
      <c r="M89" s="2059">
        <f t="shared" si="19"/>
        <v>90.2</v>
      </c>
      <c r="N89" s="2059">
        <f t="shared" si="19"/>
        <v>90.2</v>
      </c>
      <c r="O89" s="2059">
        <f t="shared" si="19"/>
        <v>92</v>
      </c>
      <c r="P89" s="2059">
        <f t="shared" si="26"/>
        <v>0</v>
      </c>
      <c r="Q89" s="2059">
        <f t="shared" si="26"/>
        <v>0</v>
      </c>
      <c r="R89" s="2059">
        <f t="shared" si="26"/>
        <v>486721.3</v>
      </c>
      <c r="S89" s="2059">
        <f t="shared" si="26"/>
        <v>481854.2</v>
      </c>
      <c r="T89" s="2059">
        <f t="shared" si="26"/>
        <v>4867.1000000000004</v>
      </c>
      <c r="U89" s="2059">
        <f t="shared" si="26"/>
        <v>1775471.2</v>
      </c>
      <c r="V89" s="2059">
        <f t="shared" si="26"/>
        <v>1757716.4</v>
      </c>
      <c r="W89" s="2059">
        <f t="shared" si="26"/>
        <v>17754.8</v>
      </c>
      <c r="X89" s="1423">
        <f>D89-G89</f>
        <v>0</v>
      </c>
      <c r="Y89" s="725" t="s">
        <v>1784</v>
      </c>
      <c r="AA89" s="725"/>
    </row>
    <row r="90" spans="1:27" s="484" customFormat="1" ht="121.5" customHeight="1">
      <c r="A90" s="2057">
        <f>A86+1</f>
        <v>18</v>
      </c>
      <c r="B90" s="1885" t="s">
        <v>1412</v>
      </c>
      <c r="C90" s="1904" t="s">
        <v>1632</v>
      </c>
      <c r="D90" s="1602">
        <f t="shared" si="25"/>
        <v>1226395.3999999999</v>
      </c>
      <c r="E90" s="1615">
        <v>1198876.7</v>
      </c>
      <c r="F90" s="1615">
        <v>27518.7</v>
      </c>
      <c r="G90" s="1602">
        <f t="shared" si="15"/>
        <v>1226395.3999999999</v>
      </c>
      <c r="H90" s="1615">
        <v>1198876.7</v>
      </c>
      <c r="I90" s="1615">
        <v>27518.7</v>
      </c>
      <c r="J90" s="1602">
        <f t="shared" si="14"/>
        <v>1106709.5</v>
      </c>
      <c r="K90" s="1614">
        <v>1081400.1000000001</v>
      </c>
      <c r="L90" s="1614">
        <v>25309.4</v>
      </c>
      <c r="M90" s="1893">
        <f t="shared" si="19"/>
        <v>90.2</v>
      </c>
      <c r="N90" s="1894">
        <f t="shared" si="19"/>
        <v>90.2</v>
      </c>
      <c r="O90" s="1894">
        <f t="shared" si="19"/>
        <v>92</v>
      </c>
      <c r="P90" s="1593" t="s">
        <v>1171</v>
      </c>
      <c r="Q90" s="1593" t="s">
        <v>1659</v>
      </c>
      <c r="R90" s="1602">
        <f t="shared" ref="R90:R100" si="27">SUM(S90:T90)</f>
        <v>486721.3</v>
      </c>
      <c r="S90" s="1615">
        <v>481854.2</v>
      </c>
      <c r="T90" s="1615">
        <v>4867.1000000000004</v>
      </c>
      <c r="U90" s="1602">
        <f t="shared" ref="U90:U100" si="28">SUM(V90:W90)</f>
        <v>1775471.2</v>
      </c>
      <c r="V90" s="1615">
        <v>1757716.4</v>
      </c>
      <c r="W90" s="1615">
        <v>17754.8</v>
      </c>
      <c r="X90" s="1423">
        <f>D90-G90</f>
        <v>0</v>
      </c>
      <c r="Y90" s="725"/>
      <c r="AA90" s="725"/>
    </row>
    <row r="91" spans="1:27" ht="75.75" hidden="1" customHeight="1">
      <c r="A91" s="2057"/>
      <c r="B91" s="1879" t="s">
        <v>1668</v>
      </c>
      <c r="C91" s="1880"/>
      <c r="D91" s="1602">
        <f>SUM(E91:F91)</f>
        <v>0</v>
      </c>
      <c r="E91" s="1616">
        <v>0</v>
      </c>
      <c r="F91" s="1616">
        <v>0</v>
      </c>
      <c r="G91" s="1602">
        <f t="shared" si="15"/>
        <v>0</v>
      </c>
      <c r="H91" s="1616">
        <f t="shared" si="22"/>
        <v>0</v>
      </c>
      <c r="I91" s="1616">
        <f t="shared" si="23"/>
        <v>0</v>
      </c>
      <c r="J91" s="1602">
        <f>SUM(K91:L91)</f>
        <v>0</v>
      </c>
      <c r="K91" s="1616">
        <v>0</v>
      </c>
      <c r="L91" s="1616">
        <v>0</v>
      </c>
      <c r="M91" s="1604">
        <f t="shared" si="19"/>
        <v>0</v>
      </c>
      <c r="N91" s="1881">
        <f t="shared" si="19"/>
        <v>0</v>
      </c>
      <c r="O91" s="1881">
        <f t="shared" si="19"/>
        <v>0</v>
      </c>
      <c r="P91" s="1599"/>
      <c r="Q91" s="1599"/>
      <c r="R91" s="1602">
        <f>SUM(S91:T91)</f>
        <v>0</v>
      </c>
      <c r="S91" s="1619">
        <v>0</v>
      </c>
      <c r="T91" s="1619">
        <v>0</v>
      </c>
      <c r="U91" s="1602">
        <f>SUM(V91:W91)</f>
        <v>30453.8</v>
      </c>
      <c r="V91" s="1619">
        <v>30149.3</v>
      </c>
      <c r="W91" s="1619">
        <v>304.5</v>
      </c>
      <c r="AA91" s="725"/>
    </row>
    <row r="92" spans="1:27" s="484" customFormat="1" ht="73.5" customHeight="1">
      <c r="A92" s="2088" t="s">
        <v>1639</v>
      </c>
      <c r="B92" s="1876" t="s">
        <v>1435</v>
      </c>
      <c r="C92" s="1877"/>
      <c r="D92" s="1598">
        <f t="shared" si="25"/>
        <v>177560.4</v>
      </c>
      <c r="E92" s="1903">
        <f>SUBTOTAL(9,E93:E96)</f>
        <v>156541.79999999999</v>
      </c>
      <c r="F92" s="1903">
        <f>SUBTOTAL(9,F93:F96)</f>
        <v>21018.6</v>
      </c>
      <c r="G92" s="1598">
        <f t="shared" ref="G92" si="29">SUM(H92:I92)</f>
        <v>176757.4</v>
      </c>
      <c r="H92" s="1903">
        <f>SUBTOTAL(9,H93:H96)</f>
        <v>155787</v>
      </c>
      <c r="I92" s="1903">
        <f>SUBTOTAL(9,I93:I96)</f>
        <v>20970.400000000001</v>
      </c>
      <c r="J92" s="1598">
        <f t="shared" ref="J92" si="30">SUM(K92:L92)</f>
        <v>48858.400000000001</v>
      </c>
      <c r="K92" s="1903">
        <f>SUBTOTAL(9,K93:K96)</f>
        <v>37955.1</v>
      </c>
      <c r="L92" s="1903">
        <f>SUBTOTAL(9,L93:L96)</f>
        <v>10903.3</v>
      </c>
      <c r="M92" s="1903">
        <f t="shared" si="19"/>
        <v>27.6</v>
      </c>
      <c r="N92" s="1903">
        <f t="shared" si="19"/>
        <v>24.4</v>
      </c>
      <c r="O92" s="1903">
        <f t="shared" si="19"/>
        <v>52</v>
      </c>
      <c r="P92" s="2090">
        <f>SUM(P109+P97+P111)</f>
        <v>0</v>
      </c>
      <c r="Q92" s="2090">
        <f>SUM(Q109+Q97+Q111)</f>
        <v>0</v>
      </c>
      <c r="R92" s="1598">
        <f t="shared" si="27"/>
        <v>0</v>
      </c>
      <c r="S92" s="1903">
        <f>SUM(S97,S101,S105,S109,S111,S122)</f>
        <v>0</v>
      </c>
      <c r="T92" s="1903">
        <f>SUM(T97,T101,T105,T109,T111,T122)</f>
        <v>0</v>
      </c>
      <c r="U92" s="1598">
        <f t="shared" si="28"/>
        <v>0</v>
      </c>
      <c r="V92" s="1903">
        <f>SUM(V97,V101,V105,V109,V111,V122)</f>
        <v>0</v>
      </c>
      <c r="W92" s="1903">
        <f>SUM(W97,W101,W105,W109,W111,W122)</f>
        <v>0</v>
      </c>
      <c r="X92" s="1423">
        <f t="shared" ref="X92:X128" si="31">D92-G92</f>
        <v>803</v>
      </c>
      <c r="Y92" s="725" t="s">
        <v>1787</v>
      </c>
      <c r="AA92" s="725"/>
    </row>
    <row r="93" spans="1:27" s="484" customFormat="1" ht="23.25">
      <c r="A93" s="2057"/>
      <c r="B93" s="2001" t="s">
        <v>1699</v>
      </c>
      <c r="C93" s="1877"/>
      <c r="D93" s="1598">
        <f>SUM(E93:F93)</f>
        <v>50152.1</v>
      </c>
      <c r="E93" s="1903">
        <f>E99+E110+E113</f>
        <v>47142.8</v>
      </c>
      <c r="F93" s="1903">
        <f>F99+F110+F113</f>
        <v>3009.3</v>
      </c>
      <c r="G93" s="1598">
        <f>SUM(H93:I93)</f>
        <v>50152.1</v>
      </c>
      <c r="H93" s="1903">
        <f>H99+H110+H113</f>
        <v>47142.8</v>
      </c>
      <c r="I93" s="1903">
        <f>I99+I110+I113</f>
        <v>3009.3</v>
      </c>
      <c r="J93" s="1598">
        <f>SUM(K93:L93)</f>
        <v>10186.5</v>
      </c>
      <c r="K93" s="1903">
        <f>K99+K110+K113</f>
        <v>9575.2000000000007</v>
      </c>
      <c r="L93" s="1903">
        <f>L99+L110+L113</f>
        <v>611.29999999999995</v>
      </c>
      <c r="M93" s="1903">
        <f t="shared" si="19"/>
        <v>20.3</v>
      </c>
      <c r="N93" s="1903">
        <f t="shared" si="19"/>
        <v>20.3</v>
      </c>
      <c r="O93" s="1903">
        <f t="shared" si="19"/>
        <v>20.3</v>
      </c>
      <c r="P93" s="2059"/>
      <c r="Q93" s="2059"/>
      <c r="R93" s="1598"/>
      <c r="S93" s="1903"/>
      <c r="T93" s="1903"/>
      <c r="U93" s="1598"/>
      <c r="V93" s="1903"/>
      <c r="W93" s="1903"/>
      <c r="X93" s="1423">
        <f t="shared" si="31"/>
        <v>0</v>
      </c>
      <c r="Y93" s="2572" t="s">
        <v>1785</v>
      </c>
      <c r="AA93" s="725"/>
    </row>
    <row r="94" spans="1:27" s="484" customFormat="1" ht="23.25">
      <c r="A94" s="2077"/>
      <c r="B94" s="2001" t="s">
        <v>1798</v>
      </c>
      <c r="C94" s="1877"/>
      <c r="D94" s="1598">
        <f>E94+F94</f>
        <v>103877.6</v>
      </c>
      <c r="E94" s="1903">
        <f>E114+E116+E124</f>
        <v>97643.9</v>
      </c>
      <c r="F94" s="1903">
        <f>F114+F116+F124</f>
        <v>6233.7</v>
      </c>
      <c r="G94" s="1598">
        <f>H94+I94</f>
        <v>103877.6</v>
      </c>
      <c r="H94" s="1903">
        <f>H114+H116+H124</f>
        <v>97643.9</v>
      </c>
      <c r="I94" s="1903">
        <f>I114+I116+I124</f>
        <v>6233.7</v>
      </c>
      <c r="J94" s="1598">
        <f>K94+L94</f>
        <v>29580.2</v>
      </c>
      <c r="K94" s="1903">
        <f>K114+K116+K124</f>
        <v>27805.1</v>
      </c>
      <c r="L94" s="1903">
        <f>L114+L116+L124</f>
        <v>1775.1</v>
      </c>
      <c r="M94" s="1903">
        <f t="shared" ref="M94:O95" si="32">IF(J94=0,0,J94/G94*100)</f>
        <v>28.5</v>
      </c>
      <c r="N94" s="1903">
        <f t="shared" si="32"/>
        <v>28.5</v>
      </c>
      <c r="O94" s="1903">
        <f t="shared" si="32"/>
        <v>28.5</v>
      </c>
      <c r="P94" s="2078"/>
      <c r="Q94" s="2078"/>
      <c r="R94" s="1598"/>
      <c r="S94" s="1903"/>
      <c r="T94" s="1903"/>
      <c r="U94" s="1598"/>
      <c r="V94" s="1903"/>
      <c r="W94" s="1903"/>
      <c r="X94" s="1423"/>
      <c r="Y94" s="2572"/>
      <c r="AA94" s="725"/>
    </row>
    <row r="95" spans="1:27" s="484" customFormat="1" ht="23.25">
      <c r="A95" s="2057"/>
      <c r="B95" s="2001" t="s">
        <v>1770</v>
      </c>
      <c r="C95" s="1877"/>
      <c r="D95" s="1598">
        <f>SUM(E95:F95)</f>
        <v>12505.6</v>
      </c>
      <c r="E95" s="1903">
        <f>E103+E107</f>
        <v>11755.1</v>
      </c>
      <c r="F95" s="1903">
        <f>F103+F107</f>
        <v>750.5</v>
      </c>
      <c r="G95" s="1598">
        <f>SUM(H95:I95)</f>
        <v>11702.6</v>
      </c>
      <c r="H95" s="1903">
        <f>H103+H107</f>
        <v>11000.3</v>
      </c>
      <c r="I95" s="1903">
        <f>I103+I107</f>
        <v>702.3</v>
      </c>
      <c r="J95" s="1598">
        <f>SUM(K95:L95)</f>
        <v>611.5</v>
      </c>
      <c r="K95" s="1903">
        <f>K103+K107</f>
        <v>574.79999999999995</v>
      </c>
      <c r="L95" s="1903">
        <f>L103+L107</f>
        <v>36.700000000000003</v>
      </c>
      <c r="M95" s="1903">
        <f t="shared" si="32"/>
        <v>5.2</v>
      </c>
      <c r="N95" s="1903">
        <f t="shared" si="32"/>
        <v>5.2</v>
      </c>
      <c r="O95" s="1903">
        <f t="shared" si="32"/>
        <v>5.2</v>
      </c>
      <c r="P95" s="2059"/>
      <c r="Q95" s="2059"/>
      <c r="R95" s="1598"/>
      <c r="S95" s="1903"/>
      <c r="T95" s="1903"/>
      <c r="U95" s="1598"/>
      <c r="V95" s="1903"/>
      <c r="W95" s="1903"/>
      <c r="X95" s="1423"/>
      <c r="Y95" s="2572"/>
      <c r="AA95" s="725"/>
    </row>
    <row r="96" spans="1:27" s="484" customFormat="1" ht="23.25">
      <c r="A96" s="2057"/>
      <c r="B96" s="2001" t="s">
        <v>1700</v>
      </c>
      <c r="C96" s="1877"/>
      <c r="D96" s="1598">
        <f t="shared" si="25"/>
        <v>11025.1</v>
      </c>
      <c r="E96" s="1903">
        <f>E100+E104+E108+E117+E121+E125</f>
        <v>0</v>
      </c>
      <c r="F96" s="1903">
        <f>F100+F104+F108+F117+F121+F125</f>
        <v>11025.1</v>
      </c>
      <c r="G96" s="1598">
        <f>SUM(H96:I96)</f>
        <v>11025.1</v>
      </c>
      <c r="H96" s="1903">
        <f>H100+H104+H108+H117+H121+H125</f>
        <v>0</v>
      </c>
      <c r="I96" s="1903">
        <f>I100+I104+I108+I117+I121+I125</f>
        <v>11025.1</v>
      </c>
      <c r="J96" s="1598">
        <f>SUM(K96:L96)</f>
        <v>8480.2000000000007</v>
      </c>
      <c r="K96" s="1903">
        <f>K100+K104+K108+K117+K121+K125</f>
        <v>0</v>
      </c>
      <c r="L96" s="1903">
        <f>L100+L104+L108+L117+L121+L125</f>
        <v>8480.2000000000007</v>
      </c>
      <c r="M96" s="1903">
        <f t="shared" si="19"/>
        <v>76.900000000000006</v>
      </c>
      <c r="N96" s="1903">
        <f t="shared" si="19"/>
        <v>0</v>
      </c>
      <c r="O96" s="1903">
        <f t="shared" si="19"/>
        <v>76.900000000000006</v>
      </c>
      <c r="P96" s="2059"/>
      <c r="Q96" s="2059"/>
      <c r="R96" s="1598"/>
      <c r="S96" s="1903"/>
      <c r="T96" s="1903"/>
      <c r="U96" s="1598"/>
      <c r="V96" s="1903"/>
      <c r="W96" s="1903"/>
      <c r="X96" s="1423">
        <f t="shared" si="31"/>
        <v>0</v>
      </c>
      <c r="Y96" s="725" t="s">
        <v>1786</v>
      </c>
      <c r="AA96" s="725"/>
    </row>
    <row r="97" spans="1:27" s="484" customFormat="1" ht="23.25">
      <c r="A97" s="2057"/>
      <c r="B97" s="2056" t="s">
        <v>433</v>
      </c>
      <c r="C97" s="1882"/>
      <c r="D97" s="1602">
        <f t="shared" si="25"/>
        <v>12906.9</v>
      </c>
      <c r="E97" s="1603">
        <f>E98</f>
        <v>9575.2000000000007</v>
      </c>
      <c r="F97" s="1603">
        <f>F98</f>
        <v>3331.7</v>
      </c>
      <c r="G97" s="1602">
        <f t="shared" si="15"/>
        <v>12906.9</v>
      </c>
      <c r="H97" s="1603">
        <f t="shared" si="22"/>
        <v>9575.2000000000007</v>
      </c>
      <c r="I97" s="1603">
        <f t="shared" si="23"/>
        <v>3331.7</v>
      </c>
      <c r="J97" s="1602">
        <f t="shared" si="14"/>
        <v>12308.9</v>
      </c>
      <c r="K97" s="1603">
        <f>K98</f>
        <v>9575.2000000000007</v>
      </c>
      <c r="L97" s="1603">
        <f>L98</f>
        <v>2733.7</v>
      </c>
      <c r="M97" s="1601">
        <f t="shared" si="19"/>
        <v>95.4</v>
      </c>
      <c r="N97" s="1601">
        <f t="shared" si="19"/>
        <v>100</v>
      </c>
      <c r="O97" s="1601">
        <f t="shared" si="19"/>
        <v>82.1</v>
      </c>
      <c r="P97" s="1601">
        <f>SUM(P98)</f>
        <v>0</v>
      </c>
      <c r="Q97" s="1601">
        <f>SUM(Q98)</f>
        <v>0</v>
      </c>
      <c r="R97" s="1602">
        <f t="shared" si="27"/>
        <v>0</v>
      </c>
      <c r="S97" s="1603">
        <f>S98</f>
        <v>0</v>
      </c>
      <c r="T97" s="1603">
        <f>T98</f>
        <v>0</v>
      </c>
      <c r="U97" s="1602">
        <f t="shared" si="28"/>
        <v>0</v>
      </c>
      <c r="V97" s="1603">
        <f>V98</f>
        <v>0</v>
      </c>
      <c r="W97" s="1603">
        <f>W98</f>
        <v>0</v>
      </c>
      <c r="X97" s="1423">
        <f t="shared" si="31"/>
        <v>0</v>
      </c>
      <c r="Y97" s="725"/>
      <c r="AA97" s="725"/>
    </row>
    <row r="98" spans="1:27" s="484" customFormat="1" ht="40.5" customHeight="1">
      <c r="A98" s="2057">
        <f>A90+1</f>
        <v>19</v>
      </c>
      <c r="B98" s="1905" t="s">
        <v>1563</v>
      </c>
      <c r="C98" s="1906"/>
      <c r="D98" s="1602">
        <f t="shared" si="25"/>
        <v>12906.9</v>
      </c>
      <c r="E98" s="1864">
        <f>E99+E100</f>
        <v>9575.2000000000007</v>
      </c>
      <c r="F98" s="1864">
        <f>F99+F100</f>
        <v>3331.7</v>
      </c>
      <c r="G98" s="1602">
        <f t="shared" si="15"/>
        <v>12906.9</v>
      </c>
      <c r="H98" s="1616">
        <f t="shared" si="22"/>
        <v>9575.2000000000007</v>
      </c>
      <c r="I98" s="1616">
        <f t="shared" si="23"/>
        <v>3331.7</v>
      </c>
      <c r="J98" s="1602">
        <f t="shared" si="14"/>
        <v>12308.9</v>
      </c>
      <c r="K98" s="1864">
        <f>K99+K100</f>
        <v>9575.2000000000007</v>
      </c>
      <c r="L98" s="1864">
        <f>L99+L100</f>
        <v>2733.7</v>
      </c>
      <c r="M98" s="1600">
        <f t="shared" si="19"/>
        <v>95.4</v>
      </c>
      <c r="N98" s="1907">
        <f t="shared" si="19"/>
        <v>100</v>
      </c>
      <c r="O98" s="1907">
        <f t="shared" si="19"/>
        <v>82.1</v>
      </c>
      <c r="P98" s="1593"/>
      <c r="Q98" s="1593"/>
      <c r="R98" s="1602">
        <f t="shared" si="27"/>
        <v>0</v>
      </c>
      <c r="S98" s="1864">
        <f>S99+S100</f>
        <v>0</v>
      </c>
      <c r="T98" s="1864">
        <f>T99+T100</f>
        <v>0</v>
      </c>
      <c r="U98" s="1602">
        <f t="shared" si="28"/>
        <v>0</v>
      </c>
      <c r="V98" s="1864">
        <f>V99+V100</f>
        <v>0</v>
      </c>
      <c r="W98" s="1864">
        <f>W99+W100</f>
        <v>0</v>
      </c>
      <c r="X98" s="1423">
        <f t="shared" si="31"/>
        <v>0</v>
      </c>
      <c r="Y98" s="725"/>
      <c r="AA98" s="725"/>
    </row>
    <row r="99" spans="1:27" s="484" customFormat="1" ht="23.25">
      <c r="A99" s="2057"/>
      <c r="B99" s="1619" t="s">
        <v>1620</v>
      </c>
      <c r="C99" s="1906" t="s">
        <v>1630</v>
      </c>
      <c r="D99" s="1602">
        <f t="shared" si="25"/>
        <v>10186.5</v>
      </c>
      <c r="E99" s="1864">
        <v>9575.2000000000007</v>
      </c>
      <c r="F99" s="1864">
        <f>611.3</f>
        <v>611.29999999999995</v>
      </c>
      <c r="G99" s="1609">
        <f t="shared" si="15"/>
        <v>10186.5</v>
      </c>
      <c r="H99" s="1616">
        <f t="shared" si="22"/>
        <v>9575.2000000000007</v>
      </c>
      <c r="I99" s="1616">
        <f t="shared" si="23"/>
        <v>611.29999999999995</v>
      </c>
      <c r="J99" s="1602">
        <f t="shared" si="14"/>
        <v>10186.5</v>
      </c>
      <c r="K99" s="1864">
        <v>9575.2000000000007</v>
      </c>
      <c r="L99" s="1864">
        <v>611.29999999999995</v>
      </c>
      <c r="M99" s="1600">
        <f t="shared" si="19"/>
        <v>100</v>
      </c>
      <c r="N99" s="1907">
        <f t="shared" si="19"/>
        <v>100</v>
      </c>
      <c r="O99" s="1907">
        <f t="shared" si="19"/>
        <v>100</v>
      </c>
      <c r="P99" s="1593"/>
      <c r="Q99" s="1593"/>
      <c r="R99" s="1602">
        <f t="shared" si="27"/>
        <v>0</v>
      </c>
      <c r="S99" s="1614">
        <v>0</v>
      </c>
      <c r="T99" s="1614">
        <v>0</v>
      </c>
      <c r="U99" s="1602">
        <f t="shared" si="28"/>
        <v>0</v>
      </c>
      <c r="V99" s="1614">
        <v>0</v>
      </c>
      <c r="W99" s="1614">
        <v>0</v>
      </c>
      <c r="X99" s="1423">
        <f t="shared" si="31"/>
        <v>0</v>
      </c>
      <c r="Y99" s="725"/>
      <c r="AA99" s="725"/>
    </row>
    <row r="100" spans="1:27" s="484" customFormat="1" ht="23.25">
      <c r="A100" s="2057"/>
      <c r="B100" s="1619" t="s">
        <v>1621</v>
      </c>
      <c r="C100" s="1906" t="s">
        <v>1631</v>
      </c>
      <c r="D100" s="1602">
        <f t="shared" si="25"/>
        <v>2720.4</v>
      </c>
      <c r="E100" s="1864"/>
      <c r="F100" s="1864">
        <f>5553.2-2832.8</f>
        <v>2720.4</v>
      </c>
      <c r="G100" s="1609">
        <f t="shared" si="15"/>
        <v>2720.4</v>
      </c>
      <c r="H100" s="1616">
        <f t="shared" si="22"/>
        <v>0</v>
      </c>
      <c r="I100" s="1864">
        <f>5553.2-2832.8</f>
        <v>2720.4</v>
      </c>
      <c r="J100" s="1602">
        <f t="shared" si="14"/>
        <v>2122.4</v>
      </c>
      <c r="K100" s="1864"/>
      <c r="L100" s="1864">
        <v>2122.4</v>
      </c>
      <c r="M100" s="1600">
        <f t="shared" si="19"/>
        <v>78</v>
      </c>
      <c r="N100" s="1907">
        <f t="shared" si="19"/>
        <v>0</v>
      </c>
      <c r="O100" s="1907">
        <f t="shared" si="19"/>
        <v>78</v>
      </c>
      <c r="P100" s="1593"/>
      <c r="Q100" s="1593"/>
      <c r="R100" s="1602">
        <f t="shared" si="27"/>
        <v>0</v>
      </c>
      <c r="S100" s="1614">
        <v>0</v>
      </c>
      <c r="T100" s="1614">
        <v>0</v>
      </c>
      <c r="U100" s="1602">
        <f t="shared" si="28"/>
        <v>0</v>
      </c>
      <c r="V100" s="1614">
        <v>0</v>
      </c>
      <c r="W100" s="1614">
        <v>0</v>
      </c>
      <c r="X100" s="1423">
        <f t="shared" si="31"/>
        <v>0</v>
      </c>
      <c r="Y100" s="725"/>
      <c r="AA100" s="725"/>
    </row>
    <row r="101" spans="1:27" s="484" customFormat="1" ht="23.25">
      <c r="A101" s="2057"/>
      <c r="B101" s="2056" t="s">
        <v>583</v>
      </c>
      <c r="C101" s="1882"/>
      <c r="D101" s="1602">
        <f t="shared" si="25"/>
        <v>13521.5</v>
      </c>
      <c r="E101" s="1601">
        <f t="shared" ref="E101:W101" si="33">E102</f>
        <v>9214.7999999999993</v>
      </c>
      <c r="F101" s="1601">
        <f t="shared" si="33"/>
        <v>4306.7</v>
      </c>
      <c r="G101" s="1600">
        <f t="shared" si="15"/>
        <v>13521.5</v>
      </c>
      <c r="H101" s="1601">
        <f t="shared" si="22"/>
        <v>9214.7999999999993</v>
      </c>
      <c r="I101" s="1601">
        <f t="shared" si="23"/>
        <v>4306.7</v>
      </c>
      <c r="J101" s="1600">
        <f t="shared" si="14"/>
        <v>3718.3</v>
      </c>
      <c r="K101" s="1603">
        <f t="shared" si="33"/>
        <v>0</v>
      </c>
      <c r="L101" s="1603">
        <f t="shared" si="33"/>
        <v>3718.3</v>
      </c>
      <c r="M101" s="1601">
        <f t="shared" si="19"/>
        <v>27.5</v>
      </c>
      <c r="N101" s="1601">
        <f t="shared" si="19"/>
        <v>0</v>
      </c>
      <c r="O101" s="1601">
        <f t="shared" si="19"/>
        <v>86.3</v>
      </c>
      <c r="P101" s="1601">
        <f t="shared" si="33"/>
        <v>0</v>
      </c>
      <c r="Q101" s="1601">
        <f t="shared" si="33"/>
        <v>0</v>
      </c>
      <c r="R101" s="1601">
        <f t="shared" si="33"/>
        <v>0</v>
      </c>
      <c r="S101" s="1601">
        <f t="shared" si="33"/>
        <v>0</v>
      </c>
      <c r="T101" s="1601">
        <f t="shared" si="33"/>
        <v>0</v>
      </c>
      <c r="U101" s="1601">
        <f t="shared" si="33"/>
        <v>0</v>
      </c>
      <c r="V101" s="1601">
        <f t="shared" si="33"/>
        <v>0</v>
      </c>
      <c r="W101" s="1601">
        <f t="shared" si="33"/>
        <v>0</v>
      </c>
      <c r="X101" s="1423">
        <f t="shared" si="31"/>
        <v>0</v>
      </c>
      <c r="Y101" s="725"/>
      <c r="AA101" s="725"/>
    </row>
    <row r="102" spans="1:27" s="484" customFormat="1" ht="27.75" customHeight="1">
      <c r="A102" s="2057">
        <f>A98+1</f>
        <v>20</v>
      </c>
      <c r="B102" s="1889" t="s">
        <v>1629</v>
      </c>
      <c r="C102" s="1882"/>
      <c r="D102" s="1602">
        <f t="shared" si="25"/>
        <v>13521.5</v>
      </c>
      <c r="E102" s="1608">
        <f>E104+E103</f>
        <v>9214.7999999999993</v>
      </c>
      <c r="F102" s="1608">
        <f>F104+F103</f>
        <v>4306.7</v>
      </c>
      <c r="G102" s="1600">
        <f t="shared" si="15"/>
        <v>13521.5</v>
      </c>
      <c r="H102" s="1608">
        <f t="shared" si="22"/>
        <v>9214.7999999999993</v>
      </c>
      <c r="I102" s="1608">
        <f t="shared" si="23"/>
        <v>4306.7</v>
      </c>
      <c r="J102" s="1600">
        <f t="shared" si="14"/>
        <v>3718.3</v>
      </c>
      <c r="K102" s="1616">
        <f>K104+K103</f>
        <v>0</v>
      </c>
      <c r="L102" s="1616">
        <f>L104+L103</f>
        <v>3718.3</v>
      </c>
      <c r="M102" s="1604">
        <f t="shared" si="19"/>
        <v>27.5</v>
      </c>
      <c r="N102" s="1881">
        <f t="shared" si="19"/>
        <v>0</v>
      </c>
      <c r="O102" s="1881">
        <f t="shared" si="19"/>
        <v>86.3</v>
      </c>
      <c r="P102" s="1593"/>
      <c r="Q102" s="1593"/>
      <c r="R102" s="1602">
        <f t="shared" ref="R102:R194" si="34">SUM(S102:T102)</f>
        <v>0</v>
      </c>
      <c r="S102" s="1616">
        <f>S104</f>
        <v>0</v>
      </c>
      <c r="T102" s="1616">
        <f>T104</f>
        <v>0</v>
      </c>
      <c r="U102" s="1602">
        <f t="shared" ref="U102:U194" si="35">SUM(V102:W102)</f>
        <v>0</v>
      </c>
      <c r="V102" s="1616">
        <f>V104</f>
        <v>0</v>
      </c>
      <c r="W102" s="1616">
        <f>W104</f>
        <v>0</v>
      </c>
      <c r="X102" s="1423">
        <f t="shared" si="31"/>
        <v>0</v>
      </c>
      <c r="Y102" s="725"/>
      <c r="AA102" s="725"/>
    </row>
    <row r="103" spans="1:27" s="484" customFormat="1" ht="27" customHeight="1">
      <c r="A103" s="2057"/>
      <c r="B103" s="1619" t="s">
        <v>1770</v>
      </c>
      <c r="C103" s="1882"/>
      <c r="D103" s="1602">
        <f>SUM(E103:F103)</f>
        <v>9803.1</v>
      </c>
      <c r="E103" s="1865">
        <v>9214.7999999999993</v>
      </c>
      <c r="F103" s="1865">
        <v>588.29999999999995</v>
      </c>
      <c r="G103" s="1619">
        <f>SUM(H103:I103)</f>
        <v>9000.1</v>
      </c>
      <c r="H103" s="1608">
        <f>9214.8-754.8</f>
        <v>8460</v>
      </c>
      <c r="I103" s="1608">
        <f>588.3-48.2</f>
        <v>540.1</v>
      </c>
      <c r="J103" s="1600">
        <f>SUM(K103:L103)</f>
        <v>0</v>
      </c>
      <c r="K103" s="1864"/>
      <c r="L103" s="1864"/>
      <c r="M103" s="1600"/>
      <c r="N103" s="1907"/>
      <c r="O103" s="1907">
        <f t="shared" si="19"/>
        <v>0</v>
      </c>
      <c r="P103" s="1593"/>
      <c r="Q103" s="1593"/>
      <c r="R103" s="1602"/>
      <c r="S103" s="1616"/>
      <c r="T103" s="1616"/>
      <c r="U103" s="1602"/>
      <c r="V103" s="1616"/>
      <c r="W103" s="1616"/>
      <c r="X103" s="1423"/>
      <c r="Y103" s="725"/>
      <c r="AA103" s="725"/>
    </row>
    <row r="104" spans="1:27" s="484" customFormat="1" ht="23.25">
      <c r="A104" s="2057"/>
      <c r="B104" s="1619" t="s">
        <v>1621</v>
      </c>
      <c r="C104" s="1906"/>
      <c r="D104" s="1602">
        <f t="shared" si="25"/>
        <v>3718.4</v>
      </c>
      <c r="E104" s="1865">
        <v>0</v>
      </c>
      <c r="F104" s="1865">
        <f>8870-5151.6</f>
        <v>3718.4</v>
      </c>
      <c r="G104" s="1619">
        <f t="shared" si="15"/>
        <v>3718.4</v>
      </c>
      <c r="H104" s="1608">
        <f t="shared" si="22"/>
        <v>0</v>
      </c>
      <c r="I104" s="1608">
        <f t="shared" si="23"/>
        <v>3718.4</v>
      </c>
      <c r="J104" s="1600">
        <f t="shared" si="14"/>
        <v>3718.3</v>
      </c>
      <c r="K104" s="1864"/>
      <c r="L104" s="1864">
        <v>3718.3</v>
      </c>
      <c r="M104" s="1600">
        <f t="shared" si="19"/>
        <v>100</v>
      </c>
      <c r="N104" s="1907">
        <f t="shared" si="19"/>
        <v>0</v>
      </c>
      <c r="O104" s="1907">
        <f t="shared" si="19"/>
        <v>100</v>
      </c>
      <c r="P104" s="1593"/>
      <c r="Q104" s="1593"/>
      <c r="R104" s="1602">
        <f t="shared" si="34"/>
        <v>0</v>
      </c>
      <c r="S104" s="1865">
        <v>0</v>
      </c>
      <c r="T104" s="1865">
        <v>0</v>
      </c>
      <c r="U104" s="1602">
        <f t="shared" si="35"/>
        <v>0</v>
      </c>
      <c r="V104" s="1865">
        <v>0</v>
      </c>
      <c r="W104" s="1865">
        <v>0</v>
      </c>
      <c r="X104" s="1423">
        <f t="shared" si="31"/>
        <v>0</v>
      </c>
      <c r="Y104" s="725"/>
      <c r="AA104" s="725"/>
    </row>
    <row r="105" spans="1:27" s="484" customFormat="1" ht="25.5" customHeight="1">
      <c r="A105" s="2057"/>
      <c r="B105" s="2056" t="s">
        <v>1624</v>
      </c>
      <c r="C105" s="1882"/>
      <c r="D105" s="1602">
        <f t="shared" si="25"/>
        <v>2906.6</v>
      </c>
      <c r="E105" s="1601">
        <f>E106</f>
        <v>2540.3000000000002</v>
      </c>
      <c r="F105" s="1601">
        <f>F106</f>
        <v>366.3</v>
      </c>
      <c r="G105" s="1600">
        <f t="shared" si="15"/>
        <v>2906.6</v>
      </c>
      <c r="H105" s="1601">
        <f t="shared" si="22"/>
        <v>2540.3000000000002</v>
      </c>
      <c r="I105" s="1601">
        <f t="shared" si="23"/>
        <v>366.3</v>
      </c>
      <c r="J105" s="1600">
        <f t="shared" si="14"/>
        <v>815.5</v>
      </c>
      <c r="K105" s="1603">
        <f>K106</f>
        <v>574.79999999999995</v>
      </c>
      <c r="L105" s="1603">
        <f>L106</f>
        <v>240.7</v>
      </c>
      <c r="M105" s="1601">
        <f t="shared" si="19"/>
        <v>28.1</v>
      </c>
      <c r="N105" s="1601">
        <f t="shared" si="19"/>
        <v>22.6</v>
      </c>
      <c r="O105" s="1601">
        <f t="shared" si="19"/>
        <v>65.7</v>
      </c>
      <c r="P105" s="1601">
        <f>P106</f>
        <v>0</v>
      </c>
      <c r="Q105" s="1601">
        <f>Q106</f>
        <v>0</v>
      </c>
      <c r="R105" s="1602">
        <f t="shared" si="34"/>
        <v>0</v>
      </c>
      <c r="S105" s="1603">
        <f>S106</f>
        <v>0</v>
      </c>
      <c r="T105" s="1603">
        <f>T106</f>
        <v>0</v>
      </c>
      <c r="U105" s="1602">
        <f t="shared" si="35"/>
        <v>0</v>
      </c>
      <c r="V105" s="1603">
        <f>V106</f>
        <v>0</v>
      </c>
      <c r="W105" s="1603">
        <f>W106</f>
        <v>0</v>
      </c>
      <c r="X105" s="1423">
        <f t="shared" si="31"/>
        <v>0</v>
      </c>
      <c r="Y105" s="725"/>
      <c r="AA105" s="725"/>
    </row>
    <row r="106" spans="1:27" s="484" customFormat="1" ht="45.75" customHeight="1">
      <c r="A106" s="2057">
        <f>A102+1</f>
        <v>21</v>
      </c>
      <c r="B106" s="1889" t="s">
        <v>1625</v>
      </c>
      <c r="C106" s="1882"/>
      <c r="D106" s="1602">
        <f t="shared" si="25"/>
        <v>2906.6</v>
      </c>
      <c r="E106" s="1616">
        <f>E107+E108</f>
        <v>2540.3000000000002</v>
      </c>
      <c r="F106" s="1616">
        <f>F107+F108</f>
        <v>366.3</v>
      </c>
      <c r="G106" s="1602">
        <f t="shared" si="15"/>
        <v>2906.6</v>
      </c>
      <c r="H106" s="1616">
        <f t="shared" si="22"/>
        <v>2540.3000000000002</v>
      </c>
      <c r="I106" s="1616">
        <f t="shared" si="23"/>
        <v>366.3</v>
      </c>
      <c r="J106" s="1602">
        <f t="shared" si="14"/>
        <v>815.5</v>
      </c>
      <c r="K106" s="1616">
        <f>K107+K108</f>
        <v>574.79999999999995</v>
      </c>
      <c r="L106" s="1616">
        <f>L107+L108</f>
        <v>240.7</v>
      </c>
      <c r="M106" s="1604">
        <f t="shared" si="19"/>
        <v>28.1</v>
      </c>
      <c r="N106" s="1881">
        <f t="shared" si="19"/>
        <v>22.6</v>
      </c>
      <c r="O106" s="1881">
        <f t="shared" si="19"/>
        <v>65.7</v>
      </c>
      <c r="P106" s="1593"/>
      <c r="Q106" s="1593"/>
      <c r="R106" s="1602">
        <f t="shared" si="34"/>
        <v>0</v>
      </c>
      <c r="S106" s="1616">
        <f>S108</f>
        <v>0</v>
      </c>
      <c r="T106" s="1616">
        <f>T108</f>
        <v>0</v>
      </c>
      <c r="U106" s="1602">
        <f t="shared" si="35"/>
        <v>0</v>
      </c>
      <c r="V106" s="1616">
        <f>V108</f>
        <v>0</v>
      </c>
      <c r="W106" s="1616">
        <f>W108</f>
        <v>0</v>
      </c>
      <c r="X106" s="1423">
        <f t="shared" si="31"/>
        <v>0</v>
      </c>
      <c r="Y106" s="725"/>
      <c r="AA106" s="725"/>
    </row>
    <row r="107" spans="1:27" s="484" customFormat="1" ht="28.5" customHeight="1">
      <c r="A107" s="2057"/>
      <c r="B107" s="1619" t="s">
        <v>1770</v>
      </c>
      <c r="C107" s="1882"/>
      <c r="D107" s="1602">
        <f>SUM(E107:F107)</f>
        <v>2702.5</v>
      </c>
      <c r="E107" s="1864">
        <v>2540.3000000000002</v>
      </c>
      <c r="F107" s="1864">
        <v>162.19999999999999</v>
      </c>
      <c r="G107" s="1609">
        <f>SUM(H107:I107)</f>
        <v>2702.5</v>
      </c>
      <c r="H107" s="1616">
        <f t="shared" si="22"/>
        <v>2540.3000000000002</v>
      </c>
      <c r="I107" s="1616">
        <f t="shared" si="23"/>
        <v>162.19999999999999</v>
      </c>
      <c r="J107" s="1602">
        <f>SUM(K107:L107)</f>
        <v>611.5</v>
      </c>
      <c r="K107" s="1864">
        <v>574.79999999999995</v>
      </c>
      <c r="L107" s="1864">
        <v>36.700000000000003</v>
      </c>
      <c r="M107" s="1600"/>
      <c r="N107" s="1907"/>
      <c r="O107" s="1907"/>
      <c r="P107" s="1593"/>
      <c r="Q107" s="1593"/>
      <c r="R107" s="1602"/>
      <c r="S107" s="1616"/>
      <c r="T107" s="1616"/>
      <c r="U107" s="1602"/>
      <c r="V107" s="1616"/>
      <c r="W107" s="1616"/>
      <c r="X107" s="1423"/>
      <c r="Y107" s="725"/>
      <c r="AA107" s="725"/>
    </row>
    <row r="108" spans="1:27" s="484" customFormat="1" ht="23.25">
      <c r="A108" s="2057"/>
      <c r="B108" s="1619" t="s">
        <v>1621</v>
      </c>
      <c r="C108" s="1906"/>
      <c r="D108" s="1602">
        <f t="shared" si="25"/>
        <v>204.1</v>
      </c>
      <c r="E108" s="1864"/>
      <c r="F108" s="1616">
        <f>2745.5-2541.4</f>
        <v>204.1</v>
      </c>
      <c r="G108" s="1609">
        <f t="shared" si="15"/>
        <v>204.1</v>
      </c>
      <c r="H108" s="1616">
        <f t="shared" si="22"/>
        <v>0</v>
      </c>
      <c r="I108" s="1616">
        <f>2745.5-2541.4</f>
        <v>204.1</v>
      </c>
      <c r="J108" s="1602">
        <f t="shared" si="14"/>
        <v>204</v>
      </c>
      <c r="K108" s="1864"/>
      <c r="L108" s="1864">
        <v>204</v>
      </c>
      <c r="M108" s="1600">
        <f t="shared" si="19"/>
        <v>100</v>
      </c>
      <c r="N108" s="1907">
        <f t="shared" si="19"/>
        <v>0</v>
      </c>
      <c r="O108" s="1907">
        <f t="shared" si="19"/>
        <v>100</v>
      </c>
      <c r="P108" s="1593"/>
      <c r="Q108" s="1593"/>
      <c r="R108" s="1602">
        <f t="shared" si="34"/>
        <v>0</v>
      </c>
      <c r="S108" s="1614">
        <v>0</v>
      </c>
      <c r="T108" s="1614">
        <v>0</v>
      </c>
      <c r="U108" s="1602">
        <f t="shared" si="35"/>
        <v>0</v>
      </c>
      <c r="V108" s="1614">
        <v>0</v>
      </c>
      <c r="W108" s="1614">
        <v>0</v>
      </c>
      <c r="X108" s="1423">
        <f t="shared" si="31"/>
        <v>0</v>
      </c>
      <c r="Y108" s="725"/>
      <c r="AA108" s="725"/>
    </row>
    <row r="109" spans="1:27" s="484" customFormat="1" ht="19.5" customHeight="1">
      <c r="A109" s="2057"/>
      <c r="B109" s="2056" t="s">
        <v>1401</v>
      </c>
      <c r="C109" s="1882"/>
      <c r="D109" s="1600">
        <f t="shared" si="25"/>
        <v>0</v>
      </c>
      <c r="E109" s="1601">
        <f>E110</f>
        <v>0</v>
      </c>
      <c r="F109" s="1601">
        <f>F110</f>
        <v>0</v>
      </c>
      <c r="G109" s="1600">
        <f t="shared" si="15"/>
        <v>0</v>
      </c>
      <c r="H109" s="1601">
        <f t="shared" si="22"/>
        <v>0</v>
      </c>
      <c r="I109" s="1601">
        <f t="shared" si="23"/>
        <v>0</v>
      </c>
      <c r="J109" s="1600">
        <f t="shared" si="14"/>
        <v>0</v>
      </c>
      <c r="K109" s="1603">
        <f>K110</f>
        <v>0</v>
      </c>
      <c r="L109" s="1603">
        <f>L110</f>
        <v>0</v>
      </c>
      <c r="M109" s="1601">
        <f t="shared" si="19"/>
        <v>0</v>
      </c>
      <c r="N109" s="1601">
        <f t="shared" si="19"/>
        <v>0</v>
      </c>
      <c r="O109" s="1601">
        <f t="shared" si="19"/>
        <v>0</v>
      </c>
      <c r="P109" s="1601">
        <f>P110</f>
        <v>0</v>
      </c>
      <c r="Q109" s="1601">
        <f>Q110</f>
        <v>0</v>
      </c>
      <c r="R109" s="1602">
        <f t="shared" si="34"/>
        <v>0</v>
      </c>
      <c r="S109" s="1603">
        <f>S110</f>
        <v>0</v>
      </c>
      <c r="T109" s="1603">
        <f>T110</f>
        <v>0</v>
      </c>
      <c r="U109" s="1602">
        <f t="shared" si="35"/>
        <v>0</v>
      </c>
      <c r="V109" s="1603">
        <f>V110</f>
        <v>0</v>
      </c>
      <c r="W109" s="1603">
        <f>W110</f>
        <v>0</v>
      </c>
      <c r="X109" s="1423">
        <f t="shared" si="31"/>
        <v>0</v>
      </c>
      <c r="Y109" s="725"/>
      <c r="AA109" s="725"/>
    </row>
    <row r="110" spans="1:27" s="484" customFormat="1" ht="40.5" customHeight="1">
      <c r="A110" s="2057">
        <f>A106+1</f>
        <v>22</v>
      </c>
      <c r="B110" s="1889" t="s">
        <v>681</v>
      </c>
      <c r="C110" s="1882"/>
      <c r="D110" s="1600">
        <f t="shared" si="25"/>
        <v>0</v>
      </c>
      <c r="E110" s="1608">
        <v>0</v>
      </c>
      <c r="F110" s="1608">
        <v>0</v>
      </c>
      <c r="G110" s="1619">
        <f t="shared" si="15"/>
        <v>0</v>
      </c>
      <c r="H110" s="1608">
        <f>E110</f>
        <v>0</v>
      </c>
      <c r="I110" s="1608">
        <f>F110</f>
        <v>0</v>
      </c>
      <c r="J110" s="1600">
        <f t="shared" ref="J110:J175" si="36">SUM(K110:L110)</f>
        <v>0</v>
      </c>
      <c r="K110" s="1616"/>
      <c r="L110" s="1616"/>
      <c r="M110" s="1604">
        <f t="shared" si="19"/>
        <v>0</v>
      </c>
      <c r="N110" s="1881">
        <f t="shared" si="19"/>
        <v>0</v>
      </c>
      <c r="O110" s="1881">
        <f t="shared" si="19"/>
        <v>0</v>
      </c>
      <c r="P110" s="1593"/>
      <c r="Q110" s="1593"/>
      <c r="R110" s="1602">
        <f t="shared" si="34"/>
        <v>0</v>
      </c>
      <c r="S110" s="1614">
        <v>0</v>
      </c>
      <c r="T110" s="1614">
        <v>0</v>
      </c>
      <c r="U110" s="1602">
        <f t="shared" si="35"/>
        <v>0</v>
      </c>
      <c r="V110" s="1614">
        <v>0</v>
      </c>
      <c r="W110" s="1614">
        <v>0</v>
      </c>
      <c r="X110" s="1423">
        <f t="shared" si="31"/>
        <v>0</v>
      </c>
      <c r="Y110" s="725"/>
      <c r="AA110" s="725"/>
    </row>
    <row r="111" spans="1:27" s="484" customFormat="1" ht="27" customHeight="1">
      <c r="A111" s="2057"/>
      <c r="B111" s="2056" t="s">
        <v>1554</v>
      </c>
      <c r="C111" s="1882"/>
      <c r="D111" s="1600">
        <f t="shared" si="25"/>
        <v>150684.79999999999</v>
      </c>
      <c r="E111" s="1601">
        <f>E112+E115</f>
        <v>133221.5</v>
      </c>
      <c r="F111" s="1601">
        <f>SUM(F112:F115)</f>
        <v>17463.3</v>
      </c>
      <c r="G111" s="1600">
        <f>G112+G115</f>
        <v>143831.9</v>
      </c>
      <c r="H111" s="1601">
        <f>H112</f>
        <v>107348.8</v>
      </c>
      <c r="I111" s="1601">
        <f>I112+I115</f>
        <v>10610.4</v>
      </c>
      <c r="J111" s="1600">
        <f t="shared" si="36"/>
        <v>27683.5</v>
      </c>
      <c r="K111" s="1603">
        <f>SUM(K112:K115)</f>
        <v>25872.7</v>
      </c>
      <c r="L111" s="1603">
        <f>SUM(L112:L115)</f>
        <v>1810.8</v>
      </c>
      <c r="M111" s="1601">
        <f t="shared" si="19"/>
        <v>19.2</v>
      </c>
      <c r="N111" s="1601">
        <f t="shared" si="19"/>
        <v>24.1</v>
      </c>
      <c r="O111" s="1601">
        <f t="shared" si="19"/>
        <v>17.100000000000001</v>
      </c>
      <c r="P111" s="1593"/>
      <c r="Q111" s="1593"/>
      <c r="R111" s="1602">
        <f t="shared" si="34"/>
        <v>0</v>
      </c>
      <c r="S111" s="1603">
        <f>SUM(S112:S115)</f>
        <v>0</v>
      </c>
      <c r="T111" s="1603">
        <f>SUM(T112:T115)</f>
        <v>0</v>
      </c>
      <c r="U111" s="1602">
        <f t="shared" si="35"/>
        <v>0</v>
      </c>
      <c r="V111" s="1603">
        <f>SUM(V112:V115)</f>
        <v>0</v>
      </c>
      <c r="W111" s="1603">
        <f>SUM(W112:W115)</f>
        <v>0</v>
      </c>
      <c r="X111" s="1423">
        <f t="shared" si="31"/>
        <v>6852.9</v>
      </c>
      <c r="Y111" s="725"/>
      <c r="AA111" s="725"/>
    </row>
    <row r="112" spans="1:27" s="484" customFormat="1" ht="42.75" customHeight="1">
      <c r="A112" s="2057">
        <f>A110+1</f>
        <v>23</v>
      </c>
      <c r="B112" s="1889" t="s">
        <v>1623</v>
      </c>
      <c r="C112" s="1882"/>
      <c r="D112" s="1600">
        <f t="shared" si="25"/>
        <v>114201.7</v>
      </c>
      <c r="E112" s="1608">
        <f>E113+E114</f>
        <v>107348.8</v>
      </c>
      <c r="F112" s="1608">
        <f>F113+F114</f>
        <v>6852.9</v>
      </c>
      <c r="G112" s="1600">
        <f t="shared" ref="G112:G184" si="37">SUM(H112:I112)</f>
        <v>114201.7</v>
      </c>
      <c r="H112" s="1608">
        <f>H113+H114</f>
        <v>107348.8</v>
      </c>
      <c r="I112" s="1608">
        <f>I113+I114</f>
        <v>6852.9</v>
      </c>
      <c r="J112" s="1600">
        <f t="shared" si="36"/>
        <v>0</v>
      </c>
      <c r="K112" s="1616">
        <f>K113+K114</f>
        <v>0</v>
      </c>
      <c r="L112" s="1616">
        <f>L113+L114</f>
        <v>0</v>
      </c>
      <c r="M112" s="1604">
        <f t="shared" si="19"/>
        <v>0</v>
      </c>
      <c r="N112" s="1881">
        <f t="shared" si="19"/>
        <v>0</v>
      </c>
      <c r="O112" s="1881">
        <f t="shared" si="19"/>
        <v>0</v>
      </c>
      <c r="P112" s="1593"/>
      <c r="Q112" s="1593"/>
      <c r="R112" s="1602">
        <f t="shared" si="34"/>
        <v>0</v>
      </c>
      <c r="S112" s="1614">
        <v>0</v>
      </c>
      <c r="T112" s="1614">
        <v>0</v>
      </c>
      <c r="U112" s="1602">
        <f t="shared" si="35"/>
        <v>0</v>
      </c>
      <c r="V112" s="1614">
        <v>0</v>
      </c>
      <c r="W112" s="1614">
        <v>0</v>
      </c>
      <c r="X112" s="1423">
        <f t="shared" si="31"/>
        <v>0</v>
      </c>
      <c r="Y112" s="725"/>
      <c r="AA112" s="725"/>
    </row>
    <row r="113" spans="1:27" s="484" customFormat="1" ht="27.75" customHeight="1">
      <c r="A113" s="2077"/>
      <c r="B113" s="1619" t="s">
        <v>1620</v>
      </c>
      <c r="C113" s="1882"/>
      <c r="D113" s="1600">
        <f>SUM(E113:F113)</f>
        <v>39965.599999999999</v>
      </c>
      <c r="E113" s="1608">
        <v>37567.599999999999</v>
      </c>
      <c r="F113" s="1608">
        <v>2398</v>
      </c>
      <c r="G113" s="1619">
        <f>SUM(H113:I113)</f>
        <v>39965.599999999999</v>
      </c>
      <c r="H113" s="1608">
        <f>E113</f>
        <v>37567.599999999999</v>
      </c>
      <c r="I113" s="1608">
        <f>F113</f>
        <v>2398</v>
      </c>
      <c r="J113" s="1600">
        <f>SUM(K113:L113)</f>
        <v>0</v>
      </c>
      <c r="K113" s="1616"/>
      <c r="L113" s="1616"/>
      <c r="M113" s="1604">
        <f t="shared" ref="M113:O114" si="38">IF(J113=0,0,J113/G113*100)</f>
        <v>0</v>
      </c>
      <c r="N113" s="1881">
        <f t="shared" si="38"/>
        <v>0</v>
      </c>
      <c r="O113" s="1881">
        <f t="shared" si="38"/>
        <v>0</v>
      </c>
      <c r="P113" s="1593"/>
      <c r="Q113" s="1593"/>
      <c r="R113" s="1602"/>
      <c r="S113" s="1614"/>
      <c r="T113" s="1614"/>
      <c r="U113" s="1602"/>
      <c r="V113" s="1614"/>
      <c r="W113" s="1614"/>
      <c r="X113" s="1423"/>
      <c r="Y113" s="725"/>
      <c r="AA113" s="725"/>
    </row>
    <row r="114" spans="1:27" s="484" customFormat="1" ht="26.25" customHeight="1">
      <c r="A114" s="2077"/>
      <c r="B114" s="1619" t="s">
        <v>1798</v>
      </c>
      <c r="C114" s="1882"/>
      <c r="D114" s="1602">
        <f>SUM(E114:F114)</f>
        <v>74236.100000000006</v>
      </c>
      <c r="E114" s="1616">
        <v>69781.2</v>
      </c>
      <c r="F114" s="1616">
        <v>4454.8999999999996</v>
      </c>
      <c r="G114" s="1609">
        <f>SUM(H114:I114)</f>
        <v>74236.100000000006</v>
      </c>
      <c r="H114" s="1616">
        <v>69781.2</v>
      </c>
      <c r="I114" s="1616">
        <v>4454.8999999999996</v>
      </c>
      <c r="J114" s="1602">
        <f>SUM(K114:L114)</f>
        <v>0</v>
      </c>
      <c r="K114" s="1616"/>
      <c r="L114" s="1616"/>
      <c r="M114" s="1604">
        <f t="shared" si="38"/>
        <v>0</v>
      </c>
      <c r="N114" s="1881">
        <f t="shared" si="38"/>
        <v>0</v>
      </c>
      <c r="O114" s="1881">
        <f t="shared" si="38"/>
        <v>0</v>
      </c>
      <c r="P114" s="1593"/>
      <c r="Q114" s="1593"/>
      <c r="R114" s="1602"/>
      <c r="S114" s="1614"/>
      <c r="T114" s="1614"/>
      <c r="U114" s="1602"/>
      <c r="V114" s="1614"/>
      <c r="W114" s="1614"/>
      <c r="X114" s="1423"/>
      <c r="Y114" s="725"/>
      <c r="AA114" s="725"/>
    </row>
    <row r="115" spans="1:27" s="484" customFormat="1" ht="44.25" customHeight="1">
      <c r="A115" s="2057">
        <f>A112+1</f>
        <v>24</v>
      </c>
      <c r="B115" s="1889" t="s">
        <v>1660</v>
      </c>
      <c r="C115" s="1882"/>
      <c r="D115" s="1616">
        <f t="shared" si="25"/>
        <v>29630.2</v>
      </c>
      <c r="E115" s="1616">
        <f>E116+E117</f>
        <v>25872.7</v>
      </c>
      <c r="F115" s="1616">
        <f>F116+F117</f>
        <v>3757.5</v>
      </c>
      <c r="G115" s="1616">
        <f t="shared" si="37"/>
        <v>29630.2</v>
      </c>
      <c r="H115" s="1616">
        <f>H116+H117</f>
        <v>25872.7</v>
      </c>
      <c r="I115" s="1616">
        <f>I116+I117</f>
        <v>3757.5</v>
      </c>
      <c r="J115" s="1616">
        <f t="shared" si="36"/>
        <v>27683.5</v>
      </c>
      <c r="K115" s="1616">
        <f>K116+K117</f>
        <v>25872.7</v>
      </c>
      <c r="L115" s="1616">
        <f>L116+L117</f>
        <v>1810.8</v>
      </c>
      <c r="M115" s="1604">
        <f t="shared" si="19"/>
        <v>93.4</v>
      </c>
      <c r="N115" s="1881">
        <f t="shared" si="19"/>
        <v>100</v>
      </c>
      <c r="O115" s="1881">
        <f t="shared" si="19"/>
        <v>48.2</v>
      </c>
      <c r="P115" s="1593"/>
      <c r="Q115" s="1593"/>
      <c r="R115" s="1616">
        <f t="shared" si="34"/>
        <v>0</v>
      </c>
      <c r="S115" s="1616">
        <f>S117</f>
        <v>0</v>
      </c>
      <c r="T115" s="1616">
        <f>T117</f>
        <v>0</v>
      </c>
      <c r="U115" s="1616">
        <f t="shared" si="35"/>
        <v>0</v>
      </c>
      <c r="V115" s="1616">
        <f>V117</f>
        <v>0</v>
      </c>
      <c r="W115" s="1616">
        <f>W117</f>
        <v>0</v>
      </c>
      <c r="X115" s="1423">
        <f t="shared" si="31"/>
        <v>0</v>
      </c>
      <c r="Y115" s="725"/>
      <c r="AA115" s="725"/>
    </row>
    <row r="116" spans="1:27" s="484" customFormat="1" ht="30.75" customHeight="1">
      <c r="A116" s="2077"/>
      <c r="B116" s="1619" t="s">
        <v>1798</v>
      </c>
      <c r="C116" s="1882"/>
      <c r="D116" s="1600">
        <f>SUM(E116:F116)</f>
        <v>27524.400000000001</v>
      </c>
      <c r="E116" s="1865">
        <v>25872.7</v>
      </c>
      <c r="F116" s="1865">
        <v>1651.7</v>
      </c>
      <c r="G116" s="1600">
        <f>SUM(H116:I116)</f>
        <v>27524.400000000001</v>
      </c>
      <c r="H116" s="1608">
        <v>25872.7</v>
      </c>
      <c r="I116" s="1608">
        <v>1651.7</v>
      </c>
      <c r="J116" s="1600">
        <f>SUM(K116:L116)</f>
        <v>27524.400000000001</v>
      </c>
      <c r="K116" s="1864">
        <v>25872.7</v>
      </c>
      <c r="L116" s="1864">
        <v>1651.7</v>
      </c>
      <c r="M116" s="1600">
        <f>IF(J116=0,0,J116/G116*100)</f>
        <v>100</v>
      </c>
      <c r="N116" s="1907">
        <f>IF(K116=0,0,K116/H116*100)</f>
        <v>100</v>
      </c>
      <c r="O116" s="1907">
        <f>IF(L116=0,0,L116/I116*100)</f>
        <v>100</v>
      </c>
      <c r="P116" s="1593"/>
      <c r="Q116" s="1593"/>
      <c r="R116" s="1616"/>
      <c r="S116" s="1616"/>
      <c r="T116" s="1616"/>
      <c r="U116" s="1616"/>
      <c r="V116" s="1616"/>
      <c r="W116" s="1616"/>
      <c r="X116" s="1423"/>
      <c r="Y116" s="725"/>
      <c r="AA116" s="725"/>
    </row>
    <row r="117" spans="1:27" s="484" customFormat="1" ht="23.25">
      <c r="A117" s="2057"/>
      <c r="B117" s="1619" t="s">
        <v>1621</v>
      </c>
      <c r="C117" s="1906"/>
      <c r="D117" s="1600">
        <f t="shared" si="25"/>
        <v>2105.8000000000002</v>
      </c>
      <c r="E117" s="1865"/>
      <c r="F117" s="1865">
        <f>35698.6-33592.8</f>
        <v>2105.8000000000002</v>
      </c>
      <c r="G117" s="1600">
        <f t="shared" si="37"/>
        <v>2105.8000000000002</v>
      </c>
      <c r="H117" s="1608">
        <f t="shared" si="22"/>
        <v>0</v>
      </c>
      <c r="I117" s="1608">
        <f t="shared" si="23"/>
        <v>2105.8000000000002</v>
      </c>
      <c r="J117" s="1600">
        <f t="shared" si="36"/>
        <v>159.1</v>
      </c>
      <c r="K117" s="1864"/>
      <c r="L117" s="1864">
        <v>159.1</v>
      </c>
      <c r="M117" s="1600">
        <f t="shared" si="19"/>
        <v>7.6</v>
      </c>
      <c r="N117" s="1907">
        <f t="shared" si="19"/>
        <v>0</v>
      </c>
      <c r="O117" s="1907">
        <f t="shared" si="19"/>
        <v>7.6</v>
      </c>
      <c r="P117" s="1593"/>
      <c r="Q117" s="1593"/>
      <c r="R117" s="1609">
        <f t="shared" si="34"/>
        <v>0</v>
      </c>
      <c r="S117" s="1614">
        <v>0</v>
      </c>
      <c r="T117" s="1614">
        <v>0</v>
      </c>
      <c r="U117" s="1602">
        <f t="shared" si="35"/>
        <v>0</v>
      </c>
      <c r="V117" s="1614">
        <v>0</v>
      </c>
      <c r="W117" s="1614">
        <v>0</v>
      </c>
      <c r="X117" s="1423">
        <f t="shared" si="31"/>
        <v>0</v>
      </c>
      <c r="Y117" s="725"/>
      <c r="AA117" s="725"/>
    </row>
    <row r="118" spans="1:27" s="484" customFormat="1" ht="23.25" hidden="1">
      <c r="A118" s="2077"/>
      <c r="B118" s="1935" t="s">
        <v>712</v>
      </c>
      <c r="C118" s="1906"/>
      <c r="D118" s="1600" t="s">
        <v>332</v>
      </c>
      <c r="E118" s="1865"/>
      <c r="F118" s="1865"/>
      <c r="G118" s="1600"/>
      <c r="H118" s="1608"/>
      <c r="I118" s="1608"/>
      <c r="J118" s="1600"/>
      <c r="K118" s="1864"/>
      <c r="L118" s="1864"/>
      <c r="M118" s="1600"/>
      <c r="N118" s="1907"/>
      <c r="O118" s="1907"/>
      <c r="P118" s="1593"/>
      <c r="Q118" s="1593"/>
      <c r="R118" s="1609"/>
      <c r="S118" s="1614"/>
      <c r="T118" s="1614"/>
      <c r="U118" s="1602"/>
      <c r="V118" s="1614"/>
      <c r="W118" s="1614"/>
      <c r="X118" s="1423"/>
      <c r="Y118" s="725"/>
      <c r="AA118" s="725"/>
    </row>
    <row r="119" spans="1:27" s="484" customFormat="1" ht="23.25">
      <c r="A119" s="2079">
        <f>A115+1</f>
        <v>25</v>
      </c>
      <c r="B119" s="2080" t="s">
        <v>1803</v>
      </c>
      <c r="C119" s="1906"/>
      <c r="D119" s="1600">
        <f>E119+F119</f>
        <v>2229.1999999999998</v>
      </c>
      <c r="E119" s="1865">
        <f>E120</f>
        <v>0</v>
      </c>
      <c r="F119" s="1601">
        <f>F120</f>
        <v>2229.1999999999998</v>
      </c>
      <c r="G119" s="1600">
        <f>H119+I119</f>
        <v>2229.1999999999998</v>
      </c>
      <c r="H119" s="1865">
        <f>H120</f>
        <v>0</v>
      </c>
      <c r="I119" s="1865">
        <f>I120</f>
        <v>2229.1999999999998</v>
      </c>
      <c r="J119" s="1600">
        <f>K119+L119</f>
        <v>2229.1999999999998</v>
      </c>
      <c r="K119" s="1864">
        <f>K120</f>
        <v>0</v>
      </c>
      <c r="L119" s="1864">
        <f>L120</f>
        <v>2229.1999999999998</v>
      </c>
      <c r="M119" s="1600"/>
      <c r="N119" s="1907"/>
      <c r="O119" s="1907"/>
      <c r="P119" s="1593"/>
      <c r="Q119" s="1593"/>
      <c r="R119" s="1609"/>
      <c r="S119" s="1614"/>
      <c r="T119" s="1614"/>
      <c r="U119" s="1602"/>
      <c r="V119" s="1614"/>
      <c r="W119" s="1614"/>
      <c r="X119" s="1423"/>
      <c r="Y119" s="725"/>
      <c r="AA119" s="725"/>
    </row>
    <row r="120" spans="1:27" s="484" customFormat="1" ht="66" customHeight="1">
      <c r="A120" s="2077"/>
      <c r="B120" s="1905" t="s">
        <v>1802</v>
      </c>
      <c r="C120" s="1906"/>
      <c r="D120" s="1600">
        <f>E120+F120</f>
        <v>2229.1999999999998</v>
      </c>
      <c r="E120" s="1865">
        <f>E121</f>
        <v>0</v>
      </c>
      <c r="F120" s="1865">
        <f>F121</f>
        <v>2229.1999999999998</v>
      </c>
      <c r="G120" s="1619">
        <f>H120+I120</f>
        <v>2229.1999999999998</v>
      </c>
      <c r="H120" s="1865">
        <f>H121</f>
        <v>0</v>
      </c>
      <c r="I120" s="1865">
        <f>I121</f>
        <v>2229.1999999999998</v>
      </c>
      <c r="J120" s="1600">
        <f>K120+L120</f>
        <v>2229.1999999999998</v>
      </c>
      <c r="K120" s="1864">
        <f>K121</f>
        <v>0</v>
      </c>
      <c r="L120" s="1864">
        <f>L121</f>
        <v>2229.1999999999998</v>
      </c>
      <c r="M120" s="1600"/>
      <c r="N120" s="1907"/>
      <c r="O120" s="1907"/>
      <c r="P120" s="1593"/>
      <c r="Q120" s="1593"/>
      <c r="R120" s="1609"/>
      <c r="S120" s="1614"/>
      <c r="T120" s="1614"/>
      <c r="U120" s="1602"/>
      <c r="V120" s="1614"/>
      <c r="W120" s="1614"/>
      <c r="X120" s="1423"/>
      <c r="Y120" s="725"/>
      <c r="AA120" s="725"/>
    </row>
    <row r="121" spans="1:27" s="484" customFormat="1" ht="23.25">
      <c r="A121" s="2077"/>
      <c r="B121" s="1619" t="s">
        <v>1621</v>
      </c>
      <c r="C121" s="1906"/>
      <c r="D121" s="1600">
        <f>SUM(E121:F121)</f>
        <v>2229.1999999999998</v>
      </c>
      <c r="E121" s="1865"/>
      <c r="F121" s="1865">
        <v>2229.1999999999998</v>
      </c>
      <c r="G121" s="1619">
        <f>SUM(H121:I121)</f>
        <v>2229.1999999999998</v>
      </c>
      <c r="H121" s="1608">
        <f>E121</f>
        <v>0</v>
      </c>
      <c r="I121" s="1608">
        <v>2229.1999999999998</v>
      </c>
      <c r="J121" s="1600">
        <f>SUM(K121:L121)</f>
        <v>2229.1999999999998</v>
      </c>
      <c r="K121" s="1864"/>
      <c r="L121" s="1864">
        <v>2229.1999999999998</v>
      </c>
      <c r="M121" s="1600">
        <f>IF(J121=0,0,J121/G121*100)</f>
        <v>100</v>
      </c>
      <c r="N121" s="1907">
        <f>IF(K121=0,0,K121/H121*100)</f>
        <v>0</v>
      </c>
      <c r="O121" s="1907">
        <f>IF(L121=0,0,L121/I121*100)</f>
        <v>100</v>
      </c>
      <c r="P121" s="1593"/>
      <c r="Q121" s="1593"/>
      <c r="R121" s="1609"/>
      <c r="S121" s="1614"/>
      <c r="T121" s="1614"/>
      <c r="U121" s="1602"/>
      <c r="V121" s="1614"/>
      <c r="W121" s="1614"/>
      <c r="X121" s="1423"/>
      <c r="Y121" s="725"/>
      <c r="AA121" s="725"/>
    </row>
    <row r="122" spans="1:27" s="484" customFormat="1" ht="23.25">
      <c r="A122" s="2057"/>
      <c r="B122" s="2056" t="s">
        <v>1626</v>
      </c>
      <c r="C122" s="1882"/>
      <c r="D122" s="1602">
        <f t="shared" si="25"/>
        <v>2164.3000000000002</v>
      </c>
      <c r="E122" s="1603">
        <f>E123</f>
        <v>1990</v>
      </c>
      <c r="F122" s="1603">
        <f>F123</f>
        <v>174.3</v>
      </c>
      <c r="G122" s="1602">
        <f>G123</f>
        <v>2164.3000000000002</v>
      </c>
      <c r="H122" s="1603">
        <f t="shared" si="22"/>
        <v>1990</v>
      </c>
      <c r="I122" s="1603">
        <f>I123</f>
        <v>174.3</v>
      </c>
      <c r="J122" s="1602">
        <f t="shared" si="36"/>
        <v>2103</v>
      </c>
      <c r="K122" s="1603">
        <f>K123</f>
        <v>1932.4</v>
      </c>
      <c r="L122" s="1603">
        <f>L123</f>
        <v>170.6</v>
      </c>
      <c r="M122" s="1601">
        <f t="shared" si="19"/>
        <v>97.2</v>
      </c>
      <c r="N122" s="1601">
        <f t="shared" si="19"/>
        <v>97.1</v>
      </c>
      <c r="O122" s="1601">
        <f t="shared" si="19"/>
        <v>97.9</v>
      </c>
      <c r="P122" s="1593"/>
      <c r="Q122" s="1593"/>
      <c r="R122" s="1602">
        <f t="shared" si="34"/>
        <v>0</v>
      </c>
      <c r="S122" s="1603">
        <f>S123</f>
        <v>0</v>
      </c>
      <c r="T122" s="1603">
        <f>T123</f>
        <v>0</v>
      </c>
      <c r="U122" s="1602">
        <f t="shared" si="35"/>
        <v>0</v>
      </c>
      <c r="V122" s="1603">
        <f>V123</f>
        <v>0</v>
      </c>
      <c r="W122" s="1603">
        <f>W123</f>
        <v>0</v>
      </c>
      <c r="X122" s="1423">
        <f t="shared" si="31"/>
        <v>0</v>
      </c>
      <c r="Y122" s="725"/>
      <c r="AA122" s="725"/>
    </row>
    <row r="123" spans="1:27" s="484" customFormat="1" ht="37.5">
      <c r="A123" s="2057">
        <f>A119+1</f>
        <v>26</v>
      </c>
      <c r="B123" s="1889" t="s">
        <v>1627</v>
      </c>
      <c r="C123" s="1882"/>
      <c r="D123" s="1600">
        <f t="shared" si="25"/>
        <v>2164.3000000000002</v>
      </c>
      <c r="E123" s="1616">
        <f>SUBTOTAL(9,E124:E125)</f>
        <v>1990</v>
      </c>
      <c r="F123" s="1616">
        <f>SUBTOTAL(9,F124:F125)</f>
        <v>174.3</v>
      </c>
      <c r="G123" s="1600">
        <f t="shared" si="37"/>
        <v>2164.3000000000002</v>
      </c>
      <c r="H123" s="1616">
        <f>SUBTOTAL(9,H124:H125)</f>
        <v>1990</v>
      </c>
      <c r="I123" s="1616">
        <f>SUBTOTAL(9,I124:I125)</f>
        <v>174.3</v>
      </c>
      <c r="J123" s="1600">
        <f t="shared" si="36"/>
        <v>2103</v>
      </c>
      <c r="K123" s="1608">
        <f>K124+K125</f>
        <v>1932.4</v>
      </c>
      <c r="L123" s="1608">
        <f>L124+L125</f>
        <v>170.6</v>
      </c>
      <c r="M123" s="1604">
        <f t="shared" si="19"/>
        <v>97.2</v>
      </c>
      <c r="N123" s="1881">
        <f t="shared" si="19"/>
        <v>97.1</v>
      </c>
      <c r="O123" s="1881">
        <f t="shared" si="19"/>
        <v>97.9</v>
      </c>
      <c r="P123" s="1593"/>
      <c r="Q123" s="1593"/>
      <c r="R123" s="1600">
        <f t="shared" si="34"/>
        <v>0</v>
      </c>
      <c r="S123" s="1608">
        <f>S125</f>
        <v>0</v>
      </c>
      <c r="T123" s="1608">
        <f>T125</f>
        <v>0</v>
      </c>
      <c r="U123" s="1600">
        <f t="shared" si="35"/>
        <v>0</v>
      </c>
      <c r="V123" s="1608">
        <f>V125</f>
        <v>0</v>
      </c>
      <c r="W123" s="1608">
        <f>W125</f>
        <v>0</v>
      </c>
      <c r="X123" s="1423">
        <f t="shared" si="31"/>
        <v>0</v>
      </c>
      <c r="Y123" s="725"/>
      <c r="AA123" s="725"/>
    </row>
    <row r="124" spans="1:27" s="484" customFormat="1" ht="23.25">
      <c r="A124" s="2077"/>
      <c r="B124" s="1619" t="s">
        <v>1798</v>
      </c>
      <c r="C124" s="1882"/>
      <c r="D124" s="1600">
        <f>SUM(E124:F124)</f>
        <v>2117.1</v>
      </c>
      <c r="E124" s="1865">
        <v>1990</v>
      </c>
      <c r="F124" s="1865">
        <v>127.1</v>
      </c>
      <c r="G124" s="1619">
        <f>SUM(H124:I124)</f>
        <v>2117.1</v>
      </c>
      <c r="H124" s="1865">
        <v>1990</v>
      </c>
      <c r="I124" s="1865">
        <v>127.1</v>
      </c>
      <c r="J124" s="1600">
        <f>SUM(K124:L124)</f>
        <v>2055.8000000000002</v>
      </c>
      <c r="K124" s="1865">
        <v>1932.4</v>
      </c>
      <c r="L124" s="1865">
        <v>123.4</v>
      </c>
      <c r="M124" s="1600">
        <f>IF(J124=0,0,J124/G124*100)</f>
        <v>97.1</v>
      </c>
      <c r="N124" s="1907">
        <f>IF(K124=0,0,K124/H124*100)</f>
        <v>97.1</v>
      </c>
      <c r="O124" s="1907">
        <f>IF(L124=0,0,L124/I124*100)</f>
        <v>97.1</v>
      </c>
      <c r="P124" s="1593"/>
      <c r="Q124" s="1593"/>
      <c r="R124" s="1600"/>
      <c r="S124" s="1608"/>
      <c r="T124" s="1608"/>
      <c r="U124" s="1600"/>
      <c r="V124" s="1608"/>
      <c r="W124" s="1608"/>
      <c r="X124" s="1423"/>
      <c r="Y124" s="725"/>
      <c r="AA124" s="725"/>
    </row>
    <row r="125" spans="1:27" s="484" customFormat="1" ht="23.25">
      <c r="A125" s="2041"/>
      <c r="B125" s="1619" t="s">
        <v>1621</v>
      </c>
      <c r="C125" s="1906"/>
      <c r="D125" s="1600">
        <f t="shared" si="25"/>
        <v>47.2</v>
      </c>
      <c r="E125" s="1865"/>
      <c r="F125" s="1616">
        <f>2446-2398.8</f>
        <v>47.2</v>
      </c>
      <c r="G125" s="1619">
        <f t="shared" si="37"/>
        <v>47.2</v>
      </c>
      <c r="H125" s="1616">
        <f t="shared" si="22"/>
        <v>0</v>
      </c>
      <c r="I125" s="1616">
        <f>2446-2398.8</f>
        <v>47.2</v>
      </c>
      <c r="J125" s="1600">
        <f t="shared" si="36"/>
        <v>47.2</v>
      </c>
      <c r="K125" s="1865"/>
      <c r="L125" s="1865">
        <v>47.2</v>
      </c>
      <c r="M125" s="1600">
        <f t="shared" si="19"/>
        <v>100</v>
      </c>
      <c r="N125" s="1907">
        <f t="shared" si="19"/>
        <v>0</v>
      </c>
      <c r="O125" s="1907">
        <f t="shared" si="19"/>
        <v>100</v>
      </c>
      <c r="P125" s="1593"/>
      <c r="Q125" s="1593"/>
      <c r="R125" s="1600">
        <f t="shared" si="34"/>
        <v>0</v>
      </c>
      <c r="S125" s="1614">
        <v>0</v>
      </c>
      <c r="T125" s="1614">
        <v>0</v>
      </c>
      <c r="U125" s="1600">
        <f t="shared" si="35"/>
        <v>0</v>
      </c>
      <c r="V125" s="1614">
        <v>0</v>
      </c>
      <c r="W125" s="1614">
        <v>0</v>
      </c>
      <c r="X125" s="1423">
        <f t="shared" si="31"/>
        <v>0</v>
      </c>
      <c r="Y125" s="725"/>
      <c r="AA125" s="725"/>
    </row>
    <row r="126" spans="1:27" ht="93.75">
      <c r="A126" s="2070" t="s">
        <v>2</v>
      </c>
      <c r="B126" s="1876" t="s">
        <v>1434</v>
      </c>
      <c r="C126" s="1877"/>
      <c r="D126" s="1598">
        <f t="shared" si="25"/>
        <v>6518712.7999999998</v>
      </c>
      <c r="E126" s="1598">
        <f>SUM(E127,E177)</f>
        <v>5142823</v>
      </c>
      <c r="F126" s="1598">
        <f>SUM(F127,F177)</f>
        <v>1375889.8</v>
      </c>
      <c r="G126" s="1598">
        <f t="shared" si="37"/>
        <v>6517944.2999999998</v>
      </c>
      <c r="H126" s="1598">
        <f>SUM(H127,H177)</f>
        <v>5142823</v>
      </c>
      <c r="I126" s="1598">
        <f>SUM(I127,I177)</f>
        <v>1375121.3</v>
      </c>
      <c r="J126" s="1598">
        <f t="shared" si="36"/>
        <v>2909825.9</v>
      </c>
      <c r="K126" s="1598">
        <f>SUM(K127,K177)</f>
        <v>2323954.5</v>
      </c>
      <c r="L126" s="1598">
        <f>SUM(L127,L177)</f>
        <v>585871.4</v>
      </c>
      <c r="M126" s="1908">
        <f t="shared" si="19"/>
        <v>44.6</v>
      </c>
      <c r="N126" s="1909">
        <f t="shared" si="19"/>
        <v>45.2</v>
      </c>
      <c r="O126" s="1909">
        <f t="shared" si="19"/>
        <v>42.6</v>
      </c>
      <c r="P126" s="2066" t="s">
        <v>353</v>
      </c>
      <c r="Q126" s="2066" t="s">
        <v>353</v>
      </c>
      <c r="R126" s="2067" t="e">
        <f t="shared" si="34"/>
        <v>#REF!</v>
      </c>
      <c r="S126" s="2067" t="e">
        <f>SUM(S127,S177)</f>
        <v>#REF!</v>
      </c>
      <c r="T126" s="2067" t="e">
        <f>SUM(T127,T177)</f>
        <v>#REF!</v>
      </c>
      <c r="U126" s="2067" t="e">
        <f t="shared" si="35"/>
        <v>#REF!</v>
      </c>
      <c r="V126" s="2067" t="e">
        <f>SUM(V127,V177)</f>
        <v>#REF!</v>
      </c>
      <c r="W126" s="2067" t="e">
        <f>SUM(W127,W177)</f>
        <v>#REF!</v>
      </c>
      <c r="X126" s="2068">
        <f t="shared" si="31"/>
        <v>768.5</v>
      </c>
      <c r="Y126" s="2069">
        <v>414</v>
      </c>
      <c r="AA126" s="725"/>
    </row>
    <row r="127" spans="1:27" ht="23.25">
      <c r="A127" s="2060" t="s">
        <v>246</v>
      </c>
      <c r="B127" s="1876" t="s">
        <v>1393</v>
      </c>
      <c r="C127" s="1877"/>
      <c r="D127" s="1598">
        <f t="shared" si="25"/>
        <v>159862.1</v>
      </c>
      <c r="E127" s="1598">
        <f>SUM(E128,E166)</f>
        <v>0</v>
      </c>
      <c r="F127" s="1598">
        <f>SUM(F128,F166)</f>
        <v>159862.1</v>
      </c>
      <c r="G127" s="1598">
        <f t="shared" si="37"/>
        <v>159513.60000000001</v>
      </c>
      <c r="H127" s="1598">
        <f>SUM(H128,H166)</f>
        <v>0</v>
      </c>
      <c r="I127" s="1598">
        <f>SUM(I128,I166)</f>
        <v>159513.60000000001</v>
      </c>
      <c r="J127" s="1598">
        <f t="shared" si="36"/>
        <v>85368.4</v>
      </c>
      <c r="K127" s="1598">
        <f>SUM(K128,K166)</f>
        <v>0</v>
      </c>
      <c r="L127" s="1598">
        <f>SUM(L128,L166)</f>
        <v>85368.4</v>
      </c>
      <c r="M127" s="1908">
        <f t="shared" si="19"/>
        <v>53.5</v>
      </c>
      <c r="N127" s="1909">
        <f t="shared" si="19"/>
        <v>0</v>
      </c>
      <c r="O127" s="1909">
        <f t="shared" si="19"/>
        <v>53.5</v>
      </c>
      <c r="P127" s="1599" t="s">
        <v>353</v>
      </c>
      <c r="Q127" s="1599" t="s">
        <v>353</v>
      </c>
      <c r="R127" s="1598">
        <f t="shared" si="34"/>
        <v>39180</v>
      </c>
      <c r="S127" s="1598">
        <f>SUM(S128,S166)</f>
        <v>0</v>
      </c>
      <c r="T127" s="1598">
        <f>SUM(T128,T166)</f>
        <v>39180</v>
      </c>
      <c r="U127" s="1598">
        <f>SUM(V127:W127)</f>
        <v>0</v>
      </c>
      <c r="V127" s="1598">
        <f>SUM(V128,V166)</f>
        <v>0</v>
      </c>
      <c r="W127" s="1598">
        <f>SUM(W128,W166)</f>
        <v>0</v>
      </c>
      <c r="X127" s="1423">
        <f t="shared" si="31"/>
        <v>348.5</v>
      </c>
      <c r="Y127" s="725"/>
      <c r="AA127" s="725"/>
    </row>
    <row r="128" spans="1:27" ht="23.25">
      <c r="A128" s="2060" t="s">
        <v>247</v>
      </c>
      <c r="B128" s="1935" t="s">
        <v>529</v>
      </c>
      <c r="C128" s="1906"/>
      <c r="D128" s="1600">
        <f>SUM(E128:F128)</f>
        <v>119245.3</v>
      </c>
      <c r="E128" s="1600">
        <f>SUM(E129:E165)</f>
        <v>0</v>
      </c>
      <c r="F128" s="1600">
        <f>SUM(F129:F165)</f>
        <v>119245.3</v>
      </c>
      <c r="G128" s="1600">
        <f>SUM(H128:I128)</f>
        <v>118896.8</v>
      </c>
      <c r="H128" s="1600">
        <f>SUM(H129:H165)</f>
        <v>0</v>
      </c>
      <c r="I128" s="1600">
        <f>SUM(I129:I165)</f>
        <v>118896.8</v>
      </c>
      <c r="J128" s="1600">
        <f>SUM(K128:L128)</f>
        <v>73767.100000000006</v>
      </c>
      <c r="K128" s="1600">
        <f>SUM(K129:K165)</f>
        <v>0</v>
      </c>
      <c r="L128" s="1600">
        <f>SUM(L129:L165)</f>
        <v>73767.100000000006</v>
      </c>
      <c r="M128" s="1620">
        <f t="shared" si="19"/>
        <v>62</v>
      </c>
      <c r="N128" s="1907">
        <f t="shared" si="19"/>
        <v>0</v>
      </c>
      <c r="O128" s="1907">
        <f t="shared" si="19"/>
        <v>62</v>
      </c>
      <c r="P128" s="1599"/>
      <c r="Q128" s="1599"/>
      <c r="R128" s="1899">
        <f t="shared" si="34"/>
        <v>38180</v>
      </c>
      <c r="S128" s="1899">
        <f>SUM(S129:S158)</f>
        <v>0</v>
      </c>
      <c r="T128" s="1899">
        <f>SUM(T129:T158)</f>
        <v>38180</v>
      </c>
      <c r="U128" s="1899">
        <f t="shared" si="35"/>
        <v>0</v>
      </c>
      <c r="V128" s="1899">
        <f>SUM(V129:V158)</f>
        <v>0</v>
      </c>
      <c r="W128" s="1899">
        <f>SUM(W129:W158)</f>
        <v>0</v>
      </c>
      <c r="X128" s="1423">
        <f t="shared" si="31"/>
        <v>348.5</v>
      </c>
      <c r="Y128" s="725"/>
      <c r="AA128" s="725"/>
    </row>
    <row r="129" spans="1:27" s="1570" customFormat="1" ht="24.75" hidden="1" customHeight="1">
      <c r="A129" s="2060"/>
      <c r="B129" s="1885" t="s">
        <v>1588</v>
      </c>
      <c r="C129" s="2060" t="s">
        <v>1612</v>
      </c>
      <c r="D129" s="1600">
        <f t="shared" si="25"/>
        <v>0</v>
      </c>
      <c r="E129" s="1614"/>
      <c r="F129" s="1615">
        <v>0</v>
      </c>
      <c r="G129" s="1600">
        <f t="shared" si="37"/>
        <v>0</v>
      </c>
      <c r="H129" s="1614">
        <f t="shared" si="22"/>
        <v>0</v>
      </c>
      <c r="I129" s="1614">
        <f t="shared" si="23"/>
        <v>0</v>
      </c>
      <c r="J129" s="1600">
        <f t="shared" si="36"/>
        <v>0</v>
      </c>
      <c r="K129" s="1614"/>
      <c r="L129" s="1614"/>
      <c r="M129" s="1604">
        <f t="shared" si="19"/>
        <v>0</v>
      </c>
      <c r="N129" s="1881">
        <f t="shared" si="19"/>
        <v>0</v>
      </c>
      <c r="O129" s="1881">
        <f t="shared" si="19"/>
        <v>0</v>
      </c>
      <c r="P129" s="1593"/>
      <c r="Q129" s="1612"/>
      <c r="R129" s="1600">
        <f t="shared" si="34"/>
        <v>0</v>
      </c>
      <c r="S129" s="1614">
        <v>0</v>
      </c>
      <c r="T129" s="1614">
        <v>0</v>
      </c>
      <c r="U129" s="1600">
        <f t="shared" si="35"/>
        <v>0</v>
      </c>
      <c r="V129" s="1614">
        <v>0</v>
      </c>
      <c r="W129" s="1614">
        <v>0</v>
      </c>
      <c r="AA129" s="725"/>
    </row>
    <row r="130" spans="1:27" ht="23.25" hidden="1">
      <c r="A130" s="1866"/>
      <c r="B130" s="2071" t="s">
        <v>1592</v>
      </c>
      <c r="C130" s="1913">
        <v>14038</v>
      </c>
      <c r="D130" s="1600">
        <f t="shared" si="25"/>
        <v>0</v>
      </c>
      <c r="E130" s="1608"/>
      <c r="F130" s="1608">
        <v>0</v>
      </c>
      <c r="G130" s="1600">
        <f t="shared" si="37"/>
        <v>0</v>
      </c>
      <c r="H130" s="1616">
        <f t="shared" si="22"/>
        <v>0</v>
      </c>
      <c r="I130" s="1616">
        <f t="shared" si="23"/>
        <v>0</v>
      </c>
      <c r="J130" s="1600">
        <f t="shared" si="36"/>
        <v>0</v>
      </c>
      <c r="K130" s="1608"/>
      <c r="L130" s="1608"/>
      <c r="M130" s="1893">
        <f t="shared" si="19"/>
        <v>0</v>
      </c>
      <c r="N130" s="1894">
        <f t="shared" si="19"/>
        <v>0</v>
      </c>
      <c r="O130" s="1894">
        <f t="shared" si="19"/>
        <v>0</v>
      </c>
      <c r="P130" s="1593"/>
      <c r="Q130" s="1593"/>
      <c r="R130" s="1600">
        <f t="shared" si="34"/>
        <v>0</v>
      </c>
      <c r="S130" s="1614">
        <v>0</v>
      </c>
      <c r="T130" s="1614">
        <v>0</v>
      </c>
      <c r="U130" s="1600">
        <f t="shared" si="35"/>
        <v>0</v>
      </c>
      <c r="V130" s="1614">
        <v>0</v>
      </c>
      <c r="W130" s="1614">
        <v>0</v>
      </c>
      <c r="X130" s="1423">
        <f>D130-G130</f>
        <v>0</v>
      </c>
      <c r="Y130" s="725"/>
      <c r="AA130" s="725"/>
    </row>
    <row r="131" spans="1:27" ht="37.5">
      <c r="A131" s="2060">
        <f>A123+1</f>
        <v>27</v>
      </c>
      <c r="B131" s="1889" t="s">
        <v>1657</v>
      </c>
      <c r="C131" s="2061"/>
      <c r="D131" s="1600">
        <f t="shared" si="25"/>
        <v>600</v>
      </c>
      <c r="E131" s="1616"/>
      <c r="F131" s="1616">
        <f>2000+85.3-1485.3</f>
        <v>600</v>
      </c>
      <c r="G131" s="1600">
        <f t="shared" si="37"/>
        <v>600</v>
      </c>
      <c r="H131" s="1616">
        <f t="shared" si="22"/>
        <v>0</v>
      </c>
      <c r="I131" s="1616">
        <f t="shared" si="23"/>
        <v>600</v>
      </c>
      <c r="J131" s="1600">
        <f t="shared" si="36"/>
        <v>0</v>
      </c>
      <c r="K131" s="1616"/>
      <c r="L131" s="1616"/>
      <c r="M131" s="1604">
        <f t="shared" si="19"/>
        <v>0</v>
      </c>
      <c r="N131" s="1881">
        <f t="shared" si="19"/>
        <v>0</v>
      </c>
      <c r="O131" s="1881">
        <f t="shared" si="19"/>
        <v>0</v>
      </c>
      <c r="P131" s="1599"/>
      <c r="Q131" s="1599"/>
      <c r="R131" s="1600">
        <f t="shared" si="34"/>
        <v>0</v>
      </c>
      <c r="S131" s="1614">
        <v>0</v>
      </c>
      <c r="T131" s="1614">
        <v>0</v>
      </c>
      <c r="U131" s="1600">
        <f t="shared" si="35"/>
        <v>0</v>
      </c>
      <c r="V131" s="1614">
        <v>0</v>
      </c>
      <c r="W131" s="1614">
        <v>0</v>
      </c>
      <c r="X131" s="1423">
        <f>D131-G131</f>
        <v>0</v>
      </c>
      <c r="Y131" s="725"/>
      <c r="AA131" s="725"/>
    </row>
    <row r="132" spans="1:27" ht="45" hidden="1" customHeight="1">
      <c r="A132" s="2060"/>
      <c r="B132" s="1883" t="s">
        <v>1443</v>
      </c>
      <c r="C132" s="2060">
        <v>14065</v>
      </c>
      <c r="D132" s="1600">
        <f t="shared" si="25"/>
        <v>0</v>
      </c>
      <c r="E132" s="1608"/>
      <c r="F132" s="1616">
        <v>0</v>
      </c>
      <c r="G132" s="1600">
        <f t="shared" si="37"/>
        <v>0</v>
      </c>
      <c r="H132" s="1608">
        <f t="shared" si="22"/>
        <v>0</v>
      </c>
      <c r="I132" s="1608">
        <f t="shared" si="23"/>
        <v>0</v>
      </c>
      <c r="J132" s="1600">
        <f t="shared" si="36"/>
        <v>0</v>
      </c>
      <c r="K132" s="1608"/>
      <c r="L132" s="1608"/>
      <c r="M132" s="1604">
        <f t="shared" si="19"/>
        <v>0</v>
      </c>
      <c r="N132" s="1881">
        <f t="shared" si="19"/>
        <v>0</v>
      </c>
      <c r="O132" s="1881">
        <f t="shared" si="19"/>
        <v>0</v>
      </c>
      <c r="P132" s="1593" t="s">
        <v>1290</v>
      </c>
      <c r="Q132" s="1593" t="s">
        <v>1240</v>
      </c>
      <c r="R132" s="1600">
        <f t="shared" si="34"/>
        <v>0</v>
      </c>
      <c r="S132" s="1614">
        <v>0</v>
      </c>
      <c r="T132" s="1614">
        <v>0</v>
      </c>
      <c r="U132" s="1600">
        <f t="shared" si="35"/>
        <v>0</v>
      </c>
      <c r="V132" s="1614">
        <v>0</v>
      </c>
      <c r="W132" s="1614">
        <v>0</v>
      </c>
      <c r="AA132" s="725"/>
    </row>
    <row r="133" spans="1:27" ht="77.25" customHeight="1">
      <c r="A133" s="2060">
        <f>A131+1</f>
        <v>28</v>
      </c>
      <c r="B133" s="1883" t="s">
        <v>1444</v>
      </c>
      <c r="C133" s="2060">
        <v>14066</v>
      </c>
      <c r="D133" s="1600">
        <f t="shared" si="25"/>
        <v>1191.2</v>
      </c>
      <c r="E133" s="1608"/>
      <c r="F133" s="1616">
        <v>1191.2</v>
      </c>
      <c r="G133" s="1600">
        <f t="shared" si="37"/>
        <v>1191.2</v>
      </c>
      <c r="H133" s="1616">
        <f t="shared" si="22"/>
        <v>0</v>
      </c>
      <c r="I133" s="1616">
        <f t="shared" si="23"/>
        <v>1191.2</v>
      </c>
      <c r="J133" s="1600">
        <f t="shared" si="36"/>
        <v>0</v>
      </c>
      <c r="K133" s="1608"/>
      <c r="L133" s="1608"/>
      <c r="M133" s="1604">
        <f t="shared" si="19"/>
        <v>0</v>
      </c>
      <c r="N133" s="1881">
        <f t="shared" si="19"/>
        <v>0</v>
      </c>
      <c r="O133" s="1881">
        <f t="shared" si="19"/>
        <v>0</v>
      </c>
      <c r="P133" s="1593" t="s">
        <v>1290</v>
      </c>
      <c r="Q133" s="1593" t="s">
        <v>1240</v>
      </c>
      <c r="R133" s="1600">
        <f t="shared" si="34"/>
        <v>0</v>
      </c>
      <c r="S133" s="1614">
        <v>0</v>
      </c>
      <c r="T133" s="1614">
        <v>0</v>
      </c>
      <c r="U133" s="1600">
        <f t="shared" si="35"/>
        <v>0</v>
      </c>
      <c r="V133" s="1614">
        <v>0</v>
      </c>
      <c r="W133" s="1614">
        <v>0</v>
      </c>
      <c r="X133" s="1423">
        <f t="shared" ref="X133:X138" si="39">D133-G133</f>
        <v>0</v>
      </c>
      <c r="Y133" s="725"/>
      <c r="AA133" s="725"/>
    </row>
    <row r="134" spans="1:27" ht="38.25" customHeight="1">
      <c r="A134" s="1866">
        <f>A133+1</f>
        <v>29</v>
      </c>
      <c r="B134" s="1916" t="s">
        <v>1446</v>
      </c>
      <c r="C134" s="1913">
        <v>14076</v>
      </c>
      <c r="D134" s="1600">
        <f t="shared" si="25"/>
        <v>0</v>
      </c>
      <c r="E134" s="1608"/>
      <c r="F134" s="1608">
        <v>0</v>
      </c>
      <c r="G134" s="1600">
        <f t="shared" si="37"/>
        <v>0</v>
      </c>
      <c r="H134" s="1616">
        <f t="shared" si="22"/>
        <v>0</v>
      </c>
      <c r="I134" s="1616">
        <v>0</v>
      </c>
      <c r="J134" s="1600">
        <f t="shared" si="36"/>
        <v>0</v>
      </c>
      <c r="K134" s="1608"/>
      <c r="L134" s="1608"/>
      <c r="M134" s="1893">
        <f t="shared" si="19"/>
        <v>0</v>
      </c>
      <c r="N134" s="1894">
        <f t="shared" si="19"/>
        <v>0</v>
      </c>
      <c r="O134" s="1894">
        <f t="shared" si="19"/>
        <v>0</v>
      </c>
      <c r="P134" s="1593" t="s">
        <v>1290</v>
      </c>
      <c r="Q134" s="1593" t="s">
        <v>1240</v>
      </c>
      <c r="R134" s="1600">
        <f t="shared" si="34"/>
        <v>0</v>
      </c>
      <c r="S134" s="1614">
        <v>0</v>
      </c>
      <c r="T134" s="1614">
        <v>0</v>
      </c>
      <c r="U134" s="1600">
        <f t="shared" si="35"/>
        <v>0</v>
      </c>
      <c r="V134" s="1614">
        <v>0</v>
      </c>
      <c r="W134" s="1614">
        <v>0</v>
      </c>
      <c r="X134" s="1423">
        <f t="shared" si="39"/>
        <v>0</v>
      </c>
      <c r="Y134" s="725"/>
      <c r="AA134" s="725"/>
    </row>
    <row r="135" spans="1:27" ht="41.25" customHeight="1">
      <c r="A135" s="1866">
        <f>A134+1</f>
        <v>30</v>
      </c>
      <c r="B135" s="1916" t="s">
        <v>1447</v>
      </c>
      <c r="C135" s="1913">
        <v>14077</v>
      </c>
      <c r="D135" s="1600">
        <f t="shared" si="25"/>
        <v>0</v>
      </c>
      <c r="E135" s="1608"/>
      <c r="F135" s="1608">
        <v>0</v>
      </c>
      <c r="G135" s="1600">
        <f t="shared" si="37"/>
        <v>0</v>
      </c>
      <c r="H135" s="1616">
        <f t="shared" si="22"/>
        <v>0</v>
      </c>
      <c r="I135" s="1616">
        <v>0</v>
      </c>
      <c r="J135" s="1600">
        <f t="shared" si="36"/>
        <v>0</v>
      </c>
      <c r="K135" s="1608"/>
      <c r="L135" s="1608"/>
      <c r="M135" s="1893">
        <f t="shared" si="19"/>
        <v>0</v>
      </c>
      <c r="N135" s="1894">
        <f t="shared" si="19"/>
        <v>0</v>
      </c>
      <c r="O135" s="1894">
        <f t="shared" si="19"/>
        <v>0</v>
      </c>
      <c r="P135" s="1593" t="s">
        <v>1290</v>
      </c>
      <c r="Q135" s="1593" t="s">
        <v>1240</v>
      </c>
      <c r="R135" s="1600">
        <f t="shared" si="34"/>
        <v>0</v>
      </c>
      <c r="S135" s="1614">
        <v>0</v>
      </c>
      <c r="T135" s="1614">
        <v>0</v>
      </c>
      <c r="U135" s="1600">
        <f t="shared" si="35"/>
        <v>0</v>
      </c>
      <c r="V135" s="1614">
        <v>0</v>
      </c>
      <c r="W135" s="1614">
        <v>0</v>
      </c>
      <c r="X135" s="1423">
        <f t="shared" si="39"/>
        <v>0</v>
      </c>
      <c r="Y135" s="725"/>
      <c r="AA135" s="725"/>
    </row>
    <row r="136" spans="1:27" ht="38.25" customHeight="1">
      <c r="A136" s="1866">
        <f>A135+1</f>
        <v>31</v>
      </c>
      <c r="B136" s="1916" t="s">
        <v>1448</v>
      </c>
      <c r="C136" s="1880">
        <v>14079</v>
      </c>
      <c r="D136" s="1600">
        <f t="shared" si="25"/>
        <v>0</v>
      </c>
      <c r="E136" s="1608"/>
      <c r="F136" s="1608">
        <v>0</v>
      </c>
      <c r="G136" s="1600">
        <f t="shared" si="37"/>
        <v>0</v>
      </c>
      <c r="H136" s="1616">
        <f t="shared" si="22"/>
        <v>0</v>
      </c>
      <c r="I136" s="1616">
        <v>0</v>
      </c>
      <c r="J136" s="1600">
        <f t="shared" si="36"/>
        <v>0</v>
      </c>
      <c r="K136" s="1608"/>
      <c r="L136" s="1608"/>
      <c r="M136" s="1893">
        <f t="shared" si="19"/>
        <v>0</v>
      </c>
      <c r="N136" s="1894">
        <f t="shared" si="19"/>
        <v>0</v>
      </c>
      <c r="O136" s="1894">
        <f t="shared" si="19"/>
        <v>0</v>
      </c>
      <c r="P136" s="1593" t="s">
        <v>1290</v>
      </c>
      <c r="Q136" s="1593" t="s">
        <v>1240</v>
      </c>
      <c r="R136" s="1600">
        <f t="shared" si="34"/>
        <v>0</v>
      </c>
      <c r="S136" s="1614">
        <v>0</v>
      </c>
      <c r="T136" s="1614">
        <v>0</v>
      </c>
      <c r="U136" s="1600">
        <f t="shared" si="35"/>
        <v>0</v>
      </c>
      <c r="V136" s="1614">
        <v>0</v>
      </c>
      <c r="W136" s="1614">
        <v>0</v>
      </c>
      <c r="X136" s="1423">
        <f t="shared" si="39"/>
        <v>0</v>
      </c>
      <c r="Y136" s="725"/>
      <c r="AA136" s="725"/>
    </row>
    <row r="137" spans="1:27" ht="37.5" customHeight="1">
      <c r="A137" s="1866">
        <f>A136+1</f>
        <v>32</v>
      </c>
      <c r="B137" s="1916" t="s">
        <v>1449</v>
      </c>
      <c r="C137" s="1913">
        <v>14080</v>
      </c>
      <c r="D137" s="1600">
        <f t="shared" si="25"/>
        <v>0</v>
      </c>
      <c r="E137" s="1608"/>
      <c r="F137" s="1608">
        <v>0</v>
      </c>
      <c r="G137" s="1600">
        <f t="shared" si="37"/>
        <v>0</v>
      </c>
      <c r="H137" s="1616">
        <f t="shared" si="22"/>
        <v>0</v>
      </c>
      <c r="I137" s="1616">
        <v>0</v>
      </c>
      <c r="J137" s="1600">
        <f t="shared" si="36"/>
        <v>0</v>
      </c>
      <c r="K137" s="1608"/>
      <c r="L137" s="1608"/>
      <c r="M137" s="1893">
        <f t="shared" si="19"/>
        <v>0</v>
      </c>
      <c r="N137" s="1894">
        <f t="shared" si="19"/>
        <v>0</v>
      </c>
      <c r="O137" s="1894">
        <f t="shared" si="19"/>
        <v>0</v>
      </c>
      <c r="P137" s="1593" t="s">
        <v>1290</v>
      </c>
      <c r="Q137" s="1593" t="s">
        <v>1240</v>
      </c>
      <c r="R137" s="1600">
        <f t="shared" si="34"/>
        <v>0</v>
      </c>
      <c r="S137" s="1614">
        <v>0</v>
      </c>
      <c r="T137" s="1614">
        <v>0</v>
      </c>
      <c r="U137" s="1600">
        <f t="shared" si="35"/>
        <v>0</v>
      </c>
      <c r="V137" s="1614">
        <v>0</v>
      </c>
      <c r="W137" s="1614">
        <v>0</v>
      </c>
      <c r="X137" s="1423">
        <f t="shared" si="39"/>
        <v>0</v>
      </c>
      <c r="Y137" s="725"/>
      <c r="AA137" s="725"/>
    </row>
    <row r="138" spans="1:27" ht="22.5" hidden="1" customHeight="1">
      <c r="A138" s="1866"/>
      <c r="B138" s="1916" t="s">
        <v>1450</v>
      </c>
      <c r="C138" s="1913">
        <v>14081</v>
      </c>
      <c r="D138" s="1600">
        <f t="shared" si="25"/>
        <v>0</v>
      </c>
      <c r="E138" s="1608"/>
      <c r="F138" s="1608">
        <v>0</v>
      </c>
      <c r="G138" s="1600">
        <f t="shared" si="37"/>
        <v>0</v>
      </c>
      <c r="H138" s="1616">
        <f t="shared" si="22"/>
        <v>0</v>
      </c>
      <c r="I138" s="1616">
        <f t="shared" si="23"/>
        <v>0</v>
      </c>
      <c r="J138" s="1600">
        <f t="shared" si="36"/>
        <v>0</v>
      </c>
      <c r="K138" s="1608"/>
      <c r="L138" s="1608"/>
      <c r="M138" s="1893">
        <f t="shared" si="19"/>
        <v>0</v>
      </c>
      <c r="N138" s="1894">
        <f t="shared" si="19"/>
        <v>0</v>
      </c>
      <c r="O138" s="1894">
        <f t="shared" si="19"/>
        <v>0</v>
      </c>
      <c r="P138" s="1593" t="s">
        <v>1290</v>
      </c>
      <c r="Q138" s="1593" t="s">
        <v>1240</v>
      </c>
      <c r="R138" s="1600">
        <f t="shared" si="34"/>
        <v>0</v>
      </c>
      <c r="S138" s="1614">
        <v>0</v>
      </c>
      <c r="T138" s="1614">
        <v>0</v>
      </c>
      <c r="U138" s="1600">
        <f t="shared" si="35"/>
        <v>0</v>
      </c>
      <c r="V138" s="1614">
        <v>0</v>
      </c>
      <c r="W138" s="1614">
        <v>0</v>
      </c>
      <c r="X138" s="1423">
        <f t="shared" si="39"/>
        <v>0</v>
      </c>
      <c r="Y138" s="725"/>
      <c r="AA138" s="725"/>
    </row>
    <row r="139" spans="1:27" ht="36" hidden="1" customHeight="1">
      <c r="A139" s="1866"/>
      <c r="B139" s="1916" t="s">
        <v>1451</v>
      </c>
      <c r="C139" s="1913">
        <v>14082</v>
      </c>
      <c r="D139" s="1600">
        <f t="shared" si="25"/>
        <v>0</v>
      </c>
      <c r="E139" s="1608"/>
      <c r="F139" s="1608">
        <v>0</v>
      </c>
      <c r="G139" s="1600">
        <f t="shared" si="37"/>
        <v>0</v>
      </c>
      <c r="H139" s="1608">
        <f t="shared" si="22"/>
        <v>0</v>
      </c>
      <c r="I139" s="1608">
        <f t="shared" si="23"/>
        <v>0</v>
      </c>
      <c r="J139" s="1600">
        <f t="shared" si="36"/>
        <v>0</v>
      </c>
      <c r="K139" s="1608"/>
      <c r="L139" s="1608"/>
      <c r="M139" s="1893">
        <f t="shared" si="19"/>
        <v>0</v>
      </c>
      <c r="N139" s="1894">
        <f t="shared" si="19"/>
        <v>0</v>
      </c>
      <c r="O139" s="1894">
        <f t="shared" si="19"/>
        <v>0</v>
      </c>
      <c r="P139" s="1593" t="s">
        <v>1290</v>
      </c>
      <c r="Q139" s="1593" t="s">
        <v>1240</v>
      </c>
      <c r="R139" s="1600">
        <f t="shared" si="34"/>
        <v>0</v>
      </c>
      <c r="S139" s="1614">
        <v>0</v>
      </c>
      <c r="T139" s="1614">
        <v>0</v>
      </c>
      <c r="U139" s="1600">
        <f t="shared" si="35"/>
        <v>0</v>
      </c>
      <c r="V139" s="1614">
        <v>0</v>
      </c>
      <c r="W139" s="1614">
        <v>0</v>
      </c>
      <c r="AA139" s="725"/>
    </row>
    <row r="140" spans="1:27" ht="37.5" customHeight="1">
      <c r="A140" s="1866">
        <v>53</v>
      </c>
      <c r="B140" s="1916" t="s">
        <v>1452</v>
      </c>
      <c r="C140" s="1913">
        <v>14083</v>
      </c>
      <c r="D140" s="1600">
        <f t="shared" si="25"/>
        <v>0</v>
      </c>
      <c r="E140" s="1608"/>
      <c r="F140" s="1608">
        <v>0</v>
      </c>
      <c r="G140" s="1600">
        <f t="shared" si="37"/>
        <v>0</v>
      </c>
      <c r="H140" s="1616">
        <f>E140</f>
        <v>0</v>
      </c>
      <c r="I140" s="1616">
        <v>0</v>
      </c>
      <c r="J140" s="1600">
        <f t="shared" si="36"/>
        <v>0</v>
      </c>
      <c r="K140" s="1608"/>
      <c r="L140" s="1608"/>
      <c r="M140" s="1893">
        <f t="shared" si="19"/>
        <v>0</v>
      </c>
      <c r="N140" s="1894">
        <f t="shared" si="19"/>
        <v>0</v>
      </c>
      <c r="O140" s="1894">
        <f t="shared" si="19"/>
        <v>0</v>
      </c>
      <c r="P140" s="1593" t="s">
        <v>1290</v>
      </c>
      <c r="Q140" s="1593" t="s">
        <v>1240</v>
      </c>
      <c r="R140" s="1600">
        <f t="shared" si="34"/>
        <v>0</v>
      </c>
      <c r="S140" s="1614">
        <v>0</v>
      </c>
      <c r="T140" s="1614">
        <v>0</v>
      </c>
      <c r="U140" s="1600">
        <f t="shared" si="35"/>
        <v>0</v>
      </c>
      <c r="V140" s="1614">
        <v>0</v>
      </c>
      <c r="W140" s="1614">
        <v>0</v>
      </c>
      <c r="X140" s="1423">
        <f>D140-G140</f>
        <v>0</v>
      </c>
      <c r="Y140" s="725"/>
      <c r="AA140" s="725"/>
    </row>
    <row r="141" spans="1:27" ht="40.5" hidden="1" customHeight="1">
      <c r="A141" s="1866"/>
      <c r="B141" s="1916" t="s">
        <v>1453</v>
      </c>
      <c r="C141" s="1913">
        <v>14084</v>
      </c>
      <c r="D141" s="1600">
        <f t="shared" si="25"/>
        <v>0</v>
      </c>
      <c r="E141" s="1608"/>
      <c r="F141" s="1608">
        <v>0</v>
      </c>
      <c r="G141" s="1600">
        <f t="shared" si="37"/>
        <v>0</v>
      </c>
      <c r="H141" s="1608">
        <f t="shared" si="22"/>
        <v>0</v>
      </c>
      <c r="I141" s="1608">
        <f t="shared" si="23"/>
        <v>0</v>
      </c>
      <c r="J141" s="1600">
        <f t="shared" si="36"/>
        <v>0</v>
      </c>
      <c r="K141" s="1608"/>
      <c r="L141" s="1608"/>
      <c r="M141" s="1893">
        <f t="shared" si="19"/>
        <v>0</v>
      </c>
      <c r="N141" s="1894">
        <f t="shared" si="19"/>
        <v>0</v>
      </c>
      <c r="O141" s="1894">
        <f t="shared" si="19"/>
        <v>0</v>
      </c>
      <c r="P141" s="1593" t="s">
        <v>1290</v>
      </c>
      <c r="Q141" s="1593" t="s">
        <v>1240</v>
      </c>
      <c r="R141" s="1600">
        <f t="shared" si="34"/>
        <v>0</v>
      </c>
      <c r="S141" s="1614">
        <v>0</v>
      </c>
      <c r="T141" s="1614">
        <v>0</v>
      </c>
      <c r="U141" s="1600">
        <f t="shared" si="35"/>
        <v>0</v>
      </c>
      <c r="V141" s="1614">
        <v>0</v>
      </c>
      <c r="W141" s="1614">
        <v>0</v>
      </c>
      <c r="AA141" s="725"/>
    </row>
    <row r="142" spans="1:27" ht="38.25" hidden="1" customHeight="1">
      <c r="A142" s="1866"/>
      <c r="B142" s="1916" t="s">
        <v>1454</v>
      </c>
      <c r="C142" s="1913">
        <v>14088</v>
      </c>
      <c r="D142" s="1600">
        <f t="shared" si="25"/>
        <v>0</v>
      </c>
      <c r="E142" s="1608"/>
      <c r="F142" s="1608">
        <v>0</v>
      </c>
      <c r="G142" s="1600">
        <f t="shared" si="37"/>
        <v>0</v>
      </c>
      <c r="H142" s="1608">
        <f t="shared" si="22"/>
        <v>0</v>
      </c>
      <c r="I142" s="1608">
        <f t="shared" si="23"/>
        <v>0</v>
      </c>
      <c r="J142" s="1600">
        <f t="shared" si="36"/>
        <v>0</v>
      </c>
      <c r="K142" s="1608"/>
      <c r="L142" s="1608"/>
      <c r="M142" s="1893">
        <f t="shared" si="19"/>
        <v>0</v>
      </c>
      <c r="N142" s="1894">
        <f t="shared" si="19"/>
        <v>0</v>
      </c>
      <c r="O142" s="1894">
        <f t="shared" si="19"/>
        <v>0</v>
      </c>
      <c r="P142" s="1593" t="s">
        <v>1290</v>
      </c>
      <c r="Q142" s="1593" t="s">
        <v>1240</v>
      </c>
      <c r="R142" s="1600">
        <f t="shared" si="34"/>
        <v>0</v>
      </c>
      <c r="S142" s="1614">
        <v>0</v>
      </c>
      <c r="T142" s="1614">
        <v>0</v>
      </c>
      <c r="U142" s="1600">
        <f t="shared" si="35"/>
        <v>0</v>
      </c>
      <c r="V142" s="1614">
        <v>0</v>
      </c>
      <c r="W142" s="1614">
        <v>0</v>
      </c>
      <c r="AA142" s="725"/>
    </row>
    <row r="143" spans="1:27" ht="61.5" hidden="1" customHeight="1">
      <c r="A143" s="1866"/>
      <c r="B143" s="2071" t="s">
        <v>1593</v>
      </c>
      <c r="C143" s="1913"/>
      <c r="D143" s="1600">
        <f t="shared" si="25"/>
        <v>0</v>
      </c>
      <c r="E143" s="1608"/>
      <c r="F143" s="1608">
        <v>0</v>
      </c>
      <c r="G143" s="1600">
        <f t="shared" si="37"/>
        <v>0</v>
      </c>
      <c r="H143" s="1616">
        <f>E143</f>
        <v>0</v>
      </c>
      <c r="I143" s="1616">
        <f>F143</f>
        <v>0</v>
      </c>
      <c r="J143" s="1600">
        <f t="shared" si="36"/>
        <v>0</v>
      </c>
      <c r="K143" s="1608"/>
      <c r="L143" s="1608"/>
      <c r="M143" s="1893">
        <f t="shared" si="19"/>
        <v>0</v>
      </c>
      <c r="N143" s="1894">
        <f t="shared" si="19"/>
        <v>0</v>
      </c>
      <c r="O143" s="1894">
        <f t="shared" si="19"/>
        <v>0</v>
      </c>
      <c r="P143" s="1593"/>
      <c r="Q143" s="1593"/>
      <c r="R143" s="1600">
        <f t="shared" si="34"/>
        <v>0</v>
      </c>
      <c r="S143" s="1614">
        <v>0</v>
      </c>
      <c r="T143" s="1614">
        <v>0</v>
      </c>
      <c r="U143" s="1600">
        <f t="shared" si="35"/>
        <v>0</v>
      </c>
      <c r="V143" s="1614">
        <v>0</v>
      </c>
      <c r="W143" s="1614">
        <v>0</v>
      </c>
      <c r="X143" s="1423">
        <f>D143-G143</f>
        <v>0</v>
      </c>
      <c r="Y143" s="725"/>
      <c r="AA143" s="725"/>
    </row>
    <row r="144" spans="1:27" ht="58.5" hidden="1" customHeight="1">
      <c r="A144" s="2060"/>
      <c r="B144" s="1912" t="s">
        <v>1608</v>
      </c>
      <c r="C144" s="1913"/>
      <c r="D144" s="1600">
        <f t="shared" si="25"/>
        <v>0</v>
      </c>
      <c r="E144" s="1608"/>
      <c r="F144" s="1616">
        <v>0</v>
      </c>
      <c r="G144" s="1600">
        <f t="shared" si="37"/>
        <v>0</v>
      </c>
      <c r="H144" s="1608">
        <f t="shared" si="22"/>
        <v>0</v>
      </c>
      <c r="I144" s="1608">
        <f t="shared" si="23"/>
        <v>0</v>
      </c>
      <c r="J144" s="1600">
        <f t="shared" si="36"/>
        <v>0</v>
      </c>
      <c r="K144" s="1608"/>
      <c r="L144" s="1608"/>
      <c r="M144" s="1893">
        <f t="shared" si="19"/>
        <v>0</v>
      </c>
      <c r="N144" s="1894">
        <f t="shared" si="19"/>
        <v>0</v>
      </c>
      <c r="O144" s="1894">
        <f t="shared" si="19"/>
        <v>0</v>
      </c>
      <c r="P144" s="1593"/>
      <c r="Q144" s="1593"/>
      <c r="R144" s="1600">
        <f t="shared" si="34"/>
        <v>0</v>
      </c>
      <c r="S144" s="1614">
        <v>0</v>
      </c>
      <c r="T144" s="1614">
        <v>0</v>
      </c>
      <c r="U144" s="1600">
        <f t="shared" si="35"/>
        <v>0</v>
      </c>
      <c r="V144" s="1614">
        <v>0</v>
      </c>
      <c r="W144" s="1614">
        <v>0</v>
      </c>
      <c r="AA144" s="725"/>
    </row>
    <row r="145" spans="1:27" ht="59.25" hidden="1" customHeight="1">
      <c r="A145" s="2060"/>
      <c r="B145" s="1912" t="s">
        <v>1594</v>
      </c>
      <c r="C145" s="1913"/>
      <c r="D145" s="1600">
        <f t="shared" si="25"/>
        <v>0</v>
      </c>
      <c r="E145" s="1608"/>
      <c r="F145" s="1616">
        <v>0</v>
      </c>
      <c r="G145" s="1600">
        <f t="shared" si="37"/>
        <v>0</v>
      </c>
      <c r="H145" s="1608">
        <f t="shared" si="22"/>
        <v>0</v>
      </c>
      <c r="I145" s="1608">
        <f t="shared" si="23"/>
        <v>0</v>
      </c>
      <c r="J145" s="1600">
        <f t="shared" si="36"/>
        <v>0</v>
      </c>
      <c r="K145" s="1608"/>
      <c r="L145" s="1608"/>
      <c r="M145" s="1893">
        <f t="shared" si="19"/>
        <v>0</v>
      </c>
      <c r="N145" s="1894">
        <f t="shared" si="19"/>
        <v>0</v>
      </c>
      <c r="O145" s="1894">
        <f t="shared" si="19"/>
        <v>0</v>
      </c>
      <c r="P145" s="1593"/>
      <c r="Q145" s="1593"/>
      <c r="R145" s="1600">
        <f t="shared" si="34"/>
        <v>0</v>
      </c>
      <c r="S145" s="1614">
        <v>0</v>
      </c>
      <c r="T145" s="1614">
        <v>0</v>
      </c>
      <c r="U145" s="1600">
        <f t="shared" si="35"/>
        <v>0</v>
      </c>
      <c r="V145" s="1614">
        <v>0</v>
      </c>
      <c r="W145" s="1614">
        <v>0</v>
      </c>
      <c r="AA145" s="725"/>
    </row>
    <row r="146" spans="1:27" s="1607" customFormat="1" ht="79.5" customHeight="1">
      <c r="A146" s="2060">
        <f>A140+1</f>
        <v>54</v>
      </c>
      <c r="B146" s="1914" t="s">
        <v>1601</v>
      </c>
      <c r="C146" s="2060" t="s">
        <v>332</v>
      </c>
      <c r="D146" s="1600">
        <f t="shared" si="25"/>
        <v>8850</v>
      </c>
      <c r="E146" s="1608"/>
      <c r="F146" s="1616">
        <v>8850</v>
      </c>
      <c r="G146" s="1600">
        <f t="shared" si="37"/>
        <v>8850</v>
      </c>
      <c r="H146" s="1616">
        <f t="shared" si="22"/>
        <v>0</v>
      </c>
      <c r="I146" s="1616">
        <f t="shared" si="23"/>
        <v>8850</v>
      </c>
      <c r="J146" s="1600">
        <f t="shared" si="36"/>
        <v>0</v>
      </c>
      <c r="K146" s="1608"/>
      <c r="L146" s="1608"/>
      <c r="M146" s="1604">
        <f t="shared" si="19"/>
        <v>0</v>
      </c>
      <c r="N146" s="1881">
        <f t="shared" si="19"/>
        <v>0</v>
      </c>
      <c r="O146" s="1881">
        <f t="shared" si="19"/>
        <v>0</v>
      </c>
      <c r="P146" s="1593"/>
      <c r="Q146" s="1593"/>
      <c r="R146" s="1600">
        <f t="shared" si="34"/>
        <v>0</v>
      </c>
      <c r="S146" s="1614">
        <v>0</v>
      </c>
      <c r="T146" s="1614">
        <v>0</v>
      </c>
      <c r="U146" s="1600">
        <f t="shared" si="35"/>
        <v>0</v>
      </c>
      <c r="V146" s="1614">
        <v>0</v>
      </c>
      <c r="W146" s="1614">
        <v>0</v>
      </c>
      <c r="X146" s="1423">
        <f t="shared" ref="X146:X151" si="40">D146-G146</f>
        <v>0</v>
      </c>
      <c r="Y146" s="725"/>
      <c r="AA146" s="725"/>
    </row>
    <row r="147" spans="1:27" s="1607" customFormat="1" ht="76.5" hidden="1" customHeight="1">
      <c r="A147" s="2060"/>
      <c r="B147" s="1914" t="s">
        <v>1523</v>
      </c>
      <c r="C147" s="2060" t="s">
        <v>1536</v>
      </c>
      <c r="D147" s="1600">
        <f t="shared" si="25"/>
        <v>0</v>
      </c>
      <c r="E147" s="1608"/>
      <c r="F147" s="1616">
        <v>0</v>
      </c>
      <c r="G147" s="1600">
        <f t="shared" si="37"/>
        <v>0</v>
      </c>
      <c r="H147" s="1616">
        <f t="shared" si="22"/>
        <v>0</v>
      </c>
      <c r="I147" s="1616">
        <f t="shared" si="23"/>
        <v>0</v>
      </c>
      <c r="J147" s="1600">
        <f t="shared" si="36"/>
        <v>0</v>
      </c>
      <c r="K147" s="1608"/>
      <c r="L147" s="1608"/>
      <c r="M147" s="1604">
        <f t="shared" si="19"/>
        <v>0</v>
      </c>
      <c r="N147" s="1881">
        <f t="shared" si="19"/>
        <v>0</v>
      </c>
      <c r="O147" s="1881">
        <f t="shared" si="19"/>
        <v>0</v>
      </c>
      <c r="P147" s="1593" t="s">
        <v>1192</v>
      </c>
      <c r="Q147" s="1593" t="s">
        <v>1203</v>
      </c>
      <c r="R147" s="1600">
        <f t="shared" si="34"/>
        <v>0</v>
      </c>
      <c r="S147" s="1614">
        <v>0</v>
      </c>
      <c r="T147" s="1614">
        <v>0</v>
      </c>
      <c r="U147" s="1600">
        <f t="shared" si="35"/>
        <v>0</v>
      </c>
      <c r="V147" s="1614">
        <v>0</v>
      </c>
      <c r="W147" s="1614">
        <v>0</v>
      </c>
      <c r="X147" s="1423">
        <f t="shared" si="40"/>
        <v>0</v>
      </c>
      <c r="Y147" s="725"/>
      <c r="AA147" s="725"/>
    </row>
    <row r="148" spans="1:27" s="1607" customFormat="1" ht="48" customHeight="1">
      <c r="A148" s="2060">
        <f>A146+1</f>
        <v>55</v>
      </c>
      <c r="B148" s="1914" t="s">
        <v>1602</v>
      </c>
      <c r="C148" s="2060"/>
      <c r="D148" s="1600">
        <f t="shared" si="25"/>
        <v>17550</v>
      </c>
      <c r="E148" s="1608"/>
      <c r="F148" s="1616">
        <v>17550</v>
      </c>
      <c r="G148" s="1600">
        <f t="shared" si="37"/>
        <v>17550</v>
      </c>
      <c r="H148" s="1616">
        <f t="shared" si="22"/>
        <v>0</v>
      </c>
      <c r="I148" s="1616">
        <f t="shared" si="23"/>
        <v>17550</v>
      </c>
      <c r="J148" s="1600">
        <f t="shared" si="36"/>
        <v>17550</v>
      </c>
      <c r="K148" s="1608"/>
      <c r="L148" s="1608">
        <v>17550</v>
      </c>
      <c r="M148" s="1604">
        <f t="shared" si="19"/>
        <v>100</v>
      </c>
      <c r="N148" s="1881">
        <f t="shared" si="19"/>
        <v>0</v>
      </c>
      <c r="O148" s="1881">
        <f t="shared" si="19"/>
        <v>100</v>
      </c>
      <c r="P148" s="1593"/>
      <c r="Q148" s="1593"/>
      <c r="R148" s="1600">
        <f t="shared" si="34"/>
        <v>0</v>
      </c>
      <c r="S148" s="1614">
        <v>0</v>
      </c>
      <c r="T148" s="1614">
        <v>0</v>
      </c>
      <c r="U148" s="1600">
        <f t="shared" si="35"/>
        <v>0</v>
      </c>
      <c r="V148" s="1614">
        <v>0</v>
      </c>
      <c r="W148" s="1614">
        <v>0</v>
      </c>
      <c r="X148" s="1423">
        <f t="shared" si="40"/>
        <v>0</v>
      </c>
      <c r="Y148" s="725"/>
      <c r="AA148" s="725"/>
    </row>
    <row r="149" spans="1:27" s="1607" customFormat="1" ht="60" hidden="1" customHeight="1">
      <c r="A149" s="2060"/>
      <c r="B149" s="1914" t="s">
        <v>1485</v>
      </c>
      <c r="C149" s="2060" t="s">
        <v>1537</v>
      </c>
      <c r="D149" s="1600">
        <f t="shared" si="25"/>
        <v>0</v>
      </c>
      <c r="E149" s="1608"/>
      <c r="F149" s="1616">
        <v>0</v>
      </c>
      <c r="G149" s="1600">
        <f t="shared" si="37"/>
        <v>0</v>
      </c>
      <c r="H149" s="1616">
        <f t="shared" si="22"/>
        <v>0</v>
      </c>
      <c r="I149" s="1616">
        <f t="shared" si="23"/>
        <v>0</v>
      </c>
      <c r="J149" s="1600">
        <f t="shared" si="36"/>
        <v>0</v>
      </c>
      <c r="K149" s="1608"/>
      <c r="L149" s="1608"/>
      <c r="M149" s="1604">
        <f t="shared" si="19"/>
        <v>0</v>
      </c>
      <c r="N149" s="1881">
        <f t="shared" si="19"/>
        <v>0</v>
      </c>
      <c r="O149" s="1881">
        <f t="shared" si="19"/>
        <v>0</v>
      </c>
      <c r="P149" s="1593" t="s">
        <v>1192</v>
      </c>
      <c r="Q149" s="1593" t="s">
        <v>1203</v>
      </c>
      <c r="R149" s="1600">
        <f t="shared" si="34"/>
        <v>0</v>
      </c>
      <c r="S149" s="1614">
        <v>0</v>
      </c>
      <c r="T149" s="1614">
        <v>0</v>
      </c>
      <c r="U149" s="1600">
        <f t="shared" si="35"/>
        <v>0</v>
      </c>
      <c r="V149" s="1614">
        <v>0</v>
      </c>
      <c r="W149" s="1614">
        <v>0</v>
      </c>
      <c r="X149" s="1423">
        <f t="shared" si="40"/>
        <v>0</v>
      </c>
      <c r="Y149" s="725"/>
      <c r="AA149" s="725"/>
    </row>
    <row r="150" spans="1:27" s="1607" customFormat="1" ht="78" customHeight="1">
      <c r="A150" s="2060">
        <f>A148+1</f>
        <v>56</v>
      </c>
      <c r="B150" s="1915" t="s">
        <v>1486</v>
      </c>
      <c r="C150" s="2060">
        <v>14059</v>
      </c>
      <c r="D150" s="1600">
        <f t="shared" si="25"/>
        <v>16320</v>
      </c>
      <c r="E150" s="1608"/>
      <c r="F150" s="1616">
        <v>16320</v>
      </c>
      <c r="G150" s="1600">
        <f t="shared" si="37"/>
        <v>16320</v>
      </c>
      <c r="H150" s="1616">
        <f t="shared" si="22"/>
        <v>0</v>
      </c>
      <c r="I150" s="1616">
        <f t="shared" si="23"/>
        <v>16320</v>
      </c>
      <c r="J150" s="1600">
        <f t="shared" si="36"/>
        <v>15900</v>
      </c>
      <c r="K150" s="1608"/>
      <c r="L150" s="1608">
        <v>15900</v>
      </c>
      <c r="M150" s="1604">
        <f t="shared" ref="M150:O234" si="41">IF(J150=0,0,J150/G150*100)</f>
        <v>97.4</v>
      </c>
      <c r="N150" s="1881">
        <f t="shared" si="41"/>
        <v>0</v>
      </c>
      <c r="O150" s="1881">
        <f t="shared" si="41"/>
        <v>97.4</v>
      </c>
      <c r="P150" s="1593" t="s">
        <v>1192</v>
      </c>
      <c r="Q150" s="1593" t="s">
        <v>1204</v>
      </c>
      <c r="R150" s="1600">
        <f t="shared" si="34"/>
        <v>38080</v>
      </c>
      <c r="S150" s="1608">
        <v>0</v>
      </c>
      <c r="T150" s="1608">
        <v>38080</v>
      </c>
      <c r="U150" s="1600">
        <f t="shared" si="35"/>
        <v>0</v>
      </c>
      <c r="V150" s="1608">
        <v>0</v>
      </c>
      <c r="W150" s="1608">
        <v>0</v>
      </c>
      <c r="X150" s="1423">
        <f t="shared" si="40"/>
        <v>0</v>
      </c>
      <c r="Y150" s="725"/>
      <c r="AA150" s="725"/>
    </row>
    <row r="151" spans="1:27" s="1607" customFormat="1" ht="39" hidden="1" customHeight="1">
      <c r="A151" s="2060"/>
      <c r="B151" s="1912" t="s">
        <v>1491</v>
      </c>
      <c r="C151" s="1880">
        <v>14089</v>
      </c>
      <c r="D151" s="1600">
        <f t="shared" si="25"/>
        <v>0</v>
      </c>
      <c r="E151" s="1614"/>
      <c r="F151" s="1615">
        <v>0</v>
      </c>
      <c r="G151" s="1600">
        <f t="shared" si="37"/>
        <v>0</v>
      </c>
      <c r="H151" s="1616">
        <f t="shared" si="22"/>
        <v>0</v>
      </c>
      <c r="I151" s="1616">
        <f t="shared" si="23"/>
        <v>0</v>
      </c>
      <c r="J151" s="1600">
        <f t="shared" si="36"/>
        <v>0</v>
      </c>
      <c r="K151" s="1614"/>
      <c r="L151" s="1614"/>
      <c r="M151" s="1604">
        <f t="shared" si="41"/>
        <v>0</v>
      </c>
      <c r="N151" s="1881">
        <f t="shared" si="41"/>
        <v>0</v>
      </c>
      <c r="O151" s="1881">
        <f t="shared" si="41"/>
        <v>0</v>
      </c>
      <c r="P151" s="1593" t="s">
        <v>1192</v>
      </c>
      <c r="Q151" s="1593" t="s">
        <v>1206</v>
      </c>
      <c r="R151" s="1600">
        <f t="shared" si="34"/>
        <v>0</v>
      </c>
      <c r="S151" s="1614">
        <v>0</v>
      </c>
      <c r="T151" s="1614">
        <v>0</v>
      </c>
      <c r="U151" s="1600">
        <f t="shared" si="35"/>
        <v>0</v>
      </c>
      <c r="V151" s="1608">
        <v>0</v>
      </c>
      <c r="W151" s="1608">
        <v>0</v>
      </c>
      <c r="X151" s="1423">
        <f t="shared" si="40"/>
        <v>0</v>
      </c>
      <c r="Y151" s="725"/>
      <c r="AA151" s="725"/>
    </row>
    <row r="152" spans="1:27" s="1607" customFormat="1" ht="60" hidden="1" customHeight="1">
      <c r="A152" s="2060"/>
      <c r="B152" s="493" t="s">
        <v>1492</v>
      </c>
      <c r="C152" s="2060">
        <v>14091</v>
      </c>
      <c r="D152" s="1600">
        <f t="shared" si="25"/>
        <v>0</v>
      </c>
      <c r="E152" s="1614"/>
      <c r="F152" s="1615">
        <v>0</v>
      </c>
      <c r="G152" s="1600">
        <f t="shared" si="37"/>
        <v>0</v>
      </c>
      <c r="H152" s="1614">
        <f t="shared" si="22"/>
        <v>0</v>
      </c>
      <c r="I152" s="1614">
        <f t="shared" si="23"/>
        <v>0</v>
      </c>
      <c r="J152" s="1600">
        <f t="shared" si="36"/>
        <v>0</v>
      </c>
      <c r="K152" s="1614"/>
      <c r="L152" s="1614"/>
      <c r="M152" s="1604">
        <f t="shared" si="41"/>
        <v>0</v>
      </c>
      <c r="N152" s="1881">
        <f t="shared" si="41"/>
        <v>0</v>
      </c>
      <c r="O152" s="1881">
        <f t="shared" si="41"/>
        <v>0</v>
      </c>
      <c r="P152" s="1593" t="s">
        <v>1192</v>
      </c>
      <c r="Q152" s="1593" t="s">
        <v>1206</v>
      </c>
      <c r="R152" s="1600">
        <f t="shared" si="34"/>
        <v>0</v>
      </c>
      <c r="S152" s="1614">
        <v>0</v>
      </c>
      <c r="T152" s="1614">
        <v>0</v>
      </c>
      <c r="U152" s="1600">
        <f t="shared" si="35"/>
        <v>0</v>
      </c>
      <c r="V152" s="1608">
        <v>0</v>
      </c>
      <c r="W152" s="1608">
        <v>0</v>
      </c>
      <c r="AA152" s="725"/>
    </row>
    <row r="153" spans="1:27" ht="40.5" customHeight="1">
      <c r="A153" s="2060">
        <f>A150+1</f>
        <v>57</v>
      </c>
      <c r="B153" s="1888" t="s">
        <v>1473</v>
      </c>
      <c r="C153" s="2060">
        <v>14090</v>
      </c>
      <c r="D153" s="1600">
        <f t="shared" si="25"/>
        <v>5964.1</v>
      </c>
      <c r="E153" s="1614"/>
      <c r="F153" s="1615">
        <f>7941.5-1977.4</f>
        <v>5964.1</v>
      </c>
      <c r="G153" s="1600">
        <f t="shared" si="37"/>
        <v>5964.1</v>
      </c>
      <c r="H153" s="1616">
        <f t="shared" si="22"/>
        <v>0</v>
      </c>
      <c r="I153" s="1616">
        <f t="shared" si="23"/>
        <v>5964.1</v>
      </c>
      <c r="J153" s="1600">
        <f t="shared" si="36"/>
        <v>0</v>
      </c>
      <c r="K153" s="1614"/>
      <c r="L153" s="1614"/>
      <c r="M153" s="1604">
        <f t="shared" si="41"/>
        <v>0</v>
      </c>
      <c r="N153" s="1881">
        <f t="shared" si="41"/>
        <v>0</v>
      </c>
      <c r="O153" s="1881">
        <f t="shared" si="41"/>
        <v>0</v>
      </c>
      <c r="P153" s="1593" t="s">
        <v>1192</v>
      </c>
      <c r="Q153" s="1593" t="s">
        <v>1160</v>
      </c>
      <c r="R153" s="1600">
        <f t="shared" si="34"/>
        <v>0</v>
      </c>
      <c r="S153" s="1614">
        <v>0</v>
      </c>
      <c r="T153" s="1614">
        <v>0</v>
      </c>
      <c r="U153" s="1600">
        <f t="shared" si="35"/>
        <v>0</v>
      </c>
      <c r="V153" s="1608">
        <v>0</v>
      </c>
      <c r="W153" s="1608">
        <v>0</v>
      </c>
      <c r="X153" s="1423">
        <f t="shared" ref="X153:X158" si="42">D153-G153</f>
        <v>0</v>
      </c>
      <c r="Y153" s="725"/>
      <c r="AA153" s="725"/>
    </row>
    <row r="154" spans="1:27" s="1570" customFormat="1" ht="59.25" hidden="1" customHeight="1">
      <c r="A154" s="2060"/>
      <c r="B154" s="1885" t="s">
        <v>1618</v>
      </c>
      <c r="C154" s="1880">
        <v>24366</v>
      </c>
      <c r="D154" s="1600">
        <f t="shared" si="25"/>
        <v>0</v>
      </c>
      <c r="E154" s="1614"/>
      <c r="F154" s="1615">
        <v>0</v>
      </c>
      <c r="G154" s="1600">
        <f t="shared" si="37"/>
        <v>0</v>
      </c>
      <c r="H154" s="1616">
        <f t="shared" si="22"/>
        <v>0</v>
      </c>
      <c r="I154" s="1616">
        <f t="shared" si="23"/>
        <v>0</v>
      </c>
      <c r="J154" s="1600">
        <f t="shared" si="36"/>
        <v>0</v>
      </c>
      <c r="K154" s="1614"/>
      <c r="L154" s="1614"/>
      <c r="M154" s="1604">
        <f t="shared" si="41"/>
        <v>0</v>
      </c>
      <c r="N154" s="1881">
        <f t="shared" si="41"/>
        <v>0</v>
      </c>
      <c r="O154" s="1881">
        <f t="shared" si="41"/>
        <v>0</v>
      </c>
      <c r="P154" s="1593"/>
      <c r="Q154" s="1612"/>
      <c r="R154" s="1600">
        <f t="shared" si="34"/>
        <v>0</v>
      </c>
      <c r="S154" s="1614">
        <v>0</v>
      </c>
      <c r="T154" s="1614">
        <v>0</v>
      </c>
      <c r="U154" s="1600">
        <f t="shared" si="35"/>
        <v>0</v>
      </c>
      <c r="V154" s="1608">
        <v>0</v>
      </c>
      <c r="W154" s="1608">
        <v>0</v>
      </c>
      <c r="X154" s="1423">
        <f t="shared" si="42"/>
        <v>0</v>
      </c>
      <c r="Y154" s="725"/>
      <c r="AA154" s="725"/>
    </row>
    <row r="155" spans="1:27" s="1570" customFormat="1" ht="63.75" customHeight="1">
      <c r="A155" s="2060">
        <f>A153+1</f>
        <v>58</v>
      </c>
      <c r="B155" s="1885" t="s">
        <v>1634</v>
      </c>
      <c r="C155" s="1880"/>
      <c r="D155" s="1602">
        <f t="shared" si="25"/>
        <v>2714.8</v>
      </c>
      <c r="E155" s="1615"/>
      <c r="F155" s="1615">
        <v>2714.8</v>
      </c>
      <c r="G155" s="1602">
        <f t="shared" si="37"/>
        <v>2714.8</v>
      </c>
      <c r="H155" s="1616">
        <f t="shared" si="22"/>
        <v>0</v>
      </c>
      <c r="I155" s="1616">
        <f t="shared" si="23"/>
        <v>2714.8</v>
      </c>
      <c r="J155" s="1602">
        <f t="shared" si="36"/>
        <v>0</v>
      </c>
      <c r="K155" s="1615"/>
      <c r="L155" s="1615"/>
      <c r="M155" s="1604">
        <f t="shared" si="41"/>
        <v>0</v>
      </c>
      <c r="N155" s="1881">
        <f t="shared" si="41"/>
        <v>0</v>
      </c>
      <c r="O155" s="1881">
        <f t="shared" si="41"/>
        <v>0</v>
      </c>
      <c r="P155" s="1593"/>
      <c r="Q155" s="1612"/>
      <c r="R155" s="1600">
        <f t="shared" si="34"/>
        <v>0</v>
      </c>
      <c r="S155" s="1614">
        <v>0</v>
      </c>
      <c r="T155" s="1614">
        <v>0</v>
      </c>
      <c r="U155" s="1600">
        <f t="shared" si="35"/>
        <v>0</v>
      </c>
      <c r="V155" s="1608">
        <v>0</v>
      </c>
      <c r="W155" s="1608">
        <v>0</v>
      </c>
      <c r="X155" s="1423">
        <f t="shared" si="42"/>
        <v>0</v>
      </c>
      <c r="Y155" s="725"/>
      <c r="AA155" s="725"/>
    </row>
    <row r="156" spans="1:27" ht="42.75" customHeight="1">
      <c r="A156" s="2060">
        <f>A155+1</f>
        <v>59</v>
      </c>
      <c r="B156" s="1879" t="s">
        <v>1615</v>
      </c>
      <c r="C156" s="1880"/>
      <c r="D156" s="1600">
        <f t="shared" si="25"/>
        <v>1769.7</v>
      </c>
      <c r="E156" s="1608"/>
      <c r="F156" s="1616">
        <v>1769.7</v>
      </c>
      <c r="G156" s="1600">
        <f t="shared" si="37"/>
        <v>1769.7</v>
      </c>
      <c r="H156" s="1616">
        <f t="shared" ref="H156:I158" si="43">E156</f>
        <v>0</v>
      </c>
      <c r="I156" s="1616">
        <f t="shared" si="43"/>
        <v>1769.7</v>
      </c>
      <c r="J156" s="1600">
        <f t="shared" si="36"/>
        <v>0</v>
      </c>
      <c r="K156" s="1608"/>
      <c r="L156" s="1608"/>
      <c r="M156" s="1604">
        <f t="shared" si="41"/>
        <v>0</v>
      </c>
      <c r="N156" s="1881">
        <f t="shared" si="41"/>
        <v>0</v>
      </c>
      <c r="O156" s="1881">
        <f t="shared" si="41"/>
        <v>0</v>
      </c>
      <c r="P156" s="1593"/>
      <c r="Q156" s="1593"/>
      <c r="R156" s="1600">
        <f t="shared" si="34"/>
        <v>0</v>
      </c>
      <c r="S156" s="1614">
        <v>0</v>
      </c>
      <c r="T156" s="1614">
        <v>0</v>
      </c>
      <c r="U156" s="1600">
        <f t="shared" si="35"/>
        <v>0</v>
      </c>
      <c r="V156" s="1608">
        <v>0</v>
      </c>
      <c r="W156" s="1608">
        <v>0</v>
      </c>
      <c r="X156" s="1423">
        <f t="shared" si="42"/>
        <v>0</v>
      </c>
      <c r="Y156" s="725"/>
      <c r="AA156" s="725"/>
    </row>
    <row r="157" spans="1:27" s="1607" customFormat="1" ht="41.25" customHeight="1">
      <c r="A157" s="2060">
        <f>A156+1</f>
        <v>60</v>
      </c>
      <c r="B157" s="1890" t="s">
        <v>455</v>
      </c>
      <c r="C157" s="1880">
        <v>14057</v>
      </c>
      <c r="D157" s="1600">
        <f>SUM(E157:F157)</f>
        <v>9940</v>
      </c>
      <c r="E157" s="1614"/>
      <c r="F157" s="1615">
        <f>11287.5-1347.5</f>
        <v>9940</v>
      </c>
      <c r="G157" s="1600">
        <f t="shared" si="37"/>
        <v>9940</v>
      </c>
      <c r="H157" s="1616">
        <f t="shared" si="43"/>
        <v>0</v>
      </c>
      <c r="I157" s="1616">
        <f t="shared" si="43"/>
        <v>9940</v>
      </c>
      <c r="J157" s="1600">
        <f>SUM(K157:L157)</f>
        <v>0</v>
      </c>
      <c r="K157" s="1614"/>
      <c r="L157" s="1614"/>
      <c r="M157" s="1604">
        <f t="shared" si="41"/>
        <v>0</v>
      </c>
      <c r="N157" s="1881">
        <f t="shared" si="41"/>
        <v>0</v>
      </c>
      <c r="O157" s="1881">
        <f t="shared" si="41"/>
        <v>0</v>
      </c>
      <c r="P157" s="1593" t="s">
        <v>1192</v>
      </c>
      <c r="Q157" s="1593" t="s">
        <v>1206</v>
      </c>
      <c r="R157" s="1600">
        <f>SUM(S157:T157)</f>
        <v>0</v>
      </c>
      <c r="S157" s="1614">
        <v>0</v>
      </c>
      <c r="T157" s="1614">
        <v>0</v>
      </c>
      <c r="U157" s="1600">
        <f>SUM(V157:W157)</f>
        <v>0</v>
      </c>
      <c r="V157" s="1614">
        <v>0</v>
      </c>
      <c r="W157" s="1614">
        <v>0</v>
      </c>
      <c r="X157" s="1423">
        <f t="shared" si="42"/>
        <v>0</v>
      </c>
      <c r="Y157" s="725"/>
      <c r="AA157" s="725"/>
    </row>
    <row r="158" spans="1:27" ht="23.25" customHeight="1">
      <c r="A158" s="2060">
        <f>A157+1</f>
        <v>61</v>
      </c>
      <c r="B158" s="1883" t="s">
        <v>1467</v>
      </c>
      <c r="C158" s="1880">
        <v>14074</v>
      </c>
      <c r="D158" s="1600">
        <f t="shared" si="25"/>
        <v>3120</v>
      </c>
      <c r="E158" s="1608"/>
      <c r="F158" s="1616">
        <f>4400-1280</f>
        <v>3120</v>
      </c>
      <c r="G158" s="1600">
        <f t="shared" si="37"/>
        <v>3120</v>
      </c>
      <c r="H158" s="1616">
        <f t="shared" si="43"/>
        <v>0</v>
      </c>
      <c r="I158" s="1616">
        <f>4400-1280</f>
        <v>3120</v>
      </c>
      <c r="J158" s="1600">
        <f t="shared" si="36"/>
        <v>0</v>
      </c>
      <c r="K158" s="1608"/>
      <c r="L158" s="1608"/>
      <c r="M158" s="1604">
        <f t="shared" si="41"/>
        <v>0</v>
      </c>
      <c r="N158" s="1881">
        <f t="shared" si="41"/>
        <v>0</v>
      </c>
      <c r="O158" s="1881">
        <f t="shared" si="41"/>
        <v>0</v>
      </c>
      <c r="P158" s="1593" t="s">
        <v>1290</v>
      </c>
      <c r="Q158" s="1593" t="s">
        <v>1240</v>
      </c>
      <c r="R158" s="1600">
        <f t="shared" si="34"/>
        <v>100</v>
      </c>
      <c r="S158" s="1608">
        <v>0</v>
      </c>
      <c r="T158" s="1608">
        <v>100</v>
      </c>
      <c r="U158" s="1600">
        <f t="shared" si="35"/>
        <v>0</v>
      </c>
      <c r="V158" s="1608">
        <v>0</v>
      </c>
      <c r="W158" s="1608">
        <v>0</v>
      </c>
      <c r="X158" s="1423">
        <f t="shared" si="42"/>
        <v>0</v>
      </c>
      <c r="Y158" s="725"/>
      <c r="AA158" s="725"/>
    </row>
    <row r="159" spans="1:27" ht="42.75" hidden="1" customHeight="1">
      <c r="A159" s="2060"/>
      <c r="B159" s="1883" t="s">
        <v>1704</v>
      </c>
      <c r="C159" s="1880"/>
      <c r="D159" s="1600">
        <f>SUM(E159:F159)</f>
        <v>0</v>
      </c>
      <c r="E159" s="1608"/>
      <c r="F159" s="1616">
        <v>0</v>
      </c>
      <c r="G159" s="1600">
        <f>SUM(H159:I159)</f>
        <v>0</v>
      </c>
      <c r="H159" s="1608">
        <f t="shared" ref="H159:H176" si="44">E159</f>
        <v>0</v>
      </c>
      <c r="I159" s="1608">
        <f t="shared" ref="I159:I176" si="45">F159</f>
        <v>0</v>
      </c>
      <c r="J159" s="1600">
        <f>SUM(K159:L159)</f>
        <v>0</v>
      </c>
      <c r="K159" s="1608"/>
      <c r="L159" s="1608"/>
      <c r="M159" s="1604">
        <f t="shared" si="41"/>
        <v>0</v>
      </c>
      <c r="N159" s="1881">
        <f t="shared" si="41"/>
        <v>0</v>
      </c>
      <c r="O159" s="1881">
        <f t="shared" si="41"/>
        <v>0</v>
      </c>
      <c r="P159" s="1593"/>
      <c r="Q159" s="1593"/>
      <c r="R159" s="1600"/>
      <c r="S159" s="1608"/>
      <c r="T159" s="1608"/>
      <c r="U159" s="1600"/>
      <c r="V159" s="1608"/>
      <c r="W159" s="1608"/>
      <c r="AA159" s="725"/>
    </row>
    <row r="160" spans="1:27" ht="30" hidden="1" customHeight="1">
      <c r="A160" s="2060"/>
      <c r="B160" s="1883" t="s">
        <v>1705</v>
      </c>
      <c r="C160" s="1880"/>
      <c r="D160" s="1600">
        <f>SUM(E160:F160)</f>
        <v>0</v>
      </c>
      <c r="E160" s="1608"/>
      <c r="F160" s="1616">
        <v>0</v>
      </c>
      <c r="G160" s="1600">
        <f>SUM(H160:I160)</f>
        <v>0</v>
      </c>
      <c r="H160" s="1608">
        <f t="shared" si="44"/>
        <v>0</v>
      </c>
      <c r="I160" s="1608">
        <f t="shared" si="45"/>
        <v>0</v>
      </c>
      <c r="J160" s="1600">
        <f>SUM(K160:L160)</f>
        <v>0</v>
      </c>
      <c r="K160" s="1608"/>
      <c r="L160" s="1608"/>
      <c r="M160" s="1604">
        <f t="shared" si="41"/>
        <v>0</v>
      </c>
      <c r="N160" s="1881">
        <f t="shared" si="41"/>
        <v>0</v>
      </c>
      <c r="O160" s="1881">
        <f t="shared" si="41"/>
        <v>0</v>
      </c>
      <c r="P160" s="1593"/>
      <c r="Q160" s="1593"/>
      <c r="R160" s="1600"/>
      <c r="S160" s="1608"/>
      <c r="T160" s="1608"/>
      <c r="U160" s="1600"/>
      <c r="V160" s="1608"/>
      <c r="W160" s="1608"/>
      <c r="AA160" s="725"/>
    </row>
    <row r="161" spans="1:27" ht="66.75" customHeight="1">
      <c r="A161" s="2086">
        <f>A158+1</f>
        <v>62</v>
      </c>
      <c r="B161" s="1883" t="s">
        <v>1812</v>
      </c>
      <c r="C161" s="1880"/>
      <c r="D161" s="1600">
        <f t="shared" ref="D161" si="46">SUM(E161:F161)</f>
        <v>348.5</v>
      </c>
      <c r="E161" s="1608"/>
      <c r="F161" s="1616">
        <v>348.5</v>
      </c>
      <c r="G161" s="1600">
        <f t="shared" ref="G161" si="47">SUM(H161:I161)</f>
        <v>0</v>
      </c>
      <c r="H161" s="1616">
        <f t="shared" si="44"/>
        <v>0</v>
      </c>
      <c r="I161" s="1616">
        <v>0</v>
      </c>
      <c r="J161" s="1600">
        <f t="shared" ref="J161" si="48">SUM(K161:L161)</f>
        <v>0</v>
      </c>
      <c r="K161" s="1608"/>
      <c r="L161" s="1608"/>
      <c r="M161" s="1604">
        <f t="shared" ref="M161" si="49">IF(J161=0,0,J161/G161*100)</f>
        <v>0</v>
      </c>
      <c r="N161" s="1881">
        <f t="shared" ref="N161" si="50">IF(K161=0,0,K161/H161*100)</f>
        <v>0</v>
      </c>
      <c r="O161" s="1881">
        <f t="shared" ref="O161" si="51">IF(L161=0,0,L161/I161*100)</f>
        <v>0</v>
      </c>
      <c r="P161" s="2085"/>
      <c r="Q161" s="2085"/>
      <c r="R161" s="1600"/>
      <c r="S161" s="1608"/>
      <c r="T161" s="1608"/>
      <c r="U161" s="1600"/>
      <c r="V161" s="1608"/>
      <c r="W161" s="1608"/>
      <c r="AA161" s="725"/>
    </row>
    <row r="162" spans="1:27" ht="30" customHeight="1">
      <c r="A162" s="2060">
        <f>A161+1</f>
        <v>63</v>
      </c>
      <c r="B162" s="1883" t="s">
        <v>1711</v>
      </c>
      <c r="C162" s="1880"/>
      <c r="D162" s="1600">
        <f>SUM(E162:F162)</f>
        <v>5635</v>
      </c>
      <c r="E162" s="1608"/>
      <c r="F162" s="1616">
        <v>5635</v>
      </c>
      <c r="G162" s="1600">
        <f>SUM(H162:I162)</f>
        <v>5635</v>
      </c>
      <c r="H162" s="1616">
        <f t="shared" si="44"/>
        <v>0</v>
      </c>
      <c r="I162" s="1616">
        <f t="shared" si="45"/>
        <v>5635</v>
      </c>
      <c r="J162" s="1600">
        <f>SUM(K162:L162)</f>
        <v>0</v>
      </c>
      <c r="K162" s="1608"/>
      <c r="L162" s="1608"/>
      <c r="M162" s="1604">
        <f t="shared" si="41"/>
        <v>0</v>
      </c>
      <c r="N162" s="1881">
        <f t="shared" si="41"/>
        <v>0</v>
      </c>
      <c r="O162" s="1881">
        <f t="shared" si="41"/>
        <v>0</v>
      </c>
      <c r="P162" s="1593"/>
      <c r="Q162" s="1593"/>
      <c r="R162" s="1600"/>
      <c r="S162" s="1608"/>
      <c r="T162" s="1608"/>
      <c r="U162" s="1600"/>
      <c r="V162" s="1608"/>
      <c r="W162" s="1608"/>
      <c r="X162" s="1423">
        <f>D162-G162</f>
        <v>0</v>
      </c>
      <c r="Y162" s="725"/>
      <c r="AA162" s="725"/>
    </row>
    <row r="163" spans="1:27" ht="76.5" customHeight="1">
      <c r="A163" s="2084">
        <f>A162+1</f>
        <v>64</v>
      </c>
      <c r="B163" s="1914" t="s">
        <v>434</v>
      </c>
      <c r="C163" s="2077"/>
      <c r="D163" s="1600">
        <f>SUM(E163:F163)</f>
        <v>40100</v>
      </c>
      <c r="E163" s="1608"/>
      <c r="F163" s="1616">
        <v>40100</v>
      </c>
      <c r="G163" s="1600">
        <f>SUM(H163:I163)</f>
        <v>40100</v>
      </c>
      <c r="H163" s="1616">
        <f>E163</f>
        <v>0</v>
      </c>
      <c r="I163" s="1616">
        <v>40100</v>
      </c>
      <c r="J163" s="1600">
        <f>SUM(K163:L163)</f>
        <v>40100</v>
      </c>
      <c r="K163" s="1608"/>
      <c r="L163" s="1608">
        <v>40100</v>
      </c>
      <c r="M163" s="1604">
        <f t="shared" ref="M163:O164" si="52">IF(J163=0,0,J163/G163*100)</f>
        <v>100</v>
      </c>
      <c r="N163" s="1881">
        <f t="shared" si="52"/>
        <v>0</v>
      </c>
      <c r="O163" s="1881">
        <f t="shared" si="52"/>
        <v>100</v>
      </c>
      <c r="P163" s="2083"/>
      <c r="Q163" s="2083"/>
      <c r="R163" s="1600"/>
      <c r="S163" s="1608"/>
      <c r="T163" s="1608"/>
      <c r="U163" s="1600"/>
      <c r="V163" s="1608"/>
      <c r="W163" s="1608"/>
      <c r="X163" s="1423"/>
      <c r="Y163" s="725"/>
      <c r="AA163" s="725"/>
    </row>
    <row r="164" spans="1:27" ht="58.5" customHeight="1">
      <c r="A164" s="2084">
        <v>65</v>
      </c>
      <c r="B164" s="1914" t="s">
        <v>1799</v>
      </c>
      <c r="C164" s="2077"/>
      <c r="D164" s="1600">
        <f>SUM(E164:F164)</f>
        <v>4187</v>
      </c>
      <c r="E164" s="1608"/>
      <c r="F164" s="1616">
        <v>4187</v>
      </c>
      <c r="G164" s="1600">
        <f>SUM(H164:I164)</f>
        <v>4187</v>
      </c>
      <c r="H164" s="1616">
        <f>E164</f>
        <v>0</v>
      </c>
      <c r="I164" s="1616">
        <v>4187</v>
      </c>
      <c r="J164" s="1600">
        <f>SUM(K164:L164)</f>
        <v>217.1</v>
      </c>
      <c r="K164" s="1608"/>
      <c r="L164" s="1608">
        <v>217.1</v>
      </c>
      <c r="M164" s="1604">
        <f t="shared" si="52"/>
        <v>5.2</v>
      </c>
      <c r="N164" s="1881">
        <f t="shared" si="52"/>
        <v>0</v>
      </c>
      <c r="O164" s="1881">
        <f t="shared" si="52"/>
        <v>5.2</v>
      </c>
      <c r="P164" s="2083"/>
      <c r="Q164" s="2083"/>
      <c r="R164" s="1600"/>
      <c r="S164" s="1608"/>
      <c r="T164" s="1608"/>
      <c r="U164" s="1600"/>
      <c r="V164" s="1608"/>
      <c r="W164" s="1608"/>
      <c r="X164" s="1423"/>
      <c r="Y164" s="725"/>
      <c r="AA164" s="725"/>
    </row>
    <row r="165" spans="1:27" ht="97.5" customHeight="1">
      <c r="A165" s="2060">
        <v>66</v>
      </c>
      <c r="B165" s="1883" t="s">
        <v>1684</v>
      </c>
      <c r="C165" s="1880"/>
      <c r="D165" s="1600">
        <f t="shared" si="25"/>
        <v>955</v>
      </c>
      <c r="E165" s="1608"/>
      <c r="F165" s="1616">
        <f>5506.4-4551.4</f>
        <v>955</v>
      </c>
      <c r="G165" s="1600">
        <f t="shared" si="37"/>
        <v>955</v>
      </c>
      <c r="H165" s="1616">
        <f t="shared" si="44"/>
        <v>0</v>
      </c>
      <c r="I165" s="1616">
        <f t="shared" si="45"/>
        <v>955</v>
      </c>
      <c r="J165" s="1600">
        <f t="shared" si="36"/>
        <v>0</v>
      </c>
      <c r="K165" s="1608"/>
      <c r="L165" s="1608"/>
      <c r="M165" s="1604">
        <f t="shared" si="41"/>
        <v>0</v>
      </c>
      <c r="N165" s="1881">
        <f t="shared" si="41"/>
        <v>0</v>
      </c>
      <c r="O165" s="1881">
        <f t="shared" si="41"/>
        <v>0</v>
      </c>
      <c r="P165" s="1593"/>
      <c r="Q165" s="1593"/>
      <c r="R165" s="1600"/>
      <c r="S165" s="1608"/>
      <c r="T165" s="1608"/>
      <c r="U165" s="1600"/>
      <c r="V165" s="1608"/>
      <c r="W165" s="1608"/>
      <c r="X165" s="1423">
        <f>D165-G165</f>
        <v>0</v>
      </c>
      <c r="Y165" s="725"/>
      <c r="AA165" s="725"/>
    </row>
    <row r="166" spans="1:27" s="2093" customFormat="1" ht="63" customHeight="1">
      <c r="A166" s="1945" t="s">
        <v>248</v>
      </c>
      <c r="B166" s="2107" t="s">
        <v>1637</v>
      </c>
      <c r="C166" s="2108"/>
      <c r="D166" s="2109">
        <f>SUM(E166:F166)</f>
        <v>40616.800000000003</v>
      </c>
      <c r="E166" s="2109">
        <f>SUM(E167:E176)</f>
        <v>0</v>
      </c>
      <c r="F166" s="2109">
        <f>SUM(F167:F176)</f>
        <v>40616.800000000003</v>
      </c>
      <c r="G166" s="2109">
        <f>SUM(H166:I166)</f>
        <v>40616.800000000003</v>
      </c>
      <c r="H166" s="2109">
        <f>SUM(H167:H176)</f>
        <v>0</v>
      </c>
      <c r="I166" s="2109">
        <f>SUM(I167:I176)</f>
        <v>40616.800000000003</v>
      </c>
      <c r="J166" s="2109">
        <f>SUM(K166:L166)</f>
        <v>11601.3</v>
      </c>
      <c r="K166" s="2109">
        <f>SUM(K167:K176)</f>
        <v>0</v>
      </c>
      <c r="L166" s="2109">
        <f>SUM(L167:L176)</f>
        <v>11601.3</v>
      </c>
      <c r="M166" s="2110">
        <f t="shared" si="41"/>
        <v>28.6</v>
      </c>
      <c r="N166" s="2111">
        <f t="shared" si="41"/>
        <v>0</v>
      </c>
      <c r="O166" s="2111">
        <f t="shared" si="41"/>
        <v>28.6</v>
      </c>
      <c r="P166" s="2091" t="e">
        <f>SUM(P194+P183+P199)</f>
        <v>#REF!</v>
      </c>
      <c r="Q166" s="2091" t="e">
        <f>SUM(Q194+Q183+Q199)</f>
        <v>#REF!</v>
      </c>
      <c r="R166" s="2109">
        <f t="shared" si="34"/>
        <v>1000</v>
      </c>
      <c r="S166" s="2109">
        <f>SUM(S167:S176)</f>
        <v>0</v>
      </c>
      <c r="T166" s="2109">
        <f>SUM(T167:T176)</f>
        <v>1000</v>
      </c>
      <c r="U166" s="2109">
        <f t="shared" si="35"/>
        <v>0</v>
      </c>
      <c r="V166" s="2109">
        <f>SUM(V167:V176)</f>
        <v>0</v>
      </c>
      <c r="W166" s="2109">
        <f>SUM(W167:W176)</f>
        <v>0</v>
      </c>
      <c r="X166" s="2068">
        <f>D166-G166</f>
        <v>0</v>
      </c>
      <c r="Y166" s="2092" t="s">
        <v>1782</v>
      </c>
      <c r="AA166" s="2092"/>
    </row>
    <row r="167" spans="1:27" s="2096" customFormat="1" ht="48" hidden="1" customHeight="1">
      <c r="A167" s="1945"/>
      <c r="B167" s="2112" t="s">
        <v>1591</v>
      </c>
      <c r="C167" s="2113">
        <v>14098</v>
      </c>
      <c r="D167" s="1975">
        <f>SUM(E167:F167)</f>
        <v>0</v>
      </c>
      <c r="E167" s="1976"/>
      <c r="F167" s="2097">
        <v>0</v>
      </c>
      <c r="G167" s="1975">
        <f t="shared" si="37"/>
        <v>0</v>
      </c>
      <c r="H167" s="1976">
        <f t="shared" si="44"/>
        <v>0</v>
      </c>
      <c r="I167" s="1976">
        <f t="shared" si="45"/>
        <v>0</v>
      </c>
      <c r="J167" s="1975">
        <f>SUM(K167:L167)</f>
        <v>0</v>
      </c>
      <c r="K167" s="1976"/>
      <c r="L167" s="1976"/>
      <c r="M167" s="2099">
        <f t="shared" si="41"/>
        <v>0</v>
      </c>
      <c r="N167" s="2100">
        <f t="shared" si="41"/>
        <v>0</v>
      </c>
      <c r="O167" s="2100">
        <f t="shared" si="41"/>
        <v>0</v>
      </c>
      <c r="P167" s="2095"/>
      <c r="Q167" s="2095"/>
      <c r="R167" s="1975">
        <f>SUM(S167:T167)</f>
        <v>0</v>
      </c>
      <c r="S167" s="1977">
        <v>0</v>
      </c>
      <c r="T167" s="1977">
        <v>0</v>
      </c>
      <c r="U167" s="1975">
        <f>SUM(V167:W167)</f>
        <v>0</v>
      </c>
      <c r="V167" s="1976">
        <v>0</v>
      </c>
      <c r="W167" s="1976">
        <v>0</v>
      </c>
      <c r="AA167" s="2092"/>
    </row>
    <row r="168" spans="1:27" s="2096" customFormat="1" ht="37.5" customHeight="1">
      <c r="A168" s="1945">
        <f>A165+1</f>
        <v>67</v>
      </c>
      <c r="B168" s="2114" t="s">
        <v>766</v>
      </c>
      <c r="C168" s="2113"/>
      <c r="D168" s="1975">
        <f>SUM(E168:F168)</f>
        <v>670</v>
      </c>
      <c r="E168" s="1976"/>
      <c r="F168" s="2097">
        <v>670</v>
      </c>
      <c r="G168" s="1975">
        <f>SUM(H168:I168)</f>
        <v>670</v>
      </c>
      <c r="H168" s="2097">
        <f t="shared" si="44"/>
        <v>0</v>
      </c>
      <c r="I168" s="2097">
        <f t="shared" si="45"/>
        <v>670</v>
      </c>
      <c r="J168" s="1975">
        <f>SUM(K168:L168)</f>
        <v>600</v>
      </c>
      <c r="K168" s="1976"/>
      <c r="L168" s="1976">
        <v>600</v>
      </c>
      <c r="M168" s="2099">
        <f t="shared" si="41"/>
        <v>89.6</v>
      </c>
      <c r="N168" s="2100">
        <f t="shared" si="41"/>
        <v>0</v>
      </c>
      <c r="O168" s="2100">
        <f t="shared" si="41"/>
        <v>89.6</v>
      </c>
      <c r="P168" s="2095"/>
      <c r="Q168" s="2095"/>
      <c r="R168" s="1975"/>
      <c r="S168" s="1977"/>
      <c r="T168" s="1977"/>
      <c r="U168" s="1975"/>
      <c r="V168" s="1976"/>
      <c r="W168" s="1976"/>
      <c r="X168" s="2068">
        <f>D168-G168</f>
        <v>0</v>
      </c>
      <c r="Y168" s="2092"/>
      <c r="AA168" s="2092"/>
    </row>
    <row r="169" spans="1:27" s="2096" customFormat="1" ht="61.5" customHeight="1">
      <c r="A169" s="1945">
        <f>A168+1</f>
        <v>68</v>
      </c>
      <c r="B169" s="2114" t="s">
        <v>1709</v>
      </c>
      <c r="C169" s="2113"/>
      <c r="D169" s="1975">
        <f>SUM(E169:F169)</f>
        <v>255</v>
      </c>
      <c r="E169" s="1976"/>
      <c r="F169" s="2097">
        <v>255</v>
      </c>
      <c r="G169" s="1975">
        <f>SUM(H169:I169)</f>
        <v>255</v>
      </c>
      <c r="H169" s="2097">
        <f>E169</f>
        <v>0</v>
      </c>
      <c r="I169" s="2097">
        <v>255</v>
      </c>
      <c r="J169" s="1975">
        <f>SUM(K169:L169)</f>
        <v>255</v>
      </c>
      <c r="K169" s="1976"/>
      <c r="L169" s="1976">
        <v>255</v>
      </c>
      <c r="M169" s="2099">
        <f>IF(J169=0,0,J169/G169*100)</f>
        <v>100</v>
      </c>
      <c r="N169" s="2100">
        <f>IF(K169=0,0,K169/H169*100)</f>
        <v>0</v>
      </c>
      <c r="O169" s="2100">
        <f>IF(L169=0,0,L169/I169*100)</f>
        <v>100</v>
      </c>
      <c r="P169" s="2095"/>
      <c r="Q169" s="2095"/>
      <c r="R169" s="1975"/>
      <c r="S169" s="1977"/>
      <c r="T169" s="1977"/>
      <c r="U169" s="1975"/>
      <c r="V169" s="1976"/>
      <c r="W169" s="1976"/>
      <c r="X169" s="2068"/>
      <c r="Y169" s="2092"/>
      <c r="AA169" s="2092"/>
    </row>
    <row r="170" spans="1:27" s="2116" customFormat="1" ht="63" customHeight="1">
      <c r="A170" s="1945" t="s">
        <v>1806</v>
      </c>
      <c r="B170" s="2115" t="s">
        <v>1661</v>
      </c>
      <c r="C170" s="2101"/>
      <c r="D170" s="2094">
        <f>SUM(E170:F170)</f>
        <v>0</v>
      </c>
      <c r="E170" s="2097"/>
      <c r="F170" s="2097">
        <v>0</v>
      </c>
      <c r="G170" s="2094">
        <f t="shared" si="37"/>
        <v>0</v>
      </c>
      <c r="H170" s="2097">
        <f t="shared" si="44"/>
        <v>0</v>
      </c>
      <c r="I170" s="2097">
        <v>0</v>
      </c>
      <c r="J170" s="2094">
        <f>SUM(K170:L170)</f>
        <v>0</v>
      </c>
      <c r="K170" s="2097"/>
      <c r="L170" s="2097"/>
      <c r="M170" s="2102">
        <f t="shared" si="41"/>
        <v>0</v>
      </c>
      <c r="N170" s="2103">
        <f t="shared" si="41"/>
        <v>0</v>
      </c>
      <c r="O170" s="2103">
        <f t="shared" si="41"/>
        <v>0</v>
      </c>
      <c r="P170" s="2095"/>
      <c r="Q170" s="2095"/>
      <c r="R170" s="1975">
        <f>SUM(S170:T170)</f>
        <v>0</v>
      </c>
      <c r="S170" s="1977">
        <v>0</v>
      </c>
      <c r="T170" s="1977">
        <v>0</v>
      </c>
      <c r="U170" s="1975">
        <f>SUM(V170:W170)</f>
        <v>0</v>
      </c>
      <c r="V170" s="1976">
        <v>0</v>
      </c>
      <c r="W170" s="1976">
        <v>0</v>
      </c>
      <c r="X170" s="2068">
        <f>D170-G170</f>
        <v>0</v>
      </c>
      <c r="Y170" s="2092"/>
      <c r="AA170" s="2092"/>
    </row>
    <row r="171" spans="1:27" s="2120" customFormat="1" ht="42.75" customHeight="1">
      <c r="A171" s="1945" t="s">
        <v>1807</v>
      </c>
      <c r="B171" s="2117" t="s">
        <v>1676</v>
      </c>
      <c r="C171" s="2106"/>
      <c r="D171" s="1975">
        <f t="shared" si="25"/>
        <v>1910.9</v>
      </c>
      <c r="E171" s="1977"/>
      <c r="F171" s="2118">
        <f>1000+910.9</f>
        <v>1910.9</v>
      </c>
      <c r="G171" s="1975">
        <f t="shared" si="37"/>
        <v>1910.9</v>
      </c>
      <c r="H171" s="2097">
        <f t="shared" si="44"/>
        <v>0</v>
      </c>
      <c r="I171" s="2097">
        <f t="shared" si="45"/>
        <v>1910.9</v>
      </c>
      <c r="J171" s="1975">
        <f t="shared" si="36"/>
        <v>1481.1</v>
      </c>
      <c r="K171" s="1977"/>
      <c r="L171" s="1977">
        <v>1481.1</v>
      </c>
      <c r="M171" s="2102">
        <f t="shared" si="41"/>
        <v>77.5</v>
      </c>
      <c r="N171" s="2103">
        <f t="shared" si="41"/>
        <v>0</v>
      </c>
      <c r="O171" s="2103">
        <f t="shared" si="41"/>
        <v>77.5</v>
      </c>
      <c r="P171" s="2095"/>
      <c r="Q171" s="2119"/>
      <c r="R171" s="1975">
        <f t="shared" si="34"/>
        <v>0</v>
      </c>
      <c r="S171" s="1977">
        <v>0</v>
      </c>
      <c r="T171" s="1977">
        <v>0</v>
      </c>
      <c r="U171" s="1975">
        <f t="shared" si="35"/>
        <v>0</v>
      </c>
      <c r="V171" s="1976">
        <v>0</v>
      </c>
      <c r="W171" s="1976">
        <v>0</v>
      </c>
      <c r="X171" s="2068">
        <f>D171-G171</f>
        <v>0</v>
      </c>
      <c r="Y171" s="2092"/>
      <c r="AA171" s="2092"/>
    </row>
    <row r="172" spans="1:27" s="2120" customFormat="1" ht="43.5" customHeight="1">
      <c r="A172" s="1945" t="s">
        <v>1808</v>
      </c>
      <c r="B172" s="2121" t="s">
        <v>1596</v>
      </c>
      <c r="C172" s="2106"/>
      <c r="D172" s="1975">
        <f t="shared" si="25"/>
        <v>1571.9</v>
      </c>
      <c r="E172" s="1977"/>
      <c r="F172" s="2118">
        <f>1500+71.9</f>
        <v>1571.9</v>
      </c>
      <c r="G172" s="1975">
        <f t="shared" si="37"/>
        <v>1571.9</v>
      </c>
      <c r="H172" s="2097">
        <f t="shared" si="44"/>
        <v>0</v>
      </c>
      <c r="I172" s="2097">
        <f t="shared" si="45"/>
        <v>1571.9</v>
      </c>
      <c r="J172" s="1975">
        <f t="shared" si="36"/>
        <v>1571.9</v>
      </c>
      <c r="K172" s="1977"/>
      <c r="L172" s="1977">
        <v>1571.9</v>
      </c>
      <c r="M172" s="2102">
        <f t="shared" si="41"/>
        <v>100</v>
      </c>
      <c r="N172" s="2103">
        <f t="shared" si="41"/>
        <v>0</v>
      </c>
      <c r="O172" s="2103">
        <f t="shared" si="41"/>
        <v>100</v>
      </c>
      <c r="P172" s="2095"/>
      <c r="Q172" s="2119"/>
      <c r="R172" s="1975">
        <f t="shared" si="34"/>
        <v>0</v>
      </c>
      <c r="S172" s="1977">
        <v>0</v>
      </c>
      <c r="T172" s="1977">
        <v>0</v>
      </c>
      <c r="U172" s="1975">
        <f t="shared" si="35"/>
        <v>0</v>
      </c>
      <c r="V172" s="1976">
        <v>0</v>
      </c>
      <c r="W172" s="1976">
        <v>0</v>
      </c>
      <c r="X172" s="2068">
        <f>D172-G172</f>
        <v>0</v>
      </c>
      <c r="Y172" s="2092"/>
      <c r="AA172" s="2092"/>
    </row>
    <row r="173" spans="1:27" s="2120" customFormat="1" ht="69" hidden="1" customHeight="1">
      <c r="A173" s="1945"/>
      <c r="B173" s="2121" t="s">
        <v>1703</v>
      </c>
      <c r="C173" s="2106"/>
      <c r="D173" s="1975">
        <f>SUM(E173:F173)</f>
        <v>0</v>
      </c>
      <c r="E173" s="1977"/>
      <c r="F173" s="2118">
        <v>0</v>
      </c>
      <c r="G173" s="1975">
        <f>SUM(H173:I173)</f>
        <v>0</v>
      </c>
      <c r="H173" s="1977">
        <f t="shared" si="44"/>
        <v>0</v>
      </c>
      <c r="I173" s="1977">
        <f t="shared" si="45"/>
        <v>0</v>
      </c>
      <c r="J173" s="1975">
        <f>SUM(K173:L173)</f>
        <v>0</v>
      </c>
      <c r="K173" s="1977"/>
      <c r="L173" s="1977">
        <v>0</v>
      </c>
      <c r="M173" s="2102">
        <f t="shared" si="41"/>
        <v>0</v>
      </c>
      <c r="N173" s="2103">
        <f t="shared" si="41"/>
        <v>0</v>
      </c>
      <c r="O173" s="2103">
        <f t="shared" si="41"/>
        <v>0</v>
      </c>
      <c r="P173" s="2095"/>
      <c r="Q173" s="2119"/>
      <c r="R173" s="1975"/>
      <c r="S173" s="1977"/>
      <c r="T173" s="1977"/>
      <c r="U173" s="1975"/>
      <c r="V173" s="1976"/>
      <c r="W173" s="1976"/>
      <c r="AA173" s="2092"/>
    </row>
    <row r="174" spans="1:27" s="2093" customFormat="1" ht="49.5" customHeight="1">
      <c r="A174" s="1945" t="s">
        <v>934</v>
      </c>
      <c r="B174" s="2122" t="s">
        <v>694</v>
      </c>
      <c r="C174" s="2098" t="s">
        <v>1548</v>
      </c>
      <c r="D174" s="1975">
        <f t="shared" si="25"/>
        <v>5250</v>
      </c>
      <c r="E174" s="1977"/>
      <c r="F174" s="2118">
        <f>19000-13000-750</f>
        <v>5250</v>
      </c>
      <c r="G174" s="1975">
        <f t="shared" si="37"/>
        <v>5250</v>
      </c>
      <c r="H174" s="2097">
        <f t="shared" si="44"/>
        <v>0</v>
      </c>
      <c r="I174" s="2097">
        <f t="shared" si="45"/>
        <v>5250</v>
      </c>
      <c r="J174" s="1975">
        <f t="shared" si="36"/>
        <v>5250</v>
      </c>
      <c r="K174" s="1977"/>
      <c r="L174" s="1977">
        <v>5250</v>
      </c>
      <c r="M174" s="2099">
        <f t="shared" si="41"/>
        <v>100</v>
      </c>
      <c r="N174" s="2100">
        <f t="shared" si="41"/>
        <v>0</v>
      </c>
      <c r="O174" s="2100">
        <f t="shared" si="41"/>
        <v>100</v>
      </c>
      <c r="P174" s="2095" t="s">
        <v>1272</v>
      </c>
      <c r="Q174" s="2095" t="s">
        <v>1273</v>
      </c>
      <c r="R174" s="1975">
        <f t="shared" si="34"/>
        <v>1000</v>
      </c>
      <c r="S174" s="1977">
        <v>0</v>
      </c>
      <c r="T174" s="1977">
        <v>1000</v>
      </c>
      <c r="U174" s="1975">
        <f t="shared" si="35"/>
        <v>0</v>
      </c>
      <c r="V174" s="1976">
        <v>0</v>
      </c>
      <c r="W174" s="1976">
        <v>0</v>
      </c>
      <c r="X174" s="2068">
        <f t="shared" ref="X174:X184" si="53">D174-G174</f>
        <v>0</v>
      </c>
      <c r="Y174" s="2092"/>
      <c r="AA174" s="2092"/>
    </row>
    <row r="175" spans="1:27" s="2116" customFormat="1" ht="66" customHeight="1">
      <c r="A175" s="1945" t="s">
        <v>1726</v>
      </c>
      <c r="B175" s="2123" t="s">
        <v>1600</v>
      </c>
      <c r="C175" s="1945"/>
      <c r="D175" s="1975">
        <f t="shared" si="25"/>
        <v>959</v>
      </c>
      <c r="E175" s="1976"/>
      <c r="F175" s="2097">
        <f>1000+559.2-600.2</f>
        <v>959</v>
      </c>
      <c r="G175" s="1975">
        <f t="shared" si="37"/>
        <v>959</v>
      </c>
      <c r="H175" s="2097">
        <f t="shared" si="44"/>
        <v>0</v>
      </c>
      <c r="I175" s="2097">
        <f t="shared" si="45"/>
        <v>959</v>
      </c>
      <c r="J175" s="1975">
        <f t="shared" si="36"/>
        <v>359.1</v>
      </c>
      <c r="K175" s="1976"/>
      <c r="L175" s="1976">
        <f>300+59.1</f>
        <v>359.1</v>
      </c>
      <c r="M175" s="2102">
        <f t="shared" si="41"/>
        <v>37.4</v>
      </c>
      <c r="N175" s="2103">
        <f t="shared" si="41"/>
        <v>0</v>
      </c>
      <c r="O175" s="2103">
        <f t="shared" si="41"/>
        <v>37.4</v>
      </c>
      <c r="P175" s="2095"/>
      <c r="Q175" s="2095"/>
      <c r="R175" s="1975">
        <f t="shared" si="34"/>
        <v>0</v>
      </c>
      <c r="S175" s="1976">
        <v>0</v>
      </c>
      <c r="T175" s="1976">
        <v>0</v>
      </c>
      <c r="U175" s="1975">
        <f t="shared" si="35"/>
        <v>0</v>
      </c>
      <c r="V175" s="1976">
        <v>0</v>
      </c>
      <c r="W175" s="1976">
        <v>0</v>
      </c>
      <c r="X175" s="2068">
        <f t="shared" si="53"/>
        <v>0</v>
      </c>
      <c r="Y175" s="2092"/>
      <c r="AA175" s="2092"/>
    </row>
    <row r="176" spans="1:27" s="2093" customFormat="1" ht="53.25" customHeight="1">
      <c r="A176" s="1945" t="s">
        <v>1025</v>
      </c>
      <c r="B176" s="2122" t="s">
        <v>698</v>
      </c>
      <c r="C176" s="2098"/>
      <c r="D176" s="1975">
        <f>SUM(E176:F176)</f>
        <v>30000</v>
      </c>
      <c r="E176" s="1977"/>
      <c r="F176" s="2118">
        <v>30000</v>
      </c>
      <c r="G176" s="1975">
        <f t="shared" si="37"/>
        <v>30000</v>
      </c>
      <c r="H176" s="2097">
        <f t="shared" si="44"/>
        <v>0</v>
      </c>
      <c r="I176" s="2097">
        <f t="shared" si="45"/>
        <v>30000</v>
      </c>
      <c r="J176" s="1975">
        <f>SUM(K176:L176)</f>
        <v>2084.1999999999998</v>
      </c>
      <c r="K176" s="1977"/>
      <c r="L176" s="1977">
        <v>2084.1999999999998</v>
      </c>
      <c r="M176" s="2099">
        <f t="shared" si="41"/>
        <v>6.9</v>
      </c>
      <c r="N176" s="2100">
        <f t="shared" si="41"/>
        <v>0</v>
      </c>
      <c r="O176" s="2100">
        <f t="shared" si="41"/>
        <v>6.9</v>
      </c>
      <c r="P176" s="2095" t="s">
        <v>1306</v>
      </c>
      <c r="Q176" s="2095" t="s">
        <v>1277</v>
      </c>
      <c r="R176" s="1975">
        <f t="shared" si="34"/>
        <v>0</v>
      </c>
      <c r="S176" s="1976">
        <v>0</v>
      </c>
      <c r="T176" s="1976">
        <v>0</v>
      </c>
      <c r="U176" s="1975">
        <f t="shared" si="35"/>
        <v>0</v>
      </c>
      <c r="V176" s="1976">
        <v>0</v>
      </c>
      <c r="W176" s="1976">
        <v>0</v>
      </c>
      <c r="X176" s="2068">
        <f t="shared" si="53"/>
        <v>0</v>
      </c>
      <c r="Y176" s="2092"/>
      <c r="AA176" s="2092"/>
    </row>
    <row r="177" spans="1:27" ht="26.25" customHeight="1">
      <c r="A177" s="2060" t="s">
        <v>249</v>
      </c>
      <c r="B177" s="1876" t="s">
        <v>1394</v>
      </c>
      <c r="C177" s="1877"/>
      <c r="D177" s="1598">
        <f>SUM(E177:F177)</f>
        <v>6358850.7000000002</v>
      </c>
      <c r="E177" s="1903">
        <f>SUM(E178,E199,E300,E305,E302)</f>
        <v>5142823</v>
      </c>
      <c r="F177" s="1903">
        <f>SUM(F178,F199,F300,F305,F302)</f>
        <v>1216027.7</v>
      </c>
      <c r="G177" s="1598">
        <f>SUM(H177:I177)</f>
        <v>6358430.7000000002</v>
      </c>
      <c r="H177" s="1903">
        <f>SUM(H178,H199,H300,H305,H302)</f>
        <v>5142823</v>
      </c>
      <c r="I177" s="1903">
        <f>SUM(I178,I199,I300,I305,I302)</f>
        <v>1215607.7</v>
      </c>
      <c r="J177" s="1598">
        <f>SUM(K177:L177)</f>
        <v>2824457.5</v>
      </c>
      <c r="K177" s="1903">
        <f>SUM(K178,K199,K300,K305,K302)</f>
        <v>2323954.5</v>
      </c>
      <c r="L177" s="1903">
        <f>SUM(L178,L199,L300,L305,L302)</f>
        <v>500503</v>
      </c>
      <c r="M177" s="1908">
        <f t="shared" si="41"/>
        <v>44.4</v>
      </c>
      <c r="N177" s="1909">
        <f t="shared" si="41"/>
        <v>45.2</v>
      </c>
      <c r="O177" s="1909">
        <f t="shared" si="41"/>
        <v>41.2</v>
      </c>
      <c r="P177" s="1599" t="s">
        <v>353</v>
      </c>
      <c r="Q177" s="1599" t="s">
        <v>353</v>
      </c>
      <c r="R177" s="1598" t="e">
        <f t="shared" si="34"/>
        <v>#REF!</v>
      </c>
      <c r="S177" s="1903" t="e">
        <f>SUM(S178,S199,S300,S305)</f>
        <v>#REF!</v>
      </c>
      <c r="T177" s="1903" t="e">
        <f>SUM(T178,T199,T300,T305)</f>
        <v>#REF!</v>
      </c>
      <c r="U177" s="1598" t="e">
        <f t="shared" si="35"/>
        <v>#REF!</v>
      </c>
      <c r="V177" s="1903" t="e">
        <f>SUM(V178,V199,V300,V305)</f>
        <v>#REF!</v>
      </c>
      <c r="W177" s="1903" t="e">
        <f>SUM(W178,W199,W300,W305)</f>
        <v>#REF!</v>
      </c>
      <c r="X177" s="1423">
        <f t="shared" si="53"/>
        <v>420</v>
      </c>
      <c r="Y177" s="725"/>
      <c r="AA177" s="725"/>
    </row>
    <row r="178" spans="1:27" ht="37.5">
      <c r="A178" s="2060" t="s">
        <v>250</v>
      </c>
      <c r="B178" s="1897" t="s">
        <v>1395</v>
      </c>
      <c r="C178" s="1898"/>
      <c r="D178" s="1899">
        <f>SUM(E178:F178)</f>
        <v>2458962</v>
      </c>
      <c r="E178" s="1899">
        <f>SUM(E179,E183,E190,E194,E196,E181)</f>
        <v>1683092.5</v>
      </c>
      <c r="F178" s="1899">
        <f>SUM(F179,F183,F190,F194,F196,F181)</f>
        <v>775869.5</v>
      </c>
      <c r="G178" s="1899">
        <f>SUM(H178:I178)</f>
        <v>2458542</v>
      </c>
      <c r="H178" s="1899">
        <f>SUM(H179,H183,H190,H194,H196,H181)</f>
        <v>1683092.5</v>
      </c>
      <c r="I178" s="1899">
        <f>SUM(I179,I183,I190,I194,I196,I181)</f>
        <v>775449.5</v>
      </c>
      <c r="J178" s="1899">
        <f>SUM(K178:L178)</f>
        <v>958539.5</v>
      </c>
      <c r="K178" s="1899">
        <f>SUM(K179,K183,K190,K194,K196,K181)</f>
        <v>634124.5</v>
      </c>
      <c r="L178" s="1899">
        <f>SUM(L179,L183,L190,L194,L196,L181)</f>
        <v>324415</v>
      </c>
      <c r="M178" s="1899">
        <f t="shared" si="41"/>
        <v>39</v>
      </c>
      <c r="N178" s="1899">
        <f t="shared" si="41"/>
        <v>37.700000000000003</v>
      </c>
      <c r="O178" s="1899">
        <f t="shared" si="41"/>
        <v>41.8</v>
      </c>
      <c r="P178" s="1899">
        <f>SUM(P183,P194)+Q190</f>
        <v>0</v>
      </c>
      <c r="Q178" s="1899">
        <f>SUM(Q183,Q194)+R190</f>
        <v>182695.3</v>
      </c>
      <c r="R178" s="1899">
        <f>SUM(S178:T178)</f>
        <v>1266522.3999999999</v>
      </c>
      <c r="S178" s="1899">
        <f>SUM(S183,S190,S194,S196)</f>
        <v>926046.6</v>
      </c>
      <c r="T178" s="1899">
        <f>SUM(T183,T190,T194,T196)</f>
        <v>340475.8</v>
      </c>
      <c r="U178" s="1899">
        <f>SUM(V178:W178)</f>
        <v>1478103.7</v>
      </c>
      <c r="V178" s="1899">
        <f>SUM(V183,V190,V194,V196)</f>
        <v>1463322.7</v>
      </c>
      <c r="W178" s="1899">
        <f>SUM(W183,W190,W194,W196)</f>
        <v>14781</v>
      </c>
      <c r="X178" s="1423">
        <f t="shared" si="53"/>
        <v>420</v>
      </c>
      <c r="Y178" s="725"/>
      <c r="AA178" s="725"/>
    </row>
    <row r="179" spans="1:27" ht="23.25">
      <c r="A179" s="2060"/>
      <c r="B179" s="1897" t="s">
        <v>1650</v>
      </c>
      <c r="C179" s="1898"/>
      <c r="D179" s="1899">
        <f>E179+F179</f>
        <v>44870.6</v>
      </c>
      <c r="E179" s="1899">
        <f>E180</f>
        <v>13988.1</v>
      </c>
      <c r="F179" s="1899">
        <f>F180</f>
        <v>30882.5</v>
      </c>
      <c r="G179" s="1899">
        <f>H179+I179</f>
        <v>44870.6</v>
      </c>
      <c r="H179" s="1899">
        <f>H180</f>
        <v>13988.1</v>
      </c>
      <c r="I179" s="1899">
        <f>I180</f>
        <v>30882.5</v>
      </c>
      <c r="J179" s="1899">
        <f>K179+L179</f>
        <v>11105.9</v>
      </c>
      <c r="K179" s="1899">
        <f>K180</f>
        <v>4167.6000000000004</v>
      </c>
      <c r="L179" s="1899">
        <f>L180</f>
        <v>6938.3</v>
      </c>
      <c r="M179" s="1899">
        <f t="shared" si="41"/>
        <v>24.8</v>
      </c>
      <c r="N179" s="1899">
        <f t="shared" si="41"/>
        <v>29.8</v>
      </c>
      <c r="O179" s="1899">
        <f t="shared" si="41"/>
        <v>22.5</v>
      </c>
      <c r="P179" s="1899"/>
      <c r="Q179" s="1899"/>
      <c r="R179" s="1899"/>
      <c r="S179" s="1899"/>
      <c r="T179" s="1899"/>
      <c r="U179" s="1899"/>
      <c r="V179" s="1899"/>
      <c r="W179" s="1899"/>
      <c r="X179" s="1423">
        <f t="shared" si="53"/>
        <v>0</v>
      </c>
      <c r="Y179" s="2064" t="s">
        <v>1794</v>
      </c>
      <c r="AA179" s="725"/>
    </row>
    <row r="180" spans="1:27" ht="52.5" customHeight="1">
      <c r="A180" s="2060">
        <f>A169+1</f>
        <v>69</v>
      </c>
      <c r="B180" s="1919" t="s">
        <v>1469</v>
      </c>
      <c r="C180" s="1898"/>
      <c r="D180" s="1600">
        <f>SUM(E180:F180)</f>
        <v>44870.6</v>
      </c>
      <c r="E180" s="1614">
        <v>13988.1</v>
      </c>
      <c r="F180" s="1614">
        <f>23288.3+1040.3+6553.9</f>
        <v>30882.5</v>
      </c>
      <c r="G180" s="1600">
        <f>SUM(H180:I180)</f>
        <v>44870.6</v>
      </c>
      <c r="H180" s="1616">
        <f>E180</f>
        <v>13988.1</v>
      </c>
      <c r="I180" s="1616">
        <f>24328.6+6553.9</f>
        <v>30882.5</v>
      </c>
      <c r="J180" s="1600">
        <f>SUM(K180:L180)</f>
        <v>11105.9</v>
      </c>
      <c r="K180" s="1614">
        <f>2770.1-315.6+315.589+1397.478</f>
        <v>4167.6000000000004</v>
      </c>
      <c r="L180" s="1614">
        <f>4611.7-525.4+525.4+2326.613</f>
        <v>6938.3</v>
      </c>
      <c r="M180" s="1893">
        <f t="shared" si="41"/>
        <v>24.8</v>
      </c>
      <c r="N180" s="1894">
        <f t="shared" si="41"/>
        <v>29.8</v>
      </c>
      <c r="O180" s="1894">
        <f t="shared" si="41"/>
        <v>22.5</v>
      </c>
      <c r="P180" s="1899"/>
      <c r="Q180" s="1899"/>
      <c r="R180" s="1899"/>
      <c r="S180" s="1899"/>
      <c r="T180" s="1899"/>
      <c r="U180" s="1899"/>
      <c r="V180" s="1899"/>
      <c r="W180" s="1899"/>
      <c r="X180" s="1423">
        <f t="shared" si="53"/>
        <v>0</v>
      </c>
      <c r="Y180" s="725"/>
      <c r="AA180" s="725"/>
    </row>
    <row r="181" spans="1:27" ht="25.5" customHeight="1">
      <c r="A181" s="2060"/>
      <c r="B181" s="1897" t="s">
        <v>1396</v>
      </c>
      <c r="C181" s="1898"/>
      <c r="D181" s="1899">
        <f>SUM(E181:F181)</f>
        <v>71498.399999999994</v>
      </c>
      <c r="E181" s="2063">
        <f>SUM(E182)</f>
        <v>62026.400000000001</v>
      </c>
      <c r="F181" s="2063">
        <f>SUM(F182)</f>
        <v>9472</v>
      </c>
      <c r="G181" s="1899">
        <f>SUM(H181:I181)</f>
        <v>71498.399999999994</v>
      </c>
      <c r="H181" s="2082">
        <f>SUM(H182)</f>
        <v>62026.400000000001</v>
      </c>
      <c r="I181" s="2082">
        <f>SUM(I182)</f>
        <v>9472</v>
      </c>
      <c r="J181" s="1899">
        <f>SUM(K181:L181)</f>
        <v>56924.1</v>
      </c>
      <c r="K181" s="2082">
        <f>SUM(K182)</f>
        <v>56291.6</v>
      </c>
      <c r="L181" s="2082">
        <f>SUM(L182)</f>
        <v>632.5</v>
      </c>
      <c r="M181" s="1900">
        <f t="shared" si="41"/>
        <v>79.599999999999994</v>
      </c>
      <c r="N181" s="1901">
        <f t="shared" si="41"/>
        <v>90.8</v>
      </c>
      <c r="O181" s="1901">
        <f t="shared" si="41"/>
        <v>6.7</v>
      </c>
      <c r="P181" s="1899"/>
      <c r="Q181" s="1899"/>
      <c r="R181" s="1899"/>
      <c r="S181" s="1899"/>
      <c r="T181" s="1899"/>
      <c r="U181" s="1899"/>
      <c r="V181" s="1899"/>
      <c r="W181" s="1899"/>
      <c r="X181" s="1423">
        <f t="shared" si="53"/>
        <v>0</v>
      </c>
      <c r="Y181" s="725" t="s">
        <v>1793</v>
      </c>
      <c r="AA181" s="725"/>
    </row>
    <row r="182" spans="1:27" ht="52.5" customHeight="1">
      <c r="A182" s="1866">
        <f>A180+1</f>
        <v>70</v>
      </c>
      <c r="B182" s="2072" t="s">
        <v>1392</v>
      </c>
      <c r="C182" s="1906"/>
      <c r="D182" s="1600">
        <f>SUM(E182:F182)</f>
        <v>71498.399999999994</v>
      </c>
      <c r="E182" s="1614">
        <v>62026.400000000001</v>
      </c>
      <c r="F182" s="1614">
        <f>9285.9+186.1</f>
        <v>9472</v>
      </c>
      <c r="G182" s="1600">
        <f>SUM(H182:I182)</f>
        <v>71498.399999999994</v>
      </c>
      <c r="H182" s="1616">
        <f>E182</f>
        <v>62026.400000000001</v>
      </c>
      <c r="I182" s="1616">
        <v>9472</v>
      </c>
      <c r="J182" s="1600">
        <f>SUM(K182:L182)</f>
        <v>56924.1</v>
      </c>
      <c r="K182" s="1614">
        <v>56291.6</v>
      </c>
      <c r="L182" s="1614">
        <v>632.5</v>
      </c>
      <c r="M182" s="1893">
        <f t="shared" si="41"/>
        <v>79.599999999999994</v>
      </c>
      <c r="N182" s="1894">
        <f t="shared" si="41"/>
        <v>90.8</v>
      </c>
      <c r="O182" s="1894">
        <f t="shared" si="41"/>
        <v>6.7</v>
      </c>
      <c r="P182" s="1899"/>
      <c r="Q182" s="1899"/>
      <c r="R182" s="1899"/>
      <c r="S182" s="1899"/>
      <c r="T182" s="1899"/>
      <c r="U182" s="1899"/>
      <c r="V182" s="1899"/>
      <c r="W182" s="1899"/>
      <c r="X182" s="1423">
        <f t="shared" si="53"/>
        <v>0</v>
      </c>
      <c r="Y182" s="725"/>
      <c r="AA182" s="725"/>
    </row>
    <row r="183" spans="1:27" ht="23.25">
      <c r="A183" s="2060"/>
      <c r="B183" s="1897" t="s">
        <v>1461</v>
      </c>
      <c r="C183" s="1898"/>
      <c r="D183" s="1899">
        <f>SUM(E183:F183)</f>
        <v>2303783.2000000002</v>
      </c>
      <c r="E183" s="1899">
        <f>SUM(E184:E189)</f>
        <v>1569072.1</v>
      </c>
      <c r="F183" s="1899">
        <f>SUM(F184:F189)</f>
        <v>734711.1</v>
      </c>
      <c r="G183" s="1899">
        <f>SUM(H183:I183)</f>
        <v>2303783.2000000002</v>
      </c>
      <c r="H183" s="1899">
        <f>SUM(H184:H189)</f>
        <v>1569072.1</v>
      </c>
      <c r="I183" s="1899">
        <f>SUM(I184:I189)</f>
        <v>734711.1</v>
      </c>
      <c r="J183" s="1899">
        <f>SUM(K183:L183)</f>
        <v>865544.6</v>
      </c>
      <c r="K183" s="1899">
        <f>SUM(K184:K189)</f>
        <v>548950</v>
      </c>
      <c r="L183" s="1899">
        <f>SUM(L184:L189)</f>
        <v>316594.59999999998</v>
      </c>
      <c r="M183" s="1899">
        <f t="shared" si="41"/>
        <v>37.6</v>
      </c>
      <c r="N183" s="1899">
        <f t="shared" si="41"/>
        <v>35</v>
      </c>
      <c r="O183" s="1899">
        <f t="shared" si="41"/>
        <v>43.1</v>
      </c>
      <c r="P183" s="1899">
        <f t="shared" ref="P183:W183" si="54">SUM(P184:P189)</f>
        <v>0</v>
      </c>
      <c r="Q183" s="1899">
        <f t="shared" si="54"/>
        <v>0</v>
      </c>
      <c r="R183" s="1899">
        <f t="shared" si="54"/>
        <v>1083827.1000000001</v>
      </c>
      <c r="S183" s="1899">
        <f t="shared" si="54"/>
        <v>745178.3</v>
      </c>
      <c r="T183" s="1899">
        <f t="shared" si="54"/>
        <v>338648.8</v>
      </c>
      <c r="U183" s="1899">
        <f t="shared" si="54"/>
        <v>416896.2</v>
      </c>
      <c r="V183" s="1899">
        <f t="shared" si="54"/>
        <v>412727.2</v>
      </c>
      <c r="W183" s="1899">
        <f t="shared" si="54"/>
        <v>4169</v>
      </c>
      <c r="X183" s="1423">
        <f t="shared" si="53"/>
        <v>0</v>
      </c>
      <c r="Y183" s="725" t="s">
        <v>1792</v>
      </c>
      <c r="AA183" s="725"/>
    </row>
    <row r="184" spans="1:27" ht="66" customHeight="1">
      <c r="A184" s="2060">
        <f>A182+1</f>
        <v>71</v>
      </c>
      <c r="B184" s="1888" t="s">
        <v>1459</v>
      </c>
      <c r="C184" s="1866" t="s">
        <v>1547</v>
      </c>
      <c r="D184" s="1600">
        <f>SUM(E184:F184)</f>
        <v>983584</v>
      </c>
      <c r="E184" s="1614">
        <v>587130.1</v>
      </c>
      <c r="F184" s="1614">
        <f>382915.2+66255.7+1828.7-54545.7</f>
        <v>396453.9</v>
      </c>
      <c r="G184" s="1600">
        <f t="shared" si="37"/>
        <v>983584</v>
      </c>
      <c r="H184" s="1614">
        <v>587130.1</v>
      </c>
      <c r="I184" s="1614">
        <f>382915.2+66255.7+1828.7-54545.7</f>
        <v>396453.9</v>
      </c>
      <c r="J184" s="1600">
        <f>SUM(K184:L184)</f>
        <v>578455.80000000005</v>
      </c>
      <c r="K184" s="1614">
        <v>339166.1</v>
      </c>
      <c r="L184" s="1614">
        <v>239289.7</v>
      </c>
      <c r="M184" s="1893">
        <f t="shared" si="41"/>
        <v>58.8</v>
      </c>
      <c r="N184" s="1894">
        <f t="shared" si="41"/>
        <v>57.8</v>
      </c>
      <c r="O184" s="1894">
        <f t="shared" si="41"/>
        <v>60.4</v>
      </c>
      <c r="P184" s="1593" t="s">
        <v>1192</v>
      </c>
      <c r="Q184" s="1593" t="s">
        <v>1160</v>
      </c>
      <c r="R184" s="1600">
        <f t="shared" si="34"/>
        <v>0</v>
      </c>
      <c r="S184" s="1614">
        <v>0</v>
      </c>
      <c r="T184" s="1614">
        <v>0</v>
      </c>
      <c r="U184" s="1600">
        <f t="shared" si="35"/>
        <v>0</v>
      </c>
      <c r="V184" s="1614">
        <v>0</v>
      </c>
      <c r="W184" s="1614">
        <v>0</v>
      </c>
      <c r="X184" s="1423">
        <f t="shared" si="53"/>
        <v>0</v>
      </c>
      <c r="Y184" s="725"/>
      <c r="AA184" s="725"/>
    </row>
    <row r="185" spans="1:27" ht="37.5" hidden="1" customHeight="1">
      <c r="A185" s="2060">
        <f>A184+1</f>
        <v>72</v>
      </c>
      <c r="B185" s="1888" t="s">
        <v>1645</v>
      </c>
      <c r="C185" s="1866"/>
      <c r="D185" s="1600">
        <f>E185+F185</f>
        <v>0</v>
      </c>
      <c r="E185" s="1614">
        <v>0</v>
      </c>
      <c r="F185" s="1614">
        <v>0</v>
      </c>
      <c r="G185" s="1600">
        <f>H185+I185</f>
        <v>0</v>
      </c>
      <c r="H185" s="1614">
        <v>0</v>
      </c>
      <c r="I185" s="1614">
        <v>0</v>
      </c>
      <c r="J185" s="1600">
        <f>K185+L185</f>
        <v>0</v>
      </c>
      <c r="K185" s="1614"/>
      <c r="L185" s="1614"/>
      <c r="M185" s="1600">
        <f t="shared" si="41"/>
        <v>0</v>
      </c>
      <c r="N185" s="1614">
        <f t="shared" si="41"/>
        <v>0</v>
      </c>
      <c r="O185" s="1614">
        <f t="shared" si="41"/>
        <v>0</v>
      </c>
      <c r="P185" s="1593"/>
      <c r="Q185" s="1593"/>
      <c r="R185" s="1600">
        <f>S185+T185</f>
        <v>416896.2</v>
      </c>
      <c r="S185" s="1614">
        <v>412727.2</v>
      </c>
      <c r="T185" s="1614">
        <v>4169</v>
      </c>
      <c r="U185" s="1600">
        <f>V185+W185</f>
        <v>416896.2</v>
      </c>
      <c r="V185" s="1614">
        <v>412727.2</v>
      </c>
      <c r="W185" s="1614">
        <v>4169</v>
      </c>
      <c r="AA185" s="725"/>
    </row>
    <row r="186" spans="1:27" ht="56.25" customHeight="1">
      <c r="A186" s="2060">
        <f>A184+1</f>
        <v>72</v>
      </c>
      <c r="B186" s="1888" t="s">
        <v>1460</v>
      </c>
      <c r="C186" s="1866" t="s">
        <v>1547</v>
      </c>
      <c r="D186" s="1600">
        <f>SUM(E186:F186)</f>
        <v>1107192.2</v>
      </c>
      <c r="E186" s="1614">
        <v>771065.2</v>
      </c>
      <c r="F186" s="1614">
        <f>324236.5+11890.5</f>
        <v>336127</v>
      </c>
      <c r="G186" s="1600">
        <f>SUM(H186:I186)</f>
        <v>1107192.2</v>
      </c>
      <c r="H186" s="1614">
        <v>771065.2</v>
      </c>
      <c r="I186" s="1614">
        <f>324236.5+11890.5</f>
        <v>336127</v>
      </c>
      <c r="J186" s="1600">
        <f>SUM(K186:L186)</f>
        <v>180336.2</v>
      </c>
      <c r="K186" s="1614">
        <v>104098.8</v>
      </c>
      <c r="L186" s="1614">
        <v>76237.399999999994</v>
      </c>
      <c r="M186" s="1893">
        <f t="shared" si="41"/>
        <v>16.3</v>
      </c>
      <c r="N186" s="1894">
        <f t="shared" si="41"/>
        <v>13.5</v>
      </c>
      <c r="O186" s="1894">
        <f t="shared" si="41"/>
        <v>22.7</v>
      </c>
      <c r="P186" s="1593" t="s">
        <v>1192</v>
      </c>
      <c r="Q186" s="1593" t="s">
        <v>1159</v>
      </c>
      <c r="R186" s="1600">
        <f t="shared" si="34"/>
        <v>331121.7</v>
      </c>
      <c r="S186" s="1614">
        <v>0</v>
      </c>
      <c r="T186" s="1614">
        <v>331121.7</v>
      </c>
      <c r="U186" s="1600">
        <f t="shared" si="35"/>
        <v>0</v>
      </c>
      <c r="V186" s="1614">
        <v>0</v>
      </c>
      <c r="W186" s="1614">
        <v>0</v>
      </c>
      <c r="X186" s="1423">
        <f>D186-G186</f>
        <v>0</v>
      </c>
      <c r="Y186" s="725"/>
      <c r="AA186" s="725"/>
    </row>
    <row r="187" spans="1:27" ht="39" customHeight="1">
      <c r="A187" s="2060">
        <f t="shared" ref="A187:A193" si="55">A186+1</f>
        <v>73</v>
      </c>
      <c r="B187" s="1916" t="s">
        <v>1465</v>
      </c>
      <c r="C187" s="1866" t="s">
        <v>1547</v>
      </c>
      <c r="D187" s="1600">
        <f>SUM(E187:F187)</f>
        <v>109222.6</v>
      </c>
      <c r="E187" s="1614">
        <v>108130.3</v>
      </c>
      <c r="F187" s="1614">
        <v>1092.3</v>
      </c>
      <c r="G187" s="1600">
        <f>SUM(H187:I187)</f>
        <v>109222.6</v>
      </c>
      <c r="H187" s="1614">
        <v>108130.3</v>
      </c>
      <c r="I187" s="1614">
        <v>1092.3</v>
      </c>
      <c r="J187" s="1600">
        <f>SUM(K187:L187)</f>
        <v>106752.6</v>
      </c>
      <c r="K187" s="1614">
        <v>105685.1</v>
      </c>
      <c r="L187" s="1614">
        <v>1067.5</v>
      </c>
      <c r="M187" s="1893">
        <f t="shared" si="41"/>
        <v>97.7</v>
      </c>
      <c r="N187" s="1894">
        <f t="shared" si="41"/>
        <v>97.7</v>
      </c>
      <c r="O187" s="1894">
        <f t="shared" si="41"/>
        <v>97.7</v>
      </c>
      <c r="P187" s="1593" t="s">
        <v>1192</v>
      </c>
      <c r="Q187" s="1593" t="s">
        <v>1160</v>
      </c>
      <c r="R187" s="1600">
        <f t="shared" si="34"/>
        <v>172191.3</v>
      </c>
      <c r="S187" s="1614">
        <v>170469.4</v>
      </c>
      <c r="T187" s="1614">
        <v>1721.9</v>
      </c>
      <c r="U187" s="1600">
        <f t="shared" si="35"/>
        <v>0</v>
      </c>
      <c r="V187" s="1614">
        <v>0</v>
      </c>
      <c r="W187" s="1614">
        <v>0</v>
      </c>
      <c r="X187" s="1423">
        <f>D187-G187</f>
        <v>0</v>
      </c>
      <c r="Y187" s="725"/>
      <c r="AA187" s="725"/>
    </row>
    <row r="188" spans="1:27" ht="60.75" customHeight="1">
      <c r="A188" s="2086">
        <f>A187+1</f>
        <v>74</v>
      </c>
      <c r="B188" s="1916" t="s">
        <v>1810</v>
      </c>
      <c r="C188" s="1866"/>
      <c r="D188" s="1600">
        <f>SUM(E188:F188)</f>
        <v>24135.9</v>
      </c>
      <c r="E188" s="1614">
        <v>23894.5</v>
      </c>
      <c r="F188" s="1614">
        <v>241.4</v>
      </c>
      <c r="G188" s="1600">
        <f>SUM(H188:I188)</f>
        <v>24135.9</v>
      </c>
      <c r="H188" s="1614">
        <v>23894.5</v>
      </c>
      <c r="I188" s="1614">
        <v>241.4</v>
      </c>
      <c r="J188" s="1600">
        <f>SUM(K188:L188)</f>
        <v>0</v>
      </c>
      <c r="K188" s="1614"/>
      <c r="L188" s="1614"/>
      <c r="M188" s="1893">
        <f t="shared" ref="M188" si="56">IF(J188=0,0,J188/G188*100)</f>
        <v>0</v>
      </c>
      <c r="N188" s="1894">
        <f t="shared" ref="N188" si="57">IF(K188=0,0,K188/H188*100)</f>
        <v>0</v>
      </c>
      <c r="O188" s="1894">
        <f t="shared" ref="O188" si="58">IF(L188=0,0,L188/I188*100)</f>
        <v>0</v>
      </c>
      <c r="P188" s="2085"/>
      <c r="Q188" s="2085"/>
      <c r="R188" s="1600"/>
      <c r="S188" s="1614"/>
      <c r="T188" s="1614"/>
      <c r="U188" s="1600"/>
      <c r="V188" s="1614"/>
      <c r="W188" s="1614"/>
      <c r="X188" s="1423"/>
      <c r="Y188" s="725"/>
      <c r="AA188" s="725"/>
    </row>
    <row r="189" spans="1:27" ht="44.25" customHeight="1">
      <c r="A189" s="2060">
        <f>A188+1</f>
        <v>75</v>
      </c>
      <c r="B189" s="1916" t="s">
        <v>1811</v>
      </c>
      <c r="C189" s="1866" t="s">
        <v>1547</v>
      </c>
      <c r="D189" s="1600">
        <f>SUM(E189:F189)</f>
        <v>79648.5</v>
      </c>
      <c r="E189" s="1614">
        <v>78852</v>
      </c>
      <c r="F189" s="1614">
        <v>796.5</v>
      </c>
      <c r="G189" s="1600">
        <f>SUM(H189:I189)</f>
        <v>79648.5</v>
      </c>
      <c r="H189" s="1614">
        <v>78852</v>
      </c>
      <c r="I189" s="1614">
        <v>796.5</v>
      </c>
      <c r="J189" s="1600">
        <f>SUM(K189:L189)</f>
        <v>0</v>
      </c>
      <c r="K189" s="1614"/>
      <c r="L189" s="1614"/>
      <c r="M189" s="1893">
        <f t="shared" si="41"/>
        <v>0</v>
      </c>
      <c r="N189" s="1894">
        <f t="shared" si="41"/>
        <v>0</v>
      </c>
      <c r="O189" s="1894">
        <f t="shared" si="41"/>
        <v>0</v>
      </c>
      <c r="P189" s="1593" t="s">
        <v>1192</v>
      </c>
      <c r="Q189" s="1593" t="s">
        <v>1159</v>
      </c>
      <c r="R189" s="1600">
        <f t="shared" si="34"/>
        <v>163617.9</v>
      </c>
      <c r="S189" s="1614">
        <v>161981.70000000001</v>
      </c>
      <c r="T189" s="1614">
        <v>1636.2</v>
      </c>
      <c r="U189" s="1600">
        <f t="shared" si="35"/>
        <v>0</v>
      </c>
      <c r="V189" s="1614">
        <v>0</v>
      </c>
      <c r="W189" s="1614">
        <v>0</v>
      </c>
      <c r="X189" s="1423">
        <f>D189-G189</f>
        <v>0</v>
      </c>
      <c r="Y189" s="725"/>
      <c r="AA189" s="725"/>
    </row>
    <row r="190" spans="1:27" ht="19.5" hidden="1" customHeight="1">
      <c r="A190" s="2060"/>
      <c r="B190" s="1897" t="s">
        <v>1648</v>
      </c>
      <c r="C190" s="1899">
        <v>47690.1</v>
      </c>
      <c r="D190" s="1899">
        <f>D191+D193+D192</f>
        <v>0</v>
      </c>
      <c r="E190" s="1899">
        <f t="shared" ref="E190:W190" si="59">E191+E193+E192</f>
        <v>0</v>
      </c>
      <c r="F190" s="1899">
        <f t="shared" si="59"/>
        <v>0</v>
      </c>
      <c r="G190" s="1899">
        <f t="shared" si="59"/>
        <v>0</v>
      </c>
      <c r="H190" s="1899">
        <f t="shared" si="59"/>
        <v>0</v>
      </c>
      <c r="I190" s="1899">
        <f t="shared" si="59"/>
        <v>0</v>
      </c>
      <c r="J190" s="1899">
        <f t="shared" si="59"/>
        <v>0</v>
      </c>
      <c r="K190" s="1899">
        <f t="shared" si="59"/>
        <v>0</v>
      </c>
      <c r="L190" s="1899">
        <f t="shared" si="59"/>
        <v>0</v>
      </c>
      <c r="M190" s="1899">
        <f t="shared" si="41"/>
        <v>0</v>
      </c>
      <c r="N190" s="1899">
        <f t="shared" si="41"/>
        <v>0</v>
      </c>
      <c r="O190" s="1899">
        <f t="shared" si="41"/>
        <v>0</v>
      </c>
      <c r="P190" s="1899">
        <f t="shared" si="59"/>
        <v>0</v>
      </c>
      <c r="Q190" s="1899">
        <f t="shared" si="59"/>
        <v>0</v>
      </c>
      <c r="R190" s="1899">
        <f t="shared" si="59"/>
        <v>182695.3</v>
      </c>
      <c r="S190" s="1899">
        <f t="shared" si="59"/>
        <v>180868.3</v>
      </c>
      <c r="T190" s="1899">
        <f t="shared" si="59"/>
        <v>1827</v>
      </c>
      <c r="U190" s="1899">
        <f t="shared" si="59"/>
        <v>272422.7</v>
      </c>
      <c r="V190" s="1899">
        <f t="shared" si="59"/>
        <v>269698.5</v>
      </c>
      <c r="W190" s="1899">
        <f t="shared" si="59"/>
        <v>2724.2</v>
      </c>
      <c r="AA190" s="725"/>
    </row>
    <row r="191" spans="1:27" ht="21" hidden="1" customHeight="1">
      <c r="A191" s="2060">
        <f>A189+1</f>
        <v>76</v>
      </c>
      <c r="B191" s="1916" t="s">
        <v>1467</v>
      </c>
      <c r="C191" s="1866"/>
      <c r="D191" s="1600">
        <v>0</v>
      </c>
      <c r="E191" s="1614">
        <v>0</v>
      </c>
      <c r="F191" s="1614">
        <v>0</v>
      </c>
      <c r="G191" s="1600">
        <v>0</v>
      </c>
      <c r="H191" s="1614">
        <v>0</v>
      </c>
      <c r="I191" s="1614">
        <v>0</v>
      </c>
      <c r="J191" s="1600">
        <v>0</v>
      </c>
      <c r="K191" s="1614">
        <v>0</v>
      </c>
      <c r="L191" s="1614">
        <v>0</v>
      </c>
      <c r="M191" s="1893">
        <f t="shared" si="41"/>
        <v>0</v>
      </c>
      <c r="N191" s="1894">
        <f t="shared" si="41"/>
        <v>0</v>
      </c>
      <c r="O191" s="1894">
        <f t="shared" si="41"/>
        <v>0</v>
      </c>
      <c r="P191" s="1593"/>
      <c r="Q191" s="1593"/>
      <c r="R191" s="1600">
        <f>S191+T191</f>
        <v>82695.3</v>
      </c>
      <c r="S191" s="1614">
        <v>81868.3</v>
      </c>
      <c r="T191" s="1614">
        <v>827</v>
      </c>
      <c r="U191" s="1600">
        <f>V191+W191</f>
        <v>69829.7</v>
      </c>
      <c r="V191" s="1614">
        <v>69131.7</v>
      </c>
      <c r="W191" s="1614">
        <v>698</v>
      </c>
      <c r="AA191" s="725"/>
    </row>
    <row r="192" spans="1:27" ht="39.75" hidden="1" customHeight="1">
      <c r="A192" s="2060">
        <f t="shared" si="55"/>
        <v>77</v>
      </c>
      <c r="B192" s="1916" t="s">
        <v>1647</v>
      </c>
      <c r="C192" s="1866"/>
      <c r="D192" s="1600">
        <v>0</v>
      </c>
      <c r="E192" s="1614">
        <v>0</v>
      </c>
      <c r="F192" s="1614">
        <v>0</v>
      </c>
      <c r="G192" s="1600">
        <v>0</v>
      </c>
      <c r="H192" s="1614">
        <v>0</v>
      </c>
      <c r="I192" s="1614">
        <v>0</v>
      </c>
      <c r="J192" s="1600">
        <v>0</v>
      </c>
      <c r="K192" s="1614">
        <v>0</v>
      </c>
      <c r="L192" s="1614">
        <v>0</v>
      </c>
      <c r="M192" s="1893">
        <f t="shared" si="41"/>
        <v>0</v>
      </c>
      <c r="N192" s="1894">
        <f t="shared" si="41"/>
        <v>0</v>
      </c>
      <c r="O192" s="1894">
        <f t="shared" si="41"/>
        <v>0</v>
      </c>
      <c r="P192" s="1593"/>
      <c r="Q192" s="1593"/>
      <c r="R192" s="1600">
        <f>S192+T192</f>
        <v>100000</v>
      </c>
      <c r="S192" s="1614">
        <v>99000</v>
      </c>
      <c r="T192" s="1614">
        <v>1000</v>
      </c>
      <c r="U192" s="1600">
        <f>V192+W192</f>
        <v>0</v>
      </c>
      <c r="V192" s="1614">
        <v>0</v>
      </c>
      <c r="W192" s="1614">
        <v>0</v>
      </c>
      <c r="AA192" s="725"/>
    </row>
    <row r="193" spans="1:27" ht="24.75" hidden="1" customHeight="1">
      <c r="A193" s="2060">
        <f t="shared" si="55"/>
        <v>78</v>
      </c>
      <c r="B193" s="1916" t="s">
        <v>1646</v>
      </c>
      <c r="C193" s="1866"/>
      <c r="D193" s="1600">
        <f t="shared" ref="D193:D202" si="60">SUM(E193:F193)</f>
        <v>0</v>
      </c>
      <c r="E193" s="1614">
        <v>0</v>
      </c>
      <c r="F193" s="1614">
        <v>0</v>
      </c>
      <c r="G193" s="1600">
        <f t="shared" ref="G193:G197" si="61">SUM(H193:I193)</f>
        <v>0</v>
      </c>
      <c r="H193" s="1614">
        <v>0</v>
      </c>
      <c r="I193" s="1614">
        <v>0</v>
      </c>
      <c r="J193" s="1600">
        <f t="shared" ref="J193:J200" si="62">SUM(K193:L193)</f>
        <v>0</v>
      </c>
      <c r="K193" s="1614">
        <v>0</v>
      </c>
      <c r="L193" s="1614">
        <v>0</v>
      </c>
      <c r="M193" s="1600">
        <f t="shared" si="41"/>
        <v>0</v>
      </c>
      <c r="N193" s="1614">
        <f t="shared" si="41"/>
        <v>0</v>
      </c>
      <c r="O193" s="1614">
        <f t="shared" si="41"/>
        <v>0</v>
      </c>
      <c r="P193" s="1593"/>
      <c r="Q193" s="1593"/>
      <c r="R193" s="1600">
        <f>S193+T193</f>
        <v>0</v>
      </c>
      <c r="S193" s="1614">
        <v>0</v>
      </c>
      <c r="T193" s="1614">
        <v>0</v>
      </c>
      <c r="U193" s="1600">
        <f>V193+W193</f>
        <v>202593</v>
      </c>
      <c r="V193" s="1614">
        <v>200566.8</v>
      </c>
      <c r="W193" s="1614">
        <v>2026.2</v>
      </c>
      <c r="AA193" s="725"/>
    </row>
    <row r="194" spans="1:27" ht="23.25">
      <c r="A194" s="2060"/>
      <c r="B194" s="1897" t="s">
        <v>1470</v>
      </c>
      <c r="C194" s="1898"/>
      <c r="D194" s="1899">
        <f t="shared" si="60"/>
        <v>38809.800000000003</v>
      </c>
      <c r="E194" s="1899">
        <f>SUM(E195)</f>
        <v>38005.9</v>
      </c>
      <c r="F194" s="1899">
        <f>SUM(F195)</f>
        <v>803.9</v>
      </c>
      <c r="G194" s="1899">
        <f>SUM(H194:I194)</f>
        <v>38389.800000000003</v>
      </c>
      <c r="H194" s="1899">
        <f>SUM(H195)</f>
        <v>38005.9</v>
      </c>
      <c r="I194" s="1899">
        <f>SUM(I195)</f>
        <v>383.9</v>
      </c>
      <c r="J194" s="1899">
        <f t="shared" si="62"/>
        <v>24964.9</v>
      </c>
      <c r="K194" s="1899">
        <f>SUM(K195)</f>
        <v>24715.3</v>
      </c>
      <c r="L194" s="1899">
        <f>SUM(L195)</f>
        <v>249.6</v>
      </c>
      <c r="M194" s="1910">
        <f t="shared" si="41"/>
        <v>65</v>
      </c>
      <c r="N194" s="1911">
        <f t="shared" si="41"/>
        <v>65</v>
      </c>
      <c r="O194" s="1911">
        <f t="shared" si="41"/>
        <v>65</v>
      </c>
      <c r="P194" s="1599"/>
      <c r="Q194" s="1599"/>
      <c r="R194" s="1899">
        <f t="shared" si="34"/>
        <v>0</v>
      </c>
      <c r="S194" s="1899">
        <f>SUM(S195)</f>
        <v>0</v>
      </c>
      <c r="T194" s="1899">
        <f>SUM(T195)</f>
        <v>0</v>
      </c>
      <c r="U194" s="1899">
        <f t="shared" si="35"/>
        <v>0</v>
      </c>
      <c r="V194" s="1899">
        <f>SUM(V195)</f>
        <v>0</v>
      </c>
      <c r="W194" s="1899">
        <f>SUM(W195)</f>
        <v>0</v>
      </c>
      <c r="X194" s="1423">
        <f>D194-G194</f>
        <v>420</v>
      </c>
      <c r="Y194" s="725"/>
      <c r="AA194" s="725"/>
    </row>
    <row r="195" spans="1:27" ht="44.25" customHeight="1">
      <c r="A195" s="2060">
        <f>A189+1</f>
        <v>76</v>
      </c>
      <c r="B195" s="1888" t="s">
        <v>1653</v>
      </c>
      <c r="C195" s="2060" t="s">
        <v>1549</v>
      </c>
      <c r="D195" s="1600">
        <f t="shared" si="60"/>
        <v>38809.800000000003</v>
      </c>
      <c r="E195" s="1614">
        <v>38005.9</v>
      </c>
      <c r="F195" s="1614">
        <f>10828.3-10444.4+420</f>
        <v>803.9</v>
      </c>
      <c r="G195" s="1600">
        <f t="shared" si="61"/>
        <v>38389.800000000003</v>
      </c>
      <c r="H195" s="1616">
        <f>E195</f>
        <v>38005.9</v>
      </c>
      <c r="I195" s="1614">
        <f>10828.3-10444.4</f>
        <v>383.9</v>
      </c>
      <c r="J195" s="1600">
        <f t="shared" si="62"/>
        <v>24964.9</v>
      </c>
      <c r="K195" s="1614">
        <f>16866.6+52.4+7818.986+88.868-111.55</f>
        <v>24715.3</v>
      </c>
      <c r="L195" s="1614">
        <f>4805.5+14.9-4570.521+0.89766-1.13</f>
        <v>249.6</v>
      </c>
      <c r="M195" s="1604">
        <f t="shared" si="41"/>
        <v>65</v>
      </c>
      <c r="N195" s="1881">
        <f t="shared" si="41"/>
        <v>65</v>
      </c>
      <c r="O195" s="1881">
        <f t="shared" si="41"/>
        <v>65</v>
      </c>
      <c r="P195" s="1593" t="s">
        <v>1192</v>
      </c>
      <c r="Q195" s="1593" t="s">
        <v>1160</v>
      </c>
      <c r="R195" s="1600">
        <f>SUM(S195:T195)</f>
        <v>0</v>
      </c>
      <c r="S195" s="1614">
        <v>0</v>
      </c>
      <c r="T195" s="1614">
        <v>0</v>
      </c>
      <c r="U195" s="1600">
        <f>SUM(V195:W195)</f>
        <v>0</v>
      </c>
      <c r="V195" s="1614">
        <v>0</v>
      </c>
      <c r="W195" s="1614">
        <v>0</v>
      </c>
      <c r="X195" s="1423">
        <f>D195-G195</f>
        <v>420</v>
      </c>
      <c r="Y195" s="725"/>
      <c r="AA195" s="725"/>
    </row>
    <row r="196" spans="1:27" ht="27" hidden="1" customHeight="1">
      <c r="A196" s="2060"/>
      <c r="B196" s="1897" t="s">
        <v>1650</v>
      </c>
      <c r="C196" s="1898"/>
      <c r="D196" s="1899">
        <f t="shared" si="60"/>
        <v>0</v>
      </c>
      <c r="E196" s="1899">
        <f>SUM(E197)</f>
        <v>0</v>
      </c>
      <c r="F196" s="1899">
        <f>SUM(F197)</f>
        <v>0</v>
      </c>
      <c r="G196" s="1899">
        <f t="shared" si="61"/>
        <v>0</v>
      </c>
      <c r="H196" s="1899">
        <f>SUM(H197)</f>
        <v>0</v>
      </c>
      <c r="I196" s="1899">
        <f>SUM(I197)</f>
        <v>0</v>
      </c>
      <c r="J196" s="1899">
        <f t="shared" si="62"/>
        <v>0</v>
      </c>
      <c r="K196" s="1899">
        <f>SUM(K197)</f>
        <v>0</v>
      </c>
      <c r="L196" s="1899">
        <f>SUM(L197)</f>
        <v>0</v>
      </c>
      <c r="M196" s="1910">
        <f t="shared" si="41"/>
        <v>0</v>
      </c>
      <c r="N196" s="1911">
        <f t="shared" si="41"/>
        <v>0</v>
      </c>
      <c r="O196" s="1911">
        <f t="shared" si="41"/>
        <v>0</v>
      </c>
      <c r="P196" s="1599"/>
      <c r="Q196" s="1599"/>
      <c r="R196" s="1899">
        <f>SUM(S196:T196)</f>
        <v>0</v>
      </c>
      <c r="S196" s="1899">
        <f>SUM(S197)</f>
        <v>0</v>
      </c>
      <c r="T196" s="1899">
        <f>SUM(T197)</f>
        <v>0</v>
      </c>
      <c r="U196" s="1899">
        <f>SUM(V196:W196)</f>
        <v>788784.8</v>
      </c>
      <c r="V196" s="1899">
        <f>SUM(V197)</f>
        <v>780897</v>
      </c>
      <c r="W196" s="1899">
        <f>SUM(W197)</f>
        <v>7887.8</v>
      </c>
      <c r="AA196" s="725"/>
    </row>
    <row r="197" spans="1:27" s="1607" customFormat="1" ht="44.25" hidden="1" customHeight="1">
      <c r="A197" s="2060">
        <f>A195+1</f>
        <v>77</v>
      </c>
      <c r="B197" s="1890" t="s">
        <v>455</v>
      </c>
      <c r="C197" s="1880">
        <v>14057</v>
      </c>
      <c r="D197" s="1600">
        <f t="shared" si="60"/>
        <v>0</v>
      </c>
      <c r="E197" s="1614"/>
      <c r="F197" s="1614"/>
      <c r="G197" s="1600">
        <f t="shared" si="61"/>
        <v>0</v>
      </c>
      <c r="H197" s="1614"/>
      <c r="I197" s="1614"/>
      <c r="J197" s="1600">
        <f t="shared" si="62"/>
        <v>0</v>
      </c>
      <c r="K197" s="1614"/>
      <c r="L197" s="1614"/>
      <c r="M197" s="1604">
        <f t="shared" si="41"/>
        <v>0</v>
      </c>
      <c r="N197" s="1881">
        <f t="shared" si="41"/>
        <v>0</v>
      </c>
      <c r="O197" s="1881">
        <f t="shared" si="41"/>
        <v>0</v>
      </c>
      <c r="P197" s="1593" t="s">
        <v>1192</v>
      </c>
      <c r="Q197" s="1593" t="s">
        <v>1206</v>
      </c>
      <c r="R197" s="1600">
        <f>SUM(S197:T197)</f>
        <v>0</v>
      </c>
      <c r="S197" s="1614">
        <v>0</v>
      </c>
      <c r="T197" s="1614">
        <v>0</v>
      </c>
      <c r="U197" s="1600">
        <f>SUM(V197:W197)</f>
        <v>788784.8</v>
      </c>
      <c r="V197" s="1614">
        <v>780897</v>
      </c>
      <c r="W197" s="1614">
        <v>7887.8</v>
      </c>
      <c r="AA197" s="725"/>
    </row>
    <row r="198" spans="1:27" s="1607" customFormat="1" ht="44.25" customHeight="1">
      <c r="A198" s="2088"/>
      <c r="B198" s="1890"/>
      <c r="C198" s="1880"/>
      <c r="D198" s="1600"/>
      <c r="E198" s="1614"/>
      <c r="F198" s="1614"/>
      <c r="G198" s="1600"/>
      <c r="H198" s="1614"/>
      <c r="I198" s="1614"/>
      <c r="J198" s="1600">
        <f>J199-1666639.7</f>
        <v>880.2</v>
      </c>
      <c r="K198" s="1600"/>
      <c r="L198" s="1600"/>
      <c r="M198" s="1604"/>
      <c r="N198" s="1881"/>
      <c r="O198" s="1881"/>
      <c r="P198" s="2087"/>
      <c r="Q198" s="2087"/>
      <c r="R198" s="1600"/>
      <c r="S198" s="1614"/>
      <c r="T198" s="1614"/>
      <c r="U198" s="1600"/>
      <c r="V198" s="1614"/>
      <c r="W198" s="1614"/>
      <c r="AA198" s="725"/>
    </row>
    <row r="199" spans="1:27" ht="64.5" customHeight="1">
      <c r="A199" s="2044" t="s">
        <v>251</v>
      </c>
      <c r="B199" s="2046" t="s">
        <v>1435</v>
      </c>
      <c r="C199" s="2047"/>
      <c r="D199" s="2048">
        <f t="shared" si="60"/>
        <v>3517376.3</v>
      </c>
      <c r="E199" s="2048">
        <f>SUBTOTAL(9,E200:E203)</f>
        <v>3226945.6</v>
      </c>
      <c r="F199" s="2048">
        <f>SUBTOTAL(9,F200:F203)</f>
        <v>290430.7</v>
      </c>
      <c r="G199" s="2048">
        <f>SUM(H199:I199)</f>
        <v>3517376.3</v>
      </c>
      <c r="H199" s="2048">
        <f>SUBTOTAL(9,H200:H203)</f>
        <v>3226945.6</v>
      </c>
      <c r="I199" s="2048">
        <f>SUBTOTAL(9,I200:I203)</f>
        <v>290430.7</v>
      </c>
      <c r="J199" s="2048">
        <f t="shared" si="62"/>
        <v>1667519.9</v>
      </c>
      <c r="K199" s="2048">
        <f>SUBTOTAL(9,K200:K203)</f>
        <v>1542095.1</v>
      </c>
      <c r="L199" s="2048">
        <f>SUBTOTAL(9,L200:L203)</f>
        <v>125424.8</v>
      </c>
      <c r="M199" s="2048">
        <f t="shared" si="41"/>
        <v>47.4</v>
      </c>
      <c r="N199" s="2048">
        <f t="shared" si="41"/>
        <v>47.8</v>
      </c>
      <c r="O199" s="2048">
        <f t="shared" si="41"/>
        <v>43.2</v>
      </c>
      <c r="P199" s="1860" t="e">
        <f>P204+P211+P214+P217+P220+P223+P227+P231+#REF!+#REF!+P234+P238+P242+P245+P251+P254+P257+P261+P265+P267+P270+P273+P276+P281+P283+P286+P290+P294+#REF!+P297</f>
        <v>#REF!</v>
      </c>
      <c r="Q199" s="1860" t="e">
        <f>Q204+Q211+Q214+Q217+Q220+Q223+Q227+Q231+#REF!+#REF!+Q234+Q238+Q242+Q245+Q251+Q254+Q257+Q261+Q265+Q267+Q270+Q273+Q276+Q281+Q283+Q286+Q290+Q294+#REF!+Q297</f>
        <v>#REF!</v>
      </c>
      <c r="R199" s="1860" t="e">
        <f>R204+R211+R214+R217+R220+R223+R227+R231+#REF!+#REF!+R234+R238+R242+R245+R251+R254+R257+R261+R265+R267+R270+R273+R276+R281+R283+R286+R290+R294+#REF!+R297</f>
        <v>#REF!</v>
      </c>
      <c r="S199" s="1860" t="e">
        <f>S204+S211+S214+S217+S220+S223+S227+S231+#REF!+#REF!+S234+S238+S242+S245+S251+S254+S257+S261+S265+S267+S270+S273+S276+S281+S283+S286+S290+S294+#REF!+S297</f>
        <v>#REF!</v>
      </c>
      <c r="T199" s="1860" t="e">
        <f>T204+T211+T214+T217+T220+T223+T227+T231+#REF!+#REF!+T234+T238+T242+T245+T251+T254+T257+T261+T265+T267+T270+T273+T276+T281+T283+T286+T290+T294+#REF!+T297</f>
        <v>#REF!</v>
      </c>
      <c r="U199" s="1860" t="e">
        <f>U204+U211+U214+U217+U220+U223+U227+U231+#REF!+#REF!+U234+U238+U242+U245+U251+U254+U257+U261+U265+U267+U270+U273+U276+U281+U283+U286+U290+U294+#REF!+U297</f>
        <v>#REF!</v>
      </c>
      <c r="V199" s="1860" t="e">
        <f>V204+V211+V214+V217+V220+V223+V227+V231+#REF!+#REF!+V234+V238+V242+V245+V251+V254+V257+V261+V265+V267+V270+V273+V276+V281+V283+V286+V290+V294+#REF!+V297</f>
        <v>#REF!</v>
      </c>
      <c r="W199" s="1860" t="e">
        <f>W204+W211+W214+W217+W220+W223+W227+W231+#REF!+#REF!+W234+W238+W242+W245+W251+W254+W257+W261+W265+W267+W270+W273+W276+W281+W283+W286+W290+W294+#REF!+W297</f>
        <v>#REF!</v>
      </c>
      <c r="X199" s="1423">
        <f>D199-G199</f>
        <v>0</v>
      </c>
      <c r="Y199" s="725" t="s">
        <v>1791</v>
      </c>
      <c r="AA199" s="725"/>
    </row>
    <row r="200" spans="1:27" ht="23.25">
      <c r="A200" s="2044"/>
      <c r="B200" s="2049" t="s">
        <v>1699</v>
      </c>
      <c r="C200" s="2047"/>
      <c r="D200" s="2048">
        <f>SUM(E200:F200)</f>
        <v>2670522.2999999998</v>
      </c>
      <c r="E200" s="2048">
        <f>E208+E212+E215+E221+E228+E232+E239+E243+E252+E255+E258+E262+E266+E268+E271+E274+E277+E282+E284+E287+E291+E295+E298+E218+E224+E235</f>
        <v>2509831.7000000002</v>
      </c>
      <c r="F200" s="2048">
        <f>F208+F212+F215+F221+F228+F232+F239+F243+F252+F255+F258+F262+F266+F268+F271+F274+F277+F282+F284+F287+F291+F295+F298+F218+F224+F235</f>
        <v>160690.6</v>
      </c>
      <c r="G200" s="2048">
        <f>SUM(H200:I200)</f>
        <v>2670522.2999999998</v>
      </c>
      <c r="H200" s="2048">
        <f>H208+H212+H215+H221+H228+H232+H239+H243+H252+H255+H258+H262+H266+H268+H271+H274+H277+H282+H284+H287+H291+H295+H298+H218+H224+H235</f>
        <v>2509831.7000000002</v>
      </c>
      <c r="I200" s="2048">
        <f>I208+I212+I215+I221+I228+I232+I239+I243+I252+I255+I258+I262+I266+I268+I271+I274+I277+I282+I284+I287+I291+I295+I298+I218+I224+I235</f>
        <v>160690.6</v>
      </c>
      <c r="J200" s="2048">
        <f t="shared" si="62"/>
        <v>1239215.5</v>
      </c>
      <c r="K200" s="2048">
        <f>K208+K212+K215+K221+K228+K232+K239+K243+K252+K255+K258+K262+K266+K268+K271+K274+K277+K282+K284+K287+K291+K295+K298+K218+K224+K235</f>
        <v>1164734.5</v>
      </c>
      <c r="L200" s="2048">
        <f>L208+L212+L215+L221+L228+L232+L239+L243+L252+L255+L258+L262+L266+L268+L271+L274+L277+L282+L284+L287+L291+L295+L298+L218+L224+L235</f>
        <v>74481</v>
      </c>
      <c r="M200" s="2048">
        <f t="shared" si="41"/>
        <v>46.4</v>
      </c>
      <c r="N200" s="2048">
        <f t="shared" si="41"/>
        <v>46.4</v>
      </c>
      <c r="O200" s="2048">
        <f t="shared" si="41"/>
        <v>46.4</v>
      </c>
      <c r="P200" s="1860"/>
      <c r="Q200" s="1860"/>
      <c r="R200" s="1860"/>
      <c r="S200" s="1860"/>
      <c r="T200" s="1860"/>
      <c r="U200" s="1860"/>
      <c r="V200" s="1860"/>
      <c r="W200" s="1860"/>
      <c r="X200" s="1423">
        <f>D200-G200</f>
        <v>0</v>
      </c>
      <c r="Y200" s="2572" t="s">
        <v>1790</v>
      </c>
      <c r="AA200" s="725"/>
    </row>
    <row r="201" spans="1:27" ht="23.25">
      <c r="A201" s="2044"/>
      <c r="B201" s="2049" t="s">
        <v>1798</v>
      </c>
      <c r="C201" s="2047"/>
      <c r="D201" s="2048">
        <f>E201+F201</f>
        <v>452520.5</v>
      </c>
      <c r="E201" s="2048">
        <f>E225+E229+E236+E240+E259+E263+E278+E289</f>
        <v>425356.1</v>
      </c>
      <c r="F201" s="2048">
        <f>F225+F229+F236+F240+F259+F263+F278+F289</f>
        <v>27164.400000000001</v>
      </c>
      <c r="G201" s="2048">
        <f>H201+I201</f>
        <v>452520.5</v>
      </c>
      <c r="H201" s="2048">
        <f>H225+H229+H236+H240+H259+H263+H278+H289</f>
        <v>425356.1</v>
      </c>
      <c r="I201" s="2048">
        <f>I225+I229+I236+I240+I259+I263+I278+I289</f>
        <v>27164.400000000001</v>
      </c>
      <c r="J201" s="2048">
        <f>K201+L201</f>
        <v>220564.7</v>
      </c>
      <c r="K201" s="2048">
        <f>K225+K229+K236+K240+K259+K263+K278+K289</f>
        <v>207328.5</v>
      </c>
      <c r="L201" s="2048">
        <f>L225+L229+L236+L240+L259+L263+L278+L289</f>
        <v>13236.2</v>
      </c>
      <c r="M201" s="2048"/>
      <c r="N201" s="2048"/>
      <c r="O201" s="2048"/>
      <c r="P201" s="1860"/>
      <c r="Q201" s="1860"/>
      <c r="R201" s="1860"/>
      <c r="S201" s="1860"/>
      <c r="T201" s="1860"/>
      <c r="U201" s="1860"/>
      <c r="V201" s="1860"/>
      <c r="W201" s="1860"/>
      <c r="X201" s="1423"/>
      <c r="Y201" s="2572"/>
      <c r="AA201" s="725"/>
    </row>
    <row r="202" spans="1:27" ht="26.25" customHeight="1">
      <c r="A202" s="2044"/>
      <c r="B202" s="2049" t="s">
        <v>1770</v>
      </c>
      <c r="C202" s="2047"/>
      <c r="D202" s="2048">
        <f t="shared" si="60"/>
        <v>310782.8</v>
      </c>
      <c r="E202" s="2049">
        <f>E205+E209+E213+E216+E219+E222+E226+E230+E233+E241+E244+E246+E253+E260+E264+E279+E285+E292+E296+E299+E249</f>
        <v>291757.8</v>
      </c>
      <c r="F202" s="2049">
        <f>F205+F209+F213+F216+F219+F222+F226+F230+F233+F241+F244+F246+F253+F260+F264+F279+F285+F292+F296+F299+F249</f>
        <v>19025</v>
      </c>
      <c r="G202" s="2048">
        <f>SUM(H202:I202)</f>
        <v>310782.8</v>
      </c>
      <c r="H202" s="2049">
        <f>H205+H209+H213+H216+H219+H222+H226+H230+H233+H241+H244+H246+H253+H260+H264+H279+H285+H292+H296+H299+H249</f>
        <v>291757.8</v>
      </c>
      <c r="I202" s="2049">
        <f>I205+I209+I213+I216+I219+I222+I226+I230+I233+I241+I244+I246+I253+I260+I264+I279+I285+I292+I296+I299+I249</f>
        <v>19025</v>
      </c>
      <c r="J202" s="2048">
        <f>SUM(K202:L202)</f>
        <v>181104</v>
      </c>
      <c r="K202" s="2049">
        <f>K205+K209+K213+K216+K219+K222+K226+K230+K233+K241+K244+K246+K253+K260+K264+K279+K285+K292+K296+K299+K249</f>
        <v>170032.1</v>
      </c>
      <c r="L202" s="2049">
        <f>L205+L209+L213+L216+L219+L222+L226+L230+L233+L241+L244+L246+L253+L260+L264+L279+L285+L292+L296+L299+L249</f>
        <v>11071.9</v>
      </c>
      <c r="M202" s="2049">
        <f>IF(J202=0,0,J202/G202*100)</f>
        <v>58.3</v>
      </c>
      <c r="N202" s="2049">
        <f>IF(K202=0,0,K202/H202*100)</f>
        <v>58.3</v>
      </c>
      <c r="O202" s="2049">
        <f>IF(L202=0,0,L202/I202*100)</f>
        <v>58.2</v>
      </c>
      <c r="P202" s="2087"/>
      <c r="Q202" s="2087"/>
      <c r="R202" s="1600"/>
      <c r="S202" s="1619"/>
      <c r="T202" s="1619"/>
      <c r="U202" s="1600"/>
      <c r="V202" s="1619"/>
      <c r="W202" s="1619"/>
      <c r="X202" s="1423">
        <f t="shared" ref="X202:X207" si="63">D202-G202</f>
        <v>0</v>
      </c>
      <c r="Y202" s="2572"/>
      <c r="AA202" s="725"/>
    </row>
    <row r="203" spans="1:27" ht="23.25">
      <c r="A203" s="2044"/>
      <c r="B203" s="2049" t="s">
        <v>1700</v>
      </c>
      <c r="C203" s="2047"/>
      <c r="D203" s="2048">
        <f t="shared" ref="D203:F203" si="64">D206+D210+D237+D247+D256+D272+D293+D250+D275+D280</f>
        <v>83550.7</v>
      </c>
      <c r="E203" s="2048">
        <f t="shared" si="64"/>
        <v>0</v>
      </c>
      <c r="F203" s="2048">
        <f t="shared" si="64"/>
        <v>83550.7</v>
      </c>
      <c r="G203" s="2048">
        <f t="shared" ref="G203:L203" si="65">G206+G210+G237+G247+G256+G272+G293+G250+G275+G280</f>
        <v>83550.7</v>
      </c>
      <c r="H203" s="2048">
        <f t="shared" si="65"/>
        <v>0</v>
      </c>
      <c r="I203" s="2048">
        <f t="shared" si="65"/>
        <v>83550.7</v>
      </c>
      <c r="J203" s="2048">
        <f t="shared" si="65"/>
        <v>26635.7</v>
      </c>
      <c r="K203" s="2048">
        <f t="shared" si="65"/>
        <v>0</v>
      </c>
      <c r="L203" s="2048">
        <f t="shared" si="65"/>
        <v>26635.7</v>
      </c>
      <c r="M203" s="2048">
        <f t="shared" si="41"/>
        <v>31.9</v>
      </c>
      <c r="N203" s="2048">
        <f t="shared" si="41"/>
        <v>0</v>
      </c>
      <c r="O203" s="2048">
        <f t="shared" si="41"/>
        <v>31.9</v>
      </c>
      <c r="P203" s="1860"/>
      <c r="Q203" s="1860"/>
      <c r="R203" s="1860"/>
      <c r="S203" s="1860"/>
      <c r="T203" s="1860"/>
      <c r="U203" s="1860"/>
      <c r="V203" s="1860"/>
      <c r="W203" s="1860"/>
      <c r="X203" s="1423">
        <f t="shared" si="63"/>
        <v>0</v>
      </c>
      <c r="Y203" s="725" t="s">
        <v>1789</v>
      </c>
      <c r="AA203" s="725"/>
    </row>
    <row r="204" spans="1:27" ht="67.5" customHeight="1">
      <c r="A204" s="2088">
        <f>A195+1</f>
        <v>77</v>
      </c>
      <c r="B204" s="1919" t="s">
        <v>1709</v>
      </c>
      <c r="C204" s="2089"/>
      <c r="D204" s="1602">
        <f>SUM(E204:F204)</f>
        <v>2924.2</v>
      </c>
      <c r="E204" s="1609">
        <f>E205+E206</f>
        <v>612.20000000000005</v>
      </c>
      <c r="F204" s="1609">
        <f>F205+F206</f>
        <v>2312</v>
      </c>
      <c r="G204" s="1602">
        <f>SUM(H204:I204)</f>
        <v>2924.2</v>
      </c>
      <c r="H204" s="1609">
        <f>H205+H206</f>
        <v>612.20000000000005</v>
      </c>
      <c r="I204" s="1609">
        <f>I205+I206</f>
        <v>2312</v>
      </c>
      <c r="J204" s="1602">
        <f>SUM(K204:L204)</f>
        <v>1759.3</v>
      </c>
      <c r="K204" s="1619">
        <f>K205+K206</f>
        <v>42.5</v>
      </c>
      <c r="L204" s="1609">
        <f>L205+L206</f>
        <v>1716.8</v>
      </c>
      <c r="M204" s="1602">
        <f t="shared" si="41"/>
        <v>60.2</v>
      </c>
      <c r="N204" s="1602">
        <f t="shared" si="41"/>
        <v>6.9</v>
      </c>
      <c r="O204" s="1602">
        <f t="shared" si="41"/>
        <v>74.3</v>
      </c>
      <c r="P204" s="2087"/>
      <c r="Q204" s="2087"/>
      <c r="R204" s="1600">
        <f>S204+T204</f>
        <v>0</v>
      </c>
      <c r="S204" s="1619">
        <v>0</v>
      </c>
      <c r="T204" s="1619">
        <v>0</v>
      </c>
      <c r="U204" s="1600">
        <f>V204+W204</f>
        <v>0</v>
      </c>
      <c r="V204" s="1619">
        <v>0</v>
      </c>
      <c r="W204" s="1619">
        <v>0</v>
      </c>
      <c r="X204" s="1423">
        <f t="shared" si="63"/>
        <v>0</v>
      </c>
      <c r="Y204" s="725"/>
      <c r="AA204" s="725"/>
    </row>
    <row r="205" spans="1:27" ht="26.25" customHeight="1">
      <c r="A205" s="2088"/>
      <c r="B205" s="1609" t="s">
        <v>1770</v>
      </c>
      <c r="C205" s="2089"/>
      <c r="D205" s="1602">
        <f>SUM(E205:F205)</f>
        <v>652.79999999999995</v>
      </c>
      <c r="E205" s="1609">
        <v>612.20000000000005</v>
      </c>
      <c r="F205" s="1609">
        <f>40.7-0.1</f>
        <v>40.6</v>
      </c>
      <c r="G205" s="1600">
        <f>SUM(H205:I205)</f>
        <v>652.79999999999995</v>
      </c>
      <c r="H205" s="1616">
        <f>E205</f>
        <v>612.20000000000005</v>
      </c>
      <c r="I205" s="1616">
        <f>F205</f>
        <v>40.6</v>
      </c>
      <c r="J205" s="1600">
        <f>SUM(K205:L205)</f>
        <v>45.3</v>
      </c>
      <c r="K205" s="1619">
        <v>42.5</v>
      </c>
      <c r="L205" s="1619">
        <v>2.8</v>
      </c>
      <c r="M205" s="1619">
        <f t="shared" si="41"/>
        <v>6.9</v>
      </c>
      <c r="N205" s="1619">
        <f t="shared" si="41"/>
        <v>6.9</v>
      </c>
      <c r="O205" s="1619">
        <f t="shared" si="41"/>
        <v>6.9</v>
      </c>
      <c r="P205" s="2087"/>
      <c r="Q205" s="2087"/>
      <c r="R205" s="1600"/>
      <c r="S205" s="1619"/>
      <c r="T205" s="1619"/>
      <c r="U205" s="1600"/>
      <c r="V205" s="1619"/>
      <c r="W205" s="1619"/>
      <c r="X205" s="1423">
        <f t="shared" si="63"/>
        <v>0</v>
      </c>
      <c r="Y205" s="725"/>
      <c r="AA205" s="725"/>
    </row>
    <row r="206" spans="1:27" ht="23.25">
      <c r="A206" s="2088"/>
      <c r="B206" s="1609" t="s">
        <v>1621</v>
      </c>
      <c r="C206" s="2089"/>
      <c r="D206" s="1602">
        <f>SUM(E206:F206)</f>
        <v>2271.4</v>
      </c>
      <c r="E206" s="1609"/>
      <c r="F206" s="1609">
        <f>3988.8-1717.4</f>
        <v>2271.4</v>
      </c>
      <c r="G206" s="1600">
        <f>SUM(H206:I206)</f>
        <v>2271.4</v>
      </c>
      <c r="H206" s="1616">
        <f>E206</f>
        <v>0</v>
      </c>
      <c r="I206" s="1609">
        <f>3988.8-1717.4</f>
        <v>2271.4</v>
      </c>
      <c r="J206" s="1600">
        <f>SUM(K206:L206)</f>
        <v>1714</v>
      </c>
      <c r="K206" s="1619"/>
      <c r="L206" s="1619">
        <v>1714</v>
      </c>
      <c r="M206" s="1602">
        <f t="shared" si="41"/>
        <v>75.5</v>
      </c>
      <c r="N206" s="1602">
        <f t="shared" si="41"/>
        <v>0</v>
      </c>
      <c r="O206" s="1602">
        <f t="shared" si="41"/>
        <v>75.5</v>
      </c>
      <c r="P206" s="2087"/>
      <c r="Q206" s="2087"/>
      <c r="R206" s="1600">
        <f>S206+T206</f>
        <v>0</v>
      </c>
      <c r="S206" s="1619">
        <v>0</v>
      </c>
      <c r="T206" s="1619">
        <v>0</v>
      </c>
      <c r="U206" s="1600">
        <f>V206+W206</f>
        <v>0</v>
      </c>
      <c r="V206" s="1619">
        <v>0</v>
      </c>
      <c r="W206" s="1619">
        <v>0</v>
      </c>
      <c r="X206" s="1423">
        <f t="shared" si="63"/>
        <v>0</v>
      </c>
      <c r="Y206" s="725"/>
      <c r="Z206" s="712">
        <v>0.1</v>
      </c>
      <c r="AA206" s="725"/>
    </row>
    <row r="207" spans="1:27" ht="38.25" customHeight="1">
      <c r="A207" s="2088">
        <f>A204+1</f>
        <v>78</v>
      </c>
      <c r="B207" s="1919" t="s">
        <v>1702</v>
      </c>
      <c r="C207" s="2089"/>
      <c r="D207" s="1602">
        <f>SUM(E207:F207)</f>
        <v>130451.7</v>
      </c>
      <c r="E207" s="1609">
        <f>E208+E209+E210</f>
        <v>117850.4</v>
      </c>
      <c r="F207" s="1609">
        <f>F208+F209+F210</f>
        <v>12601.3</v>
      </c>
      <c r="G207" s="1600">
        <f>SUM(H207:I207)</f>
        <v>130451.7</v>
      </c>
      <c r="H207" s="1619">
        <f>H208+H209+H210</f>
        <v>117850.4</v>
      </c>
      <c r="I207" s="1619">
        <f>I208+I209+I210</f>
        <v>12601.3</v>
      </c>
      <c r="J207" s="1602">
        <f>SUM(K207:L207)</f>
        <v>63876.9</v>
      </c>
      <c r="K207" s="1619">
        <f>K208+K209+K210</f>
        <v>59584.4</v>
      </c>
      <c r="L207" s="1609">
        <f>L208+L209+L210</f>
        <v>4292.5</v>
      </c>
      <c r="M207" s="1602">
        <f t="shared" si="41"/>
        <v>49</v>
      </c>
      <c r="N207" s="1602">
        <f t="shared" si="41"/>
        <v>50.6</v>
      </c>
      <c r="O207" s="1602">
        <f t="shared" si="41"/>
        <v>34.1</v>
      </c>
      <c r="P207" s="2087"/>
      <c r="Q207" s="2087"/>
      <c r="R207" s="1600"/>
      <c r="S207" s="1619"/>
      <c r="T207" s="1619"/>
      <c r="U207" s="1600"/>
      <c r="V207" s="1619"/>
      <c r="W207" s="1619"/>
      <c r="X207" s="1423">
        <f t="shared" si="63"/>
        <v>0</v>
      </c>
      <c r="Y207" s="725"/>
      <c r="AA207" s="725"/>
    </row>
    <row r="208" spans="1:27" ht="19.5" customHeight="1">
      <c r="A208" s="2088"/>
      <c r="B208" s="1609"/>
      <c r="C208" s="2089"/>
      <c r="D208" s="1602"/>
      <c r="E208" s="1609"/>
      <c r="F208" s="1609"/>
      <c r="G208" s="1600"/>
      <c r="H208" s="1619">
        <f t="shared" ref="H208:I210" si="66">E208</f>
        <v>0</v>
      </c>
      <c r="I208" s="1619">
        <f t="shared" si="66"/>
        <v>0</v>
      </c>
      <c r="J208" s="1600"/>
      <c r="K208" s="1619"/>
      <c r="L208" s="1619"/>
      <c r="M208" s="1619"/>
      <c r="N208" s="1619"/>
      <c r="O208" s="1619"/>
      <c r="P208" s="2087"/>
      <c r="Q208" s="2087"/>
      <c r="R208" s="1600"/>
      <c r="S208" s="1619"/>
      <c r="T208" s="1619"/>
      <c r="U208" s="1600"/>
      <c r="V208" s="1619"/>
      <c r="W208" s="1619"/>
      <c r="X208" s="1423"/>
      <c r="Y208" s="725"/>
      <c r="AA208" s="725"/>
    </row>
    <row r="209" spans="1:27" ht="26.25" customHeight="1">
      <c r="A209" s="2088"/>
      <c r="B209" s="1609" t="s">
        <v>1770</v>
      </c>
      <c r="C209" s="2089"/>
      <c r="D209" s="1602">
        <f t="shared" ref="D209:D244" si="67">SUM(E209:F209)</f>
        <v>125786.6</v>
      </c>
      <c r="E209" s="1609">
        <v>117850.4</v>
      </c>
      <c r="F209" s="1609">
        <v>7936.2</v>
      </c>
      <c r="G209" s="1600">
        <f t="shared" ref="G209:G244" si="68">SUM(H209:I209)</f>
        <v>125786.6</v>
      </c>
      <c r="H209" s="1616">
        <f t="shared" si="66"/>
        <v>117850.4</v>
      </c>
      <c r="I209" s="1616">
        <f t="shared" si="66"/>
        <v>7936.2</v>
      </c>
      <c r="J209" s="1600">
        <f t="shared" ref="J209:J245" si="69">SUM(K209:L209)</f>
        <v>63596.9</v>
      </c>
      <c r="K209" s="1619">
        <f>58637.629+946.775</f>
        <v>59584.4</v>
      </c>
      <c r="L209" s="1619">
        <f>63.798+3948.675</f>
        <v>4012.5</v>
      </c>
      <c r="M209" s="1619">
        <f>IF(J209=0,0,J209/G209*100)</f>
        <v>50.6</v>
      </c>
      <c r="N209" s="1619">
        <f>IF(K209=0,0,K209/H209*100)</f>
        <v>50.6</v>
      </c>
      <c r="O209" s="1619">
        <f>IF(L209=0,0,L209/I209*100)</f>
        <v>50.6</v>
      </c>
      <c r="P209" s="2087"/>
      <c r="Q209" s="2087"/>
      <c r="R209" s="1600"/>
      <c r="S209" s="1619"/>
      <c r="T209" s="1619"/>
      <c r="U209" s="1600"/>
      <c r="V209" s="1619"/>
      <c r="W209" s="1619"/>
      <c r="X209" s="1423">
        <f>D209-G209</f>
        <v>0</v>
      </c>
      <c r="Y209" s="725"/>
      <c r="AA209" s="725"/>
    </row>
    <row r="210" spans="1:27" ht="23.25">
      <c r="A210" s="2088"/>
      <c r="B210" s="1609" t="s">
        <v>1621</v>
      </c>
      <c r="C210" s="2089"/>
      <c r="D210" s="1602">
        <f t="shared" si="67"/>
        <v>4665.1000000000004</v>
      </c>
      <c r="E210" s="1609"/>
      <c r="F210" s="1609">
        <f>4443.3+221.8</f>
        <v>4665.1000000000004</v>
      </c>
      <c r="G210" s="1600">
        <f t="shared" si="68"/>
        <v>4665.1000000000004</v>
      </c>
      <c r="H210" s="1616">
        <f t="shared" si="66"/>
        <v>0</v>
      </c>
      <c r="I210" s="1616">
        <f t="shared" si="66"/>
        <v>4665.1000000000004</v>
      </c>
      <c r="J210" s="1600">
        <f t="shared" si="69"/>
        <v>280</v>
      </c>
      <c r="K210" s="1619"/>
      <c r="L210" s="1619">
        <f>77.8+22.22+180</f>
        <v>280</v>
      </c>
      <c r="M210" s="1602">
        <f t="shared" si="41"/>
        <v>6</v>
      </c>
      <c r="N210" s="1602">
        <f t="shared" si="41"/>
        <v>0</v>
      </c>
      <c r="O210" s="1602">
        <f t="shared" si="41"/>
        <v>6</v>
      </c>
      <c r="P210" s="2087"/>
      <c r="Q210" s="2087"/>
      <c r="R210" s="1600"/>
      <c r="S210" s="1619"/>
      <c r="T210" s="1619"/>
      <c r="U210" s="1600"/>
      <c r="V210" s="1619"/>
      <c r="W210" s="1619"/>
      <c r="X210" s="1423">
        <f>D210-G210</f>
        <v>0</v>
      </c>
      <c r="Y210" s="725"/>
      <c r="AA210" s="725"/>
    </row>
    <row r="211" spans="1:27" ht="40.5" customHeight="1">
      <c r="A211" s="1866">
        <f>A207+1</f>
        <v>79</v>
      </c>
      <c r="B211" s="1905" t="s">
        <v>1590</v>
      </c>
      <c r="C211" s="1906"/>
      <c r="D211" s="1600">
        <f>E211+F211</f>
        <v>20293.2</v>
      </c>
      <c r="E211" s="1619">
        <f>SUM(E212:E213)</f>
        <v>19075.7</v>
      </c>
      <c r="F211" s="1619">
        <f>F212+F213</f>
        <v>1217.5</v>
      </c>
      <c r="G211" s="1600">
        <f t="shared" si="68"/>
        <v>20293.2</v>
      </c>
      <c r="H211" s="1619">
        <f>SUM(H212:H213)</f>
        <v>19075.7</v>
      </c>
      <c r="I211" s="1619">
        <f>I212+I213</f>
        <v>1217.5</v>
      </c>
      <c r="J211" s="1600">
        <f t="shared" si="69"/>
        <v>286.39999999999998</v>
      </c>
      <c r="K211" s="1619">
        <f>SUM(K212:K213)</f>
        <v>269.2</v>
      </c>
      <c r="L211" s="1619">
        <f>SUM(L212:L213)</f>
        <v>17.2</v>
      </c>
      <c r="M211" s="1619">
        <f t="shared" si="41"/>
        <v>1.4</v>
      </c>
      <c r="N211" s="1619">
        <f t="shared" si="41"/>
        <v>1.4</v>
      </c>
      <c r="O211" s="1619">
        <f t="shared" si="41"/>
        <v>1.4</v>
      </c>
      <c r="P211" s="1619">
        <v>0</v>
      </c>
      <c r="Q211" s="1619">
        <v>0</v>
      </c>
      <c r="R211" s="1600">
        <f>S211+T211</f>
        <v>0</v>
      </c>
      <c r="S211" s="1619">
        <v>0</v>
      </c>
      <c r="T211" s="1619">
        <v>0</v>
      </c>
      <c r="U211" s="1600">
        <f>V211+W211</f>
        <v>0</v>
      </c>
      <c r="V211" s="1619">
        <v>0</v>
      </c>
      <c r="W211" s="1619">
        <v>0</v>
      </c>
      <c r="X211" s="1423">
        <f>D211-G211</f>
        <v>0</v>
      </c>
      <c r="Y211" s="725"/>
      <c r="AA211" s="725"/>
    </row>
    <row r="212" spans="1:27" ht="40.5" customHeight="1">
      <c r="A212" s="2088"/>
      <c r="B212" s="1609" t="s">
        <v>1620</v>
      </c>
      <c r="C212" s="2089"/>
      <c r="D212" s="1602">
        <f t="shared" si="67"/>
        <v>9341</v>
      </c>
      <c r="E212" s="1609">
        <v>8780.6</v>
      </c>
      <c r="F212" s="1609">
        <v>560.4</v>
      </c>
      <c r="G212" s="1600">
        <f t="shared" si="68"/>
        <v>9341</v>
      </c>
      <c r="H212" s="1609">
        <v>8780.6</v>
      </c>
      <c r="I212" s="1609">
        <v>560.4</v>
      </c>
      <c r="J212" s="1600">
        <f t="shared" si="69"/>
        <v>64.400000000000006</v>
      </c>
      <c r="K212" s="1619">
        <v>60.5</v>
      </c>
      <c r="L212" s="1619">
        <v>3.9</v>
      </c>
      <c r="M212" s="1619"/>
      <c r="N212" s="1619"/>
      <c r="O212" s="1619"/>
      <c r="P212" s="1619"/>
      <c r="Q212" s="1619"/>
      <c r="R212" s="1600"/>
      <c r="S212" s="1619"/>
      <c r="T212" s="1619"/>
      <c r="U212" s="1600"/>
      <c r="V212" s="1619"/>
      <c r="W212" s="1619"/>
      <c r="X212" s="1423"/>
      <c r="Y212" s="725"/>
      <c r="AA212" s="725"/>
    </row>
    <row r="213" spans="1:27" ht="23.25">
      <c r="A213" s="2088"/>
      <c r="B213" s="1609" t="s">
        <v>1770</v>
      </c>
      <c r="C213" s="2089"/>
      <c r="D213" s="1602">
        <f t="shared" si="67"/>
        <v>10952.2</v>
      </c>
      <c r="E213" s="1609">
        <f>8974.9+1320.2</f>
        <v>10295.1</v>
      </c>
      <c r="F213" s="1609">
        <f>572.8+84.3</f>
        <v>657.1</v>
      </c>
      <c r="G213" s="1600">
        <f t="shared" si="68"/>
        <v>10952.2</v>
      </c>
      <c r="H213" s="1609">
        <f>8974.9+1320.2</f>
        <v>10295.1</v>
      </c>
      <c r="I213" s="1609">
        <f>572.8+84.3</f>
        <v>657.1</v>
      </c>
      <c r="J213" s="1600">
        <f t="shared" si="69"/>
        <v>222</v>
      </c>
      <c r="K213" s="1619">
        <f>208.738</f>
        <v>208.7</v>
      </c>
      <c r="L213" s="1619">
        <v>13.3</v>
      </c>
      <c r="M213" s="1619"/>
      <c r="N213" s="1619"/>
      <c r="O213" s="1619"/>
      <c r="P213" s="1619"/>
      <c r="Q213" s="1619"/>
      <c r="R213" s="1600"/>
      <c r="S213" s="1619"/>
      <c r="T213" s="1619"/>
      <c r="U213" s="1600"/>
      <c r="V213" s="1619"/>
      <c r="W213" s="1619"/>
      <c r="X213" s="1423"/>
      <c r="Y213" s="725"/>
      <c r="AA213" s="725"/>
    </row>
    <row r="214" spans="1:27" ht="58.5" customHeight="1">
      <c r="A214" s="1866">
        <f>A211+1</f>
        <v>80</v>
      </c>
      <c r="B214" s="2073" t="s">
        <v>1655</v>
      </c>
      <c r="C214" s="1866" t="s">
        <v>1544</v>
      </c>
      <c r="D214" s="1600">
        <f t="shared" si="67"/>
        <v>20</v>
      </c>
      <c r="E214" s="1614">
        <f>E215+E216</f>
        <v>18.8</v>
      </c>
      <c r="F214" s="1614">
        <f>F215+F216</f>
        <v>1.2</v>
      </c>
      <c r="G214" s="1600">
        <f t="shared" si="68"/>
        <v>20</v>
      </c>
      <c r="H214" s="1614">
        <f>H215+H216</f>
        <v>18.8</v>
      </c>
      <c r="I214" s="1614">
        <f>I215+I216</f>
        <v>1.2</v>
      </c>
      <c r="J214" s="1600">
        <f t="shared" si="69"/>
        <v>0</v>
      </c>
      <c r="K214" s="1614">
        <f>K215+K216</f>
        <v>0</v>
      </c>
      <c r="L214" s="1614">
        <f>L215+L216</f>
        <v>0</v>
      </c>
      <c r="M214" s="1893">
        <f t="shared" si="41"/>
        <v>0</v>
      </c>
      <c r="N214" s="1894">
        <f t="shared" si="41"/>
        <v>0</v>
      </c>
      <c r="O214" s="1894">
        <f t="shared" si="41"/>
        <v>0</v>
      </c>
      <c r="P214" s="2087"/>
      <c r="Q214" s="2087"/>
      <c r="R214" s="1600">
        <f>S214+T214</f>
        <v>0</v>
      </c>
      <c r="S214" s="1619">
        <v>0</v>
      </c>
      <c r="T214" s="1619">
        <v>0</v>
      </c>
      <c r="U214" s="1600">
        <f>V214+W214</f>
        <v>0</v>
      </c>
      <c r="V214" s="1619">
        <v>0</v>
      </c>
      <c r="W214" s="1619">
        <v>0</v>
      </c>
      <c r="X214" s="1423">
        <f>D214-G214</f>
        <v>0</v>
      </c>
      <c r="Y214" s="725"/>
      <c r="AA214" s="725"/>
    </row>
    <row r="215" spans="1:27" ht="30.75" hidden="1" customHeight="1">
      <c r="A215" s="2088"/>
      <c r="B215" s="1609" t="s">
        <v>1620</v>
      </c>
      <c r="C215" s="2089"/>
      <c r="D215" s="1602">
        <f t="shared" si="67"/>
        <v>0</v>
      </c>
      <c r="E215" s="1609">
        <v>0</v>
      </c>
      <c r="F215" s="1609">
        <v>0</v>
      </c>
      <c r="G215" s="1600">
        <f t="shared" si="68"/>
        <v>0</v>
      </c>
      <c r="H215" s="1616">
        <f>E215</f>
        <v>0</v>
      </c>
      <c r="I215" s="1616">
        <f>F215</f>
        <v>0</v>
      </c>
      <c r="J215" s="1600">
        <f t="shared" si="69"/>
        <v>0</v>
      </c>
      <c r="K215" s="1619"/>
      <c r="L215" s="1619"/>
      <c r="M215" s="1619"/>
      <c r="N215" s="1619"/>
      <c r="O215" s="1619"/>
      <c r="P215" s="1619"/>
      <c r="Q215" s="1619"/>
      <c r="R215" s="1600"/>
      <c r="S215" s="1619"/>
      <c r="T215" s="1619"/>
      <c r="U215" s="1600"/>
      <c r="V215" s="1619"/>
      <c r="W215" s="1619"/>
      <c r="X215" s="1423"/>
      <c r="Y215" s="725"/>
      <c r="AA215" s="725"/>
    </row>
    <row r="216" spans="1:27" ht="26.25" customHeight="1">
      <c r="A216" s="2088"/>
      <c r="B216" s="1609" t="s">
        <v>1770</v>
      </c>
      <c r="C216" s="2089"/>
      <c r="D216" s="1602">
        <f t="shared" si="67"/>
        <v>20</v>
      </c>
      <c r="E216" s="1609">
        <v>18.8</v>
      </c>
      <c r="F216" s="1609">
        <v>1.2</v>
      </c>
      <c r="G216" s="1600">
        <f t="shared" si="68"/>
        <v>20</v>
      </c>
      <c r="H216" s="1616">
        <f>E216</f>
        <v>18.8</v>
      </c>
      <c r="I216" s="1616">
        <f>F216</f>
        <v>1.2</v>
      </c>
      <c r="J216" s="1600">
        <f t="shared" si="69"/>
        <v>0</v>
      </c>
      <c r="K216" s="1619"/>
      <c r="L216" s="1619"/>
      <c r="M216" s="1619"/>
      <c r="N216" s="1619"/>
      <c r="O216" s="1619"/>
      <c r="P216" s="1619"/>
      <c r="Q216" s="1619"/>
      <c r="R216" s="1600"/>
      <c r="S216" s="1619"/>
      <c r="T216" s="1619"/>
      <c r="U216" s="1600"/>
      <c r="V216" s="1619"/>
      <c r="W216" s="1619"/>
      <c r="X216" s="1423"/>
      <c r="Y216" s="725"/>
      <c r="AA216" s="725"/>
    </row>
    <row r="217" spans="1:27" ht="85.5" customHeight="1">
      <c r="A217" s="2088">
        <f>A214+1</f>
        <v>81</v>
      </c>
      <c r="B217" s="1919" t="s">
        <v>1656</v>
      </c>
      <c r="C217" s="2089"/>
      <c r="D217" s="1602">
        <f t="shared" si="67"/>
        <v>33251.9</v>
      </c>
      <c r="E217" s="1609">
        <f>E218+E219</f>
        <v>31256.5</v>
      </c>
      <c r="F217" s="1609">
        <f>F218+F219</f>
        <v>1995.4</v>
      </c>
      <c r="G217" s="1600">
        <f t="shared" si="68"/>
        <v>33251.9</v>
      </c>
      <c r="H217" s="1609">
        <f>H218+H219</f>
        <v>31256.5</v>
      </c>
      <c r="I217" s="1609">
        <f>I218+I219</f>
        <v>1995.4</v>
      </c>
      <c r="J217" s="1602">
        <f t="shared" si="69"/>
        <v>955.5</v>
      </c>
      <c r="K217" s="1609">
        <f>K218+K219</f>
        <v>898.2</v>
      </c>
      <c r="L217" s="1609">
        <f>L218+L219</f>
        <v>57.3</v>
      </c>
      <c r="M217" s="1893">
        <f t="shared" si="41"/>
        <v>2.9</v>
      </c>
      <c r="N217" s="1893">
        <f t="shared" si="41"/>
        <v>2.9</v>
      </c>
      <c r="O217" s="1893">
        <f t="shared" si="41"/>
        <v>2.9</v>
      </c>
      <c r="P217" s="2087"/>
      <c r="Q217" s="2087"/>
      <c r="R217" s="1600">
        <f>S217+T217</f>
        <v>0</v>
      </c>
      <c r="S217" s="1619">
        <v>0</v>
      </c>
      <c r="T217" s="1619">
        <v>0</v>
      </c>
      <c r="U217" s="1600">
        <f>V217+W217</f>
        <v>0</v>
      </c>
      <c r="V217" s="1619">
        <v>0</v>
      </c>
      <c r="W217" s="1619">
        <v>0</v>
      </c>
      <c r="X217" s="1423">
        <f>D217-G217</f>
        <v>0</v>
      </c>
      <c r="Y217" s="725"/>
      <c r="AA217" s="725"/>
    </row>
    <row r="218" spans="1:27" ht="23.25">
      <c r="A218" s="2088"/>
      <c r="B218" s="1609" t="s">
        <v>1620</v>
      </c>
      <c r="C218" s="2089"/>
      <c r="D218" s="1602">
        <f t="shared" si="67"/>
        <v>15410.7</v>
      </c>
      <c r="E218" s="1609">
        <v>14485.9</v>
      </c>
      <c r="F218" s="1609">
        <v>924.8</v>
      </c>
      <c r="G218" s="1600">
        <f t="shared" si="68"/>
        <v>15410.7</v>
      </c>
      <c r="H218" s="1616">
        <f>E218</f>
        <v>14485.9</v>
      </c>
      <c r="I218" s="1616">
        <f>F218</f>
        <v>924.8</v>
      </c>
      <c r="J218" s="1600">
        <f t="shared" si="69"/>
        <v>0</v>
      </c>
      <c r="K218" s="1619">
        <v>0</v>
      </c>
      <c r="L218" s="1619">
        <v>0</v>
      </c>
      <c r="M218" s="1619"/>
      <c r="N218" s="1619"/>
      <c r="O218" s="1619"/>
      <c r="P218" s="1619"/>
      <c r="Q218" s="1619"/>
      <c r="R218" s="1600"/>
      <c r="S218" s="1619"/>
      <c r="T218" s="1619"/>
      <c r="U218" s="1600"/>
      <c r="V218" s="1619"/>
      <c r="W218" s="1619"/>
      <c r="X218" s="1423"/>
      <c r="Y218" s="725"/>
      <c r="AA218" s="725"/>
    </row>
    <row r="219" spans="1:27" ht="23.25">
      <c r="A219" s="2088"/>
      <c r="B219" s="1609" t="s">
        <v>1770</v>
      </c>
      <c r="C219" s="2089"/>
      <c r="D219" s="1602">
        <f t="shared" si="67"/>
        <v>17841.2</v>
      </c>
      <c r="E219" s="1609">
        <f>16053.6+717</f>
        <v>16770.599999999999</v>
      </c>
      <c r="F219" s="1609">
        <f>1024.8+45.8</f>
        <v>1070.5999999999999</v>
      </c>
      <c r="G219" s="1600">
        <f t="shared" si="68"/>
        <v>17841.2</v>
      </c>
      <c r="H219" s="1616">
        <f>E219</f>
        <v>16770.599999999999</v>
      </c>
      <c r="I219" s="1616">
        <f>F219</f>
        <v>1070.5999999999999</v>
      </c>
      <c r="J219" s="1600">
        <f t="shared" si="69"/>
        <v>955.5</v>
      </c>
      <c r="K219" s="1619">
        <f>678.269+219.898</f>
        <v>898.2</v>
      </c>
      <c r="L219" s="1619">
        <f>43.3+14.037</f>
        <v>57.3</v>
      </c>
      <c r="M219" s="1619"/>
      <c r="N219" s="1619"/>
      <c r="O219" s="1619"/>
      <c r="P219" s="1619"/>
      <c r="Q219" s="1619"/>
      <c r="R219" s="1600"/>
      <c r="S219" s="1619"/>
      <c r="T219" s="1619"/>
      <c r="U219" s="1600"/>
      <c r="V219" s="1619"/>
      <c r="W219" s="1619"/>
      <c r="X219" s="1423"/>
      <c r="Y219" s="725"/>
      <c r="AA219" s="725"/>
    </row>
    <row r="220" spans="1:27" ht="68.25" customHeight="1">
      <c r="A220" s="2088">
        <f>A217+1</f>
        <v>82</v>
      </c>
      <c r="B220" s="1919" t="s">
        <v>1583</v>
      </c>
      <c r="C220" s="2089"/>
      <c r="D220" s="1602">
        <f t="shared" si="67"/>
        <v>9677.2999999999993</v>
      </c>
      <c r="E220" s="1609">
        <f>E221+E222</f>
        <v>9096.6</v>
      </c>
      <c r="F220" s="1609">
        <f>F221+F222</f>
        <v>580.70000000000005</v>
      </c>
      <c r="G220" s="1600">
        <f t="shared" si="68"/>
        <v>9677.2999999999993</v>
      </c>
      <c r="H220" s="1609">
        <f>H221+H222</f>
        <v>9096.6</v>
      </c>
      <c r="I220" s="1609">
        <f>I221+I222</f>
        <v>580.70000000000005</v>
      </c>
      <c r="J220" s="1602">
        <f t="shared" si="69"/>
        <v>376.2</v>
      </c>
      <c r="K220" s="1619">
        <f>K221+K222</f>
        <v>353.6</v>
      </c>
      <c r="L220" s="1609">
        <f>L221+L222</f>
        <v>22.6</v>
      </c>
      <c r="M220" s="1893">
        <f t="shared" si="41"/>
        <v>3.9</v>
      </c>
      <c r="N220" s="1893">
        <f t="shared" si="41"/>
        <v>3.9</v>
      </c>
      <c r="O220" s="1893">
        <f t="shared" si="41"/>
        <v>3.9</v>
      </c>
      <c r="P220" s="2087"/>
      <c r="Q220" s="2087"/>
      <c r="R220" s="1600">
        <f>S220+T220</f>
        <v>0</v>
      </c>
      <c r="S220" s="1619">
        <v>0</v>
      </c>
      <c r="T220" s="1619">
        <v>0</v>
      </c>
      <c r="U220" s="1600">
        <f>V220+W220</f>
        <v>0</v>
      </c>
      <c r="V220" s="1619">
        <v>0</v>
      </c>
      <c r="W220" s="1619">
        <v>0</v>
      </c>
      <c r="X220" s="1423">
        <f>D220-G220</f>
        <v>0</v>
      </c>
      <c r="Y220" s="725"/>
      <c r="AA220" s="725"/>
    </row>
    <row r="221" spans="1:27" ht="23.25">
      <c r="A221" s="2088"/>
      <c r="B221" s="1609" t="s">
        <v>1620</v>
      </c>
      <c r="C221" s="2089"/>
      <c r="D221" s="1602">
        <f t="shared" si="67"/>
        <v>4597</v>
      </c>
      <c r="E221" s="1609">
        <v>4321.2</v>
      </c>
      <c r="F221" s="1609">
        <v>275.8</v>
      </c>
      <c r="G221" s="1600">
        <f t="shared" si="68"/>
        <v>4597</v>
      </c>
      <c r="H221" s="1616">
        <f t="shared" ref="H221:I226" si="70">E221</f>
        <v>4321.2</v>
      </c>
      <c r="I221" s="1616">
        <f t="shared" si="70"/>
        <v>275.8</v>
      </c>
      <c r="J221" s="1600">
        <f t="shared" si="69"/>
        <v>0</v>
      </c>
      <c r="K221" s="1619">
        <v>0</v>
      </c>
      <c r="L221" s="1619">
        <v>0</v>
      </c>
      <c r="M221" s="1619"/>
      <c r="N221" s="1619"/>
      <c r="O221" s="1619"/>
      <c r="P221" s="1619"/>
      <c r="Q221" s="1619"/>
      <c r="R221" s="1600"/>
      <c r="S221" s="1619"/>
      <c r="T221" s="1619"/>
      <c r="U221" s="1600"/>
      <c r="V221" s="1619"/>
      <c r="W221" s="1619"/>
      <c r="X221" s="1423"/>
      <c r="Y221" s="725"/>
      <c r="AA221" s="725"/>
    </row>
    <row r="222" spans="1:27" ht="23.25">
      <c r="A222" s="2088"/>
      <c r="B222" s="1609" t="s">
        <v>1770</v>
      </c>
      <c r="C222" s="2089"/>
      <c r="D222" s="1602">
        <f t="shared" si="67"/>
        <v>5080.3</v>
      </c>
      <c r="E222" s="1609">
        <f>3503+1272.4</f>
        <v>4775.3999999999996</v>
      </c>
      <c r="F222" s="1609">
        <f>223.6+81.3</f>
        <v>304.89999999999998</v>
      </c>
      <c r="G222" s="1600">
        <f t="shared" si="68"/>
        <v>5080.3</v>
      </c>
      <c r="H222" s="1616">
        <f t="shared" si="70"/>
        <v>4775.3999999999996</v>
      </c>
      <c r="I222" s="1616">
        <f t="shared" si="70"/>
        <v>304.89999999999998</v>
      </c>
      <c r="J222" s="1600">
        <f t="shared" si="69"/>
        <v>376.2</v>
      </c>
      <c r="K222" s="1619">
        <v>353.6</v>
      </c>
      <c r="L222" s="1619">
        <v>22.6</v>
      </c>
      <c r="M222" s="1619"/>
      <c r="N222" s="1619"/>
      <c r="O222" s="1619"/>
      <c r="P222" s="1619"/>
      <c r="Q222" s="1619"/>
      <c r="R222" s="1600"/>
      <c r="S222" s="1619"/>
      <c r="T222" s="1619"/>
      <c r="U222" s="1600"/>
      <c r="V222" s="1619"/>
      <c r="W222" s="1619"/>
      <c r="X222" s="1423"/>
      <c r="Y222" s="725"/>
      <c r="AA222" s="725"/>
    </row>
    <row r="223" spans="1:27" ht="66.75" customHeight="1">
      <c r="A223" s="2088">
        <f>A220+1</f>
        <v>83</v>
      </c>
      <c r="B223" s="1919" t="s">
        <v>1585</v>
      </c>
      <c r="C223" s="2089"/>
      <c r="D223" s="1602">
        <f t="shared" si="67"/>
        <v>16334.2</v>
      </c>
      <c r="E223" s="1609">
        <f>E224+E225+E226</f>
        <v>15354.2</v>
      </c>
      <c r="F223" s="1609">
        <f>F224+F225+F226</f>
        <v>980</v>
      </c>
      <c r="G223" s="1600">
        <f t="shared" si="68"/>
        <v>16334.2</v>
      </c>
      <c r="H223" s="1609">
        <f>H224+H225+H226</f>
        <v>15354.2</v>
      </c>
      <c r="I223" s="1609">
        <f>I224+I225+I226</f>
        <v>980</v>
      </c>
      <c r="J223" s="1609">
        <f>J224+J225+J226</f>
        <v>4161.8999999999996</v>
      </c>
      <c r="K223" s="1609">
        <f>K224+K225+K226</f>
        <v>3912.1</v>
      </c>
      <c r="L223" s="1609">
        <f>L224+L225+L226</f>
        <v>249.8</v>
      </c>
      <c r="M223" s="1893">
        <f t="shared" si="41"/>
        <v>25.5</v>
      </c>
      <c r="N223" s="1893">
        <f t="shared" si="41"/>
        <v>25.5</v>
      </c>
      <c r="O223" s="1893">
        <f t="shared" si="41"/>
        <v>25.5</v>
      </c>
      <c r="P223" s="2087"/>
      <c r="Q223" s="2087"/>
      <c r="R223" s="1600">
        <f>S223+T223</f>
        <v>0</v>
      </c>
      <c r="S223" s="1619">
        <v>0</v>
      </c>
      <c r="T223" s="1619">
        <v>0</v>
      </c>
      <c r="U223" s="1600">
        <f>V223+W223</f>
        <v>0</v>
      </c>
      <c r="V223" s="1619">
        <v>0</v>
      </c>
      <c r="W223" s="1619">
        <v>0</v>
      </c>
      <c r="X223" s="1423">
        <f>D223-G223</f>
        <v>0</v>
      </c>
      <c r="Y223" s="725"/>
      <c r="AA223" s="725"/>
    </row>
    <row r="224" spans="1:27" ht="23.25">
      <c r="A224" s="2088"/>
      <c r="B224" s="1609" t="s">
        <v>1620</v>
      </c>
      <c r="C224" s="2089"/>
      <c r="D224" s="1602">
        <f t="shared" si="67"/>
        <v>3935.3</v>
      </c>
      <c r="E224" s="1609">
        <v>3699.2</v>
      </c>
      <c r="F224" s="1609">
        <v>236.1</v>
      </c>
      <c r="G224" s="1600">
        <f t="shared" si="68"/>
        <v>3935.3</v>
      </c>
      <c r="H224" s="1616">
        <f t="shared" si="70"/>
        <v>3699.2</v>
      </c>
      <c r="I224" s="1616">
        <f t="shared" si="70"/>
        <v>236.1</v>
      </c>
      <c r="J224" s="1600">
        <f t="shared" si="69"/>
        <v>0</v>
      </c>
      <c r="K224" s="1619">
        <v>0</v>
      </c>
      <c r="L224" s="1619">
        <v>0</v>
      </c>
      <c r="M224" s="1619"/>
      <c r="N224" s="1619"/>
      <c r="O224" s="1619"/>
      <c r="P224" s="1619"/>
      <c r="Q224" s="1619"/>
      <c r="R224" s="1600"/>
      <c r="S224" s="1619"/>
      <c r="T224" s="1619"/>
      <c r="U224" s="1600"/>
      <c r="V224" s="1619"/>
      <c r="W224" s="1619"/>
      <c r="X224" s="1423"/>
      <c r="Y224" s="725"/>
      <c r="AA224" s="725"/>
    </row>
    <row r="225" spans="1:27" ht="23.25">
      <c r="A225" s="2088"/>
      <c r="B225" s="1609" t="s">
        <v>1798</v>
      </c>
      <c r="C225" s="2089"/>
      <c r="D225" s="1602">
        <f>SUM(E225:F225)</f>
        <v>11307.5</v>
      </c>
      <c r="E225" s="1609">
        <v>10629.1</v>
      </c>
      <c r="F225" s="1609">
        <v>678.4</v>
      </c>
      <c r="G225" s="1600">
        <f>SUM(H225:I225)</f>
        <v>11307.5</v>
      </c>
      <c r="H225" s="1616">
        <f>E225</f>
        <v>10629.1</v>
      </c>
      <c r="I225" s="1616">
        <f>F225</f>
        <v>678.4</v>
      </c>
      <c r="J225" s="1600">
        <f>SUM(K225:L225)</f>
        <v>3222.5</v>
      </c>
      <c r="K225" s="1619">
        <v>3029.1</v>
      </c>
      <c r="L225" s="1619">
        <v>193.4</v>
      </c>
      <c r="M225" s="1619"/>
      <c r="N225" s="1619"/>
      <c r="O225" s="1619"/>
      <c r="P225" s="1619"/>
      <c r="Q225" s="1619"/>
      <c r="R225" s="1600"/>
      <c r="S225" s="1619"/>
      <c r="T225" s="1619"/>
      <c r="U225" s="1600"/>
      <c r="V225" s="1619"/>
      <c r="W225" s="1619"/>
      <c r="X225" s="1423"/>
      <c r="Y225" s="725"/>
      <c r="AA225" s="725"/>
    </row>
    <row r="226" spans="1:27" ht="23.25">
      <c r="A226" s="2088"/>
      <c r="B226" s="1609" t="s">
        <v>1770</v>
      </c>
      <c r="C226" s="2089"/>
      <c r="D226" s="1602">
        <f t="shared" si="67"/>
        <v>1091.4000000000001</v>
      </c>
      <c r="E226" s="1609">
        <v>1025.9000000000001</v>
      </c>
      <c r="F226" s="1609">
        <v>65.5</v>
      </c>
      <c r="G226" s="1600">
        <f t="shared" si="68"/>
        <v>1091.4000000000001</v>
      </c>
      <c r="H226" s="1616">
        <f t="shared" si="70"/>
        <v>1025.9000000000001</v>
      </c>
      <c r="I226" s="1616">
        <f t="shared" si="70"/>
        <v>65.5</v>
      </c>
      <c r="J226" s="1600">
        <f t="shared" si="69"/>
        <v>939.4</v>
      </c>
      <c r="K226" s="1619">
        <v>883</v>
      </c>
      <c r="L226" s="1619">
        <v>56.4</v>
      </c>
      <c r="M226" s="1619"/>
      <c r="N226" s="1619"/>
      <c r="O226" s="1619"/>
      <c r="P226" s="1619"/>
      <c r="Q226" s="1619"/>
      <c r="R226" s="1600"/>
      <c r="S226" s="1619"/>
      <c r="T226" s="1619"/>
      <c r="U226" s="1600"/>
      <c r="V226" s="1619"/>
      <c r="W226" s="1619"/>
      <c r="X226" s="1423"/>
      <c r="Y226" s="725"/>
      <c r="AA226" s="725"/>
    </row>
    <row r="227" spans="1:27" ht="57.75" customHeight="1">
      <c r="A227" s="2088">
        <f>A223+1</f>
        <v>84</v>
      </c>
      <c r="B227" s="1919" t="s">
        <v>1586</v>
      </c>
      <c r="C227" s="2089"/>
      <c r="D227" s="1602">
        <f t="shared" si="67"/>
        <v>4789.7</v>
      </c>
      <c r="E227" s="1609">
        <f>E228+E229+E230</f>
        <v>4502.3</v>
      </c>
      <c r="F227" s="1609">
        <f>F228+F229+F230</f>
        <v>287.39999999999998</v>
      </c>
      <c r="G227" s="1600">
        <f t="shared" si="68"/>
        <v>4789.7</v>
      </c>
      <c r="H227" s="1609">
        <f>H228+H229+H230</f>
        <v>4502.3</v>
      </c>
      <c r="I227" s="1609">
        <f>I228+I229+I230</f>
        <v>287.39999999999998</v>
      </c>
      <c r="J227" s="1602">
        <f t="shared" si="69"/>
        <v>34.700000000000003</v>
      </c>
      <c r="K227" s="1609">
        <f>K228+K229+K230</f>
        <v>32.6</v>
      </c>
      <c r="L227" s="1609">
        <f>L228+L229+L230</f>
        <v>2.1</v>
      </c>
      <c r="M227" s="1893">
        <f t="shared" si="41"/>
        <v>0.7</v>
      </c>
      <c r="N227" s="1893">
        <f t="shared" si="41"/>
        <v>0.7</v>
      </c>
      <c r="O227" s="1893">
        <f t="shared" si="41"/>
        <v>0.7</v>
      </c>
      <c r="P227" s="2087"/>
      <c r="Q227" s="2087"/>
      <c r="R227" s="1600">
        <f>S227+T227</f>
        <v>0</v>
      </c>
      <c r="S227" s="1619">
        <v>0</v>
      </c>
      <c r="T227" s="1619">
        <v>0</v>
      </c>
      <c r="U227" s="1600">
        <f>V227+W227</f>
        <v>0</v>
      </c>
      <c r="V227" s="1619">
        <v>0</v>
      </c>
      <c r="W227" s="1619">
        <v>0</v>
      </c>
      <c r="X227" s="1423">
        <f>D227-G227</f>
        <v>0</v>
      </c>
      <c r="Y227" s="725"/>
      <c r="AA227" s="725"/>
    </row>
    <row r="228" spans="1:27" ht="23.25">
      <c r="A228" s="2088"/>
      <c r="B228" s="1609" t="s">
        <v>1620</v>
      </c>
      <c r="C228" s="2089"/>
      <c r="D228" s="1602">
        <f t="shared" si="67"/>
        <v>1226.9000000000001</v>
      </c>
      <c r="E228" s="1609">
        <v>1153.3</v>
      </c>
      <c r="F228" s="1609">
        <v>73.599999999999994</v>
      </c>
      <c r="G228" s="1600">
        <f t="shared" si="68"/>
        <v>1226.9000000000001</v>
      </c>
      <c r="H228" s="1616">
        <f t="shared" ref="H228:I230" si="71">E228</f>
        <v>1153.3</v>
      </c>
      <c r="I228" s="1616">
        <f t="shared" si="71"/>
        <v>73.599999999999994</v>
      </c>
      <c r="J228" s="1600">
        <f t="shared" si="69"/>
        <v>0</v>
      </c>
      <c r="K228" s="1619">
        <v>0</v>
      </c>
      <c r="L228" s="1619">
        <v>0</v>
      </c>
      <c r="M228" s="1619"/>
      <c r="N228" s="1619"/>
      <c r="O228" s="1619"/>
      <c r="P228" s="1619"/>
      <c r="Q228" s="1619"/>
      <c r="R228" s="1600"/>
      <c r="S228" s="1619"/>
      <c r="T228" s="1619"/>
      <c r="U228" s="1600"/>
      <c r="V228" s="1619"/>
      <c r="W228" s="1619"/>
      <c r="X228" s="1423"/>
      <c r="Y228" s="725"/>
      <c r="AA228" s="725"/>
    </row>
    <row r="229" spans="1:27" ht="23.25">
      <c r="A229" s="2088"/>
      <c r="B229" s="1609" t="s">
        <v>1798</v>
      </c>
      <c r="C229" s="2089"/>
      <c r="D229" s="1602">
        <f>SUM(E229:F229)</f>
        <v>3542.8</v>
      </c>
      <c r="E229" s="1609">
        <v>3330.2</v>
      </c>
      <c r="F229" s="1609">
        <v>212.6</v>
      </c>
      <c r="G229" s="1600">
        <f>SUM(H229:I229)</f>
        <v>3542.8</v>
      </c>
      <c r="H229" s="1616">
        <f t="shared" si="71"/>
        <v>3330.2</v>
      </c>
      <c r="I229" s="1616">
        <f t="shared" si="71"/>
        <v>212.6</v>
      </c>
      <c r="J229" s="1600">
        <f>SUM(K229:L229)</f>
        <v>34.700000000000003</v>
      </c>
      <c r="K229" s="1619">
        <v>32.6</v>
      </c>
      <c r="L229" s="1619">
        <v>2.1</v>
      </c>
      <c r="M229" s="1619"/>
      <c r="N229" s="1619"/>
      <c r="O229" s="1619"/>
      <c r="P229" s="1619"/>
      <c r="Q229" s="1619"/>
      <c r="R229" s="1600"/>
      <c r="S229" s="1619"/>
      <c r="T229" s="1619"/>
      <c r="U229" s="1600"/>
      <c r="V229" s="1619"/>
      <c r="W229" s="1619"/>
      <c r="X229" s="1423"/>
      <c r="Y229" s="725"/>
      <c r="AA229" s="725"/>
    </row>
    <row r="230" spans="1:27" ht="23.25">
      <c r="A230" s="2088"/>
      <c r="B230" s="1609" t="s">
        <v>1770</v>
      </c>
      <c r="C230" s="2089"/>
      <c r="D230" s="1602">
        <f t="shared" si="67"/>
        <v>20</v>
      </c>
      <c r="E230" s="1609">
        <v>18.8</v>
      </c>
      <c r="F230" s="1609">
        <v>1.2</v>
      </c>
      <c r="G230" s="1600">
        <f t="shared" si="68"/>
        <v>20</v>
      </c>
      <c r="H230" s="1616">
        <f t="shared" si="71"/>
        <v>18.8</v>
      </c>
      <c r="I230" s="1616">
        <f t="shared" si="71"/>
        <v>1.2</v>
      </c>
      <c r="J230" s="1600">
        <f t="shared" si="69"/>
        <v>0</v>
      </c>
      <c r="K230" s="1619"/>
      <c r="L230" s="1619"/>
      <c r="M230" s="1619"/>
      <c r="N230" s="1619"/>
      <c r="O230" s="1619"/>
      <c r="P230" s="1619"/>
      <c r="Q230" s="1619"/>
      <c r="R230" s="1600"/>
      <c r="S230" s="1619"/>
      <c r="T230" s="1619"/>
      <c r="U230" s="1600"/>
      <c r="V230" s="1619"/>
      <c r="W230" s="1619"/>
      <c r="X230" s="1423"/>
      <c r="Y230" s="725"/>
      <c r="AA230" s="725"/>
    </row>
    <row r="231" spans="1:27" ht="81" customHeight="1">
      <c r="A231" s="2088">
        <f>A227+1</f>
        <v>85</v>
      </c>
      <c r="B231" s="1912" t="s">
        <v>1662</v>
      </c>
      <c r="C231" s="1880"/>
      <c r="D231" s="1602">
        <f t="shared" si="67"/>
        <v>21566.9</v>
      </c>
      <c r="E231" s="1616">
        <f>E232+E233</f>
        <v>20272.7</v>
      </c>
      <c r="F231" s="1616">
        <f>F232+F233</f>
        <v>1294.2</v>
      </c>
      <c r="G231" s="1602">
        <f t="shared" si="68"/>
        <v>21566.9</v>
      </c>
      <c r="H231" s="1616">
        <f>H232+H233</f>
        <v>20272.7</v>
      </c>
      <c r="I231" s="1616">
        <f>I232+I233</f>
        <v>1294.2</v>
      </c>
      <c r="J231" s="1602">
        <f t="shared" si="69"/>
        <v>5375.4</v>
      </c>
      <c r="K231" s="1616">
        <f>K232+K233</f>
        <v>5052.7</v>
      </c>
      <c r="L231" s="1616">
        <f>L232+L233</f>
        <v>322.7</v>
      </c>
      <c r="M231" s="1893">
        <f t="shared" si="41"/>
        <v>24.9</v>
      </c>
      <c r="N231" s="1894">
        <f t="shared" si="41"/>
        <v>24.9</v>
      </c>
      <c r="O231" s="1894">
        <f t="shared" si="41"/>
        <v>24.9</v>
      </c>
      <c r="P231" s="2087"/>
      <c r="Q231" s="2087"/>
      <c r="R231" s="1600">
        <f>S231+T231</f>
        <v>0</v>
      </c>
      <c r="S231" s="1619">
        <v>0</v>
      </c>
      <c r="T231" s="1619">
        <v>0</v>
      </c>
      <c r="U231" s="1600">
        <f>V231+W231</f>
        <v>0</v>
      </c>
      <c r="V231" s="1619">
        <v>0</v>
      </c>
      <c r="W231" s="1619">
        <v>0</v>
      </c>
      <c r="X231" s="1423">
        <f>D231-G231</f>
        <v>0</v>
      </c>
      <c r="Y231" s="725"/>
      <c r="AA231" s="725"/>
    </row>
    <row r="232" spans="1:27" ht="23.25">
      <c r="A232" s="2088"/>
      <c r="B232" s="1609" t="s">
        <v>1620</v>
      </c>
      <c r="C232" s="2089"/>
      <c r="D232" s="1602">
        <f t="shared" si="67"/>
        <v>14615.1</v>
      </c>
      <c r="E232" s="1609">
        <v>13738.1</v>
      </c>
      <c r="F232" s="1609">
        <v>877</v>
      </c>
      <c r="G232" s="1600">
        <f t="shared" si="68"/>
        <v>14615.1</v>
      </c>
      <c r="H232" s="1616">
        <f>E232</f>
        <v>13738.1</v>
      </c>
      <c r="I232" s="1616">
        <f>F232</f>
        <v>877</v>
      </c>
      <c r="J232" s="1600">
        <f t="shared" si="69"/>
        <v>878.3</v>
      </c>
      <c r="K232" s="1619">
        <v>825.5</v>
      </c>
      <c r="L232" s="1619">
        <v>52.8</v>
      </c>
      <c r="M232" s="1619"/>
      <c r="N232" s="1619"/>
      <c r="O232" s="1619"/>
      <c r="P232" s="1619"/>
      <c r="Q232" s="1619"/>
      <c r="R232" s="1600"/>
      <c r="S232" s="1619"/>
      <c r="T232" s="1619"/>
      <c r="U232" s="1600"/>
      <c r="V232" s="1619"/>
      <c r="W232" s="1619"/>
      <c r="X232" s="1423"/>
      <c r="Y232" s="725"/>
      <c r="AA232" s="725"/>
    </row>
    <row r="233" spans="1:27" ht="23.25">
      <c r="A233" s="2088"/>
      <c r="B233" s="1609" t="s">
        <v>1770</v>
      </c>
      <c r="C233" s="2089"/>
      <c r="D233" s="1602">
        <f t="shared" si="67"/>
        <v>6951.8</v>
      </c>
      <c r="E233" s="1609">
        <f>5138.2+1396.4</f>
        <v>6534.6</v>
      </c>
      <c r="F233" s="1609">
        <f>328+89.2</f>
        <v>417.2</v>
      </c>
      <c r="G233" s="1600">
        <f t="shared" si="68"/>
        <v>6951.8</v>
      </c>
      <c r="H233" s="1616">
        <f>E233</f>
        <v>6534.6</v>
      </c>
      <c r="I233" s="1616">
        <f>F233</f>
        <v>417.2</v>
      </c>
      <c r="J233" s="1600">
        <f t="shared" si="69"/>
        <v>4497.1000000000004</v>
      </c>
      <c r="K233" s="1619">
        <f>1090.159+3137.08</f>
        <v>4227.2</v>
      </c>
      <c r="L233" s="1619">
        <f>69.637+200.257</f>
        <v>269.89999999999998</v>
      </c>
      <c r="M233" s="1619"/>
      <c r="N233" s="1619"/>
      <c r="O233" s="1619"/>
      <c r="P233" s="1619"/>
      <c r="Q233" s="1619"/>
      <c r="R233" s="1600"/>
      <c r="S233" s="1619"/>
      <c r="T233" s="1619"/>
      <c r="U233" s="1600"/>
      <c r="V233" s="1619"/>
      <c r="W233" s="1619"/>
      <c r="X233" s="1423"/>
      <c r="Y233" s="725"/>
      <c r="AA233" s="725"/>
    </row>
    <row r="234" spans="1:27" s="484" customFormat="1" ht="65.25" customHeight="1">
      <c r="A234" s="2088">
        <f>A231+1</f>
        <v>86</v>
      </c>
      <c r="B234" s="1920" t="s">
        <v>1437</v>
      </c>
      <c r="C234" s="1880" t="s">
        <v>1544</v>
      </c>
      <c r="D234" s="1602">
        <f t="shared" si="67"/>
        <v>114857</v>
      </c>
      <c r="E234" s="1616">
        <f>SUM(E235:E237)</f>
        <v>96866.8</v>
      </c>
      <c r="F234" s="1616">
        <f>SUM(F235:F237)</f>
        <v>17990.2</v>
      </c>
      <c r="G234" s="1600">
        <f t="shared" si="68"/>
        <v>114857</v>
      </c>
      <c r="H234" s="1616">
        <f>SUM(H235:H237)</f>
        <v>96866.8</v>
      </c>
      <c r="I234" s="1616">
        <f>SUM(I235:I237)</f>
        <v>17990.2</v>
      </c>
      <c r="J234" s="1602">
        <f t="shared" si="69"/>
        <v>96623.9</v>
      </c>
      <c r="K234" s="1616">
        <f>SUM(K235:K237)</f>
        <v>79728.600000000006</v>
      </c>
      <c r="L234" s="1616">
        <f>SUM(L235:L237)</f>
        <v>16895.3</v>
      </c>
      <c r="M234" s="1893">
        <f t="shared" si="41"/>
        <v>84.1</v>
      </c>
      <c r="N234" s="1894">
        <f t="shared" si="41"/>
        <v>82.3</v>
      </c>
      <c r="O234" s="1894">
        <f t="shared" si="41"/>
        <v>93.9</v>
      </c>
      <c r="P234" s="2087" t="s">
        <v>1293</v>
      </c>
      <c r="Q234" s="2087" t="s">
        <v>1101</v>
      </c>
      <c r="R234" s="1600">
        <f>S234+T234</f>
        <v>0</v>
      </c>
      <c r="S234" s="1608">
        <v>0</v>
      </c>
      <c r="T234" s="1608">
        <v>0</v>
      </c>
      <c r="U234" s="1600">
        <f>V234+W234</f>
        <v>0</v>
      </c>
      <c r="V234" s="1608">
        <v>0</v>
      </c>
      <c r="W234" s="1608">
        <v>0</v>
      </c>
      <c r="X234" s="1423">
        <f>D234-G234</f>
        <v>0</v>
      </c>
      <c r="Y234" s="725"/>
      <c r="AA234" s="725"/>
    </row>
    <row r="235" spans="1:27" s="484" customFormat="1" ht="23.25">
      <c r="A235" s="2088"/>
      <c r="B235" s="1609" t="s">
        <v>1620</v>
      </c>
      <c r="C235" s="1880"/>
      <c r="D235" s="1602">
        <f t="shared" si="67"/>
        <v>74115.8</v>
      </c>
      <c r="E235" s="1616">
        <v>69668.800000000003</v>
      </c>
      <c r="F235" s="1616">
        <f>4447</f>
        <v>4447</v>
      </c>
      <c r="G235" s="1600">
        <f t="shared" si="68"/>
        <v>74115.8</v>
      </c>
      <c r="H235" s="1616">
        <f t="shared" ref="H235:I241" si="72">E235</f>
        <v>69668.800000000003</v>
      </c>
      <c r="I235" s="1616">
        <f t="shared" si="72"/>
        <v>4447</v>
      </c>
      <c r="J235" s="1600">
        <f t="shared" si="69"/>
        <v>71952.399999999994</v>
      </c>
      <c r="K235" s="1608">
        <v>67635.199999999997</v>
      </c>
      <c r="L235" s="1608">
        <v>4317.2</v>
      </c>
      <c r="M235" s="1921">
        <f t="shared" ref="M235:O325" si="73">IF(J235=0,0,J235/G235*100)</f>
        <v>97.1</v>
      </c>
      <c r="N235" s="1922">
        <f t="shared" si="73"/>
        <v>97.1</v>
      </c>
      <c r="O235" s="1922">
        <f t="shared" si="73"/>
        <v>97.1</v>
      </c>
      <c r="P235" s="2087"/>
      <c r="Q235" s="2087"/>
      <c r="R235" s="1600">
        <f t="shared" ref="R235:R245" si="74">S235+T235</f>
        <v>0</v>
      </c>
      <c r="S235" s="1608">
        <v>0</v>
      </c>
      <c r="T235" s="1608">
        <v>0</v>
      </c>
      <c r="U235" s="1600">
        <f>V235+W235</f>
        <v>0</v>
      </c>
      <c r="V235" s="1608">
        <v>0</v>
      </c>
      <c r="W235" s="1608">
        <v>0</v>
      </c>
      <c r="X235" s="1423">
        <f>D235-G235</f>
        <v>0</v>
      </c>
      <c r="Y235" s="725"/>
      <c r="AA235" s="725"/>
    </row>
    <row r="236" spans="1:27" s="484" customFormat="1" ht="23.25">
      <c r="A236" s="2088"/>
      <c r="B236" s="1609" t="s">
        <v>1798</v>
      </c>
      <c r="C236" s="1880"/>
      <c r="D236" s="1602">
        <f>SUM(E236:F236)</f>
        <v>28934.400000000001</v>
      </c>
      <c r="E236" s="1616">
        <v>27198</v>
      </c>
      <c r="F236" s="1616">
        <v>1736.4</v>
      </c>
      <c r="G236" s="1600">
        <f>SUM(H236:I236)</f>
        <v>28934.400000000001</v>
      </c>
      <c r="H236" s="1616">
        <f>E236</f>
        <v>27198</v>
      </c>
      <c r="I236" s="1616">
        <f>F236</f>
        <v>1736.4</v>
      </c>
      <c r="J236" s="1600">
        <f>SUM(K236:L236)</f>
        <v>12865.5</v>
      </c>
      <c r="K236" s="1608">
        <v>12093.4</v>
      </c>
      <c r="L236" s="1608">
        <v>772.1</v>
      </c>
      <c r="M236" s="1921">
        <f>IF(J236=0,0,J236/G236*100)</f>
        <v>44.5</v>
      </c>
      <c r="N236" s="1922">
        <f>IF(K236=0,0,K236/H236*100)</f>
        <v>44.5</v>
      </c>
      <c r="O236" s="1922">
        <f>IF(L236=0,0,L236/I236*100)</f>
        <v>44.5</v>
      </c>
      <c r="P236" s="2087"/>
      <c r="Q236" s="2087"/>
      <c r="R236" s="1600"/>
      <c r="S236" s="1608"/>
      <c r="T236" s="1608"/>
      <c r="U236" s="1600"/>
      <c r="V236" s="1608"/>
      <c r="W236" s="1608"/>
      <c r="X236" s="1423"/>
      <c r="Y236" s="725"/>
      <c r="AA236" s="725"/>
    </row>
    <row r="237" spans="1:27" s="484" customFormat="1" ht="23.25">
      <c r="A237" s="2088"/>
      <c r="B237" s="1609" t="s">
        <v>1621</v>
      </c>
      <c r="C237" s="1880"/>
      <c r="D237" s="1602">
        <f t="shared" si="67"/>
        <v>11806.8</v>
      </c>
      <c r="E237" s="1616"/>
      <c r="F237" s="1616">
        <v>11806.8</v>
      </c>
      <c r="G237" s="1600">
        <f t="shared" si="68"/>
        <v>11806.8</v>
      </c>
      <c r="H237" s="1616">
        <f t="shared" si="72"/>
        <v>0</v>
      </c>
      <c r="I237" s="1616">
        <v>11806.8</v>
      </c>
      <c r="J237" s="1600">
        <f t="shared" si="69"/>
        <v>11806</v>
      </c>
      <c r="K237" s="1608"/>
      <c r="L237" s="1608">
        <f>9181.4+2624.596</f>
        <v>11806</v>
      </c>
      <c r="M237" s="1921">
        <f t="shared" si="73"/>
        <v>100</v>
      </c>
      <c r="N237" s="1922">
        <f t="shared" si="73"/>
        <v>0</v>
      </c>
      <c r="O237" s="1922">
        <f t="shared" si="73"/>
        <v>100</v>
      </c>
      <c r="P237" s="2087"/>
      <c r="Q237" s="2087"/>
      <c r="R237" s="1600">
        <f t="shared" si="74"/>
        <v>0</v>
      </c>
      <c r="S237" s="1608">
        <v>0</v>
      </c>
      <c r="T237" s="1608">
        <v>0</v>
      </c>
      <c r="U237" s="1600">
        <f>V237+W237</f>
        <v>0</v>
      </c>
      <c r="V237" s="1608">
        <v>0</v>
      </c>
      <c r="W237" s="1608">
        <v>0</v>
      </c>
      <c r="X237" s="1423">
        <f>D237-G237</f>
        <v>0</v>
      </c>
      <c r="Y237" s="725"/>
      <c r="AA237" s="725"/>
    </row>
    <row r="238" spans="1:27" ht="63" customHeight="1">
      <c r="A238" s="2088">
        <f>A234+1</f>
        <v>87</v>
      </c>
      <c r="B238" s="1912" t="s">
        <v>1441</v>
      </c>
      <c r="C238" s="1880" t="s">
        <v>1544</v>
      </c>
      <c r="D238" s="1602">
        <f t="shared" si="67"/>
        <v>79786.100000000006</v>
      </c>
      <c r="E238" s="1616">
        <f>E239+E240+E241</f>
        <v>74998.3</v>
      </c>
      <c r="F238" s="1616">
        <f>F239+F240+F241</f>
        <v>4787.8</v>
      </c>
      <c r="G238" s="1600">
        <f t="shared" si="68"/>
        <v>79786.100000000006</v>
      </c>
      <c r="H238" s="1616">
        <f>H239+H240+H241</f>
        <v>74998.3</v>
      </c>
      <c r="I238" s="1616">
        <f>I239+I240+I241</f>
        <v>4787.8</v>
      </c>
      <c r="J238" s="1602">
        <f t="shared" si="69"/>
        <v>22</v>
      </c>
      <c r="K238" s="1616">
        <f>K239+K240+K241</f>
        <v>18.8</v>
      </c>
      <c r="L238" s="1616">
        <f>L239+L240+L241</f>
        <v>3.2</v>
      </c>
      <c r="M238" s="1893">
        <f t="shared" si="73"/>
        <v>0</v>
      </c>
      <c r="N238" s="1894">
        <f t="shared" si="73"/>
        <v>0</v>
      </c>
      <c r="O238" s="1894">
        <f t="shared" si="73"/>
        <v>0.1</v>
      </c>
      <c r="P238" s="2087" t="s">
        <v>1192</v>
      </c>
      <c r="Q238" s="2087" t="s">
        <v>1663</v>
      </c>
      <c r="R238" s="1600">
        <f t="shared" si="74"/>
        <v>0</v>
      </c>
      <c r="S238" s="1614">
        <v>0</v>
      </c>
      <c r="T238" s="1614">
        <v>0</v>
      </c>
      <c r="U238" s="1600">
        <f>V238+W238</f>
        <v>0</v>
      </c>
      <c r="V238" s="1614">
        <v>0</v>
      </c>
      <c r="W238" s="1614">
        <v>0</v>
      </c>
      <c r="X238" s="1423">
        <f>D238-G238</f>
        <v>0</v>
      </c>
      <c r="Y238" s="725"/>
      <c r="AA238" s="725"/>
    </row>
    <row r="239" spans="1:27" ht="23.25">
      <c r="A239" s="2088"/>
      <c r="B239" s="1609" t="s">
        <v>1620</v>
      </c>
      <c r="C239" s="2089"/>
      <c r="D239" s="1602">
        <f t="shared" si="67"/>
        <v>18682.400000000001</v>
      </c>
      <c r="E239" s="1609">
        <v>17561.3</v>
      </c>
      <c r="F239" s="1609">
        <v>1121.0999999999999</v>
      </c>
      <c r="G239" s="1600">
        <f t="shared" si="68"/>
        <v>18682.400000000001</v>
      </c>
      <c r="H239" s="1616">
        <f t="shared" si="72"/>
        <v>17561.3</v>
      </c>
      <c r="I239" s="1616">
        <f t="shared" si="72"/>
        <v>1121.0999999999999</v>
      </c>
      <c r="J239" s="1600">
        <f t="shared" si="69"/>
        <v>0</v>
      </c>
      <c r="K239" s="1619"/>
      <c r="L239" s="1619"/>
      <c r="M239" s="1893">
        <f t="shared" si="73"/>
        <v>0</v>
      </c>
      <c r="N239" s="1894">
        <f t="shared" si="73"/>
        <v>0</v>
      </c>
      <c r="O239" s="1894">
        <f t="shared" si="73"/>
        <v>0</v>
      </c>
      <c r="P239" s="1619"/>
      <c r="Q239" s="1619"/>
      <c r="R239" s="1600"/>
      <c r="S239" s="1619"/>
      <c r="T239" s="1619"/>
      <c r="U239" s="1600"/>
      <c r="V239" s="1619"/>
      <c r="W239" s="1619"/>
      <c r="X239" s="1423"/>
      <c r="Y239" s="725"/>
      <c r="AA239" s="725"/>
    </row>
    <row r="240" spans="1:27" ht="23.25">
      <c r="A240" s="2088"/>
      <c r="B240" s="1609" t="s">
        <v>1798</v>
      </c>
      <c r="C240" s="2089"/>
      <c r="D240" s="1602">
        <f>SUM(E240:F240)</f>
        <v>61083.7</v>
      </c>
      <c r="E240" s="1609">
        <v>57418.2</v>
      </c>
      <c r="F240" s="1609">
        <v>3665.5</v>
      </c>
      <c r="G240" s="1600">
        <f>SUM(H240:I240)</f>
        <v>61083.7</v>
      </c>
      <c r="H240" s="1616">
        <f>E240</f>
        <v>57418.2</v>
      </c>
      <c r="I240" s="1616">
        <f>F240</f>
        <v>3665.5</v>
      </c>
      <c r="J240" s="1600">
        <f>SUM(K240:L240)</f>
        <v>0</v>
      </c>
      <c r="K240" s="1619"/>
      <c r="L240" s="1619"/>
      <c r="M240" s="1893">
        <f t="shared" si="73"/>
        <v>0</v>
      </c>
      <c r="N240" s="1894">
        <f t="shared" si="73"/>
        <v>0</v>
      </c>
      <c r="O240" s="1894">
        <f t="shared" si="73"/>
        <v>0</v>
      </c>
      <c r="P240" s="1619"/>
      <c r="Q240" s="1619"/>
      <c r="R240" s="1600"/>
      <c r="S240" s="1619"/>
      <c r="T240" s="1619"/>
      <c r="U240" s="1600"/>
      <c r="V240" s="1619"/>
      <c r="W240" s="1619"/>
      <c r="X240" s="1423"/>
      <c r="Y240" s="725"/>
      <c r="AA240" s="725"/>
    </row>
    <row r="241" spans="1:27" ht="23.25">
      <c r="A241" s="2088"/>
      <c r="B241" s="1609" t="s">
        <v>1770</v>
      </c>
      <c r="C241" s="2089"/>
      <c r="D241" s="1602">
        <f t="shared" si="67"/>
        <v>20</v>
      </c>
      <c r="E241" s="1609">
        <v>18.8</v>
      </c>
      <c r="F241" s="1609">
        <v>1.2</v>
      </c>
      <c r="G241" s="1600">
        <f t="shared" si="68"/>
        <v>20</v>
      </c>
      <c r="H241" s="1616">
        <f t="shared" si="72"/>
        <v>18.8</v>
      </c>
      <c r="I241" s="1616">
        <f t="shared" si="72"/>
        <v>1.2</v>
      </c>
      <c r="J241" s="1600">
        <f t="shared" si="69"/>
        <v>22</v>
      </c>
      <c r="K241" s="1619">
        <f t="shared" ref="K241" si="75">3.6+15.2</f>
        <v>18.8</v>
      </c>
      <c r="L241" s="1619">
        <v>3.2</v>
      </c>
      <c r="M241" s="1893">
        <f t="shared" si="73"/>
        <v>110</v>
      </c>
      <c r="N241" s="1894">
        <f t="shared" si="73"/>
        <v>100</v>
      </c>
      <c r="O241" s="1894">
        <f t="shared" si="73"/>
        <v>266.7</v>
      </c>
      <c r="P241" s="1619"/>
      <c r="Q241" s="1619"/>
      <c r="R241" s="1600"/>
      <c r="S241" s="1619"/>
      <c r="T241" s="1619"/>
      <c r="U241" s="1600"/>
      <c r="V241" s="1619"/>
      <c r="W241" s="1619"/>
      <c r="X241" s="1423"/>
      <c r="Y241" s="725"/>
      <c r="AA241" s="725"/>
    </row>
    <row r="242" spans="1:27" ht="58.5" customHeight="1">
      <c r="A242" s="2088">
        <f>A238+1</f>
        <v>88</v>
      </c>
      <c r="B242" s="1912" t="s">
        <v>1442</v>
      </c>
      <c r="C242" s="1880" t="s">
        <v>1544</v>
      </c>
      <c r="D242" s="1602">
        <f t="shared" si="67"/>
        <v>14406.9</v>
      </c>
      <c r="E242" s="1616">
        <f>E243+E244</f>
        <v>13542.4</v>
      </c>
      <c r="F242" s="1616">
        <f>F243+F244</f>
        <v>864.5</v>
      </c>
      <c r="G242" s="1600">
        <f t="shared" si="68"/>
        <v>14406.9</v>
      </c>
      <c r="H242" s="1616">
        <f>H243+H244</f>
        <v>13542.4</v>
      </c>
      <c r="I242" s="1616">
        <f>I243+I244</f>
        <v>864.5</v>
      </c>
      <c r="J242" s="1602">
        <f t="shared" si="69"/>
        <v>8267.5</v>
      </c>
      <c r="K242" s="1616">
        <f>K243+K244</f>
        <v>7771.4</v>
      </c>
      <c r="L242" s="1616">
        <f>L243+L244</f>
        <v>496.1</v>
      </c>
      <c r="M242" s="1893">
        <f t="shared" si="73"/>
        <v>57.4</v>
      </c>
      <c r="N242" s="1894">
        <f t="shared" si="73"/>
        <v>57.4</v>
      </c>
      <c r="O242" s="1894">
        <f t="shared" si="73"/>
        <v>57.4</v>
      </c>
      <c r="P242" s="2087" t="s">
        <v>1285</v>
      </c>
      <c r="Q242" s="2087" t="s">
        <v>1252</v>
      </c>
      <c r="R242" s="1600">
        <f t="shared" si="74"/>
        <v>0</v>
      </c>
      <c r="S242" s="1614">
        <v>0</v>
      </c>
      <c r="T242" s="1614">
        <v>0</v>
      </c>
      <c r="U242" s="1600">
        <f>V242+W242</f>
        <v>0</v>
      </c>
      <c r="V242" s="1614">
        <v>0</v>
      </c>
      <c r="W242" s="1614">
        <v>0</v>
      </c>
      <c r="X242" s="1423">
        <f>D242-G242</f>
        <v>0</v>
      </c>
      <c r="Y242" s="725"/>
      <c r="AA242" s="725"/>
    </row>
    <row r="243" spans="1:27" ht="21.75" customHeight="1">
      <c r="A243" s="2088"/>
      <c r="B243" s="1609" t="s">
        <v>1620</v>
      </c>
      <c r="C243" s="2089"/>
      <c r="D243" s="1602">
        <f t="shared" si="67"/>
        <v>12956.3</v>
      </c>
      <c r="E243" s="1609">
        <v>12178.9</v>
      </c>
      <c r="F243" s="1609">
        <v>777.4</v>
      </c>
      <c r="G243" s="1600">
        <f t="shared" si="68"/>
        <v>12956.3</v>
      </c>
      <c r="H243" s="1616">
        <f>E243</f>
        <v>12178.9</v>
      </c>
      <c r="I243" s="1616">
        <f>F243</f>
        <v>777.4</v>
      </c>
      <c r="J243" s="1600">
        <f t="shared" si="69"/>
        <v>7716.3</v>
      </c>
      <c r="K243" s="1619">
        <v>7253.3</v>
      </c>
      <c r="L243" s="1619">
        <v>463</v>
      </c>
      <c r="M243" s="1619">
        <f t="shared" si="73"/>
        <v>59.6</v>
      </c>
      <c r="N243" s="1619">
        <f t="shared" si="73"/>
        <v>59.6</v>
      </c>
      <c r="O243" s="1619">
        <f t="shared" si="73"/>
        <v>59.6</v>
      </c>
      <c r="P243" s="2087"/>
      <c r="Q243" s="2087"/>
      <c r="R243" s="1600"/>
      <c r="S243" s="1619"/>
      <c r="T243" s="1619"/>
      <c r="U243" s="1600"/>
      <c r="V243" s="1619"/>
      <c r="W243" s="1619"/>
      <c r="X243" s="1423">
        <f>D243-G243</f>
        <v>0</v>
      </c>
      <c r="Y243" s="725"/>
      <c r="AA243" s="725"/>
    </row>
    <row r="244" spans="1:27" ht="26.25" customHeight="1">
      <c r="A244" s="2088"/>
      <c r="B244" s="1609" t="s">
        <v>1770</v>
      </c>
      <c r="C244" s="2089"/>
      <c r="D244" s="1602">
        <f t="shared" si="67"/>
        <v>1450.6</v>
      </c>
      <c r="E244" s="1609">
        <v>1363.5</v>
      </c>
      <c r="F244" s="1609">
        <v>87.1</v>
      </c>
      <c r="G244" s="1600">
        <f t="shared" si="68"/>
        <v>1450.6</v>
      </c>
      <c r="H244" s="1616">
        <f>E244</f>
        <v>1363.5</v>
      </c>
      <c r="I244" s="1616">
        <f>F244</f>
        <v>87.1</v>
      </c>
      <c r="J244" s="1600">
        <f t="shared" si="69"/>
        <v>551.20000000000005</v>
      </c>
      <c r="K244" s="1619">
        <v>518.1</v>
      </c>
      <c r="L244" s="1619">
        <v>33.1</v>
      </c>
      <c r="M244" s="1619">
        <f t="shared" si="73"/>
        <v>38</v>
      </c>
      <c r="N244" s="1619">
        <f t="shared" si="73"/>
        <v>38</v>
      </c>
      <c r="O244" s="1619">
        <f t="shared" si="73"/>
        <v>38</v>
      </c>
      <c r="P244" s="2087"/>
      <c r="Q244" s="2087"/>
      <c r="R244" s="1600"/>
      <c r="S244" s="1619"/>
      <c r="T244" s="1619"/>
      <c r="U244" s="1600"/>
      <c r="V244" s="1619"/>
      <c r="W244" s="1619"/>
      <c r="X244" s="1423">
        <f>D244-G244</f>
        <v>0</v>
      </c>
      <c r="Y244" s="725"/>
      <c r="AA244" s="725"/>
    </row>
    <row r="245" spans="1:27" ht="23.25" customHeight="1">
      <c r="A245" s="2088">
        <f>A242+1</f>
        <v>89</v>
      </c>
      <c r="B245" s="1883" t="s">
        <v>1587</v>
      </c>
      <c r="C245" s="1880"/>
      <c r="D245" s="1602">
        <f t="shared" ref="D245:D279" si="76">SUM(E245:F245)</f>
        <v>37898.1</v>
      </c>
      <c r="E245" s="1616">
        <f>E246+E247</f>
        <v>2403.9</v>
      </c>
      <c r="F245" s="1616">
        <f>F246+F247</f>
        <v>35494.199999999997</v>
      </c>
      <c r="G245" s="1600">
        <f t="shared" ref="G245:G267" si="77">SUM(H245:I245)</f>
        <v>37898.1</v>
      </c>
      <c r="H245" s="1616">
        <f>H246+H247</f>
        <v>2403.9</v>
      </c>
      <c r="I245" s="1616">
        <f>I246+I247</f>
        <v>35494.199999999997</v>
      </c>
      <c r="J245" s="1602">
        <f t="shared" si="69"/>
        <v>11297.6</v>
      </c>
      <c r="K245" s="1608">
        <f>K246+K247</f>
        <v>38.1</v>
      </c>
      <c r="L245" s="1616">
        <f>L246+L247</f>
        <v>11259.5</v>
      </c>
      <c r="M245" s="1604">
        <f t="shared" si="73"/>
        <v>29.8</v>
      </c>
      <c r="N245" s="1881">
        <f t="shared" si="73"/>
        <v>1.6</v>
      </c>
      <c r="O245" s="1881">
        <f t="shared" si="73"/>
        <v>31.7</v>
      </c>
      <c r="P245" s="2087"/>
      <c r="Q245" s="2087"/>
      <c r="R245" s="1600">
        <f t="shared" si="74"/>
        <v>0</v>
      </c>
      <c r="S245" s="1614">
        <v>0</v>
      </c>
      <c r="T245" s="1614">
        <v>0</v>
      </c>
      <c r="U245" s="1600">
        <f>V245+W245</f>
        <v>0</v>
      </c>
      <c r="V245" s="1614">
        <v>0</v>
      </c>
      <c r="W245" s="1614">
        <v>0</v>
      </c>
      <c r="X245" s="1423">
        <f>D245-G245</f>
        <v>0</v>
      </c>
      <c r="Y245" s="725"/>
      <c r="AA245" s="725"/>
    </row>
    <row r="246" spans="1:27" ht="26.25" customHeight="1">
      <c r="A246" s="2088"/>
      <c r="B246" s="1609" t="s">
        <v>1770</v>
      </c>
      <c r="C246" s="2089"/>
      <c r="D246" s="1602">
        <f t="shared" si="76"/>
        <v>2557.4</v>
      </c>
      <c r="E246" s="1609">
        <v>2403.9</v>
      </c>
      <c r="F246" s="1609">
        <v>153.5</v>
      </c>
      <c r="G246" s="1600">
        <f t="shared" si="77"/>
        <v>2557.4</v>
      </c>
      <c r="H246" s="1616">
        <f>E246</f>
        <v>2403.9</v>
      </c>
      <c r="I246" s="1616">
        <f>F246</f>
        <v>153.5</v>
      </c>
      <c r="J246" s="1600">
        <f t="shared" ref="J246:J279" si="78">SUM(K246:L246)</f>
        <v>40.5</v>
      </c>
      <c r="K246" s="1619">
        <f>34.7+3.352</f>
        <v>38.1</v>
      </c>
      <c r="L246" s="1619">
        <f>2.2+0.2</f>
        <v>2.4</v>
      </c>
      <c r="M246" s="1619">
        <f>IF(J246=0,0,J246/G246*100)</f>
        <v>1.6</v>
      </c>
      <c r="N246" s="1619">
        <f>IF(K246=0,0,K246/H246*100)</f>
        <v>1.6</v>
      </c>
      <c r="O246" s="1619">
        <f>IF(L246=0,0,L246/I246*100)</f>
        <v>1.6</v>
      </c>
      <c r="P246" s="2087"/>
      <c r="Q246" s="2087"/>
      <c r="R246" s="1600"/>
      <c r="S246" s="1619"/>
      <c r="T246" s="1619"/>
      <c r="U246" s="1600"/>
      <c r="V246" s="1619"/>
      <c r="W246" s="1619"/>
      <c r="X246" s="1423">
        <f>D246-G246</f>
        <v>0</v>
      </c>
      <c r="Y246" s="725"/>
      <c r="AA246" s="725"/>
    </row>
    <row r="247" spans="1:27" s="484" customFormat="1" ht="23.25">
      <c r="A247" s="2088"/>
      <c r="B247" s="1609" t="s">
        <v>1621</v>
      </c>
      <c r="C247" s="2089"/>
      <c r="D247" s="1602">
        <f t="shared" si="76"/>
        <v>35340.699999999997</v>
      </c>
      <c r="E247" s="1616"/>
      <c r="F247" s="1616">
        <v>35340.699999999997</v>
      </c>
      <c r="G247" s="1600">
        <f t="shared" si="77"/>
        <v>35340.699999999997</v>
      </c>
      <c r="H247" s="1616">
        <f>E247</f>
        <v>0</v>
      </c>
      <c r="I247" s="1616">
        <f>F247</f>
        <v>35340.699999999997</v>
      </c>
      <c r="J247" s="1600">
        <f t="shared" si="78"/>
        <v>11257.1</v>
      </c>
      <c r="K247" s="1608"/>
      <c r="L247" s="1608">
        <f>9954.9+30.94+1271.296</f>
        <v>11257.1</v>
      </c>
      <c r="M247" s="1604">
        <f t="shared" si="73"/>
        <v>31.9</v>
      </c>
      <c r="N247" s="1907">
        <f t="shared" si="73"/>
        <v>0</v>
      </c>
      <c r="O247" s="1907">
        <f t="shared" si="73"/>
        <v>31.9</v>
      </c>
      <c r="P247" s="2087"/>
      <c r="Q247" s="2087"/>
      <c r="R247" s="1600">
        <f>S247+T247</f>
        <v>0</v>
      </c>
      <c r="S247" s="1608">
        <v>0</v>
      </c>
      <c r="T247" s="1608">
        <v>0</v>
      </c>
      <c r="U247" s="1600">
        <f>V247+W247</f>
        <v>0</v>
      </c>
      <c r="V247" s="1608">
        <v>0</v>
      </c>
      <c r="W247" s="1608">
        <v>0</v>
      </c>
      <c r="X247" s="1423">
        <f t="shared" ref="X247:X268" si="79">D247-G247</f>
        <v>0</v>
      </c>
      <c r="Y247" s="725"/>
      <c r="AA247" s="725"/>
    </row>
    <row r="248" spans="1:27" s="484" customFormat="1" ht="46.5" customHeight="1">
      <c r="A248" s="1866">
        <f>A245+1</f>
        <v>90</v>
      </c>
      <c r="B248" s="1905" t="s">
        <v>1591</v>
      </c>
      <c r="C248" s="1906"/>
      <c r="D248" s="1600">
        <f t="shared" si="76"/>
        <v>304.60000000000002</v>
      </c>
      <c r="E248" s="1608">
        <f>E249+E250</f>
        <v>147.6</v>
      </c>
      <c r="F248" s="1608">
        <f>F249+F250</f>
        <v>157</v>
      </c>
      <c r="G248" s="1600">
        <f t="shared" si="77"/>
        <v>304.60000000000002</v>
      </c>
      <c r="H248" s="1608">
        <f>H249+H250</f>
        <v>147.6</v>
      </c>
      <c r="I248" s="1608">
        <f>I249+I250</f>
        <v>157</v>
      </c>
      <c r="J248" s="1600">
        <f t="shared" si="78"/>
        <v>157</v>
      </c>
      <c r="K248" s="1608">
        <f>K249+K250</f>
        <v>0</v>
      </c>
      <c r="L248" s="1608">
        <f>L249+L250</f>
        <v>157</v>
      </c>
      <c r="M248" s="1893">
        <f t="shared" si="73"/>
        <v>51.5</v>
      </c>
      <c r="N248" s="1894">
        <f t="shared" si="73"/>
        <v>0</v>
      </c>
      <c r="O248" s="1894">
        <f t="shared" si="73"/>
        <v>100</v>
      </c>
      <c r="P248" s="2087"/>
      <c r="Q248" s="2087"/>
      <c r="R248" s="1600"/>
      <c r="S248" s="1608"/>
      <c r="T248" s="1608"/>
      <c r="U248" s="1600"/>
      <c r="V248" s="1608"/>
      <c r="W248" s="1608"/>
      <c r="X248" s="1423">
        <f t="shared" si="79"/>
        <v>0</v>
      </c>
      <c r="Y248" s="725"/>
      <c r="AA248" s="725"/>
    </row>
    <row r="249" spans="1:27" s="484" customFormat="1" ht="24" customHeight="1">
      <c r="A249" s="2088"/>
      <c r="B249" s="1609" t="s">
        <v>1770</v>
      </c>
      <c r="C249" s="2089"/>
      <c r="D249" s="1602">
        <f t="shared" si="76"/>
        <v>147.6</v>
      </c>
      <c r="E249" s="1616">
        <v>147.6</v>
      </c>
      <c r="F249" s="1616"/>
      <c r="G249" s="1600">
        <f t="shared" si="77"/>
        <v>147.6</v>
      </c>
      <c r="H249" s="1616">
        <f>E249</f>
        <v>147.6</v>
      </c>
      <c r="I249" s="1616">
        <f>F249</f>
        <v>0</v>
      </c>
      <c r="J249" s="1600">
        <f t="shared" si="78"/>
        <v>0</v>
      </c>
      <c r="K249" s="1608"/>
      <c r="L249" s="1608"/>
      <c r="M249" s="1604">
        <f t="shared" si="73"/>
        <v>0</v>
      </c>
      <c r="N249" s="1881">
        <f t="shared" si="73"/>
        <v>0</v>
      </c>
      <c r="O249" s="1881">
        <f t="shared" si="73"/>
        <v>0</v>
      </c>
      <c r="P249" s="2087"/>
      <c r="Q249" s="2087"/>
      <c r="R249" s="1600"/>
      <c r="S249" s="1608"/>
      <c r="T249" s="1608"/>
      <c r="U249" s="1600"/>
      <c r="V249" s="1608"/>
      <c r="W249" s="1608"/>
      <c r="X249" s="1423">
        <f t="shared" si="79"/>
        <v>0</v>
      </c>
      <c r="Y249" s="725"/>
      <c r="AA249" s="725"/>
    </row>
    <row r="250" spans="1:27" s="484" customFormat="1" ht="27" customHeight="1">
      <c r="A250" s="2088"/>
      <c r="B250" s="1609" t="s">
        <v>1621</v>
      </c>
      <c r="C250" s="2089"/>
      <c r="D250" s="1602">
        <f t="shared" si="76"/>
        <v>157</v>
      </c>
      <c r="E250" s="1616">
        <v>0</v>
      </c>
      <c r="F250" s="1616">
        <v>157</v>
      </c>
      <c r="G250" s="1600">
        <f t="shared" si="77"/>
        <v>157</v>
      </c>
      <c r="H250" s="1616">
        <f>E250</f>
        <v>0</v>
      </c>
      <c r="I250" s="1616">
        <f>F250</f>
        <v>157</v>
      </c>
      <c r="J250" s="1600">
        <f t="shared" si="78"/>
        <v>157</v>
      </c>
      <c r="K250" s="1608"/>
      <c r="L250" s="1608">
        <v>157</v>
      </c>
      <c r="M250" s="1604">
        <f t="shared" si="73"/>
        <v>100</v>
      </c>
      <c r="N250" s="1881">
        <f t="shared" si="73"/>
        <v>0</v>
      </c>
      <c r="O250" s="1881">
        <f t="shared" si="73"/>
        <v>100</v>
      </c>
      <c r="P250" s="2087"/>
      <c r="Q250" s="2087"/>
      <c r="R250" s="1600"/>
      <c r="S250" s="1608"/>
      <c r="T250" s="1608"/>
      <c r="U250" s="1600"/>
      <c r="V250" s="1608"/>
      <c r="W250" s="1608"/>
      <c r="X250" s="1423">
        <f t="shared" si="79"/>
        <v>0</v>
      </c>
      <c r="Y250" s="725"/>
      <c r="AA250" s="725"/>
    </row>
    <row r="251" spans="1:27" s="1607" customFormat="1" ht="61.5" customHeight="1">
      <c r="A251" s="2088">
        <f>A248+1</f>
        <v>91</v>
      </c>
      <c r="B251" s="1914" t="s">
        <v>1600</v>
      </c>
      <c r="C251" s="2088"/>
      <c r="D251" s="1602">
        <f t="shared" si="76"/>
        <v>160.1</v>
      </c>
      <c r="E251" s="1616">
        <f>E252+E253</f>
        <v>150.4</v>
      </c>
      <c r="F251" s="1616">
        <f>F252+F253</f>
        <v>9.6999999999999993</v>
      </c>
      <c r="G251" s="1600">
        <f t="shared" si="77"/>
        <v>160.1</v>
      </c>
      <c r="H251" s="1608">
        <f>H252+H253</f>
        <v>150.4</v>
      </c>
      <c r="I251" s="1608">
        <f>I252+I253</f>
        <v>9.6999999999999993</v>
      </c>
      <c r="J251" s="1602">
        <f t="shared" si="78"/>
        <v>0</v>
      </c>
      <c r="K251" s="1616">
        <f>K252+K253</f>
        <v>0</v>
      </c>
      <c r="L251" s="1616">
        <f>L252+L253</f>
        <v>0</v>
      </c>
      <c r="M251" s="1608">
        <f>M252+M253</f>
        <v>0</v>
      </c>
      <c r="N251" s="1881">
        <f t="shared" si="73"/>
        <v>0</v>
      </c>
      <c r="O251" s="1881">
        <f t="shared" si="73"/>
        <v>0</v>
      </c>
      <c r="P251" s="2087"/>
      <c r="Q251" s="2087"/>
      <c r="R251" s="1600">
        <f>S251+T251</f>
        <v>0</v>
      </c>
      <c r="S251" s="1608">
        <v>0</v>
      </c>
      <c r="T251" s="1608">
        <v>0</v>
      </c>
      <c r="U251" s="1600">
        <f>V251+W251</f>
        <v>0</v>
      </c>
      <c r="V251" s="1608">
        <v>0</v>
      </c>
      <c r="W251" s="1608">
        <v>0</v>
      </c>
      <c r="X251" s="1423">
        <f t="shared" si="79"/>
        <v>0</v>
      </c>
      <c r="Y251" s="725"/>
      <c r="AA251" s="725"/>
    </row>
    <row r="252" spans="1:27" ht="19.5" customHeight="1">
      <c r="A252" s="2088"/>
      <c r="B252" s="1609" t="s">
        <v>1620</v>
      </c>
      <c r="C252" s="2089"/>
      <c r="D252" s="1602">
        <f t="shared" si="76"/>
        <v>0</v>
      </c>
      <c r="E252" s="1609">
        <v>0</v>
      </c>
      <c r="F252" s="1609">
        <v>0</v>
      </c>
      <c r="G252" s="1600">
        <f t="shared" si="77"/>
        <v>0</v>
      </c>
      <c r="H252" s="1616">
        <f>E252</f>
        <v>0</v>
      </c>
      <c r="I252" s="1616">
        <f>F252</f>
        <v>0</v>
      </c>
      <c r="J252" s="1600">
        <f t="shared" si="78"/>
        <v>0</v>
      </c>
      <c r="K252" s="1619"/>
      <c r="L252" s="1619"/>
      <c r="M252" s="1619">
        <f t="shared" ref="M252:O253" si="80">IF(J252=0,0,J252/G252*100)</f>
        <v>0</v>
      </c>
      <c r="N252" s="1619">
        <f t="shared" si="80"/>
        <v>0</v>
      </c>
      <c r="O252" s="1619">
        <f t="shared" si="80"/>
        <v>0</v>
      </c>
      <c r="P252" s="2087"/>
      <c r="Q252" s="2087"/>
      <c r="R252" s="1600"/>
      <c r="S252" s="1619"/>
      <c r="T252" s="1619"/>
      <c r="U252" s="1600"/>
      <c r="V252" s="1619"/>
      <c r="W252" s="1619"/>
      <c r="X252" s="1423">
        <f t="shared" si="79"/>
        <v>0</v>
      </c>
      <c r="Y252" s="725"/>
      <c r="AA252" s="725"/>
    </row>
    <row r="253" spans="1:27" ht="26.25" customHeight="1">
      <c r="A253" s="2088"/>
      <c r="B253" s="1609" t="s">
        <v>1770</v>
      </c>
      <c r="C253" s="2089"/>
      <c r="D253" s="1602">
        <f t="shared" si="76"/>
        <v>160.1</v>
      </c>
      <c r="E253" s="1609">
        <v>150.4</v>
      </c>
      <c r="F253" s="1609">
        <v>9.6999999999999993</v>
      </c>
      <c r="G253" s="1600">
        <f t="shared" si="77"/>
        <v>160.1</v>
      </c>
      <c r="H253" s="1616">
        <f>E253</f>
        <v>150.4</v>
      </c>
      <c r="I253" s="1616">
        <f>F253</f>
        <v>9.6999999999999993</v>
      </c>
      <c r="J253" s="1600">
        <f t="shared" si="78"/>
        <v>0</v>
      </c>
      <c r="K253" s="1619"/>
      <c r="L253" s="1619"/>
      <c r="M253" s="1619">
        <f t="shared" si="80"/>
        <v>0</v>
      </c>
      <c r="N253" s="1619">
        <f t="shared" si="80"/>
        <v>0</v>
      </c>
      <c r="O253" s="1619">
        <f t="shared" si="80"/>
        <v>0</v>
      </c>
      <c r="P253" s="2087"/>
      <c r="Q253" s="2087"/>
      <c r="R253" s="1600"/>
      <c r="S253" s="1619"/>
      <c r="T253" s="1619"/>
      <c r="U253" s="1600"/>
      <c r="V253" s="1619"/>
      <c r="W253" s="1619"/>
      <c r="X253" s="1423">
        <f t="shared" si="79"/>
        <v>0</v>
      </c>
      <c r="Y253" s="725"/>
      <c r="AA253" s="725"/>
    </row>
    <row r="254" spans="1:27" s="484" customFormat="1" ht="54" customHeight="1">
      <c r="A254" s="2088">
        <f>A251+1</f>
        <v>92</v>
      </c>
      <c r="B254" s="1914" t="s">
        <v>776</v>
      </c>
      <c r="C254" s="2088" t="s">
        <v>1545</v>
      </c>
      <c r="D254" s="1602">
        <f t="shared" si="76"/>
        <v>179059.7</v>
      </c>
      <c r="E254" s="1615">
        <f>E255+E256</f>
        <v>166418.20000000001</v>
      </c>
      <c r="F254" s="1615">
        <f>F255+F256</f>
        <v>12641.5</v>
      </c>
      <c r="G254" s="1600">
        <f t="shared" si="77"/>
        <v>179059.7</v>
      </c>
      <c r="H254" s="1614">
        <f>H255+H256</f>
        <v>166418.20000000001</v>
      </c>
      <c r="I254" s="1614">
        <f>I255+I256</f>
        <v>12641.5</v>
      </c>
      <c r="J254" s="1602">
        <f t="shared" si="78"/>
        <v>72080.7</v>
      </c>
      <c r="K254" s="1614">
        <f>K255+K256</f>
        <v>66752</v>
      </c>
      <c r="L254" s="1615">
        <f>L255+L256</f>
        <v>5328.7</v>
      </c>
      <c r="M254" s="1893">
        <f t="shared" si="73"/>
        <v>40.299999999999997</v>
      </c>
      <c r="N254" s="1894">
        <f t="shared" si="73"/>
        <v>40.1</v>
      </c>
      <c r="O254" s="1894">
        <f t="shared" si="73"/>
        <v>42.2</v>
      </c>
      <c r="P254" s="2087" t="s">
        <v>1272</v>
      </c>
      <c r="Q254" s="2087" t="s">
        <v>1273</v>
      </c>
      <c r="R254" s="1600">
        <f>S254+T254</f>
        <v>0</v>
      </c>
      <c r="S254" s="1608">
        <v>0</v>
      </c>
      <c r="T254" s="1608">
        <v>0</v>
      </c>
      <c r="U254" s="1600">
        <f>V254+W254</f>
        <v>0</v>
      </c>
      <c r="V254" s="1608">
        <v>0</v>
      </c>
      <c r="W254" s="1608">
        <v>0</v>
      </c>
      <c r="X254" s="1423">
        <f t="shared" si="79"/>
        <v>0</v>
      </c>
      <c r="Y254" s="725"/>
      <c r="AA254" s="725"/>
    </row>
    <row r="255" spans="1:27" s="484" customFormat="1" ht="28.5" customHeight="1">
      <c r="A255" s="2088"/>
      <c r="B255" s="1609" t="s">
        <v>1620</v>
      </c>
      <c r="C255" s="2088"/>
      <c r="D255" s="1602">
        <f t="shared" si="76"/>
        <v>177040.7</v>
      </c>
      <c r="E255" s="1615">
        <v>166418.20000000001</v>
      </c>
      <c r="F255" s="1615">
        <v>10622.5</v>
      </c>
      <c r="G255" s="1600">
        <f t="shared" si="77"/>
        <v>177040.7</v>
      </c>
      <c r="H255" s="1616">
        <f>E255</f>
        <v>166418.20000000001</v>
      </c>
      <c r="I255" s="1616">
        <f>F255</f>
        <v>10622.5</v>
      </c>
      <c r="J255" s="1600">
        <f t="shared" si="78"/>
        <v>71012.800000000003</v>
      </c>
      <c r="K255" s="1614">
        <v>66752</v>
      </c>
      <c r="L255" s="1614">
        <v>4260.8</v>
      </c>
      <c r="M255" s="1893">
        <f t="shared" si="73"/>
        <v>40.1</v>
      </c>
      <c r="N255" s="1894">
        <f t="shared" si="73"/>
        <v>40.1</v>
      </c>
      <c r="O255" s="1894">
        <f t="shared" si="73"/>
        <v>40.1</v>
      </c>
      <c r="P255" s="2087"/>
      <c r="Q255" s="2087"/>
      <c r="R255" s="1600"/>
      <c r="S255" s="1608"/>
      <c r="T255" s="1608"/>
      <c r="U255" s="1600"/>
      <c r="V255" s="1608"/>
      <c r="W255" s="1608"/>
      <c r="X255" s="1423">
        <f t="shared" si="79"/>
        <v>0</v>
      </c>
      <c r="Y255" s="725"/>
      <c r="AA255" s="725"/>
    </row>
    <row r="256" spans="1:27" s="484" customFormat="1" ht="29.25" customHeight="1">
      <c r="A256" s="2088"/>
      <c r="B256" s="1609" t="s">
        <v>1621</v>
      </c>
      <c r="C256" s="2088"/>
      <c r="D256" s="1602">
        <f t="shared" si="76"/>
        <v>2019</v>
      </c>
      <c r="E256" s="1616">
        <v>0</v>
      </c>
      <c r="F256" s="1616">
        <v>2019</v>
      </c>
      <c r="G256" s="1600">
        <f t="shared" si="77"/>
        <v>2019</v>
      </c>
      <c r="H256" s="1616">
        <f>E256</f>
        <v>0</v>
      </c>
      <c r="I256" s="1616">
        <f>F256</f>
        <v>2019</v>
      </c>
      <c r="J256" s="1600">
        <f t="shared" si="78"/>
        <v>1067.9000000000001</v>
      </c>
      <c r="K256" s="1608"/>
      <c r="L256" s="1608">
        <v>1067.9000000000001</v>
      </c>
      <c r="M256" s="1604">
        <f t="shared" si="73"/>
        <v>52.9</v>
      </c>
      <c r="N256" s="1881">
        <f t="shared" si="73"/>
        <v>0</v>
      </c>
      <c r="O256" s="1881">
        <f t="shared" si="73"/>
        <v>52.9</v>
      </c>
      <c r="P256" s="2087"/>
      <c r="Q256" s="2087"/>
      <c r="R256" s="1600"/>
      <c r="S256" s="1608"/>
      <c r="T256" s="1608"/>
      <c r="U256" s="1600"/>
      <c r="V256" s="1608"/>
      <c r="W256" s="1608"/>
      <c r="X256" s="1423">
        <f t="shared" si="79"/>
        <v>0</v>
      </c>
      <c r="Y256" s="725"/>
      <c r="AA256" s="725"/>
    </row>
    <row r="257" spans="1:27" ht="50.25" customHeight="1">
      <c r="A257" s="2088">
        <f>A254+1</f>
        <v>93</v>
      </c>
      <c r="B257" s="1888" t="s">
        <v>1595</v>
      </c>
      <c r="C257" s="2088"/>
      <c r="D257" s="1602">
        <f t="shared" si="76"/>
        <v>104514.6</v>
      </c>
      <c r="E257" s="1615">
        <f>E258+E260+E259</f>
        <v>98242.7</v>
      </c>
      <c r="F257" s="1615">
        <f>F258+F260+F259</f>
        <v>6271.9</v>
      </c>
      <c r="G257" s="1600">
        <f t="shared" si="77"/>
        <v>104514.6</v>
      </c>
      <c r="H257" s="1615">
        <f>H258+H260+H259</f>
        <v>98242.7</v>
      </c>
      <c r="I257" s="1615">
        <f>I258+I260+I259</f>
        <v>6271.9</v>
      </c>
      <c r="J257" s="1602">
        <f t="shared" si="78"/>
        <v>97982.6</v>
      </c>
      <c r="K257" s="1615">
        <f>K258+K260+K259</f>
        <v>92102.7</v>
      </c>
      <c r="L257" s="1615">
        <f>L258+L260+L259</f>
        <v>5879.9</v>
      </c>
      <c r="M257" s="1893">
        <f t="shared" si="73"/>
        <v>93.8</v>
      </c>
      <c r="N257" s="1894">
        <f t="shared" si="73"/>
        <v>93.8</v>
      </c>
      <c r="O257" s="1894">
        <f t="shared" si="73"/>
        <v>93.7</v>
      </c>
      <c r="P257" s="2087"/>
      <c r="Q257" s="2087"/>
      <c r="R257" s="1600">
        <f>S257+T257</f>
        <v>0</v>
      </c>
      <c r="S257" s="1608">
        <v>0</v>
      </c>
      <c r="T257" s="1608">
        <v>0</v>
      </c>
      <c r="U257" s="1600">
        <f>V257+W257</f>
        <v>0</v>
      </c>
      <c r="V257" s="1608">
        <v>0</v>
      </c>
      <c r="W257" s="1608">
        <v>0</v>
      </c>
      <c r="X257" s="1423">
        <f t="shared" si="79"/>
        <v>0</v>
      </c>
      <c r="Y257" s="725"/>
      <c r="AA257" s="725"/>
    </row>
    <row r="258" spans="1:27" ht="19.5" customHeight="1">
      <c r="A258" s="2088"/>
      <c r="B258" s="1609" t="s">
        <v>1620</v>
      </c>
      <c r="C258" s="2089"/>
      <c r="D258" s="1602">
        <f t="shared" si="76"/>
        <v>9921.2000000000007</v>
      </c>
      <c r="E258" s="1609">
        <v>9325.9</v>
      </c>
      <c r="F258" s="1609">
        <v>595.29999999999995</v>
      </c>
      <c r="G258" s="1600">
        <f t="shared" si="77"/>
        <v>9921.2000000000007</v>
      </c>
      <c r="H258" s="1616">
        <f t="shared" ref="H258:I260" si="81">E258</f>
        <v>9325.9</v>
      </c>
      <c r="I258" s="1616">
        <f t="shared" si="81"/>
        <v>595.29999999999995</v>
      </c>
      <c r="J258" s="1600">
        <f t="shared" si="78"/>
        <v>9921.2000000000007</v>
      </c>
      <c r="K258" s="1619">
        <v>9325.9</v>
      </c>
      <c r="L258" s="1619">
        <v>595.29999999999995</v>
      </c>
      <c r="M258" s="1619">
        <f t="shared" ref="M258:O260" si="82">IF(J258=0,0,J258/G258*100)</f>
        <v>100</v>
      </c>
      <c r="N258" s="1619">
        <f t="shared" si="82"/>
        <v>100</v>
      </c>
      <c r="O258" s="1619">
        <f t="shared" si="82"/>
        <v>100</v>
      </c>
      <c r="P258" s="2087"/>
      <c r="Q258" s="2087"/>
      <c r="R258" s="1600"/>
      <c r="S258" s="1619"/>
      <c r="T258" s="1619"/>
      <c r="U258" s="1600"/>
      <c r="V258" s="1619"/>
      <c r="W258" s="1619"/>
      <c r="X258" s="1423">
        <f t="shared" si="79"/>
        <v>0</v>
      </c>
      <c r="Y258" s="725"/>
      <c r="AA258" s="725"/>
    </row>
    <row r="259" spans="1:27" ht="19.5" customHeight="1">
      <c r="A259" s="2088"/>
      <c r="B259" s="1609" t="s">
        <v>1798</v>
      </c>
      <c r="C259" s="2089"/>
      <c r="D259" s="1602">
        <f>SUM(E259:F259)</f>
        <v>94296.9</v>
      </c>
      <c r="E259" s="1609">
        <v>88638.1</v>
      </c>
      <c r="F259" s="1609">
        <v>5658.8</v>
      </c>
      <c r="G259" s="1600">
        <f>SUM(H259:I259)</f>
        <v>94296.9</v>
      </c>
      <c r="H259" s="1616">
        <f t="shared" si="81"/>
        <v>88638.1</v>
      </c>
      <c r="I259" s="1616">
        <f t="shared" si="81"/>
        <v>5658.8</v>
      </c>
      <c r="J259" s="1600">
        <f>SUM(K259:L259)</f>
        <v>88061.4</v>
      </c>
      <c r="K259" s="1619">
        <v>82776.800000000003</v>
      </c>
      <c r="L259" s="1619">
        <v>5284.6</v>
      </c>
      <c r="M259" s="1619">
        <f>IF(J259=0,0,J259/G259*100)</f>
        <v>93.4</v>
      </c>
      <c r="N259" s="1619">
        <f>IF(K259=0,0,K259/H259*100)</f>
        <v>93.4</v>
      </c>
      <c r="O259" s="1619">
        <f>IF(L259=0,0,L259/I259*100)</f>
        <v>93.4</v>
      </c>
      <c r="P259" s="2087"/>
      <c r="Q259" s="2087"/>
      <c r="R259" s="1600"/>
      <c r="S259" s="1619"/>
      <c r="T259" s="1619"/>
      <c r="U259" s="1600"/>
      <c r="V259" s="1619"/>
      <c r="W259" s="1619"/>
      <c r="X259" s="1423"/>
      <c r="Y259" s="725"/>
      <c r="AA259" s="725"/>
    </row>
    <row r="260" spans="1:27" ht="26.25" customHeight="1">
      <c r="A260" s="2088"/>
      <c r="B260" s="1609" t="s">
        <v>1770</v>
      </c>
      <c r="C260" s="2089"/>
      <c r="D260" s="1602">
        <f t="shared" si="76"/>
        <v>296.5</v>
      </c>
      <c r="E260" s="1609">
        <v>278.7</v>
      </c>
      <c r="F260" s="1609">
        <v>17.8</v>
      </c>
      <c r="G260" s="1600">
        <f t="shared" si="77"/>
        <v>296.5</v>
      </c>
      <c r="H260" s="1616">
        <f t="shared" si="81"/>
        <v>278.7</v>
      </c>
      <c r="I260" s="1616">
        <f t="shared" si="81"/>
        <v>17.8</v>
      </c>
      <c r="J260" s="1600">
        <f t="shared" si="78"/>
        <v>0</v>
      </c>
      <c r="K260" s="1619"/>
      <c r="L260" s="1619"/>
      <c r="M260" s="1619">
        <f t="shared" si="82"/>
        <v>0</v>
      </c>
      <c r="N260" s="1619">
        <f t="shared" si="82"/>
        <v>0</v>
      </c>
      <c r="O260" s="1619">
        <f t="shared" si="82"/>
        <v>0</v>
      </c>
      <c r="P260" s="2087"/>
      <c r="Q260" s="2087"/>
      <c r="R260" s="1600"/>
      <c r="S260" s="1619"/>
      <c r="T260" s="1619"/>
      <c r="U260" s="1600"/>
      <c r="V260" s="1619"/>
      <c r="W260" s="1619"/>
      <c r="X260" s="1423">
        <f t="shared" si="79"/>
        <v>0</v>
      </c>
      <c r="Y260" s="725"/>
      <c r="AA260" s="725"/>
    </row>
    <row r="261" spans="1:27" ht="50.25" customHeight="1">
      <c r="A261" s="2088">
        <f>A257+1</f>
        <v>94</v>
      </c>
      <c r="B261" s="1888" t="s">
        <v>1596</v>
      </c>
      <c r="C261" s="2088"/>
      <c r="D261" s="1602">
        <f t="shared" si="76"/>
        <v>229155.7</v>
      </c>
      <c r="E261" s="1615">
        <f>E262+E264+E263</f>
        <v>215404.2</v>
      </c>
      <c r="F261" s="1615">
        <f>F262+F264+F263</f>
        <v>13751.5</v>
      </c>
      <c r="G261" s="1600">
        <f t="shared" si="77"/>
        <v>229155.7</v>
      </c>
      <c r="H261" s="1615">
        <f>H262+H264+H263</f>
        <v>215404.2</v>
      </c>
      <c r="I261" s="1615">
        <f>I262+I264+I263</f>
        <v>13751.5</v>
      </c>
      <c r="J261" s="1602">
        <f t="shared" si="78"/>
        <v>116380.6</v>
      </c>
      <c r="K261" s="1615">
        <f>K262+K264+K263</f>
        <v>109396.6</v>
      </c>
      <c r="L261" s="1615">
        <f>L262+L264+L263</f>
        <v>6984</v>
      </c>
      <c r="M261" s="1893">
        <f t="shared" si="73"/>
        <v>50.8</v>
      </c>
      <c r="N261" s="1894">
        <f t="shared" si="73"/>
        <v>50.8</v>
      </c>
      <c r="O261" s="1894">
        <f t="shared" si="73"/>
        <v>50.8</v>
      </c>
      <c r="P261" s="2087"/>
      <c r="Q261" s="2087"/>
      <c r="R261" s="1600">
        <f>S261+T261</f>
        <v>0</v>
      </c>
      <c r="S261" s="1608">
        <v>0</v>
      </c>
      <c r="T261" s="1608">
        <v>0</v>
      </c>
      <c r="U261" s="1600">
        <f>V261+W261</f>
        <v>0</v>
      </c>
      <c r="V261" s="1608">
        <v>0</v>
      </c>
      <c r="W261" s="1608">
        <v>0</v>
      </c>
      <c r="X261" s="1423">
        <f t="shared" si="79"/>
        <v>0</v>
      </c>
      <c r="Y261" s="725"/>
      <c r="AA261" s="725"/>
    </row>
    <row r="262" spans="1:27" ht="19.5" customHeight="1">
      <c r="A262" s="2088"/>
      <c r="B262" s="1609" t="s">
        <v>1620</v>
      </c>
      <c r="C262" s="2089"/>
      <c r="D262" s="1602">
        <f t="shared" si="76"/>
        <v>6302.5</v>
      </c>
      <c r="E262" s="1609">
        <v>5924.4</v>
      </c>
      <c r="F262" s="1609">
        <f>378.2-0.1</f>
        <v>378.1</v>
      </c>
      <c r="G262" s="1600">
        <f t="shared" si="77"/>
        <v>6302.5</v>
      </c>
      <c r="H262" s="1616">
        <f t="shared" ref="H262:I264" si="83">E262</f>
        <v>5924.4</v>
      </c>
      <c r="I262" s="1616">
        <f t="shared" si="83"/>
        <v>378.1</v>
      </c>
      <c r="J262" s="1600">
        <f t="shared" si="78"/>
        <v>0</v>
      </c>
      <c r="K262" s="1619"/>
      <c r="L262" s="1619"/>
      <c r="M262" s="1619">
        <f t="shared" si="73"/>
        <v>0</v>
      </c>
      <c r="N262" s="1619">
        <f t="shared" si="73"/>
        <v>0</v>
      </c>
      <c r="O262" s="1619">
        <f t="shared" si="73"/>
        <v>0</v>
      </c>
      <c r="P262" s="2087"/>
      <c r="Q262" s="2087"/>
      <c r="R262" s="1600"/>
      <c r="S262" s="1619"/>
      <c r="T262" s="1619"/>
      <c r="U262" s="1600"/>
      <c r="V262" s="1619"/>
      <c r="W262" s="1619"/>
      <c r="X262" s="1423">
        <f>D262-G262</f>
        <v>0</v>
      </c>
      <c r="Y262" s="725"/>
      <c r="AA262" s="725"/>
    </row>
    <row r="263" spans="1:27" ht="19.5" customHeight="1">
      <c r="A263" s="2088"/>
      <c r="B263" s="1609" t="s">
        <v>1798</v>
      </c>
      <c r="C263" s="2089"/>
      <c r="D263" s="1602">
        <f>SUM(E263:F263)</f>
        <v>222529.1</v>
      </c>
      <c r="E263" s="1609">
        <v>209175.1</v>
      </c>
      <c r="F263" s="1609">
        <v>13354</v>
      </c>
      <c r="G263" s="1600">
        <f>SUM(H263:I263)</f>
        <v>222529.1</v>
      </c>
      <c r="H263" s="1616">
        <f t="shared" si="83"/>
        <v>209175.1</v>
      </c>
      <c r="I263" s="1616">
        <f t="shared" si="83"/>
        <v>13354</v>
      </c>
      <c r="J263" s="1600">
        <f>SUM(K263:L263)</f>
        <v>116380.6</v>
      </c>
      <c r="K263" s="1619">
        <v>109396.6</v>
      </c>
      <c r="L263" s="1619">
        <v>6984</v>
      </c>
      <c r="M263" s="1619">
        <f>IF(J263=0,0,J263/G263*100)</f>
        <v>52.3</v>
      </c>
      <c r="N263" s="1619">
        <f>IF(K263=0,0,K263/H263*100)</f>
        <v>52.3</v>
      </c>
      <c r="O263" s="1619">
        <f>IF(L263=0,0,L263/I263*100)</f>
        <v>52.3</v>
      </c>
      <c r="P263" s="2087"/>
      <c r="Q263" s="2087"/>
      <c r="R263" s="1600"/>
      <c r="S263" s="1619"/>
      <c r="T263" s="1619"/>
      <c r="U263" s="1600"/>
      <c r="V263" s="1619"/>
      <c r="W263" s="1619"/>
      <c r="X263" s="1423"/>
      <c r="Y263" s="725"/>
      <c r="AA263" s="725"/>
    </row>
    <row r="264" spans="1:27" ht="26.25" customHeight="1">
      <c r="A264" s="2088"/>
      <c r="B264" s="1609" t="s">
        <v>1770</v>
      </c>
      <c r="C264" s="2089"/>
      <c r="D264" s="1602">
        <f t="shared" si="76"/>
        <v>324.10000000000002</v>
      </c>
      <c r="E264" s="1609">
        <v>304.7</v>
      </c>
      <c r="F264" s="1609">
        <v>19.399999999999999</v>
      </c>
      <c r="G264" s="1600">
        <f t="shared" si="77"/>
        <v>324.10000000000002</v>
      </c>
      <c r="H264" s="1616">
        <f t="shared" si="83"/>
        <v>304.7</v>
      </c>
      <c r="I264" s="1616">
        <f t="shared" si="83"/>
        <v>19.399999999999999</v>
      </c>
      <c r="J264" s="1600">
        <f t="shared" si="78"/>
        <v>0</v>
      </c>
      <c r="K264" s="1619"/>
      <c r="L264" s="1619"/>
      <c r="M264" s="1619">
        <f t="shared" si="73"/>
        <v>0</v>
      </c>
      <c r="N264" s="1619">
        <f t="shared" si="73"/>
        <v>0</v>
      </c>
      <c r="O264" s="1619">
        <f t="shared" si="73"/>
        <v>0</v>
      </c>
      <c r="P264" s="2087"/>
      <c r="Q264" s="2087"/>
      <c r="R264" s="1600"/>
      <c r="S264" s="1619"/>
      <c r="T264" s="1619"/>
      <c r="U264" s="1600"/>
      <c r="V264" s="1619"/>
      <c r="W264" s="1619"/>
      <c r="X264" s="1423">
        <f>D264-G264</f>
        <v>0</v>
      </c>
      <c r="Y264" s="725"/>
      <c r="AA264" s="725"/>
    </row>
    <row r="265" spans="1:27" s="484" customFormat="1" ht="78.75" hidden="1" customHeight="1">
      <c r="A265" s="1866">
        <f>A261+1</f>
        <v>95</v>
      </c>
      <c r="B265" s="2074" t="s">
        <v>1599</v>
      </c>
      <c r="C265" s="1866" t="s">
        <v>1611</v>
      </c>
      <c r="D265" s="1600">
        <f t="shared" si="76"/>
        <v>0</v>
      </c>
      <c r="E265" s="1608">
        <f>E266</f>
        <v>0</v>
      </c>
      <c r="F265" s="1608">
        <f>F266</f>
        <v>0</v>
      </c>
      <c r="G265" s="1600">
        <f t="shared" si="77"/>
        <v>0</v>
      </c>
      <c r="H265" s="1608">
        <f>H266</f>
        <v>0</v>
      </c>
      <c r="I265" s="1608">
        <f>I266</f>
        <v>0</v>
      </c>
      <c r="J265" s="1600">
        <f t="shared" si="78"/>
        <v>0</v>
      </c>
      <c r="K265" s="1608">
        <f>K266</f>
        <v>0</v>
      </c>
      <c r="L265" s="1608">
        <f>L266</f>
        <v>0</v>
      </c>
      <c r="M265" s="1893">
        <f t="shared" si="73"/>
        <v>0</v>
      </c>
      <c r="N265" s="1894">
        <f t="shared" si="73"/>
        <v>0</v>
      </c>
      <c r="O265" s="1894">
        <f t="shared" si="73"/>
        <v>0</v>
      </c>
      <c r="P265" s="2087"/>
      <c r="Q265" s="2087"/>
      <c r="R265" s="1600">
        <f>S265+T265</f>
        <v>0</v>
      </c>
      <c r="S265" s="1608">
        <v>0</v>
      </c>
      <c r="T265" s="1608">
        <v>0</v>
      </c>
      <c r="U265" s="1600">
        <f>V265+W265</f>
        <v>0</v>
      </c>
      <c r="V265" s="1608">
        <v>0</v>
      </c>
      <c r="W265" s="1608">
        <v>0</v>
      </c>
      <c r="X265" s="1423">
        <f t="shared" si="79"/>
        <v>0</v>
      </c>
      <c r="Y265" s="725"/>
      <c r="AA265" s="725"/>
    </row>
    <row r="266" spans="1:27" s="484" customFormat="1" ht="23.25" hidden="1">
      <c r="A266" s="1866"/>
      <c r="B266" s="1619" t="s">
        <v>1620</v>
      </c>
      <c r="C266" s="1924"/>
      <c r="D266" s="1600">
        <f t="shared" si="76"/>
        <v>0</v>
      </c>
      <c r="E266" s="1608"/>
      <c r="F266" s="1608"/>
      <c r="G266" s="1600">
        <f t="shared" si="77"/>
        <v>0</v>
      </c>
      <c r="H266" s="1616">
        <f>E266</f>
        <v>0</v>
      </c>
      <c r="I266" s="1616">
        <f>F266</f>
        <v>0</v>
      </c>
      <c r="J266" s="1600">
        <f t="shared" si="78"/>
        <v>0</v>
      </c>
      <c r="K266" s="1608"/>
      <c r="L266" s="1608"/>
      <c r="M266" s="1893">
        <f>IF(J266=0,0,J266/G266*100)</f>
        <v>0</v>
      </c>
      <c r="N266" s="1894">
        <f>IF(K266=0,0,K266/H266*100)</f>
        <v>0</v>
      </c>
      <c r="O266" s="1894">
        <f>IF(L266=0,0,L266/I266*100)</f>
        <v>0</v>
      </c>
      <c r="P266" s="2087"/>
      <c r="Q266" s="2087"/>
      <c r="R266" s="1600">
        <f>S266+T266</f>
        <v>0</v>
      </c>
      <c r="S266" s="1608">
        <v>0</v>
      </c>
      <c r="T266" s="1608">
        <v>0</v>
      </c>
      <c r="U266" s="1600">
        <f>V266+W266</f>
        <v>0</v>
      </c>
      <c r="V266" s="1608">
        <v>0</v>
      </c>
      <c r="W266" s="1624">
        <v>0</v>
      </c>
      <c r="X266" s="1423">
        <f>D266-G266</f>
        <v>0</v>
      </c>
      <c r="Y266" s="725"/>
      <c r="AA266" s="725"/>
    </row>
    <row r="267" spans="1:27" s="484" customFormat="1" ht="30.75" customHeight="1">
      <c r="A267" s="1866">
        <f>A261+1</f>
        <v>95</v>
      </c>
      <c r="B267" s="2075" t="s">
        <v>763</v>
      </c>
      <c r="C267" s="1923" t="s">
        <v>1550</v>
      </c>
      <c r="D267" s="1600">
        <f t="shared" si="76"/>
        <v>236519.6</v>
      </c>
      <c r="E267" s="1608">
        <f>E268+E269</f>
        <v>222326</v>
      </c>
      <c r="F267" s="1608">
        <f>F268+F269</f>
        <v>14193.6</v>
      </c>
      <c r="G267" s="1600">
        <f t="shared" si="77"/>
        <v>236519.6</v>
      </c>
      <c r="H267" s="1608">
        <f>H268+H269</f>
        <v>222326</v>
      </c>
      <c r="I267" s="1608">
        <f>I268+I269</f>
        <v>14193.6</v>
      </c>
      <c r="J267" s="1600">
        <f t="shared" si="78"/>
        <v>108625.7</v>
      </c>
      <c r="K267" s="1608">
        <f>K268+K269</f>
        <v>102107.1</v>
      </c>
      <c r="L267" s="1608">
        <f>L268+L269</f>
        <v>6518.6</v>
      </c>
      <c r="M267" s="1608">
        <f t="shared" si="73"/>
        <v>45.9</v>
      </c>
      <c r="N267" s="1608">
        <f t="shared" si="73"/>
        <v>45.9</v>
      </c>
      <c r="O267" s="1608">
        <f t="shared" si="73"/>
        <v>45.9</v>
      </c>
      <c r="P267" s="1608">
        <f t="shared" ref="P267:W267" si="84">P268+P269</f>
        <v>0</v>
      </c>
      <c r="Q267" s="1608">
        <f t="shared" si="84"/>
        <v>0</v>
      </c>
      <c r="R267" s="1941">
        <f t="shared" si="84"/>
        <v>109549.9</v>
      </c>
      <c r="S267" s="1608">
        <f t="shared" si="84"/>
        <v>0</v>
      </c>
      <c r="T267" s="1608">
        <f t="shared" si="84"/>
        <v>109549.9</v>
      </c>
      <c r="U267" s="1608">
        <f t="shared" si="84"/>
        <v>0</v>
      </c>
      <c r="V267" s="1608">
        <f t="shared" si="84"/>
        <v>0</v>
      </c>
      <c r="W267" s="1608">
        <f t="shared" si="84"/>
        <v>0</v>
      </c>
      <c r="X267" s="1423">
        <f t="shared" si="79"/>
        <v>0</v>
      </c>
      <c r="Y267" s="725"/>
      <c r="AA267" s="725"/>
    </row>
    <row r="268" spans="1:27" s="484" customFormat="1" ht="23.25">
      <c r="A268" s="1866"/>
      <c r="B268" s="1619" t="s">
        <v>1620</v>
      </c>
      <c r="C268" s="1924"/>
      <c r="D268" s="1600">
        <f t="shared" si="76"/>
        <v>236519.6</v>
      </c>
      <c r="E268" s="1608">
        <v>222326</v>
      </c>
      <c r="F268" s="1608">
        <v>14193.6</v>
      </c>
      <c r="G268" s="1600">
        <f t="shared" ref="G268:G344" si="85">SUM(H268:I268)</f>
        <v>236519.6</v>
      </c>
      <c r="H268" s="1616">
        <f>E268</f>
        <v>222326</v>
      </c>
      <c r="I268" s="1616">
        <f>F268</f>
        <v>14193.6</v>
      </c>
      <c r="J268" s="1600">
        <f t="shared" si="78"/>
        <v>108625.7</v>
      </c>
      <c r="K268" s="1608">
        <v>102107.1</v>
      </c>
      <c r="L268" s="1608">
        <v>6518.6</v>
      </c>
      <c r="M268" s="1893">
        <f t="shared" si="73"/>
        <v>45.9</v>
      </c>
      <c r="N268" s="1894">
        <f t="shared" si="73"/>
        <v>45.9</v>
      </c>
      <c r="O268" s="1894">
        <f t="shared" si="73"/>
        <v>45.9</v>
      </c>
      <c r="P268" s="2087"/>
      <c r="Q268" s="2087"/>
      <c r="R268" s="1600">
        <f t="shared" ref="R268:R290" si="86">S268+T268</f>
        <v>0</v>
      </c>
      <c r="S268" s="1608">
        <v>0</v>
      </c>
      <c r="T268" s="1608">
        <v>0</v>
      </c>
      <c r="U268" s="1600">
        <f t="shared" ref="U268:U290" si="87">V268+W268</f>
        <v>0</v>
      </c>
      <c r="V268" s="1608">
        <v>0</v>
      </c>
      <c r="W268" s="1624">
        <v>0</v>
      </c>
      <c r="X268" s="1423">
        <f t="shared" si="79"/>
        <v>0</v>
      </c>
      <c r="Y268" s="725"/>
      <c r="AA268" s="725"/>
    </row>
    <row r="269" spans="1:27" s="484" customFormat="1" ht="19.5" hidden="1" customHeight="1">
      <c r="A269" s="1866"/>
      <c r="B269" s="1619" t="s">
        <v>1621</v>
      </c>
      <c r="C269" s="1924"/>
      <c r="D269" s="1600">
        <f t="shared" si="76"/>
        <v>0</v>
      </c>
      <c r="E269" s="1608"/>
      <c r="F269" s="1624">
        <v>0</v>
      </c>
      <c r="G269" s="1600">
        <f t="shared" si="85"/>
        <v>0</v>
      </c>
      <c r="H269" s="1619">
        <f>E269</f>
        <v>0</v>
      </c>
      <c r="I269" s="1619">
        <f>F269</f>
        <v>0</v>
      </c>
      <c r="J269" s="1600">
        <f t="shared" si="78"/>
        <v>0</v>
      </c>
      <c r="K269" s="1608"/>
      <c r="L269" s="1624"/>
      <c r="M269" s="1893">
        <f t="shared" si="73"/>
        <v>0</v>
      </c>
      <c r="N269" s="1894">
        <f t="shared" si="73"/>
        <v>0</v>
      </c>
      <c r="O269" s="1894">
        <f t="shared" si="73"/>
        <v>0</v>
      </c>
      <c r="P269" s="2087"/>
      <c r="Q269" s="2087"/>
      <c r="R269" s="1600">
        <f t="shared" si="86"/>
        <v>109549.9</v>
      </c>
      <c r="S269" s="1608">
        <v>0</v>
      </c>
      <c r="T269" s="1608">
        <v>109549.9</v>
      </c>
      <c r="U269" s="1600">
        <f t="shared" si="87"/>
        <v>0</v>
      </c>
      <c r="V269" s="1608">
        <v>0</v>
      </c>
      <c r="W269" s="1624">
        <v>0</v>
      </c>
      <c r="AA269" s="725"/>
    </row>
    <row r="270" spans="1:27" s="484" customFormat="1" ht="20.25" customHeight="1">
      <c r="A270" s="1866">
        <f>A267+1</f>
        <v>96</v>
      </c>
      <c r="B270" s="2075" t="s">
        <v>765</v>
      </c>
      <c r="C270" s="1923" t="s">
        <v>1550</v>
      </c>
      <c r="D270" s="1600">
        <f t="shared" si="76"/>
        <v>33528.9</v>
      </c>
      <c r="E270" s="1608">
        <f>SUM(E271:E272)</f>
        <v>21967.7</v>
      </c>
      <c r="F270" s="1608">
        <f>SUM(F271:F272)</f>
        <v>11561.2</v>
      </c>
      <c r="G270" s="1600">
        <f t="shared" si="85"/>
        <v>33528.9</v>
      </c>
      <c r="H270" s="1608">
        <f>SUM(H271:H272)</f>
        <v>21967.7</v>
      </c>
      <c r="I270" s="1608">
        <f>SUM(I271:I272)</f>
        <v>11561.2</v>
      </c>
      <c r="J270" s="1600">
        <f t="shared" si="78"/>
        <v>16377.7</v>
      </c>
      <c r="K270" s="1608">
        <f>SUM(K271:K272)</f>
        <v>15087.2</v>
      </c>
      <c r="L270" s="1608">
        <f>SUM(L271:L272)</f>
        <v>1290.5</v>
      </c>
      <c r="M270" s="1893">
        <f t="shared" si="73"/>
        <v>48.8</v>
      </c>
      <c r="N270" s="1894">
        <f t="shared" si="73"/>
        <v>68.7</v>
      </c>
      <c r="O270" s="1894">
        <f t="shared" si="73"/>
        <v>11.2</v>
      </c>
      <c r="P270" s="2087" t="s">
        <v>1267</v>
      </c>
      <c r="Q270" s="2087" t="s">
        <v>1219</v>
      </c>
      <c r="R270" s="1600">
        <f t="shared" si="86"/>
        <v>0</v>
      </c>
      <c r="S270" s="1608">
        <v>0</v>
      </c>
      <c r="T270" s="1608">
        <v>0</v>
      </c>
      <c r="U270" s="1600">
        <f t="shared" si="87"/>
        <v>0</v>
      </c>
      <c r="V270" s="1608">
        <v>0</v>
      </c>
      <c r="W270" s="1624">
        <v>0</v>
      </c>
      <c r="X270" s="1423">
        <f t="shared" ref="X270:X287" si="88">D270-G270</f>
        <v>0</v>
      </c>
      <c r="Y270" s="725"/>
      <c r="AA270" s="725"/>
    </row>
    <row r="271" spans="1:27" ht="23.25">
      <c r="A271" s="1866"/>
      <c r="B271" s="1619" t="s">
        <v>1620</v>
      </c>
      <c r="C271" s="1924"/>
      <c r="D271" s="1600">
        <f t="shared" si="76"/>
        <v>23370.1</v>
      </c>
      <c r="E271" s="1608">
        <v>21967.7</v>
      </c>
      <c r="F271" s="1608">
        <v>1402.4</v>
      </c>
      <c r="G271" s="1600">
        <f t="shared" si="85"/>
        <v>23370.1</v>
      </c>
      <c r="H271" s="1616">
        <f>E271</f>
        <v>21967.7</v>
      </c>
      <c r="I271" s="1616">
        <f>F271</f>
        <v>1402.4</v>
      </c>
      <c r="J271" s="1600">
        <f t="shared" si="78"/>
        <v>16050.4</v>
      </c>
      <c r="K271" s="1608">
        <v>15087.2</v>
      </c>
      <c r="L271" s="1608">
        <v>963.2</v>
      </c>
      <c r="M271" s="1893">
        <f t="shared" si="73"/>
        <v>68.7</v>
      </c>
      <c r="N271" s="1894">
        <f t="shared" si="73"/>
        <v>68.7</v>
      </c>
      <c r="O271" s="1894">
        <f t="shared" si="73"/>
        <v>68.7</v>
      </c>
      <c r="P271" s="2087"/>
      <c r="Q271" s="2087"/>
      <c r="R271" s="1600">
        <f t="shared" si="86"/>
        <v>0</v>
      </c>
      <c r="S271" s="1608">
        <v>0</v>
      </c>
      <c r="T271" s="1608">
        <v>0</v>
      </c>
      <c r="U271" s="1600">
        <f t="shared" si="87"/>
        <v>0</v>
      </c>
      <c r="V271" s="1608">
        <v>0</v>
      </c>
      <c r="W271" s="1624">
        <v>0</v>
      </c>
      <c r="X271" s="1423">
        <f t="shared" si="88"/>
        <v>0</v>
      </c>
      <c r="Y271" s="725"/>
      <c r="AA271" s="725"/>
    </row>
    <row r="272" spans="1:27" ht="23.25">
      <c r="A272" s="1866"/>
      <c r="B272" s="1619" t="s">
        <v>1621</v>
      </c>
      <c r="C272" s="1924"/>
      <c r="D272" s="1600">
        <f t="shared" si="76"/>
        <v>10158.799999999999</v>
      </c>
      <c r="E272" s="1608"/>
      <c r="F272" s="1624">
        <f>9985.9+172.9</f>
        <v>10158.799999999999</v>
      </c>
      <c r="G272" s="1600">
        <f t="shared" si="85"/>
        <v>10158.799999999999</v>
      </c>
      <c r="H272" s="1616">
        <f>E272</f>
        <v>0</v>
      </c>
      <c r="I272" s="1616">
        <f>9985.9+172.9</f>
        <v>10158.799999999999</v>
      </c>
      <c r="J272" s="1600">
        <f t="shared" si="78"/>
        <v>327.3</v>
      </c>
      <c r="K272" s="1608"/>
      <c r="L272" s="1624">
        <v>327.3</v>
      </c>
      <c r="M272" s="1893">
        <f t="shared" si="73"/>
        <v>3.2</v>
      </c>
      <c r="N272" s="1894">
        <f t="shared" si="73"/>
        <v>0</v>
      </c>
      <c r="O272" s="1894">
        <f t="shared" si="73"/>
        <v>3.2</v>
      </c>
      <c r="P272" s="2087"/>
      <c r="Q272" s="2087"/>
      <c r="R272" s="1600">
        <f t="shared" si="86"/>
        <v>0</v>
      </c>
      <c r="S272" s="1608">
        <v>0</v>
      </c>
      <c r="T272" s="1608">
        <v>0</v>
      </c>
      <c r="U272" s="1600">
        <f t="shared" si="87"/>
        <v>0</v>
      </c>
      <c r="V272" s="1608">
        <v>0</v>
      </c>
      <c r="W272" s="1624">
        <v>0</v>
      </c>
      <c r="X272" s="1423">
        <f t="shared" si="88"/>
        <v>0</v>
      </c>
      <c r="Y272" s="725"/>
      <c r="Z272" s="712" t="s">
        <v>1819</v>
      </c>
      <c r="AA272" s="725"/>
    </row>
    <row r="273" spans="1:27" s="484" customFormat="1" ht="24.75" customHeight="1">
      <c r="A273" s="1866">
        <f>A270+1</f>
        <v>97</v>
      </c>
      <c r="B273" s="2075" t="s">
        <v>766</v>
      </c>
      <c r="C273" s="1923" t="s">
        <v>1550</v>
      </c>
      <c r="D273" s="1600">
        <f t="shared" si="76"/>
        <v>20818.099999999999</v>
      </c>
      <c r="E273" s="1608">
        <f>SUM(E274:E275)</f>
        <v>13691.8</v>
      </c>
      <c r="F273" s="1608">
        <f>SUM(F274:F275)</f>
        <v>7126.3</v>
      </c>
      <c r="G273" s="1600">
        <f t="shared" si="85"/>
        <v>20818.099999999999</v>
      </c>
      <c r="H273" s="1608">
        <f>SUM(H274:H275)</f>
        <v>13691.8</v>
      </c>
      <c r="I273" s="1608">
        <f>SUM(I274:I275)</f>
        <v>7126.3</v>
      </c>
      <c r="J273" s="1600">
        <f t="shared" si="78"/>
        <v>9940</v>
      </c>
      <c r="K273" s="1608">
        <f>SUM(K274:K275)</f>
        <v>9343.5</v>
      </c>
      <c r="L273" s="1608">
        <f>SUM(L274:L275)</f>
        <v>596.5</v>
      </c>
      <c r="M273" s="1893">
        <f t="shared" si="73"/>
        <v>47.7</v>
      </c>
      <c r="N273" s="1894">
        <f t="shared" si="73"/>
        <v>68.2</v>
      </c>
      <c r="O273" s="1894">
        <f t="shared" si="73"/>
        <v>8.4</v>
      </c>
      <c r="P273" s="2087" t="s">
        <v>1303</v>
      </c>
      <c r="Q273" s="2087" t="s">
        <v>1268</v>
      </c>
      <c r="R273" s="1600">
        <f t="shared" si="86"/>
        <v>0</v>
      </c>
      <c r="S273" s="1608">
        <v>0</v>
      </c>
      <c r="T273" s="1608">
        <v>0</v>
      </c>
      <c r="U273" s="1600">
        <f t="shared" si="87"/>
        <v>0</v>
      </c>
      <c r="V273" s="1608">
        <v>0</v>
      </c>
      <c r="W273" s="1624">
        <v>0</v>
      </c>
      <c r="X273" s="1423">
        <f t="shared" si="88"/>
        <v>0</v>
      </c>
      <c r="Y273" s="725"/>
      <c r="AA273" s="725"/>
    </row>
    <row r="274" spans="1:27" ht="23.25">
      <c r="A274" s="1866"/>
      <c r="B274" s="1619" t="s">
        <v>1620</v>
      </c>
      <c r="C274" s="1924"/>
      <c r="D274" s="1600">
        <f t="shared" si="76"/>
        <v>14565.9</v>
      </c>
      <c r="E274" s="1608">
        <v>13691.8</v>
      </c>
      <c r="F274" s="1608">
        <v>874.1</v>
      </c>
      <c r="G274" s="1600">
        <f t="shared" si="85"/>
        <v>14565.9</v>
      </c>
      <c r="H274" s="1616">
        <f>E274</f>
        <v>13691.8</v>
      </c>
      <c r="I274" s="1616">
        <f>F274</f>
        <v>874.1</v>
      </c>
      <c r="J274" s="1600">
        <f t="shared" si="78"/>
        <v>9940</v>
      </c>
      <c r="K274" s="1608">
        <v>9343.5</v>
      </c>
      <c r="L274" s="1608">
        <v>596.5</v>
      </c>
      <c r="M274" s="1893">
        <f t="shared" si="73"/>
        <v>68.2</v>
      </c>
      <c r="N274" s="1894">
        <f t="shared" si="73"/>
        <v>68.2</v>
      </c>
      <c r="O274" s="1894">
        <f t="shared" si="73"/>
        <v>68.2</v>
      </c>
      <c r="P274" s="2087"/>
      <c r="Q274" s="2087"/>
      <c r="R274" s="1600">
        <f t="shared" si="86"/>
        <v>0</v>
      </c>
      <c r="S274" s="1608">
        <v>0</v>
      </c>
      <c r="T274" s="1608">
        <v>0</v>
      </c>
      <c r="U274" s="1600">
        <f t="shared" si="87"/>
        <v>0</v>
      </c>
      <c r="V274" s="1608">
        <v>0</v>
      </c>
      <c r="W274" s="1624">
        <v>0</v>
      </c>
      <c r="X274" s="1423">
        <f t="shared" si="88"/>
        <v>0</v>
      </c>
      <c r="Y274" s="725"/>
      <c r="AA274" s="725"/>
    </row>
    <row r="275" spans="1:27" ht="23.25">
      <c r="A275" s="1866"/>
      <c r="B275" s="1619" t="s">
        <v>1621</v>
      </c>
      <c r="C275" s="1924"/>
      <c r="D275" s="1600">
        <f t="shared" si="76"/>
        <v>6252.2</v>
      </c>
      <c r="E275" s="1608"/>
      <c r="F275" s="1624">
        <v>6252.2</v>
      </c>
      <c r="G275" s="1600">
        <f t="shared" si="85"/>
        <v>6252.2</v>
      </c>
      <c r="H275" s="1616">
        <f>E275</f>
        <v>0</v>
      </c>
      <c r="I275" s="1616">
        <f>F275</f>
        <v>6252.2</v>
      </c>
      <c r="J275" s="1600">
        <f t="shared" si="78"/>
        <v>0</v>
      </c>
      <c r="K275" s="1608"/>
      <c r="L275" s="1624"/>
      <c r="M275" s="1893">
        <f t="shared" si="73"/>
        <v>0</v>
      </c>
      <c r="N275" s="1894">
        <f t="shared" si="73"/>
        <v>0</v>
      </c>
      <c r="O275" s="1894">
        <f t="shared" si="73"/>
        <v>0</v>
      </c>
      <c r="P275" s="2087"/>
      <c r="Q275" s="2087"/>
      <c r="R275" s="1600">
        <f t="shared" si="86"/>
        <v>0</v>
      </c>
      <c r="S275" s="1608">
        <v>0</v>
      </c>
      <c r="T275" s="1608">
        <v>0</v>
      </c>
      <c r="U275" s="1600">
        <f t="shared" si="87"/>
        <v>0</v>
      </c>
      <c r="V275" s="1608">
        <v>0</v>
      </c>
      <c r="W275" s="1624">
        <v>0</v>
      </c>
      <c r="X275" s="1423">
        <f t="shared" si="88"/>
        <v>0</v>
      </c>
      <c r="Y275" s="725"/>
      <c r="AA275" s="725"/>
    </row>
    <row r="276" spans="1:27" ht="39" customHeight="1">
      <c r="A276" s="1866">
        <f>A273+1</f>
        <v>98</v>
      </c>
      <c r="B276" s="2076" t="s">
        <v>478</v>
      </c>
      <c r="C276" s="1924" t="s">
        <v>1610</v>
      </c>
      <c r="D276" s="1600">
        <f t="shared" si="76"/>
        <v>423702.5</v>
      </c>
      <c r="E276" s="1608">
        <f>E277+E279+E280+E278</f>
        <v>398273.9</v>
      </c>
      <c r="F276" s="1608">
        <f>F277+F279+F280+F278</f>
        <v>25428.6</v>
      </c>
      <c r="G276" s="1600">
        <f t="shared" si="85"/>
        <v>423702.5</v>
      </c>
      <c r="H276" s="1608">
        <f>H277+H279+H280+H278</f>
        <v>398273.9</v>
      </c>
      <c r="I276" s="1608">
        <f>I277+I279+I280+I278</f>
        <v>25428.6</v>
      </c>
      <c r="J276" s="1600">
        <f>SUM(K276:L276)</f>
        <v>421944.5</v>
      </c>
      <c r="K276" s="1608">
        <f>K277+K279+K280</f>
        <v>396602.9</v>
      </c>
      <c r="L276" s="1608">
        <f>L277+L279+L280</f>
        <v>25341.599999999999</v>
      </c>
      <c r="M276" s="1893">
        <f t="shared" si="73"/>
        <v>99.6</v>
      </c>
      <c r="N276" s="1894">
        <f t="shared" si="73"/>
        <v>99.6</v>
      </c>
      <c r="O276" s="1894">
        <f t="shared" si="73"/>
        <v>99.7</v>
      </c>
      <c r="P276" s="2087" t="s">
        <v>1298</v>
      </c>
      <c r="Q276" s="2087" t="s">
        <v>1261</v>
      </c>
      <c r="R276" s="1600">
        <f t="shared" si="86"/>
        <v>0</v>
      </c>
      <c r="S276" s="1608">
        <v>0</v>
      </c>
      <c r="T276" s="1608">
        <v>0</v>
      </c>
      <c r="U276" s="1600">
        <f t="shared" si="87"/>
        <v>0</v>
      </c>
      <c r="V276" s="1608">
        <v>0</v>
      </c>
      <c r="W276" s="1624">
        <v>0</v>
      </c>
      <c r="X276" s="1423">
        <f t="shared" si="88"/>
        <v>0</v>
      </c>
      <c r="Y276" s="725"/>
      <c r="AA276" s="725"/>
    </row>
    <row r="277" spans="1:27" ht="23.25">
      <c r="A277" s="1866"/>
      <c r="B277" s="1619" t="s">
        <v>1620</v>
      </c>
      <c r="C277" s="1924"/>
      <c r="D277" s="1600">
        <f t="shared" si="76"/>
        <v>422392.8</v>
      </c>
      <c r="E277" s="1608">
        <v>397049.2</v>
      </c>
      <c r="F277" s="1624">
        <v>25343.599999999999</v>
      </c>
      <c r="G277" s="1600">
        <f t="shared" si="85"/>
        <v>422392.8</v>
      </c>
      <c r="H277" s="1619">
        <f t="shared" ref="H277:I280" si="89">E277</f>
        <v>397049.2</v>
      </c>
      <c r="I277" s="1619">
        <f t="shared" si="89"/>
        <v>25343.599999999999</v>
      </c>
      <c r="J277" s="1600">
        <f t="shared" si="78"/>
        <v>421310.9</v>
      </c>
      <c r="K277" s="1608">
        <v>396032.2</v>
      </c>
      <c r="L277" s="1608">
        <v>25278.7</v>
      </c>
      <c r="M277" s="1893">
        <f t="shared" si="73"/>
        <v>99.7</v>
      </c>
      <c r="N277" s="1894">
        <f t="shared" si="73"/>
        <v>99.7</v>
      </c>
      <c r="O277" s="1894">
        <f t="shared" si="73"/>
        <v>99.7</v>
      </c>
      <c r="P277" s="2087"/>
      <c r="Q277" s="2087"/>
      <c r="R277" s="1600">
        <f t="shared" si="86"/>
        <v>0</v>
      </c>
      <c r="S277" s="1608">
        <v>0</v>
      </c>
      <c r="T277" s="1608">
        <v>0</v>
      </c>
      <c r="U277" s="1600">
        <f t="shared" si="87"/>
        <v>0</v>
      </c>
      <c r="V277" s="1608">
        <v>0</v>
      </c>
      <c r="W277" s="1624">
        <v>0</v>
      </c>
      <c r="X277" s="1423">
        <f t="shared" si="88"/>
        <v>0</v>
      </c>
      <c r="Y277" s="725"/>
      <c r="AA277" s="725"/>
    </row>
    <row r="278" spans="1:27" ht="23.25">
      <c r="A278" s="1866"/>
      <c r="B278" s="1609" t="s">
        <v>1798</v>
      </c>
      <c r="C278" s="1924"/>
      <c r="D278" s="1600">
        <f>SUM(E278:F278)</f>
        <v>278.7</v>
      </c>
      <c r="E278" s="1608">
        <v>262</v>
      </c>
      <c r="F278" s="1624">
        <v>16.71</v>
      </c>
      <c r="G278" s="1600">
        <f>SUM(H278:I278)</f>
        <v>278.7</v>
      </c>
      <c r="H278" s="1619">
        <f>E278</f>
        <v>262</v>
      </c>
      <c r="I278" s="1619">
        <f>F278</f>
        <v>16.7</v>
      </c>
      <c r="J278" s="1600">
        <f>SUM(K278:L278)</f>
        <v>0</v>
      </c>
      <c r="K278" s="1608">
        <v>0</v>
      </c>
      <c r="L278" s="1608">
        <v>0</v>
      </c>
      <c r="M278" s="1893">
        <f t="shared" ref="M278:O279" si="90">IF(J278=0,0,J278/G278*100)</f>
        <v>0</v>
      </c>
      <c r="N278" s="1894">
        <f t="shared" si="90"/>
        <v>0</v>
      </c>
      <c r="O278" s="1894">
        <f t="shared" si="90"/>
        <v>0</v>
      </c>
      <c r="P278" s="2087"/>
      <c r="Q278" s="2087"/>
      <c r="R278" s="1600"/>
      <c r="S278" s="1608"/>
      <c r="T278" s="1608"/>
      <c r="U278" s="1600"/>
      <c r="V278" s="1608"/>
      <c r="W278" s="1624"/>
      <c r="X278" s="1423"/>
      <c r="Y278" s="725"/>
      <c r="AA278" s="725"/>
    </row>
    <row r="279" spans="1:27" ht="23.25">
      <c r="A279" s="2088"/>
      <c r="B279" s="1609" t="s">
        <v>1770</v>
      </c>
      <c r="C279" s="1882"/>
      <c r="D279" s="1602">
        <f t="shared" si="76"/>
        <v>1004.1</v>
      </c>
      <c r="E279" s="1616">
        <f>256.6+706.1</f>
        <v>962.7</v>
      </c>
      <c r="F279" s="2105">
        <f>16.4+25</f>
        <v>41.4</v>
      </c>
      <c r="G279" s="1600">
        <f>SUM(H279:I279)</f>
        <v>1004.1</v>
      </c>
      <c r="H279" s="1619">
        <f t="shared" si="89"/>
        <v>962.7</v>
      </c>
      <c r="I279" s="1619">
        <f t="shared" si="89"/>
        <v>41.4</v>
      </c>
      <c r="J279" s="1600">
        <f t="shared" si="78"/>
        <v>607.20000000000005</v>
      </c>
      <c r="K279" s="1608">
        <f>256.511+314.156</f>
        <v>570.70000000000005</v>
      </c>
      <c r="L279" s="1608">
        <f>16.4+20.06</f>
        <v>36.5</v>
      </c>
      <c r="M279" s="1893">
        <f t="shared" si="90"/>
        <v>60.5</v>
      </c>
      <c r="N279" s="1894">
        <f t="shared" si="90"/>
        <v>59.3</v>
      </c>
      <c r="O279" s="1894">
        <f t="shared" si="90"/>
        <v>88.2</v>
      </c>
      <c r="P279" s="2087"/>
      <c r="Q279" s="2087"/>
      <c r="R279" s="1600">
        <f t="shared" si="86"/>
        <v>0</v>
      </c>
      <c r="S279" s="1608">
        <v>0</v>
      </c>
      <c r="T279" s="1608">
        <v>0</v>
      </c>
      <c r="U279" s="1600">
        <f t="shared" si="87"/>
        <v>0</v>
      </c>
      <c r="V279" s="1614"/>
      <c r="W279" s="1614"/>
      <c r="X279" s="1423">
        <f>D279-G279</f>
        <v>0</v>
      </c>
      <c r="Y279" s="725"/>
      <c r="Z279" s="2104">
        <v>61.5</v>
      </c>
      <c r="AA279" s="725"/>
    </row>
    <row r="280" spans="1:27" ht="23.25">
      <c r="A280" s="2088"/>
      <c r="B280" s="1609" t="s">
        <v>1621</v>
      </c>
      <c r="C280" s="1882"/>
      <c r="D280" s="1602">
        <f t="shared" ref="D280:D314" si="91">SUM(E280:F280)</f>
        <v>26.9</v>
      </c>
      <c r="E280" s="1616"/>
      <c r="F280" s="1616">
        <f>304.9-278</f>
        <v>26.9</v>
      </c>
      <c r="G280" s="1600">
        <f t="shared" si="85"/>
        <v>26.9</v>
      </c>
      <c r="H280" s="1616">
        <f t="shared" si="89"/>
        <v>0</v>
      </c>
      <c r="I280" s="1616">
        <f>304.9-278</f>
        <v>26.9</v>
      </c>
      <c r="J280" s="1600">
        <f t="shared" ref="J280:J294" si="92">SUM(K280:L280)</f>
        <v>26.4</v>
      </c>
      <c r="K280" s="1608"/>
      <c r="L280" s="1624">
        <v>26.4</v>
      </c>
      <c r="M280" s="1893">
        <f t="shared" si="73"/>
        <v>98.1</v>
      </c>
      <c r="N280" s="1894">
        <f t="shared" si="73"/>
        <v>0</v>
      </c>
      <c r="O280" s="1894">
        <f t="shared" si="73"/>
        <v>98.1</v>
      </c>
      <c r="P280" s="2087"/>
      <c r="Q280" s="2087"/>
      <c r="R280" s="1600">
        <f t="shared" si="86"/>
        <v>0</v>
      </c>
      <c r="S280" s="1608">
        <v>0</v>
      </c>
      <c r="T280" s="1608">
        <v>0</v>
      </c>
      <c r="U280" s="1600">
        <f t="shared" si="87"/>
        <v>0</v>
      </c>
      <c r="V280" s="1614"/>
      <c r="W280" s="1614"/>
      <c r="X280" s="1423">
        <f t="shared" si="88"/>
        <v>0</v>
      </c>
      <c r="Y280" s="725"/>
      <c r="AA280" s="725"/>
    </row>
    <row r="281" spans="1:27" s="484" customFormat="1" ht="39.75" hidden="1" customHeight="1">
      <c r="A281" s="2088">
        <f>A276+1</f>
        <v>99</v>
      </c>
      <c r="B281" s="1915" t="s">
        <v>694</v>
      </c>
      <c r="C281" s="2088" t="s">
        <v>1548</v>
      </c>
      <c r="D281" s="1602">
        <f t="shared" si="91"/>
        <v>0</v>
      </c>
      <c r="E281" s="1615">
        <f>E282</f>
        <v>0</v>
      </c>
      <c r="F281" s="1615">
        <f>F282</f>
        <v>0</v>
      </c>
      <c r="G281" s="1600">
        <f t="shared" si="85"/>
        <v>0</v>
      </c>
      <c r="H281" s="1614">
        <f>H282</f>
        <v>0</v>
      </c>
      <c r="I281" s="1614">
        <f>I282</f>
        <v>0</v>
      </c>
      <c r="J281" s="1602">
        <f t="shared" si="92"/>
        <v>0</v>
      </c>
      <c r="K281" s="1615">
        <f>K282</f>
        <v>0</v>
      </c>
      <c r="L281" s="1615">
        <f>L282</f>
        <v>0</v>
      </c>
      <c r="M281" s="1893">
        <f t="shared" si="73"/>
        <v>0</v>
      </c>
      <c r="N281" s="1894">
        <f t="shared" si="73"/>
        <v>0</v>
      </c>
      <c r="O281" s="1894">
        <f t="shared" si="73"/>
        <v>0</v>
      </c>
      <c r="P281" s="2087" t="s">
        <v>1272</v>
      </c>
      <c r="Q281" s="2087" t="s">
        <v>1273</v>
      </c>
      <c r="R281" s="1600">
        <f t="shared" si="86"/>
        <v>0</v>
      </c>
      <c r="S281" s="1614">
        <v>0</v>
      </c>
      <c r="T281" s="1614">
        <v>0</v>
      </c>
      <c r="U281" s="1600">
        <f t="shared" si="87"/>
        <v>0</v>
      </c>
      <c r="V281" s="1614">
        <v>0</v>
      </c>
      <c r="W281" s="1614">
        <v>0</v>
      </c>
      <c r="X281" s="1423">
        <f t="shared" si="88"/>
        <v>0</v>
      </c>
      <c r="Y281" s="725"/>
      <c r="AA281" s="725"/>
    </row>
    <row r="282" spans="1:27" s="484" customFormat="1" ht="23.25" hidden="1">
      <c r="A282" s="2088"/>
      <c r="B282" s="1609" t="s">
        <v>1620</v>
      </c>
      <c r="C282" s="1882"/>
      <c r="D282" s="1602">
        <f t="shared" si="91"/>
        <v>0</v>
      </c>
      <c r="E282" s="1615">
        <v>0</v>
      </c>
      <c r="F282" s="1615">
        <v>0</v>
      </c>
      <c r="G282" s="1600">
        <f t="shared" si="85"/>
        <v>0</v>
      </c>
      <c r="H282" s="1616">
        <f>E282</f>
        <v>0</v>
      </c>
      <c r="I282" s="1616">
        <f>F282</f>
        <v>0</v>
      </c>
      <c r="J282" s="1600">
        <f t="shared" si="92"/>
        <v>0</v>
      </c>
      <c r="K282" s="1608"/>
      <c r="L282" s="1608"/>
      <c r="M282" s="1893">
        <f t="shared" si="73"/>
        <v>0</v>
      </c>
      <c r="N282" s="1894">
        <f t="shared" si="73"/>
        <v>0</v>
      </c>
      <c r="O282" s="1894">
        <f t="shared" si="73"/>
        <v>0</v>
      </c>
      <c r="P282" s="2087"/>
      <c r="Q282" s="2087"/>
      <c r="R282" s="1600">
        <f t="shared" si="86"/>
        <v>0</v>
      </c>
      <c r="S282" s="1608">
        <v>0</v>
      </c>
      <c r="T282" s="1608">
        <v>0</v>
      </c>
      <c r="U282" s="1600">
        <f t="shared" si="87"/>
        <v>0</v>
      </c>
      <c r="V282" s="1608">
        <v>0</v>
      </c>
      <c r="W282" s="1624">
        <v>0</v>
      </c>
      <c r="X282" s="1423">
        <f t="shared" si="88"/>
        <v>0</v>
      </c>
      <c r="Y282" s="725"/>
      <c r="AA282" s="725"/>
    </row>
    <row r="283" spans="1:27" s="484" customFormat="1" ht="42" customHeight="1">
      <c r="A283" s="2088">
        <f>A276+1</f>
        <v>99</v>
      </c>
      <c r="B283" s="1915" t="s">
        <v>695</v>
      </c>
      <c r="C283" s="2088"/>
      <c r="D283" s="1602">
        <f t="shared" si="91"/>
        <v>191951.9</v>
      </c>
      <c r="E283" s="1615">
        <f>E284+E285</f>
        <v>180434.8</v>
      </c>
      <c r="F283" s="1615">
        <f>F284+F285</f>
        <v>11517.1</v>
      </c>
      <c r="G283" s="1600">
        <f t="shared" si="85"/>
        <v>191951.9</v>
      </c>
      <c r="H283" s="1614">
        <f>H284+H285</f>
        <v>180434.8</v>
      </c>
      <c r="I283" s="1614">
        <f>I284+I285</f>
        <v>11517.1</v>
      </c>
      <c r="J283" s="1602">
        <f t="shared" si="92"/>
        <v>186466.1</v>
      </c>
      <c r="K283" s="1615">
        <f>K284+K285</f>
        <v>175278.1</v>
      </c>
      <c r="L283" s="1615">
        <f>L284+L285</f>
        <v>11188</v>
      </c>
      <c r="M283" s="1893">
        <f t="shared" si="73"/>
        <v>97.1</v>
      </c>
      <c r="N283" s="1894">
        <f t="shared" si="73"/>
        <v>97.1</v>
      </c>
      <c r="O283" s="1894">
        <f t="shared" si="73"/>
        <v>97.1</v>
      </c>
      <c r="P283" s="2087" t="s">
        <v>1272</v>
      </c>
      <c r="Q283" s="2087" t="s">
        <v>1273</v>
      </c>
      <c r="R283" s="1600">
        <f t="shared" si="86"/>
        <v>0</v>
      </c>
      <c r="S283" s="1614">
        <v>0</v>
      </c>
      <c r="T283" s="1614">
        <v>0</v>
      </c>
      <c r="U283" s="1600">
        <f t="shared" si="87"/>
        <v>0</v>
      </c>
      <c r="V283" s="1614">
        <v>0</v>
      </c>
      <c r="W283" s="1614">
        <v>0</v>
      </c>
      <c r="X283" s="1423">
        <f t="shared" si="88"/>
        <v>0</v>
      </c>
      <c r="Y283" s="725"/>
      <c r="AA283" s="725"/>
    </row>
    <row r="284" spans="1:27" ht="23.25">
      <c r="A284" s="2088"/>
      <c r="B284" s="1609" t="s">
        <v>1620</v>
      </c>
      <c r="C284" s="1882"/>
      <c r="D284" s="1602">
        <f t="shared" si="91"/>
        <v>104813.2</v>
      </c>
      <c r="E284" s="1616">
        <v>98524.5</v>
      </c>
      <c r="F284" s="2045">
        <f>6288.8-0.1</f>
        <v>6288.7</v>
      </c>
      <c r="G284" s="1600">
        <f>SUM(H284:I284)</f>
        <v>104813.2</v>
      </c>
      <c r="H284" s="1616">
        <f>E284</f>
        <v>98524.5</v>
      </c>
      <c r="I284" s="1616">
        <f>F284</f>
        <v>6288.7</v>
      </c>
      <c r="J284" s="1600">
        <f t="shared" si="92"/>
        <v>99946.1</v>
      </c>
      <c r="K284" s="1608">
        <v>93949.3</v>
      </c>
      <c r="L284" s="1608">
        <v>5996.8</v>
      </c>
      <c r="M284" s="1893">
        <f t="shared" ref="M284:O285" si="93">IF(J284=0,0,J284/G284*100)</f>
        <v>95.4</v>
      </c>
      <c r="N284" s="1894">
        <f t="shared" si="93"/>
        <v>95.4</v>
      </c>
      <c r="O284" s="1894">
        <f t="shared" si="93"/>
        <v>95.4</v>
      </c>
      <c r="P284" s="2087"/>
      <c r="Q284" s="2087"/>
      <c r="R284" s="1600">
        <f t="shared" si="86"/>
        <v>0</v>
      </c>
      <c r="S284" s="1608">
        <v>0</v>
      </c>
      <c r="T284" s="1608">
        <v>0</v>
      </c>
      <c r="U284" s="1600">
        <f t="shared" si="87"/>
        <v>0</v>
      </c>
      <c r="V284" s="1608">
        <v>0</v>
      </c>
      <c r="W284" s="1624">
        <v>0</v>
      </c>
      <c r="X284" s="1423">
        <f>D284-G284</f>
        <v>0</v>
      </c>
      <c r="Y284" s="725"/>
      <c r="AA284" s="725"/>
    </row>
    <row r="285" spans="1:27" ht="23.25">
      <c r="A285" s="2088"/>
      <c r="B285" s="1609" t="s">
        <v>1770</v>
      </c>
      <c r="C285" s="1882"/>
      <c r="D285" s="1602">
        <f t="shared" si="91"/>
        <v>87138.7</v>
      </c>
      <c r="E285" s="1616">
        <v>81910.3</v>
      </c>
      <c r="F285" s="2045">
        <v>5228.3999999999996</v>
      </c>
      <c r="G285" s="1600">
        <f>SUM(H285:I285)</f>
        <v>87138.7</v>
      </c>
      <c r="H285" s="1619">
        <f>E285</f>
        <v>81910.3</v>
      </c>
      <c r="I285" s="1619">
        <f>F285</f>
        <v>5228.3999999999996</v>
      </c>
      <c r="J285" s="1600">
        <f t="shared" si="92"/>
        <v>86520</v>
      </c>
      <c r="K285" s="1608">
        <v>81328.800000000003</v>
      </c>
      <c r="L285" s="1608">
        <v>5191.2</v>
      </c>
      <c r="M285" s="1893">
        <f t="shared" si="93"/>
        <v>99.3</v>
      </c>
      <c r="N285" s="1894">
        <f t="shared" si="93"/>
        <v>99.3</v>
      </c>
      <c r="O285" s="1894">
        <f t="shared" si="93"/>
        <v>99.3</v>
      </c>
      <c r="P285" s="2087"/>
      <c r="Q285" s="2087"/>
      <c r="R285" s="1600">
        <f t="shared" si="86"/>
        <v>0</v>
      </c>
      <c r="S285" s="1608">
        <v>0</v>
      </c>
      <c r="T285" s="1608">
        <v>0</v>
      </c>
      <c r="U285" s="1600">
        <f t="shared" si="87"/>
        <v>0</v>
      </c>
      <c r="V285" s="1614"/>
      <c r="W285" s="1614"/>
      <c r="X285" s="1423">
        <f>D285-G285</f>
        <v>0</v>
      </c>
      <c r="Y285" s="725"/>
      <c r="AA285" s="725"/>
    </row>
    <row r="286" spans="1:27" s="484" customFormat="1" ht="42" customHeight="1">
      <c r="A286" s="2088">
        <f>A283+1</f>
        <v>100</v>
      </c>
      <c r="B286" s="1915" t="s">
        <v>698</v>
      </c>
      <c r="C286" s="2088"/>
      <c r="D286" s="1602">
        <f t="shared" si="91"/>
        <v>1250553.7</v>
      </c>
      <c r="E286" s="1614">
        <f>E287+E289</f>
        <v>1175145.3</v>
      </c>
      <c r="F286" s="1614">
        <f>F287+F289</f>
        <v>75408.399999999994</v>
      </c>
      <c r="G286" s="1600">
        <f>SUM(H286:I286)</f>
        <v>1250553.7</v>
      </c>
      <c r="H286" s="1614">
        <f>H287+H289</f>
        <v>1175145.3</v>
      </c>
      <c r="I286" s="1614">
        <f>I287+I289</f>
        <v>75408.399999999994</v>
      </c>
      <c r="J286" s="1602">
        <f t="shared" si="92"/>
        <v>143201.70000000001</v>
      </c>
      <c r="K286" s="1614">
        <f>K287+K289</f>
        <v>134566.6</v>
      </c>
      <c r="L286" s="1614">
        <f>L287+L289</f>
        <v>8635.1</v>
      </c>
      <c r="M286" s="1893">
        <f t="shared" si="73"/>
        <v>11.5</v>
      </c>
      <c r="N286" s="1894">
        <f t="shared" si="73"/>
        <v>11.5</v>
      </c>
      <c r="O286" s="1894">
        <f t="shared" si="73"/>
        <v>11.5</v>
      </c>
      <c r="P286" s="2087" t="s">
        <v>1306</v>
      </c>
      <c r="Q286" s="2087" t="s">
        <v>1277</v>
      </c>
      <c r="R286" s="1600">
        <f t="shared" si="86"/>
        <v>778086</v>
      </c>
      <c r="S286" s="1615">
        <v>0</v>
      </c>
      <c r="T286" s="1615">
        <v>778086</v>
      </c>
      <c r="U286" s="1600">
        <f t="shared" si="87"/>
        <v>0</v>
      </c>
      <c r="V286" s="1615">
        <v>0</v>
      </c>
      <c r="W286" s="1615">
        <v>0</v>
      </c>
      <c r="X286" s="1423">
        <f t="shared" si="88"/>
        <v>0</v>
      </c>
      <c r="Y286" s="725"/>
      <c r="AA286" s="725"/>
    </row>
    <row r="287" spans="1:27" s="484" customFormat="1" ht="24.75" customHeight="1">
      <c r="A287" s="2088"/>
      <c r="B287" s="1609" t="s">
        <v>1620</v>
      </c>
      <c r="C287" s="1882"/>
      <c r="D287" s="1602">
        <f t="shared" si="91"/>
        <v>1220006.3</v>
      </c>
      <c r="E287" s="1616">
        <v>1146439.8999999999</v>
      </c>
      <c r="F287" s="2045">
        <v>73566.399999999994</v>
      </c>
      <c r="G287" s="1600">
        <f t="shared" si="85"/>
        <v>1220006.3</v>
      </c>
      <c r="H287" s="1616">
        <f t="shared" ref="H287:I289" si="94">E287</f>
        <v>1146439.8999999999</v>
      </c>
      <c r="I287" s="1616">
        <f t="shared" si="94"/>
        <v>73566.399999999994</v>
      </c>
      <c r="J287" s="1600">
        <f t="shared" si="92"/>
        <v>143201.70000000001</v>
      </c>
      <c r="K287" s="1608">
        <v>134566.6</v>
      </c>
      <c r="L287" s="1624">
        <v>8635.07</v>
      </c>
      <c r="M287" s="1893">
        <f t="shared" si="73"/>
        <v>11.7</v>
      </c>
      <c r="N287" s="1894">
        <f t="shared" si="73"/>
        <v>11.7</v>
      </c>
      <c r="O287" s="1894">
        <f t="shared" si="73"/>
        <v>11.7</v>
      </c>
      <c r="P287" s="2087"/>
      <c r="Q287" s="2087"/>
      <c r="R287" s="1600">
        <f t="shared" si="86"/>
        <v>0</v>
      </c>
      <c r="S287" s="1608">
        <v>0</v>
      </c>
      <c r="T287" s="1608">
        <v>0</v>
      </c>
      <c r="U287" s="1600">
        <f t="shared" si="87"/>
        <v>0</v>
      </c>
      <c r="V287" s="1608">
        <v>0</v>
      </c>
      <c r="W287" s="1624">
        <v>0</v>
      </c>
      <c r="X287" s="1423">
        <f t="shared" si="88"/>
        <v>0</v>
      </c>
      <c r="Y287" s="725"/>
      <c r="AA287" s="725"/>
    </row>
    <row r="288" spans="1:27" s="484" customFormat="1" ht="18.75" hidden="1" customHeight="1">
      <c r="A288" s="2088"/>
      <c r="B288" s="1609" t="s">
        <v>1621</v>
      </c>
      <c r="C288" s="1882"/>
      <c r="D288" s="1602">
        <f t="shared" si="91"/>
        <v>0</v>
      </c>
      <c r="E288" s="1616"/>
      <c r="F288" s="2045">
        <v>0</v>
      </c>
      <c r="G288" s="1600">
        <f t="shared" si="85"/>
        <v>0</v>
      </c>
      <c r="H288" s="1619">
        <f t="shared" si="94"/>
        <v>0</v>
      </c>
      <c r="I288" s="1619">
        <f t="shared" si="94"/>
        <v>0</v>
      </c>
      <c r="J288" s="1600">
        <f t="shared" si="92"/>
        <v>0</v>
      </c>
      <c r="K288" s="1608"/>
      <c r="L288" s="1624"/>
      <c r="M288" s="1893">
        <f t="shared" si="73"/>
        <v>0</v>
      </c>
      <c r="N288" s="1894">
        <f t="shared" si="73"/>
        <v>0</v>
      </c>
      <c r="O288" s="1894">
        <f t="shared" si="73"/>
        <v>0</v>
      </c>
      <c r="P288" s="2087"/>
      <c r="Q288" s="2087"/>
      <c r="R288" s="1600">
        <f t="shared" si="86"/>
        <v>778086</v>
      </c>
      <c r="S288" s="1608">
        <v>0</v>
      </c>
      <c r="T288" s="1608">
        <v>778086</v>
      </c>
      <c r="U288" s="1600">
        <f t="shared" si="87"/>
        <v>0</v>
      </c>
      <c r="V288" s="1614"/>
      <c r="W288" s="1614"/>
      <c r="AA288" s="725"/>
    </row>
    <row r="289" spans="1:27" s="484" customFormat="1" ht="18.75" customHeight="1">
      <c r="A289" s="2088"/>
      <c r="B289" s="1609" t="s">
        <v>1798</v>
      </c>
      <c r="C289" s="1882"/>
      <c r="D289" s="1602">
        <f>SUM(E289:F289)</f>
        <v>30547.4</v>
      </c>
      <c r="E289" s="1616">
        <v>28705.4</v>
      </c>
      <c r="F289" s="2045">
        <v>1842</v>
      </c>
      <c r="G289" s="1600">
        <f>SUM(H289:I289)</f>
        <v>30547.4</v>
      </c>
      <c r="H289" s="1616">
        <f t="shared" si="94"/>
        <v>28705.4</v>
      </c>
      <c r="I289" s="1616">
        <f t="shared" si="94"/>
        <v>1842</v>
      </c>
      <c r="J289" s="1600">
        <f>SUM(K289:L289)</f>
        <v>0</v>
      </c>
      <c r="K289" s="1608"/>
      <c r="L289" s="1624"/>
      <c r="M289" s="1893">
        <f>IF(J289=0,0,J289/G289*100)</f>
        <v>0</v>
      </c>
      <c r="N289" s="1894">
        <f>IF(K289=0,0,K289/H289*100)</f>
        <v>0</v>
      </c>
      <c r="O289" s="1894">
        <f>IF(L289=0,0,L289/I289*100)</f>
        <v>0</v>
      </c>
      <c r="P289" s="2087"/>
      <c r="Q289" s="2087"/>
      <c r="R289" s="1600"/>
      <c r="S289" s="1608"/>
      <c r="T289" s="1608"/>
      <c r="U289" s="1600"/>
      <c r="V289" s="1614"/>
      <c r="W289" s="1614"/>
      <c r="AA289" s="725"/>
    </row>
    <row r="290" spans="1:27" ht="70.5" customHeight="1">
      <c r="A290" s="2088">
        <f>A286+1</f>
        <v>101</v>
      </c>
      <c r="B290" s="1915" t="s">
        <v>697</v>
      </c>
      <c r="C290" s="2088"/>
      <c r="D290" s="1602">
        <f t="shared" si="91"/>
        <v>140743.5</v>
      </c>
      <c r="E290" s="1615">
        <f>E291+E292+E293</f>
        <v>122058.3</v>
      </c>
      <c r="F290" s="1615">
        <f>F291+F292+F293</f>
        <v>18685.2</v>
      </c>
      <c r="G290" s="1600">
        <f t="shared" si="85"/>
        <v>140743.5</v>
      </c>
      <c r="H290" s="1614">
        <f>H291+H292+H293</f>
        <v>122058.3</v>
      </c>
      <c r="I290" s="1614">
        <f>I291+I292+I293</f>
        <v>18685.2</v>
      </c>
      <c r="J290" s="1602">
        <f t="shared" si="92"/>
        <v>104625.2</v>
      </c>
      <c r="K290" s="1615">
        <f>K291+K292+K293</f>
        <v>98316.4</v>
      </c>
      <c r="L290" s="1615">
        <f>L291+L292+L293</f>
        <v>6308.8</v>
      </c>
      <c r="M290" s="1893">
        <f t="shared" si="73"/>
        <v>74.3</v>
      </c>
      <c r="N290" s="1894">
        <f t="shared" si="73"/>
        <v>80.5</v>
      </c>
      <c r="O290" s="1894">
        <f t="shared" si="73"/>
        <v>33.799999999999997</v>
      </c>
      <c r="P290" s="2087" t="s">
        <v>1192</v>
      </c>
      <c r="Q290" s="2087" t="s">
        <v>1658</v>
      </c>
      <c r="R290" s="1600">
        <f t="shared" si="86"/>
        <v>0</v>
      </c>
      <c r="S290" s="1614">
        <v>0</v>
      </c>
      <c r="T290" s="1614">
        <v>0</v>
      </c>
      <c r="U290" s="1600">
        <f t="shared" si="87"/>
        <v>0</v>
      </c>
      <c r="V290" s="1615">
        <v>0</v>
      </c>
      <c r="W290" s="1615">
        <v>0</v>
      </c>
      <c r="X290" s="1423">
        <f t="shared" ref="X290:X296" si="95">D290-G290</f>
        <v>0</v>
      </c>
      <c r="Y290" s="725"/>
      <c r="AA290" s="725"/>
    </row>
    <row r="291" spans="1:27" ht="23.25">
      <c r="A291" s="2088"/>
      <c r="B291" s="1609" t="s">
        <v>1620</v>
      </c>
      <c r="C291" s="2088"/>
      <c r="D291" s="1602">
        <f t="shared" si="91"/>
        <v>98852.6</v>
      </c>
      <c r="E291" s="1615">
        <v>92891.8</v>
      </c>
      <c r="F291" s="1615">
        <v>5960.8</v>
      </c>
      <c r="G291" s="1600">
        <f t="shared" ref="G291:G300" si="96">SUM(H291:I291)</f>
        <v>98852.6</v>
      </c>
      <c r="H291" s="1616">
        <f t="shared" ref="H291:I293" si="97">E291</f>
        <v>92891.8</v>
      </c>
      <c r="I291" s="1616">
        <f t="shared" si="97"/>
        <v>5960.8</v>
      </c>
      <c r="J291" s="1600">
        <f t="shared" si="92"/>
        <v>88177.5</v>
      </c>
      <c r="K291" s="1614">
        <v>82860.5</v>
      </c>
      <c r="L291" s="1614">
        <v>5317</v>
      </c>
      <c r="M291" s="1893">
        <f t="shared" si="73"/>
        <v>89.2</v>
      </c>
      <c r="N291" s="1894">
        <f t="shared" si="73"/>
        <v>89.2</v>
      </c>
      <c r="O291" s="1894">
        <f t="shared" si="73"/>
        <v>89.2</v>
      </c>
      <c r="P291" s="2087"/>
      <c r="Q291" s="2087"/>
      <c r="R291" s="1600"/>
      <c r="S291" s="1614"/>
      <c r="T291" s="1614"/>
      <c r="U291" s="1600"/>
      <c r="V291" s="1615"/>
      <c r="W291" s="1615"/>
      <c r="X291" s="1423">
        <f t="shared" si="95"/>
        <v>0</v>
      </c>
      <c r="Y291" s="725"/>
      <c r="AA291" s="725"/>
    </row>
    <row r="292" spans="1:27" ht="23.25">
      <c r="A292" s="2088"/>
      <c r="B292" s="1609" t="s">
        <v>1770</v>
      </c>
      <c r="C292" s="1882"/>
      <c r="D292" s="1602">
        <f t="shared" si="91"/>
        <v>31038.1</v>
      </c>
      <c r="E292" s="1616">
        <v>29166.5</v>
      </c>
      <c r="F292" s="2045">
        <v>1871.6</v>
      </c>
      <c r="G292" s="1600">
        <f t="shared" si="96"/>
        <v>31038.1</v>
      </c>
      <c r="H292" s="1616">
        <f t="shared" si="97"/>
        <v>29166.5</v>
      </c>
      <c r="I292" s="1616">
        <f t="shared" si="97"/>
        <v>1871.6</v>
      </c>
      <c r="J292" s="1600">
        <f t="shared" si="92"/>
        <v>16447.7</v>
      </c>
      <c r="K292" s="1608">
        <v>15455.9</v>
      </c>
      <c r="L292" s="1608">
        <v>991.8</v>
      </c>
      <c r="M292" s="1893">
        <f t="shared" si="73"/>
        <v>53</v>
      </c>
      <c r="N292" s="1894">
        <f t="shared" si="73"/>
        <v>53</v>
      </c>
      <c r="O292" s="1894">
        <f t="shared" si="73"/>
        <v>53</v>
      </c>
      <c r="P292" s="2087"/>
      <c r="Q292" s="2087"/>
      <c r="R292" s="1600">
        <f>S292+T292</f>
        <v>0</v>
      </c>
      <c r="S292" s="1608">
        <v>0</v>
      </c>
      <c r="T292" s="1608">
        <v>0</v>
      </c>
      <c r="U292" s="1600">
        <f>V292+W292</f>
        <v>0</v>
      </c>
      <c r="V292" s="1614"/>
      <c r="W292" s="1614"/>
      <c r="X292" s="1423">
        <f t="shared" si="95"/>
        <v>0</v>
      </c>
      <c r="Y292" s="725"/>
      <c r="AA292" s="725"/>
    </row>
    <row r="293" spans="1:27" ht="23.25">
      <c r="A293" s="2088"/>
      <c r="B293" s="1609" t="s">
        <v>1621</v>
      </c>
      <c r="C293" s="2088"/>
      <c r="D293" s="1602">
        <f t="shared" si="91"/>
        <v>10852.8</v>
      </c>
      <c r="E293" s="1615">
        <v>0</v>
      </c>
      <c r="F293" s="1615">
        <v>10852.8</v>
      </c>
      <c r="G293" s="1600">
        <f t="shared" si="96"/>
        <v>10852.8</v>
      </c>
      <c r="H293" s="1616">
        <f t="shared" si="97"/>
        <v>0</v>
      </c>
      <c r="I293" s="1616">
        <f t="shared" si="97"/>
        <v>10852.8</v>
      </c>
      <c r="J293" s="1600">
        <f t="shared" si="92"/>
        <v>0</v>
      </c>
      <c r="K293" s="1614">
        <v>0</v>
      </c>
      <c r="L293" s="1614">
        <v>0</v>
      </c>
      <c r="M293" s="1893">
        <f t="shared" si="73"/>
        <v>0</v>
      </c>
      <c r="N293" s="1894">
        <f t="shared" si="73"/>
        <v>0</v>
      </c>
      <c r="O293" s="1894">
        <f t="shared" si="73"/>
        <v>0</v>
      </c>
      <c r="P293" s="2087"/>
      <c r="Q293" s="2087"/>
      <c r="R293" s="1600"/>
      <c r="S293" s="1614"/>
      <c r="T293" s="1614"/>
      <c r="U293" s="1600"/>
      <c r="V293" s="1615"/>
      <c r="W293" s="1615"/>
      <c r="X293" s="1423">
        <f t="shared" si="95"/>
        <v>0</v>
      </c>
      <c r="Y293" s="725"/>
      <c r="AA293" s="725"/>
    </row>
    <row r="294" spans="1:27" ht="78.75" customHeight="1">
      <c r="A294" s="2088">
        <f>A290+1</f>
        <v>102</v>
      </c>
      <c r="B294" s="1915" t="s">
        <v>942</v>
      </c>
      <c r="C294" s="2088"/>
      <c r="D294" s="1602">
        <f t="shared" si="91"/>
        <v>219861.4</v>
      </c>
      <c r="E294" s="1615">
        <f>E295+E296</f>
        <v>206603.8</v>
      </c>
      <c r="F294" s="1615">
        <f>F295+F296</f>
        <v>13257.6</v>
      </c>
      <c r="G294" s="1600">
        <f t="shared" si="96"/>
        <v>219861.4</v>
      </c>
      <c r="H294" s="1614">
        <f>H295+H296</f>
        <v>206603.8</v>
      </c>
      <c r="I294" s="1614">
        <f>I295+I296</f>
        <v>13257.6</v>
      </c>
      <c r="J294" s="1602">
        <f t="shared" si="92"/>
        <v>196700.79999999999</v>
      </c>
      <c r="K294" s="1614">
        <f>K295+K296</f>
        <v>184839.8</v>
      </c>
      <c r="L294" s="1615">
        <f>L295+L296</f>
        <v>11861</v>
      </c>
      <c r="M294" s="1893">
        <f t="shared" si="73"/>
        <v>89.5</v>
      </c>
      <c r="N294" s="1894">
        <f t="shared" si="73"/>
        <v>89.5</v>
      </c>
      <c r="O294" s="1894">
        <f t="shared" si="73"/>
        <v>89.5</v>
      </c>
      <c r="P294" s="2087" t="s">
        <v>1192</v>
      </c>
      <c r="Q294" s="2087" t="s">
        <v>1279</v>
      </c>
      <c r="R294" s="1600">
        <f>S294+T294</f>
        <v>0</v>
      </c>
      <c r="S294" s="1614">
        <v>0</v>
      </c>
      <c r="T294" s="1614">
        <v>0</v>
      </c>
      <c r="U294" s="1600">
        <f>V294+W294</f>
        <v>0</v>
      </c>
      <c r="V294" s="1615">
        <v>0</v>
      </c>
      <c r="W294" s="1615">
        <v>0</v>
      </c>
      <c r="X294" s="1423">
        <f t="shared" si="95"/>
        <v>0</v>
      </c>
      <c r="Y294" s="725"/>
      <c r="AA294" s="725"/>
    </row>
    <row r="295" spans="1:27" ht="23.25">
      <c r="A295" s="2088"/>
      <c r="B295" s="1609" t="s">
        <v>1620</v>
      </c>
      <c r="C295" s="2088"/>
      <c r="D295" s="1602">
        <f t="shared" si="91"/>
        <v>201856.9</v>
      </c>
      <c r="E295" s="1615">
        <v>189685</v>
      </c>
      <c r="F295" s="1615">
        <v>12171.9</v>
      </c>
      <c r="G295" s="1600">
        <f t="shared" si="96"/>
        <v>201856.9</v>
      </c>
      <c r="H295" s="1616">
        <f>E295</f>
        <v>189685</v>
      </c>
      <c r="I295" s="1616">
        <f>F295</f>
        <v>12171.9</v>
      </c>
      <c r="J295" s="1600">
        <f t="shared" ref="J295:J300" si="98">SUM(K295:L295)</f>
        <v>190417.8</v>
      </c>
      <c r="K295" s="1614">
        <v>178935.7</v>
      </c>
      <c r="L295" s="1614">
        <v>11482.1</v>
      </c>
      <c r="M295" s="1893">
        <f t="shared" ref="M295:O296" si="99">IF(J295=0,0,J295/G295*100)</f>
        <v>94.3</v>
      </c>
      <c r="N295" s="1894">
        <f t="shared" si="99"/>
        <v>94.3</v>
      </c>
      <c r="O295" s="1894">
        <f t="shared" si="99"/>
        <v>94.3</v>
      </c>
      <c r="P295" s="2087"/>
      <c r="Q295" s="2087"/>
      <c r="R295" s="1600"/>
      <c r="S295" s="1614"/>
      <c r="T295" s="1614"/>
      <c r="U295" s="1600"/>
      <c r="V295" s="1615"/>
      <c r="W295" s="1615"/>
      <c r="X295" s="1423">
        <f t="shared" si="95"/>
        <v>0</v>
      </c>
      <c r="Y295" s="725"/>
      <c r="AA295" s="725"/>
    </row>
    <row r="296" spans="1:27" ht="23.25">
      <c r="A296" s="2088"/>
      <c r="B296" s="1609" t="s">
        <v>1770</v>
      </c>
      <c r="C296" s="1882"/>
      <c r="D296" s="1602">
        <f t="shared" si="91"/>
        <v>18004.5</v>
      </c>
      <c r="E296" s="1616">
        <v>16918.8</v>
      </c>
      <c r="F296" s="2045">
        <v>1085.7</v>
      </c>
      <c r="G296" s="1600">
        <f t="shared" si="96"/>
        <v>18004.5</v>
      </c>
      <c r="H296" s="1616">
        <f>E296</f>
        <v>16918.8</v>
      </c>
      <c r="I296" s="1616">
        <f>F296</f>
        <v>1085.7</v>
      </c>
      <c r="J296" s="1600">
        <f t="shared" si="98"/>
        <v>6283</v>
      </c>
      <c r="K296" s="1608">
        <v>5904.1</v>
      </c>
      <c r="L296" s="1608">
        <v>378.9</v>
      </c>
      <c r="M296" s="1893">
        <f t="shared" si="99"/>
        <v>34.9</v>
      </c>
      <c r="N296" s="1894">
        <f t="shared" si="99"/>
        <v>34.9</v>
      </c>
      <c r="O296" s="1894">
        <f t="shared" si="99"/>
        <v>34.9</v>
      </c>
      <c r="P296" s="2087"/>
      <c r="Q296" s="2087"/>
      <c r="R296" s="1600">
        <f>S296+T296</f>
        <v>0</v>
      </c>
      <c r="S296" s="1608">
        <v>0</v>
      </c>
      <c r="T296" s="1608">
        <v>0</v>
      </c>
      <c r="U296" s="1600">
        <f>V296+W296</f>
        <v>0</v>
      </c>
      <c r="V296" s="1614"/>
      <c r="W296" s="1614"/>
      <c r="X296" s="1423">
        <f t="shared" si="95"/>
        <v>0</v>
      </c>
      <c r="Y296" s="725"/>
      <c r="AA296" s="725"/>
    </row>
    <row r="297" spans="1:27" ht="82.5" customHeight="1">
      <c r="A297" s="2088">
        <f>A294+1</f>
        <v>103</v>
      </c>
      <c r="B297" s="1915" t="s">
        <v>1635</v>
      </c>
      <c r="C297" s="2088"/>
      <c r="D297" s="1602">
        <f t="shared" si="91"/>
        <v>244.8</v>
      </c>
      <c r="E297" s="1615">
        <f>E298+E299</f>
        <v>230.1</v>
      </c>
      <c r="F297" s="1615">
        <f>F298+F299</f>
        <v>14.7</v>
      </c>
      <c r="G297" s="1600">
        <f t="shared" si="96"/>
        <v>244.8</v>
      </c>
      <c r="H297" s="1614">
        <f>H298+H299</f>
        <v>230.1</v>
      </c>
      <c r="I297" s="1614">
        <f>I298+I299</f>
        <v>14.7</v>
      </c>
      <c r="J297" s="1602">
        <f t="shared" si="98"/>
        <v>0</v>
      </c>
      <c r="K297" s="1615">
        <f>K298+K299</f>
        <v>0</v>
      </c>
      <c r="L297" s="1615">
        <f>L298+L299</f>
        <v>0</v>
      </c>
      <c r="M297" s="1893">
        <f t="shared" si="73"/>
        <v>0</v>
      </c>
      <c r="N297" s="1894">
        <f t="shared" si="73"/>
        <v>0</v>
      </c>
      <c r="O297" s="1894">
        <f t="shared" si="73"/>
        <v>0</v>
      </c>
      <c r="P297" s="2087" t="s">
        <v>1192</v>
      </c>
      <c r="Q297" s="2087" t="s">
        <v>1279</v>
      </c>
      <c r="R297" s="1600">
        <f>S297+T297</f>
        <v>0</v>
      </c>
      <c r="S297" s="1614">
        <v>0</v>
      </c>
      <c r="T297" s="1614">
        <v>0</v>
      </c>
      <c r="U297" s="1600">
        <f>V297+W297</f>
        <v>0</v>
      </c>
      <c r="V297" s="1615">
        <v>0</v>
      </c>
      <c r="W297" s="1615">
        <v>0</v>
      </c>
      <c r="X297" s="1423">
        <f t="shared" ref="X297:X307" si="100">D297-G297</f>
        <v>0</v>
      </c>
      <c r="Y297" s="725"/>
      <c r="AA297" s="725"/>
    </row>
    <row r="298" spans="1:27" ht="23.25">
      <c r="A298" s="2088"/>
      <c r="B298" s="1609" t="s">
        <v>1620</v>
      </c>
      <c r="C298" s="2088"/>
      <c r="D298" s="1602">
        <f t="shared" si="91"/>
        <v>0</v>
      </c>
      <c r="E298" s="1615">
        <v>0</v>
      </c>
      <c r="F298" s="1615">
        <v>0</v>
      </c>
      <c r="G298" s="1600">
        <f t="shared" si="96"/>
        <v>0</v>
      </c>
      <c r="H298" s="1616">
        <f>E298</f>
        <v>0</v>
      </c>
      <c r="I298" s="1616">
        <f>F298</f>
        <v>0</v>
      </c>
      <c r="J298" s="1600">
        <f t="shared" si="98"/>
        <v>0</v>
      </c>
      <c r="K298" s="1614"/>
      <c r="L298" s="1614"/>
      <c r="M298" s="1893">
        <f t="shared" si="73"/>
        <v>0</v>
      </c>
      <c r="N298" s="1894">
        <f t="shared" si="73"/>
        <v>0</v>
      </c>
      <c r="O298" s="1894">
        <f t="shared" si="73"/>
        <v>0</v>
      </c>
      <c r="P298" s="2087"/>
      <c r="Q298" s="2087"/>
      <c r="R298" s="1600"/>
      <c r="S298" s="1614"/>
      <c r="T298" s="1614"/>
      <c r="U298" s="1600"/>
      <c r="V298" s="1615"/>
      <c r="W298" s="1615"/>
      <c r="X298" s="1423">
        <f>D298-G298</f>
        <v>0</v>
      </c>
      <c r="Y298" s="725"/>
      <c r="AA298" s="725"/>
    </row>
    <row r="299" spans="1:27" ht="23.25">
      <c r="A299" s="2088"/>
      <c r="B299" s="1609" t="s">
        <v>1770</v>
      </c>
      <c r="C299" s="1882"/>
      <c r="D299" s="1602">
        <f t="shared" si="91"/>
        <v>244.8</v>
      </c>
      <c r="E299" s="1616">
        <v>230.1</v>
      </c>
      <c r="F299" s="2045">
        <v>14.7</v>
      </c>
      <c r="G299" s="1600">
        <f t="shared" si="96"/>
        <v>244.8</v>
      </c>
      <c r="H299" s="1616">
        <f>E299</f>
        <v>230.1</v>
      </c>
      <c r="I299" s="1616">
        <f>F299</f>
        <v>14.7</v>
      </c>
      <c r="J299" s="1600">
        <f t="shared" si="98"/>
        <v>0</v>
      </c>
      <c r="K299" s="1608"/>
      <c r="L299" s="1624"/>
      <c r="M299" s="1893">
        <f t="shared" si="73"/>
        <v>0</v>
      </c>
      <c r="N299" s="1894">
        <f t="shared" si="73"/>
        <v>0</v>
      </c>
      <c r="O299" s="1894">
        <f>IF(L299=0,0,L299/I299*100)</f>
        <v>0</v>
      </c>
      <c r="P299" s="2087"/>
      <c r="Q299" s="2087"/>
      <c r="R299" s="1600">
        <f>S299+T299</f>
        <v>0</v>
      </c>
      <c r="S299" s="1608">
        <v>0</v>
      </c>
      <c r="T299" s="1608">
        <v>0</v>
      </c>
      <c r="U299" s="1600">
        <f>V299+W299</f>
        <v>0</v>
      </c>
      <c r="V299" s="1614"/>
      <c r="W299" s="1614"/>
      <c r="X299" s="1423">
        <f>D299-G299</f>
        <v>0</v>
      </c>
      <c r="Y299" s="725"/>
      <c r="AA299" s="725"/>
    </row>
    <row r="300" spans="1:27" ht="77.25" customHeight="1">
      <c r="A300" s="2060" t="s">
        <v>1515</v>
      </c>
      <c r="B300" s="1897" t="s">
        <v>1513</v>
      </c>
      <c r="C300" s="1898"/>
      <c r="D300" s="1899">
        <f t="shared" si="91"/>
        <v>62986.400000000001</v>
      </c>
      <c r="E300" s="1899">
        <f>E301</f>
        <v>44119.8</v>
      </c>
      <c r="F300" s="1899">
        <f>F301</f>
        <v>18866.599999999999</v>
      </c>
      <c r="G300" s="1899">
        <f t="shared" si="96"/>
        <v>62986.400000000001</v>
      </c>
      <c r="H300" s="1899">
        <f>H301</f>
        <v>44119.8</v>
      </c>
      <c r="I300" s="1899">
        <f>I301</f>
        <v>18866.599999999999</v>
      </c>
      <c r="J300" s="1899">
        <f t="shared" si="98"/>
        <v>62952.7</v>
      </c>
      <c r="K300" s="1899">
        <f>K301</f>
        <v>44119.8</v>
      </c>
      <c r="L300" s="1899">
        <f>L301</f>
        <v>18832.900000000001</v>
      </c>
      <c r="M300" s="1900">
        <v>0</v>
      </c>
      <c r="N300" s="1900">
        <f>IF(K300=0,0,K300/H300*100)</f>
        <v>100</v>
      </c>
      <c r="O300" s="1901">
        <v>0</v>
      </c>
      <c r="P300" s="1593"/>
      <c r="Q300" s="1593"/>
      <c r="R300" s="1899">
        <f t="shared" ref="R300:R310" si="101">SUM(S300:T300)</f>
        <v>0</v>
      </c>
      <c r="S300" s="1899">
        <f>S301</f>
        <v>0</v>
      </c>
      <c r="T300" s="1899">
        <f>T301</f>
        <v>0</v>
      </c>
      <c r="U300" s="1899">
        <f t="shared" ref="U300:U310" si="102">SUM(V300:W300)</f>
        <v>0</v>
      </c>
      <c r="V300" s="1899">
        <f>V301</f>
        <v>0</v>
      </c>
      <c r="W300" s="1899">
        <f>W301</f>
        <v>0</v>
      </c>
      <c r="X300" s="1423">
        <f t="shared" si="100"/>
        <v>0</v>
      </c>
      <c r="Y300" s="725" t="s">
        <v>1796</v>
      </c>
      <c r="AA300" s="725"/>
    </row>
    <row r="301" spans="1:27" ht="57" customHeight="1">
      <c r="A301" s="2060">
        <f>A297+1</f>
        <v>104</v>
      </c>
      <c r="B301" s="1889" t="s">
        <v>1495</v>
      </c>
      <c r="C301" s="2060">
        <v>30131</v>
      </c>
      <c r="D301" s="1600">
        <f t="shared" si="91"/>
        <v>62986.400000000001</v>
      </c>
      <c r="E301" s="1608">
        <v>44119.8</v>
      </c>
      <c r="F301" s="1608">
        <v>18866.599999999999</v>
      </c>
      <c r="G301" s="1600">
        <f t="shared" si="85"/>
        <v>62986.400000000001</v>
      </c>
      <c r="H301" s="1616">
        <v>44119.8</v>
      </c>
      <c r="I301" s="1616">
        <v>18866.599999999999</v>
      </c>
      <c r="J301" s="1600">
        <f t="shared" ref="J301:J333" si="103">SUM(K301:L301)</f>
        <v>62952.7</v>
      </c>
      <c r="K301" s="1608">
        <f>12803.8+12803.8+10607.39+7904.78</f>
        <v>44119.8</v>
      </c>
      <c r="L301" s="1608">
        <f>180+420+18232.86</f>
        <v>18832.900000000001</v>
      </c>
      <c r="M301" s="1604">
        <v>0</v>
      </c>
      <c r="N301" s="1881">
        <f>IF(K301=0,0,K301/H301*100)</f>
        <v>100</v>
      </c>
      <c r="O301" s="1881">
        <v>0</v>
      </c>
      <c r="P301" s="1593" t="s">
        <v>1290</v>
      </c>
      <c r="Q301" s="1593" t="s">
        <v>1240</v>
      </c>
      <c r="R301" s="1600">
        <f t="shared" si="101"/>
        <v>0</v>
      </c>
      <c r="S301" s="1608">
        <v>0</v>
      </c>
      <c r="T301" s="1608">
        <v>0</v>
      </c>
      <c r="U301" s="1600">
        <f t="shared" si="102"/>
        <v>0</v>
      </c>
      <c r="V301" s="1608">
        <v>0</v>
      </c>
      <c r="W301" s="1608">
        <v>0</v>
      </c>
      <c r="X301" s="1423">
        <f t="shared" si="100"/>
        <v>0</v>
      </c>
      <c r="Y301" s="725" t="s">
        <v>1795</v>
      </c>
      <c r="AA301" s="725"/>
    </row>
    <row r="302" spans="1:27" s="484" customFormat="1" ht="77.25" customHeight="1">
      <c r="A302" s="1896" t="s">
        <v>1778</v>
      </c>
      <c r="B302" s="1897" t="s">
        <v>1771</v>
      </c>
      <c r="C302" s="1898"/>
      <c r="D302" s="1899">
        <f t="shared" si="91"/>
        <v>85909.1</v>
      </c>
      <c r="E302" s="1899">
        <f>E303+E304</f>
        <v>85050</v>
      </c>
      <c r="F302" s="1899">
        <f>F303+F304</f>
        <v>859.1</v>
      </c>
      <c r="G302" s="1899">
        <f t="shared" si="85"/>
        <v>85909.1</v>
      </c>
      <c r="H302" s="1899">
        <f>H303+H304</f>
        <v>85050</v>
      </c>
      <c r="I302" s="1899">
        <f>I303+I304</f>
        <v>859.1</v>
      </c>
      <c r="J302" s="1899">
        <f t="shared" si="103"/>
        <v>0</v>
      </c>
      <c r="K302" s="1899">
        <f>K303+K304</f>
        <v>0</v>
      </c>
      <c r="L302" s="1899">
        <f>L303+L304</f>
        <v>0</v>
      </c>
      <c r="M302" s="1900">
        <f t="shared" si="73"/>
        <v>0</v>
      </c>
      <c r="N302" s="1900">
        <f t="shared" si="73"/>
        <v>0</v>
      </c>
      <c r="O302" s="1900">
        <f t="shared" si="73"/>
        <v>0</v>
      </c>
      <c r="P302" s="1593"/>
      <c r="Q302" s="1593"/>
      <c r="R302" s="1600" t="e">
        <f>SUM(S302:T302)</f>
        <v>#REF!</v>
      </c>
      <c r="S302" s="1600" t="e">
        <f>#REF!</f>
        <v>#REF!</v>
      </c>
      <c r="T302" s="1600" t="e">
        <f>#REF!</f>
        <v>#REF!</v>
      </c>
      <c r="U302" s="1600" t="e">
        <f>SUM(V302:W302)</f>
        <v>#REF!</v>
      </c>
      <c r="V302" s="1600" t="e">
        <f>#REF!</f>
        <v>#REF!</v>
      </c>
      <c r="W302" s="1600" t="e">
        <f>#REF!</f>
        <v>#REF!</v>
      </c>
      <c r="X302" s="1760">
        <f>D302-G302</f>
        <v>0</v>
      </c>
      <c r="Y302" s="725"/>
      <c r="AA302" s="725"/>
    </row>
    <row r="303" spans="1:27" s="484" customFormat="1" ht="57" customHeight="1">
      <c r="A303" s="1866">
        <f>A301+1</f>
        <v>105</v>
      </c>
      <c r="B303" s="2051" t="s">
        <v>1775</v>
      </c>
      <c r="C303" s="1866">
        <v>30131</v>
      </c>
      <c r="D303" s="1600">
        <f t="shared" si="91"/>
        <v>15202</v>
      </c>
      <c r="E303" s="1608">
        <v>15050</v>
      </c>
      <c r="F303" s="1608">
        <v>152</v>
      </c>
      <c r="G303" s="1600">
        <f>SUM(H303:I303)</f>
        <v>15202</v>
      </c>
      <c r="H303" s="1616">
        <f>E303</f>
        <v>15050</v>
      </c>
      <c r="I303" s="1616">
        <f>F303</f>
        <v>152</v>
      </c>
      <c r="J303" s="1600">
        <f t="shared" si="103"/>
        <v>0</v>
      </c>
      <c r="K303" s="1608">
        <v>0</v>
      </c>
      <c r="L303" s="1608">
        <v>0</v>
      </c>
      <c r="M303" s="1893">
        <f t="shared" si="73"/>
        <v>0</v>
      </c>
      <c r="N303" s="1894">
        <f t="shared" si="73"/>
        <v>0</v>
      </c>
      <c r="O303" s="1894">
        <f t="shared" si="73"/>
        <v>0</v>
      </c>
      <c r="P303" s="1593" t="s">
        <v>1290</v>
      </c>
      <c r="Q303" s="1593" t="s">
        <v>1240</v>
      </c>
      <c r="R303" s="1600">
        <f>SUM(S303:T303)</f>
        <v>0</v>
      </c>
      <c r="S303" s="1608">
        <v>0</v>
      </c>
      <c r="T303" s="1608">
        <v>0</v>
      </c>
      <c r="U303" s="1600">
        <f>SUM(V303:W303)</f>
        <v>0</v>
      </c>
      <c r="V303" s="1608">
        <v>0</v>
      </c>
      <c r="W303" s="1608">
        <v>0</v>
      </c>
      <c r="X303" s="1760">
        <f>D303-G303</f>
        <v>0</v>
      </c>
      <c r="Y303" s="725"/>
      <c r="AA303" s="725"/>
    </row>
    <row r="304" spans="1:27" s="484" customFormat="1" ht="57" customHeight="1">
      <c r="A304" s="1866">
        <f>A303+1</f>
        <v>106</v>
      </c>
      <c r="B304" s="2051" t="s">
        <v>1776</v>
      </c>
      <c r="C304" s="1866">
        <v>30131</v>
      </c>
      <c r="D304" s="1600">
        <f t="shared" si="91"/>
        <v>70707.100000000006</v>
      </c>
      <c r="E304" s="1608">
        <v>70000</v>
      </c>
      <c r="F304" s="1608">
        <v>707.1</v>
      </c>
      <c r="G304" s="1600">
        <f>SUM(H304:I304)</f>
        <v>70707.100000000006</v>
      </c>
      <c r="H304" s="1616">
        <f>E304</f>
        <v>70000</v>
      </c>
      <c r="I304" s="1616">
        <f>F304</f>
        <v>707.1</v>
      </c>
      <c r="J304" s="1600">
        <f t="shared" si="103"/>
        <v>0</v>
      </c>
      <c r="K304" s="1608"/>
      <c r="L304" s="1608"/>
      <c r="M304" s="1893">
        <f t="shared" si="73"/>
        <v>0</v>
      </c>
      <c r="N304" s="1894">
        <f t="shared" si="73"/>
        <v>0</v>
      </c>
      <c r="O304" s="1894">
        <f t="shared" si="73"/>
        <v>0</v>
      </c>
      <c r="P304" s="1593" t="s">
        <v>1290</v>
      </c>
      <c r="Q304" s="1593" t="s">
        <v>1240</v>
      </c>
      <c r="R304" s="1600">
        <f>SUM(S304:T304)</f>
        <v>0</v>
      </c>
      <c r="S304" s="1608">
        <v>0</v>
      </c>
      <c r="T304" s="1608">
        <v>0</v>
      </c>
      <c r="U304" s="1600">
        <f>SUM(V304:W304)</f>
        <v>0</v>
      </c>
      <c r="V304" s="1608">
        <v>0</v>
      </c>
      <c r="W304" s="1608">
        <v>0</v>
      </c>
      <c r="X304" s="1760">
        <f>D304-G304</f>
        <v>0</v>
      </c>
      <c r="Y304" s="725"/>
      <c r="AA304" s="725"/>
    </row>
    <row r="305" spans="1:28" ht="24.75" customHeight="1">
      <c r="A305" s="2060" t="s">
        <v>1636</v>
      </c>
      <c r="B305" s="1897" t="s">
        <v>529</v>
      </c>
      <c r="C305" s="1898"/>
      <c r="D305" s="1899">
        <f t="shared" si="91"/>
        <v>233616.9</v>
      </c>
      <c r="E305" s="1899">
        <f>SUM(E306:E311)</f>
        <v>103615.1</v>
      </c>
      <c r="F305" s="1899">
        <f>SUM(F306:F311)</f>
        <v>130001.8</v>
      </c>
      <c r="G305" s="1899">
        <f>SUM(H305:I305)</f>
        <v>233616.9</v>
      </c>
      <c r="H305" s="1899">
        <f>SUM(H306:H311)</f>
        <v>103615.1</v>
      </c>
      <c r="I305" s="1899">
        <f>SUM(I306:I311)</f>
        <v>130001.8</v>
      </c>
      <c r="J305" s="1899">
        <f t="shared" si="103"/>
        <v>135445.4</v>
      </c>
      <c r="K305" s="1899">
        <f>SUM(K306:K311)</f>
        <v>103615.1</v>
      </c>
      <c r="L305" s="1899">
        <f>SUM(L306:L311)</f>
        <v>31830.3</v>
      </c>
      <c r="M305" s="1899">
        <f t="shared" si="73"/>
        <v>58</v>
      </c>
      <c r="N305" s="1899">
        <f t="shared" si="73"/>
        <v>100</v>
      </c>
      <c r="O305" s="1899">
        <f t="shared" si="73"/>
        <v>24.5</v>
      </c>
      <c r="P305" s="1599"/>
      <c r="Q305" s="1599"/>
      <c r="R305" s="1899">
        <f>SUM(S305:T305)</f>
        <v>220985.5</v>
      </c>
      <c r="S305" s="1899">
        <f>SUM(S306:S311)</f>
        <v>0</v>
      </c>
      <c r="T305" s="1899">
        <f>SUM(T306:T311)</f>
        <v>220985.5</v>
      </c>
      <c r="U305" s="1899">
        <f>SUM(V305:W305)</f>
        <v>0</v>
      </c>
      <c r="V305" s="1899">
        <f>SUM(V306:V311)</f>
        <v>0</v>
      </c>
      <c r="W305" s="1899">
        <f>SUM(W306:W311)</f>
        <v>0</v>
      </c>
      <c r="X305" s="1423">
        <f t="shared" si="100"/>
        <v>0</v>
      </c>
      <c r="Y305" s="725"/>
      <c r="AA305" s="725"/>
    </row>
    <row r="306" spans="1:28" ht="66" customHeight="1">
      <c r="A306" s="2060">
        <f>A304+1</f>
        <v>107</v>
      </c>
      <c r="B306" s="1925" t="s">
        <v>707</v>
      </c>
      <c r="C306" s="1866">
        <v>10120</v>
      </c>
      <c r="D306" s="1600">
        <f t="shared" si="91"/>
        <v>111741.3</v>
      </c>
      <c r="E306" s="1608"/>
      <c r="F306" s="1608">
        <v>111741.3</v>
      </c>
      <c r="G306" s="1600">
        <f t="shared" si="85"/>
        <v>111741.3</v>
      </c>
      <c r="H306" s="1616">
        <f>E306</f>
        <v>0</v>
      </c>
      <c r="I306" s="1616">
        <f>F306</f>
        <v>111741.3</v>
      </c>
      <c r="J306" s="1600">
        <f t="shared" si="103"/>
        <v>25115</v>
      </c>
      <c r="K306" s="1608"/>
      <c r="L306" s="1608">
        <f>19812+2783.8+2496.194+23-18+18</f>
        <v>25115</v>
      </c>
      <c r="M306" s="1893">
        <f t="shared" si="73"/>
        <v>22.5</v>
      </c>
      <c r="N306" s="1894">
        <f t="shared" si="73"/>
        <v>0</v>
      </c>
      <c r="O306" s="1894">
        <f t="shared" si="73"/>
        <v>22.5</v>
      </c>
      <c r="P306" s="1593" t="s">
        <v>1192</v>
      </c>
      <c r="Q306" s="1593" t="s">
        <v>1163</v>
      </c>
      <c r="R306" s="1600">
        <f t="shared" si="101"/>
        <v>0</v>
      </c>
      <c r="S306" s="1608">
        <v>0</v>
      </c>
      <c r="T306" s="1608">
        <v>0</v>
      </c>
      <c r="U306" s="1600">
        <f t="shared" si="102"/>
        <v>0</v>
      </c>
      <c r="V306" s="1608">
        <v>0</v>
      </c>
      <c r="W306" s="1608">
        <v>0</v>
      </c>
      <c r="X306" s="1423">
        <f t="shared" si="100"/>
        <v>0</v>
      </c>
      <c r="Y306" s="725"/>
      <c r="AA306" s="725"/>
    </row>
    <row r="307" spans="1:28" ht="84" customHeight="1">
      <c r="A307" s="2081">
        <f>A306+1</f>
        <v>108</v>
      </c>
      <c r="B307" s="1916" t="s">
        <v>1478</v>
      </c>
      <c r="C307" s="1866">
        <v>10122</v>
      </c>
      <c r="D307" s="1600">
        <f t="shared" si="91"/>
        <v>14509.5</v>
      </c>
      <c r="E307" s="1608"/>
      <c r="F307" s="1624">
        <f>14680.4-170.9</f>
        <v>14509.5</v>
      </c>
      <c r="G307" s="1600">
        <f t="shared" si="85"/>
        <v>14509.5</v>
      </c>
      <c r="H307" s="1608"/>
      <c r="I307" s="1624">
        <f>14680.4-170.9</f>
        <v>14509.5</v>
      </c>
      <c r="J307" s="1600">
        <f t="shared" si="103"/>
        <v>6715.3</v>
      </c>
      <c r="K307" s="1608"/>
      <c r="L307" s="1624">
        <f>3774.5+2800.1+140.697</f>
        <v>6715.3</v>
      </c>
      <c r="M307" s="1893">
        <f t="shared" si="73"/>
        <v>46.3</v>
      </c>
      <c r="N307" s="1894">
        <f t="shared" si="73"/>
        <v>0</v>
      </c>
      <c r="O307" s="1894">
        <f t="shared" si="73"/>
        <v>46.3</v>
      </c>
      <c r="P307" s="1593" t="s">
        <v>1298</v>
      </c>
      <c r="Q307" s="1593" t="s">
        <v>1261</v>
      </c>
      <c r="R307" s="1600">
        <f t="shared" si="101"/>
        <v>0</v>
      </c>
      <c r="S307" s="1608">
        <v>0</v>
      </c>
      <c r="T307" s="1608">
        <v>0</v>
      </c>
      <c r="U307" s="1600">
        <f t="shared" si="102"/>
        <v>0</v>
      </c>
      <c r="V307" s="1608">
        <v>0</v>
      </c>
      <c r="W307" s="1608">
        <v>0</v>
      </c>
      <c r="X307" s="1423">
        <f t="shared" si="100"/>
        <v>0</v>
      </c>
      <c r="Y307" s="725"/>
      <c r="AA307" s="725"/>
    </row>
    <row r="308" spans="1:28" ht="55.5" customHeight="1">
      <c r="A308" s="2081">
        <f>A307+1</f>
        <v>109</v>
      </c>
      <c r="B308" s="2051" t="s">
        <v>1800</v>
      </c>
      <c r="C308" s="1866"/>
      <c r="D308" s="1600">
        <f>SUM(E308:F308)</f>
        <v>3751</v>
      </c>
      <c r="E308" s="1608"/>
      <c r="F308" s="1624">
        <f>3751</f>
        <v>3751</v>
      </c>
      <c r="G308" s="1600">
        <f>SUM(H308:I308)</f>
        <v>3751</v>
      </c>
      <c r="H308" s="1608"/>
      <c r="I308" s="1624">
        <v>3751</v>
      </c>
      <c r="J308" s="1600">
        <f>SUM(K308:L308)</f>
        <v>0</v>
      </c>
      <c r="K308" s="1608"/>
      <c r="L308" s="1624">
        <v>0</v>
      </c>
      <c r="M308" s="1893">
        <f>IF(J308=0,0,J308/G308*100)</f>
        <v>0</v>
      </c>
      <c r="N308" s="1894">
        <f>IF(K308=0,0,K308/H308*100)</f>
        <v>0</v>
      </c>
      <c r="O308" s="1894">
        <f>IF(L308=0,0,L308/I308*100)</f>
        <v>0</v>
      </c>
      <c r="P308" s="1593"/>
      <c r="Q308" s="1593"/>
      <c r="R308" s="1600"/>
      <c r="S308" s="1608"/>
      <c r="T308" s="1608"/>
      <c r="U308" s="1600"/>
      <c r="V308" s="1608"/>
      <c r="W308" s="1608"/>
      <c r="X308" s="1423"/>
      <c r="Y308" s="725"/>
      <c r="AA308" s="725"/>
    </row>
    <row r="309" spans="1:28" ht="81" customHeight="1">
      <c r="A309" s="2081">
        <f>A308+1</f>
        <v>110</v>
      </c>
      <c r="B309" s="493" t="s">
        <v>1781</v>
      </c>
      <c r="C309" s="2060">
        <v>14091</v>
      </c>
      <c r="D309" s="1600">
        <f t="shared" si="91"/>
        <v>103615.1</v>
      </c>
      <c r="E309" s="1614">
        <f>5521.9+98093.2</f>
        <v>103615.1</v>
      </c>
      <c r="F309" s="1614">
        <v>0</v>
      </c>
      <c r="G309" s="1600">
        <f t="shared" si="85"/>
        <v>103615.1</v>
      </c>
      <c r="H309" s="1614">
        <f>5521.9+98093.2</f>
        <v>103615.1</v>
      </c>
      <c r="I309" s="1614">
        <f>F309</f>
        <v>0</v>
      </c>
      <c r="J309" s="1600">
        <f t="shared" si="103"/>
        <v>103615.1</v>
      </c>
      <c r="K309" s="1614">
        <f>5521.9+98093.2</f>
        <v>103615.1</v>
      </c>
      <c r="L309" s="1614"/>
      <c r="M309" s="1604">
        <f t="shared" si="73"/>
        <v>100</v>
      </c>
      <c r="N309" s="1881">
        <f t="shared" si="73"/>
        <v>100</v>
      </c>
      <c r="O309" s="1881">
        <f t="shared" si="73"/>
        <v>0</v>
      </c>
      <c r="P309" s="1593" t="s">
        <v>1192</v>
      </c>
      <c r="Q309" s="1593" t="s">
        <v>1206</v>
      </c>
      <c r="R309" s="1600">
        <f t="shared" si="101"/>
        <v>200000</v>
      </c>
      <c r="S309" s="1614">
        <v>0</v>
      </c>
      <c r="T309" s="1614">
        <v>200000</v>
      </c>
      <c r="U309" s="1600">
        <f t="shared" si="102"/>
        <v>0</v>
      </c>
      <c r="V309" s="1608">
        <v>0</v>
      </c>
      <c r="W309" s="1608">
        <v>0</v>
      </c>
      <c r="Y309" s="2065" t="s">
        <v>1797</v>
      </c>
      <c r="AA309" s="725"/>
    </row>
    <row r="310" spans="1:28" s="484" customFormat="1" ht="45.75" hidden="1" customHeight="1">
      <c r="A310" s="2041">
        <v>117</v>
      </c>
      <c r="B310" s="1912" t="s">
        <v>1712</v>
      </c>
      <c r="C310" s="1913" t="s">
        <v>1546</v>
      </c>
      <c r="D310" s="1600">
        <f t="shared" si="91"/>
        <v>0</v>
      </c>
      <c r="E310" s="1608"/>
      <c r="F310" s="1608">
        <v>0</v>
      </c>
      <c r="G310" s="1600">
        <f t="shared" si="85"/>
        <v>0</v>
      </c>
      <c r="H310" s="1608"/>
      <c r="I310" s="1608">
        <v>0</v>
      </c>
      <c r="J310" s="1600">
        <f t="shared" si="103"/>
        <v>0</v>
      </c>
      <c r="K310" s="1608"/>
      <c r="L310" s="1608"/>
      <c r="M310" s="1893">
        <f t="shared" si="73"/>
        <v>0</v>
      </c>
      <c r="N310" s="1894">
        <f t="shared" si="73"/>
        <v>0</v>
      </c>
      <c r="O310" s="1894">
        <f t="shared" si="73"/>
        <v>0</v>
      </c>
      <c r="P310" s="1593" t="s">
        <v>1291</v>
      </c>
      <c r="Q310" s="1593" t="s">
        <v>1241</v>
      </c>
      <c r="R310" s="1600">
        <f t="shared" si="101"/>
        <v>0</v>
      </c>
      <c r="S310" s="1608">
        <v>0</v>
      </c>
      <c r="T310" s="1608">
        <v>0</v>
      </c>
      <c r="U310" s="1600">
        <f t="shared" si="102"/>
        <v>0</v>
      </c>
      <c r="V310" s="1608">
        <v>0</v>
      </c>
      <c r="W310" s="1608">
        <v>0</v>
      </c>
      <c r="AA310" s="725"/>
    </row>
    <row r="311" spans="1:28" ht="225" hidden="1">
      <c r="A311" s="1946" t="s">
        <v>1671</v>
      </c>
      <c r="B311" s="1888" t="s">
        <v>1669</v>
      </c>
      <c r="C311" s="2041" t="s">
        <v>1549</v>
      </c>
      <c r="D311" s="1600">
        <f t="shared" si="91"/>
        <v>0</v>
      </c>
      <c r="E311" s="1614"/>
      <c r="F311" s="1614"/>
      <c r="G311" s="1600">
        <f t="shared" si="85"/>
        <v>0</v>
      </c>
      <c r="H311" s="1614"/>
      <c r="I311" s="1614"/>
      <c r="J311" s="1600">
        <f>SUM(K311:L311)</f>
        <v>0</v>
      </c>
      <c r="K311" s="1614"/>
      <c r="L311" s="1614"/>
      <c r="M311" s="1604">
        <f t="shared" si="73"/>
        <v>0</v>
      </c>
      <c r="N311" s="1881">
        <f t="shared" si="73"/>
        <v>0</v>
      </c>
      <c r="O311" s="1881">
        <f t="shared" si="73"/>
        <v>0</v>
      </c>
      <c r="P311" s="1593" t="s">
        <v>1192</v>
      </c>
      <c r="Q311" s="1593" t="s">
        <v>1160</v>
      </c>
      <c r="R311" s="1600">
        <f>SUM(S311:T311)</f>
        <v>20985.5</v>
      </c>
      <c r="S311" s="1614">
        <v>0</v>
      </c>
      <c r="T311" s="1614">
        <v>20985.5</v>
      </c>
      <c r="U311" s="1600">
        <f>SUM(V311:W311)</f>
        <v>0</v>
      </c>
      <c r="V311" s="1614">
        <v>0</v>
      </c>
      <c r="W311" s="1614">
        <v>0</v>
      </c>
      <c r="AA311" s="725"/>
    </row>
    <row r="312" spans="1:28" s="791" customFormat="1" ht="46.5" customHeight="1">
      <c r="A312" s="2565" t="s">
        <v>456</v>
      </c>
      <c r="B312" s="2565"/>
      <c r="C312" s="1869"/>
      <c r="D312" s="1594">
        <f t="shared" si="91"/>
        <v>2429720.5</v>
      </c>
      <c r="E312" s="1594">
        <f>SUM(E313,E334)</f>
        <v>1923763.7</v>
      </c>
      <c r="F312" s="1594">
        <f>SUM(F313,F334)</f>
        <v>505956.8</v>
      </c>
      <c r="G312" s="1594">
        <f t="shared" si="85"/>
        <v>2190933</v>
      </c>
      <c r="H312" s="1594">
        <f>SUM(H313,H334)</f>
        <v>1684976.2</v>
      </c>
      <c r="I312" s="1594">
        <f>SUM(I313,I334)</f>
        <v>505956.8</v>
      </c>
      <c r="J312" s="1594">
        <f t="shared" si="103"/>
        <v>1008505.3</v>
      </c>
      <c r="K312" s="1594">
        <f>SUM(K313,K334)</f>
        <v>706997.9</v>
      </c>
      <c r="L312" s="1594">
        <f>SUM(L313,L334)</f>
        <v>301507.40000000002</v>
      </c>
      <c r="M312" s="1870">
        <f t="shared" si="73"/>
        <v>46</v>
      </c>
      <c r="N312" s="1871">
        <f t="shared" si="73"/>
        <v>42</v>
      </c>
      <c r="O312" s="1871">
        <f t="shared" si="73"/>
        <v>59.6</v>
      </c>
      <c r="P312" s="1940"/>
      <c r="Q312" s="1593" t="s">
        <v>1104</v>
      </c>
      <c r="R312" s="1594">
        <f t="shared" ref="R312:R327" si="104">SUM(S312:T312)</f>
        <v>998248</v>
      </c>
      <c r="S312" s="1594">
        <f>SUM(S313,S334)</f>
        <v>658766.30000000005</v>
      </c>
      <c r="T312" s="1594">
        <f>SUM(T313,T334)</f>
        <v>339481.7</v>
      </c>
      <c r="U312" s="1594">
        <f t="shared" ref="U312:U327" si="105">SUM(V312:W312)</f>
        <v>359443.8</v>
      </c>
      <c r="V312" s="1594">
        <f>SUM(V313,V334)</f>
        <v>15000</v>
      </c>
      <c r="W312" s="1594">
        <f>SUM(W313,W334)</f>
        <v>344443.8</v>
      </c>
      <c r="X312" s="1423">
        <f t="shared" ref="X312:X350" si="106">D312-G312</f>
        <v>238787.5</v>
      </c>
      <c r="Y312" s="1423"/>
      <c r="AA312" s="725"/>
      <c r="AB312" s="1423"/>
    </row>
    <row r="313" spans="1:28" ht="91.5" customHeight="1">
      <c r="A313" s="2041" t="s">
        <v>6</v>
      </c>
      <c r="B313" s="1872" t="s">
        <v>439</v>
      </c>
      <c r="C313" s="1873"/>
      <c r="D313" s="1861">
        <f t="shared" si="91"/>
        <v>51958</v>
      </c>
      <c r="E313" s="1861">
        <f>E314</f>
        <v>0</v>
      </c>
      <c r="F313" s="1861">
        <f>F314</f>
        <v>51958</v>
      </c>
      <c r="G313" s="1861">
        <f>SUM(H313:I313)</f>
        <v>51958</v>
      </c>
      <c r="H313" s="1861">
        <f>H314</f>
        <v>0</v>
      </c>
      <c r="I313" s="1861">
        <f>I314</f>
        <v>51958</v>
      </c>
      <c r="J313" s="1861">
        <f>SUM(K313:L313)</f>
        <v>24761.5</v>
      </c>
      <c r="K313" s="1861">
        <f>K314</f>
        <v>0</v>
      </c>
      <c r="L313" s="1861">
        <f>L314</f>
        <v>24761.5</v>
      </c>
      <c r="M313" s="1874">
        <f t="shared" si="73"/>
        <v>47.7</v>
      </c>
      <c r="N313" s="1875">
        <f t="shared" si="73"/>
        <v>0</v>
      </c>
      <c r="O313" s="1875">
        <f t="shared" si="73"/>
        <v>47.7</v>
      </c>
      <c r="P313" s="1597" t="s">
        <v>353</v>
      </c>
      <c r="Q313" s="1597" t="s">
        <v>353</v>
      </c>
      <c r="R313" s="1861">
        <f t="shared" si="104"/>
        <v>1700</v>
      </c>
      <c r="S313" s="1861">
        <f>S314</f>
        <v>0</v>
      </c>
      <c r="T313" s="1861">
        <f>SUM(T314)</f>
        <v>1700</v>
      </c>
      <c r="U313" s="1861">
        <f t="shared" si="105"/>
        <v>0</v>
      </c>
      <c r="V313" s="1861">
        <f>V314</f>
        <v>0</v>
      </c>
      <c r="W313" s="1861">
        <f>SUM(W314)</f>
        <v>0</v>
      </c>
      <c r="X313" s="1423">
        <f t="shared" si="106"/>
        <v>0</v>
      </c>
      <c r="AA313" s="725"/>
    </row>
    <row r="314" spans="1:28" ht="21.75" customHeight="1">
      <c r="A314" s="2041" t="s">
        <v>253</v>
      </c>
      <c r="B314" s="1876" t="s">
        <v>1393</v>
      </c>
      <c r="C314" s="1877"/>
      <c r="D314" s="1598">
        <f t="shared" si="91"/>
        <v>51958</v>
      </c>
      <c r="E314" s="1598">
        <f>E328+E315+E326+E332+E330</f>
        <v>0</v>
      </c>
      <c r="F314" s="1598">
        <f>F328+F315+F326+F332+F330</f>
        <v>51958</v>
      </c>
      <c r="G314" s="1598">
        <f>SUM(H314:I314)</f>
        <v>51958</v>
      </c>
      <c r="H314" s="1598">
        <f>H328+H315+H326+H332+H330</f>
        <v>0</v>
      </c>
      <c r="I314" s="1598">
        <f>I328+I315+I326+I332+I330</f>
        <v>51958</v>
      </c>
      <c r="J314" s="1598">
        <f>SUM(K314:L314)</f>
        <v>24761.5</v>
      </c>
      <c r="K314" s="1598">
        <f>K328+K315+K326+K332+K330</f>
        <v>0</v>
      </c>
      <c r="L314" s="1598">
        <f>L328+L315+L326+L332+L330</f>
        <v>24761.5</v>
      </c>
      <c r="M314" s="1598">
        <f t="shared" si="73"/>
        <v>47.7</v>
      </c>
      <c r="N314" s="1598">
        <f t="shared" si="73"/>
        <v>0</v>
      </c>
      <c r="O314" s="1598">
        <f t="shared" si="73"/>
        <v>47.7</v>
      </c>
      <c r="P314" s="1598">
        <f>P328+P315</f>
        <v>0</v>
      </c>
      <c r="Q314" s="1598">
        <f>Q328+Q315</f>
        <v>0</v>
      </c>
      <c r="R314" s="1598">
        <f t="shared" si="104"/>
        <v>1700</v>
      </c>
      <c r="S314" s="1598">
        <f>S328+S315+S326+S332</f>
        <v>0</v>
      </c>
      <c r="T314" s="1598">
        <f>T328+T315+T326+T332+1000</f>
        <v>1700</v>
      </c>
      <c r="U314" s="1598">
        <f t="shared" si="105"/>
        <v>0</v>
      </c>
      <c r="V314" s="1598">
        <f>V328+V315+V326+V332</f>
        <v>0</v>
      </c>
      <c r="W314" s="1598">
        <f>W328+W315+W326+W332</f>
        <v>0</v>
      </c>
      <c r="X314" s="1423">
        <f t="shared" si="106"/>
        <v>0</v>
      </c>
      <c r="AA314" s="725"/>
    </row>
    <row r="315" spans="1:28" ht="23.25" customHeight="1">
      <c r="A315" s="2041"/>
      <c r="B315" s="2040" t="s">
        <v>283</v>
      </c>
      <c r="C315" s="1866"/>
      <c r="D315" s="1602">
        <f t="shared" ref="D315:D381" si="107">SUM(E315:F315)</f>
        <v>47188</v>
      </c>
      <c r="E315" s="1601">
        <f>SUM(E316:E324)</f>
        <v>0</v>
      </c>
      <c r="F315" s="1601">
        <f>SUM(F316:F325)</f>
        <v>47188</v>
      </c>
      <c r="G315" s="1602">
        <f>SUBTOTAL(9,G316:G325)</f>
        <v>47188</v>
      </c>
      <c r="H315" s="1601">
        <f>SUM(H316:H324)</f>
        <v>0</v>
      </c>
      <c r="I315" s="1602">
        <f>SUBTOTAL(9,I316:I325)</f>
        <v>47188</v>
      </c>
      <c r="J315" s="1602">
        <f t="shared" si="103"/>
        <v>23271.5</v>
      </c>
      <c r="K315" s="1601">
        <f>SUM(K316:K324)</f>
        <v>0</v>
      </c>
      <c r="L315" s="1601">
        <f>SUM(L316:L324)</f>
        <v>23271.5</v>
      </c>
      <c r="M315" s="1603">
        <f t="shared" si="73"/>
        <v>49.3</v>
      </c>
      <c r="N315" s="1603">
        <f t="shared" si="73"/>
        <v>0</v>
      </c>
      <c r="O315" s="1603">
        <f t="shared" si="73"/>
        <v>49.3</v>
      </c>
      <c r="P315" s="1603">
        <f>SUM(P316:P324)</f>
        <v>0</v>
      </c>
      <c r="Q315" s="1603">
        <f>SUM(Q316:Q324)</f>
        <v>0</v>
      </c>
      <c r="R315" s="1602">
        <f t="shared" si="104"/>
        <v>0</v>
      </c>
      <c r="S315" s="1601">
        <f>SUM(S316:S324)</f>
        <v>0</v>
      </c>
      <c r="T315" s="1601">
        <f>SUM(T316:T324)</f>
        <v>0</v>
      </c>
      <c r="U315" s="1602">
        <f t="shared" si="105"/>
        <v>0</v>
      </c>
      <c r="V315" s="1601">
        <f>SUM(V316:V324)</f>
        <v>0</v>
      </c>
      <c r="W315" s="1601">
        <f>SUM(W316:W324)</f>
        <v>0</v>
      </c>
      <c r="X315" s="1423">
        <f t="shared" si="106"/>
        <v>0</v>
      </c>
      <c r="Y315" s="725"/>
      <c r="AA315" s="725"/>
    </row>
    <row r="316" spans="1:28" s="1566" customFormat="1" ht="62.25" hidden="1" customHeight="1">
      <c r="A316" s="2041"/>
      <c r="B316" s="1889" t="s">
        <v>1571</v>
      </c>
      <c r="C316" s="1866"/>
      <c r="D316" s="1602">
        <f t="shared" si="107"/>
        <v>0</v>
      </c>
      <c r="E316" s="1601"/>
      <c r="F316" s="1619">
        <v>0</v>
      </c>
      <c r="G316" s="1602">
        <f t="shared" si="85"/>
        <v>0</v>
      </c>
      <c r="H316" s="1601"/>
      <c r="I316" s="1619">
        <f>F316</f>
        <v>0</v>
      </c>
      <c r="J316" s="1602">
        <f t="shared" si="103"/>
        <v>0</v>
      </c>
      <c r="K316" s="1601"/>
      <c r="L316" s="1619"/>
      <c r="M316" s="1602">
        <f t="shared" si="73"/>
        <v>0</v>
      </c>
      <c r="N316" s="1600">
        <f t="shared" si="73"/>
        <v>0</v>
      </c>
      <c r="O316" s="1619">
        <f t="shared" si="73"/>
        <v>0</v>
      </c>
      <c r="P316" s="1599"/>
      <c r="Q316" s="1599"/>
      <c r="R316" s="1602">
        <f t="shared" si="104"/>
        <v>0</v>
      </c>
      <c r="S316" s="1619">
        <v>0</v>
      </c>
      <c r="T316" s="1619">
        <v>0</v>
      </c>
      <c r="U316" s="1602">
        <f t="shared" si="105"/>
        <v>0</v>
      </c>
      <c r="V316" s="1619">
        <v>0</v>
      </c>
      <c r="W316" s="1619">
        <v>0</v>
      </c>
      <c r="X316" s="1423">
        <f t="shared" si="106"/>
        <v>0</v>
      </c>
      <c r="Y316" s="725"/>
      <c r="AA316" s="725"/>
    </row>
    <row r="317" spans="1:28" s="1566" customFormat="1" ht="60.75" customHeight="1">
      <c r="A317" s="2041">
        <f>A316+1</f>
        <v>1</v>
      </c>
      <c r="B317" s="1889" t="s">
        <v>1665</v>
      </c>
      <c r="C317" s="1866"/>
      <c r="D317" s="1602">
        <f t="shared" si="107"/>
        <v>0</v>
      </c>
      <c r="E317" s="1601"/>
      <c r="F317" s="1619">
        <v>0</v>
      </c>
      <c r="G317" s="1602">
        <f t="shared" si="85"/>
        <v>0</v>
      </c>
      <c r="H317" s="1601"/>
      <c r="I317" s="1619">
        <v>0</v>
      </c>
      <c r="J317" s="1602">
        <f t="shared" si="103"/>
        <v>0</v>
      </c>
      <c r="K317" s="1601"/>
      <c r="L317" s="1619"/>
      <c r="M317" s="1602">
        <f t="shared" si="73"/>
        <v>0</v>
      </c>
      <c r="N317" s="1600">
        <f t="shared" si="73"/>
        <v>0</v>
      </c>
      <c r="O317" s="1619">
        <f t="shared" si="73"/>
        <v>0</v>
      </c>
      <c r="P317" s="1599"/>
      <c r="Q317" s="1599"/>
      <c r="R317" s="1602">
        <f t="shared" si="104"/>
        <v>0</v>
      </c>
      <c r="S317" s="1619">
        <v>0</v>
      </c>
      <c r="T317" s="1619">
        <v>0</v>
      </c>
      <c r="U317" s="1602">
        <f t="shared" si="105"/>
        <v>0</v>
      </c>
      <c r="V317" s="1619">
        <v>0</v>
      </c>
      <c r="W317" s="1619">
        <v>0</v>
      </c>
      <c r="X317" s="1423">
        <f t="shared" si="106"/>
        <v>0</v>
      </c>
      <c r="Y317" s="725"/>
      <c r="AA317" s="725"/>
    </row>
    <row r="318" spans="1:28" s="1566" customFormat="1" ht="66.75" hidden="1" customHeight="1">
      <c r="A318" s="2041"/>
      <c r="B318" s="1889" t="s">
        <v>1575</v>
      </c>
      <c r="C318" s="1866"/>
      <c r="D318" s="1602">
        <f t="shared" si="107"/>
        <v>0</v>
      </c>
      <c r="E318" s="1601"/>
      <c r="F318" s="1619">
        <v>0</v>
      </c>
      <c r="G318" s="1602">
        <f t="shared" si="85"/>
        <v>0</v>
      </c>
      <c r="H318" s="1601"/>
      <c r="I318" s="1619">
        <v>0</v>
      </c>
      <c r="J318" s="1602">
        <f t="shared" si="103"/>
        <v>0</v>
      </c>
      <c r="K318" s="1601"/>
      <c r="L318" s="1619"/>
      <c r="M318" s="1602">
        <f t="shared" si="73"/>
        <v>0</v>
      </c>
      <c r="N318" s="1600">
        <f t="shared" si="73"/>
        <v>0</v>
      </c>
      <c r="O318" s="1619">
        <f t="shared" si="73"/>
        <v>0</v>
      </c>
      <c r="P318" s="1599"/>
      <c r="Q318" s="1599"/>
      <c r="R318" s="1602">
        <f t="shared" si="104"/>
        <v>0</v>
      </c>
      <c r="S318" s="1619">
        <v>0</v>
      </c>
      <c r="T318" s="1619">
        <v>0</v>
      </c>
      <c r="U318" s="1602">
        <f t="shared" si="105"/>
        <v>0</v>
      </c>
      <c r="V318" s="1619">
        <v>0</v>
      </c>
      <c r="W318" s="1619">
        <v>0</v>
      </c>
      <c r="X318" s="1423">
        <f t="shared" si="106"/>
        <v>0</v>
      </c>
      <c r="Y318" s="725"/>
      <c r="AA318" s="725"/>
    </row>
    <row r="319" spans="1:28" s="1566" customFormat="1" ht="76.5" customHeight="1">
      <c r="A319" s="2041">
        <f>A317+1</f>
        <v>2</v>
      </c>
      <c r="B319" s="1889" t="s">
        <v>1666</v>
      </c>
      <c r="C319" s="1866"/>
      <c r="D319" s="1602">
        <f t="shared" si="107"/>
        <v>954</v>
      </c>
      <c r="E319" s="1601"/>
      <c r="F319" s="1619">
        <f>19800-13536-5310</f>
        <v>954</v>
      </c>
      <c r="G319" s="1602">
        <f t="shared" si="85"/>
        <v>954</v>
      </c>
      <c r="H319" s="1601"/>
      <c r="I319" s="1619">
        <f>19800-13536-5310</f>
        <v>954</v>
      </c>
      <c r="J319" s="1602">
        <f t="shared" si="103"/>
        <v>0</v>
      </c>
      <c r="K319" s="1601"/>
      <c r="L319" s="1619"/>
      <c r="M319" s="1602">
        <f t="shared" si="73"/>
        <v>0</v>
      </c>
      <c r="N319" s="1600">
        <f t="shared" si="73"/>
        <v>0</v>
      </c>
      <c r="O319" s="1619">
        <f t="shared" si="73"/>
        <v>0</v>
      </c>
      <c r="P319" s="1599"/>
      <c r="Q319" s="1599"/>
      <c r="R319" s="1602">
        <f t="shared" si="104"/>
        <v>0</v>
      </c>
      <c r="S319" s="1619">
        <v>0</v>
      </c>
      <c r="T319" s="1619">
        <v>0</v>
      </c>
      <c r="U319" s="1602">
        <f t="shared" si="105"/>
        <v>0</v>
      </c>
      <c r="V319" s="1619">
        <v>0</v>
      </c>
      <c r="W319" s="1619">
        <v>0</v>
      </c>
      <c r="X319" s="1423">
        <f t="shared" si="106"/>
        <v>0</v>
      </c>
      <c r="Y319" s="725"/>
      <c r="AA319" s="725"/>
    </row>
    <row r="320" spans="1:28" s="1566" customFormat="1" ht="74.25" customHeight="1">
      <c r="A320" s="2041">
        <f>A319+1</f>
        <v>3</v>
      </c>
      <c r="B320" s="1889" t="s">
        <v>1573</v>
      </c>
      <c r="C320" s="1866"/>
      <c r="D320" s="1602">
        <f t="shared" si="107"/>
        <v>17670</v>
      </c>
      <c r="E320" s="1601"/>
      <c r="F320" s="1619">
        <v>17670</v>
      </c>
      <c r="G320" s="1602">
        <f t="shared" si="85"/>
        <v>17670</v>
      </c>
      <c r="H320" s="1601"/>
      <c r="I320" s="1619">
        <v>17670</v>
      </c>
      <c r="J320" s="1602">
        <f t="shared" si="103"/>
        <v>0</v>
      </c>
      <c r="K320" s="1601"/>
      <c r="L320" s="1619"/>
      <c r="M320" s="1602">
        <f t="shared" si="73"/>
        <v>0</v>
      </c>
      <c r="N320" s="1600">
        <f t="shared" si="73"/>
        <v>0</v>
      </c>
      <c r="O320" s="1619">
        <f t="shared" si="73"/>
        <v>0</v>
      </c>
      <c r="P320" s="1599"/>
      <c r="Q320" s="1599"/>
      <c r="R320" s="1602">
        <f t="shared" si="104"/>
        <v>0</v>
      </c>
      <c r="S320" s="1619">
        <v>0</v>
      </c>
      <c r="T320" s="1619">
        <v>0</v>
      </c>
      <c r="U320" s="1602">
        <f t="shared" si="105"/>
        <v>0</v>
      </c>
      <c r="V320" s="1619">
        <v>0</v>
      </c>
      <c r="W320" s="1619">
        <v>0</v>
      </c>
      <c r="X320" s="1423">
        <f t="shared" si="106"/>
        <v>0</v>
      </c>
      <c r="Y320" s="725"/>
      <c r="AA320" s="725"/>
    </row>
    <row r="321" spans="1:28" s="1566" customFormat="1" ht="57.75" customHeight="1">
      <c r="A321" s="2041">
        <f>A320+1</f>
        <v>4</v>
      </c>
      <c r="B321" s="1889" t="s">
        <v>1605</v>
      </c>
      <c r="C321" s="1866"/>
      <c r="D321" s="1602">
        <f t="shared" si="107"/>
        <v>1176</v>
      </c>
      <c r="E321" s="1601"/>
      <c r="F321" s="1619">
        <v>1176</v>
      </c>
      <c r="G321" s="1602">
        <f t="shared" si="85"/>
        <v>1176</v>
      </c>
      <c r="H321" s="1601"/>
      <c r="I321" s="1619">
        <v>1176</v>
      </c>
      <c r="J321" s="1602">
        <f t="shared" si="103"/>
        <v>1176</v>
      </c>
      <c r="K321" s="1601"/>
      <c r="L321" s="1619">
        <v>1176</v>
      </c>
      <c r="M321" s="1604">
        <f t="shared" si="73"/>
        <v>100</v>
      </c>
      <c r="N321" s="1600">
        <f t="shared" si="73"/>
        <v>0</v>
      </c>
      <c r="O321" s="1619">
        <f t="shared" si="73"/>
        <v>100</v>
      </c>
      <c r="P321" s="1599"/>
      <c r="Q321" s="1599"/>
      <c r="R321" s="1602">
        <f t="shared" si="104"/>
        <v>0</v>
      </c>
      <c r="S321" s="1619">
        <v>0</v>
      </c>
      <c r="T321" s="1619">
        <v>0</v>
      </c>
      <c r="U321" s="1602">
        <f t="shared" si="105"/>
        <v>0</v>
      </c>
      <c r="V321" s="1619">
        <v>0</v>
      </c>
      <c r="W321" s="1619">
        <v>0</v>
      </c>
      <c r="X321" s="1423">
        <f t="shared" si="106"/>
        <v>0</v>
      </c>
      <c r="Y321" s="725"/>
      <c r="AA321" s="725"/>
    </row>
    <row r="322" spans="1:28" s="1566" customFormat="1" ht="55.5" customHeight="1">
      <c r="A322" s="2041">
        <f>A321+1</f>
        <v>5</v>
      </c>
      <c r="B322" s="1889" t="s">
        <v>1572</v>
      </c>
      <c r="C322" s="1866"/>
      <c r="D322" s="1602">
        <f t="shared" si="107"/>
        <v>3822</v>
      </c>
      <c r="E322" s="1601"/>
      <c r="F322" s="1619">
        <v>3822</v>
      </c>
      <c r="G322" s="1602">
        <f t="shared" si="85"/>
        <v>3822</v>
      </c>
      <c r="H322" s="1601"/>
      <c r="I322" s="1619">
        <v>3822</v>
      </c>
      <c r="J322" s="1602">
        <f t="shared" si="103"/>
        <v>3822</v>
      </c>
      <c r="K322" s="1601"/>
      <c r="L322" s="1619">
        <v>3822</v>
      </c>
      <c r="M322" s="1602">
        <f t="shared" si="73"/>
        <v>100</v>
      </c>
      <c r="N322" s="1600">
        <f t="shared" si="73"/>
        <v>0</v>
      </c>
      <c r="O322" s="1619">
        <f t="shared" si="73"/>
        <v>100</v>
      </c>
      <c r="P322" s="1599"/>
      <c r="Q322" s="1599"/>
      <c r="R322" s="1602">
        <f t="shared" si="104"/>
        <v>0</v>
      </c>
      <c r="S322" s="1619">
        <v>0</v>
      </c>
      <c r="T322" s="1619">
        <v>0</v>
      </c>
      <c r="U322" s="1602">
        <f t="shared" si="105"/>
        <v>0</v>
      </c>
      <c r="V322" s="1619">
        <v>0</v>
      </c>
      <c r="W322" s="1619">
        <v>0</v>
      </c>
      <c r="X322" s="1423">
        <f t="shared" si="106"/>
        <v>0</v>
      </c>
      <c r="Y322" s="725"/>
      <c r="AA322" s="725"/>
    </row>
    <row r="323" spans="1:28" s="1566" customFormat="1" ht="39.75" customHeight="1">
      <c r="A323" s="2041">
        <f>A322+1</f>
        <v>6</v>
      </c>
      <c r="B323" s="1889" t="s">
        <v>1570</v>
      </c>
      <c r="C323" s="1866"/>
      <c r="D323" s="1602">
        <f t="shared" si="107"/>
        <v>4116</v>
      </c>
      <c r="E323" s="1601"/>
      <c r="F323" s="1619">
        <v>4116</v>
      </c>
      <c r="G323" s="1602">
        <f t="shared" si="85"/>
        <v>4116</v>
      </c>
      <c r="H323" s="1601"/>
      <c r="I323" s="1619">
        <v>4116</v>
      </c>
      <c r="J323" s="1602">
        <f t="shared" si="103"/>
        <v>4116</v>
      </c>
      <c r="K323" s="1601"/>
      <c r="L323" s="1619">
        <v>4116</v>
      </c>
      <c r="M323" s="1602">
        <f t="shared" si="73"/>
        <v>100</v>
      </c>
      <c r="N323" s="1600">
        <f t="shared" si="73"/>
        <v>0</v>
      </c>
      <c r="O323" s="1619">
        <f t="shared" si="73"/>
        <v>100</v>
      </c>
      <c r="P323" s="1599"/>
      <c r="Q323" s="1599"/>
      <c r="R323" s="1602">
        <f t="shared" si="104"/>
        <v>0</v>
      </c>
      <c r="S323" s="1619">
        <v>0</v>
      </c>
      <c r="T323" s="1619">
        <v>0</v>
      </c>
      <c r="U323" s="1602">
        <f t="shared" si="105"/>
        <v>0</v>
      </c>
      <c r="V323" s="1619">
        <v>0</v>
      </c>
      <c r="W323" s="1619">
        <v>0</v>
      </c>
      <c r="X323" s="1423">
        <f t="shared" si="106"/>
        <v>0</v>
      </c>
      <c r="Y323" s="725"/>
      <c r="AA323" s="725"/>
    </row>
    <row r="324" spans="1:28" s="1566" customFormat="1" ht="39" customHeight="1">
      <c r="A324" s="2041">
        <f>A323+1</f>
        <v>7</v>
      </c>
      <c r="B324" s="1905" t="s">
        <v>1569</v>
      </c>
      <c r="C324" s="1906"/>
      <c r="D324" s="1602">
        <f t="shared" si="107"/>
        <v>19450</v>
      </c>
      <c r="E324" s="1600"/>
      <c r="F324" s="1619">
        <v>19450</v>
      </c>
      <c r="G324" s="1602">
        <f t="shared" si="85"/>
        <v>19450</v>
      </c>
      <c r="H324" s="1600"/>
      <c r="I324" s="1619">
        <v>19450</v>
      </c>
      <c r="J324" s="1602">
        <f t="shared" si="103"/>
        <v>14157.5</v>
      </c>
      <c r="K324" s="1600"/>
      <c r="L324" s="1619">
        <v>14157.5</v>
      </c>
      <c r="M324" s="1602">
        <f t="shared" si="73"/>
        <v>72.8</v>
      </c>
      <c r="N324" s="1600">
        <f t="shared" si="73"/>
        <v>0</v>
      </c>
      <c r="O324" s="1619">
        <f t="shared" si="73"/>
        <v>72.8</v>
      </c>
      <c r="P324" s="1599"/>
      <c r="Q324" s="1599"/>
      <c r="R324" s="1602">
        <f t="shared" si="104"/>
        <v>0</v>
      </c>
      <c r="S324" s="1619">
        <v>0</v>
      </c>
      <c r="T324" s="1619">
        <v>0</v>
      </c>
      <c r="U324" s="1602">
        <f t="shared" si="105"/>
        <v>0</v>
      </c>
      <c r="V324" s="1619">
        <v>0</v>
      </c>
      <c r="W324" s="1619">
        <v>0</v>
      </c>
      <c r="X324" s="1423">
        <f t="shared" si="106"/>
        <v>0</v>
      </c>
      <c r="Y324" s="725"/>
      <c r="AA324" s="725"/>
    </row>
    <row r="325" spans="1:28" s="1566" customFormat="1" ht="63.75" customHeight="1">
      <c r="A325" s="2041">
        <v>8</v>
      </c>
      <c r="B325" s="1926" t="s">
        <v>1708</v>
      </c>
      <c r="C325" s="1906"/>
      <c r="D325" s="1602">
        <f>SUM(E325:F325)</f>
        <v>0</v>
      </c>
      <c r="E325" s="1600"/>
      <c r="F325" s="1619">
        <v>0</v>
      </c>
      <c r="G325" s="1602">
        <f>SUM(H325:I325)</f>
        <v>0</v>
      </c>
      <c r="H325" s="1600"/>
      <c r="I325" s="1619">
        <v>0</v>
      </c>
      <c r="J325" s="1602">
        <f>SUM(K325:L325)</f>
        <v>0</v>
      </c>
      <c r="K325" s="1600"/>
      <c r="L325" s="1619"/>
      <c r="M325" s="1602">
        <f t="shared" si="73"/>
        <v>0</v>
      </c>
      <c r="N325" s="1600">
        <f t="shared" si="73"/>
        <v>0</v>
      </c>
      <c r="O325" s="1619">
        <f t="shared" si="73"/>
        <v>0</v>
      </c>
      <c r="P325" s="1599"/>
      <c r="Q325" s="1599"/>
      <c r="R325" s="1602"/>
      <c r="S325" s="1619"/>
      <c r="T325" s="1619"/>
      <c r="U325" s="1602"/>
      <c r="V325" s="1619"/>
      <c r="W325" s="1619"/>
      <c r="X325" s="1423">
        <f t="shared" si="106"/>
        <v>0</v>
      </c>
      <c r="Y325" s="725"/>
      <c r="AA325" s="725"/>
    </row>
    <row r="326" spans="1:28" s="1566" customFormat="1" ht="23.25">
      <c r="A326" s="2041"/>
      <c r="B326" s="2040" t="s">
        <v>615</v>
      </c>
      <c r="C326" s="1866">
        <v>24340</v>
      </c>
      <c r="D326" s="1600">
        <f t="shared" si="107"/>
        <v>3280</v>
      </c>
      <c r="E326" s="1601">
        <f>SUM(E327)</f>
        <v>0</v>
      </c>
      <c r="F326" s="1601">
        <f>SUM(F327)</f>
        <v>3280</v>
      </c>
      <c r="G326" s="1600">
        <f t="shared" si="85"/>
        <v>3280</v>
      </c>
      <c r="H326" s="1601">
        <f>SUM(H327)</f>
        <v>0</v>
      </c>
      <c r="I326" s="1601">
        <f>SUM(I327)</f>
        <v>3280</v>
      </c>
      <c r="J326" s="1600">
        <f t="shared" si="103"/>
        <v>0</v>
      </c>
      <c r="K326" s="1601">
        <f>SUM(K327)</f>
        <v>0</v>
      </c>
      <c r="L326" s="1601">
        <f>SUM(L327)</f>
        <v>0</v>
      </c>
      <c r="M326" s="1604">
        <f t="shared" ref="M326:O393" si="108">IF(J326=0,0,J326/G326*100)</f>
        <v>0</v>
      </c>
      <c r="N326" s="1881">
        <f t="shared" si="108"/>
        <v>0</v>
      </c>
      <c r="O326" s="1881">
        <f t="shared" si="108"/>
        <v>0</v>
      </c>
      <c r="P326" s="1599"/>
      <c r="Q326" s="1599"/>
      <c r="R326" s="1602">
        <f t="shared" si="104"/>
        <v>0</v>
      </c>
      <c r="S326" s="1619">
        <v>0</v>
      </c>
      <c r="T326" s="1619">
        <v>0</v>
      </c>
      <c r="U326" s="1602">
        <f t="shared" si="105"/>
        <v>0</v>
      </c>
      <c r="V326" s="1600">
        <v>0</v>
      </c>
      <c r="W326" s="1600">
        <v>0</v>
      </c>
      <c r="X326" s="1423">
        <f t="shared" si="106"/>
        <v>0</v>
      </c>
      <c r="Y326" s="725"/>
      <c r="AA326" s="725"/>
    </row>
    <row r="327" spans="1:28" s="1566" customFormat="1" ht="96" customHeight="1">
      <c r="A327" s="2041">
        <v>9</v>
      </c>
      <c r="B327" s="1926" t="s">
        <v>1420</v>
      </c>
      <c r="C327" s="1866">
        <v>24340</v>
      </c>
      <c r="D327" s="1600">
        <f t="shared" si="107"/>
        <v>3280</v>
      </c>
      <c r="E327" s="1608"/>
      <c r="F327" s="1608">
        <f>3840-560</f>
        <v>3280</v>
      </c>
      <c r="G327" s="1600">
        <f t="shared" si="85"/>
        <v>3280</v>
      </c>
      <c r="H327" s="1608"/>
      <c r="I327" s="1608">
        <f>3840-560</f>
        <v>3280</v>
      </c>
      <c r="J327" s="1600">
        <f t="shared" si="103"/>
        <v>0</v>
      </c>
      <c r="K327" s="1608"/>
      <c r="L327" s="1608"/>
      <c r="M327" s="1604">
        <f t="shared" si="108"/>
        <v>0</v>
      </c>
      <c r="N327" s="1881">
        <f t="shared" si="108"/>
        <v>0</v>
      </c>
      <c r="O327" s="1881">
        <f t="shared" si="108"/>
        <v>0</v>
      </c>
      <c r="P327" s="1599"/>
      <c r="Q327" s="1599"/>
      <c r="R327" s="1602">
        <f t="shared" si="104"/>
        <v>0</v>
      </c>
      <c r="S327" s="1619">
        <v>0</v>
      </c>
      <c r="T327" s="1619">
        <v>0</v>
      </c>
      <c r="U327" s="1602">
        <f t="shared" si="105"/>
        <v>0</v>
      </c>
      <c r="V327" s="1619">
        <v>0</v>
      </c>
      <c r="W327" s="1619">
        <v>0</v>
      </c>
      <c r="X327" s="1423">
        <f t="shared" si="106"/>
        <v>0</v>
      </c>
      <c r="Y327" s="725"/>
      <c r="AA327" s="725"/>
    </row>
    <row r="328" spans="1:28" s="1566" customFormat="1" ht="21" customHeight="1">
      <c r="A328" s="2041"/>
      <c r="B328" s="2040" t="s">
        <v>431</v>
      </c>
      <c r="C328" s="1866"/>
      <c r="D328" s="1602">
        <f t="shared" si="107"/>
        <v>0</v>
      </c>
      <c r="E328" s="1601">
        <f>SUM(E329)</f>
        <v>0</v>
      </c>
      <c r="F328" s="1601">
        <f>SUM(F329)</f>
        <v>0</v>
      </c>
      <c r="G328" s="1602">
        <f t="shared" si="85"/>
        <v>0</v>
      </c>
      <c r="H328" s="1601">
        <f>SUM(H329)</f>
        <v>0</v>
      </c>
      <c r="I328" s="1601">
        <f>SUM(I329)</f>
        <v>0</v>
      </c>
      <c r="J328" s="1602">
        <f t="shared" si="103"/>
        <v>0</v>
      </c>
      <c r="K328" s="1601">
        <f>SUM(K329)</f>
        <v>0</v>
      </c>
      <c r="L328" s="1601">
        <f>SUM(L329)</f>
        <v>0</v>
      </c>
      <c r="M328" s="1604">
        <f t="shared" si="108"/>
        <v>0</v>
      </c>
      <c r="N328" s="1881">
        <f t="shared" si="108"/>
        <v>0</v>
      </c>
      <c r="O328" s="1881">
        <f t="shared" si="108"/>
        <v>0</v>
      </c>
      <c r="P328" s="1940"/>
      <c r="Q328" s="1593"/>
      <c r="R328" s="1602">
        <f>SUM(S328:T328)</f>
        <v>700</v>
      </c>
      <c r="S328" s="1601">
        <f>SUM(S329)</f>
        <v>0</v>
      </c>
      <c r="T328" s="1601">
        <f>SUM(T329)</f>
        <v>700</v>
      </c>
      <c r="U328" s="1602">
        <f>SUM(V328:W328)</f>
        <v>0</v>
      </c>
      <c r="V328" s="1601">
        <f>SUM(V329)</f>
        <v>0</v>
      </c>
      <c r="W328" s="1601">
        <f>SUM(W329)</f>
        <v>0</v>
      </c>
      <c r="X328" s="1423">
        <f t="shared" si="106"/>
        <v>0</v>
      </c>
      <c r="Y328" s="725"/>
      <c r="AA328" s="725"/>
    </row>
    <row r="329" spans="1:28" s="1566" customFormat="1" ht="38.25" customHeight="1">
      <c r="A329" s="2041">
        <f>A327+1</f>
        <v>10</v>
      </c>
      <c r="B329" s="1926" t="s">
        <v>1664</v>
      </c>
      <c r="C329" s="1866">
        <v>24340</v>
      </c>
      <c r="D329" s="1602">
        <f t="shared" si="107"/>
        <v>0</v>
      </c>
      <c r="E329" s="1608"/>
      <c r="F329" s="1608">
        <v>0</v>
      </c>
      <c r="G329" s="1602">
        <f t="shared" si="85"/>
        <v>0</v>
      </c>
      <c r="H329" s="1608"/>
      <c r="I329" s="1608">
        <v>0</v>
      </c>
      <c r="J329" s="1602">
        <f t="shared" si="103"/>
        <v>0</v>
      </c>
      <c r="K329" s="1608"/>
      <c r="L329" s="1608"/>
      <c r="M329" s="1604">
        <f t="shared" si="108"/>
        <v>0</v>
      </c>
      <c r="N329" s="1881">
        <f t="shared" si="108"/>
        <v>0</v>
      </c>
      <c r="O329" s="1881">
        <f t="shared" si="108"/>
        <v>0</v>
      </c>
      <c r="P329" s="1940"/>
      <c r="Q329" s="1593"/>
      <c r="R329" s="1602">
        <f>SUM(S329:T329)</f>
        <v>700</v>
      </c>
      <c r="S329" s="1616">
        <v>0</v>
      </c>
      <c r="T329" s="1616">
        <v>700</v>
      </c>
      <c r="U329" s="1602">
        <f>SUM(V329:W329)</f>
        <v>0</v>
      </c>
      <c r="V329" s="1616">
        <v>0</v>
      </c>
      <c r="W329" s="1616">
        <v>0</v>
      </c>
      <c r="X329" s="1423">
        <f t="shared" si="106"/>
        <v>0</v>
      </c>
      <c r="Y329" s="725"/>
      <c r="AA329" s="725"/>
    </row>
    <row r="330" spans="1:28" s="1566" customFormat="1" ht="23.25">
      <c r="A330" s="2041"/>
      <c r="B330" s="1974" t="s">
        <v>1688</v>
      </c>
      <c r="C330" s="1866"/>
      <c r="D330" s="1602">
        <f>SUM(E330:F330)</f>
        <v>1490</v>
      </c>
      <c r="E330" s="1601">
        <f>SUM(E331)</f>
        <v>0</v>
      </c>
      <c r="F330" s="1601">
        <f>SUM(F331)</f>
        <v>1490</v>
      </c>
      <c r="G330" s="1602">
        <f>SUM(H330:I330)</f>
        <v>1490</v>
      </c>
      <c r="H330" s="1601">
        <f>SUM(H331)</f>
        <v>0</v>
      </c>
      <c r="I330" s="1601">
        <f>SUM(I331)</f>
        <v>1490</v>
      </c>
      <c r="J330" s="1602">
        <f>SUM(K330:L330)</f>
        <v>1490</v>
      </c>
      <c r="K330" s="1601">
        <f>SUM(K331)</f>
        <v>0</v>
      </c>
      <c r="L330" s="1601">
        <f>SUM(L331)</f>
        <v>1490</v>
      </c>
      <c r="M330" s="1604">
        <f t="shared" si="108"/>
        <v>100</v>
      </c>
      <c r="N330" s="1881">
        <f t="shared" si="108"/>
        <v>0</v>
      </c>
      <c r="O330" s="1881">
        <f t="shared" si="108"/>
        <v>100</v>
      </c>
      <c r="P330" s="1940"/>
      <c r="Q330" s="1593"/>
      <c r="R330" s="1602"/>
      <c r="S330" s="1616"/>
      <c r="T330" s="1616"/>
      <c r="U330" s="1602"/>
      <c r="V330" s="1616"/>
      <c r="W330" s="1616"/>
      <c r="X330" s="1423">
        <f t="shared" si="106"/>
        <v>0</v>
      </c>
      <c r="Y330" s="725"/>
      <c r="AA330" s="725"/>
    </row>
    <row r="331" spans="1:28" s="1566" customFormat="1" ht="75">
      <c r="A331" s="2041">
        <v>11</v>
      </c>
      <c r="B331" s="1926" t="s">
        <v>1689</v>
      </c>
      <c r="C331" s="1866"/>
      <c r="D331" s="1602">
        <f>SUM(E331:F331)</f>
        <v>1490</v>
      </c>
      <c r="E331" s="1608"/>
      <c r="F331" s="1608">
        <v>1490</v>
      </c>
      <c r="G331" s="1602">
        <f>SUM(H331:I331)</f>
        <v>1490</v>
      </c>
      <c r="H331" s="1608"/>
      <c r="I331" s="1608">
        <v>1490</v>
      </c>
      <c r="J331" s="1602">
        <f>SUM(K331:L331)</f>
        <v>1490</v>
      </c>
      <c r="K331" s="1608"/>
      <c r="L331" s="1608">
        <v>1490</v>
      </c>
      <c r="M331" s="1604">
        <f t="shared" si="108"/>
        <v>100</v>
      </c>
      <c r="N331" s="1881">
        <f t="shared" si="108"/>
        <v>0</v>
      </c>
      <c r="O331" s="1881">
        <f t="shared" si="108"/>
        <v>100</v>
      </c>
      <c r="P331" s="1940"/>
      <c r="Q331" s="1593"/>
      <c r="R331" s="1602"/>
      <c r="S331" s="1616"/>
      <c r="T331" s="1616"/>
      <c r="U331" s="1602"/>
      <c r="V331" s="1616"/>
      <c r="W331" s="1616"/>
      <c r="X331" s="1423">
        <f t="shared" si="106"/>
        <v>0</v>
      </c>
      <c r="Y331" s="725"/>
      <c r="AA331" s="725"/>
    </row>
    <row r="332" spans="1:28" s="1566" customFormat="1" ht="24" customHeight="1">
      <c r="A332" s="2041"/>
      <c r="B332" s="2040" t="s">
        <v>46</v>
      </c>
      <c r="C332" s="1866"/>
      <c r="D332" s="1602">
        <f t="shared" si="107"/>
        <v>0</v>
      </c>
      <c r="E332" s="1601">
        <f>SUM(E333)</f>
        <v>0</v>
      </c>
      <c r="F332" s="1601">
        <f>SUM(F333)</f>
        <v>0</v>
      </c>
      <c r="G332" s="1602">
        <f t="shared" si="85"/>
        <v>0</v>
      </c>
      <c r="H332" s="1601">
        <f>SUM(H333)</f>
        <v>0</v>
      </c>
      <c r="I332" s="1601">
        <f>SUM(I333)</f>
        <v>0</v>
      </c>
      <c r="J332" s="1602">
        <f t="shared" si="103"/>
        <v>0</v>
      </c>
      <c r="K332" s="1601">
        <f>SUM(K333)</f>
        <v>0</v>
      </c>
      <c r="L332" s="1601">
        <f>SUM(L333)</f>
        <v>0</v>
      </c>
      <c r="M332" s="1604">
        <f t="shared" si="108"/>
        <v>0</v>
      </c>
      <c r="N332" s="1881">
        <f t="shared" si="108"/>
        <v>0</v>
      </c>
      <c r="O332" s="1881">
        <f t="shared" si="108"/>
        <v>0</v>
      </c>
      <c r="P332" s="1940"/>
      <c r="Q332" s="1593"/>
      <c r="R332" s="1602">
        <f>SUM(S332:T332)</f>
        <v>0</v>
      </c>
      <c r="S332" s="1601">
        <f>SUM(S333)</f>
        <v>0</v>
      </c>
      <c r="T332" s="1601">
        <f>SUM(T333)</f>
        <v>0</v>
      </c>
      <c r="U332" s="1602">
        <f>SUM(V332:W332)</f>
        <v>0</v>
      </c>
      <c r="V332" s="1601">
        <f>SUM(V333)</f>
        <v>0</v>
      </c>
      <c r="W332" s="1601">
        <f>SUM(W333)</f>
        <v>0</v>
      </c>
      <c r="X332" s="1423">
        <f t="shared" si="106"/>
        <v>0</v>
      </c>
      <c r="Y332" s="725"/>
      <c r="AA332" s="725"/>
    </row>
    <row r="333" spans="1:28" s="1566" customFormat="1" ht="64.5" customHeight="1">
      <c r="A333" s="2041">
        <v>12</v>
      </c>
      <c r="B333" s="1926" t="s">
        <v>1638</v>
      </c>
      <c r="C333" s="1866">
        <v>24340</v>
      </c>
      <c r="D333" s="1602">
        <f t="shared" si="107"/>
        <v>0</v>
      </c>
      <c r="E333" s="1608"/>
      <c r="F333" s="1608">
        <v>0</v>
      </c>
      <c r="G333" s="1602">
        <f t="shared" si="85"/>
        <v>0</v>
      </c>
      <c r="H333" s="1608"/>
      <c r="I333" s="1608">
        <v>0</v>
      </c>
      <c r="J333" s="1602">
        <f t="shared" si="103"/>
        <v>0</v>
      </c>
      <c r="K333" s="1608"/>
      <c r="L333" s="1608"/>
      <c r="M333" s="1604">
        <f t="shared" si="108"/>
        <v>0</v>
      </c>
      <c r="N333" s="1881">
        <f t="shared" si="108"/>
        <v>0</v>
      </c>
      <c r="O333" s="1881">
        <f t="shared" si="108"/>
        <v>0</v>
      </c>
      <c r="P333" s="1940"/>
      <c r="Q333" s="1593"/>
      <c r="R333" s="1602">
        <f>SUM(S333:T333)</f>
        <v>0</v>
      </c>
      <c r="S333" s="1616">
        <v>0</v>
      </c>
      <c r="T333" s="1616">
        <v>0</v>
      </c>
      <c r="U333" s="1602">
        <f>SUM(V333:W333)</f>
        <v>0</v>
      </c>
      <c r="V333" s="1616">
        <v>0</v>
      </c>
      <c r="W333" s="1616">
        <v>0</v>
      </c>
      <c r="X333" s="1423">
        <f t="shared" si="106"/>
        <v>0</v>
      </c>
      <c r="Y333" s="725"/>
      <c r="AA333" s="725"/>
    </row>
    <row r="334" spans="1:28" s="1566" customFormat="1" ht="56.25">
      <c r="A334" s="2041" t="s">
        <v>2</v>
      </c>
      <c r="B334" s="1927" t="s">
        <v>222</v>
      </c>
      <c r="C334" s="1873"/>
      <c r="D334" s="1861">
        <f>SUM(E334:F334)</f>
        <v>2377762.5</v>
      </c>
      <c r="E334" s="1861">
        <f>SUM(E338,E335)</f>
        <v>1923763.7</v>
      </c>
      <c r="F334" s="1861">
        <f>SUM(F338,F335)</f>
        <v>453998.8</v>
      </c>
      <c r="G334" s="1861">
        <f>SUM(H334:I334)</f>
        <v>2138975</v>
      </c>
      <c r="H334" s="1861">
        <f>SUM(H338,H335)</f>
        <v>1684976.2</v>
      </c>
      <c r="I334" s="1861">
        <f>SUM(I338,I335)</f>
        <v>453998.8</v>
      </c>
      <c r="J334" s="1861">
        <f>SUM(K334:L334)</f>
        <v>983743.8</v>
      </c>
      <c r="K334" s="1861">
        <f>SUM(K338,K335)</f>
        <v>706997.9</v>
      </c>
      <c r="L334" s="1861">
        <f>SUM(L338,L335)</f>
        <v>276745.90000000002</v>
      </c>
      <c r="M334" s="1861">
        <f t="shared" si="108"/>
        <v>46</v>
      </c>
      <c r="N334" s="1861">
        <f t="shared" si="108"/>
        <v>42</v>
      </c>
      <c r="O334" s="1861">
        <f t="shared" si="108"/>
        <v>61</v>
      </c>
      <c r="P334" s="1861">
        <f>SUM(P338,P335)</f>
        <v>0</v>
      </c>
      <c r="Q334" s="1861">
        <f>SUM(Q338,Q335)</f>
        <v>0</v>
      </c>
      <c r="R334" s="1861">
        <f>SUM(S334:T334)</f>
        <v>996548</v>
      </c>
      <c r="S334" s="1861">
        <f>SUM(S338,S335)</f>
        <v>658766.30000000005</v>
      </c>
      <c r="T334" s="1861">
        <f>SUM(T338,T335)</f>
        <v>337781.7</v>
      </c>
      <c r="U334" s="1861">
        <f>SUM(V334:W334)</f>
        <v>359443.8</v>
      </c>
      <c r="V334" s="1861">
        <f>SUM(V338,V335)</f>
        <v>15000</v>
      </c>
      <c r="W334" s="1861">
        <f>SUM(W338,W335)</f>
        <v>344443.8</v>
      </c>
      <c r="X334" s="1423">
        <f t="shared" si="106"/>
        <v>238787.5</v>
      </c>
      <c r="Y334" s="725"/>
      <c r="AA334" s="725"/>
      <c r="AB334" s="1815"/>
    </row>
    <row r="335" spans="1:28" s="1566" customFormat="1" ht="23.25">
      <c r="A335" s="2041" t="s">
        <v>246</v>
      </c>
      <c r="B335" s="1876" t="s">
        <v>1393</v>
      </c>
      <c r="C335" s="1877"/>
      <c r="D335" s="1598">
        <f>SUM(E335:F335)</f>
        <v>128750</v>
      </c>
      <c r="E335" s="1598">
        <f>SUM(E336:E337)</f>
        <v>0</v>
      </c>
      <c r="F335" s="1598">
        <f>SUM(F336:F337)</f>
        <v>128750</v>
      </c>
      <c r="G335" s="1598">
        <f t="shared" si="85"/>
        <v>128750</v>
      </c>
      <c r="H335" s="1598">
        <f>SUM(H336:H337)</f>
        <v>0</v>
      </c>
      <c r="I335" s="1598">
        <f>SUM(I336:I337)</f>
        <v>128750</v>
      </c>
      <c r="J335" s="1598">
        <f t="shared" ref="J335:J385" si="109">SUM(K335:L335)</f>
        <v>51916.1</v>
      </c>
      <c r="K335" s="1598">
        <f>SUM(K336:K337)</f>
        <v>0</v>
      </c>
      <c r="L335" s="1598">
        <f>SUM(L336:L337)</f>
        <v>51916.1</v>
      </c>
      <c r="M335" s="1598">
        <f t="shared" si="108"/>
        <v>40.299999999999997</v>
      </c>
      <c r="N335" s="1598">
        <f t="shared" si="108"/>
        <v>0</v>
      </c>
      <c r="O335" s="1598">
        <f t="shared" si="108"/>
        <v>40.299999999999997</v>
      </c>
      <c r="P335" s="1598">
        <f t="shared" ref="P335:V335" si="110">SUM(P336:P337)</f>
        <v>0</v>
      </c>
      <c r="Q335" s="1598">
        <f t="shared" si="110"/>
        <v>0</v>
      </c>
      <c r="R335" s="1598">
        <f t="shared" si="110"/>
        <v>60800</v>
      </c>
      <c r="S335" s="1598">
        <f t="shared" si="110"/>
        <v>0</v>
      </c>
      <c r="T335" s="1598">
        <f t="shared" si="110"/>
        <v>60800</v>
      </c>
      <c r="U335" s="1598">
        <f t="shared" si="110"/>
        <v>60800</v>
      </c>
      <c r="V335" s="1598">
        <f t="shared" si="110"/>
        <v>0</v>
      </c>
      <c r="W335" s="1598">
        <f>W336+W337</f>
        <v>60800</v>
      </c>
      <c r="X335" s="1423">
        <f t="shared" si="106"/>
        <v>0</v>
      </c>
      <c r="Y335" s="725"/>
      <c r="AA335" s="725"/>
    </row>
    <row r="336" spans="1:28" ht="25.5" customHeight="1">
      <c r="A336" s="2041"/>
      <c r="B336" s="524" t="s">
        <v>263</v>
      </c>
      <c r="C336" s="1928">
        <v>10001</v>
      </c>
      <c r="D336" s="1602">
        <f>SUM(E336:F336)</f>
        <v>128050</v>
      </c>
      <c r="E336" s="1629">
        <v>0</v>
      </c>
      <c r="F336" s="1629">
        <f>138050-10000.04</f>
        <v>128050</v>
      </c>
      <c r="G336" s="1602">
        <f t="shared" si="85"/>
        <v>128050</v>
      </c>
      <c r="H336" s="1629">
        <v>0</v>
      </c>
      <c r="I336" s="1629">
        <f>F336</f>
        <v>128050</v>
      </c>
      <c r="J336" s="1602">
        <f t="shared" si="109"/>
        <v>51690.1</v>
      </c>
      <c r="K336" s="1629">
        <v>0</v>
      </c>
      <c r="L336" s="1629">
        <f>46468.9+466.4-0.2+4755</f>
        <v>51690.1</v>
      </c>
      <c r="M336" s="1893">
        <f t="shared" si="108"/>
        <v>40.4</v>
      </c>
      <c r="N336" s="1894">
        <f t="shared" si="108"/>
        <v>0</v>
      </c>
      <c r="O336" s="1894">
        <f t="shared" si="108"/>
        <v>40.4</v>
      </c>
      <c r="P336" s="1940"/>
      <c r="Q336" s="1593" t="s">
        <v>1103</v>
      </c>
      <c r="R336" s="1600">
        <f t="shared" ref="R336:R349" si="111">SUM(S336:T336)</f>
        <v>60000</v>
      </c>
      <c r="S336" s="1629"/>
      <c r="T336" s="1629">
        <v>60000</v>
      </c>
      <c r="U336" s="1600">
        <f t="shared" ref="U336:U349" si="112">SUM(V336:W336)</f>
        <v>60000</v>
      </c>
      <c r="V336" s="1629">
        <v>0</v>
      </c>
      <c r="W336" s="1629">
        <v>60000</v>
      </c>
      <c r="X336" s="1423">
        <f t="shared" si="106"/>
        <v>0</v>
      </c>
      <c r="Y336" s="725"/>
      <c r="AA336" s="725"/>
    </row>
    <row r="337" spans="1:27" ht="42" customHeight="1">
      <c r="A337" s="2041"/>
      <c r="B337" s="524" t="s">
        <v>268</v>
      </c>
      <c r="C337" s="1928">
        <v>10044</v>
      </c>
      <c r="D337" s="1602">
        <f t="shared" si="107"/>
        <v>700</v>
      </c>
      <c r="E337" s="1629">
        <v>0</v>
      </c>
      <c r="F337" s="1629">
        <f>700</f>
        <v>700</v>
      </c>
      <c r="G337" s="1602">
        <f t="shared" si="85"/>
        <v>700</v>
      </c>
      <c r="H337" s="1629">
        <v>0</v>
      </c>
      <c r="I337" s="1629">
        <v>700</v>
      </c>
      <c r="J337" s="1602">
        <f t="shared" si="109"/>
        <v>226</v>
      </c>
      <c r="K337" s="1629">
        <v>0</v>
      </c>
      <c r="L337" s="1629">
        <f>18+58+150</f>
        <v>226</v>
      </c>
      <c r="M337" s="1893">
        <f t="shared" si="108"/>
        <v>32.299999999999997</v>
      </c>
      <c r="N337" s="1894">
        <f t="shared" si="108"/>
        <v>0</v>
      </c>
      <c r="O337" s="1894">
        <f t="shared" si="108"/>
        <v>32.299999999999997</v>
      </c>
      <c r="P337" s="1940"/>
      <c r="Q337" s="1593" t="s">
        <v>1103</v>
      </c>
      <c r="R337" s="1602">
        <f>SUM(S337:T337)</f>
        <v>800</v>
      </c>
      <c r="S337" s="1629">
        <v>0</v>
      </c>
      <c r="T337" s="1629">
        <v>800</v>
      </c>
      <c r="U337" s="1602">
        <f t="shared" si="112"/>
        <v>800</v>
      </c>
      <c r="V337" s="1629">
        <v>0</v>
      </c>
      <c r="W337" s="1629">
        <v>800</v>
      </c>
      <c r="X337" s="1423">
        <f t="shared" si="106"/>
        <v>0</v>
      </c>
      <c r="Y337" s="725"/>
      <c r="AA337" s="725"/>
    </row>
    <row r="338" spans="1:27" ht="40.5" customHeight="1">
      <c r="A338" s="2041" t="s">
        <v>249</v>
      </c>
      <c r="B338" s="1876" t="s">
        <v>1394</v>
      </c>
      <c r="C338" s="1877"/>
      <c r="D338" s="1598">
        <f t="shared" si="107"/>
        <v>2249012.5</v>
      </c>
      <c r="E338" s="1598">
        <f>E339+E348+E350+E353+E358+E355</f>
        <v>1923763.7</v>
      </c>
      <c r="F338" s="1598">
        <f>F339+F348+F350+F353+F358+F355</f>
        <v>325248.8</v>
      </c>
      <c r="G338" s="1598">
        <f>SUM(H338:I338)</f>
        <v>2010225</v>
      </c>
      <c r="H338" s="1598">
        <f>H339+H348+H350+H353+H358+H355</f>
        <v>1684976.2</v>
      </c>
      <c r="I338" s="1598">
        <f>I339+I348+I350+I353+I358+I355</f>
        <v>325248.8</v>
      </c>
      <c r="J338" s="1598">
        <f t="shared" si="109"/>
        <v>931827.7</v>
      </c>
      <c r="K338" s="1598">
        <f>K339+K348+K350+K353+K358+K355</f>
        <v>706997.9</v>
      </c>
      <c r="L338" s="1598">
        <f>L339+L348+L350+L353+L358+L355</f>
        <v>224829.8</v>
      </c>
      <c r="M338" s="1598">
        <f t="shared" si="108"/>
        <v>46.4</v>
      </c>
      <c r="N338" s="1598">
        <f t="shared" si="108"/>
        <v>42</v>
      </c>
      <c r="O338" s="1598">
        <f t="shared" si="108"/>
        <v>69.099999999999994</v>
      </c>
      <c r="P338" s="1599" t="s">
        <v>353</v>
      </c>
      <c r="Q338" s="1599" t="s">
        <v>353</v>
      </c>
      <c r="R338" s="1598">
        <f>SUM(S338:T338)</f>
        <v>935748</v>
      </c>
      <c r="S338" s="1598">
        <f>S339+S348+S350+S353+S358</f>
        <v>658766.30000000005</v>
      </c>
      <c r="T338" s="1598">
        <f>T339+T348+T350+T353+T358</f>
        <v>276981.7</v>
      </c>
      <c r="U338" s="1598">
        <f t="shared" si="112"/>
        <v>298643.8</v>
      </c>
      <c r="V338" s="1598">
        <f>V339+V348+V350+V353+V358</f>
        <v>15000</v>
      </c>
      <c r="W338" s="1598">
        <f>W339+W348+W350+W353+W358</f>
        <v>283643.8</v>
      </c>
      <c r="X338" s="1423">
        <f t="shared" si="106"/>
        <v>238787.5</v>
      </c>
      <c r="Y338" s="725"/>
      <c r="AA338" s="725"/>
    </row>
    <row r="339" spans="1:27" s="1570" customFormat="1" ht="39" customHeight="1">
      <c r="A339" s="2041" t="s">
        <v>250</v>
      </c>
      <c r="B339" s="1929" t="s">
        <v>1642</v>
      </c>
      <c r="C339" s="1930"/>
      <c r="D339" s="1899">
        <f t="shared" si="107"/>
        <v>822567.8</v>
      </c>
      <c r="E339" s="1931">
        <f>SUM(E340:E347)</f>
        <v>704256.6</v>
      </c>
      <c r="F339" s="1931">
        <f>SUM(F340:F347)</f>
        <v>118311.2</v>
      </c>
      <c r="G339" s="1899">
        <f>SUM(H339:I339)</f>
        <v>583780.30000000005</v>
      </c>
      <c r="H339" s="1931">
        <f>SUM(H340:H347)</f>
        <v>465469.1</v>
      </c>
      <c r="I339" s="1931">
        <f>SUM(I340:I347)</f>
        <v>118311.2</v>
      </c>
      <c r="J339" s="1899">
        <f>SUM(K339:L339)</f>
        <v>420570.3</v>
      </c>
      <c r="K339" s="1931">
        <f>SUM(K340:K347)</f>
        <v>395333</v>
      </c>
      <c r="L339" s="1931">
        <f>SUM(L340:L347)</f>
        <v>25237.3</v>
      </c>
      <c r="M339" s="1931">
        <f t="shared" si="108"/>
        <v>72</v>
      </c>
      <c r="N339" s="1931">
        <f t="shared" si="108"/>
        <v>84.9</v>
      </c>
      <c r="O339" s="1931">
        <f t="shared" si="108"/>
        <v>21.3</v>
      </c>
      <c r="P339" s="1940"/>
      <c r="Q339" s="1593"/>
      <c r="R339" s="1899">
        <f>SUM(S339:T339)</f>
        <v>0</v>
      </c>
      <c r="S339" s="1931">
        <f>SUM(S341:S347)</f>
        <v>0</v>
      </c>
      <c r="T339" s="1931">
        <f>SUM(T341:T347)</f>
        <v>0</v>
      </c>
      <c r="U339" s="1899">
        <f t="shared" si="112"/>
        <v>0</v>
      </c>
      <c r="V339" s="1931">
        <f>SUM(V341:V347)</f>
        <v>0</v>
      </c>
      <c r="W339" s="1931">
        <f>SUM(W341:W347)</f>
        <v>0</v>
      </c>
      <c r="X339" s="1423">
        <f t="shared" si="106"/>
        <v>238787.5</v>
      </c>
      <c r="Y339" s="725"/>
      <c r="AA339" s="725"/>
    </row>
    <row r="340" spans="1:27" s="1570" customFormat="1" ht="23.25">
      <c r="A340" s="2052"/>
      <c r="B340" s="1879" t="s">
        <v>1780</v>
      </c>
      <c r="C340" s="2053"/>
      <c r="D340" s="1600">
        <f>SUM(E340:F340)</f>
        <v>238787.5</v>
      </c>
      <c r="E340" s="1631">
        <v>238787.5</v>
      </c>
      <c r="F340" s="1629"/>
      <c r="G340" s="1602">
        <f>SUM(H340:I340)</f>
        <v>0</v>
      </c>
      <c r="H340" s="1631"/>
      <c r="I340" s="1629"/>
      <c r="J340" s="1602">
        <f>SUM(K340:L340)</f>
        <v>0</v>
      </c>
      <c r="K340" s="1629"/>
      <c r="L340" s="1629"/>
      <c r="M340" s="1604">
        <f>IF(J340=0,0,J340/G340*100)</f>
        <v>0</v>
      </c>
      <c r="N340" s="1881">
        <f>IF(K340=0,0,K340/H340*100)</f>
        <v>0</v>
      </c>
      <c r="O340" s="1881">
        <f>IF(L340=0,0,L340/I340*100)</f>
        <v>0</v>
      </c>
      <c r="P340" s="2054"/>
      <c r="Q340" s="507"/>
      <c r="R340" s="1602"/>
      <c r="S340" s="2019"/>
      <c r="T340" s="2019"/>
      <c r="U340" s="1602"/>
      <c r="V340" s="2019"/>
      <c r="W340" s="2019"/>
      <c r="X340" s="1423"/>
      <c r="Y340" s="725"/>
      <c r="AA340" s="725"/>
    </row>
    <row r="341" spans="1:27" ht="45" customHeight="1">
      <c r="A341" s="2041">
        <f>A333+1</f>
        <v>13</v>
      </c>
      <c r="B341" s="1879" t="s">
        <v>1497</v>
      </c>
      <c r="C341" s="1880" t="s">
        <v>1543</v>
      </c>
      <c r="D341" s="1600">
        <f t="shared" si="107"/>
        <v>10016.1</v>
      </c>
      <c r="E341" s="1631">
        <v>9414.9</v>
      </c>
      <c r="F341" s="1629">
        <v>601.20000000000005</v>
      </c>
      <c r="G341" s="1602">
        <f t="shared" si="85"/>
        <v>10016.1</v>
      </c>
      <c r="H341" s="1631">
        <v>9414.9</v>
      </c>
      <c r="I341" s="1629">
        <v>601.20000000000005</v>
      </c>
      <c r="J341" s="1602">
        <f t="shared" si="109"/>
        <v>9151.1</v>
      </c>
      <c r="K341" s="1629">
        <v>8601.7999999999993</v>
      </c>
      <c r="L341" s="1629">
        <f>18+262.47993+268.79266</f>
        <v>549.29999999999995</v>
      </c>
      <c r="M341" s="1604">
        <f t="shared" si="108"/>
        <v>91.4</v>
      </c>
      <c r="N341" s="1881">
        <f t="shared" si="108"/>
        <v>91.4</v>
      </c>
      <c r="O341" s="1881">
        <f t="shared" si="108"/>
        <v>91.4</v>
      </c>
      <c r="P341" s="1940"/>
      <c r="Q341" s="1593"/>
      <c r="R341" s="1600">
        <f t="shared" si="111"/>
        <v>0</v>
      </c>
      <c r="S341" s="1631">
        <v>0</v>
      </c>
      <c r="T341" s="1629">
        <v>0</v>
      </c>
      <c r="U341" s="1600">
        <f t="shared" si="112"/>
        <v>0</v>
      </c>
      <c r="V341" s="1631">
        <v>0</v>
      </c>
      <c r="W341" s="1629">
        <v>0</v>
      </c>
      <c r="X341" s="1423">
        <f t="shared" si="106"/>
        <v>0</v>
      </c>
      <c r="Y341" s="725"/>
      <c r="AA341" s="725"/>
    </row>
    <row r="342" spans="1:27" ht="39.75" customHeight="1">
      <c r="A342" s="2041">
        <f t="shared" ref="A342:A347" si="113">A341+1</f>
        <v>14</v>
      </c>
      <c r="B342" s="1879" t="s">
        <v>1498</v>
      </c>
      <c r="C342" s="1880" t="s">
        <v>1543</v>
      </c>
      <c r="D342" s="1600">
        <f t="shared" si="107"/>
        <v>14296.6</v>
      </c>
      <c r="E342" s="1631">
        <v>13438.3</v>
      </c>
      <c r="F342" s="1629">
        <v>858.3</v>
      </c>
      <c r="G342" s="1602">
        <f t="shared" si="85"/>
        <v>14296.6</v>
      </c>
      <c r="H342" s="1631">
        <v>13438.3</v>
      </c>
      <c r="I342" s="1629">
        <v>858.3</v>
      </c>
      <c r="J342" s="1602">
        <f t="shared" si="109"/>
        <v>12143.7</v>
      </c>
      <c r="K342" s="1629">
        <f>282+7606.755+3525.973</f>
        <v>11414.7</v>
      </c>
      <c r="L342" s="1629">
        <f>18+485.951+225.062</f>
        <v>729</v>
      </c>
      <c r="M342" s="1604">
        <f t="shared" si="108"/>
        <v>84.9</v>
      </c>
      <c r="N342" s="1881">
        <f t="shared" si="108"/>
        <v>84.9</v>
      </c>
      <c r="O342" s="1881">
        <f t="shared" si="108"/>
        <v>84.9</v>
      </c>
      <c r="P342" s="1940"/>
      <c r="Q342" s="1593"/>
      <c r="R342" s="1600">
        <f t="shared" si="111"/>
        <v>0</v>
      </c>
      <c r="S342" s="1631">
        <v>0</v>
      </c>
      <c r="T342" s="1629">
        <v>0</v>
      </c>
      <c r="U342" s="1600">
        <f t="shared" si="112"/>
        <v>0</v>
      </c>
      <c r="V342" s="1631">
        <v>0</v>
      </c>
      <c r="W342" s="1629">
        <v>0</v>
      </c>
      <c r="X342" s="1423">
        <f t="shared" si="106"/>
        <v>0</v>
      </c>
      <c r="Y342" s="725"/>
      <c r="AA342" s="725"/>
    </row>
    <row r="343" spans="1:27" ht="57" customHeight="1">
      <c r="A343" s="2041">
        <f t="shared" si="113"/>
        <v>15</v>
      </c>
      <c r="B343" s="1879" t="s">
        <v>1499</v>
      </c>
      <c r="C343" s="1880" t="s">
        <v>1543</v>
      </c>
      <c r="D343" s="1600">
        <f t="shared" si="107"/>
        <v>50668.2</v>
      </c>
      <c r="E343" s="1629">
        <v>47625.599999999999</v>
      </c>
      <c r="F343" s="1629">
        <v>3042.6</v>
      </c>
      <c r="G343" s="1602">
        <f t="shared" si="85"/>
        <v>50668.2</v>
      </c>
      <c r="H343" s="1631">
        <f>E343</f>
        <v>47625.599999999999</v>
      </c>
      <c r="I343" s="1631">
        <f>F343</f>
        <v>3042.6</v>
      </c>
      <c r="J343" s="1602">
        <f t="shared" si="109"/>
        <v>20460.099999999999</v>
      </c>
      <c r="K343" s="1629">
        <v>19231.599999999999</v>
      </c>
      <c r="L343" s="1629">
        <v>1228.5</v>
      </c>
      <c r="M343" s="1893">
        <f t="shared" si="108"/>
        <v>40.4</v>
      </c>
      <c r="N343" s="1894">
        <f t="shared" si="108"/>
        <v>40.4</v>
      </c>
      <c r="O343" s="1894">
        <f t="shared" si="108"/>
        <v>40.4</v>
      </c>
      <c r="P343" s="1940"/>
      <c r="Q343" s="1593"/>
      <c r="R343" s="1600">
        <f t="shared" si="111"/>
        <v>0</v>
      </c>
      <c r="S343" s="1631">
        <v>0</v>
      </c>
      <c r="T343" s="1629">
        <v>0</v>
      </c>
      <c r="U343" s="1600">
        <f t="shared" si="112"/>
        <v>0</v>
      </c>
      <c r="V343" s="1631">
        <v>0</v>
      </c>
      <c r="W343" s="1629">
        <v>0</v>
      </c>
      <c r="X343" s="1423">
        <f t="shared" si="106"/>
        <v>0</v>
      </c>
      <c r="Y343" s="725"/>
      <c r="AA343" s="725"/>
    </row>
    <row r="344" spans="1:27" ht="58.5" customHeight="1">
      <c r="A344" s="2041">
        <f t="shared" si="113"/>
        <v>16</v>
      </c>
      <c r="B344" s="1879" t="s">
        <v>1500</v>
      </c>
      <c r="C344" s="1880" t="s">
        <v>1543</v>
      </c>
      <c r="D344" s="1600">
        <f t="shared" si="107"/>
        <v>21886.1</v>
      </c>
      <c r="E344" s="1629">
        <v>20572</v>
      </c>
      <c r="F344" s="1629">
        <v>1314.1</v>
      </c>
      <c r="G344" s="1602">
        <f t="shared" si="85"/>
        <v>21886.1</v>
      </c>
      <c r="H344" s="1629">
        <v>20572</v>
      </c>
      <c r="I344" s="1629">
        <v>1314.1</v>
      </c>
      <c r="J344" s="1602">
        <f t="shared" si="109"/>
        <v>17416.099999999999</v>
      </c>
      <c r="K344" s="1629">
        <v>16370.4</v>
      </c>
      <c r="L344" s="1629">
        <v>1045.7</v>
      </c>
      <c r="M344" s="1893">
        <f t="shared" si="108"/>
        <v>79.599999999999994</v>
      </c>
      <c r="N344" s="1894">
        <f t="shared" si="108"/>
        <v>79.599999999999994</v>
      </c>
      <c r="O344" s="1894">
        <f t="shared" si="108"/>
        <v>79.599999999999994</v>
      </c>
      <c r="P344" s="1940"/>
      <c r="Q344" s="1593"/>
      <c r="R344" s="1600">
        <f t="shared" si="111"/>
        <v>0</v>
      </c>
      <c r="S344" s="1631">
        <v>0</v>
      </c>
      <c r="T344" s="1629">
        <v>0</v>
      </c>
      <c r="U344" s="1600">
        <f t="shared" si="112"/>
        <v>0</v>
      </c>
      <c r="V344" s="1631">
        <v>0</v>
      </c>
      <c r="W344" s="1629">
        <v>0</v>
      </c>
      <c r="X344" s="1423">
        <f t="shared" si="106"/>
        <v>0</v>
      </c>
      <c r="Y344" s="725"/>
      <c r="AA344" s="725"/>
    </row>
    <row r="345" spans="1:27" ht="63.75" customHeight="1">
      <c r="A345" s="2041">
        <f t="shared" si="113"/>
        <v>17</v>
      </c>
      <c r="B345" s="1879" t="s">
        <v>1501</v>
      </c>
      <c r="C345" s="1880" t="s">
        <v>1505</v>
      </c>
      <c r="D345" s="1600">
        <f t="shared" si="107"/>
        <v>38330</v>
      </c>
      <c r="E345" s="1629">
        <v>36028.400000000001</v>
      </c>
      <c r="F345" s="1629">
        <v>2301.6</v>
      </c>
      <c r="G345" s="1602">
        <f t="shared" ref="G345:G354" si="114">SUM(H345:I345)</f>
        <v>38330</v>
      </c>
      <c r="H345" s="1631">
        <f>E345</f>
        <v>36028.400000000001</v>
      </c>
      <c r="I345" s="1631">
        <f>F345</f>
        <v>2301.6</v>
      </c>
      <c r="J345" s="1602">
        <f t="shared" si="109"/>
        <v>17290.8</v>
      </c>
      <c r="K345" s="1629">
        <v>16252.5</v>
      </c>
      <c r="L345" s="1629">
        <v>1038.3</v>
      </c>
      <c r="M345" s="1893">
        <f t="shared" si="108"/>
        <v>45.1</v>
      </c>
      <c r="N345" s="1894">
        <f t="shared" si="108"/>
        <v>45.1</v>
      </c>
      <c r="O345" s="1894">
        <f t="shared" si="108"/>
        <v>45.1</v>
      </c>
      <c r="P345" s="1940"/>
      <c r="Q345" s="1593"/>
      <c r="R345" s="1600">
        <f t="shared" si="111"/>
        <v>0</v>
      </c>
      <c r="S345" s="1631">
        <v>0</v>
      </c>
      <c r="T345" s="1629">
        <v>0</v>
      </c>
      <c r="U345" s="1600">
        <f t="shared" si="112"/>
        <v>0</v>
      </c>
      <c r="V345" s="1631">
        <v>0</v>
      </c>
      <c r="W345" s="1629">
        <v>0</v>
      </c>
      <c r="X345" s="1423">
        <f t="shared" si="106"/>
        <v>0</v>
      </c>
      <c r="Y345" s="725"/>
      <c r="AA345" s="725"/>
    </row>
    <row r="346" spans="1:27" ht="48" customHeight="1">
      <c r="A346" s="2041">
        <f t="shared" si="113"/>
        <v>18</v>
      </c>
      <c r="B346" s="1879" t="s">
        <v>1502</v>
      </c>
      <c r="C346" s="1880" t="s">
        <v>1542</v>
      </c>
      <c r="D346" s="1600">
        <f t="shared" si="107"/>
        <v>98584.7</v>
      </c>
      <c r="E346" s="1629">
        <v>92668.7</v>
      </c>
      <c r="F346" s="1629">
        <v>5916</v>
      </c>
      <c r="G346" s="1602">
        <f t="shared" si="114"/>
        <v>98584.7</v>
      </c>
      <c r="H346" s="1631">
        <v>92668.7</v>
      </c>
      <c r="I346" s="1631">
        <v>5916</v>
      </c>
      <c r="J346" s="1602">
        <f t="shared" si="109"/>
        <v>93523.4</v>
      </c>
      <c r="K346" s="1629">
        <v>87912</v>
      </c>
      <c r="L346" s="1629">
        <v>5611.4</v>
      </c>
      <c r="M346" s="1893">
        <f t="shared" si="108"/>
        <v>94.9</v>
      </c>
      <c r="N346" s="1894">
        <f t="shared" si="108"/>
        <v>94.9</v>
      </c>
      <c r="O346" s="1894">
        <f t="shared" si="108"/>
        <v>94.9</v>
      </c>
      <c r="P346" s="1940"/>
      <c r="Q346" s="1593"/>
      <c r="R346" s="1600">
        <f t="shared" si="111"/>
        <v>0</v>
      </c>
      <c r="S346" s="1631">
        <v>0</v>
      </c>
      <c r="T346" s="1629">
        <v>0</v>
      </c>
      <c r="U346" s="1600">
        <f t="shared" si="112"/>
        <v>0</v>
      </c>
      <c r="V346" s="1631">
        <v>0</v>
      </c>
      <c r="W346" s="1629">
        <v>0</v>
      </c>
      <c r="X346" s="1423">
        <f t="shared" si="106"/>
        <v>0</v>
      </c>
      <c r="Y346" s="725"/>
      <c r="AA346" s="725"/>
    </row>
    <row r="347" spans="1:27" ht="39" customHeight="1">
      <c r="A347" s="2041">
        <f t="shared" si="113"/>
        <v>19</v>
      </c>
      <c r="B347" s="1932" t="s">
        <v>1503</v>
      </c>
      <c r="C347" s="1913" t="s">
        <v>1542</v>
      </c>
      <c r="D347" s="1600">
        <f t="shared" si="107"/>
        <v>349998.6</v>
      </c>
      <c r="E347" s="1629">
        <v>245721.2</v>
      </c>
      <c r="F347" s="1629">
        <v>104277.4</v>
      </c>
      <c r="G347" s="1602">
        <f t="shared" si="114"/>
        <v>349998.6</v>
      </c>
      <c r="H347" s="1631">
        <f>E347</f>
        <v>245721.2</v>
      </c>
      <c r="I347" s="1631">
        <f>F347</f>
        <v>104277.4</v>
      </c>
      <c r="J347" s="1602">
        <f t="shared" si="109"/>
        <v>250585.1</v>
      </c>
      <c r="K347" s="1629">
        <v>235550</v>
      </c>
      <c r="L347" s="1629">
        <v>15035.1</v>
      </c>
      <c r="M347" s="1893">
        <f t="shared" si="108"/>
        <v>71.599999999999994</v>
      </c>
      <c r="N347" s="1894">
        <f t="shared" si="108"/>
        <v>95.9</v>
      </c>
      <c r="O347" s="1894">
        <f t="shared" si="108"/>
        <v>14.4</v>
      </c>
      <c r="P347" s="1940"/>
      <c r="Q347" s="1593"/>
      <c r="R347" s="1600">
        <f t="shared" si="111"/>
        <v>0</v>
      </c>
      <c r="S347" s="1631">
        <v>0</v>
      </c>
      <c r="T347" s="1629">
        <v>0</v>
      </c>
      <c r="U347" s="1600">
        <f t="shared" si="112"/>
        <v>0</v>
      </c>
      <c r="V347" s="1631">
        <v>0</v>
      </c>
      <c r="W347" s="1629">
        <v>0</v>
      </c>
      <c r="X347" s="1423">
        <f t="shared" si="106"/>
        <v>0</v>
      </c>
      <c r="Y347" s="725"/>
      <c r="AA347" s="725"/>
    </row>
    <row r="348" spans="1:27" ht="72" customHeight="1">
      <c r="A348" s="2041" t="s">
        <v>251</v>
      </c>
      <c r="B348" s="1933" t="s">
        <v>1640</v>
      </c>
      <c r="C348" s="1898"/>
      <c r="D348" s="1899">
        <f t="shared" si="107"/>
        <v>63829.8</v>
      </c>
      <c r="E348" s="1899">
        <f>E349</f>
        <v>60000</v>
      </c>
      <c r="F348" s="1899">
        <f>F349</f>
        <v>3829.8</v>
      </c>
      <c r="G348" s="1899">
        <f t="shared" si="114"/>
        <v>63829.8</v>
      </c>
      <c r="H348" s="1899">
        <f>H349</f>
        <v>60000</v>
      </c>
      <c r="I348" s="1899">
        <f>I349</f>
        <v>3829.8</v>
      </c>
      <c r="J348" s="1899">
        <f t="shared" si="109"/>
        <v>63829.8</v>
      </c>
      <c r="K348" s="1899">
        <f>K349</f>
        <v>60000</v>
      </c>
      <c r="L348" s="1899">
        <f>L349</f>
        <v>3829.8</v>
      </c>
      <c r="M348" s="1899">
        <f t="shared" si="108"/>
        <v>100</v>
      </c>
      <c r="N348" s="1899">
        <f t="shared" si="108"/>
        <v>100</v>
      </c>
      <c r="O348" s="1899">
        <f t="shared" si="108"/>
        <v>100</v>
      </c>
      <c r="P348" s="1940"/>
      <c r="Q348" s="1593"/>
      <c r="R348" s="1899">
        <f>SUM(S348:T348)</f>
        <v>55062.400000000001</v>
      </c>
      <c r="S348" s="1899">
        <f>S349</f>
        <v>51758.6</v>
      </c>
      <c r="T348" s="1899">
        <f>T349</f>
        <v>3303.8</v>
      </c>
      <c r="U348" s="1899">
        <f t="shared" si="112"/>
        <v>0</v>
      </c>
      <c r="V348" s="1899">
        <f>V349</f>
        <v>0</v>
      </c>
      <c r="W348" s="1899">
        <f>W349</f>
        <v>0</v>
      </c>
      <c r="X348" s="1423">
        <f t="shared" si="106"/>
        <v>0</v>
      </c>
      <c r="Y348" s="725"/>
      <c r="AA348" s="725"/>
    </row>
    <row r="349" spans="1:27" ht="39.75" customHeight="1">
      <c r="A349" s="2041">
        <f>A347+1</f>
        <v>20</v>
      </c>
      <c r="B349" s="1879" t="s">
        <v>623</v>
      </c>
      <c r="C349" s="1880" t="s">
        <v>1541</v>
      </c>
      <c r="D349" s="1600">
        <f t="shared" si="107"/>
        <v>63829.8</v>
      </c>
      <c r="E349" s="1631">
        <v>60000</v>
      </c>
      <c r="F349" s="1629">
        <v>3829.8</v>
      </c>
      <c r="G349" s="1602">
        <f t="shared" si="114"/>
        <v>63829.8</v>
      </c>
      <c r="H349" s="1631">
        <v>60000</v>
      </c>
      <c r="I349" s="1629">
        <v>3829.8</v>
      </c>
      <c r="J349" s="1602">
        <f t="shared" si="109"/>
        <v>63829.8</v>
      </c>
      <c r="K349" s="1629">
        <f>59558.7+441.3</f>
        <v>60000</v>
      </c>
      <c r="L349" s="1629">
        <f>3801.6+28.2</f>
        <v>3829.8</v>
      </c>
      <c r="M349" s="1604">
        <f t="shared" si="108"/>
        <v>100</v>
      </c>
      <c r="N349" s="1881">
        <f t="shared" si="108"/>
        <v>100</v>
      </c>
      <c r="O349" s="1881">
        <f t="shared" si="108"/>
        <v>100</v>
      </c>
      <c r="P349" s="1940"/>
      <c r="Q349" s="1593"/>
      <c r="R349" s="1600">
        <f t="shared" si="111"/>
        <v>55062.400000000001</v>
      </c>
      <c r="S349" s="1631">
        <v>51758.6</v>
      </c>
      <c r="T349" s="1629">
        <v>3303.8</v>
      </c>
      <c r="U349" s="1600">
        <f t="shared" si="112"/>
        <v>0</v>
      </c>
      <c r="V349" s="1631">
        <v>0</v>
      </c>
      <c r="W349" s="1629">
        <v>0</v>
      </c>
      <c r="X349" s="1423">
        <f t="shared" si="106"/>
        <v>0</v>
      </c>
      <c r="Y349" s="725"/>
      <c r="AA349" s="725"/>
    </row>
    <row r="350" spans="1:27" ht="56.25">
      <c r="A350" s="2041" t="s">
        <v>1515</v>
      </c>
      <c r="B350" s="1933" t="s">
        <v>1641</v>
      </c>
      <c r="C350" s="1898"/>
      <c r="D350" s="1899">
        <f>SUM(E350:F350)</f>
        <v>267210.90000000002</v>
      </c>
      <c r="E350" s="1899">
        <f>E352+E351</f>
        <v>114557.1</v>
      </c>
      <c r="F350" s="1899">
        <f t="shared" ref="F350:W350" si="115">F352+F351</f>
        <v>152653.79999999999</v>
      </c>
      <c r="G350" s="1899">
        <f t="shared" si="114"/>
        <v>267210.90000000002</v>
      </c>
      <c r="H350" s="1899">
        <f>H352+H351</f>
        <v>114557.1</v>
      </c>
      <c r="I350" s="1899">
        <f>I352+I351</f>
        <v>152653.79999999999</v>
      </c>
      <c r="J350" s="1899">
        <f t="shared" si="109"/>
        <v>257256.5</v>
      </c>
      <c r="K350" s="1899">
        <f>K352+K351</f>
        <v>110533.2</v>
      </c>
      <c r="L350" s="1899">
        <f>L352+L351</f>
        <v>146723.29999999999</v>
      </c>
      <c r="M350" s="1899">
        <f t="shared" si="108"/>
        <v>96.3</v>
      </c>
      <c r="N350" s="1899">
        <f t="shared" si="108"/>
        <v>96.5</v>
      </c>
      <c r="O350" s="1899">
        <f t="shared" si="108"/>
        <v>96.1</v>
      </c>
      <c r="P350" s="1899">
        <f t="shared" si="115"/>
        <v>0</v>
      </c>
      <c r="Q350" s="1899">
        <f t="shared" si="115"/>
        <v>0</v>
      </c>
      <c r="R350" s="1899">
        <f t="shared" si="115"/>
        <v>0</v>
      </c>
      <c r="S350" s="1899">
        <f t="shared" si="115"/>
        <v>0</v>
      </c>
      <c r="T350" s="1899">
        <f t="shared" si="115"/>
        <v>0</v>
      </c>
      <c r="U350" s="1899">
        <f t="shared" si="115"/>
        <v>0</v>
      </c>
      <c r="V350" s="1899">
        <f t="shared" si="115"/>
        <v>0</v>
      </c>
      <c r="W350" s="1899">
        <f t="shared" si="115"/>
        <v>0</v>
      </c>
      <c r="X350" s="1423">
        <f t="shared" si="106"/>
        <v>0</v>
      </c>
      <c r="Y350" s="725"/>
      <c r="AA350" s="725"/>
    </row>
    <row r="351" spans="1:27" ht="37.5">
      <c r="A351" s="2041">
        <f>A349+1</f>
        <v>21</v>
      </c>
      <c r="B351" s="1934" t="s">
        <v>1649</v>
      </c>
      <c r="C351" s="1906"/>
      <c r="D351" s="1602">
        <f>SUM(E351:F351)</f>
        <v>900</v>
      </c>
      <c r="E351" s="1631">
        <v>0</v>
      </c>
      <c r="F351" s="1629">
        <v>900</v>
      </c>
      <c r="G351" s="1602">
        <f t="shared" si="114"/>
        <v>900</v>
      </c>
      <c r="H351" s="1631">
        <v>0</v>
      </c>
      <c r="I351" s="1629">
        <f>F351</f>
        <v>900</v>
      </c>
      <c r="J351" s="1602">
        <f t="shared" si="109"/>
        <v>300</v>
      </c>
      <c r="K351" s="1631">
        <v>0</v>
      </c>
      <c r="L351" s="1629">
        <v>300</v>
      </c>
      <c r="M351" s="1604">
        <f t="shared" si="108"/>
        <v>33.299999999999997</v>
      </c>
      <c r="N351" s="1881">
        <f t="shared" si="108"/>
        <v>0</v>
      </c>
      <c r="O351" s="1881">
        <f t="shared" si="108"/>
        <v>33.299999999999997</v>
      </c>
      <c r="P351" s="1940"/>
      <c r="Q351" s="1593"/>
      <c r="R351" s="1600">
        <f t="shared" ref="R351:R359" si="116">SUM(S351:T351)</f>
        <v>0</v>
      </c>
      <c r="S351" s="1631">
        <v>0</v>
      </c>
      <c r="T351" s="1629"/>
      <c r="U351" s="1600">
        <f t="shared" ref="U351:U359" si="117">SUM(V351:W351)</f>
        <v>0</v>
      </c>
      <c r="V351" s="1631">
        <v>0</v>
      </c>
      <c r="W351" s="1629"/>
      <c r="Y351" s="725"/>
      <c r="AA351" s="725"/>
    </row>
    <row r="352" spans="1:27" ht="60" customHeight="1">
      <c r="A352" s="2041">
        <f>A351+1</f>
        <v>22</v>
      </c>
      <c r="B352" s="1879" t="s">
        <v>1509</v>
      </c>
      <c r="C352" s="1880" t="s">
        <v>1540</v>
      </c>
      <c r="D352" s="1600">
        <f t="shared" si="107"/>
        <v>266310.90000000002</v>
      </c>
      <c r="E352" s="1631">
        <v>114557.1</v>
      </c>
      <c r="F352" s="1629">
        <v>151753.79999999999</v>
      </c>
      <c r="G352" s="1602">
        <f t="shared" si="114"/>
        <v>266310.90000000002</v>
      </c>
      <c r="H352" s="1631">
        <v>114557.1</v>
      </c>
      <c r="I352" s="1629">
        <v>151753.79999999999</v>
      </c>
      <c r="J352" s="1602">
        <f t="shared" si="109"/>
        <v>256956.5</v>
      </c>
      <c r="K352" s="1631">
        <f>107687.2+2682.49551+163.461</f>
        <v>110533.2</v>
      </c>
      <c r="L352" s="1629">
        <f>142653.3+3553.503+216.538</f>
        <v>146423.29999999999</v>
      </c>
      <c r="M352" s="1604">
        <f t="shared" si="108"/>
        <v>96.5</v>
      </c>
      <c r="N352" s="1881">
        <f t="shared" si="108"/>
        <v>96.5</v>
      </c>
      <c r="O352" s="1881">
        <f t="shared" si="108"/>
        <v>96.5</v>
      </c>
      <c r="P352" s="1940"/>
      <c r="Q352" s="1593"/>
      <c r="R352" s="1600">
        <f t="shared" si="116"/>
        <v>0</v>
      </c>
      <c r="S352" s="1631">
        <v>0</v>
      </c>
      <c r="T352" s="1629">
        <v>0</v>
      </c>
      <c r="U352" s="1600">
        <f t="shared" si="117"/>
        <v>0</v>
      </c>
      <c r="V352" s="1631">
        <v>0</v>
      </c>
      <c r="W352" s="1629">
        <v>0</v>
      </c>
      <c r="X352" s="1423">
        <f>D352-G352</f>
        <v>0</v>
      </c>
      <c r="Y352" s="725"/>
      <c r="AA352" s="725"/>
    </row>
    <row r="353" spans="1:27" ht="56.25" hidden="1" customHeight="1">
      <c r="A353" s="2041" t="s">
        <v>1516</v>
      </c>
      <c r="B353" s="1897" t="s">
        <v>1513</v>
      </c>
      <c r="C353" s="1896">
        <v>10119</v>
      </c>
      <c r="D353" s="1899">
        <f t="shared" si="107"/>
        <v>0</v>
      </c>
      <c r="E353" s="1899">
        <f>E354</f>
        <v>0</v>
      </c>
      <c r="F353" s="1899">
        <f>F354</f>
        <v>0</v>
      </c>
      <c r="G353" s="1899">
        <f t="shared" si="114"/>
        <v>0</v>
      </c>
      <c r="H353" s="1899">
        <f>H354</f>
        <v>0</v>
      </c>
      <c r="I353" s="1899">
        <f>I354</f>
        <v>0</v>
      </c>
      <c r="J353" s="1899">
        <f t="shared" si="109"/>
        <v>0</v>
      </c>
      <c r="K353" s="1899">
        <f>K354</f>
        <v>0</v>
      </c>
      <c r="L353" s="1899">
        <f>L354</f>
        <v>0</v>
      </c>
      <c r="M353" s="1900">
        <f t="shared" si="108"/>
        <v>0</v>
      </c>
      <c r="N353" s="1900">
        <f t="shared" si="108"/>
        <v>0</v>
      </c>
      <c r="O353" s="1900">
        <f t="shared" si="108"/>
        <v>0</v>
      </c>
      <c r="P353" s="1593"/>
      <c r="Q353" s="1593"/>
      <c r="R353" s="1899">
        <f t="shared" si="116"/>
        <v>0</v>
      </c>
      <c r="S353" s="1899">
        <f>S354</f>
        <v>0</v>
      </c>
      <c r="T353" s="1899">
        <f>T354</f>
        <v>0</v>
      </c>
      <c r="U353" s="1899">
        <f t="shared" si="117"/>
        <v>0</v>
      </c>
      <c r="V353" s="1899">
        <f>V354</f>
        <v>0</v>
      </c>
      <c r="W353" s="1899">
        <f>W354</f>
        <v>0</v>
      </c>
      <c r="Y353" s="725"/>
      <c r="AA353" s="725"/>
    </row>
    <row r="354" spans="1:27" ht="63" hidden="1" customHeight="1">
      <c r="A354" s="2041">
        <f>A352+1</f>
        <v>23</v>
      </c>
      <c r="B354" s="1879" t="s">
        <v>1511</v>
      </c>
      <c r="C354" s="2041">
        <v>10119</v>
      </c>
      <c r="D354" s="1600">
        <f t="shared" si="107"/>
        <v>0</v>
      </c>
      <c r="E354" s="1608">
        <v>0</v>
      </c>
      <c r="F354" s="1608">
        <v>0</v>
      </c>
      <c r="G354" s="1602">
        <f t="shared" si="114"/>
        <v>0</v>
      </c>
      <c r="H354" s="1608">
        <v>0</v>
      </c>
      <c r="I354" s="1608">
        <v>0</v>
      </c>
      <c r="J354" s="1602">
        <f t="shared" si="109"/>
        <v>0</v>
      </c>
      <c r="K354" s="1608">
        <v>0</v>
      </c>
      <c r="L354" s="1608">
        <v>0</v>
      </c>
      <c r="M354" s="1604">
        <f t="shared" si="108"/>
        <v>0</v>
      </c>
      <c r="N354" s="1881">
        <f t="shared" si="108"/>
        <v>0</v>
      </c>
      <c r="O354" s="1881">
        <f t="shared" si="108"/>
        <v>0</v>
      </c>
      <c r="P354" s="1593" t="s">
        <v>1290</v>
      </c>
      <c r="Q354" s="1593" t="s">
        <v>1240</v>
      </c>
      <c r="R354" s="1600">
        <f t="shared" si="116"/>
        <v>0</v>
      </c>
      <c r="S354" s="1608">
        <v>0</v>
      </c>
      <c r="T354" s="1608">
        <v>0</v>
      </c>
      <c r="U354" s="1600">
        <f t="shared" si="117"/>
        <v>0</v>
      </c>
      <c r="V354" s="1608">
        <v>0</v>
      </c>
      <c r="W354" s="1608">
        <v>0</v>
      </c>
      <c r="Y354" s="725"/>
      <c r="AA354" s="725"/>
    </row>
    <row r="355" spans="1:27" ht="68.25" customHeight="1">
      <c r="A355" s="2041" t="s">
        <v>1516</v>
      </c>
      <c r="B355" s="1897" t="s">
        <v>1721</v>
      </c>
      <c r="C355" s="2041"/>
      <c r="D355" s="1899">
        <v>40404</v>
      </c>
      <c r="E355" s="1899">
        <f>E356+E357</f>
        <v>44950</v>
      </c>
      <c r="F355" s="1899">
        <f>F356+F357</f>
        <v>454</v>
      </c>
      <c r="G355" s="1899">
        <v>40404</v>
      </c>
      <c r="H355" s="1899">
        <f>H356+H357</f>
        <v>44950</v>
      </c>
      <c r="I355" s="1899">
        <f>I356+I357</f>
        <v>454</v>
      </c>
      <c r="J355" s="1899">
        <v>40404</v>
      </c>
      <c r="K355" s="1899">
        <f>K356+K357</f>
        <v>39302.400000000001</v>
      </c>
      <c r="L355" s="1899">
        <f>L356+L357</f>
        <v>397.1</v>
      </c>
      <c r="M355" s="2020">
        <f t="shared" si="108"/>
        <v>100</v>
      </c>
      <c r="N355" s="2021">
        <f t="shared" si="108"/>
        <v>87.4</v>
      </c>
      <c r="O355" s="2021">
        <f t="shared" si="108"/>
        <v>87.5</v>
      </c>
      <c r="P355" s="1593"/>
      <c r="Q355" s="1593"/>
      <c r="R355" s="1600"/>
      <c r="S355" s="1608"/>
      <c r="T355" s="1608"/>
      <c r="U355" s="1600"/>
      <c r="V355" s="1608"/>
      <c r="W355" s="1608"/>
      <c r="X355" s="1423">
        <f>D355-G355</f>
        <v>0</v>
      </c>
      <c r="Y355" s="725"/>
      <c r="AA355" s="725"/>
    </row>
    <row r="356" spans="1:27" ht="75" customHeight="1">
      <c r="A356" s="2041">
        <f>A352+1</f>
        <v>23</v>
      </c>
      <c r="B356" s="1934" t="s">
        <v>1772</v>
      </c>
      <c r="C356" s="2041"/>
      <c r="D356" s="2019">
        <f>E356+F356</f>
        <v>40404</v>
      </c>
      <c r="E356" s="1629">
        <v>40000</v>
      </c>
      <c r="F356" s="1609">
        <v>404</v>
      </c>
      <c r="G356" s="2019">
        <f>H356+I356</f>
        <v>40404</v>
      </c>
      <c r="H356" s="1629">
        <v>40000</v>
      </c>
      <c r="I356" s="1609">
        <v>404</v>
      </c>
      <c r="J356" s="2019">
        <f>K356+L356</f>
        <v>37443.5</v>
      </c>
      <c r="K356" s="1629">
        <f>22817.3+14251.703</f>
        <v>37069</v>
      </c>
      <c r="L356" s="1616">
        <f>230.5+143.956</f>
        <v>374.5</v>
      </c>
      <c r="M356" s="1604">
        <f t="shared" si="108"/>
        <v>92.7</v>
      </c>
      <c r="N356" s="1881">
        <f t="shared" si="108"/>
        <v>92.7</v>
      </c>
      <c r="O356" s="1881">
        <f t="shared" si="108"/>
        <v>92.7</v>
      </c>
      <c r="P356" s="1593"/>
      <c r="Q356" s="1593"/>
      <c r="R356" s="1600"/>
      <c r="S356" s="1608"/>
      <c r="T356" s="1608"/>
      <c r="U356" s="1600"/>
      <c r="V356" s="1608"/>
      <c r="W356" s="1608"/>
      <c r="X356" s="1423">
        <f>D356-G356</f>
        <v>0</v>
      </c>
      <c r="Y356" s="725"/>
      <c r="AA356" s="725"/>
    </row>
    <row r="357" spans="1:27" ht="75" customHeight="1">
      <c r="A357" s="2041">
        <f>A356+1</f>
        <v>24</v>
      </c>
      <c r="B357" s="1934" t="s">
        <v>1773</v>
      </c>
      <c r="C357" s="2041"/>
      <c r="D357" s="2019">
        <f>E357+F357</f>
        <v>5000</v>
      </c>
      <c r="E357" s="1629">
        <v>4950</v>
      </c>
      <c r="F357" s="1609">
        <v>50</v>
      </c>
      <c r="G357" s="2019">
        <f>H357+I357</f>
        <v>5000</v>
      </c>
      <c r="H357" s="1629">
        <v>4950</v>
      </c>
      <c r="I357" s="1609">
        <v>50</v>
      </c>
      <c r="J357" s="2019">
        <f>K357+L357</f>
        <v>2256</v>
      </c>
      <c r="K357" s="1629">
        <v>2233.4</v>
      </c>
      <c r="L357" s="1616">
        <v>22.6</v>
      </c>
      <c r="M357" s="1604">
        <f>IF(J357=0,0,J357/G357*100)</f>
        <v>45.1</v>
      </c>
      <c r="N357" s="1881">
        <f>IF(K357=0,0,K357/H357*100)</f>
        <v>45.1</v>
      </c>
      <c r="O357" s="1881">
        <f>IF(L357=0,0,L357/I357*100)</f>
        <v>45.2</v>
      </c>
      <c r="P357" s="1593"/>
      <c r="Q357" s="1593"/>
      <c r="R357" s="1600"/>
      <c r="S357" s="1608"/>
      <c r="T357" s="1608"/>
      <c r="U357" s="1600"/>
      <c r="V357" s="1608"/>
      <c r="W357" s="1608"/>
      <c r="X357" s="1423">
        <f>D357-G357</f>
        <v>0</v>
      </c>
      <c r="Y357" s="725"/>
      <c r="AA357" s="725"/>
    </row>
    <row r="358" spans="1:27" ht="23.25">
      <c r="A358" s="2041" t="s">
        <v>1636</v>
      </c>
      <c r="B358" s="1897" t="s">
        <v>529</v>
      </c>
      <c r="C358" s="1896">
        <v>10119</v>
      </c>
      <c r="D358" s="1899">
        <f t="shared" si="107"/>
        <v>1050000</v>
      </c>
      <c r="E358" s="1899">
        <f>E360+E361+E362+E363</f>
        <v>1000000</v>
      </c>
      <c r="F358" s="1899">
        <f>F360+F361+F362+F363</f>
        <v>50000</v>
      </c>
      <c r="G358" s="1899">
        <f>SUM(H358:I358)</f>
        <v>1050000</v>
      </c>
      <c r="H358" s="1899">
        <f>H360+H361+H362+H363</f>
        <v>1000000</v>
      </c>
      <c r="I358" s="1899">
        <f>I360+I361+I362+I363</f>
        <v>50000</v>
      </c>
      <c r="J358" s="1899">
        <f t="shared" si="109"/>
        <v>150471.6</v>
      </c>
      <c r="K358" s="1899">
        <f>K360+K361+K362+K363</f>
        <v>101829.3</v>
      </c>
      <c r="L358" s="1899">
        <f>L360+L361+L362+L363</f>
        <v>48642.3</v>
      </c>
      <c r="M358" s="1899">
        <f t="shared" si="108"/>
        <v>14.3</v>
      </c>
      <c r="N358" s="1899">
        <f t="shared" si="108"/>
        <v>10.199999999999999</v>
      </c>
      <c r="O358" s="1899">
        <f t="shared" si="108"/>
        <v>97.3</v>
      </c>
      <c r="P358" s="1899">
        <f>P361+P362+P359</f>
        <v>0</v>
      </c>
      <c r="Q358" s="1899">
        <f>Q361+Q362+Q359</f>
        <v>0</v>
      </c>
      <c r="R358" s="1899">
        <f t="shared" si="116"/>
        <v>880685.6</v>
      </c>
      <c r="S358" s="1899">
        <f>S361+S362+S359+S363</f>
        <v>607007.69999999995</v>
      </c>
      <c r="T358" s="1899">
        <f>T361+T362+T359+T363</f>
        <v>273677.90000000002</v>
      </c>
      <c r="U358" s="1899">
        <f t="shared" si="117"/>
        <v>298643.8</v>
      </c>
      <c r="V358" s="1899">
        <f>V361+V362+V359+V363</f>
        <v>15000</v>
      </c>
      <c r="W358" s="1899">
        <f>W361+W362+W359+W363</f>
        <v>283643.8</v>
      </c>
      <c r="X358" s="1423">
        <f>D358-G358</f>
        <v>0</v>
      </c>
      <c r="Y358" s="725"/>
      <c r="AA358" s="725"/>
    </row>
    <row r="359" spans="1:27" ht="57.75" hidden="1" customHeight="1">
      <c r="A359" s="2041"/>
      <c r="B359" s="1934" t="s">
        <v>1649</v>
      </c>
      <c r="C359" s="1906"/>
      <c r="D359" s="1602">
        <f>SUM(E359:F359)</f>
        <v>0</v>
      </c>
      <c r="E359" s="1631">
        <v>0</v>
      </c>
      <c r="F359" s="1629">
        <v>0</v>
      </c>
      <c r="G359" s="1602">
        <f>SUM(H359:I359)</f>
        <v>0</v>
      </c>
      <c r="H359" s="1631">
        <v>0</v>
      </c>
      <c r="I359" s="1629">
        <v>0</v>
      </c>
      <c r="J359" s="1602">
        <f t="shared" si="109"/>
        <v>0</v>
      </c>
      <c r="K359" s="1631">
        <v>0</v>
      </c>
      <c r="L359" s="1629">
        <v>0</v>
      </c>
      <c r="M359" s="1604">
        <f t="shared" si="108"/>
        <v>0</v>
      </c>
      <c r="N359" s="1881">
        <f t="shared" si="108"/>
        <v>0</v>
      </c>
      <c r="O359" s="1881">
        <f t="shared" si="108"/>
        <v>0</v>
      </c>
      <c r="P359" s="1940"/>
      <c r="Q359" s="1593"/>
      <c r="R359" s="1600">
        <f t="shared" si="116"/>
        <v>50000</v>
      </c>
      <c r="S359" s="1631">
        <v>0</v>
      </c>
      <c r="T359" s="1629">
        <v>50000</v>
      </c>
      <c r="U359" s="1600">
        <f t="shared" si="117"/>
        <v>50000</v>
      </c>
      <c r="V359" s="1631">
        <v>0</v>
      </c>
      <c r="W359" s="1629">
        <v>50000</v>
      </c>
      <c r="Y359" s="725"/>
      <c r="AA359" s="725"/>
    </row>
    <row r="360" spans="1:27" ht="51" hidden="1" customHeight="1">
      <c r="A360" s="2041"/>
      <c r="B360" s="1934"/>
      <c r="C360" s="1906"/>
      <c r="D360" s="1600"/>
      <c r="E360" s="1631"/>
      <c r="F360" s="1629"/>
      <c r="G360" s="1602"/>
      <c r="H360" s="1631"/>
      <c r="I360" s="1629"/>
      <c r="J360" s="1602"/>
      <c r="K360" s="1631"/>
      <c r="L360" s="1629"/>
      <c r="M360" s="1604"/>
      <c r="N360" s="1881"/>
      <c r="O360" s="1881"/>
      <c r="P360" s="1940"/>
      <c r="Q360" s="1593"/>
      <c r="R360" s="1600"/>
      <c r="S360" s="1631"/>
      <c r="T360" s="1629"/>
      <c r="U360" s="1600"/>
      <c r="V360" s="1631"/>
      <c r="W360" s="1629"/>
      <c r="Y360" s="725"/>
      <c r="AA360" s="725"/>
    </row>
    <row r="361" spans="1:27" ht="27" customHeight="1">
      <c r="A361" s="2041">
        <f>A357+1</f>
        <v>25</v>
      </c>
      <c r="B361" s="1934" t="s">
        <v>1606</v>
      </c>
      <c r="C361" s="1866" t="s">
        <v>1609</v>
      </c>
      <c r="D361" s="1600">
        <f t="shared" si="107"/>
        <v>100000</v>
      </c>
      <c r="E361" s="1631">
        <v>100000</v>
      </c>
      <c r="F361" s="1629">
        <v>0</v>
      </c>
      <c r="G361" s="1602">
        <f t="shared" ref="G361:G384" si="118">SUM(H361:I361)</f>
        <v>100000</v>
      </c>
      <c r="H361" s="1631">
        <v>100000</v>
      </c>
      <c r="I361" s="1629">
        <v>0</v>
      </c>
      <c r="J361" s="1602">
        <f t="shared" si="109"/>
        <v>99608</v>
      </c>
      <c r="K361" s="1629">
        <f>99428+180</f>
        <v>99608</v>
      </c>
      <c r="L361" s="1629"/>
      <c r="M361" s="1604">
        <f t="shared" si="108"/>
        <v>99.6</v>
      </c>
      <c r="N361" s="1881">
        <f t="shared" si="108"/>
        <v>99.6</v>
      </c>
      <c r="O361" s="1881">
        <f t="shared" si="108"/>
        <v>0</v>
      </c>
      <c r="P361" s="1940"/>
      <c r="Q361" s="1593"/>
      <c r="R361" s="1602">
        <f t="shared" ref="R361:R380" si="119">SUM(S361:T361)</f>
        <v>600000</v>
      </c>
      <c r="S361" s="1629">
        <v>600000</v>
      </c>
      <c r="T361" s="1862">
        <v>0</v>
      </c>
      <c r="U361" s="1602">
        <f t="shared" ref="U361:U380" si="120">SUM(V361:W361)</f>
        <v>0</v>
      </c>
      <c r="V361" s="1629">
        <v>0</v>
      </c>
      <c r="W361" s="1629">
        <v>0</v>
      </c>
      <c r="X361" s="1423">
        <f t="shared" ref="X361:X366" si="121">D361-G361</f>
        <v>0</v>
      </c>
      <c r="Y361" s="725"/>
      <c r="AA361" s="725"/>
    </row>
    <row r="362" spans="1:27" ht="37.5">
      <c r="A362" s="2041">
        <f>A361+1</f>
        <v>26</v>
      </c>
      <c r="B362" s="1934" t="s">
        <v>1607</v>
      </c>
      <c r="C362" s="1866">
        <v>10134</v>
      </c>
      <c r="D362" s="1600">
        <f t="shared" si="107"/>
        <v>50000</v>
      </c>
      <c r="E362" s="1631">
        <v>0</v>
      </c>
      <c r="F362" s="1629">
        <v>50000</v>
      </c>
      <c r="G362" s="1602">
        <f t="shared" si="118"/>
        <v>50000</v>
      </c>
      <c r="H362" s="1631">
        <v>0</v>
      </c>
      <c r="I362" s="1629">
        <v>50000</v>
      </c>
      <c r="J362" s="1602">
        <f t="shared" si="109"/>
        <v>48642.3</v>
      </c>
      <c r="K362" s="1631"/>
      <c r="L362" s="1629">
        <f>48342.3+97.826+202.2</f>
        <v>48642.3</v>
      </c>
      <c r="M362" s="1604">
        <f t="shared" si="108"/>
        <v>97.3</v>
      </c>
      <c r="N362" s="1881">
        <f t="shared" si="108"/>
        <v>0</v>
      </c>
      <c r="O362" s="1881">
        <f t="shared" si="108"/>
        <v>97.3</v>
      </c>
      <c r="P362" s="1940"/>
      <c r="Q362" s="1593"/>
      <c r="R362" s="1602">
        <f t="shared" si="119"/>
        <v>116064.7</v>
      </c>
      <c r="S362" s="1629">
        <v>0</v>
      </c>
      <c r="T362" s="1629">
        <v>116064.7</v>
      </c>
      <c r="U362" s="1602">
        <f t="shared" si="120"/>
        <v>121543.6</v>
      </c>
      <c r="V362" s="1629">
        <v>0</v>
      </c>
      <c r="W362" s="1629">
        <v>121543.6</v>
      </c>
      <c r="X362" s="1423">
        <f t="shared" si="121"/>
        <v>0</v>
      </c>
      <c r="Y362" s="725"/>
      <c r="AA362" s="725"/>
    </row>
    <row r="363" spans="1:27" ht="41.25" customHeight="1">
      <c r="A363" s="2041">
        <f>A362+1</f>
        <v>27</v>
      </c>
      <c r="B363" s="1934" t="s">
        <v>1730</v>
      </c>
      <c r="C363" s="1866"/>
      <c r="D363" s="1602">
        <f t="shared" si="107"/>
        <v>900000</v>
      </c>
      <c r="E363" s="1631">
        <v>900000</v>
      </c>
      <c r="F363" s="1629"/>
      <c r="G363" s="1602">
        <f t="shared" si="118"/>
        <v>900000</v>
      </c>
      <c r="H363" s="1631">
        <f>E363</f>
        <v>900000</v>
      </c>
      <c r="I363" s="1629"/>
      <c r="J363" s="1602">
        <f t="shared" si="109"/>
        <v>2221.3000000000002</v>
      </c>
      <c r="K363" s="1631">
        <f>214.8+2006.45</f>
        <v>2221.3000000000002</v>
      </c>
      <c r="L363" s="1629"/>
      <c r="M363" s="1604">
        <f t="shared" si="108"/>
        <v>0.2</v>
      </c>
      <c r="N363" s="1881">
        <f t="shared" si="108"/>
        <v>0.2</v>
      </c>
      <c r="O363" s="1881">
        <f t="shared" si="108"/>
        <v>0</v>
      </c>
      <c r="P363" s="1940"/>
      <c r="Q363" s="1593"/>
      <c r="R363" s="1602">
        <f t="shared" si="119"/>
        <v>114620.9</v>
      </c>
      <c r="S363" s="1629">
        <v>7007.7</v>
      </c>
      <c r="T363" s="1629">
        <v>107613.2</v>
      </c>
      <c r="U363" s="1602">
        <f t="shared" si="120"/>
        <v>127100.2</v>
      </c>
      <c r="V363" s="1629">
        <v>15000</v>
      </c>
      <c r="W363" s="1629">
        <v>112100.2</v>
      </c>
      <c r="X363" s="1423">
        <f t="shared" si="121"/>
        <v>0</v>
      </c>
      <c r="Y363" s="725"/>
      <c r="AA363" s="725"/>
    </row>
    <row r="364" spans="1:27" s="791" customFormat="1" ht="51.75" customHeight="1">
      <c r="A364" s="2565" t="s">
        <v>1421</v>
      </c>
      <c r="B364" s="2565"/>
      <c r="C364" s="1869"/>
      <c r="D364" s="1594">
        <f t="shared" si="107"/>
        <v>30303</v>
      </c>
      <c r="E364" s="1594">
        <f>E365+E382</f>
        <v>30000</v>
      </c>
      <c r="F364" s="1594">
        <f>F365+F382</f>
        <v>303</v>
      </c>
      <c r="G364" s="1594">
        <f>SUM(H364:I364)</f>
        <v>0</v>
      </c>
      <c r="H364" s="1594">
        <f>H365+H382</f>
        <v>0</v>
      </c>
      <c r="I364" s="1594">
        <f>I365+I382</f>
        <v>0</v>
      </c>
      <c r="J364" s="1594">
        <f>SUM(K364:L364)</f>
        <v>0</v>
      </c>
      <c r="K364" s="1594">
        <f>K365+K382</f>
        <v>0</v>
      </c>
      <c r="L364" s="1594">
        <f>L365+L382</f>
        <v>0</v>
      </c>
      <c r="M364" s="1870">
        <f t="shared" si="108"/>
        <v>0</v>
      </c>
      <c r="N364" s="1871">
        <f t="shared" si="108"/>
        <v>0</v>
      </c>
      <c r="O364" s="1871">
        <f t="shared" si="108"/>
        <v>0</v>
      </c>
      <c r="P364" s="1940"/>
      <c r="Q364" s="1593" t="s">
        <v>1104</v>
      </c>
      <c r="R364" s="1594">
        <f t="shared" si="119"/>
        <v>0</v>
      </c>
      <c r="S364" s="1594">
        <f>S365</f>
        <v>0</v>
      </c>
      <c r="T364" s="1594">
        <f>SUM(T365)</f>
        <v>0</v>
      </c>
      <c r="U364" s="1594">
        <f t="shared" si="120"/>
        <v>0</v>
      </c>
      <c r="V364" s="1594">
        <f>V365</f>
        <v>0</v>
      </c>
      <c r="W364" s="1594">
        <f>SUM(W365)</f>
        <v>0</v>
      </c>
      <c r="X364" s="1423">
        <f t="shared" si="121"/>
        <v>30303</v>
      </c>
      <c r="AA364" s="725"/>
    </row>
    <row r="365" spans="1:27" ht="75">
      <c r="A365" s="2060" t="s">
        <v>6</v>
      </c>
      <c r="B365" s="1872" t="s">
        <v>439</v>
      </c>
      <c r="C365" s="1873"/>
      <c r="D365" s="1861">
        <f t="shared" si="107"/>
        <v>0</v>
      </c>
      <c r="E365" s="1861">
        <f>SUM(E366,E379)</f>
        <v>0</v>
      </c>
      <c r="F365" s="1861">
        <f>SUM(F366,F379)</f>
        <v>0</v>
      </c>
      <c r="G365" s="1861">
        <f t="shared" si="118"/>
        <v>0</v>
      </c>
      <c r="H365" s="1861">
        <f>SUM(H366,H379)</f>
        <v>0</v>
      </c>
      <c r="I365" s="1861">
        <f>SUM(I366,I379)</f>
        <v>0</v>
      </c>
      <c r="J365" s="1861">
        <f t="shared" si="109"/>
        <v>0</v>
      </c>
      <c r="K365" s="1861">
        <f>SUM(K366,K379)</f>
        <v>0</v>
      </c>
      <c r="L365" s="1861">
        <f>SUM(L366,L379)</f>
        <v>0</v>
      </c>
      <c r="M365" s="1874">
        <f t="shared" si="108"/>
        <v>0</v>
      </c>
      <c r="N365" s="1875">
        <f t="shared" si="108"/>
        <v>0</v>
      </c>
      <c r="O365" s="1875">
        <f t="shared" si="108"/>
        <v>0</v>
      </c>
      <c r="P365" s="1597" t="s">
        <v>353</v>
      </c>
      <c r="Q365" s="1597" t="s">
        <v>353</v>
      </c>
      <c r="R365" s="1861">
        <f t="shared" si="119"/>
        <v>0</v>
      </c>
      <c r="S365" s="1861">
        <f>SUM(S366,S379)</f>
        <v>0</v>
      </c>
      <c r="T365" s="1861">
        <f>SUM(T366,T379)</f>
        <v>0</v>
      </c>
      <c r="U365" s="1861">
        <f t="shared" si="120"/>
        <v>0</v>
      </c>
      <c r="V365" s="1861">
        <f>SUM(V366,V379)</f>
        <v>0</v>
      </c>
      <c r="W365" s="1861">
        <f>SUM(W366,W379)</f>
        <v>0</v>
      </c>
      <c r="X365" s="1423">
        <f t="shared" si="121"/>
        <v>0</v>
      </c>
      <c r="AA365" s="725"/>
    </row>
    <row r="366" spans="1:27" ht="23.25">
      <c r="A366" s="2060" t="s">
        <v>253</v>
      </c>
      <c r="B366" s="1876" t="s">
        <v>1393</v>
      </c>
      <c r="C366" s="1877"/>
      <c r="D366" s="1598">
        <f t="shared" si="107"/>
        <v>0</v>
      </c>
      <c r="E366" s="1598">
        <f>SUM(E377,E371+E367+E369+E373+E375)</f>
        <v>0</v>
      </c>
      <c r="F366" s="1598">
        <f>SUM(F377,F371+F367+F369+F373+F375)</f>
        <v>0</v>
      </c>
      <c r="G366" s="1598">
        <f t="shared" si="118"/>
        <v>0</v>
      </c>
      <c r="H366" s="1598">
        <f>SUM(H377,H371+H367+H369+H373+H375)</f>
        <v>0</v>
      </c>
      <c r="I366" s="1598">
        <f>SUM(I377,I371+I367+I369+I373+I375)</f>
        <v>0</v>
      </c>
      <c r="J366" s="1598">
        <f t="shared" si="109"/>
        <v>0</v>
      </c>
      <c r="K366" s="1598">
        <f>SUM(K377,K371+K367+K369+K373+K375)</f>
        <v>0</v>
      </c>
      <c r="L366" s="1598">
        <f>SUM(L377,L371+L367+L369+L373+L375)</f>
        <v>0</v>
      </c>
      <c r="M366" s="1598">
        <f t="shared" si="108"/>
        <v>0</v>
      </c>
      <c r="N366" s="1598">
        <f t="shared" si="108"/>
        <v>0</v>
      </c>
      <c r="O366" s="1598">
        <f t="shared" si="108"/>
        <v>0</v>
      </c>
      <c r="P366" s="1599" t="s">
        <v>353</v>
      </c>
      <c r="Q366" s="1599" t="s">
        <v>353</v>
      </c>
      <c r="R366" s="1598">
        <f t="shared" si="119"/>
        <v>0</v>
      </c>
      <c r="S366" s="1598">
        <f>SUM(S377,S371+S367+S369+S373+S375)</f>
        <v>0</v>
      </c>
      <c r="T366" s="1598">
        <f>SUM(T377,T371+T367+T369+T373+T375)</f>
        <v>0</v>
      </c>
      <c r="U366" s="1598">
        <f t="shared" si="120"/>
        <v>0</v>
      </c>
      <c r="V366" s="1598">
        <f>SUM(V377,V371+V367+V369+V373+V375)</f>
        <v>0</v>
      </c>
      <c r="W366" s="1598">
        <f>SUM(W377,W371+W367+W369+W373+W375)</f>
        <v>0</v>
      </c>
      <c r="X366" s="1423">
        <f t="shared" si="121"/>
        <v>0</v>
      </c>
      <c r="AA366" s="725"/>
    </row>
    <row r="367" spans="1:27" s="484" customFormat="1" ht="18.75" hidden="1" customHeight="1">
      <c r="A367" s="2060"/>
      <c r="B367" s="1935" t="s">
        <v>46</v>
      </c>
      <c r="C367" s="1906"/>
      <c r="D367" s="1602">
        <f t="shared" si="107"/>
        <v>0</v>
      </c>
      <c r="E367" s="1603">
        <f>SUM(E368)</f>
        <v>0</v>
      </c>
      <c r="F367" s="1603">
        <f>SUM(F368)</f>
        <v>0</v>
      </c>
      <c r="G367" s="1602">
        <f t="shared" si="118"/>
        <v>0</v>
      </c>
      <c r="H367" s="1603">
        <f>SUM(H368)</f>
        <v>0</v>
      </c>
      <c r="I367" s="1603">
        <f>SUM(I368)</f>
        <v>0</v>
      </c>
      <c r="J367" s="1602">
        <f t="shared" si="109"/>
        <v>0</v>
      </c>
      <c r="K367" s="1603">
        <f>SUM(K368)</f>
        <v>0</v>
      </c>
      <c r="L367" s="1603">
        <f>SUM(L368)</f>
        <v>0</v>
      </c>
      <c r="M367" s="1604">
        <f t="shared" si="108"/>
        <v>0</v>
      </c>
      <c r="N367" s="1881">
        <f t="shared" si="108"/>
        <v>0</v>
      </c>
      <c r="O367" s="1881">
        <f t="shared" si="108"/>
        <v>0</v>
      </c>
      <c r="P367" s="1593"/>
      <c r="Q367" s="1593"/>
      <c r="R367" s="1602">
        <f t="shared" si="119"/>
        <v>0</v>
      </c>
      <c r="S367" s="1603">
        <f>SUM(S368)</f>
        <v>0</v>
      </c>
      <c r="T367" s="1603">
        <f>SUM(T368)</f>
        <v>0</v>
      </c>
      <c r="U367" s="1602">
        <f t="shared" si="120"/>
        <v>0</v>
      </c>
      <c r="V367" s="1603">
        <f>SUM(V368)</f>
        <v>0</v>
      </c>
      <c r="W367" s="1603">
        <f>SUM(W368)</f>
        <v>0</v>
      </c>
      <c r="AA367" s="725"/>
    </row>
    <row r="368" spans="1:27" s="484" customFormat="1" ht="56.25" hidden="1" customHeight="1">
      <c r="A368" s="2060"/>
      <c r="B368" s="1905" t="s">
        <v>1677</v>
      </c>
      <c r="C368" s="1866">
        <v>24381</v>
      </c>
      <c r="D368" s="1602">
        <f t="shared" si="107"/>
        <v>0</v>
      </c>
      <c r="E368" s="1616">
        <v>0</v>
      </c>
      <c r="F368" s="1616">
        <v>0</v>
      </c>
      <c r="G368" s="1602">
        <f t="shared" si="118"/>
        <v>0</v>
      </c>
      <c r="H368" s="1616">
        <v>0</v>
      </c>
      <c r="I368" s="1616">
        <v>0</v>
      </c>
      <c r="J368" s="1602">
        <f t="shared" si="109"/>
        <v>0</v>
      </c>
      <c r="K368" s="1616">
        <v>0</v>
      </c>
      <c r="L368" s="1616"/>
      <c r="M368" s="1604">
        <f t="shared" si="108"/>
        <v>0</v>
      </c>
      <c r="N368" s="1881">
        <f t="shared" si="108"/>
        <v>0</v>
      </c>
      <c r="O368" s="1881">
        <f t="shared" si="108"/>
        <v>0</v>
      </c>
      <c r="P368" s="1593"/>
      <c r="Q368" s="1593"/>
      <c r="R368" s="1602">
        <f t="shared" si="119"/>
        <v>0</v>
      </c>
      <c r="S368" s="1600"/>
      <c r="T368" s="1600"/>
      <c r="U368" s="1602">
        <f t="shared" si="120"/>
        <v>0</v>
      </c>
      <c r="V368" s="1600"/>
      <c r="W368" s="1600"/>
      <c r="AA368" s="725"/>
    </row>
    <row r="369" spans="1:27" s="484" customFormat="1" ht="23.25">
      <c r="A369" s="2060"/>
      <c r="B369" s="1935" t="s">
        <v>583</v>
      </c>
      <c r="C369" s="1906"/>
      <c r="D369" s="1602">
        <f t="shared" si="107"/>
        <v>0</v>
      </c>
      <c r="E369" s="1603">
        <f>SUM(E370)</f>
        <v>0</v>
      </c>
      <c r="F369" s="1603">
        <f>SUM(F370)</f>
        <v>0</v>
      </c>
      <c r="G369" s="1602">
        <f t="shared" si="118"/>
        <v>0</v>
      </c>
      <c r="H369" s="1603">
        <f>SUM(H370)</f>
        <v>0</v>
      </c>
      <c r="I369" s="1603">
        <f>SUM(I370)</f>
        <v>0</v>
      </c>
      <c r="J369" s="1602">
        <f t="shared" si="109"/>
        <v>0</v>
      </c>
      <c r="K369" s="1603">
        <f>SUM(K370)</f>
        <v>0</v>
      </c>
      <c r="L369" s="1603">
        <f>SUM(L370)</f>
        <v>0</v>
      </c>
      <c r="M369" s="1604">
        <f t="shared" si="108"/>
        <v>0</v>
      </c>
      <c r="N369" s="1881">
        <f t="shared" si="108"/>
        <v>0</v>
      </c>
      <c r="O369" s="1881">
        <f t="shared" si="108"/>
        <v>0</v>
      </c>
      <c r="P369" s="1593"/>
      <c r="Q369" s="1593"/>
      <c r="R369" s="1602">
        <f t="shared" si="119"/>
        <v>0</v>
      </c>
      <c r="S369" s="1603">
        <f>SUM(S370)</f>
        <v>0</v>
      </c>
      <c r="T369" s="1603">
        <f>SUM(T370)</f>
        <v>0</v>
      </c>
      <c r="U369" s="1602">
        <f t="shared" si="120"/>
        <v>0</v>
      </c>
      <c r="V369" s="1603">
        <f>SUM(V370)</f>
        <v>0</v>
      </c>
      <c r="W369" s="1603">
        <f>SUM(W370)</f>
        <v>0</v>
      </c>
      <c r="X369" s="1423">
        <f t="shared" ref="X369:X407" si="122">D369-G369</f>
        <v>0</v>
      </c>
      <c r="AA369" s="725"/>
    </row>
    <row r="370" spans="1:27" s="484" customFormat="1" ht="37.5">
      <c r="A370" s="2060">
        <f>A368+1</f>
        <v>1</v>
      </c>
      <c r="B370" s="1905" t="s">
        <v>1579</v>
      </c>
      <c r="C370" s="1906"/>
      <c r="D370" s="1602">
        <f t="shared" si="107"/>
        <v>0</v>
      </c>
      <c r="E370" s="1616">
        <v>0</v>
      </c>
      <c r="F370" s="1616">
        <v>0</v>
      </c>
      <c r="G370" s="1602">
        <f t="shared" si="118"/>
        <v>0</v>
      </c>
      <c r="H370" s="1616">
        <v>0</v>
      </c>
      <c r="I370" s="1616">
        <v>0</v>
      </c>
      <c r="J370" s="1602">
        <f t="shared" si="109"/>
        <v>0</v>
      </c>
      <c r="K370" s="1616">
        <v>0</v>
      </c>
      <c r="L370" s="1616"/>
      <c r="M370" s="1604">
        <f t="shared" si="108"/>
        <v>0</v>
      </c>
      <c r="N370" s="1881">
        <f t="shared" si="108"/>
        <v>0</v>
      </c>
      <c r="O370" s="1881">
        <f t="shared" si="108"/>
        <v>0</v>
      </c>
      <c r="P370" s="1593"/>
      <c r="Q370" s="1593"/>
      <c r="R370" s="1602">
        <f t="shared" si="119"/>
        <v>0</v>
      </c>
      <c r="S370" s="1616">
        <v>0</v>
      </c>
      <c r="T370" s="1616">
        <v>0</v>
      </c>
      <c r="U370" s="1602">
        <f t="shared" si="120"/>
        <v>0</v>
      </c>
      <c r="V370" s="1616">
        <v>0</v>
      </c>
      <c r="W370" s="1616">
        <v>0</v>
      </c>
      <c r="X370" s="1423">
        <f t="shared" si="122"/>
        <v>0</v>
      </c>
      <c r="AA370" s="725"/>
    </row>
    <row r="371" spans="1:27" ht="23.25">
      <c r="A371" s="2060"/>
      <c r="B371" s="2062" t="s">
        <v>68</v>
      </c>
      <c r="C371" s="2060"/>
      <c r="D371" s="1602">
        <f t="shared" si="107"/>
        <v>0</v>
      </c>
      <c r="E371" s="1603">
        <f>SUM(E372)</f>
        <v>0</v>
      </c>
      <c r="F371" s="1603">
        <f>SUM(F372)</f>
        <v>0</v>
      </c>
      <c r="G371" s="1602">
        <f t="shared" si="118"/>
        <v>0</v>
      </c>
      <c r="H371" s="1603">
        <f>SUM(H372)</f>
        <v>0</v>
      </c>
      <c r="I371" s="1603">
        <f>SUM(I372)</f>
        <v>0</v>
      </c>
      <c r="J371" s="1602">
        <f t="shared" si="109"/>
        <v>0</v>
      </c>
      <c r="K371" s="1603">
        <f>SUM(K372)</f>
        <v>0</v>
      </c>
      <c r="L371" s="1603">
        <f>SUM(L372)</f>
        <v>0</v>
      </c>
      <c r="M371" s="1604">
        <f t="shared" si="108"/>
        <v>0</v>
      </c>
      <c r="N371" s="1881">
        <f t="shared" si="108"/>
        <v>0</v>
      </c>
      <c r="O371" s="1881">
        <f t="shared" si="108"/>
        <v>0</v>
      </c>
      <c r="P371" s="1940"/>
      <c r="Q371" s="1593"/>
      <c r="R371" s="1602">
        <f t="shared" si="119"/>
        <v>0</v>
      </c>
      <c r="S371" s="1603">
        <f>SUM(S372)</f>
        <v>0</v>
      </c>
      <c r="T371" s="1603">
        <f>SUM(T372)</f>
        <v>0</v>
      </c>
      <c r="U371" s="1602">
        <f t="shared" si="120"/>
        <v>0</v>
      </c>
      <c r="V371" s="1603">
        <f>SUM(V372)</f>
        <v>0</v>
      </c>
      <c r="W371" s="1603">
        <f>SUM(W372)</f>
        <v>0</v>
      </c>
      <c r="X371" s="1423">
        <f t="shared" si="122"/>
        <v>0</v>
      </c>
      <c r="AA371" s="725"/>
    </row>
    <row r="372" spans="1:27" ht="37.5">
      <c r="A372" s="2060">
        <f>A370+1</f>
        <v>2</v>
      </c>
      <c r="B372" s="1879" t="s">
        <v>1422</v>
      </c>
      <c r="C372" s="2060"/>
      <c r="D372" s="1602">
        <f t="shared" si="107"/>
        <v>0</v>
      </c>
      <c r="E372" s="1616">
        <v>0</v>
      </c>
      <c r="F372" s="1616">
        <v>0</v>
      </c>
      <c r="G372" s="1602">
        <f t="shared" si="118"/>
        <v>0</v>
      </c>
      <c r="H372" s="1616">
        <v>0</v>
      </c>
      <c r="I372" s="1616">
        <v>0</v>
      </c>
      <c r="J372" s="1602">
        <f t="shared" si="109"/>
        <v>0</v>
      </c>
      <c r="K372" s="1616">
        <v>0</v>
      </c>
      <c r="L372" s="1616"/>
      <c r="M372" s="1604">
        <f t="shared" si="108"/>
        <v>0</v>
      </c>
      <c r="N372" s="1881">
        <f t="shared" si="108"/>
        <v>0</v>
      </c>
      <c r="O372" s="1881">
        <f t="shared" si="108"/>
        <v>0</v>
      </c>
      <c r="P372" s="1940"/>
      <c r="Q372" s="1593"/>
      <c r="R372" s="1602">
        <f t="shared" si="119"/>
        <v>0</v>
      </c>
      <c r="S372" s="1616"/>
      <c r="T372" s="1616"/>
      <c r="U372" s="1602">
        <f t="shared" si="120"/>
        <v>0</v>
      </c>
      <c r="V372" s="1616"/>
      <c r="W372" s="1616"/>
      <c r="X372" s="1423">
        <f t="shared" si="122"/>
        <v>0</v>
      </c>
      <c r="AA372" s="725"/>
    </row>
    <row r="373" spans="1:27" ht="23.25">
      <c r="A373" s="2060"/>
      <c r="B373" s="2062" t="s">
        <v>431</v>
      </c>
      <c r="C373" s="2060"/>
      <c r="D373" s="1602">
        <f t="shared" si="107"/>
        <v>0</v>
      </c>
      <c r="E373" s="1603">
        <f>SUM(E374)</f>
        <v>0</v>
      </c>
      <c r="F373" s="1603">
        <f>SUM(F374)</f>
        <v>0</v>
      </c>
      <c r="G373" s="1602">
        <f t="shared" si="118"/>
        <v>0</v>
      </c>
      <c r="H373" s="1603">
        <f>SUM(H374)</f>
        <v>0</v>
      </c>
      <c r="I373" s="1603">
        <f>SUM(I374)</f>
        <v>0</v>
      </c>
      <c r="J373" s="1602">
        <f t="shared" si="109"/>
        <v>0</v>
      </c>
      <c r="K373" s="1603">
        <f>SUM(K374)</f>
        <v>0</v>
      </c>
      <c r="L373" s="1603">
        <f>SUM(L374)</f>
        <v>0</v>
      </c>
      <c r="M373" s="1604">
        <f t="shared" si="108"/>
        <v>0</v>
      </c>
      <c r="N373" s="1881">
        <f t="shared" si="108"/>
        <v>0</v>
      </c>
      <c r="O373" s="1881">
        <f t="shared" si="108"/>
        <v>0</v>
      </c>
      <c r="P373" s="1940"/>
      <c r="Q373" s="1593"/>
      <c r="R373" s="1602">
        <f t="shared" si="119"/>
        <v>0</v>
      </c>
      <c r="S373" s="1603">
        <f>SUM(S374)</f>
        <v>0</v>
      </c>
      <c r="T373" s="1603">
        <f>SUM(T374)</f>
        <v>0</v>
      </c>
      <c r="U373" s="1602">
        <f t="shared" si="120"/>
        <v>0</v>
      </c>
      <c r="V373" s="1603">
        <f>SUM(V374)</f>
        <v>0</v>
      </c>
      <c r="W373" s="1603">
        <f>SUM(W374)</f>
        <v>0</v>
      </c>
      <c r="X373" s="1423">
        <f t="shared" si="122"/>
        <v>0</v>
      </c>
      <c r="AA373" s="725"/>
    </row>
    <row r="374" spans="1:27" ht="37.5">
      <c r="A374" s="2060">
        <f>A372+1</f>
        <v>3</v>
      </c>
      <c r="B374" s="1879" t="s">
        <v>1580</v>
      </c>
      <c r="C374" s="2060"/>
      <c r="D374" s="1602">
        <f t="shared" si="107"/>
        <v>0</v>
      </c>
      <c r="E374" s="1616">
        <v>0</v>
      </c>
      <c r="F374" s="1616">
        <v>0</v>
      </c>
      <c r="G374" s="1602">
        <f t="shared" si="118"/>
        <v>0</v>
      </c>
      <c r="H374" s="1616">
        <v>0</v>
      </c>
      <c r="I374" s="1616">
        <v>0</v>
      </c>
      <c r="J374" s="1602">
        <f t="shared" si="109"/>
        <v>0</v>
      </c>
      <c r="K374" s="1616">
        <v>0</v>
      </c>
      <c r="L374" s="1616"/>
      <c r="M374" s="1604">
        <f t="shared" si="108"/>
        <v>0</v>
      </c>
      <c r="N374" s="1881">
        <f t="shared" si="108"/>
        <v>0</v>
      </c>
      <c r="O374" s="1881">
        <f t="shared" si="108"/>
        <v>0</v>
      </c>
      <c r="P374" s="1940"/>
      <c r="Q374" s="1593"/>
      <c r="R374" s="1602">
        <f t="shared" si="119"/>
        <v>0</v>
      </c>
      <c r="S374" s="1616">
        <v>0</v>
      </c>
      <c r="T374" s="1616">
        <v>0</v>
      </c>
      <c r="U374" s="1602">
        <f t="shared" si="120"/>
        <v>0</v>
      </c>
      <c r="V374" s="1616">
        <v>0</v>
      </c>
      <c r="W374" s="1616">
        <v>0</v>
      </c>
      <c r="X374" s="1423">
        <f t="shared" si="122"/>
        <v>0</v>
      </c>
      <c r="AA374" s="725"/>
    </row>
    <row r="375" spans="1:27" ht="23.25">
      <c r="A375" s="2060"/>
      <c r="B375" s="2062" t="s">
        <v>90</v>
      </c>
      <c r="C375" s="2060"/>
      <c r="D375" s="1602">
        <f t="shared" si="107"/>
        <v>0</v>
      </c>
      <c r="E375" s="1603">
        <f>SUM(E376)</f>
        <v>0</v>
      </c>
      <c r="F375" s="1603">
        <f>SUM(F376)</f>
        <v>0</v>
      </c>
      <c r="G375" s="1602">
        <f t="shared" si="118"/>
        <v>0</v>
      </c>
      <c r="H375" s="1603">
        <f>SUM(H376)</f>
        <v>0</v>
      </c>
      <c r="I375" s="1603">
        <f>SUM(I376)</f>
        <v>0</v>
      </c>
      <c r="J375" s="1602">
        <f t="shared" si="109"/>
        <v>0</v>
      </c>
      <c r="K375" s="1603">
        <f>SUM(K376)</f>
        <v>0</v>
      </c>
      <c r="L375" s="1603">
        <f>SUM(L376)</f>
        <v>0</v>
      </c>
      <c r="M375" s="1604">
        <f t="shared" si="108"/>
        <v>0</v>
      </c>
      <c r="N375" s="1881">
        <f t="shared" si="108"/>
        <v>0</v>
      </c>
      <c r="O375" s="1881">
        <f t="shared" si="108"/>
        <v>0</v>
      </c>
      <c r="P375" s="1940"/>
      <c r="Q375" s="1593"/>
      <c r="R375" s="1602">
        <f t="shared" si="119"/>
        <v>0</v>
      </c>
      <c r="S375" s="1603">
        <f>SUM(S376)</f>
        <v>0</v>
      </c>
      <c r="T375" s="1603">
        <f>SUM(T376)</f>
        <v>0</v>
      </c>
      <c r="U375" s="1602">
        <f t="shared" si="120"/>
        <v>0</v>
      </c>
      <c r="V375" s="1603">
        <f>SUM(V376)</f>
        <v>0</v>
      </c>
      <c r="W375" s="1603">
        <f>SUM(W376)</f>
        <v>0</v>
      </c>
      <c r="X375" s="1423">
        <f t="shared" si="122"/>
        <v>0</v>
      </c>
      <c r="AA375" s="725"/>
    </row>
    <row r="376" spans="1:27" ht="42.75" customHeight="1">
      <c r="A376" s="2060">
        <f>A374+1</f>
        <v>4</v>
      </c>
      <c r="B376" s="1879" t="s">
        <v>1581</v>
      </c>
      <c r="C376" s="2060"/>
      <c r="D376" s="1602">
        <f t="shared" si="107"/>
        <v>0</v>
      </c>
      <c r="E376" s="1616">
        <v>0</v>
      </c>
      <c r="F376" s="1616">
        <v>0</v>
      </c>
      <c r="G376" s="1602">
        <f t="shared" si="118"/>
        <v>0</v>
      </c>
      <c r="H376" s="1616">
        <v>0</v>
      </c>
      <c r="I376" s="1616">
        <v>0</v>
      </c>
      <c r="J376" s="1602">
        <f t="shared" si="109"/>
        <v>0</v>
      </c>
      <c r="K376" s="1616">
        <v>0</v>
      </c>
      <c r="L376" s="1616"/>
      <c r="M376" s="1604">
        <f t="shared" si="108"/>
        <v>0</v>
      </c>
      <c r="N376" s="1881">
        <f t="shared" si="108"/>
        <v>0</v>
      </c>
      <c r="O376" s="1881">
        <f t="shared" si="108"/>
        <v>0</v>
      </c>
      <c r="P376" s="1940"/>
      <c r="Q376" s="1593"/>
      <c r="R376" s="1602">
        <f t="shared" si="119"/>
        <v>0</v>
      </c>
      <c r="S376" s="1616">
        <v>0</v>
      </c>
      <c r="T376" s="1616"/>
      <c r="U376" s="1602">
        <f t="shared" si="120"/>
        <v>0</v>
      </c>
      <c r="V376" s="1616">
        <v>0</v>
      </c>
      <c r="W376" s="1616">
        <v>0</v>
      </c>
      <c r="X376" s="1423">
        <f t="shared" si="122"/>
        <v>0</v>
      </c>
      <c r="AA376" s="725"/>
    </row>
    <row r="377" spans="1:27" ht="23.25">
      <c r="A377" s="2060"/>
      <c r="B377" s="2062" t="s">
        <v>457</v>
      </c>
      <c r="C377" s="2060">
        <v>24371</v>
      </c>
      <c r="D377" s="1602">
        <f t="shared" si="107"/>
        <v>0</v>
      </c>
      <c r="E377" s="1603">
        <f>SUM(E378)</f>
        <v>0</v>
      </c>
      <c r="F377" s="1603">
        <f>SUM(F378)</f>
        <v>0</v>
      </c>
      <c r="G377" s="1602">
        <f t="shared" si="118"/>
        <v>0</v>
      </c>
      <c r="H377" s="1603">
        <f>SUM(H378)</f>
        <v>0</v>
      </c>
      <c r="I377" s="1603">
        <f>SUM(I378)</f>
        <v>0</v>
      </c>
      <c r="J377" s="1602">
        <f t="shared" si="109"/>
        <v>0</v>
      </c>
      <c r="K377" s="1603">
        <f>SUM(K378)</f>
        <v>0</v>
      </c>
      <c r="L377" s="1603">
        <f>SUM(L378)</f>
        <v>0</v>
      </c>
      <c r="M377" s="1604">
        <f t="shared" si="108"/>
        <v>0</v>
      </c>
      <c r="N377" s="1881">
        <f t="shared" si="108"/>
        <v>0</v>
      </c>
      <c r="O377" s="1881">
        <f t="shared" si="108"/>
        <v>0</v>
      </c>
      <c r="P377" s="1940"/>
      <c r="Q377" s="1593"/>
      <c r="R377" s="1602">
        <f t="shared" si="119"/>
        <v>0</v>
      </c>
      <c r="S377" s="1603">
        <f>SUM(S378)</f>
        <v>0</v>
      </c>
      <c r="T377" s="1603">
        <f>SUM(T378)</f>
        <v>0</v>
      </c>
      <c r="U377" s="1602">
        <f t="shared" si="120"/>
        <v>0</v>
      </c>
      <c r="V377" s="1603">
        <f>SUM(V378)</f>
        <v>0</v>
      </c>
      <c r="W377" s="1603">
        <f>SUM(W378)</f>
        <v>0</v>
      </c>
      <c r="X377" s="1423">
        <f t="shared" si="122"/>
        <v>0</v>
      </c>
      <c r="AA377" s="725"/>
    </row>
    <row r="378" spans="1:27" ht="85.5" customHeight="1">
      <c r="A378" s="2060">
        <f>A376+1</f>
        <v>5</v>
      </c>
      <c r="B378" s="1879" t="s">
        <v>1424</v>
      </c>
      <c r="C378" s="2060">
        <v>24371</v>
      </c>
      <c r="D378" s="1602">
        <f t="shared" si="107"/>
        <v>0</v>
      </c>
      <c r="E378" s="1616">
        <v>0</v>
      </c>
      <c r="F378" s="1616">
        <v>0</v>
      </c>
      <c r="G378" s="1602">
        <f t="shared" si="118"/>
        <v>0</v>
      </c>
      <c r="H378" s="1616">
        <v>0</v>
      </c>
      <c r="I378" s="1616">
        <v>0</v>
      </c>
      <c r="J378" s="1602">
        <f t="shared" si="109"/>
        <v>0</v>
      </c>
      <c r="K378" s="1616">
        <v>0</v>
      </c>
      <c r="L378" s="1616"/>
      <c r="M378" s="1604">
        <f t="shared" si="108"/>
        <v>0</v>
      </c>
      <c r="N378" s="1881">
        <f t="shared" si="108"/>
        <v>0</v>
      </c>
      <c r="O378" s="1881">
        <f t="shared" si="108"/>
        <v>0</v>
      </c>
      <c r="P378" s="1940"/>
      <c r="Q378" s="1593"/>
      <c r="R378" s="1602">
        <f t="shared" si="119"/>
        <v>0</v>
      </c>
      <c r="S378" s="1616">
        <v>0</v>
      </c>
      <c r="T378" s="1616">
        <v>0</v>
      </c>
      <c r="U378" s="1602">
        <f t="shared" si="120"/>
        <v>0</v>
      </c>
      <c r="V378" s="1616">
        <v>0</v>
      </c>
      <c r="W378" s="1616">
        <v>0</v>
      </c>
      <c r="X378" s="1423">
        <f t="shared" si="122"/>
        <v>0</v>
      </c>
      <c r="AA378" s="725"/>
    </row>
    <row r="379" spans="1:27" ht="23.25" hidden="1">
      <c r="A379" s="2060" t="s">
        <v>254</v>
      </c>
      <c r="B379" s="1876" t="s">
        <v>1394</v>
      </c>
      <c r="C379" s="1936">
        <v>24372</v>
      </c>
      <c r="D379" s="1598">
        <f t="shared" si="107"/>
        <v>0</v>
      </c>
      <c r="E379" s="1598">
        <f>E380</f>
        <v>0</v>
      </c>
      <c r="F379" s="1598">
        <f>F380</f>
        <v>0</v>
      </c>
      <c r="G379" s="1598">
        <f>SUM(H379:I379)</f>
        <v>0</v>
      </c>
      <c r="H379" s="1598">
        <f>H380</f>
        <v>0</v>
      </c>
      <c r="I379" s="1598">
        <f>I380</f>
        <v>0</v>
      </c>
      <c r="J379" s="1598">
        <f>SUM(K379:L379)</f>
        <v>0</v>
      </c>
      <c r="K379" s="1598">
        <f>K380</f>
        <v>0</v>
      </c>
      <c r="L379" s="1598">
        <f>L380</f>
        <v>0</v>
      </c>
      <c r="M379" s="1937">
        <f t="shared" si="108"/>
        <v>0</v>
      </c>
      <c r="N379" s="1938">
        <f t="shared" si="108"/>
        <v>0</v>
      </c>
      <c r="O379" s="1938">
        <f t="shared" si="108"/>
        <v>0</v>
      </c>
      <c r="P379" s="1599" t="s">
        <v>353</v>
      </c>
      <c r="Q379" s="1599" t="s">
        <v>353</v>
      </c>
      <c r="R379" s="1598">
        <f t="shared" si="119"/>
        <v>0</v>
      </c>
      <c r="S379" s="1598">
        <f>S380</f>
        <v>0</v>
      </c>
      <c r="T379" s="1598">
        <f>T380</f>
        <v>0</v>
      </c>
      <c r="U379" s="1598">
        <f t="shared" si="120"/>
        <v>0</v>
      </c>
      <c r="V379" s="1598">
        <f>V380</f>
        <v>0</v>
      </c>
      <c r="W379" s="1598">
        <f>W380</f>
        <v>0</v>
      </c>
      <c r="X379" s="1423">
        <f t="shared" si="122"/>
        <v>0</v>
      </c>
      <c r="AA379" s="725"/>
    </row>
    <row r="380" spans="1:27" ht="23.25" hidden="1">
      <c r="A380" s="2060" t="s">
        <v>441</v>
      </c>
      <c r="B380" s="2062" t="s">
        <v>615</v>
      </c>
      <c r="C380" s="2061"/>
      <c r="D380" s="1602">
        <f t="shared" si="107"/>
        <v>0</v>
      </c>
      <c r="E380" s="1603">
        <f>SUM(E381)</f>
        <v>0</v>
      </c>
      <c r="F380" s="1603">
        <f>SUM(F381)</f>
        <v>0</v>
      </c>
      <c r="G380" s="1602">
        <f t="shared" si="118"/>
        <v>0</v>
      </c>
      <c r="H380" s="1603">
        <f>SUM(H381)</f>
        <v>0</v>
      </c>
      <c r="I380" s="1603">
        <f>SUM(I381)</f>
        <v>0</v>
      </c>
      <c r="J380" s="1602">
        <f t="shared" si="109"/>
        <v>0</v>
      </c>
      <c r="K380" s="1603">
        <f>SUM(K381)</f>
        <v>0</v>
      </c>
      <c r="L380" s="1603">
        <f>SUM(L381)</f>
        <v>0</v>
      </c>
      <c r="M380" s="1604">
        <f t="shared" si="108"/>
        <v>0</v>
      </c>
      <c r="N380" s="1881">
        <f t="shared" si="108"/>
        <v>0</v>
      </c>
      <c r="O380" s="1881">
        <f t="shared" si="108"/>
        <v>0</v>
      </c>
      <c r="P380" s="1940"/>
      <c r="Q380" s="1593"/>
      <c r="R380" s="1602">
        <f t="shared" si="119"/>
        <v>0</v>
      </c>
      <c r="S380" s="1603">
        <f>SUM(S381)</f>
        <v>0</v>
      </c>
      <c r="T380" s="1603">
        <f>SUM(T381)</f>
        <v>0</v>
      </c>
      <c r="U380" s="1602">
        <f t="shared" si="120"/>
        <v>0</v>
      </c>
      <c r="V380" s="1603">
        <f>SUM(V381)</f>
        <v>0</v>
      </c>
      <c r="W380" s="1603">
        <f>SUM(W381)</f>
        <v>0</v>
      </c>
      <c r="X380" s="1423">
        <f t="shared" si="122"/>
        <v>0</v>
      </c>
      <c r="AA380" s="725"/>
    </row>
    <row r="381" spans="1:27" ht="23.25" hidden="1">
      <c r="A381" s="2060">
        <f>A378+1</f>
        <v>6</v>
      </c>
      <c r="B381" s="1879" t="s">
        <v>1423</v>
      </c>
      <c r="C381" s="1880">
        <v>24372</v>
      </c>
      <c r="D381" s="1602">
        <f t="shared" si="107"/>
        <v>0</v>
      </c>
      <c r="E381" s="1616">
        <v>0</v>
      </c>
      <c r="F381" s="1616">
        <v>0</v>
      </c>
      <c r="G381" s="1602">
        <f t="shared" si="118"/>
        <v>0</v>
      </c>
      <c r="H381" s="1616">
        <v>0</v>
      </c>
      <c r="I381" s="1616">
        <v>0</v>
      </c>
      <c r="J381" s="1602">
        <f t="shared" si="109"/>
        <v>0</v>
      </c>
      <c r="K381" s="1616">
        <v>0</v>
      </c>
      <c r="L381" s="1616"/>
      <c r="M381" s="1604">
        <f t="shared" si="108"/>
        <v>0</v>
      </c>
      <c r="N381" s="1881">
        <f t="shared" si="108"/>
        <v>0</v>
      </c>
      <c r="O381" s="1881">
        <f t="shared" si="108"/>
        <v>0</v>
      </c>
      <c r="P381" s="1940"/>
      <c r="Q381" s="1593"/>
      <c r="R381" s="1602">
        <f>SUM(S381:T381)</f>
        <v>0</v>
      </c>
      <c r="S381" s="1616">
        <v>0</v>
      </c>
      <c r="T381" s="1616">
        <v>0</v>
      </c>
      <c r="U381" s="1602">
        <f>SUM(V381:W381)</f>
        <v>0</v>
      </c>
      <c r="V381" s="1616">
        <v>0</v>
      </c>
      <c r="W381" s="1616">
        <v>0</v>
      </c>
      <c r="X381" s="1423">
        <f t="shared" si="122"/>
        <v>0</v>
      </c>
      <c r="AA381" s="725"/>
    </row>
    <row r="382" spans="1:27" ht="93.75">
      <c r="A382" s="2060" t="s">
        <v>2</v>
      </c>
      <c r="B382" s="1872" t="s">
        <v>1434</v>
      </c>
      <c r="C382" s="1873"/>
      <c r="D382" s="1861">
        <f>SUM(E382:F382)</f>
        <v>30303</v>
      </c>
      <c r="E382" s="1861">
        <f>E384</f>
        <v>30000</v>
      </c>
      <c r="F382" s="1861">
        <f>F384</f>
        <v>303</v>
      </c>
      <c r="G382" s="1861">
        <f t="shared" si="118"/>
        <v>0</v>
      </c>
      <c r="H382" s="1861">
        <f>H384</f>
        <v>0</v>
      </c>
      <c r="I382" s="1861">
        <f>I384</f>
        <v>0</v>
      </c>
      <c r="J382" s="1861">
        <f t="shared" si="109"/>
        <v>0</v>
      </c>
      <c r="K382" s="1861">
        <f>K384</f>
        <v>0</v>
      </c>
      <c r="L382" s="1861">
        <f>L384</f>
        <v>0</v>
      </c>
      <c r="M382" s="1874">
        <f t="shared" si="108"/>
        <v>0</v>
      </c>
      <c r="N382" s="1875">
        <f t="shared" si="108"/>
        <v>0</v>
      </c>
      <c r="O382" s="1875">
        <f t="shared" si="108"/>
        <v>0</v>
      </c>
      <c r="P382" s="1622" t="s">
        <v>353</v>
      </c>
      <c r="Q382" s="1622" t="s">
        <v>353</v>
      </c>
      <c r="R382" s="1861" t="e">
        <f>SUM(S382:T382)</f>
        <v>#REF!</v>
      </c>
      <c r="S382" s="1861" t="e">
        <f>SUM(S384,S436)</f>
        <v>#REF!</v>
      </c>
      <c r="T382" s="1861" t="e">
        <f>SUM(T384,T436)</f>
        <v>#REF!</v>
      </c>
      <c r="U382" s="1861" t="e">
        <f>SUM(V382:W382)</f>
        <v>#REF!</v>
      </c>
      <c r="V382" s="1861" t="e">
        <f>SUM(V384,V436)</f>
        <v>#REF!</v>
      </c>
      <c r="W382" s="1861" t="e">
        <f>SUM(W384,W436)</f>
        <v>#REF!</v>
      </c>
      <c r="X382" s="1423">
        <f t="shared" si="122"/>
        <v>30303</v>
      </c>
      <c r="AA382" s="725"/>
    </row>
    <row r="383" spans="1:27" ht="23.25">
      <c r="A383" s="2060" t="s">
        <v>253</v>
      </c>
      <c r="B383" s="1876" t="s">
        <v>1393</v>
      </c>
      <c r="C383" s="1877"/>
      <c r="D383" s="1598">
        <f>SUM(E383:F383)</f>
        <v>30303</v>
      </c>
      <c r="E383" s="1598">
        <f>E384</f>
        <v>30000</v>
      </c>
      <c r="F383" s="1598">
        <f>F384</f>
        <v>303</v>
      </c>
      <c r="G383" s="1598">
        <f>SUM(H383:I383)</f>
        <v>0</v>
      </c>
      <c r="H383" s="1598">
        <f>H384</f>
        <v>0</v>
      </c>
      <c r="I383" s="1598">
        <f>I384</f>
        <v>0</v>
      </c>
      <c r="J383" s="1598">
        <f>SUM(K383:L383)</f>
        <v>0</v>
      </c>
      <c r="K383" s="1598">
        <f>K384</f>
        <v>0</v>
      </c>
      <c r="L383" s="1598">
        <f>L384</f>
        <v>0</v>
      </c>
      <c r="M383" s="1598">
        <f>IF(J383=0,0,J383/G383*100)</f>
        <v>0</v>
      </c>
      <c r="N383" s="1598">
        <f>IF(K383=0,0,K383/H383*100)</f>
        <v>0</v>
      </c>
      <c r="O383" s="1598">
        <f>IF(L383=0,0,L383/I383*100)</f>
        <v>0</v>
      </c>
      <c r="P383" s="1599" t="s">
        <v>353</v>
      </c>
      <c r="Q383" s="1599" t="s">
        <v>353</v>
      </c>
      <c r="R383" s="1598" t="e">
        <f>SUM(S383:T383)</f>
        <v>#REF!</v>
      </c>
      <c r="S383" s="1598" t="e">
        <f>SUM(S394,S388+S384+S386+S390+S392)</f>
        <v>#REF!</v>
      </c>
      <c r="T383" s="1598" t="e">
        <f>SUM(T394,T388+T384+T386+T390+T392)</f>
        <v>#REF!</v>
      </c>
      <c r="U383" s="1598" t="e">
        <f>SUM(V383:W383)</f>
        <v>#REF!</v>
      </c>
      <c r="V383" s="1598" t="e">
        <f>SUM(V394,V388+V384+V386+V390+V392)</f>
        <v>#REF!</v>
      </c>
      <c r="W383" s="1598" t="e">
        <f>SUM(W394,W388+W384+W386+W390+W392)</f>
        <v>#REF!</v>
      </c>
      <c r="X383" s="1423">
        <f t="shared" si="122"/>
        <v>30303</v>
      </c>
      <c r="AA383" s="725"/>
    </row>
    <row r="384" spans="1:27" ht="61.5" customHeight="1">
      <c r="A384" s="2060" t="s">
        <v>246</v>
      </c>
      <c r="B384" s="1897" t="s">
        <v>1771</v>
      </c>
      <c r="C384" s="1898"/>
      <c r="D384" s="1899">
        <f>SUM(E384:F384)</f>
        <v>30303</v>
      </c>
      <c r="E384" s="1899">
        <f>E385</f>
        <v>30000</v>
      </c>
      <c r="F384" s="1899">
        <v>303</v>
      </c>
      <c r="G384" s="1899">
        <f t="shared" si="118"/>
        <v>0</v>
      </c>
      <c r="H384" s="1899">
        <f>H385</f>
        <v>0</v>
      </c>
      <c r="I384" s="1899">
        <f>I385</f>
        <v>0</v>
      </c>
      <c r="J384" s="1899">
        <f t="shared" si="109"/>
        <v>0</v>
      </c>
      <c r="K384" s="1899">
        <f>K385</f>
        <v>0</v>
      </c>
      <c r="L384" s="1899">
        <f>L385</f>
        <v>0</v>
      </c>
      <c r="M384" s="1900">
        <f t="shared" si="108"/>
        <v>0</v>
      </c>
      <c r="N384" s="1900">
        <f t="shared" si="108"/>
        <v>0</v>
      </c>
      <c r="O384" s="1900">
        <f t="shared" si="108"/>
        <v>0</v>
      </c>
      <c r="P384" s="1593"/>
      <c r="Q384" s="1593"/>
      <c r="R384" s="1899" t="e">
        <f>SUM(S384:T384)</f>
        <v>#REF!</v>
      </c>
      <c r="S384" s="1899" t="e">
        <f>#REF!</f>
        <v>#REF!</v>
      </c>
      <c r="T384" s="1899" t="e">
        <f>#REF!</f>
        <v>#REF!</v>
      </c>
      <c r="U384" s="1899" t="e">
        <f>SUM(V384:W384)</f>
        <v>#REF!</v>
      </c>
      <c r="V384" s="1899" t="e">
        <f>#REF!</f>
        <v>#REF!</v>
      </c>
      <c r="W384" s="1899" t="e">
        <f>#REF!</f>
        <v>#REF!</v>
      </c>
      <c r="X384" s="1423">
        <f>D384-G384</f>
        <v>30303</v>
      </c>
      <c r="AA384" s="725"/>
    </row>
    <row r="385" spans="1:27" ht="57" customHeight="1">
      <c r="A385" s="2060">
        <v>6</v>
      </c>
      <c r="B385" s="1889" t="s">
        <v>1774</v>
      </c>
      <c r="C385" s="2060">
        <v>30131</v>
      </c>
      <c r="D385" s="1600">
        <f>SUM(E385:F385)</f>
        <v>30303.1</v>
      </c>
      <c r="E385" s="1608">
        <v>30000</v>
      </c>
      <c r="F385" s="1608">
        <v>303.10000000000002</v>
      </c>
      <c r="G385" s="1600">
        <f>SUM(H385:I385)</f>
        <v>0</v>
      </c>
      <c r="H385" s="1608"/>
      <c r="I385" s="1608"/>
      <c r="J385" s="1600">
        <f t="shared" si="109"/>
        <v>0</v>
      </c>
      <c r="K385" s="1608"/>
      <c r="L385" s="1608"/>
      <c r="M385" s="1604">
        <f t="shared" si="108"/>
        <v>0</v>
      </c>
      <c r="N385" s="1881">
        <f t="shared" si="108"/>
        <v>0</v>
      </c>
      <c r="O385" s="1881">
        <f t="shared" si="108"/>
        <v>0</v>
      </c>
      <c r="P385" s="1593" t="s">
        <v>1290</v>
      </c>
      <c r="Q385" s="1593" t="s">
        <v>1240</v>
      </c>
      <c r="R385" s="1600">
        <f>SUM(S385:T385)</f>
        <v>0</v>
      </c>
      <c r="S385" s="1608">
        <v>0</v>
      </c>
      <c r="T385" s="1608">
        <v>0</v>
      </c>
      <c r="U385" s="1600">
        <f>SUM(V385:W385)</f>
        <v>0</v>
      </c>
      <c r="V385" s="1608">
        <v>0</v>
      </c>
      <c r="W385" s="1608">
        <v>0</v>
      </c>
      <c r="X385" s="1423">
        <f>D385-G385</f>
        <v>30303.1</v>
      </c>
      <c r="AA385" s="725"/>
    </row>
    <row r="386" spans="1:27" ht="41.25" customHeight="1">
      <c r="A386" s="2565" t="s">
        <v>1369</v>
      </c>
      <c r="B386" s="2565"/>
      <c r="C386" s="1594">
        <v>62500</v>
      </c>
      <c r="D386" s="1594">
        <f>D387</f>
        <v>9236.2999999999993</v>
      </c>
      <c r="E386" s="1594">
        <f t="shared" ref="E386:L387" si="123">E387</f>
        <v>0</v>
      </c>
      <c r="F386" s="1594">
        <f t="shared" si="123"/>
        <v>9236.2999999999993</v>
      </c>
      <c r="G386" s="1594">
        <f t="shared" si="123"/>
        <v>9236.2999999999993</v>
      </c>
      <c r="H386" s="1594">
        <f t="shared" si="123"/>
        <v>0</v>
      </c>
      <c r="I386" s="1594">
        <f t="shared" si="123"/>
        <v>9236.2999999999993</v>
      </c>
      <c r="J386" s="1594">
        <f t="shared" si="123"/>
        <v>2044.1</v>
      </c>
      <c r="K386" s="1594">
        <f t="shared" si="123"/>
        <v>0</v>
      </c>
      <c r="L386" s="1594">
        <f t="shared" si="123"/>
        <v>2044.1</v>
      </c>
      <c r="M386" s="1966">
        <f t="shared" si="108"/>
        <v>22.1</v>
      </c>
      <c r="N386" s="1967">
        <f t="shared" si="108"/>
        <v>0</v>
      </c>
      <c r="O386" s="1967">
        <f t="shared" si="108"/>
        <v>22.1</v>
      </c>
      <c r="P386" s="1659"/>
      <c r="Q386" s="1794"/>
      <c r="R386" s="1964"/>
      <c r="S386" s="1965"/>
      <c r="T386" s="1965"/>
      <c r="U386" s="1964"/>
      <c r="V386" s="1965"/>
      <c r="W386" s="1965"/>
      <c r="X386" s="1423">
        <f t="shared" si="122"/>
        <v>0</v>
      </c>
      <c r="AA386" s="725"/>
    </row>
    <row r="387" spans="1:27" ht="75">
      <c r="A387" s="2060" t="s">
        <v>1681</v>
      </c>
      <c r="B387" s="1872" t="s">
        <v>439</v>
      </c>
      <c r="C387" s="1860">
        <v>2675651.2999999998</v>
      </c>
      <c r="D387" s="1861">
        <f>E387+F387</f>
        <v>9236.2999999999993</v>
      </c>
      <c r="E387" s="1861">
        <f>E388</f>
        <v>0</v>
      </c>
      <c r="F387" s="1861">
        <f t="shared" si="123"/>
        <v>9236.2999999999993</v>
      </c>
      <c r="G387" s="1861">
        <f t="shared" si="123"/>
        <v>9236.2999999999993</v>
      </c>
      <c r="H387" s="1861">
        <f t="shared" si="123"/>
        <v>0</v>
      </c>
      <c r="I387" s="1861">
        <f t="shared" si="123"/>
        <v>9236.2999999999993</v>
      </c>
      <c r="J387" s="1861">
        <f t="shared" si="123"/>
        <v>2044.1</v>
      </c>
      <c r="K387" s="1861">
        <f t="shared" si="123"/>
        <v>0</v>
      </c>
      <c r="L387" s="1861">
        <f t="shared" si="123"/>
        <v>2044.1</v>
      </c>
      <c r="M387" s="1968">
        <f t="shared" si="108"/>
        <v>22.1</v>
      </c>
      <c r="N387" s="1969">
        <f t="shared" si="108"/>
        <v>0</v>
      </c>
      <c r="O387" s="1969">
        <f t="shared" si="108"/>
        <v>22.1</v>
      </c>
      <c r="P387" s="1659"/>
      <c r="Q387" s="1794"/>
      <c r="R387" s="1964"/>
      <c r="S387" s="1965"/>
      <c r="T387" s="1965"/>
      <c r="U387" s="1964"/>
      <c r="V387" s="1965"/>
      <c r="W387" s="1965"/>
      <c r="X387" s="1423">
        <f t="shared" si="122"/>
        <v>0</v>
      </c>
      <c r="AA387" s="725"/>
    </row>
    <row r="388" spans="1:27" ht="23.25">
      <c r="A388" s="2060" t="s">
        <v>253</v>
      </c>
      <c r="B388" s="1876" t="s">
        <v>1393</v>
      </c>
      <c r="C388" s="1598">
        <v>14500</v>
      </c>
      <c r="D388" s="1598">
        <f>E388+F388</f>
        <v>9236.2999999999993</v>
      </c>
      <c r="E388" s="1598">
        <f>E391</f>
        <v>0</v>
      </c>
      <c r="F388" s="1598">
        <f t="shared" ref="F388:L388" si="124">F389+F391</f>
        <v>9236.2999999999993</v>
      </c>
      <c r="G388" s="1598">
        <f t="shared" si="124"/>
        <v>9236.2999999999993</v>
      </c>
      <c r="H388" s="1598">
        <f t="shared" si="124"/>
        <v>0</v>
      </c>
      <c r="I388" s="1598">
        <f t="shared" si="124"/>
        <v>9236.2999999999993</v>
      </c>
      <c r="J388" s="1598">
        <f t="shared" si="124"/>
        <v>2044.1</v>
      </c>
      <c r="K388" s="1598">
        <f t="shared" si="124"/>
        <v>0</v>
      </c>
      <c r="L388" s="1598">
        <f t="shared" si="124"/>
        <v>2044.1</v>
      </c>
      <c r="M388" s="1937">
        <f t="shared" si="108"/>
        <v>22.1</v>
      </c>
      <c r="N388" s="1938">
        <f t="shared" si="108"/>
        <v>0</v>
      </c>
      <c r="O388" s="1938">
        <f t="shared" si="108"/>
        <v>22.1</v>
      </c>
      <c r="P388" s="1659"/>
      <c r="Q388" s="1794"/>
      <c r="R388" s="1964"/>
      <c r="S388" s="1965"/>
      <c r="T388" s="1965"/>
      <c r="U388" s="1964"/>
      <c r="V388" s="1965"/>
      <c r="W388" s="1965"/>
      <c r="X388" s="1423">
        <f t="shared" si="122"/>
        <v>0</v>
      </c>
      <c r="AA388" s="725"/>
    </row>
    <row r="389" spans="1:27" ht="23.25">
      <c r="A389" s="2060"/>
      <c r="B389" s="2006" t="s">
        <v>283</v>
      </c>
      <c r="C389" s="1598"/>
      <c r="D389" s="1602">
        <f t="shared" ref="D389:L389" si="125">D390</f>
        <v>3150</v>
      </c>
      <c r="E389" s="1602">
        <f t="shared" si="125"/>
        <v>0</v>
      </c>
      <c r="F389" s="1602">
        <f t="shared" si="125"/>
        <v>3150</v>
      </c>
      <c r="G389" s="1602">
        <f t="shared" si="125"/>
        <v>3150</v>
      </c>
      <c r="H389" s="1602">
        <f t="shared" si="125"/>
        <v>0</v>
      </c>
      <c r="I389" s="1602">
        <f t="shared" si="125"/>
        <v>3150</v>
      </c>
      <c r="J389" s="1602">
        <f t="shared" si="125"/>
        <v>0</v>
      </c>
      <c r="K389" s="1602">
        <f t="shared" si="125"/>
        <v>0</v>
      </c>
      <c r="L389" s="1602">
        <f t="shared" si="125"/>
        <v>0</v>
      </c>
      <c r="M389" s="1893">
        <f t="shared" si="108"/>
        <v>0</v>
      </c>
      <c r="N389" s="1894">
        <f t="shared" si="108"/>
        <v>0</v>
      </c>
      <c r="O389" s="1894">
        <f t="shared" si="108"/>
        <v>0</v>
      </c>
      <c r="P389" s="1659"/>
      <c r="Q389" s="1794"/>
      <c r="R389" s="1964"/>
      <c r="S389" s="1965"/>
      <c r="T389" s="1965"/>
      <c r="U389" s="1964"/>
      <c r="V389" s="1965"/>
      <c r="W389" s="1965"/>
      <c r="X389" s="1423">
        <f t="shared" si="122"/>
        <v>0</v>
      </c>
      <c r="AA389" s="725"/>
    </row>
    <row r="390" spans="1:27" ht="42" customHeight="1">
      <c r="A390" s="2060">
        <v>1</v>
      </c>
      <c r="B390" s="1919" t="s">
        <v>1701</v>
      </c>
      <c r="C390" s="1598"/>
      <c r="D390" s="1603">
        <f>E390+F390</f>
        <v>3150</v>
      </c>
      <c r="E390" s="1603"/>
      <c r="F390" s="1609">
        <v>3150</v>
      </c>
      <c r="G390" s="1603">
        <f>H390+I390</f>
        <v>3150</v>
      </c>
      <c r="H390" s="1864">
        <f>E390</f>
        <v>0</v>
      </c>
      <c r="I390" s="1864">
        <f>F390</f>
        <v>3150</v>
      </c>
      <c r="J390" s="1603">
        <f>K390+L390</f>
        <v>0</v>
      </c>
      <c r="K390" s="1603"/>
      <c r="L390" s="1609"/>
      <c r="M390" s="1893">
        <f t="shared" si="108"/>
        <v>0</v>
      </c>
      <c r="N390" s="1894">
        <f t="shared" si="108"/>
        <v>0</v>
      </c>
      <c r="O390" s="1894">
        <f t="shared" si="108"/>
        <v>0</v>
      </c>
      <c r="P390" s="1659"/>
      <c r="Q390" s="1794"/>
      <c r="R390" s="1964"/>
      <c r="S390" s="1965"/>
      <c r="T390" s="1965"/>
      <c r="U390" s="1964"/>
      <c r="V390" s="1965"/>
      <c r="W390" s="1965"/>
      <c r="X390" s="1423">
        <f t="shared" si="122"/>
        <v>0</v>
      </c>
      <c r="AA390" s="725"/>
    </row>
    <row r="391" spans="1:27" ht="23.25">
      <c r="A391" s="2060"/>
      <c r="B391" s="2062" t="s">
        <v>457</v>
      </c>
      <c r="C391" s="1602">
        <v>10000</v>
      </c>
      <c r="D391" s="1603">
        <f t="shared" ref="D391:L391" si="126">D392+D393</f>
        <v>6086.3</v>
      </c>
      <c r="E391" s="1603">
        <f t="shared" si="126"/>
        <v>0</v>
      </c>
      <c r="F391" s="1603">
        <f t="shared" si="126"/>
        <v>6086.3</v>
      </c>
      <c r="G391" s="1603">
        <f t="shared" si="126"/>
        <v>6086.3</v>
      </c>
      <c r="H391" s="1603">
        <f t="shared" si="126"/>
        <v>0</v>
      </c>
      <c r="I391" s="1603">
        <f t="shared" si="126"/>
        <v>6086.3</v>
      </c>
      <c r="J391" s="1603">
        <f t="shared" si="126"/>
        <v>2044.1</v>
      </c>
      <c r="K391" s="1603">
        <f t="shared" si="126"/>
        <v>0</v>
      </c>
      <c r="L391" s="1603">
        <f t="shared" si="126"/>
        <v>2044.1</v>
      </c>
      <c r="M391" s="1893">
        <f t="shared" si="108"/>
        <v>33.6</v>
      </c>
      <c r="N391" s="1894">
        <f>IF(K391=0,0,K391/H391*100)</f>
        <v>0</v>
      </c>
      <c r="O391" s="1894">
        <f>IF(L391=0,0,L391/I391*100)</f>
        <v>33.6</v>
      </c>
      <c r="P391" s="1659"/>
      <c r="Q391" s="1794"/>
      <c r="R391" s="1964"/>
      <c r="S391" s="1965"/>
      <c r="T391" s="1965"/>
      <c r="U391" s="1964"/>
      <c r="V391" s="1965"/>
      <c r="W391" s="1965"/>
      <c r="X391" s="1423">
        <f t="shared" si="122"/>
        <v>0</v>
      </c>
      <c r="AA391" s="725"/>
    </row>
    <row r="392" spans="1:27" ht="37.5">
      <c r="A392" s="2060">
        <v>2</v>
      </c>
      <c r="B392" s="1889" t="s">
        <v>1690</v>
      </c>
      <c r="C392" s="1602"/>
      <c r="D392" s="1603">
        <f>E392+F392</f>
        <v>2044.2</v>
      </c>
      <c r="E392" s="1603"/>
      <c r="F392" s="1609">
        <f>2044.1+0.1</f>
        <v>2044.2</v>
      </c>
      <c r="G392" s="1603">
        <f>H392+I392</f>
        <v>2044.2</v>
      </c>
      <c r="H392" s="1864">
        <f>E392</f>
        <v>0</v>
      </c>
      <c r="I392" s="1864">
        <f>F392</f>
        <v>2044.2</v>
      </c>
      <c r="J392" s="1603">
        <f>K392+L392</f>
        <v>2044.1</v>
      </c>
      <c r="K392" s="1603"/>
      <c r="L392" s="1609">
        <v>2044.1</v>
      </c>
      <c r="M392" s="1893">
        <f t="shared" si="108"/>
        <v>100</v>
      </c>
      <c r="N392" s="1894">
        <f>IF(K392=0,0,K392/H392*100)</f>
        <v>0</v>
      </c>
      <c r="O392" s="1894">
        <f>IF(L392=0,0,L392/I392*100)</f>
        <v>100</v>
      </c>
      <c r="P392" s="1659"/>
      <c r="Q392" s="1794"/>
      <c r="R392" s="1964"/>
      <c r="S392" s="1965"/>
      <c r="T392" s="1965"/>
      <c r="U392" s="1964"/>
      <c r="V392" s="1965"/>
      <c r="W392" s="1965"/>
      <c r="X392" s="1423">
        <f t="shared" si="122"/>
        <v>0</v>
      </c>
      <c r="AA392" s="725"/>
    </row>
    <row r="393" spans="1:27" ht="37.5">
      <c r="A393" s="2060">
        <f>A392+1</f>
        <v>3</v>
      </c>
      <c r="B393" s="1889" t="s">
        <v>1691</v>
      </c>
      <c r="C393" s="1602">
        <v>10000</v>
      </c>
      <c r="D393" s="1603">
        <f>E393+F393</f>
        <v>4042.1</v>
      </c>
      <c r="E393" s="1616"/>
      <c r="F393" s="1609">
        <v>4042.1</v>
      </c>
      <c r="G393" s="1603">
        <f>H393+I393</f>
        <v>4042.1</v>
      </c>
      <c r="H393" s="1864">
        <f>E393</f>
        <v>0</v>
      </c>
      <c r="I393" s="1864">
        <f>F393</f>
        <v>4042.1</v>
      </c>
      <c r="J393" s="1603">
        <f>K393+L393</f>
        <v>0</v>
      </c>
      <c r="K393" s="1616"/>
      <c r="L393" s="1609"/>
      <c r="M393" s="1893">
        <f t="shared" si="108"/>
        <v>0</v>
      </c>
      <c r="N393" s="1894">
        <f t="shared" si="108"/>
        <v>0</v>
      </c>
      <c r="O393" s="1894">
        <f t="shared" si="108"/>
        <v>0</v>
      </c>
      <c r="P393" s="1659"/>
      <c r="Q393" s="1794"/>
      <c r="R393" s="1964"/>
      <c r="S393" s="1965"/>
      <c r="T393" s="1965"/>
      <c r="U393" s="1964"/>
      <c r="V393" s="1965"/>
      <c r="W393" s="1965"/>
      <c r="X393" s="1423">
        <f t="shared" si="122"/>
        <v>0</v>
      </c>
      <c r="AA393" s="725"/>
    </row>
    <row r="394" spans="1:27" ht="23.25">
      <c r="A394" s="1856"/>
      <c r="B394" s="1962"/>
      <c r="C394" s="1963"/>
      <c r="D394" s="1964"/>
      <c r="E394" s="1965"/>
      <c r="F394" s="1965"/>
      <c r="G394" s="1964"/>
      <c r="H394" s="1965"/>
      <c r="I394" s="1965"/>
      <c r="J394" s="1964"/>
      <c r="K394" s="1965"/>
      <c r="L394" s="1965"/>
      <c r="M394" s="1648"/>
      <c r="N394" s="1647"/>
      <c r="O394" s="1647"/>
      <c r="P394" s="1659"/>
      <c r="Q394" s="1794"/>
      <c r="R394" s="1964"/>
      <c r="S394" s="1965"/>
      <c r="T394" s="1965"/>
      <c r="U394" s="1964"/>
      <c r="V394" s="1965"/>
      <c r="W394" s="1965"/>
      <c r="X394" s="1423">
        <f t="shared" si="122"/>
        <v>0</v>
      </c>
    </row>
    <row r="395" spans="1:27" ht="23.25">
      <c r="A395" s="1856"/>
      <c r="D395" s="1648"/>
      <c r="E395" s="1647"/>
      <c r="F395" s="1647"/>
      <c r="G395" s="1647"/>
      <c r="H395" s="1650"/>
      <c r="I395" s="1650"/>
      <c r="J395" s="1651"/>
      <c r="K395" s="1650"/>
      <c r="L395" s="2535"/>
      <c r="M395" s="2535"/>
      <c r="N395" s="1647"/>
      <c r="O395" s="1647"/>
      <c r="X395" s="1423">
        <f t="shared" si="122"/>
        <v>0</v>
      </c>
    </row>
    <row r="396" spans="1:27" ht="26.25" customHeight="1">
      <c r="D396" s="1648"/>
      <c r="E396" s="1648"/>
      <c r="F396" s="1204"/>
      <c r="G396" s="1647"/>
      <c r="H396" s="1647"/>
      <c r="I396" s="1652"/>
      <c r="J396" s="1648"/>
      <c r="K396" s="1648"/>
      <c r="L396" s="1652"/>
      <c r="X396" s="1423">
        <f t="shared" si="122"/>
        <v>0</v>
      </c>
    </row>
    <row r="397" spans="1:27" ht="30.75" customHeight="1">
      <c r="A397" s="2566" t="s">
        <v>1520</v>
      </c>
      <c r="B397" s="2566"/>
      <c r="C397" s="1840"/>
      <c r="D397" s="1620">
        <f t="shared" ref="D397:D407" si="127">SUM(E397:F397)</f>
        <v>3686293.5</v>
      </c>
      <c r="E397" s="1600">
        <f>E178+E81</f>
        <v>2882825.7</v>
      </c>
      <c r="F397" s="1600">
        <f>F178+F81</f>
        <v>803467.8</v>
      </c>
      <c r="G397" s="1620">
        <f>SUM(H397:I397)</f>
        <v>3685873.5</v>
      </c>
      <c r="H397" s="1600">
        <f>H178+H81</f>
        <v>2882825.7</v>
      </c>
      <c r="I397" s="1600">
        <f>I178+I81</f>
        <v>803047.8</v>
      </c>
      <c r="J397" s="1620">
        <f>SUM(K397:L397)</f>
        <v>2066185.1</v>
      </c>
      <c r="K397" s="1600">
        <f>K178+K81</f>
        <v>1716381.1</v>
      </c>
      <c r="L397" s="1600">
        <f>L178+L81</f>
        <v>349804</v>
      </c>
      <c r="M397" s="1620">
        <f>IF(J397=0,0,J397/G397*100)</f>
        <v>56.1</v>
      </c>
      <c r="N397" s="1600">
        <f>IF(K397=0,0,K397/H397*100)</f>
        <v>59.5</v>
      </c>
      <c r="O397" s="1600">
        <f>IF(L397=0,0,L397/I397*100)</f>
        <v>43.6</v>
      </c>
      <c r="X397" s="1423">
        <f t="shared" si="122"/>
        <v>420</v>
      </c>
    </row>
    <row r="398" spans="1:27" ht="47.25" customHeight="1">
      <c r="A398" s="1947"/>
      <c r="B398" s="1889" t="s">
        <v>1521</v>
      </c>
      <c r="C398" s="1836"/>
      <c r="D398" s="1620">
        <f t="shared" si="127"/>
        <v>1226395.3999999999</v>
      </c>
      <c r="E398" s="1619">
        <f>SUBTOTAL(9,E90)</f>
        <v>1198876.7</v>
      </c>
      <c r="F398" s="1619">
        <f>SUBTOTAL(9,F90)</f>
        <v>27518.7</v>
      </c>
      <c r="G398" s="1620">
        <f t="shared" ref="G398:G407" si="128">SUM(H398:I398)</f>
        <v>1226395.3999999999</v>
      </c>
      <c r="H398" s="1619">
        <f>SUBTOTAL(9,H90)</f>
        <v>1198876.7</v>
      </c>
      <c r="I398" s="1619">
        <f>SUBTOTAL(9,I90)</f>
        <v>27518.7</v>
      </c>
      <c r="J398" s="1620">
        <f t="shared" ref="J398:J407" si="129">SUM(K398:L398)</f>
        <v>1106709.5</v>
      </c>
      <c r="K398" s="1619">
        <f>SUBTOTAL(9,K90)</f>
        <v>1081400.1000000001</v>
      </c>
      <c r="L398" s="1619">
        <f>SUBTOTAL(9,L90)</f>
        <v>25309.4</v>
      </c>
      <c r="M398" s="1620">
        <f t="shared" ref="M398:O407" si="130">IF(J398=0,0,J398/G398*100)</f>
        <v>90.2</v>
      </c>
      <c r="N398" s="1600">
        <f t="shared" si="130"/>
        <v>90.2</v>
      </c>
      <c r="O398" s="1600">
        <f t="shared" si="130"/>
        <v>92</v>
      </c>
      <c r="X398" s="1423">
        <f t="shared" si="122"/>
        <v>0</v>
      </c>
    </row>
    <row r="399" spans="1:27" ht="82.5" customHeight="1">
      <c r="A399" s="2566" t="s">
        <v>1528</v>
      </c>
      <c r="B399" s="2566"/>
      <c r="C399" s="1840"/>
      <c r="D399" s="1620">
        <f>SUM(E399:F399)</f>
        <v>6123147.7000000002</v>
      </c>
      <c r="E399" s="1600">
        <f>SUM(E92,E199,E300,E339,E348,E350,E353,E355,E358,E384,E302)</f>
        <v>5466420.9000000004</v>
      </c>
      <c r="F399" s="1600">
        <f>SUM(F92,F199,F300,F339,F348,F350,F353,F355,F358,F384,F302)</f>
        <v>656726.80000000005</v>
      </c>
      <c r="G399" s="1620">
        <f>SUM(H399:I399)</f>
        <v>5853254.2000000002</v>
      </c>
      <c r="H399" s="1600">
        <f>SUM(H92,H199,H300,H339,H348,H350,H353,H355,H358,H384,H302)</f>
        <v>5196878.5999999996</v>
      </c>
      <c r="I399" s="1600">
        <f>SUM(I92,I199,I300,I339,I348,I350,I353,I355,I358,I384,I302)</f>
        <v>656375.6</v>
      </c>
      <c r="J399" s="1620">
        <f>SUM(K399:L399)</f>
        <v>2711158.7</v>
      </c>
      <c r="K399" s="1600">
        <f>SUM(K92,K199,K300,K339,K348,K350,K353,K355,K358,K384,K302)</f>
        <v>2331167.9</v>
      </c>
      <c r="L399" s="1600">
        <f>SUM(L92,L199,L300,L339,L348,L350,L353,L355,L358,L384,L302)</f>
        <v>379990.8</v>
      </c>
      <c r="M399" s="1620">
        <f t="shared" si="130"/>
        <v>46.3</v>
      </c>
      <c r="N399" s="1600">
        <f t="shared" si="130"/>
        <v>44.9</v>
      </c>
      <c r="O399" s="1600">
        <f t="shared" si="130"/>
        <v>57.9</v>
      </c>
      <c r="X399" s="1423">
        <f t="shared" si="122"/>
        <v>269893.5</v>
      </c>
    </row>
    <row r="400" spans="1:27" ht="56.25">
      <c r="A400" s="1948"/>
      <c r="B400" s="493" t="s">
        <v>1527</v>
      </c>
      <c r="C400" s="1836"/>
      <c r="D400" s="1640">
        <f t="shared" si="127"/>
        <v>4517504.5</v>
      </c>
      <c r="E400" s="1609">
        <f>SUM(E401:E404)</f>
        <v>4087744</v>
      </c>
      <c r="F400" s="1609">
        <f>SUM(F401:F404)</f>
        <v>429760.5</v>
      </c>
      <c r="G400" s="1640">
        <f>SUM(H400:I400)</f>
        <v>4277914</v>
      </c>
      <c r="H400" s="1609">
        <f t="shared" ref="H400:I400" si="131">SUM(H401:H404)</f>
        <v>3848201.7</v>
      </c>
      <c r="I400" s="1609">
        <f t="shared" si="131"/>
        <v>429712.3</v>
      </c>
      <c r="J400" s="1640">
        <f>SUM(K400:L400)</f>
        <v>2136948.6</v>
      </c>
      <c r="K400" s="1609">
        <f t="shared" ref="K400:L400" si="132">SUM(K401:K404)</f>
        <v>1975383.2</v>
      </c>
      <c r="L400" s="1609">
        <f t="shared" si="132"/>
        <v>161565.4</v>
      </c>
      <c r="M400" s="1620">
        <f t="shared" si="130"/>
        <v>50</v>
      </c>
      <c r="N400" s="1600">
        <f t="shared" si="130"/>
        <v>51.3</v>
      </c>
      <c r="O400" s="1600">
        <f t="shared" si="130"/>
        <v>37.6</v>
      </c>
      <c r="X400" s="1423">
        <f t="shared" si="122"/>
        <v>239590.5</v>
      </c>
    </row>
    <row r="401" spans="1:24" ht="23.25">
      <c r="A401" s="1948"/>
      <c r="B401" s="1619" t="s">
        <v>1620</v>
      </c>
      <c r="C401" s="1836"/>
      <c r="D401" s="1640">
        <f>SUM(E401:F401)</f>
        <v>3543242.2</v>
      </c>
      <c r="E401" s="1609">
        <f>E339+E200+E93</f>
        <v>3261231.1</v>
      </c>
      <c r="F401" s="1609">
        <f>F339+F200+F93</f>
        <v>282011.09999999998</v>
      </c>
      <c r="G401" s="1640">
        <f t="shared" si="128"/>
        <v>3304454.7</v>
      </c>
      <c r="H401" s="1609">
        <f>H339+H200+H93</f>
        <v>3022443.6</v>
      </c>
      <c r="I401" s="1609">
        <f>I339+I200+I93</f>
        <v>282011.09999999998</v>
      </c>
      <c r="J401" s="1640">
        <f t="shared" si="129"/>
        <v>1669972.3</v>
      </c>
      <c r="K401" s="1609">
        <f>K339+K200+K93</f>
        <v>1569642.7</v>
      </c>
      <c r="L401" s="1609">
        <f>L339+L200+L93</f>
        <v>100329.60000000001</v>
      </c>
      <c r="M401" s="1620">
        <f t="shared" si="130"/>
        <v>50.5</v>
      </c>
      <c r="N401" s="1600">
        <f t="shared" si="130"/>
        <v>51.9</v>
      </c>
      <c r="O401" s="1600">
        <f t="shared" si="130"/>
        <v>35.6</v>
      </c>
      <c r="X401" s="1423">
        <f t="shared" si="122"/>
        <v>238787.5</v>
      </c>
    </row>
    <row r="402" spans="1:24" ht="23.25">
      <c r="A402" s="1948"/>
      <c r="B402" s="1619" t="s">
        <v>1798</v>
      </c>
      <c r="C402" s="1836"/>
      <c r="D402" s="1640">
        <f>E402+F402</f>
        <v>556398.1</v>
      </c>
      <c r="E402" s="1609">
        <f t="shared" ref="E402:F404" si="133">E201+E94</f>
        <v>523000</v>
      </c>
      <c r="F402" s="1609">
        <f t="shared" si="133"/>
        <v>33398.1</v>
      </c>
      <c r="G402" s="1640">
        <f t="shared" ref="G402" si="134">H402+I402</f>
        <v>556398.1</v>
      </c>
      <c r="H402" s="1609">
        <f t="shared" ref="H402:I404" si="135">H201+H94</f>
        <v>523000</v>
      </c>
      <c r="I402" s="1609">
        <f t="shared" si="135"/>
        <v>33398.1</v>
      </c>
      <c r="J402" s="1640">
        <f t="shared" ref="J402" si="136">K402+L402</f>
        <v>250144.9</v>
      </c>
      <c r="K402" s="1609">
        <f t="shared" ref="K402:L404" si="137">K201+K94</f>
        <v>235133.6</v>
      </c>
      <c r="L402" s="1609">
        <f t="shared" si="137"/>
        <v>15011.3</v>
      </c>
      <c r="M402" s="1640">
        <f t="shared" ref="M402" si="138">N402+O402</f>
        <v>57</v>
      </c>
      <c r="N402" s="1609">
        <f t="shared" ref="N402:O404" si="139">N201+N94</f>
        <v>28.5</v>
      </c>
      <c r="O402" s="1609">
        <f t="shared" si="139"/>
        <v>28.5</v>
      </c>
      <c r="X402" s="1423"/>
    </row>
    <row r="403" spans="1:24" ht="23.25">
      <c r="A403" s="2041"/>
      <c r="B403" s="1609" t="s">
        <v>1770</v>
      </c>
      <c r="C403" s="2042"/>
      <c r="D403" s="1602">
        <f>SUM(E403:F403)</f>
        <v>323288.40000000002</v>
      </c>
      <c r="E403" s="1609">
        <f t="shared" si="133"/>
        <v>303512.90000000002</v>
      </c>
      <c r="F403" s="1609">
        <f t="shared" si="133"/>
        <v>19775.5</v>
      </c>
      <c r="G403" s="1602">
        <f t="shared" ref="G403" si="140">SUM(H403:I403)</f>
        <v>322485.40000000002</v>
      </c>
      <c r="H403" s="1609">
        <f t="shared" si="135"/>
        <v>302758.09999999998</v>
      </c>
      <c r="I403" s="1609">
        <f t="shared" si="135"/>
        <v>19727.3</v>
      </c>
      <c r="J403" s="1602">
        <f t="shared" ref="J403" si="141">SUM(K403:L403)</f>
        <v>181715.5</v>
      </c>
      <c r="K403" s="1609">
        <f t="shared" si="137"/>
        <v>170606.9</v>
      </c>
      <c r="L403" s="1609">
        <f t="shared" si="137"/>
        <v>11108.6</v>
      </c>
      <c r="M403" s="1602">
        <f t="shared" ref="M403" si="142">SUM(N403:O403)</f>
        <v>126.9</v>
      </c>
      <c r="N403" s="1609">
        <f t="shared" si="139"/>
        <v>63.5</v>
      </c>
      <c r="O403" s="1609">
        <f t="shared" si="139"/>
        <v>63.4</v>
      </c>
      <c r="P403" s="1619"/>
      <c r="Q403" s="1619"/>
      <c r="R403" s="1600"/>
      <c r="S403" s="1619"/>
      <c r="T403" s="1619"/>
      <c r="U403" s="1600"/>
      <c r="V403" s="1619"/>
      <c r="W403" s="1619"/>
      <c r="X403" s="1423"/>
    </row>
    <row r="404" spans="1:24" ht="23.25">
      <c r="A404" s="1948"/>
      <c r="B404" s="1619" t="s">
        <v>1621</v>
      </c>
      <c r="C404" s="1836"/>
      <c r="D404" s="1640">
        <f>E404+F404</f>
        <v>94575.8</v>
      </c>
      <c r="E404" s="1609">
        <f t="shared" si="133"/>
        <v>0</v>
      </c>
      <c r="F404" s="1609">
        <f t="shared" si="133"/>
        <v>94575.8</v>
      </c>
      <c r="G404" s="1640">
        <f t="shared" ref="G404" si="143">H404+I404</f>
        <v>94575.8</v>
      </c>
      <c r="H404" s="1609">
        <f t="shared" si="135"/>
        <v>0</v>
      </c>
      <c r="I404" s="1609">
        <f t="shared" si="135"/>
        <v>94575.8</v>
      </c>
      <c r="J404" s="1640">
        <f t="shared" ref="J404" si="144">K404+L404</f>
        <v>35115.9</v>
      </c>
      <c r="K404" s="1609">
        <f t="shared" si="137"/>
        <v>0</v>
      </c>
      <c r="L404" s="1609">
        <f t="shared" si="137"/>
        <v>35115.9</v>
      </c>
      <c r="M404" s="1640">
        <f t="shared" ref="M404" si="145">N404+O404</f>
        <v>108.8</v>
      </c>
      <c r="N404" s="1609">
        <f t="shared" si="139"/>
        <v>0</v>
      </c>
      <c r="O404" s="1609">
        <f t="shared" si="139"/>
        <v>108.8</v>
      </c>
      <c r="X404" s="1423">
        <f t="shared" si="122"/>
        <v>0</v>
      </c>
    </row>
    <row r="405" spans="1:24" ht="23.25">
      <c r="A405" s="2566" t="s">
        <v>1529</v>
      </c>
      <c r="B405" s="2566"/>
      <c r="C405" s="1840"/>
      <c r="D405" s="1640">
        <f>SUM(E405:F405)</f>
        <v>420480.7</v>
      </c>
      <c r="E405" s="1602">
        <f>SUBTOTAL(9,E15,E127,E314,E335,E366,E388)-E18</f>
        <v>0</v>
      </c>
      <c r="F405" s="1602">
        <f>SUBTOTAL(9,F15,F127,F314,F335,F366,F388)-F18</f>
        <v>420480.7</v>
      </c>
      <c r="G405" s="1640">
        <f t="shared" si="128"/>
        <v>421097</v>
      </c>
      <c r="H405" s="1602">
        <f>SUBTOTAL(9,H15,H127,H314,H335,H366,H391)</f>
        <v>964.8</v>
      </c>
      <c r="I405" s="1602">
        <f>SUBTOTAL(9,I15,I127,I314,I335,I366,I388)</f>
        <v>420132.2</v>
      </c>
      <c r="J405" s="1640">
        <f t="shared" si="129"/>
        <v>207441.6</v>
      </c>
      <c r="K405" s="1602">
        <f>SUBTOTAL(9,K15,K127,K314,K335,K366,K391)</f>
        <v>0</v>
      </c>
      <c r="L405" s="1602">
        <f>SUBTOTAL(9,L15,L127,L314,L335,L366,L388)</f>
        <v>207441.6</v>
      </c>
      <c r="M405" s="1620">
        <f t="shared" ref="M405:O406" si="146">IF(J405=0,0,J405/G405*100)</f>
        <v>49.3</v>
      </c>
      <c r="N405" s="1600">
        <f t="shared" si="146"/>
        <v>0</v>
      </c>
      <c r="O405" s="1600">
        <f t="shared" si="146"/>
        <v>49.4</v>
      </c>
      <c r="X405" s="1423">
        <f t="shared" si="122"/>
        <v>-616.29999999999995</v>
      </c>
    </row>
    <row r="406" spans="1:24" ht="37.5">
      <c r="A406" s="1948"/>
      <c r="B406" s="1619" t="s">
        <v>1777</v>
      </c>
      <c r="C406" s="1836"/>
      <c r="D406" s="1640">
        <f>SUM(E406:F406)</f>
        <v>43516.800000000003</v>
      </c>
      <c r="E406" s="1609">
        <f>E166+E75</f>
        <v>0</v>
      </c>
      <c r="F406" s="1609">
        <f>F166+F75</f>
        <v>43516.800000000003</v>
      </c>
      <c r="G406" s="1640">
        <f>SUM(H406:I406)</f>
        <v>43516.800000000003</v>
      </c>
      <c r="H406" s="1609">
        <f>H166+H75</f>
        <v>0</v>
      </c>
      <c r="I406" s="1609">
        <f>I166+I75</f>
        <v>43516.800000000003</v>
      </c>
      <c r="J406" s="1640">
        <f>SUM(K406:L406)</f>
        <v>14130.4</v>
      </c>
      <c r="K406" s="1609">
        <f>K166+K75</f>
        <v>0</v>
      </c>
      <c r="L406" s="1609">
        <f>L166+L75</f>
        <v>14130.4</v>
      </c>
      <c r="M406" s="1620">
        <f t="shared" si="146"/>
        <v>32.5</v>
      </c>
      <c r="N406" s="1600">
        <f t="shared" si="146"/>
        <v>0</v>
      </c>
      <c r="O406" s="1600">
        <f t="shared" si="146"/>
        <v>32.5</v>
      </c>
      <c r="X406" s="1423"/>
    </row>
    <row r="407" spans="1:24" ht="23.25">
      <c r="A407" s="2567" t="s">
        <v>529</v>
      </c>
      <c r="B407" s="2567"/>
      <c r="C407" s="1840"/>
      <c r="D407" s="1604">
        <f t="shared" si="127"/>
        <v>234581.7</v>
      </c>
      <c r="E407" s="1611">
        <f>E12-E397-E399-E405</f>
        <v>104579.9</v>
      </c>
      <c r="F407" s="1611">
        <f>F12-F397-F399-F405</f>
        <v>130001.8</v>
      </c>
      <c r="G407" s="1604">
        <f t="shared" si="128"/>
        <v>233616.9</v>
      </c>
      <c r="H407" s="1611">
        <f>H12-H397-H399-H405</f>
        <v>103615.1</v>
      </c>
      <c r="I407" s="1611">
        <f>I12-I397-I399-I405</f>
        <v>130001.8</v>
      </c>
      <c r="J407" s="1604">
        <f t="shared" si="129"/>
        <v>135445.4</v>
      </c>
      <c r="K407" s="1611">
        <f>K12-K397-K399-K405</f>
        <v>103615.1</v>
      </c>
      <c r="L407" s="1611">
        <f>L12-L397-L399-L405</f>
        <v>31830.3</v>
      </c>
      <c r="M407" s="1620">
        <f t="shared" si="130"/>
        <v>58</v>
      </c>
      <c r="N407" s="1600">
        <f t="shared" si="130"/>
        <v>100</v>
      </c>
      <c r="O407" s="1600">
        <f t="shared" si="130"/>
        <v>24.5</v>
      </c>
      <c r="X407" s="1423">
        <f t="shared" si="122"/>
        <v>964.8</v>
      </c>
    </row>
    <row r="408" spans="1:24" ht="64.5" customHeight="1">
      <c r="A408" s="712"/>
      <c r="B408" s="1951" t="s">
        <v>1817</v>
      </c>
      <c r="C408" s="1556"/>
      <c r="D408" s="1951"/>
      <c r="E408" s="1952"/>
      <c r="F408" s="1953"/>
      <c r="G408" s="1953"/>
      <c r="H408" s="1954"/>
      <c r="I408" s="1955"/>
      <c r="J408" s="1956" t="s">
        <v>613</v>
      </c>
      <c r="K408" s="1955"/>
      <c r="L408" s="1957"/>
      <c r="M408" s="1958"/>
    </row>
    <row r="409" spans="1:24" ht="36.75" customHeight="1">
      <c r="A409" s="712"/>
      <c r="B409" s="1648"/>
      <c r="C409" s="1647"/>
      <c r="D409" s="1649"/>
      <c r="E409" s="1649"/>
      <c r="F409" s="1650"/>
      <c r="G409" s="1650"/>
      <c r="H409" s="1651"/>
      <c r="I409" s="1650"/>
      <c r="J409" s="2535"/>
      <c r="K409" s="2535"/>
      <c r="L409" s="1647"/>
      <c r="M409" s="1647"/>
    </row>
    <row r="410" spans="1:24" ht="45" customHeight="1">
      <c r="B410" s="712" t="s">
        <v>1809</v>
      </c>
    </row>
    <row r="411" spans="1:24" ht="38.25" customHeight="1"/>
    <row r="412" spans="1:24" ht="48" customHeight="1"/>
  </sheetData>
  <autoFilter ref="A11:O359"/>
  <mergeCells count="37">
    <mergeCell ref="A7:W7"/>
    <mergeCell ref="Q68:Q69"/>
    <mergeCell ref="B9:B10"/>
    <mergeCell ref="C9:C10"/>
    <mergeCell ref="D9:D10"/>
    <mergeCell ref="E9:F9"/>
    <mergeCell ref="N9:O9"/>
    <mergeCell ref="U9:U10"/>
    <mergeCell ref="V9:W9"/>
    <mergeCell ref="A1:B1"/>
    <mergeCell ref="L1:O1"/>
    <mergeCell ref="J3:M3"/>
    <mergeCell ref="A5:W5"/>
    <mergeCell ref="A6:W6"/>
    <mergeCell ref="Y200:Y202"/>
    <mergeCell ref="R9:R10"/>
    <mergeCell ref="S9:T9"/>
    <mergeCell ref="Y93:Y95"/>
    <mergeCell ref="A312:B312"/>
    <mergeCell ref="Q9:Q10"/>
    <mergeCell ref="A364:B364"/>
    <mergeCell ref="M9:M10"/>
    <mergeCell ref="N8:O8"/>
    <mergeCell ref="A9:A10"/>
    <mergeCell ref="P9:P10"/>
    <mergeCell ref="J9:J10"/>
    <mergeCell ref="K9:L9"/>
    <mergeCell ref="A13:B13"/>
    <mergeCell ref="G9:G10"/>
    <mergeCell ref="H9:I9"/>
    <mergeCell ref="J409:K409"/>
    <mergeCell ref="A386:B386"/>
    <mergeCell ref="L395:M395"/>
    <mergeCell ref="A397:B397"/>
    <mergeCell ref="A399:B399"/>
    <mergeCell ref="A407:B407"/>
    <mergeCell ref="A405:B405"/>
  </mergeCells>
  <pageMargins left="0.46" right="0.11811023622047245" top="0.55118110236220474" bottom="0.35433070866141736" header="0.31496062992125984" footer="0.15748031496062992"/>
  <pageSetup paperSize="9" scale="49" fitToHeight="17" orientation="landscape" r:id="rId1"/>
  <headerFooter>
    <oddFooter>&amp;C&amp;P</oddFooter>
  </headerFooter>
  <rowBreaks count="1" manualBreakCount="1">
    <brk id="393" max="17" man="1"/>
  </rowBreaks>
</worksheet>
</file>

<file path=xl/worksheets/sheet42.xml><?xml version="1.0" encoding="utf-8"?>
<worksheet xmlns="http://schemas.openxmlformats.org/spreadsheetml/2006/main" xmlns:r="http://schemas.openxmlformats.org/officeDocument/2006/relationships">
  <sheetPr>
    <pageSetUpPr fitToPage="1"/>
  </sheetPr>
  <dimension ref="A1:AG415"/>
  <sheetViews>
    <sheetView topLeftCell="A66" zoomScale="70" zoomScaleNormal="70" zoomScaleSheetLayoutView="70" workbookViewId="0">
      <selection activeCell="B98" sqref="B98"/>
    </sheetView>
  </sheetViews>
  <sheetFormatPr defaultColWidth="9.140625" defaultRowHeight="18.75"/>
  <cols>
    <col min="1" max="1" width="12.42578125" style="1942" customWidth="1"/>
    <col min="2" max="2" width="82.5703125" style="712" customWidth="1"/>
    <col min="3" max="3" width="13.42578125" style="1834" hidden="1" customWidth="1"/>
    <col min="4" max="4" width="17.42578125" style="1570" customWidth="1"/>
    <col min="5" max="6" width="14.85546875" style="712" customWidth="1"/>
    <col min="7" max="7" width="16.85546875" style="1570" customWidth="1"/>
    <col min="8" max="8" width="15.42578125" style="712" customWidth="1"/>
    <col min="9" max="9" width="14.85546875" style="712" customWidth="1"/>
    <col min="10" max="10" width="15.85546875" style="1569" customWidth="1"/>
    <col min="11" max="12" width="14.85546875" style="712" customWidth="1"/>
    <col min="13" max="13" width="12.5703125" style="1570" customWidth="1"/>
    <col min="14" max="14" width="20.140625" style="712" customWidth="1"/>
    <col min="15" max="15" width="21.57031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9.5703125" style="712" hidden="1" customWidth="1"/>
    <col min="25" max="27" width="23.5703125" style="712" customWidth="1"/>
    <col min="28" max="28" width="14.5703125" style="712" bestFit="1" customWidth="1"/>
    <col min="29" max="29" width="12.5703125" style="712" bestFit="1" customWidth="1"/>
    <col min="30" max="30" width="14.5703125" style="712" bestFit="1" customWidth="1"/>
    <col min="31" max="31" width="21.140625" style="712" bestFit="1" customWidth="1"/>
    <col min="32" max="32" width="14.5703125" style="712" bestFit="1" customWidth="1"/>
    <col min="33" max="33" width="12.85546875" style="712" bestFit="1" customWidth="1"/>
    <col min="34" max="16384" width="9.140625" style="712"/>
  </cols>
  <sheetData>
    <row r="1" spans="1:33" ht="20.25" hidden="1" customHeight="1">
      <c r="A1" s="2537"/>
      <c r="B1" s="2537"/>
      <c r="D1" s="1563"/>
      <c r="E1" s="1563"/>
      <c r="F1" s="1563"/>
      <c r="G1" s="1563"/>
      <c r="H1" s="1563"/>
      <c r="I1" s="1563"/>
      <c r="J1" s="1563"/>
      <c r="L1" s="2384"/>
      <c r="M1" s="2384"/>
      <c r="N1" s="2384"/>
      <c r="O1" s="2384"/>
    </row>
    <row r="2" spans="1:33" ht="18.75" hidden="1" customHeight="1">
      <c r="B2" s="2125"/>
      <c r="D2" s="1569"/>
      <c r="E2" s="2125"/>
      <c r="F2" s="2125"/>
      <c r="M2" s="1569"/>
    </row>
    <row r="3" spans="1:33" s="1575" customFormat="1" ht="18.75" hidden="1" customHeight="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33"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33"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33" s="1575" customFormat="1" ht="33" customHeight="1">
      <c r="A6" s="2361" t="s">
        <v>236</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33" s="1575" customFormat="1" ht="27">
      <c r="A7" s="2361" t="s">
        <v>1820</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33" s="1575" customFormat="1">
      <c r="A8" s="1943"/>
      <c r="B8" s="1571"/>
      <c r="C8" s="1835"/>
      <c r="D8" s="1587"/>
      <c r="E8" s="1660"/>
      <c r="F8" s="1661"/>
      <c r="H8" s="1661"/>
      <c r="I8" s="1589"/>
      <c r="J8" s="1587"/>
      <c r="K8" s="1591"/>
      <c r="L8" s="1591"/>
      <c r="M8" s="1585"/>
      <c r="N8" s="2533" t="s">
        <v>377</v>
      </c>
      <c r="O8" s="2533"/>
      <c r="P8" s="1577"/>
      <c r="Q8" s="1863"/>
      <c r="R8" s="1591"/>
      <c r="S8" s="1591"/>
      <c r="T8" s="1591"/>
      <c r="U8" s="1661"/>
      <c r="V8" s="1661"/>
      <c r="W8" s="1661" t="s">
        <v>1314</v>
      </c>
    </row>
    <row r="9" spans="1:33" ht="42.75" customHeight="1">
      <c r="A9" s="2563" t="s">
        <v>18</v>
      </c>
      <c r="B9" s="2380" t="s">
        <v>0</v>
      </c>
      <c r="C9" s="2564" t="s">
        <v>1535</v>
      </c>
      <c r="D9" s="2573" t="s">
        <v>1813</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33" ht="210.75" customHeight="1">
      <c r="A10" s="2563"/>
      <c r="B10" s="2380"/>
      <c r="C10" s="2564"/>
      <c r="D10" s="2575"/>
      <c r="E10" s="709" t="s">
        <v>1814</v>
      </c>
      <c r="F10" s="709" t="s">
        <v>258</v>
      </c>
      <c r="G10" s="2374"/>
      <c r="H10" s="709" t="s">
        <v>1815</v>
      </c>
      <c r="I10" s="709" t="s">
        <v>258</v>
      </c>
      <c r="J10" s="2374"/>
      <c r="K10" s="709" t="s">
        <v>1074</v>
      </c>
      <c r="L10" s="709" t="s">
        <v>258</v>
      </c>
      <c r="M10" s="2374"/>
      <c r="N10" s="709" t="s">
        <v>1816</v>
      </c>
      <c r="O10" s="709" t="s">
        <v>258</v>
      </c>
      <c r="P10" s="2550"/>
      <c r="Q10" s="2550"/>
      <c r="R10" s="2374"/>
      <c r="S10" s="709" t="s">
        <v>1074</v>
      </c>
      <c r="T10" s="709" t="s">
        <v>258</v>
      </c>
      <c r="U10" s="2374"/>
      <c r="V10" s="709" t="s">
        <v>1074</v>
      </c>
      <c r="W10" s="709" t="s">
        <v>258</v>
      </c>
    </row>
    <row r="11" spans="1:33">
      <c r="A11" s="2127">
        <v>1</v>
      </c>
      <c r="B11" s="507">
        <v>2</v>
      </c>
      <c r="C11" s="2127"/>
      <c r="D11" s="507">
        <v>3</v>
      </c>
      <c r="E11" s="507">
        <v>4</v>
      </c>
      <c r="F11" s="507">
        <v>5</v>
      </c>
      <c r="G11" s="1868">
        <v>7</v>
      </c>
      <c r="H11" s="1868">
        <v>8</v>
      </c>
      <c r="I11" s="1868">
        <v>9</v>
      </c>
      <c r="J11" s="1868">
        <v>10</v>
      </c>
      <c r="K11" s="1868">
        <v>11</v>
      </c>
      <c r="L11" s="1868">
        <v>12</v>
      </c>
      <c r="M11" s="1868">
        <v>13</v>
      </c>
      <c r="N11" s="1868">
        <v>14</v>
      </c>
      <c r="O11" s="1868">
        <v>15</v>
      </c>
      <c r="P11" s="2124">
        <v>10</v>
      </c>
      <c r="Q11" s="2124">
        <v>11</v>
      </c>
      <c r="R11" s="2124">
        <v>9</v>
      </c>
      <c r="S11" s="2124">
        <v>10</v>
      </c>
      <c r="T11" s="2124">
        <v>11</v>
      </c>
      <c r="U11" s="2124">
        <v>12</v>
      </c>
      <c r="V11" s="2124">
        <v>13</v>
      </c>
      <c r="W11" s="2124">
        <v>14</v>
      </c>
    </row>
    <row r="12" spans="1:33" s="791" customFormat="1" ht="23.25">
      <c r="A12" s="2127"/>
      <c r="B12" s="487" t="s">
        <v>10</v>
      </c>
      <c r="C12" s="1869"/>
      <c r="D12" s="1594">
        <f>SUM(E12:F12)</f>
        <v>10441763</v>
      </c>
      <c r="E12" s="1594">
        <f>E13+E315+E367+E389</f>
        <v>8423826.0999999996</v>
      </c>
      <c r="F12" s="1594">
        <f>F13+F315+F367+F389</f>
        <v>2017936.9</v>
      </c>
      <c r="G12" s="1594">
        <f>SUM(H12:I12)</f>
        <v>10212163.5</v>
      </c>
      <c r="H12" s="1594">
        <f>H13+H315+H367+H389</f>
        <v>8276962.5999999996</v>
      </c>
      <c r="I12" s="1594">
        <f>I13+I315+I367+I389</f>
        <v>1935200.9</v>
      </c>
      <c r="J12" s="1594">
        <f>SUM(K12:L12)</f>
        <v>6185147.7000000002</v>
      </c>
      <c r="K12" s="1594">
        <f>K13+K315+K367+K389</f>
        <v>5117763.0999999996</v>
      </c>
      <c r="L12" s="1594">
        <f>L13+L315+L367+L389</f>
        <v>1067384.6000000001</v>
      </c>
      <c r="M12" s="1870">
        <f>IF(J12=0,0,J12/G12*100)</f>
        <v>60.6</v>
      </c>
      <c r="N12" s="1870">
        <f>IF(K12=0,0,K12/H12*100)</f>
        <v>61.8</v>
      </c>
      <c r="O12" s="1870">
        <f>IF(L12=0,0,L12/I12*100)</f>
        <v>55.2</v>
      </c>
      <c r="P12" s="643" t="s">
        <v>353</v>
      </c>
      <c r="Q12" s="643"/>
      <c r="R12" s="1594" t="e">
        <f t="shared" ref="R12:R61" si="0">SUM(S12:T12)</f>
        <v>#REF!</v>
      </c>
      <c r="S12" s="1594" t="e">
        <f>SUM(S13,S315,S367)</f>
        <v>#REF!</v>
      </c>
      <c r="T12" s="1594" t="e">
        <f>SUM(T13,T315,T367)</f>
        <v>#REF!</v>
      </c>
      <c r="U12" s="1594" t="e">
        <f t="shared" ref="U12:U22" si="1">SUM(V12:W12)</f>
        <v>#REF!</v>
      </c>
      <c r="V12" s="1594" t="e">
        <f>SUM(V13,V315,V367)</f>
        <v>#REF!</v>
      </c>
      <c r="W12" s="1594" t="e">
        <f>SUM(W13,W315,W367)</f>
        <v>#REF!</v>
      </c>
      <c r="X12" s="1423">
        <f>D12-G12</f>
        <v>229599.5</v>
      </c>
      <c r="Y12" s="1423"/>
      <c r="Z12" s="1423"/>
      <c r="AA12" s="1423"/>
      <c r="AB12" s="1423"/>
    </row>
    <row r="13" spans="1:33" s="791" customFormat="1" ht="44.25" customHeight="1">
      <c r="A13" s="2565" t="s">
        <v>453</v>
      </c>
      <c r="B13" s="2565"/>
      <c r="C13" s="1869"/>
      <c r="D13" s="1594">
        <f>SUM(E13:F13)</f>
        <v>8002797.0999999996</v>
      </c>
      <c r="E13" s="1594">
        <f>SUM(E14,E127)</f>
        <v>6500062.7999999998</v>
      </c>
      <c r="F13" s="1594">
        <f>SUM(F14,F127)</f>
        <v>1502734.3</v>
      </c>
      <c r="G13" s="1594">
        <f>SUM(H13:I13)</f>
        <v>8001994.0999999996</v>
      </c>
      <c r="H13" s="1594">
        <f>SUM(H14,H127)</f>
        <v>6499308</v>
      </c>
      <c r="I13" s="1594">
        <f>SUM(I14,I127)</f>
        <v>1502686.1</v>
      </c>
      <c r="J13" s="1594">
        <f>SUM(K13:L13)</f>
        <v>4238096.0999999996</v>
      </c>
      <c r="K13" s="1594">
        <f>SUM(K14,K127)</f>
        <v>3507057.8</v>
      </c>
      <c r="L13" s="1594">
        <f>SUM(L14,L127)</f>
        <v>731038.3</v>
      </c>
      <c r="M13" s="1870">
        <f t="shared" ref="M13:O78" si="2">IF(J13=0,0,J13/G13*100)</f>
        <v>53</v>
      </c>
      <c r="N13" s="1871">
        <f t="shared" si="2"/>
        <v>54</v>
      </c>
      <c r="O13" s="1871">
        <f t="shared" si="2"/>
        <v>48.6</v>
      </c>
      <c r="P13" s="643" t="s">
        <v>353</v>
      </c>
      <c r="Q13" s="643" t="s">
        <v>353</v>
      </c>
      <c r="R13" s="1594" t="e">
        <f t="shared" si="0"/>
        <v>#REF!</v>
      </c>
      <c r="S13" s="1594" t="e">
        <f>SUM(S14,S127)</f>
        <v>#REF!</v>
      </c>
      <c r="T13" s="1594" t="e">
        <f>SUM(T14,T127)</f>
        <v>#REF!</v>
      </c>
      <c r="U13" s="1594" t="e">
        <f t="shared" si="1"/>
        <v>#REF!</v>
      </c>
      <c r="V13" s="1594" t="e">
        <f>SUM(V14,V127)</f>
        <v>#REF!</v>
      </c>
      <c r="W13" s="1594" t="e">
        <f>SUM(W14,W127)</f>
        <v>#REF!</v>
      </c>
      <c r="X13" s="1423">
        <f t="shared" ref="X13:X76" si="3">D13-G13</f>
        <v>803</v>
      </c>
      <c r="Y13" s="1423"/>
      <c r="Z13" s="1423"/>
      <c r="AA13" s="1423"/>
      <c r="AB13" s="1423"/>
      <c r="AC13" s="1423"/>
      <c r="AD13" s="1423"/>
      <c r="AE13" s="1423"/>
      <c r="AF13" s="1423"/>
      <c r="AG13" s="1423"/>
    </row>
    <row r="14" spans="1:33" ht="87.75" customHeight="1">
      <c r="A14" s="2127" t="s">
        <v>6</v>
      </c>
      <c r="B14" s="2007" t="s">
        <v>439</v>
      </c>
      <c r="C14" s="1873"/>
      <c r="D14" s="1596">
        <f>SUM(E14:F14)</f>
        <v>1476531</v>
      </c>
      <c r="E14" s="1596">
        <f>SUM(E15,E80)</f>
        <v>1357239.8</v>
      </c>
      <c r="F14" s="1596">
        <f>SUM(F15,F80)</f>
        <v>119291.2</v>
      </c>
      <c r="G14" s="1596">
        <f>SUM(H14:I14)</f>
        <v>1475728</v>
      </c>
      <c r="H14" s="1596">
        <f>SUM(H15,H80)</f>
        <v>1356485</v>
      </c>
      <c r="I14" s="1596">
        <f>SUM(I15,I80)</f>
        <v>119243</v>
      </c>
      <c r="J14" s="1596">
        <f>SUM(K14:L14)</f>
        <v>1199855.5</v>
      </c>
      <c r="K14" s="1596">
        <f>SUM(K15,K80)</f>
        <v>1120280.8999999999</v>
      </c>
      <c r="L14" s="1596">
        <f>SUM(L15,L80)</f>
        <v>79574.600000000006</v>
      </c>
      <c r="M14" s="2008">
        <f t="shared" si="2"/>
        <v>81.3</v>
      </c>
      <c r="N14" s="2009">
        <f t="shared" si="2"/>
        <v>82.6</v>
      </c>
      <c r="O14" s="2009">
        <f t="shared" si="2"/>
        <v>66.7</v>
      </c>
      <c r="P14" s="1597" t="s">
        <v>353</v>
      </c>
      <c r="Q14" s="1597" t="s">
        <v>353</v>
      </c>
      <c r="R14" s="1861" t="e">
        <f t="shared" si="0"/>
        <v>#REF!</v>
      </c>
      <c r="S14" s="1861" t="e">
        <f>SUM(S15,S80)</f>
        <v>#REF!</v>
      </c>
      <c r="T14" s="1861" t="e">
        <f>SUM(T15,T80)</f>
        <v>#REF!</v>
      </c>
      <c r="U14" s="1861" t="e">
        <f t="shared" si="1"/>
        <v>#REF!</v>
      </c>
      <c r="V14" s="1861" t="e">
        <f>SUM(V15,V80)</f>
        <v>#REF!</v>
      </c>
      <c r="W14" s="1861" t="e">
        <f>SUM(W15,W80)</f>
        <v>#REF!</v>
      </c>
      <c r="X14" s="1423">
        <f t="shared" si="3"/>
        <v>803</v>
      </c>
      <c r="Y14" s="1423"/>
      <c r="Z14" s="1423"/>
      <c r="AA14" s="1423"/>
    </row>
    <row r="15" spans="1:33" ht="36.75" customHeight="1">
      <c r="A15" s="2127" t="s">
        <v>253</v>
      </c>
      <c r="B15" s="1876" t="s">
        <v>1393</v>
      </c>
      <c r="C15" s="1877"/>
      <c r="D15" s="1598">
        <f t="shared" ref="D15:D86" si="4">SUM(E15:F15)</f>
        <v>71639.100000000006</v>
      </c>
      <c r="E15" s="1598">
        <f>SUM(E16,E24,E29,E33,E36,E41,E43,E50,E58,E64,E70,E75)</f>
        <v>964.8</v>
      </c>
      <c r="F15" s="1598">
        <f>SUM(F16,F24,F29,F33,F36,F41,F43,F50,F58,F64,F70,F75)</f>
        <v>70674.3</v>
      </c>
      <c r="G15" s="1598">
        <f t="shared" ref="G15:G47" si="5">SUM(H15:I15)</f>
        <v>71639.100000000006</v>
      </c>
      <c r="H15" s="1598">
        <f>SUM(H16,H24,H29,H33,H36,H41,H43,H50,H58,H64,H70,H75)</f>
        <v>964.8</v>
      </c>
      <c r="I15" s="1598">
        <f>SUM(I16,I24,I29,I33,I36,I41,I43,I50,I58,I64,I70,I75)</f>
        <v>70674.3</v>
      </c>
      <c r="J15" s="1598">
        <f t="shared" ref="J15:J46" si="6">SUM(K15:L15)</f>
        <v>43351.5</v>
      </c>
      <c r="K15" s="1598">
        <f>SUM(K16,K24,K29,K33,K36,K41,K43,K50,K58,K64,K70,K75)</f>
        <v>0</v>
      </c>
      <c r="L15" s="1598">
        <f>SUM(L16,L24,L29,L33,L36,L41,L43,L50,L58,L64,L70,L75)</f>
        <v>43351.5</v>
      </c>
      <c r="M15" s="1598">
        <f t="shared" si="2"/>
        <v>60.5</v>
      </c>
      <c r="N15" s="1598">
        <f t="shared" si="2"/>
        <v>0</v>
      </c>
      <c r="O15" s="1598">
        <f t="shared" si="2"/>
        <v>61.3</v>
      </c>
      <c r="P15" s="1599" t="s">
        <v>353</v>
      </c>
      <c r="Q15" s="1599" t="s">
        <v>353</v>
      </c>
      <c r="R15" s="1598">
        <f>SUM(S15:T15)</f>
        <v>31834.5</v>
      </c>
      <c r="S15" s="1598">
        <f>SUM(S16,S19,S21,S24,S29,S31,S33,S36,S41,S43,S47,S50,S56,S58,S61,S64,S70,S75)</f>
        <v>0</v>
      </c>
      <c r="T15" s="1598">
        <f>SUM(T16,T19,T21,T24,T29,T31,T33,T36,T41,T43,T47,T50,T56,T58,T61,T64,T70,T75)</f>
        <v>31834.5</v>
      </c>
      <c r="U15" s="1598">
        <f>SUM(V15:W15)</f>
        <v>0</v>
      </c>
      <c r="V15" s="1598">
        <f>SUM(V16,V19,V21,V24,V29,V31,V33,V36,V41,V43,V47,V50,V56,V58,V61,V64,V70,V75)</f>
        <v>0</v>
      </c>
      <c r="W15" s="1598">
        <f>SUM(W16,W19,W21,W24,W29,W31,W33,W36,W41,W43,W47,W50,W56,W58,W61,W64,W70,W75)</f>
        <v>0</v>
      </c>
      <c r="X15" s="1423">
        <f t="shared" si="3"/>
        <v>0</v>
      </c>
      <c r="Y15" s="1423"/>
      <c r="Z15" s="1423"/>
      <c r="AA15" s="1423"/>
    </row>
    <row r="16" spans="1:33" ht="26.25" customHeight="1">
      <c r="A16" s="2127"/>
      <c r="B16" s="2126" t="s">
        <v>283</v>
      </c>
      <c r="C16" s="2128"/>
      <c r="D16" s="1600">
        <f t="shared" si="4"/>
        <v>3514.8</v>
      </c>
      <c r="E16" s="1600">
        <f>E17+E18</f>
        <v>964.8</v>
      </c>
      <c r="F16" s="1600">
        <f>F17+F18</f>
        <v>2550</v>
      </c>
      <c r="G16" s="1600">
        <f t="shared" si="5"/>
        <v>3514.8</v>
      </c>
      <c r="H16" s="1600">
        <f>H17+H18</f>
        <v>964.8</v>
      </c>
      <c r="I16" s="1600">
        <f>I17+I18</f>
        <v>2550</v>
      </c>
      <c r="J16" s="1600">
        <f t="shared" si="6"/>
        <v>2550</v>
      </c>
      <c r="K16" s="1600">
        <f>K17</f>
        <v>0</v>
      </c>
      <c r="L16" s="1600">
        <f>L17</f>
        <v>2550</v>
      </c>
      <c r="M16" s="1600">
        <f t="shared" si="2"/>
        <v>72.599999999999994</v>
      </c>
      <c r="N16" s="1600">
        <f t="shared" si="2"/>
        <v>0</v>
      </c>
      <c r="O16" s="1600">
        <f t="shared" si="2"/>
        <v>100</v>
      </c>
      <c r="P16" s="1599"/>
      <c r="Q16" s="1599"/>
      <c r="R16" s="1600">
        <f>SUM(S16:T16)</f>
        <v>0</v>
      </c>
      <c r="S16" s="1600">
        <f>S17</f>
        <v>0</v>
      </c>
      <c r="T16" s="1600">
        <f>T17</f>
        <v>0</v>
      </c>
      <c r="U16" s="1600">
        <f>SUM(V16:W16)</f>
        <v>0</v>
      </c>
      <c r="V16" s="1600">
        <f>V17</f>
        <v>0</v>
      </c>
      <c r="W16" s="1600">
        <f>W17</f>
        <v>0</v>
      </c>
      <c r="X16" s="1423">
        <f t="shared" si="3"/>
        <v>0</v>
      </c>
      <c r="Y16" s="1423"/>
      <c r="Z16" s="1423"/>
      <c r="AA16" s="1423"/>
    </row>
    <row r="17" spans="1:27" ht="64.5" customHeight="1">
      <c r="A17" s="2127">
        <v>1</v>
      </c>
      <c r="B17" s="1879" t="s">
        <v>1565</v>
      </c>
      <c r="C17" s="1880"/>
      <c r="D17" s="1602">
        <f t="shared" si="4"/>
        <v>2550</v>
      </c>
      <c r="E17" s="1616">
        <v>0</v>
      </c>
      <c r="F17" s="1616">
        <v>2550</v>
      </c>
      <c r="G17" s="1602">
        <f t="shared" si="5"/>
        <v>2550</v>
      </c>
      <c r="H17" s="1616">
        <f>E17</f>
        <v>0</v>
      </c>
      <c r="I17" s="1616">
        <f>F17</f>
        <v>2550</v>
      </c>
      <c r="J17" s="1602">
        <f t="shared" si="6"/>
        <v>2550</v>
      </c>
      <c r="K17" s="1616">
        <v>0</v>
      </c>
      <c r="L17" s="1616">
        <v>2550</v>
      </c>
      <c r="M17" s="1604">
        <f t="shared" si="2"/>
        <v>100</v>
      </c>
      <c r="N17" s="1881">
        <f t="shared" si="2"/>
        <v>0</v>
      </c>
      <c r="O17" s="1881">
        <f t="shared" si="2"/>
        <v>100</v>
      </c>
      <c r="P17" s="1599"/>
      <c r="Q17" s="1599"/>
      <c r="R17" s="1602">
        <f t="shared" si="0"/>
        <v>0</v>
      </c>
      <c r="S17" s="1619">
        <v>0</v>
      </c>
      <c r="T17" s="1619">
        <v>0</v>
      </c>
      <c r="U17" s="1602">
        <f t="shared" si="1"/>
        <v>0</v>
      </c>
      <c r="V17" s="1619">
        <v>0</v>
      </c>
      <c r="W17" s="1619">
        <v>0</v>
      </c>
      <c r="X17" s="1423">
        <f t="shared" si="3"/>
        <v>0</v>
      </c>
      <c r="Y17" s="1423"/>
      <c r="Z17" s="1423"/>
      <c r="AA17" s="1423"/>
    </row>
    <row r="18" spans="1:27" ht="131.25" customHeight="1">
      <c r="A18" s="2127">
        <f>A17+1</f>
        <v>2</v>
      </c>
      <c r="B18" s="1885" t="s">
        <v>1412</v>
      </c>
      <c r="C18" s="1880"/>
      <c r="D18" s="1602">
        <f>SUM(E18:F18)</f>
        <v>964.8</v>
      </c>
      <c r="E18" s="1616">
        <v>964.8</v>
      </c>
      <c r="F18" s="1616">
        <v>0</v>
      </c>
      <c r="G18" s="1602">
        <f>SUM(H18:I18)</f>
        <v>964.8</v>
      </c>
      <c r="H18" s="1616">
        <f>E18</f>
        <v>964.8</v>
      </c>
      <c r="I18" s="1616">
        <f>F18</f>
        <v>0</v>
      </c>
      <c r="J18" s="1602">
        <f>SUM(K18:L18)</f>
        <v>0</v>
      </c>
      <c r="K18" s="1616"/>
      <c r="L18" s="1616"/>
      <c r="M18" s="1604">
        <f t="shared" si="2"/>
        <v>0</v>
      </c>
      <c r="N18" s="1881">
        <f t="shared" si="2"/>
        <v>0</v>
      </c>
      <c r="O18" s="1881">
        <f t="shared" si="2"/>
        <v>0</v>
      </c>
      <c r="P18" s="1599"/>
      <c r="Q18" s="1599"/>
      <c r="R18" s="1602"/>
      <c r="S18" s="1619"/>
      <c r="T18" s="1619"/>
      <c r="U18" s="1602"/>
      <c r="V18" s="1619"/>
      <c r="W18" s="1619"/>
      <c r="X18" s="1423"/>
      <c r="Y18" s="1423"/>
      <c r="Z18" s="1423"/>
      <c r="AA18" s="1423"/>
    </row>
    <row r="19" spans="1:27" s="1607" customFormat="1" ht="25.5" hidden="1" customHeight="1">
      <c r="A19" s="2127"/>
      <c r="B19" s="2126" t="s">
        <v>433</v>
      </c>
      <c r="C19" s="2128"/>
      <c r="D19" s="1602">
        <f t="shared" si="4"/>
        <v>0</v>
      </c>
      <c r="E19" s="1602">
        <f t="shared" ref="E19:L19" si="7">E20</f>
        <v>0</v>
      </c>
      <c r="F19" s="1602">
        <f t="shared" si="7"/>
        <v>0</v>
      </c>
      <c r="G19" s="1602">
        <f>SUM(H19:I19)</f>
        <v>0</v>
      </c>
      <c r="H19" s="1602">
        <f t="shared" si="7"/>
        <v>0</v>
      </c>
      <c r="I19" s="1602">
        <f t="shared" si="7"/>
        <v>0</v>
      </c>
      <c r="J19" s="1602">
        <f t="shared" si="6"/>
        <v>0</v>
      </c>
      <c r="K19" s="1602">
        <f t="shared" si="7"/>
        <v>0</v>
      </c>
      <c r="L19" s="1602">
        <f t="shared" si="7"/>
        <v>0</v>
      </c>
      <c r="M19" s="2130">
        <f t="shared" si="2"/>
        <v>0</v>
      </c>
      <c r="N19" s="2130">
        <f t="shared" si="2"/>
        <v>0</v>
      </c>
      <c r="O19" s="2130">
        <f t="shared" si="2"/>
        <v>0</v>
      </c>
      <c r="P19" s="2124" t="s">
        <v>353</v>
      </c>
      <c r="Q19" s="2124" t="s">
        <v>353</v>
      </c>
      <c r="R19" s="1602">
        <f t="shared" si="0"/>
        <v>0</v>
      </c>
      <c r="S19" s="1602">
        <f>S20</f>
        <v>0</v>
      </c>
      <c r="T19" s="1602">
        <f>T20</f>
        <v>0</v>
      </c>
      <c r="U19" s="1602">
        <f t="shared" si="1"/>
        <v>0</v>
      </c>
      <c r="V19" s="1602">
        <f>V20</f>
        <v>0</v>
      </c>
      <c r="W19" s="1602">
        <f>W20</f>
        <v>0</v>
      </c>
      <c r="X19" s="1423">
        <f t="shared" si="3"/>
        <v>0</v>
      </c>
      <c r="Y19" s="1423"/>
      <c r="Z19" s="1423"/>
      <c r="AA19" s="1423"/>
    </row>
    <row r="20" spans="1:27" s="1607" customFormat="1" ht="120.75" hidden="1" customHeight="1">
      <c r="A20" s="2127">
        <f>A18+1</f>
        <v>3</v>
      </c>
      <c r="B20" s="521" t="s">
        <v>1674</v>
      </c>
      <c r="C20" s="1882"/>
      <c r="D20" s="1602">
        <f t="shared" si="4"/>
        <v>0</v>
      </c>
      <c r="E20" s="1616"/>
      <c r="F20" s="1616">
        <v>0</v>
      </c>
      <c r="G20" s="1602">
        <f t="shared" si="5"/>
        <v>0</v>
      </c>
      <c r="H20" s="1616">
        <f>E20</f>
        <v>0</v>
      </c>
      <c r="I20" s="1616">
        <v>0</v>
      </c>
      <c r="J20" s="1602">
        <f t="shared" si="6"/>
        <v>0</v>
      </c>
      <c r="K20" s="1616"/>
      <c r="L20" s="1616"/>
      <c r="M20" s="1604">
        <f t="shared" si="2"/>
        <v>0</v>
      </c>
      <c r="N20" s="1881">
        <f t="shared" si="2"/>
        <v>0</v>
      </c>
      <c r="O20" s="1881">
        <f t="shared" si="2"/>
        <v>0</v>
      </c>
      <c r="P20" s="2124"/>
      <c r="Q20" s="2124"/>
      <c r="R20" s="1602">
        <f t="shared" si="0"/>
        <v>0</v>
      </c>
      <c r="S20" s="1616">
        <v>0</v>
      </c>
      <c r="T20" s="1616">
        <v>0</v>
      </c>
      <c r="U20" s="1602">
        <f t="shared" si="1"/>
        <v>0</v>
      </c>
      <c r="V20" s="1616">
        <v>0</v>
      </c>
      <c r="W20" s="1616">
        <v>0</v>
      </c>
      <c r="X20" s="1423">
        <f t="shared" si="3"/>
        <v>0</v>
      </c>
      <c r="Y20" s="1423"/>
      <c r="Z20" s="1423"/>
      <c r="AA20" s="1423"/>
    </row>
    <row r="21" spans="1:27" s="1607" customFormat="1" ht="19.5" hidden="1" customHeight="1">
      <c r="A21" s="2127"/>
      <c r="B21" s="2126" t="s">
        <v>709</v>
      </c>
      <c r="C21" s="2128"/>
      <c r="D21" s="1602">
        <f t="shared" si="4"/>
        <v>0</v>
      </c>
      <c r="E21" s="1603">
        <f>SUM(E22:E23)</f>
        <v>0</v>
      </c>
      <c r="F21" s="1603">
        <f>SUM(F22:F23)</f>
        <v>0</v>
      </c>
      <c r="G21" s="1602">
        <f t="shared" si="5"/>
        <v>0</v>
      </c>
      <c r="H21" s="1603">
        <f t="shared" ref="H21:I78" si="8">E21</f>
        <v>0</v>
      </c>
      <c r="I21" s="1603">
        <f t="shared" si="8"/>
        <v>0</v>
      </c>
      <c r="J21" s="1602">
        <f t="shared" si="6"/>
        <v>0</v>
      </c>
      <c r="K21" s="1603">
        <f>SUM(K22:K23)</f>
        <v>0</v>
      </c>
      <c r="L21" s="1603">
        <f>SUM(L22:L23)</f>
        <v>0</v>
      </c>
      <c r="M21" s="2130">
        <f t="shared" si="2"/>
        <v>0</v>
      </c>
      <c r="N21" s="2130">
        <f t="shared" si="2"/>
        <v>0</v>
      </c>
      <c r="O21" s="2130">
        <f t="shared" si="2"/>
        <v>0</v>
      </c>
      <c r="P21" s="2124" t="s">
        <v>353</v>
      </c>
      <c r="Q21" s="2124" t="s">
        <v>353</v>
      </c>
      <c r="R21" s="1602">
        <f t="shared" si="0"/>
        <v>0</v>
      </c>
      <c r="S21" s="1603">
        <f>SUM(S22:S23)</f>
        <v>0</v>
      </c>
      <c r="T21" s="1603">
        <f>SUM(T22:T23)</f>
        <v>0</v>
      </c>
      <c r="U21" s="1602">
        <f t="shared" si="1"/>
        <v>0</v>
      </c>
      <c r="V21" s="1603">
        <f>SUM(V22:V23)</f>
        <v>0</v>
      </c>
      <c r="W21" s="1603">
        <f>SUM(W22:W23)</f>
        <v>0</v>
      </c>
      <c r="X21" s="1423">
        <f t="shared" si="3"/>
        <v>0</v>
      </c>
      <c r="Y21" s="1423"/>
      <c r="Z21" s="1423"/>
      <c r="AA21" s="1423"/>
    </row>
    <row r="22" spans="1:27" s="1607" customFormat="1" ht="60" hidden="1" customHeight="1">
      <c r="A22" s="2127">
        <f>A20+1</f>
        <v>4</v>
      </c>
      <c r="B22" s="521" t="s">
        <v>1397</v>
      </c>
      <c r="C22" s="1882">
        <v>24368</v>
      </c>
      <c r="D22" s="1602">
        <f t="shared" si="4"/>
        <v>0</v>
      </c>
      <c r="E22" s="1616"/>
      <c r="F22" s="1616">
        <v>0</v>
      </c>
      <c r="G22" s="1602">
        <f t="shared" si="5"/>
        <v>0</v>
      </c>
      <c r="H22" s="1616">
        <f>E22</f>
        <v>0</v>
      </c>
      <c r="I22" s="1616">
        <f>F22</f>
        <v>0</v>
      </c>
      <c r="J22" s="1602">
        <f t="shared" si="6"/>
        <v>0</v>
      </c>
      <c r="K22" s="1616"/>
      <c r="L22" s="1616"/>
      <c r="M22" s="1604">
        <f t="shared" si="2"/>
        <v>0</v>
      </c>
      <c r="N22" s="1881">
        <f t="shared" si="2"/>
        <v>0</v>
      </c>
      <c r="O22" s="1881">
        <f t="shared" si="2"/>
        <v>0</v>
      </c>
      <c r="P22" s="2124" t="s">
        <v>1171</v>
      </c>
      <c r="Q22" s="2124" t="s">
        <v>1116</v>
      </c>
      <c r="R22" s="1600">
        <f t="shared" si="0"/>
        <v>0</v>
      </c>
      <c r="S22" s="1608">
        <v>0</v>
      </c>
      <c r="T22" s="1608">
        <v>0</v>
      </c>
      <c r="U22" s="1600">
        <f t="shared" si="1"/>
        <v>0</v>
      </c>
      <c r="V22" s="1608">
        <v>0</v>
      </c>
      <c r="W22" s="1608">
        <v>0</v>
      </c>
      <c r="X22" s="1423">
        <f t="shared" si="3"/>
        <v>0</v>
      </c>
      <c r="Y22" s="1423"/>
      <c r="Z22" s="1423"/>
      <c r="AA22" s="1423"/>
    </row>
    <row r="23" spans="1:27" s="1607" customFormat="1" ht="42" hidden="1" customHeight="1">
      <c r="A23" s="2127">
        <f>A22+1</f>
        <v>5</v>
      </c>
      <c r="B23" s="1883" t="s">
        <v>1399</v>
      </c>
      <c r="C23" s="1882">
        <v>24368</v>
      </c>
      <c r="D23" s="1602">
        <f t="shared" si="4"/>
        <v>0</v>
      </c>
      <c r="E23" s="1616"/>
      <c r="F23" s="1616">
        <v>0</v>
      </c>
      <c r="G23" s="1602">
        <f t="shared" si="5"/>
        <v>0</v>
      </c>
      <c r="H23" s="1616">
        <f>E23</f>
        <v>0</v>
      </c>
      <c r="I23" s="1616">
        <f>F23</f>
        <v>0</v>
      </c>
      <c r="J23" s="1602">
        <f t="shared" si="6"/>
        <v>0</v>
      </c>
      <c r="K23" s="1616"/>
      <c r="L23" s="1616"/>
      <c r="M23" s="1604">
        <f t="shared" si="2"/>
        <v>0</v>
      </c>
      <c r="N23" s="1881">
        <f t="shared" si="2"/>
        <v>0</v>
      </c>
      <c r="O23" s="1881">
        <f t="shared" si="2"/>
        <v>0</v>
      </c>
      <c r="P23" s="2124" t="s">
        <v>1171</v>
      </c>
      <c r="Q23" s="2124" t="s">
        <v>1116</v>
      </c>
      <c r="R23" s="1600">
        <f t="shared" si="0"/>
        <v>0</v>
      </c>
      <c r="S23" s="1608">
        <v>0</v>
      </c>
      <c r="T23" s="1608">
        <v>0</v>
      </c>
      <c r="U23" s="1600">
        <v>0</v>
      </c>
      <c r="V23" s="1608">
        <v>0</v>
      </c>
      <c r="W23" s="1608">
        <v>0</v>
      </c>
      <c r="X23" s="1423">
        <f t="shared" si="3"/>
        <v>0</v>
      </c>
      <c r="Y23" s="1423"/>
      <c r="Z23" s="1423"/>
      <c r="AA23" s="1423"/>
    </row>
    <row r="24" spans="1:27" s="1570" customFormat="1" ht="21" customHeight="1">
      <c r="A24" s="2127"/>
      <c r="B24" s="1884" t="s">
        <v>712</v>
      </c>
      <c r="C24" s="1880">
        <v>24366</v>
      </c>
      <c r="D24" s="1602">
        <f>SUM(E24:F24)</f>
        <v>168.1</v>
      </c>
      <c r="E24" s="1603">
        <f>SUM(E25:E28)</f>
        <v>0</v>
      </c>
      <c r="F24" s="1603">
        <f>SUM(F25:F28)</f>
        <v>168.1</v>
      </c>
      <c r="G24" s="1602">
        <f>SUM(H24:I24)</f>
        <v>168.1</v>
      </c>
      <c r="H24" s="1603">
        <f>SUM(H25:H28)</f>
        <v>0</v>
      </c>
      <c r="I24" s="1603">
        <f>SUM(I25:I28)</f>
        <v>168.1</v>
      </c>
      <c r="J24" s="1602">
        <f>SUM(K24:L24)</f>
        <v>167.4</v>
      </c>
      <c r="K24" s="1603">
        <f>SUM(K25:K28)</f>
        <v>0</v>
      </c>
      <c r="L24" s="1603">
        <f>SUM(L25:L28)</f>
        <v>167.4</v>
      </c>
      <c r="M24" s="2130">
        <f t="shared" si="2"/>
        <v>99.6</v>
      </c>
      <c r="N24" s="2130">
        <f t="shared" si="2"/>
        <v>0</v>
      </c>
      <c r="O24" s="2130">
        <f t="shared" si="2"/>
        <v>99.6</v>
      </c>
      <c r="P24" s="2124" t="s">
        <v>353</v>
      </c>
      <c r="Q24" s="1612" t="s">
        <v>353</v>
      </c>
      <c r="R24" s="1602">
        <f t="shared" si="0"/>
        <v>0</v>
      </c>
      <c r="S24" s="1603">
        <f>SUM(S25:S27)</f>
        <v>0</v>
      </c>
      <c r="T24" s="1603">
        <f>SUM(T25:T27)</f>
        <v>0</v>
      </c>
      <c r="U24" s="1602">
        <f t="shared" ref="U24:U61" si="9">SUM(V24:W24)</f>
        <v>0</v>
      </c>
      <c r="V24" s="1603">
        <f>SUM(V25:V27)</f>
        <v>0</v>
      </c>
      <c r="W24" s="1603">
        <f>SUM(W25:W27)</f>
        <v>0</v>
      </c>
      <c r="X24" s="1423">
        <f t="shared" si="3"/>
        <v>0</v>
      </c>
      <c r="Y24" s="1423"/>
      <c r="Z24" s="1423"/>
      <c r="AA24" s="1423"/>
    </row>
    <row r="25" spans="1:27" s="1570" customFormat="1" ht="43.5" customHeight="1">
      <c r="A25" s="2127">
        <f>A18+1</f>
        <v>3</v>
      </c>
      <c r="B25" s="1885" t="s">
        <v>1568</v>
      </c>
      <c r="C25" s="1880"/>
      <c r="D25" s="1600">
        <f t="shared" si="4"/>
        <v>168.1</v>
      </c>
      <c r="E25" s="1614"/>
      <c r="F25" s="1614">
        <f>283.1-115</f>
        <v>168.1</v>
      </c>
      <c r="G25" s="1600">
        <f t="shared" si="5"/>
        <v>168.1</v>
      </c>
      <c r="H25" s="1608">
        <f t="shared" si="8"/>
        <v>0</v>
      </c>
      <c r="I25" s="1614">
        <f>283.1-115</f>
        <v>168.1</v>
      </c>
      <c r="J25" s="1600">
        <f t="shared" si="6"/>
        <v>167.4</v>
      </c>
      <c r="K25" s="1615"/>
      <c r="L25" s="1615">
        <v>167.4</v>
      </c>
      <c r="M25" s="1604">
        <f t="shared" si="2"/>
        <v>99.6</v>
      </c>
      <c r="N25" s="1881">
        <f t="shared" si="2"/>
        <v>0</v>
      </c>
      <c r="O25" s="1881">
        <f t="shared" si="2"/>
        <v>99.6</v>
      </c>
      <c r="P25" s="2124"/>
      <c r="Q25" s="1612"/>
      <c r="R25" s="1602">
        <f t="shared" si="0"/>
        <v>0</v>
      </c>
      <c r="S25" s="1615">
        <v>0</v>
      </c>
      <c r="T25" s="1615">
        <v>0</v>
      </c>
      <c r="U25" s="1602">
        <f t="shared" si="9"/>
        <v>0</v>
      </c>
      <c r="V25" s="1615">
        <v>0</v>
      </c>
      <c r="W25" s="1615">
        <v>0</v>
      </c>
      <c r="X25" s="1423">
        <f t="shared" si="3"/>
        <v>0</v>
      </c>
      <c r="Y25" s="1423"/>
      <c r="Z25" s="1423"/>
      <c r="AA25" s="1423"/>
    </row>
    <row r="26" spans="1:27" s="1570" customFormat="1" ht="33.75" hidden="1" customHeight="1">
      <c r="A26" s="2127">
        <f>A25+1</f>
        <v>4</v>
      </c>
      <c r="B26" s="1885" t="s">
        <v>1801</v>
      </c>
      <c r="C26" s="1880"/>
      <c r="D26" s="1600">
        <f>SUM(E26:F26)</f>
        <v>0</v>
      </c>
      <c r="E26" s="1614"/>
      <c r="F26" s="1614">
        <v>0</v>
      </c>
      <c r="G26" s="1600">
        <f>SUM(H26:I26)</f>
        <v>0</v>
      </c>
      <c r="H26" s="1608">
        <f>E26</f>
        <v>0</v>
      </c>
      <c r="I26" s="1608">
        <v>0</v>
      </c>
      <c r="J26" s="1600">
        <f>SUM(K26:L26)</f>
        <v>0</v>
      </c>
      <c r="K26" s="1615"/>
      <c r="L26" s="1615"/>
      <c r="M26" s="1604">
        <f t="shared" si="2"/>
        <v>0</v>
      </c>
      <c r="N26" s="1881">
        <f>IF(K26=0,0,K26/H26*100)</f>
        <v>0</v>
      </c>
      <c r="O26" s="1881">
        <f>IF(L26=0,0,L26/I26*100)</f>
        <v>0</v>
      </c>
      <c r="P26" s="2124"/>
      <c r="Q26" s="1612"/>
      <c r="R26" s="1602"/>
      <c r="S26" s="1615"/>
      <c r="T26" s="1615"/>
      <c r="U26" s="1602"/>
      <c r="V26" s="1615"/>
      <c r="W26" s="1615"/>
      <c r="X26" s="1423"/>
      <c r="Y26" s="1423"/>
      <c r="Z26" s="1423"/>
      <c r="AA26" s="1423"/>
    </row>
    <row r="27" spans="1:27" ht="59.25" hidden="1" customHeight="1">
      <c r="A27" s="2127"/>
      <c r="B27" s="1885" t="s">
        <v>1713</v>
      </c>
      <c r="C27" s="2016">
        <v>1500</v>
      </c>
      <c r="D27" s="1600">
        <f>SUM(E27:F27)</f>
        <v>0</v>
      </c>
      <c r="E27" s="1614"/>
      <c r="F27" s="1614">
        <v>0</v>
      </c>
      <c r="G27" s="1600">
        <f>SUM(H27:I27)</f>
        <v>0</v>
      </c>
      <c r="H27" s="1608">
        <f t="shared" si="8"/>
        <v>0</v>
      </c>
      <c r="I27" s="1608">
        <f t="shared" si="8"/>
        <v>0</v>
      </c>
      <c r="J27" s="1600">
        <f t="shared" si="6"/>
        <v>0</v>
      </c>
      <c r="K27" s="1615"/>
      <c r="L27" s="1615"/>
      <c r="M27" s="1604">
        <f t="shared" si="2"/>
        <v>0</v>
      </c>
      <c r="N27" s="1881">
        <f t="shared" si="2"/>
        <v>0</v>
      </c>
      <c r="O27" s="1881">
        <f t="shared" si="2"/>
        <v>0</v>
      </c>
      <c r="P27" s="2124" t="s">
        <v>1171</v>
      </c>
      <c r="Q27" s="2124" t="s">
        <v>1111</v>
      </c>
      <c r="R27" s="1600">
        <f t="shared" si="0"/>
        <v>0</v>
      </c>
      <c r="S27" s="1614">
        <v>0</v>
      </c>
      <c r="T27" s="1614">
        <v>0</v>
      </c>
      <c r="U27" s="1600">
        <f t="shared" si="9"/>
        <v>0</v>
      </c>
      <c r="V27" s="1614">
        <v>0</v>
      </c>
      <c r="W27" s="1614">
        <v>0</v>
      </c>
      <c r="X27" s="1423">
        <f t="shared" si="3"/>
        <v>0</v>
      </c>
      <c r="Y27" s="1423"/>
      <c r="Z27" s="1423"/>
      <c r="AA27" s="1423"/>
    </row>
    <row r="28" spans="1:27" ht="63.75" hidden="1" customHeight="1">
      <c r="A28" s="2127"/>
      <c r="B28" s="1879" t="s">
        <v>1714</v>
      </c>
      <c r="C28" s="2016">
        <v>4200</v>
      </c>
      <c r="D28" s="1600">
        <f>SUM(E28:F28)</f>
        <v>0</v>
      </c>
      <c r="E28" s="1614"/>
      <c r="F28" s="1614">
        <v>0</v>
      </c>
      <c r="G28" s="1600">
        <f>SUM(H28:I28)</f>
        <v>0</v>
      </c>
      <c r="H28" s="1608">
        <f t="shared" si="8"/>
        <v>0</v>
      </c>
      <c r="I28" s="1608">
        <f t="shared" si="8"/>
        <v>0</v>
      </c>
      <c r="J28" s="1600"/>
      <c r="K28" s="1615"/>
      <c r="L28" s="1615"/>
      <c r="M28" s="1604">
        <f t="shared" si="2"/>
        <v>0</v>
      </c>
      <c r="N28" s="1881">
        <f t="shared" si="2"/>
        <v>0</v>
      </c>
      <c r="O28" s="1881">
        <f t="shared" si="2"/>
        <v>0</v>
      </c>
      <c r="P28" s="2124"/>
      <c r="Q28" s="2124"/>
      <c r="R28" s="1600"/>
      <c r="S28" s="1614"/>
      <c r="T28" s="1614"/>
      <c r="U28" s="1600"/>
      <c r="V28" s="1614"/>
      <c r="W28" s="1614"/>
      <c r="X28" s="1423">
        <f t="shared" si="3"/>
        <v>0</v>
      </c>
      <c r="Y28" s="1423"/>
      <c r="Z28" s="1423"/>
      <c r="AA28" s="1423"/>
    </row>
    <row r="29" spans="1:27" s="1570" customFormat="1" ht="23.25">
      <c r="A29" s="2127"/>
      <c r="B29" s="1884" t="s">
        <v>1406</v>
      </c>
      <c r="C29" s="2127" t="s">
        <v>1538</v>
      </c>
      <c r="D29" s="1602">
        <f t="shared" si="4"/>
        <v>5580.7</v>
      </c>
      <c r="E29" s="1603">
        <f>E30</f>
        <v>0</v>
      </c>
      <c r="F29" s="1603">
        <f>F30</f>
        <v>5580.7</v>
      </c>
      <c r="G29" s="1602">
        <f t="shared" si="5"/>
        <v>5580.7</v>
      </c>
      <c r="H29" s="1603">
        <f t="shared" si="8"/>
        <v>0</v>
      </c>
      <c r="I29" s="1603">
        <f t="shared" si="8"/>
        <v>5580.7</v>
      </c>
      <c r="J29" s="1602">
        <f t="shared" si="6"/>
        <v>0</v>
      </c>
      <c r="K29" s="1603">
        <f>K30</f>
        <v>0</v>
      </c>
      <c r="L29" s="1603">
        <f>L30</f>
        <v>0</v>
      </c>
      <c r="M29" s="2130">
        <f t="shared" si="2"/>
        <v>0</v>
      </c>
      <c r="N29" s="2130">
        <f t="shared" si="2"/>
        <v>0</v>
      </c>
      <c r="O29" s="2130">
        <f t="shared" si="2"/>
        <v>0</v>
      </c>
      <c r="P29" s="2124" t="s">
        <v>353</v>
      </c>
      <c r="Q29" s="1612" t="s">
        <v>353</v>
      </c>
      <c r="R29" s="1602">
        <f t="shared" si="0"/>
        <v>0</v>
      </c>
      <c r="S29" s="1603">
        <f>S30</f>
        <v>0</v>
      </c>
      <c r="T29" s="1603">
        <f>T30</f>
        <v>0</v>
      </c>
      <c r="U29" s="1602">
        <f t="shared" si="9"/>
        <v>0</v>
      </c>
      <c r="V29" s="1603">
        <f>V30</f>
        <v>0</v>
      </c>
      <c r="W29" s="1603">
        <f>W30</f>
        <v>0</v>
      </c>
      <c r="X29" s="1423">
        <f t="shared" si="3"/>
        <v>0</v>
      </c>
      <c r="Y29" s="1423"/>
      <c r="Z29" s="1423"/>
      <c r="AA29" s="1423"/>
    </row>
    <row r="30" spans="1:27" ht="38.25" customHeight="1">
      <c r="A30" s="2127">
        <f>A25+1</f>
        <v>4</v>
      </c>
      <c r="B30" s="1886" t="s">
        <v>1407</v>
      </c>
      <c r="C30" s="2127" t="s">
        <v>1538</v>
      </c>
      <c r="D30" s="1602">
        <f t="shared" si="4"/>
        <v>5580.7</v>
      </c>
      <c r="E30" s="1615"/>
      <c r="F30" s="1615">
        <f>18602.2-13021.5</f>
        <v>5580.7</v>
      </c>
      <c r="G30" s="1602">
        <f t="shared" si="5"/>
        <v>5580.7</v>
      </c>
      <c r="H30" s="1616">
        <f>E30</f>
        <v>0</v>
      </c>
      <c r="I30" s="1616">
        <f>F30</f>
        <v>5580.7</v>
      </c>
      <c r="J30" s="1602">
        <f t="shared" si="6"/>
        <v>0</v>
      </c>
      <c r="K30" s="1615"/>
      <c r="L30" s="1615"/>
      <c r="M30" s="1604">
        <f t="shared" si="2"/>
        <v>0</v>
      </c>
      <c r="N30" s="1881">
        <f t="shared" si="2"/>
        <v>0</v>
      </c>
      <c r="O30" s="1881">
        <f t="shared" si="2"/>
        <v>0</v>
      </c>
      <c r="P30" s="2124" t="s">
        <v>1171</v>
      </c>
      <c r="Q30" s="2124" t="s">
        <v>1111</v>
      </c>
      <c r="R30" s="1600">
        <f t="shared" si="0"/>
        <v>0</v>
      </c>
      <c r="S30" s="1614">
        <v>0</v>
      </c>
      <c r="T30" s="1614">
        <v>0</v>
      </c>
      <c r="U30" s="1600">
        <f t="shared" si="9"/>
        <v>0</v>
      </c>
      <c r="V30" s="1614">
        <v>0</v>
      </c>
      <c r="W30" s="1614">
        <v>0</v>
      </c>
      <c r="X30" s="1423">
        <f t="shared" si="3"/>
        <v>0</v>
      </c>
      <c r="Y30" s="1423"/>
      <c r="Z30" s="1423"/>
      <c r="AA30" s="1423"/>
    </row>
    <row r="31" spans="1:27" s="1607" customFormat="1" ht="23.25" hidden="1" customHeight="1">
      <c r="A31" s="2127"/>
      <c r="B31" s="2126" t="s">
        <v>46</v>
      </c>
      <c r="C31" s="1882">
        <v>24347</v>
      </c>
      <c r="D31" s="1602">
        <f t="shared" si="4"/>
        <v>0</v>
      </c>
      <c r="E31" s="1603">
        <f>E32</f>
        <v>0</v>
      </c>
      <c r="F31" s="1603">
        <f>F32</f>
        <v>0</v>
      </c>
      <c r="G31" s="1602">
        <f t="shared" si="5"/>
        <v>0</v>
      </c>
      <c r="H31" s="1603">
        <f t="shared" si="8"/>
        <v>0</v>
      </c>
      <c r="I31" s="1603">
        <f t="shared" si="8"/>
        <v>0</v>
      </c>
      <c r="J31" s="1602">
        <f t="shared" si="6"/>
        <v>0</v>
      </c>
      <c r="K31" s="1603">
        <f>K32</f>
        <v>0</v>
      </c>
      <c r="L31" s="1603">
        <f>L32</f>
        <v>0</v>
      </c>
      <c r="M31" s="1604">
        <f t="shared" si="2"/>
        <v>0</v>
      </c>
      <c r="N31" s="1881">
        <f t="shared" si="2"/>
        <v>0</v>
      </c>
      <c r="O31" s="1881">
        <f t="shared" si="2"/>
        <v>0</v>
      </c>
      <c r="P31" s="2124" t="s">
        <v>353</v>
      </c>
      <c r="Q31" s="2124" t="s">
        <v>353</v>
      </c>
      <c r="R31" s="1602">
        <f t="shared" si="0"/>
        <v>0</v>
      </c>
      <c r="S31" s="1603">
        <f>S32</f>
        <v>0</v>
      </c>
      <c r="T31" s="1603">
        <f>T32</f>
        <v>0</v>
      </c>
      <c r="U31" s="1602">
        <f t="shared" si="9"/>
        <v>0</v>
      </c>
      <c r="V31" s="1603">
        <f>V32</f>
        <v>0</v>
      </c>
      <c r="W31" s="1603">
        <f>W32</f>
        <v>0</v>
      </c>
      <c r="X31" s="1423">
        <f t="shared" si="3"/>
        <v>0</v>
      </c>
      <c r="Y31" s="1423"/>
      <c r="Z31" s="1423"/>
      <c r="AA31" s="1423"/>
    </row>
    <row r="32" spans="1:27" s="1607" customFormat="1" ht="81.75" hidden="1" customHeight="1">
      <c r="A32" s="2127">
        <f>A30+1</f>
        <v>5</v>
      </c>
      <c r="B32" s="521" t="s">
        <v>1517</v>
      </c>
      <c r="C32" s="1882">
        <v>24347</v>
      </c>
      <c r="D32" s="1602">
        <f t="shared" si="4"/>
        <v>0</v>
      </c>
      <c r="E32" s="1616"/>
      <c r="F32" s="1616">
        <v>0</v>
      </c>
      <c r="G32" s="1602">
        <f t="shared" si="5"/>
        <v>0</v>
      </c>
      <c r="H32" s="1616">
        <f>E32</f>
        <v>0</v>
      </c>
      <c r="I32" s="1616">
        <v>0</v>
      </c>
      <c r="J32" s="1602">
        <f t="shared" si="6"/>
        <v>0</v>
      </c>
      <c r="K32" s="1616"/>
      <c r="L32" s="1616"/>
      <c r="M32" s="1604">
        <f t="shared" si="2"/>
        <v>0</v>
      </c>
      <c r="N32" s="1881">
        <f t="shared" si="2"/>
        <v>0</v>
      </c>
      <c r="O32" s="1881">
        <f t="shared" si="2"/>
        <v>0</v>
      </c>
      <c r="P32" s="2124" t="s">
        <v>1184</v>
      </c>
      <c r="Q32" s="2124" t="s">
        <v>1136</v>
      </c>
      <c r="R32" s="1600">
        <f t="shared" si="0"/>
        <v>0</v>
      </c>
      <c r="S32" s="1608">
        <v>0</v>
      </c>
      <c r="T32" s="1608">
        <v>0</v>
      </c>
      <c r="U32" s="1600">
        <f t="shared" si="9"/>
        <v>0</v>
      </c>
      <c r="V32" s="1608">
        <v>0</v>
      </c>
      <c r="W32" s="1608">
        <v>0</v>
      </c>
      <c r="X32" s="1423">
        <f t="shared" si="3"/>
        <v>0</v>
      </c>
      <c r="Y32" s="1423"/>
      <c r="Z32" s="1423"/>
      <c r="AA32" s="1423"/>
    </row>
    <row r="33" spans="1:27" s="1570" customFormat="1" ht="24.75" customHeight="1">
      <c r="A33" s="2127"/>
      <c r="B33" s="1884" t="s">
        <v>583</v>
      </c>
      <c r="C33" s="2127">
        <v>24366</v>
      </c>
      <c r="D33" s="1602">
        <f t="shared" si="4"/>
        <v>8774</v>
      </c>
      <c r="E33" s="1603">
        <f>E34+E35</f>
        <v>0</v>
      </c>
      <c r="F33" s="1603">
        <f>F34+F35</f>
        <v>8774</v>
      </c>
      <c r="G33" s="1602">
        <f t="shared" si="5"/>
        <v>8774</v>
      </c>
      <c r="H33" s="1603">
        <f t="shared" si="8"/>
        <v>0</v>
      </c>
      <c r="I33" s="1603">
        <f t="shared" si="8"/>
        <v>8774</v>
      </c>
      <c r="J33" s="1602">
        <f>SUM(K33:L33)</f>
        <v>7497.1</v>
      </c>
      <c r="K33" s="1603">
        <f>K34+K35</f>
        <v>0</v>
      </c>
      <c r="L33" s="1603">
        <f>L34+L35</f>
        <v>7497.1</v>
      </c>
      <c r="M33" s="1604">
        <f t="shared" si="2"/>
        <v>85.4</v>
      </c>
      <c r="N33" s="1604">
        <f t="shared" si="2"/>
        <v>0</v>
      </c>
      <c r="O33" s="1604">
        <f t="shared" si="2"/>
        <v>85.4</v>
      </c>
      <c r="P33" s="2124" t="s">
        <v>353</v>
      </c>
      <c r="Q33" s="1612" t="s">
        <v>353</v>
      </c>
      <c r="R33" s="1602">
        <f t="shared" si="0"/>
        <v>0</v>
      </c>
      <c r="S33" s="1603">
        <f>S34</f>
        <v>0</v>
      </c>
      <c r="T33" s="1603">
        <f>T34</f>
        <v>0</v>
      </c>
      <c r="U33" s="1602">
        <f t="shared" si="9"/>
        <v>0</v>
      </c>
      <c r="V33" s="1603">
        <f>V34</f>
        <v>0</v>
      </c>
      <c r="W33" s="1603">
        <f>W34</f>
        <v>0</v>
      </c>
      <c r="X33" s="1423">
        <f t="shared" si="3"/>
        <v>0</v>
      </c>
      <c r="Y33" s="1423"/>
      <c r="Z33" s="1423"/>
      <c r="AA33" s="1423"/>
    </row>
    <row r="34" spans="1:27" ht="42.75" hidden="1" customHeight="1">
      <c r="A34" s="2127">
        <f>A30+1</f>
        <v>5</v>
      </c>
      <c r="B34" s="1887" t="s">
        <v>1403</v>
      </c>
      <c r="C34" s="2127">
        <v>24366</v>
      </c>
      <c r="D34" s="1602">
        <f t="shared" si="4"/>
        <v>0</v>
      </c>
      <c r="E34" s="1615"/>
      <c r="F34" s="1615">
        <v>0</v>
      </c>
      <c r="G34" s="1602">
        <f t="shared" si="5"/>
        <v>0</v>
      </c>
      <c r="H34" s="1616">
        <f t="shared" si="8"/>
        <v>0</v>
      </c>
      <c r="I34" s="1616">
        <f t="shared" si="8"/>
        <v>0</v>
      </c>
      <c r="J34" s="1602">
        <f t="shared" si="6"/>
        <v>0</v>
      </c>
      <c r="K34" s="1615"/>
      <c r="L34" s="1615"/>
      <c r="M34" s="1604">
        <f t="shared" si="2"/>
        <v>0</v>
      </c>
      <c r="N34" s="1881">
        <f t="shared" si="2"/>
        <v>0</v>
      </c>
      <c r="O34" s="1881">
        <f t="shared" si="2"/>
        <v>0</v>
      </c>
      <c r="P34" s="2124" t="s">
        <v>1171</v>
      </c>
      <c r="Q34" s="2124" t="s">
        <v>1111</v>
      </c>
      <c r="R34" s="1600">
        <f t="shared" si="0"/>
        <v>0</v>
      </c>
      <c r="S34" s="1614">
        <v>0</v>
      </c>
      <c r="T34" s="1614">
        <v>0</v>
      </c>
      <c r="U34" s="1600">
        <f t="shared" si="9"/>
        <v>0</v>
      </c>
      <c r="V34" s="1614">
        <v>0</v>
      </c>
      <c r="W34" s="1614">
        <v>0</v>
      </c>
      <c r="X34" s="1423">
        <f t="shared" si="3"/>
        <v>0</v>
      </c>
      <c r="Y34" s="1423"/>
      <c r="Z34" s="1423"/>
      <c r="AA34" s="1423"/>
    </row>
    <row r="35" spans="1:27" ht="77.25" customHeight="1">
      <c r="A35" s="2127">
        <f>A30+1</f>
        <v>5</v>
      </c>
      <c r="B35" s="1919" t="s">
        <v>434</v>
      </c>
      <c r="C35" s="1877"/>
      <c r="D35" s="1602">
        <f>SUM(E35:F35)</f>
        <v>8774</v>
      </c>
      <c r="E35" s="1616"/>
      <c r="F35" s="1616">
        <v>8774</v>
      </c>
      <c r="G35" s="1602">
        <f>SUM(H35:I35)</f>
        <v>8774</v>
      </c>
      <c r="H35" s="1616">
        <f t="shared" si="8"/>
        <v>0</v>
      </c>
      <c r="I35" s="1616">
        <f t="shared" si="8"/>
        <v>8774</v>
      </c>
      <c r="J35" s="1602">
        <f>SUM(K35:L35)</f>
        <v>7497.1</v>
      </c>
      <c r="K35" s="1616"/>
      <c r="L35" s="1616">
        <v>7497.1</v>
      </c>
      <c r="M35" s="1604">
        <f t="shared" si="2"/>
        <v>85.4</v>
      </c>
      <c r="N35" s="1881">
        <f t="shared" si="2"/>
        <v>0</v>
      </c>
      <c r="O35" s="1881">
        <f t="shared" si="2"/>
        <v>85.4</v>
      </c>
      <c r="P35" s="2124"/>
      <c r="Q35" s="2124"/>
      <c r="R35" s="1600"/>
      <c r="S35" s="1614"/>
      <c r="T35" s="1614"/>
      <c r="U35" s="1600"/>
      <c r="V35" s="1614"/>
      <c r="W35" s="1614"/>
      <c r="X35" s="1423"/>
      <c r="Y35" s="1423"/>
      <c r="Z35" s="1423"/>
      <c r="AA35" s="1423"/>
    </row>
    <row r="36" spans="1:27" ht="21.75" customHeight="1">
      <c r="A36" s="2127"/>
      <c r="B36" s="2126" t="s">
        <v>68</v>
      </c>
      <c r="C36" s="2127">
        <v>24366</v>
      </c>
      <c r="D36" s="1602">
        <f t="shared" si="4"/>
        <v>9964.2000000000007</v>
      </c>
      <c r="E36" s="1603">
        <f>SUM(E37:E40)</f>
        <v>0</v>
      </c>
      <c r="F36" s="1603">
        <f>SUM(F37:F40)</f>
        <v>9964.2000000000007</v>
      </c>
      <c r="G36" s="1602">
        <f>SUM(H36:I36)</f>
        <v>9964.2000000000007</v>
      </c>
      <c r="H36" s="1603">
        <f>SUM(H37:H40)</f>
        <v>0</v>
      </c>
      <c r="I36" s="1603">
        <f>SUM(I37:I40)</f>
        <v>9964.2000000000007</v>
      </c>
      <c r="J36" s="1602">
        <f t="shared" si="6"/>
        <v>9964.2000000000007</v>
      </c>
      <c r="K36" s="1603">
        <f>SUM(K37:K40)</f>
        <v>0</v>
      </c>
      <c r="L36" s="1603">
        <f>SUM(L37:L40)</f>
        <v>9964.2000000000007</v>
      </c>
      <c r="M36" s="2130">
        <f t="shared" si="2"/>
        <v>100</v>
      </c>
      <c r="N36" s="2130">
        <f t="shared" si="2"/>
        <v>0</v>
      </c>
      <c r="O36" s="2130">
        <f t="shared" si="2"/>
        <v>100</v>
      </c>
      <c r="P36" s="2130">
        <f>SUM(P37:P40)</f>
        <v>0</v>
      </c>
      <c r="Q36" s="2130">
        <f>SUM(Q37:Q40)</f>
        <v>0</v>
      </c>
      <c r="R36" s="1602">
        <f t="shared" si="0"/>
        <v>8734.5</v>
      </c>
      <c r="S36" s="1603">
        <f>SUM(S37:S40)</f>
        <v>0</v>
      </c>
      <c r="T36" s="1603">
        <f>SUM(T37:T40)</f>
        <v>8734.5</v>
      </c>
      <c r="U36" s="1602">
        <f t="shared" si="9"/>
        <v>0</v>
      </c>
      <c r="V36" s="1603">
        <f>SUM(V37:V40)</f>
        <v>0</v>
      </c>
      <c r="W36" s="1603">
        <f>SUM(W37:W40)</f>
        <v>0</v>
      </c>
      <c r="X36" s="1423">
        <f t="shared" si="3"/>
        <v>0</v>
      </c>
      <c r="Y36" s="1423"/>
      <c r="Z36" s="1423"/>
      <c r="AA36" s="1423"/>
    </row>
    <row r="37" spans="1:27" ht="137.25" customHeight="1">
      <c r="A37" s="2127">
        <f>A35+1</f>
        <v>6</v>
      </c>
      <c r="B37" s="1888" t="s">
        <v>1553</v>
      </c>
      <c r="C37" s="2127"/>
      <c r="D37" s="1602">
        <f t="shared" si="4"/>
        <v>4000</v>
      </c>
      <c r="E37" s="1616"/>
      <c r="F37" s="1616">
        <v>4000</v>
      </c>
      <c r="G37" s="1602">
        <f t="shared" si="5"/>
        <v>4000</v>
      </c>
      <c r="H37" s="1616">
        <f t="shared" si="8"/>
        <v>0</v>
      </c>
      <c r="I37" s="1616">
        <f t="shared" si="8"/>
        <v>4000</v>
      </c>
      <c r="J37" s="1602">
        <f t="shared" si="6"/>
        <v>4000</v>
      </c>
      <c r="K37" s="1616"/>
      <c r="L37" s="1616">
        <v>4000</v>
      </c>
      <c r="M37" s="1604">
        <f t="shared" si="2"/>
        <v>100</v>
      </c>
      <c r="N37" s="1881">
        <f t="shared" si="2"/>
        <v>0</v>
      </c>
      <c r="O37" s="1881">
        <f t="shared" si="2"/>
        <v>100</v>
      </c>
      <c r="P37" s="2124"/>
      <c r="Q37" s="2124"/>
      <c r="R37" s="1600">
        <f t="shared" si="0"/>
        <v>0</v>
      </c>
      <c r="S37" s="1865">
        <v>0</v>
      </c>
      <c r="T37" s="1865">
        <v>0</v>
      </c>
      <c r="U37" s="1600">
        <f t="shared" si="9"/>
        <v>0</v>
      </c>
      <c r="V37" s="1865">
        <v>0</v>
      </c>
      <c r="W37" s="1865">
        <v>0</v>
      </c>
      <c r="X37" s="1423">
        <f t="shared" si="3"/>
        <v>0</v>
      </c>
      <c r="Y37" s="1423"/>
      <c r="Z37" s="1423"/>
      <c r="AA37" s="1423"/>
    </row>
    <row r="38" spans="1:27" ht="118.5" customHeight="1">
      <c r="A38" s="2127">
        <f>A37+1</f>
        <v>7</v>
      </c>
      <c r="B38" s="1889" t="s">
        <v>1552</v>
      </c>
      <c r="C38" s="2127"/>
      <c r="D38" s="1602">
        <f t="shared" si="4"/>
        <v>2400</v>
      </c>
      <c r="E38" s="1616"/>
      <c r="F38" s="1616">
        <v>2400</v>
      </c>
      <c r="G38" s="1602">
        <f t="shared" si="5"/>
        <v>2400</v>
      </c>
      <c r="H38" s="1616">
        <f t="shared" si="8"/>
        <v>0</v>
      </c>
      <c r="I38" s="1616">
        <f t="shared" si="8"/>
        <v>2400</v>
      </c>
      <c r="J38" s="1602">
        <f t="shared" si="6"/>
        <v>2400</v>
      </c>
      <c r="K38" s="1616"/>
      <c r="L38" s="1616">
        <v>2400</v>
      </c>
      <c r="M38" s="1604">
        <f t="shared" si="2"/>
        <v>100</v>
      </c>
      <c r="N38" s="1881">
        <f t="shared" si="2"/>
        <v>0</v>
      </c>
      <c r="O38" s="1881">
        <f t="shared" si="2"/>
        <v>100</v>
      </c>
      <c r="P38" s="2124"/>
      <c r="Q38" s="2124"/>
      <c r="R38" s="1600">
        <f t="shared" si="0"/>
        <v>0</v>
      </c>
      <c r="S38" s="1865">
        <v>0</v>
      </c>
      <c r="T38" s="1865">
        <v>0</v>
      </c>
      <c r="U38" s="1600">
        <f t="shared" si="9"/>
        <v>0</v>
      </c>
      <c r="V38" s="1865">
        <v>0</v>
      </c>
      <c r="W38" s="1865">
        <v>0</v>
      </c>
      <c r="X38" s="1423">
        <f t="shared" si="3"/>
        <v>0</v>
      </c>
      <c r="Y38" s="1423"/>
      <c r="Z38" s="1423"/>
      <c r="AA38" s="1423"/>
    </row>
    <row r="39" spans="1:27" ht="60.75" customHeight="1">
      <c r="A39" s="2127">
        <f>A38+1</f>
        <v>8</v>
      </c>
      <c r="B39" s="1888" t="s">
        <v>1561</v>
      </c>
      <c r="C39" s="2127"/>
      <c r="D39" s="1602">
        <f t="shared" si="4"/>
        <v>3564.2</v>
      </c>
      <c r="E39" s="1616"/>
      <c r="F39" s="1616">
        <v>3564.2</v>
      </c>
      <c r="G39" s="1602">
        <f t="shared" si="5"/>
        <v>3564.2</v>
      </c>
      <c r="H39" s="1616">
        <f t="shared" si="8"/>
        <v>0</v>
      </c>
      <c r="I39" s="1616">
        <f t="shared" si="8"/>
        <v>3564.2</v>
      </c>
      <c r="J39" s="1602">
        <f t="shared" si="6"/>
        <v>3564.2</v>
      </c>
      <c r="K39" s="1616"/>
      <c r="L39" s="1616">
        <v>3564.2</v>
      </c>
      <c r="M39" s="1604">
        <f t="shared" si="2"/>
        <v>100</v>
      </c>
      <c r="N39" s="1881">
        <f t="shared" si="2"/>
        <v>0</v>
      </c>
      <c r="O39" s="1881">
        <f t="shared" si="2"/>
        <v>100</v>
      </c>
      <c r="P39" s="2124"/>
      <c r="Q39" s="2124"/>
      <c r="R39" s="1600">
        <f t="shared" si="0"/>
        <v>0</v>
      </c>
      <c r="S39" s="1865">
        <v>0</v>
      </c>
      <c r="T39" s="1865">
        <v>0</v>
      </c>
      <c r="U39" s="1600">
        <f t="shared" si="9"/>
        <v>0</v>
      </c>
      <c r="V39" s="1865">
        <v>0</v>
      </c>
      <c r="W39" s="1865">
        <v>0</v>
      </c>
      <c r="X39" s="1423">
        <f t="shared" si="3"/>
        <v>0</v>
      </c>
      <c r="Y39" s="1423"/>
      <c r="Z39" s="1423"/>
      <c r="AA39" s="1423"/>
    </row>
    <row r="40" spans="1:27" ht="47.25" hidden="1" customHeight="1">
      <c r="A40" s="2127">
        <f>A39+1</f>
        <v>9</v>
      </c>
      <c r="B40" s="1890" t="s">
        <v>1651</v>
      </c>
      <c r="C40" s="2127">
        <v>24366</v>
      </c>
      <c r="D40" s="1602">
        <f t="shared" si="4"/>
        <v>0</v>
      </c>
      <c r="E40" s="1616"/>
      <c r="F40" s="1616">
        <v>0</v>
      </c>
      <c r="G40" s="1602">
        <f t="shared" si="5"/>
        <v>0</v>
      </c>
      <c r="H40" s="1616">
        <f t="shared" si="8"/>
        <v>0</v>
      </c>
      <c r="I40" s="1616">
        <f t="shared" si="8"/>
        <v>0</v>
      </c>
      <c r="J40" s="1602">
        <f t="shared" si="6"/>
        <v>0</v>
      </c>
      <c r="K40" s="1616"/>
      <c r="L40" s="1616"/>
      <c r="M40" s="1604">
        <f t="shared" si="2"/>
        <v>0</v>
      </c>
      <c r="N40" s="1881">
        <f t="shared" si="2"/>
        <v>0</v>
      </c>
      <c r="O40" s="1881">
        <f t="shared" si="2"/>
        <v>0</v>
      </c>
      <c r="P40" s="2124" t="s">
        <v>1176</v>
      </c>
      <c r="Q40" s="2124" t="s">
        <v>1125</v>
      </c>
      <c r="R40" s="1600">
        <f t="shared" si="0"/>
        <v>8734.5</v>
      </c>
      <c r="S40" s="1608">
        <v>0</v>
      </c>
      <c r="T40" s="1608">
        <v>8734.5</v>
      </c>
      <c r="U40" s="1600">
        <f t="shared" si="9"/>
        <v>0</v>
      </c>
      <c r="V40" s="1608">
        <v>0</v>
      </c>
      <c r="W40" s="1608">
        <v>0</v>
      </c>
      <c r="X40" s="1423">
        <f t="shared" si="3"/>
        <v>0</v>
      </c>
      <c r="Y40" s="1423"/>
      <c r="Z40" s="1423"/>
      <c r="AA40" s="1423"/>
    </row>
    <row r="41" spans="1:27" s="1570" customFormat="1" ht="24.75" customHeight="1">
      <c r="A41" s="2127"/>
      <c r="B41" s="1884" t="s">
        <v>1408</v>
      </c>
      <c r="C41" s="1880" t="s">
        <v>1538</v>
      </c>
      <c r="D41" s="1602">
        <f t="shared" si="4"/>
        <v>1620.2</v>
      </c>
      <c r="E41" s="1603">
        <f>SUM(E42)</f>
        <v>0</v>
      </c>
      <c r="F41" s="2130">
        <f>SUM(F42)</f>
        <v>1620.2</v>
      </c>
      <c r="G41" s="1600">
        <f t="shared" si="5"/>
        <v>1620.2</v>
      </c>
      <c r="H41" s="2130">
        <f t="shared" si="8"/>
        <v>0</v>
      </c>
      <c r="I41" s="2130">
        <f t="shared" si="8"/>
        <v>1620.2</v>
      </c>
      <c r="J41" s="1600">
        <f t="shared" si="6"/>
        <v>1620.2</v>
      </c>
      <c r="K41" s="1603">
        <f>SUM(K42)</f>
        <v>0</v>
      </c>
      <c r="L41" s="1603">
        <f>SUM(L42)</f>
        <v>1620.2</v>
      </c>
      <c r="M41" s="1604">
        <f t="shared" si="2"/>
        <v>100</v>
      </c>
      <c r="N41" s="1604">
        <f t="shared" si="2"/>
        <v>0</v>
      </c>
      <c r="O41" s="1604">
        <f t="shared" si="2"/>
        <v>100</v>
      </c>
      <c r="P41" s="2124" t="s">
        <v>353</v>
      </c>
      <c r="Q41" s="1612" t="s">
        <v>353</v>
      </c>
      <c r="R41" s="1602">
        <f t="shared" si="0"/>
        <v>0</v>
      </c>
      <c r="S41" s="1603">
        <f>SUM(S42)</f>
        <v>0</v>
      </c>
      <c r="T41" s="1603">
        <f>SUM(T42)</f>
        <v>0</v>
      </c>
      <c r="U41" s="1602">
        <f t="shared" si="9"/>
        <v>0</v>
      </c>
      <c r="V41" s="1603">
        <f>SUM(V42)</f>
        <v>0</v>
      </c>
      <c r="W41" s="1603">
        <f>SUM(W42)</f>
        <v>0</v>
      </c>
      <c r="X41" s="1423">
        <f t="shared" si="3"/>
        <v>0</v>
      </c>
      <c r="Y41" s="1423"/>
      <c r="Z41" s="1423"/>
      <c r="AA41" s="1423"/>
    </row>
    <row r="42" spans="1:27" ht="45" customHeight="1">
      <c r="A42" s="2127">
        <f>A39+1</f>
        <v>9</v>
      </c>
      <c r="B42" s="1886" t="s">
        <v>1409</v>
      </c>
      <c r="C42" s="1880" t="s">
        <v>1538</v>
      </c>
      <c r="D42" s="1602">
        <f t="shared" si="4"/>
        <v>1620.2</v>
      </c>
      <c r="E42" s="1615"/>
      <c r="F42" s="1614">
        <f>11495-8046.5-1828.3</f>
        <v>1620.2</v>
      </c>
      <c r="G42" s="1600">
        <f t="shared" si="5"/>
        <v>1620.2</v>
      </c>
      <c r="H42" s="1608">
        <f>E42</f>
        <v>0</v>
      </c>
      <c r="I42" s="1608">
        <f>F42</f>
        <v>1620.2</v>
      </c>
      <c r="J42" s="1600">
        <f t="shared" si="6"/>
        <v>1620.2</v>
      </c>
      <c r="K42" s="1615"/>
      <c r="L42" s="1615">
        <v>1620.2</v>
      </c>
      <c r="M42" s="1604">
        <f t="shared" si="2"/>
        <v>100</v>
      </c>
      <c r="N42" s="1881">
        <f t="shared" si="2"/>
        <v>0</v>
      </c>
      <c r="O42" s="1881">
        <f t="shared" si="2"/>
        <v>100</v>
      </c>
      <c r="P42" s="2124" t="s">
        <v>1171</v>
      </c>
      <c r="Q42" s="2124" t="s">
        <v>1111</v>
      </c>
      <c r="R42" s="1600">
        <f t="shared" si="0"/>
        <v>0</v>
      </c>
      <c r="S42" s="1614">
        <v>0</v>
      </c>
      <c r="T42" s="1614">
        <v>0</v>
      </c>
      <c r="U42" s="1600">
        <f t="shared" si="9"/>
        <v>0</v>
      </c>
      <c r="V42" s="1614">
        <v>0</v>
      </c>
      <c r="W42" s="1614">
        <v>0</v>
      </c>
      <c r="X42" s="1423">
        <f t="shared" si="3"/>
        <v>0</v>
      </c>
      <c r="Y42" s="1423"/>
      <c r="Z42" s="1423"/>
      <c r="AA42" s="1423"/>
    </row>
    <row r="43" spans="1:27" ht="27" customHeight="1">
      <c r="A43" s="2127"/>
      <c r="B43" s="1891" t="s">
        <v>431</v>
      </c>
      <c r="C43" s="1880"/>
      <c r="D43" s="1602">
        <f>SUM(E43:F43)</f>
        <v>10633.3</v>
      </c>
      <c r="E43" s="1603">
        <f>SUM(E44:E46)</f>
        <v>0</v>
      </c>
      <c r="F43" s="2130">
        <f>SUM(F44:F46)</f>
        <v>10633.3</v>
      </c>
      <c r="G43" s="1600">
        <f t="shared" si="5"/>
        <v>10633.3</v>
      </c>
      <c r="H43" s="2130">
        <f t="shared" si="8"/>
        <v>0</v>
      </c>
      <c r="I43" s="2130">
        <f t="shared" si="8"/>
        <v>10633.3</v>
      </c>
      <c r="J43" s="1600">
        <f t="shared" si="6"/>
        <v>10633.3</v>
      </c>
      <c r="K43" s="1603">
        <f>SUM(K44:K46)</f>
        <v>0</v>
      </c>
      <c r="L43" s="1603">
        <f>SUM(L44:L46)</f>
        <v>10633.3</v>
      </c>
      <c r="M43" s="2130">
        <f t="shared" si="2"/>
        <v>100</v>
      </c>
      <c r="N43" s="2130">
        <f t="shared" si="2"/>
        <v>0</v>
      </c>
      <c r="O43" s="2130">
        <f t="shared" si="2"/>
        <v>100</v>
      </c>
      <c r="P43" s="2124"/>
      <c r="Q43" s="2124"/>
      <c r="R43" s="1602">
        <f t="shared" si="0"/>
        <v>12400</v>
      </c>
      <c r="S43" s="1603">
        <f>SUM(S44:S46)</f>
        <v>0</v>
      </c>
      <c r="T43" s="1603">
        <f>SUM(T44:T46)</f>
        <v>12400</v>
      </c>
      <c r="U43" s="1602">
        <f t="shared" si="9"/>
        <v>0</v>
      </c>
      <c r="V43" s="1603">
        <f>SUM(V44:V46)</f>
        <v>0</v>
      </c>
      <c r="W43" s="1603">
        <f>SUM(W44:W46)</f>
        <v>0</v>
      </c>
      <c r="X43" s="1423">
        <f t="shared" si="3"/>
        <v>0</v>
      </c>
      <c r="Y43" s="1423"/>
      <c r="Z43" s="1423"/>
      <c r="AA43" s="1423"/>
    </row>
    <row r="44" spans="1:27" ht="38.25" hidden="1" customHeight="1">
      <c r="A44" s="2127">
        <f>A42+1</f>
        <v>10</v>
      </c>
      <c r="B44" s="1886" t="s">
        <v>1715</v>
      </c>
      <c r="C44" s="1880"/>
      <c r="D44" s="1602">
        <f>SUM(E44:F44)</f>
        <v>0</v>
      </c>
      <c r="E44" s="1603"/>
      <c r="F44" s="1865">
        <v>0</v>
      </c>
      <c r="G44" s="1600">
        <f>SUM(H44:I44)</f>
        <v>0</v>
      </c>
      <c r="H44" s="1608">
        <f t="shared" si="8"/>
        <v>0</v>
      </c>
      <c r="I44" s="1608">
        <v>0</v>
      </c>
      <c r="J44" s="1600">
        <f t="shared" si="6"/>
        <v>0</v>
      </c>
      <c r="K44" s="1615"/>
      <c r="L44" s="1615"/>
      <c r="M44" s="1604">
        <f t="shared" si="2"/>
        <v>0</v>
      </c>
      <c r="N44" s="1881">
        <f t="shared" si="2"/>
        <v>0</v>
      </c>
      <c r="O44" s="1881">
        <f t="shared" si="2"/>
        <v>0</v>
      </c>
      <c r="P44" s="2124"/>
      <c r="Q44" s="2124"/>
      <c r="R44" s="1602">
        <f t="shared" si="0"/>
        <v>12400</v>
      </c>
      <c r="S44" s="1614">
        <v>0</v>
      </c>
      <c r="T44" s="1614">
        <v>12400</v>
      </c>
      <c r="U44" s="1602">
        <f t="shared" si="9"/>
        <v>0</v>
      </c>
      <c r="V44" s="1614">
        <v>0</v>
      </c>
      <c r="W44" s="1614">
        <v>0</v>
      </c>
      <c r="X44" s="1423">
        <f t="shared" si="3"/>
        <v>0</v>
      </c>
      <c r="Y44" s="1423"/>
      <c r="Z44" s="1423"/>
      <c r="AA44" s="1423"/>
    </row>
    <row r="45" spans="1:27" ht="46.5" customHeight="1">
      <c r="A45" s="2127">
        <f>A42+1</f>
        <v>10</v>
      </c>
      <c r="B45" s="1886" t="s">
        <v>1716</v>
      </c>
      <c r="C45" s="1880"/>
      <c r="D45" s="1602">
        <f>SUM(E45:F45)</f>
        <v>4133.3</v>
      </c>
      <c r="E45" s="1615"/>
      <c r="F45" s="1615">
        <v>4133.3</v>
      </c>
      <c r="G45" s="1602">
        <f>SUM(H45:I45)</f>
        <v>4133.3</v>
      </c>
      <c r="H45" s="1616">
        <f t="shared" si="8"/>
        <v>0</v>
      </c>
      <c r="I45" s="1616">
        <f t="shared" si="8"/>
        <v>4133.3</v>
      </c>
      <c r="J45" s="1602">
        <f t="shared" si="6"/>
        <v>4133.3</v>
      </c>
      <c r="K45" s="1615"/>
      <c r="L45" s="1615">
        <v>4133.3</v>
      </c>
      <c r="M45" s="1604">
        <f t="shared" si="2"/>
        <v>100</v>
      </c>
      <c r="N45" s="1881">
        <f t="shared" si="2"/>
        <v>0</v>
      </c>
      <c r="O45" s="1881">
        <f t="shared" si="2"/>
        <v>100</v>
      </c>
      <c r="P45" s="2124"/>
      <c r="Q45" s="2124"/>
      <c r="R45" s="1602">
        <f t="shared" si="0"/>
        <v>0</v>
      </c>
      <c r="S45" s="1614">
        <v>0</v>
      </c>
      <c r="T45" s="1614">
        <v>0</v>
      </c>
      <c r="U45" s="1602">
        <f t="shared" si="9"/>
        <v>0</v>
      </c>
      <c r="V45" s="1614">
        <v>0</v>
      </c>
      <c r="W45" s="1614">
        <v>0</v>
      </c>
      <c r="X45" s="1423">
        <f t="shared" si="3"/>
        <v>0</v>
      </c>
      <c r="Y45" s="1423"/>
      <c r="Z45" s="1423"/>
      <c r="AA45" s="1423"/>
    </row>
    <row r="46" spans="1:27" ht="63.75" customHeight="1">
      <c r="A46" s="2127">
        <f>A45+1</f>
        <v>11</v>
      </c>
      <c r="B46" s="1886" t="s">
        <v>1562</v>
      </c>
      <c r="C46" s="1880"/>
      <c r="D46" s="1602">
        <f t="shared" si="4"/>
        <v>6500</v>
      </c>
      <c r="E46" s="1615"/>
      <c r="F46" s="1615">
        <v>6500</v>
      </c>
      <c r="G46" s="1602">
        <f t="shared" si="5"/>
        <v>6500</v>
      </c>
      <c r="H46" s="1616">
        <f t="shared" si="8"/>
        <v>0</v>
      </c>
      <c r="I46" s="1616">
        <f t="shared" si="8"/>
        <v>6500</v>
      </c>
      <c r="J46" s="1602">
        <f t="shared" si="6"/>
        <v>6500</v>
      </c>
      <c r="K46" s="1615"/>
      <c r="L46" s="1615">
        <v>6500</v>
      </c>
      <c r="M46" s="1604">
        <f t="shared" si="2"/>
        <v>100</v>
      </c>
      <c r="N46" s="1881">
        <f t="shared" si="2"/>
        <v>0</v>
      </c>
      <c r="O46" s="1881">
        <f t="shared" si="2"/>
        <v>100</v>
      </c>
      <c r="P46" s="2124"/>
      <c r="Q46" s="2124"/>
      <c r="R46" s="1602">
        <f t="shared" si="0"/>
        <v>0</v>
      </c>
      <c r="S46" s="1614">
        <v>0</v>
      </c>
      <c r="T46" s="1614">
        <v>0</v>
      </c>
      <c r="U46" s="1602">
        <f t="shared" si="9"/>
        <v>0</v>
      </c>
      <c r="V46" s="1614">
        <v>0</v>
      </c>
      <c r="W46" s="1614">
        <v>0</v>
      </c>
      <c r="X46" s="1423">
        <f t="shared" si="3"/>
        <v>0</v>
      </c>
      <c r="Y46" s="1423"/>
      <c r="Z46" s="1423"/>
      <c r="AA46" s="1423"/>
    </row>
    <row r="47" spans="1:27" s="1570" customFormat="1" ht="22.5" hidden="1" customHeight="1">
      <c r="A47" s="2127"/>
      <c r="B47" s="1884" t="s">
        <v>729</v>
      </c>
      <c r="C47" s="1880">
        <v>24366</v>
      </c>
      <c r="D47" s="1603">
        <f t="shared" si="4"/>
        <v>0</v>
      </c>
      <c r="E47" s="1603">
        <f>SUM(E48:E49)</f>
        <v>0</v>
      </c>
      <c r="F47" s="1603">
        <f>SUM(F48:F49)</f>
        <v>0</v>
      </c>
      <c r="G47" s="1603">
        <f t="shared" si="5"/>
        <v>0</v>
      </c>
      <c r="H47" s="1603">
        <f t="shared" si="8"/>
        <v>0</v>
      </c>
      <c r="I47" s="1603">
        <f t="shared" si="8"/>
        <v>0</v>
      </c>
      <c r="J47" s="1603">
        <f t="shared" ref="J47:J110" si="10">SUM(K47:L47)</f>
        <v>0</v>
      </c>
      <c r="K47" s="1603">
        <f>SUM(K48:K49)</f>
        <v>0</v>
      </c>
      <c r="L47" s="1603">
        <f>SUM(L48:L49)</f>
        <v>0</v>
      </c>
      <c r="M47" s="2130">
        <f t="shared" si="2"/>
        <v>0</v>
      </c>
      <c r="N47" s="2130">
        <f t="shared" si="2"/>
        <v>0</v>
      </c>
      <c r="O47" s="2130">
        <f t="shared" si="2"/>
        <v>0</v>
      </c>
      <c r="P47" s="2124" t="s">
        <v>353</v>
      </c>
      <c r="Q47" s="1612" t="s">
        <v>353</v>
      </c>
      <c r="R47" s="1600">
        <f t="shared" si="0"/>
        <v>0</v>
      </c>
      <c r="S47" s="1610">
        <f>SUM(S48:S48)</f>
        <v>0</v>
      </c>
      <c r="T47" s="1610">
        <f>SUM(T48:T48)</f>
        <v>0</v>
      </c>
      <c r="U47" s="1600">
        <f t="shared" si="9"/>
        <v>0</v>
      </c>
      <c r="V47" s="1610">
        <f>SUM(V48:V48)</f>
        <v>0</v>
      </c>
      <c r="W47" s="1610">
        <f>SUM(W48:W48)</f>
        <v>0</v>
      </c>
      <c r="X47" s="1423">
        <f t="shared" si="3"/>
        <v>0</v>
      </c>
      <c r="Y47" s="1423"/>
      <c r="Z47" s="1423"/>
      <c r="AA47" s="1423"/>
    </row>
    <row r="48" spans="1:27" ht="28.5" hidden="1" customHeight="1">
      <c r="A48" s="2127">
        <f>A46+1</f>
        <v>12</v>
      </c>
      <c r="B48" s="1883" t="s">
        <v>1405</v>
      </c>
      <c r="C48" s="1880">
        <v>24366</v>
      </c>
      <c r="D48" s="1602">
        <f t="shared" si="4"/>
        <v>0</v>
      </c>
      <c r="E48" s="1615"/>
      <c r="F48" s="1615">
        <v>0</v>
      </c>
      <c r="G48" s="1602">
        <f t="shared" ref="G48:G112" si="11">SUM(H48:I48)</f>
        <v>0</v>
      </c>
      <c r="H48" s="1616">
        <f t="shared" si="8"/>
        <v>0</v>
      </c>
      <c r="I48" s="1616">
        <f t="shared" si="8"/>
        <v>0</v>
      </c>
      <c r="J48" s="1602">
        <f t="shared" si="10"/>
        <v>0</v>
      </c>
      <c r="K48" s="1615"/>
      <c r="L48" s="1615"/>
      <c r="M48" s="1604">
        <f t="shared" si="2"/>
        <v>0</v>
      </c>
      <c r="N48" s="1881">
        <f t="shared" si="2"/>
        <v>0</v>
      </c>
      <c r="O48" s="1881">
        <f t="shared" si="2"/>
        <v>0</v>
      </c>
      <c r="P48" s="2124" t="s">
        <v>1171</v>
      </c>
      <c r="Q48" s="2124" t="s">
        <v>1111</v>
      </c>
      <c r="R48" s="1600">
        <f t="shared" si="0"/>
        <v>0</v>
      </c>
      <c r="S48" s="1614">
        <v>0</v>
      </c>
      <c r="T48" s="1614">
        <v>0</v>
      </c>
      <c r="U48" s="1600">
        <f t="shared" si="9"/>
        <v>0</v>
      </c>
      <c r="V48" s="1614">
        <v>0</v>
      </c>
      <c r="W48" s="1614">
        <v>0</v>
      </c>
      <c r="X48" s="1423">
        <f t="shared" si="3"/>
        <v>0</v>
      </c>
      <c r="Y48" s="1423"/>
      <c r="Z48" s="1423"/>
      <c r="AA48" s="1423"/>
    </row>
    <row r="49" spans="1:27" s="484" customFormat="1" ht="45" hidden="1" customHeight="1">
      <c r="A49" s="2127">
        <f>A48+1</f>
        <v>13</v>
      </c>
      <c r="B49" s="1888" t="s">
        <v>1675</v>
      </c>
      <c r="C49" s="1866"/>
      <c r="D49" s="1602">
        <f t="shared" si="4"/>
        <v>0</v>
      </c>
      <c r="E49" s="1615"/>
      <c r="F49" s="1615">
        <v>0</v>
      </c>
      <c r="G49" s="1602">
        <f t="shared" si="11"/>
        <v>0</v>
      </c>
      <c r="H49" s="1616">
        <f t="shared" si="8"/>
        <v>0</v>
      </c>
      <c r="I49" s="1616">
        <f t="shared" si="8"/>
        <v>0</v>
      </c>
      <c r="J49" s="1602">
        <f t="shared" si="10"/>
        <v>0</v>
      </c>
      <c r="K49" s="1615"/>
      <c r="L49" s="1615"/>
      <c r="M49" s="1893">
        <f t="shared" si="2"/>
        <v>0</v>
      </c>
      <c r="N49" s="1894">
        <f t="shared" si="2"/>
        <v>0</v>
      </c>
      <c r="O49" s="1894">
        <f t="shared" si="2"/>
        <v>0</v>
      </c>
      <c r="P49" s="2124"/>
      <c r="Q49" s="2124"/>
      <c r="R49" s="1600">
        <f t="shared" si="0"/>
        <v>0</v>
      </c>
      <c r="S49" s="1615">
        <v>0</v>
      </c>
      <c r="T49" s="1615">
        <v>0</v>
      </c>
      <c r="U49" s="1600">
        <f t="shared" si="9"/>
        <v>0</v>
      </c>
      <c r="V49" s="1615">
        <v>0</v>
      </c>
      <c r="W49" s="1615">
        <v>0</v>
      </c>
      <c r="X49" s="1423">
        <f t="shared" si="3"/>
        <v>0</v>
      </c>
      <c r="Y49" s="1423"/>
      <c r="Z49" s="1423"/>
      <c r="AA49" s="1423"/>
    </row>
    <row r="50" spans="1:27" s="1570" customFormat="1" ht="30" customHeight="1">
      <c r="A50" s="2127"/>
      <c r="B50" s="1884" t="s">
        <v>12</v>
      </c>
      <c r="C50" s="1880">
        <v>24366</v>
      </c>
      <c r="D50" s="1603">
        <f t="shared" si="4"/>
        <v>3675.7</v>
      </c>
      <c r="E50" s="1603">
        <f>SUM(E51:E55)</f>
        <v>0</v>
      </c>
      <c r="F50" s="1603">
        <f>SUM(F51:F55)</f>
        <v>3675.7</v>
      </c>
      <c r="G50" s="1603">
        <f t="shared" si="11"/>
        <v>3675.7</v>
      </c>
      <c r="H50" s="1603">
        <f t="shared" si="8"/>
        <v>0</v>
      </c>
      <c r="I50" s="1603">
        <f>SUBTOTAL(9,I51:I55)</f>
        <v>3675.7</v>
      </c>
      <c r="J50" s="1603">
        <f t="shared" si="10"/>
        <v>3675.7</v>
      </c>
      <c r="K50" s="1603">
        <f>SUM(K51:K55)</f>
        <v>0</v>
      </c>
      <c r="L50" s="1603">
        <f>SUM(L51:L55)</f>
        <v>3675.7</v>
      </c>
      <c r="M50" s="1604">
        <f t="shared" si="2"/>
        <v>100</v>
      </c>
      <c r="N50" s="1604">
        <f t="shared" si="2"/>
        <v>0</v>
      </c>
      <c r="O50" s="1604">
        <f t="shared" si="2"/>
        <v>100</v>
      </c>
      <c r="P50" s="2124" t="s">
        <v>353</v>
      </c>
      <c r="Q50" s="1612" t="s">
        <v>353</v>
      </c>
      <c r="R50" s="1603">
        <f t="shared" si="0"/>
        <v>0</v>
      </c>
      <c r="S50" s="1603">
        <f>SUM(S51:S55)</f>
        <v>0</v>
      </c>
      <c r="T50" s="1603">
        <f>SUM(T51:T55)</f>
        <v>0</v>
      </c>
      <c r="U50" s="1603">
        <f t="shared" si="9"/>
        <v>0</v>
      </c>
      <c r="V50" s="1603">
        <f>SUM(V51:V55)</f>
        <v>0</v>
      </c>
      <c r="W50" s="1603">
        <f>SUM(W51:W55)</f>
        <v>0</v>
      </c>
      <c r="X50" s="1423">
        <f t="shared" si="3"/>
        <v>0</v>
      </c>
      <c r="Y50" s="1423"/>
      <c r="Z50" s="1423"/>
      <c r="AA50" s="1423"/>
    </row>
    <row r="51" spans="1:27" ht="43.5" hidden="1" customHeight="1">
      <c r="A51" s="2127">
        <f>A49+1</f>
        <v>14</v>
      </c>
      <c r="B51" s="1883" t="s">
        <v>1717</v>
      </c>
      <c r="C51" s="1880">
        <v>24366</v>
      </c>
      <c r="D51" s="1602">
        <f>SUM(E51:F51)</f>
        <v>0</v>
      </c>
      <c r="E51" s="1615"/>
      <c r="F51" s="1615">
        <v>0</v>
      </c>
      <c r="G51" s="1602">
        <f>SUM(H51:I51)</f>
        <v>0</v>
      </c>
      <c r="H51" s="1616">
        <f t="shared" si="8"/>
        <v>0</v>
      </c>
      <c r="I51" s="1615">
        <v>0</v>
      </c>
      <c r="J51" s="1602">
        <f t="shared" si="10"/>
        <v>0</v>
      </c>
      <c r="K51" s="1615"/>
      <c r="L51" s="1615"/>
      <c r="M51" s="1604">
        <f t="shared" si="2"/>
        <v>0</v>
      </c>
      <c r="N51" s="1881">
        <f t="shared" si="2"/>
        <v>0</v>
      </c>
      <c r="O51" s="1881">
        <f t="shared" si="2"/>
        <v>0</v>
      </c>
      <c r="P51" s="2124" t="s">
        <v>1171</v>
      </c>
      <c r="Q51" s="2124" t="s">
        <v>1111</v>
      </c>
      <c r="R51" s="1600">
        <f t="shared" si="0"/>
        <v>0</v>
      </c>
      <c r="S51" s="1614">
        <v>0</v>
      </c>
      <c r="T51" s="1614">
        <v>0</v>
      </c>
      <c r="U51" s="1600">
        <f t="shared" si="9"/>
        <v>0</v>
      </c>
      <c r="V51" s="1614">
        <v>0</v>
      </c>
      <c r="W51" s="1614">
        <v>0</v>
      </c>
      <c r="X51" s="1423">
        <f t="shared" si="3"/>
        <v>0</v>
      </c>
      <c r="Y51" s="1423"/>
      <c r="Z51" s="1423"/>
      <c r="AA51" s="1423"/>
    </row>
    <row r="52" spans="1:27" ht="43.5" hidden="1" customHeight="1">
      <c r="A52" s="2127">
        <f>A51+1</f>
        <v>15</v>
      </c>
      <c r="B52" s="1883" t="s">
        <v>1718</v>
      </c>
      <c r="C52" s="1880"/>
      <c r="D52" s="1602">
        <f>SUM(E52:F52)</f>
        <v>0</v>
      </c>
      <c r="E52" s="1615"/>
      <c r="F52" s="1615">
        <v>0</v>
      </c>
      <c r="G52" s="1602">
        <f>SUM(H52:I52)</f>
        <v>0</v>
      </c>
      <c r="H52" s="1616">
        <f t="shared" si="8"/>
        <v>0</v>
      </c>
      <c r="I52" s="1615">
        <v>0</v>
      </c>
      <c r="J52" s="1602">
        <f t="shared" si="10"/>
        <v>0</v>
      </c>
      <c r="K52" s="1615"/>
      <c r="L52" s="1615"/>
      <c r="M52" s="1604">
        <f t="shared" si="2"/>
        <v>0</v>
      </c>
      <c r="N52" s="1881">
        <f t="shared" si="2"/>
        <v>0</v>
      </c>
      <c r="O52" s="1881">
        <f t="shared" si="2"/>
        <v>0</v>
      </c>
      <c r="P52" s="2124"/>
      <c r="Q52" s="2124"/>
      <c r="R52" s="1600"/>
      <c r="S52" s="1614"/>
      <c r="T52" s="1614"/>
      <c r="U52" s="1600"/>
      <c r="V52" s="1614"/>
      <c r="W52" s="1614"/>
      <c r="X52" s="1423">
        <f t="shared" si="3"/>
        <v>0</v>
      </c>
      <c r="Y52" s="1423"/>
      <c r="Z52" s="1423"/>
      <c r="AA52" s="1423"/>
    </row>
    <row r="53" spans="1:27" ht="43.5" hidden="1" customHeight="1">
      <c r="A53" s="2127">
        <f>A52+1</f>
        <v>16</v>
      </c>
      <c r="B53" s="1883" t="s">
        <v>1719</v>
      </c>
      <c r="C53" s="1880"/>
      <c r="D53" s="1602">
        <f>SUM(E53:F53)</f>
        <v>0</v>
      </c>
      <c r="E53" s="1615"/>
      <c r="F53" s="1615">
        <v>0</v>
      </c>
      <c r="G53" s="1602">
        <f>SUM(H53:I53)</f>
        <v>0</v>
      </c>
      <c r="H53" s="1616">
        <f t="shared" si="8"/>
        <v>0</v>
      </c>
      <c r="I53" s="1615">
        <v>0</v>
      </c>
      <c r="J53" s="1602">
        <f t="shared" si="10"/>
        <v>0</v>
      </c>
      <c r="K53" s="1615"/>
      <c r="L53" s="1615"/>
      <c r="M53" s="1604">
        <f t="shared" si="2"/>
        <v>0</v>
      </c>
      <c r="N53" s="1881">
        <f t="shared" si="2"/>
        <v>0</v>
      </c>
      <c r="O53" s="1881">
        <f t="shared" si="2"/>
        <v>0</v>
      </c>
      <c r="P53" s="2124"/>
      <c r="Q53" s="2124"/>
      <c r="R53" s="1600"/>
      <c r="S53" s="1614"/>
      <c r="T53" s="1614"/>
      <c r="U53" s="1600"/>
      <c r="V53" s="1614"/>
      <c r="W53" s="1614"/>
      <c r="X53" s="1423">
        <f t="shared" si="3"/>
        <v>0</v>
      </c>
      <c r="Y53" s="1423"/>
      <c r="Z53" s="1423"/>
      <c r="AA53" s="1423"/>
    </row>
    <row r="54" spans="1:27" ht="43.5" hidden="1" customHeight="1">
      <c r="A54" s="2127">
        <f>A53+1</f>
        <v>17</v>
      </c>
      <c r="B54" s="1883" t="s">
        <v>1720</v>
      </c>
      <c r="C54" s="1880"/>
      <c r="D54" s="1602">
        <f>SUM(E54:F54)</f>
        <v>0</v>
      </c>
      <c r="E54" s="1615"/>
      <c r="F54" s="1615">
        <v>0</v>
      </c>
      <c r="G54" s="1602">
        <f>SUM(H54:I54)</f>
        <v>0</v>
      </c>
      <c r="H54" s="1616">
        <f t="shared" si="8"/>
        <v>0</v>
      </c>
      <c r="I54" s="1615">
        <v>0</v>
      </c>
      <c r="J54" s="1602">
        <f t="shared" si="10"/>
        <v>0</v>
      </c>
      <c r="K54" s="1615"/>
      <c r="L54" s="1615"/>
      <c r="M54" s="1604">
        <f t="shared" si="2"/>
        <v>0</v>
      </c>
      <c r="N54" s="1881">
        <f t="shared" si="2"/>
        <v>0</v>
      </c>
      <c r="O54" s="1881">
        <f t="shared" si="2"/>
        <v>0</v>
      </c>
      <c r="P54" s="2124"/>
      <c r="Q54" s="2124"/>
      <c r="R54" s="1600"/>
      <c r="S54" s="1614"/>
      <c r="T54" s="1614"/>
      <c r="U54" s="1600"/>
      <c r="V54" s="1614"/>
      <c r="W54" s="1614"/>
      <c r="X54" s="1423">
        <f t="shared" si="3"/>
        <v>0</v>
      </c>
      <c r="Y54" s="1423"/>
      <c r="Z54" s="1423"/>
      <c r="AA54" s="1423"/>
    </row>
    <row r="55" spans="1:27" ht="54" customHeight="1">
      <c r="A55" s="2127">
        <f>A46+1</f>
        <v>12</v>
      </c>
      <c r="B55" s="1888" t="s">
        <v>1567</v>
      </c>
      <c r="C55" s="1866"/>
      <c r="D55" s="1602">
        <f t="shared" si="4"/>
        <v>3675.7</v>
      </c>
      <c r="E55" s="1615">
        <v>0</v>
      </c>
      <c r="F55" s="1615">
        <f>4725.9-1050.2</f>
        <v>3675.7</v>
      </c>
      <c r="G55" s="1602">
        <f t="shared" si="11"/>
        <v>3675.7</v>
      </c>
      <c r="H55" s="1616">
        <f t="shared" si="8"/>
        <v>0</v>
      </c>
      <c r="I55" s="1615">
        <f>4725.9-1050.2</f>
        <v>3675.7</v>
      </c>
      <c r="J55" s="1602">
        <f t="shared" si="10"/>
        <v>3675.7</v>
      </c>
      <c r="K55" s="1615">
        <v>0</v>
      </c>
      <c r="L55" s="1615">
        <v>3675.7</v>
      </c>
      <c r="M55" s="1604">
        <f t="shared" si="2"/>
        <v>100</v>
      </c>
      <c r="N55" s="1881">
        <f t="shared" si="2"/>
        <v>0</v>
      </c>
      <c r="O55" s="1881">
        <f t="shared" si="2"/>
        <v>100</v>
      </c>
      <c r="P55" s="2124"/>
      <c r="Q55" s="2124"/>
      <c r="R55" s="1600">
        <f t="shared" si="0"/>
        <v>0</v>
      </c>
      <c r="S55" s="1614">
        <v>0</v>
      </c>
      <c r="T55" s="1614">
        <v>0</v>
      </c>
      <c r="U55" s="1600">
        <f t="shared" si="9"/>
        <v>0</v>
      </c>
      <c r="V55" s="1614">
        <v>0</v>
      </c>
      <c r="W55" s="1614">
        <v>0</v>
      </c>
      <c r="X55" s="1423">
        <f t="shared" si="3"/>
        <v>0</v>
      </c>
      <c r="Y55" s="1423"/>
      <c r="Z55" s="1423"/>
      <c r="AA55" s="1423"/>
    </row>
    <row r="56" spans="1:27" s="1570" customFormat="1" ht="25.5" hidden="1" customHeight="1">
      <c r="A56" s="2127"/>
      <c r="B56" s="1884" t="s">
        <v>90</v>
      </c>
      <c r="C56" s="1880">
        <v>24366</v>
      </c>
      <c r="D56" s="1602">
        <f t="shared" si="4"/>
        <v>0</v>
      </c>
      <c r="E56" s="1603">
        <f>SUM(E57)</f>
        <v>0</v>
      </c>
      <c r="F56" s="2130">
        <f>SUM(F57)</f>
        <v>0</v>
      </c>
      <c r="G56" s="1600">
        <f t="shared" si="11"/>
        <v>0</v>
      </c>
      <c r="H56" s="2130">
        <f t="shared" si="8"/>
        <v>0</v>
      </c>
      <c r="I56" s="2130">
        <f t="shared" si="8"/>
        <v>0</v>
      </c>
      <c r="J56" s="1600">
        <f t="shared" si="10"/>
        <v>0</v>
      </c>
      <c r="K56" s="1603">
        <f>SUM(K57)</f>
        <v>0</v>
      </c>
      <c r="L56" s="1603">
        <f>SUM(L57)</f>
        <v>0</v>
      </c>
      <c r="M56" s="1604">
        <f t="shared" si="2"/>
        <v>0</v>
      </c>
      <c r="N56" s="1604">
        <f t="shared" si="2"/>
        <v>0</v>
      </c>
      <c r="O56" s="1604">
        <f t="shared" si="2"/>
        <v>0</v>
      </c>
      <c r="P56" s="2124" t="s">
        <v>353</v>
      </c>
      <c r="Q56" s="1612" t="s">
        <v>353</v>
      </c>
      <c r="R56" s="1600">
        <f t="shared" si="0"/>
        <v>0</v>
      </c>
      <c r="S56" s="1610">
        <f>SUM(S57:S57)</f>
        <v>0</v>
      </c>
      <c r="T56" s="1610">
        <f>SUM(T57:T57)</f>
        <v>0</v>
      </c>
      <c r="U56" s="1600">
        <f t="shared" si="9"/>
        <v>0</v>
      </c>
      <c r="V56" s="1610">
        <f>SUM(V57:V57)</f>
        <v>0</v>
      </c>
      <c r="W56" s="1610">
        <f>SUM(W57:W57)</f>
        <v>0</v>
      </c>
      <c r="X56" s="1423">
        <f t="shared" si="3"/>
        <v>0</v>
      </c>
      <c r="Y56" s="1423"/>
      <c r="Z56" s="1423"/>
      <c r="AA56" s="1423"/>
    </row>
    <row r="57" spans="1:27" ht="47.25" hidden="1" customHeight="1">
      <c r="A57" s="2127">
        <f>A55+1</f>
        <v>13</v>
      </c>
      <c r="B57" s="1879" t="s">
        <v>1404</v>
      </c>
      <c r="C57" s="1880">
        <v>24366</v>
      </c>
      <c r="D57" s="1602">
        <f t="shared" si="4"/>
        <v>0</v>
      </c>
      <c r="E57" s="1615"/>
      <c r="F57" s="1614">
        <v>0</v>
      </c>
      <c r="G57" s="1600">
        <f t="shared" si="11"/>
        <v>0</v>
      </c>
      <c r="H57" s="1608">
        <f>E57</f>
        <v>0</v>
      </c>
      <c r="I57" s="1608">
        <f>F57</f>
        <v>0</v>
      </c>
      <c r="J57" s="1600">
        <f t="shared" si="10"/>
        <v>0</v>
      </c>
      <c r="K57" s="1615"/>
      <c r="L57" s="1615">
        <v>0</v>
      </c>
      <c r="M57" s="1604">
        <f t="shared" si="2"/>
        <v>0</v>
      </c>
      <c r="N57" s="1881">
        <f t="shared" si="2"/>
        <v>0</v>
      </c>
      <c r="O57" s="1881">
        <f t="shared" si="2"/>
        <v>0</v>
      </c>
      <c r="P57" s="2124" t="s">
        <v>1171</v>
      </c>
      <c r="Q57" s="2124" t="s">
        <v>1111</v>
      </c>
      <c r="R57" s="1600">
        <f t="shared" si="0"/>
        <v>0</v>
      </c>
      <c r="S57" s="1614">
        <v>0</v>
      </c>
      <c r="T57" s="1614">
        <v>0</v>
      </c>
      <c r="U57" s="1600">
        <f t="shared" si="9"/>
        <v>0</v>
      </c>
      <c r="V57" s="1614">
        <v>0</v>
      </c>
      <c r="W57" s="1614">
        <v>0</v>
      </c>
      <c r="X57" s="1423">
        <f t="shared" si="3"/>
        <v>0</v>
      </c>
      <c r="Y57" s="1423"/>
      <c r="Z57" s="1423"/>
      <c r="AA57" s="1423"/>
    </row>
    <row r="58" spans="1:27" s="1607" customFormat="1" ht="18.75" customHeight="1">
      <c r="A58" s="2127"/>
      <c r="B58" s="2126" t="s">
        <v>1401</v>
      </c>
      <c r="C58" s="1882">
        <v>24366</v>
      </c>
      <c r="D58" s="1603">
        <f t="shared" si="4"/>
        <v>772.5</v>
      </c>
      <c r="E58" s="1603">
        <f>SUM(E59:E60)</f>
        <v>0</v>
      </c>
      <c r="F58" s="2130">
        <f>SUM(F59:F60)</f>
        <v>772.5</v>
      </c>
      <c r="G58" s="2130">
        <f t="shared" si="11"/>
        <v>772.5</v>
      </c>
      <c r="H58" s="2130">
        <f t="shared" si="8"/>
        <v>0</v>
      </c>
      <c r="I58" s="2130">
        <f t="shared" si="8"/>
        <v>772.5</v>
      </c>
      <c r="J58" s="2130">
        <f t="shared" si="10"/>
        <v>772.5</v>
      </c>
      <c r="K58" s="1603">
        <f>SUM(K59:K60)</f>
        <v>0</v>
      </c>
      <c r="L58" s="1603">
        <f>SUM(L59:L60)</f>
        <v>772.5</v>
      </c>
      <c r="M58" s="2130">
        <f t="shared" si="2"/>
        <v>100</v>
      </c>
      <c r="N58" s="2130">
        <f t="shared" si="2"/>
        <v>0</v>
      </c>
      <c r="O58" s="2130">
        <f t="shared" si="2"/>
        <v>100</v>
      </c>
      <c r="P58" s="2124" t="s">
        <v>353</v>
      </c>
      <c r="Q58" s="2124" t="s">
        <v>353</v>
      </c>
      <c r="R58" s="1603">
        <f t="shared" si="0"/>
        <v>0</v>
      </c>
      <c r="S58" s="1603">
        <f>SUM(S59:S60)</f>
        <v>0</v>
      </c>
      <c r="T58" s="1603">
        <f>SUM(T59:T60)</f>
        <v>0</v>
      </c>
      <c r="U58" s="1603">
        <f t="shared" si="9"/>
        <v>0</v>
      </c>
      <c r="V58" s="1603">
        <f>SUM(V59:V60)</f>
        <v>0</v>
      </c>
      <c r="W58" s="1603">
        <f>SUM(W59:W60)</f>
        <v>0</v>
      </c>
      <c r="X58" s="1423">
        <f t="shared" si="3"/>
        <v>0</v>
      </c>
      <c r="Y58" s="1423"/>
      <c r="Z58" s="1423"/>
      <c r="AA58" s="1423"/>
    </row>
    <row r="59" spans="1:27" s="1607" customFormat="1" ht="23.25" hidden="1" customHeight="1">
      <c r="A59" s="2127">
        <f>A57+1</f>
        <v>14</v>
      </c>
      <c r="B59" s="521" t="s">
        <v>1518</v>
      </c>
      <c r="C59" s="1882">
        <v>24366</v>
      </c>
      <c r="D59" s="1602">
        <f t="shared" si="4"/>
        <v>0</v>
      </c>
      <c r="E59" s="1616"/>
      <c r="F59" s="1608">
        <v>0</v>
      </c>
      <c r="G59" s="1600">
        <f t="shared" si="11"/>
        <v>0</v>
      </c>
      <c r="H59" s="1608">
        <f>E59</f>
        <v>0</v>
      </c>
      <c r="I59" s="1608">
        <v>0</v>
      </c>
      <c r="J59" s="1600">
        <f t="shared" si="10"/>
        <v>0</v>
      </c>
      <c r="K59" s="1616"/>
      <c r="L59" s="1616"/>
      <c r="M59" s="1604">
        <f t="shared" si="2"/>
        <v>0</v>
      </c>
      <c r="N59" s="1881">
        <f t="shared" si="2"/>
        <v>0</v>
      </c>
      <c r="O59" s="1881">
        <f t="shared" si="2"/>
        <v>0</v>
      </c>
      <c r="P59" s="2124" t="s">
        <v>1171</v>
      </c>
      <c r="Q59" s="2124" t="s">
        <v>1116</v>
      </c>
      <c r="R59" s="1600">
        <f t="shared" si="0"/>
        <v>0</v>
      </c>
      <c r="S59" s="1608">
        <v>0</v>
      </c>
      <c r="T59" s="1608">
        <v>0</v>
      </c>
      <c r="U59" s="1600">
        <f t="shared" si="9"/>
        <v>0</v>
      </c>
      <c r="V59" s="1608">
        <v>0</v>
      </c>
      <c r="W59" s="1608">
        <v>0</v>
      </c>
      <c r="X59" s="1423">
        <f t="shared" si="3"/>
        <v>0</v>
      </c>
      <c r="Y59" s="1423"/>
      <c r="Z59" s="1423"/>
      <c r="AA59" s="1423"/>
    </row>
    <row r="60" spans="1:27" ht="78" customHeight="1">
      <c r="A60" s="2127">
        <f>A55+1</f>
        <v>13</v>
      </c>
      <c r="B60" s="1879" t="s">
        <v>434</v>
      </c>
      <c r="C60" s="1880"/>
      <c r="D60" s="1602">
        <f t="shared" si="4"/>
        <v>772.5</v>
      </c>
      <c r="E60" s="1616">
        <v>0</v>
      </c>
      <c r="F60" s="1616">
        <f>845-72.5</f>
        <v>772.5</v>
      </c>
      <c r="G60" s="1602">
        <f t="shared" si="11"/>
        <v>772.5</v>
      </c>
      <c r="H60" s="1616">
        <f>E60</f>
        <v>0</v>
      </c>
      <c r="I60" s="1616">
        <f>F60</f>
        <v>772.5</v>
      </c>
      <c r="J60" s="1602">
        <f t="shared" si="10"/>
        <v>772.5</v>
      </c>
      <c r="K60" s="1616">
        <v>0</v>
      </c>
      <c r="L60" s="1616">
        <v>772.5</v>
      </c>
      <c r="M60" s="1604">
        <f t="shared" si="2"/>
        <v>100</v>
      </c>
      <c r="N60" s="1881">
        <f t="shared" si="2"/>
        <v>0</v>
      </c>
      <c r="O60" s="1881">
        <f t="shared" si="2"/>
        <v>100</v>
      </c>
      <c r="P60" s="1599"/>
      <c r="Q60" s="1599"/>
      <c r="R60" s="1600">
        <f t="shared" si="0"/>
        <v>0</v>
      </c>
      <c r="S60" s="1619">
        <v>0</v>
      </c>
      <c r="T60" s="1619">
        <v>0</v>
      </c>
      <c r="U60" s="1600">
        <f t="shared" si="9"/>
        <v>0</v>
      </c>
      <c r="V60" s="1619">
        <v>0</v>
      </c>
      <c r="W60" s="1619">
        <v>0</v>
      </c>
      <c r="X60" s="1423">
        <f t="shared" si="3"/>
        <v>0</v>
      </c>
      <c r="Y60" s="1423"/>
      <c r="Z60" s="1423"/>
      <c r="AA60" s="1423"/>
    </row>
    <row r="61" spans="1:27" s="1607" customFormat="1" ht="23.25" hidden="1" customHeight="1">
      <c r="A61" s="2127"/>
      <c r="B61" s="2126" t="s">
        <v>1554</v>
      </c>
      <c r="C61" s="1882"/>
      <c r="D61" s="1602">
        <f t="shared" si="4"/>
        <v>0</v>
      </c>
      <c r="E61" s="1603">
        <f>SUM(E62:E63)</f>
        <v>0</v>
      </c>
      <c r="F61" s="1603">
        <f>SUM(F62:F63)</f>
        <v>0</v>
      </c>
      <c r="G61" s="1602">
        <f t="shared" si="11"/>
        <v>0</v>
      </c>
      <c r="H61" s="1603">
        <f t="shared" si="8"/>
        <v>0</v>
      </c>
      <c r="I61" s="1603">
        <f t="shared" si="8"/>
        <v>0</v>
      </c>
      <c r="J61" s="1602">
        <f t="shared" si="10"/>
        <v>0</v>
      </c>
      <c r="K61" s="1603">
        <f>SUM(K62:K63)</f>
        <v>0</v>
      </c>
      <c r="L61" s="1603">
        <f>SUM(L62:L63)</f>
        <v>0</v>
      </c>
      <c r="M61" s="2130">
        <f t="shared" si="2"/>
        <v>0</v>
      </c>
      <c r="N61" s="2130">
        <f t="shared" si="2"/>
        <v>0</v>
      </c>
      <c r="O61" s="2130">
        <f t="shared" si="2"/>
        <v>0</v>
      </c>
      <c r="P61" s="2124"/>
      <c r="Q61" s="2124"/>
      <c r="R61" s="1602">
        <f t="shared" si="0"/>
        <v>0</v>
      </c>
      <c r="S61" s="1603">
        <f>SUM(S62:S63)</f>
        <v>0</v>
      </c>
      <c r="T61" s="1603">
        <f>SUM(T62:T63)</f>
        <v>0</v>
      </c>
      <c r="U61" s="1602">
        <f t="shared" si="9"/>
        <v>0</v>
      </c>
      <c r="V61" s="1603">
        <f>SUM(V62:V63)</f>
        <v>0</v>
      </c>
      <c r="W61" s="1603">
        <f>SUM(W62:W63)</f>
        <v>0</v>
      </c>
      <c r="X61" s="1423">
        <f t="shared" si="3"/>
        <v>0</v>
      </c>
      <c r="Y61" s="1423"/>
      <c r="Z61" s="1423"/>
      <c r="AA61" s="1423"/>
    </row>
    <row r="62" spans="1:27" s="1607" customFormat="1" ht="84.75" hidden="1" customHeight="1">
      <c r="A62" s="2127">
        <f>A60+1</f>
        <v>14</v>
      </c>
      <c r="B62" s="521" t="s">
        <v>1555</v>
      </c>
      <c r="C62" s="1882"/>
      <c r="D62" s="1602">
        <f t="shared" si="4"/>
        <v>0</v>
      </c>
      <c r="E62" s="1616"/>
      <c r="F62" s="1616">
        <v>0</v>
      </c>
      <c r="G62" s="1602">
        <f t="shared" si="11"/>
        <v>0</v>
      </c>
      <c r="H62" s="1616">
        <f t="shared" si="8"/>
        <v>0</v>
      </c>
      <c r="I62" s="1616">
        <f t="shared" si="8"/>
        <v>0</v>
      </c>
      <c r="J62" s="1602">
        <f t="shared" si="10"/>
        <v>0</v>
      </c>
      <c r="K62" s="1616"/>
      <c r="L62" s="1616"/>
      <c r="M62" s="1604">
        <f t="shared" si="2"/>
        <v>0</v>
      </c>
      <c r="N62" s="1881">
        <f t="shared" si="2"/>
        <v>0</v>
      </c>
      <c r="O62" s="1881">
        <f t="shared" si="2"/>
        <v>0</v>
      </c>
      <c r="P62" s="2124"/>
      <c r="Q62" s="2124"/>
      <c r="R62" s="1600">
        <f>S62+T62</f>
        <v>0</v>
      </c>
      <c r="S62" s="1608">
        <v>0</v>
      </c>
      <c r="T62" s="1608">
        <v>0</v>
      </c>
      <c r="U62" s="1600">
        <f>V62+W62</f>
        <v>0</v>
      </c>
      <c r="V62" s="1608">
        <v>0</v>
      </c>
      <c r="W62" s="1608">
        <v>0</v>
      </c>
      <c r="X62" s="1423">
        <f t="shared" si="3"/>
        <v>0</v>
      </c>
      <c r="Y62" s="1423"/>
      <c r="Z62" s="1423"/>
      <c r="AA62" s="1423"/>
    </row>
    <row r="63" spans="1:27" s="1607" customFormat="1" ht="41.25" hidden="1" customHeight="1">
      <c r="A63" s="2127">
        <f>A62+1</f>
        <v>15</v>
      </c>
      <c r="B63" s="521" t="s">
        <v>1556</v>
      </c>
      <c r="C63" s="1882"/>
      <c r="D63" s="1602">
        <f t="shared" si="4"/>
        <v>0</v>
      </c>
      <c r="E63" s="1616"/>
      <c r="F63" s="1616">
        <v>0</v>
      </c>
      <c r="G63" s="1602">
        <f t="shared" si="11"/>
        <v>0</v>
      </c>
      <c r="H63" s="1616">
        <f t="shared" si="8"/>
        <v>0</v>
      </c>
      <c r="I63" s="1616">
        <f t="shared" si="8"/>
        <v>0</v>
      </c>
      <c r="J63" s="1602">
        <f t="shared" si="10"/>
        <v>0</v>
      </c>
      <c r="K63" s="1616"/>
      <c r="L63" s="1616"/>
      <c r="M63" s="1604">
        <f t="shared" si="2"/>
        <v>0</v>
      </c>
      <c r="N63" s="1881">
        <f t="shared" si="2"/>
        <v>0</v>
      </c>
      <c r="O63" s="1881">
        <f t="shared" si="2"/>
        <v>0</v>
      </c>
      <c r="P63" s="2124"/>
      <c r="Q63" s="2124"/>
      <c r="R63" s="1600">
        <f>S63+T63</f>
        <v>0</v>
      </c>
      <c r="S63" s="1608">
        <v>0</v>
      </c>
      <c r="T63" s="1608">
        <v>0</v>
      </c>
      <c r="U63" s="1600">
        <f>V63+W63</f>
        <v>0</v>
      </c>
      <c r="V63" s="1608">
        <v>0</v>
      </c>
      <c r="W63" s="1608">
        <v>0</v>
      </c>
      <c r="X63" s="1423">
        <f t="shared" si="3"/>
        <v>0</v>
      </c>
      <c r="Y63" s="1423"/>
      <c r="Z63" s="1423"/>
      <c r="AA63" s="1423"/>
    </row>
    <row r="64" spans="1:27" ht="27" customHeight="1">
      <c r="A64" s="2127"/>
      <c r="B64" s="2126" t="s">
        <v>457</v>
      </c>
      <c r="C64" s="2128"/>
      <c r="D64" s="1602">
        <f t="shared" si="4"/>
        <v>3942</v>
      </c>
      <c r="E64" s="1603">
        <f>SUM(E65:E69)</f>
        <v>0</v>
      </c>
      <c r="F64" s="1603">
        <f>SUM(F65:F69)</f>
        <v>3942</v>
      </c>
      <c r="G64" s="1602">
        <f t="shared" si="11"/>
        <v>3942</v>
      </c>
      <c r="H64" s="1603">
        <f t="shared" si="8"/>
        <v>0</v>
      </c>
      <c r="I64" s="1603">
        <f>SUBTOTAL(9,I65:I67)</f>
        <v>3942</v>
      </c>
      <c r="J64" s="1602">
        <f t="shared" si="10"/>
        <v>3942</v>
      </c>
      <c r="K64" s="1603">
        <f>SUM(K65:K69)</f>
        <v>0</v>
      </c>
      <c r="L64" s="1603">
        <f>SUM(L65:L69)</f>
        <v>3942</v>
      </c>
      <c r="M64" s="1604">
        <f t="shared" si="2"/>
        <v>100</v>
      </c>
      <c r="N64" s="1881">
        <f t="shared" si="2"/>
        <v>0</v>
      </c>
      <c r="O64" s="1881">
        <f t="shared" si="2"/>
        <v>100</v>
      </c>
      <c r="P64" s="2124" t="s">
        <v>353</v>
      </c>
      <c r="Q64" s="2124" t="s">
        <v>353</v>
      </c>
      <c r="R64" s="1602">
        <f t="shared" ref="R64:R75" si="12">SUM(S64:T64)</f>
        <v>10700</v>
      </c>
      <c r="S64" s="1603">
        <f>SUM(S65:S69)</f>
        <v>0</v>
      </c>
      <c r="T64" s="1603">
        <f>SUM(T65:T69)</f>
        <v>10700</v>
      </c>
      <c r="U64" s="1602">
        <f t="shared" ref="U64:U75" si="13">SUM(V64:W64)</f>
        <v>0</v>
      </c>
      <c r="V64" s="1603">
        <f>SUM(V65:V69)</f>
        <v>0</v>
      </c>
      <c r="W64" s="1603">
        <f>SUM(W65:W69)</f>
        <v>0</v>
      </c>
      <c r="X64" s="1423">
        <f t="shared" si="3"/>
        <v>0</v>
      </c>
      <c r="Y64" s="1423"/>
      <c r="Z64" s="1423"/>
      <c r="AA64" s="1423"/>
    </row>
    <row r="65" spans="1:27" ht="89.25" hidden="1" customHeight="1">
      <c r="A65" s="2127">
        <f>A63+1</f>
        <v>16</v>
      </c>
      <c r="B65" s="1879" t="s">
        <v>1419</v>
      </c>
      <c r="C65" s="1880">
        <v>24347</v>
      </c>
      <c r="D65" s="1602">
        <f t="shared" si="4"/>
        <v>0</v>
      </c>
      <c r="E65" s="1616"/>
      <c r="F65" s="1616">
        <v>0</v>
      </c>
      <c r="G65" s="1602">
        <f t="shared" si="11"/>
        <v>0</v>
      </c>
      <c r="H65" s="1616">
        <f t="shared" si="8"/>
        <v>0</v>
      </c>
      <c r="I65" s="1616">
        <v>0</v>
      </c>
      <c r="J65" s="1602">
        <f t="shared" si="10"/>
        <v>0</v>
      </c>
      <c r="K65" s="1616"/>
      <c r="L65" s="1616"/>
      <c r="M65" s="1604">
        <f t="shared" si="2"/>
        <v>0</v>
      </c>
      <c r="N65" s="1881">
        <f t="shared" si="2"/>
        <v>0</v>
      </c>
      <c r="O65" s="1881">
        <f t="shared" si="2"/>
        <v>0</v>
      </c>
      <c r="P65" s="2124" t="s">
        <v>1171</v>
      </c>
      <c r="Q65" s="2124" t="s">
        <v>1137</v>
      </c>
      <c r="R65" s="1600">
        <f t="shared" si="12"/>
        <v>0</v>
      </c>
      <c r="S65" s="1608">
        <v>0</v>
      </c>
      <c r="T65" s="1608">
        <v>0</v>
      </c>
      <c r="U65" s="1600">
        <f t="shared" si="13"/>
        <v>0</v>
      </c>
      <c r="V65" s="1608">
        <v>0</v>
      </c>
      <c r="W65" s="1608">
        <v>0</v>
      </c>
      <c r="X65" s="1423">
        <f t="shared" si="3"/>
        <v>0</v>
      </c>
      <c r="Y65" s="1423"/>
      <c r="Z65" s="1423"/>
      <c r="AA65" s="1423"/>
    </row>
    <row r="66" spans="1:27" ht="82.5" customHeight="1">
      <c r="A66" s="2127">
        <f>A60+1</f>
        <v>14</v>
      </c>
      <c r="B66" s="1879" t="s">
        <v>1417</v>
      </c>
      <c r="C66" s="1880">
        <v>24347</v>
      </c>
      <c r="D66" s="1602">
        <f t="shared" si="4"/>
        <v>3942</v>
      </c>
      <c r="E66" s="1616"/>
      <c r="F66" s="1616">
        <f>7000-3058</f>
        <v>3942</v>
      </c>
      <c r="G66" s="1602">
        <f t="shared" si="11"/>
        <v>3942</v>
      </c>
      <c r="H66" s="1616">
        <f t="shared" si="8"/>
        <v>0</v>
      </c>
      <c r="I66" s="1616">
        <f t="shared" si="8"/>
        <v>3942</v>
      </c>
      <c r="J66" s="1602">
        <f t="shared" si="10"/>
        <v>3942</v>
      </c>
      <c r="K66" s="1616"/>
      <c r="L66" s="1616">
        <v>3942</v>
      </c>
      <c r="M66" s="1604">
        <f t="shared" si="2"/>
        <v>100</v>
      </c>
      <c r="N66" s="1881">
        <f t="shared" si="2"/>
        <v>0</v>
      </c>
      <c r="O66" s="1881">
        <f t="shared" si="2"/>
        <v>100</v>
      </c>
      <c r="P66" s="2124" t="s">
        <v>1171</v>
      </c>
      <c r="Q66" s="2124" t="s">
        <v>1137</v>
      </c>
      <c r="R66" s="1600">
        <f t="shared" si="12"/>
        <v>0</v>
      </c>
      <c r="S66" s="1608">
        <v>0</v>
      </c>
      <c r="T66" s="1608">
        <v>0</v>
      </c>
      <c r="U66" s="1600">
        <f t="shared" si="13"/>
        <v>0</v>
      </c>
      <c r="V66" s="1608">
        <v>0</v>
      </c>
      <c r="W66" s="1608">
        <v>0</v>
      </c>
      <c r="X66" s="1423">
        <f t="shared" si="3"/>
        <v>0</v>
      </c>
      <c r="Y66" s="1423"/>
      <c r="Z66" s="1423"/>
      <c r="AA66" s="1423"/>
    </row>
    <row r="67" spans="1:27" ht="99.75" hidden="1" customHeight="1">
      <c r="A67" s="2127">
        <f>A66+1</f>
        <v>15</v>
      </c>
      <c r="B67" s="1879" t="s">
        <v>1418</v>
      </c>
      <c r="C67" s="1880">
        <v>24347</v>
      </c>
      <c r="D67" s="1602">
        <f t="shared" si="4"/>
        <v>0</v>
      </c>
      <c r="E67" s="1616"/>
      <c r="F67" s="1616">
        <v>0</v>
      </c>
      <c r="G67" s="1602">
        <f t="shared" si="11"/>
        <v>0</v>
      </c>
      <c r="H67" s="1616">
        <f t="shared" si="8"/>
        <v>0</v>
      </c>
      <c r="I67" s="1616">
        <v>0</v>
      </c>
      <c r="J67" s="1602">
        <f t="shared" si="10"/>
        <v>0</v>
      </c>
      <c r="K67" s="1616"/>
      <c r="L67" s="1616"/>
      <c r="M67" s="1604">
        <f t="shared" si="2"/>
        <v>0</v>
      </c>
      <c r="N67" s="1881">
        <f t="shared" si="2"/>
        <v>0</v>
      </c>
      <c r="O67" s="1881">
        <f t="shared" si="2"/>
        <v>0</v>
      </c>
      <c r="P67" s="2124" t="s">
        <v>1171</v>
      </c>
      <c r="Q67" s="2124" t="s">
        <v>1137</v>
      </c>
      <c r="R67" s="1600">
        <f t="shared" si="12"/>
        <v>0</v>
      </c>
      <c r="S67" s="1608">
        <v>0</v>
      </c>
      <c r="T67" s="1608">
        <v>0</v>
      </c>
      <c r="U67" s="1600">
        <f t="shared" si="13"/>
        <v>0</v>
      </c>
      <c r="V67" s="1608">
        <v>0</v>
      </c>
      <c r="W67" s="1608">
        <v>0</v>
      </c>
      <c r="X67" s="1423">
        <f t="shared" si="3"/>
        <v>0</v>
      </c>
      <c r="Y67" s="1423"/>
      <c r="Z67" s="1423"/>
      <c r="AA67" s="1423"/>
    </row>
    <row r="68" spans="1:27" ht="97.5" hidden="1" customHeight="1">
      <c r="A68" s="2127"/>
      <c r="B68" s="1895" t="s">
        <v>1415</v>
      </c>
      <c r="C68" s="1882">
        <v>24355</v>
      </c>
      <c r="D68" s="1602">
        <f t="shared" si="4"/>
        <v>0</v>
      </c>
      <c r="E68" s="1616"/>
      <c r="F68" s="1616">
        <v>0</v>
      </c>
      <c r="G68" s="1602">
        <f t="shared" si="11"/>
        <v>0</v>
      </c>
      <c r="H68" s="1616">
        <f t="shared" si="8"/>
        <v>0</v>
      </c>
      <c r="I68" s="1616">
        <f t="shared" si="8"/>
        <v>0</v>
      </c>
      <c r="J68" s="1602">
        <f t="shared" si="10"/>
        <v>0</v>
      </c>
      <c r="K68" s="1616"/>
      <c r="L68" s="1616"/>
      <c r="M68" s="1604">
        <f t="shared" si="2"/>
        <v>0</v>
      </c>
      <c r="N68" s="1881">
        <f t="shared" si="2"/>
        <v>0</v>
      </c>
      <c r="O68" s="1881">
        <f t="shared" si="2"/>
        <v>0</v>
      </c>
      <c r="P68" s="2124" t="s">
        <v>1171</v>
      </c>
      <c r="Q68" s="2550" t="s">
        <v>1138</v>
      </c>
      <c r="R68" s="1600">
        <f t="shared" si="12"/>
        <v>4720</v>
      </c>
      <c r="S68" s="1608">
        <v>0</v>
      </c>
      <c r="T68" s="1608">
        <v>4720</v>
      </c>
      <c r="U68" s="1600">
        <f t="shared" si="13"/>
        <v>0</v>
      </c>
      <c r="V68" s="1608">
        <v>0</v>
      </c>
      <c r="W68" s="1608">
        <v>0</v>
      </c>
      <c r="X68" s="1423">
        <f t="shared" si="3"/>
        <v>0</v>
      </c>
      <c r="Y68" s="1423"/>
      <c r="Z68" s="1423"/>
      <c r="AA68" s="1423"/>
    </row>
    <row r="69" spans="1:27" ht="98.25" hidden="1" customHeight="1">
      <c r="A69" s="2127"/>
      <c r="B69" s="1895" t="s">
        <v>1416</v>
      </c>
      <c r="C69" s="1882">
        <v>24355</v>
      </c>
      <c r="D69" s="1602">
        <f t="shared" si="4"/>
        <v>0</v>
      </c>
      <c r="E69" s="1616"/>
      <c r="F69" s="1616">
        <v>0</v>
      </c>
      <c r="G69" s="1602">
        <f t="shared" si="11"/>
        <v>0</v>
      </c>
      <c r="H69" s="1616">
        <f t="shared" si="8"/>
        <v>0</v>
      </c>
      <c r="I69" s="1616">
        <f t="shared" si="8"/>
        <v>0</v>
      </c>
      <c r="J69" s="1602">
        <f t="shared" si="10"/>
        <v>0</v>
      </c>
      <c r="K69" s="1616"/>
      <c r="L69" s="1616"/>
      <c r="M69" s="1604">
        <f t="shared" si="2"/>
        <v>0</v>
      </c>
      <c r="N69" s="1881">
        <f t="shared" si="2"/>
        <v>0</v>
      </c>
      <c r="O69" s="1881">
        <f t="shared" si="2"/>
        <v>0</v>
      </c>
      <c r="P69" s="2124" t="s">
        <v>1171</v>
      </c>
      <c r="Q69" s="2550"/>
      <c r="R69" s="1600">
        <f t="shared" si="12"/>
        <v>5980</v>
      </c>
      <c r="S69" s="1608">
        <v>0</v>
      </c>
      <c r="T69" s="1608">
        <v>5980</v>
      </c>
      <c r="U69" s="1600">
        <f t="shared" si="13"/>
        <v>0</v>
      </c>
      <c r="V69" s="1608">
        <v>0</v>
      </c>
      <c r="W69" s="1608">
        <v>0</v>
      </c>
      <c r="X69" s="1423">
        <f t="shared" si="3"/>
        <v>0</v>
      </c>
      <c r="Y69" s="1423"/>
      <c r="Z69" s="1423"/>
      <c r="AA69" s="1423"/>
    </row>
    <row r="70" spans="1:27" s="1607" customFormat="1" ht="24" customHeight="1">
      <c r="A70" s="2127"/>
      <c r="B70" s="2126" t="s">
        <v>1400</v>
      </c>
      <c r="C70" s="2128"/>
      <c r="D70" s="1602">
        <f t="shared" si="4"/>
        <v>20093.599999999999</v>
      </c>
      <c r="E70" s="1603">
        <f>SUM(E72:E74)</f>
        <v>0</v>
      </c>
      <c r="F70" s="1603">
        <f>SUM(F71:F74)</f>
        <v>20093.599999999999</v>
      </c>
      <c r="G70" s="1602">
        <f t="shared" si="11"/>
        <v>20093.599999999999</v>
      </c>
      <c r="H70" s="1603">
        <f t="shared" si="8"/>
        <v>0</v>
      </c>
      <c r="I70" s="1603">
        <f t="shared" si="8"/>
        <v>20093.599999999999</v>
      </c>
      <c r="J70" s="1602">
        <f t="shared" si="10"/>
        <v>0</v>
      </c>
      <c r="K70" s="1603">
        <f>SUM(K72:K74)</f>
        <v>0</v>
      </c>
      <c r="L70" s="1603">
        <f>SUM(L72:L74)</f>
        <v>0</v>
      </c>
      <c r="M70" s="1604">
        <f t="shared" si="2"/>
        <v>0</v>
      </c>
      <c r="N70" s="1881">
        <f t="shared" si="2"/>
        <v>0</v>
      </c>
      <c r="O70" s="1881">
        <f t="shared" si="2"/>
        <v>0</v>
      </c>
      <c r="P70" s="2124" t="s">
        <v>353</v>
      </c>
      <c r="Q70" s="2124" t="s">
        <v>353</v>
      </c>
      <c r="R70" s="1602">
        <f t="shared" si="12"/>
        <v>0</v>
      </c>
      <c r="S70" s="1603">
        <f>SUM(S72:S74)</f>
        <v>0</v>
      </c>
      <c r="T70" s="1603">
        <f>SUM(T72:T74)</f>
        <v>0</v>
      </c>
      <c r="U70" s="1602">
        <f t="shared" si="13"/>
        <v>0</v>
      </c>
      <c r="V70" s="1603">
        <f>SUM(V72:V74)</f>
        <v>0</v>
      </c>
      <c r="W70" s="1603">
        <f>SUM(W72:W74)</f>
        <v>0</v>
      </c>
      <c r="X70" s="1423">
        <f t="shared" si="3"/>
        <v>0</v>
      </c>
      <c r="Y70" s="1423"/>
      <c r="Z70" s="1423"/>
      <c r="AA70" s="1423"/>
    </row>
    <row r="71" spans="1:27" s="1607" customFormat="1" ht="42.75" hidden="1" customHeight="1">
      <c r="A71" s="2127">
        <f>A67+1</f>
        <v>16</v>
      </c>
      <c r="B71" s="1889" t="s">
        <v>1706</v>
      </c>
      <c r="C71" s="2128"/>
      <c r="D71" s="1600">
        <f>SUM(E71:F71)</f>
        <v>0</v>
      </c>
      <c r="E71" s="1608"/>
      <c r="F71" s="1608">
        <v>0</v>
      </c>
      <c r="G71" s="1600">
        <f>SUM(H71:I71)</f>
        <v>0</v>
      </c>
      <c r="H71" s="1608">
        <f t="shared" si="8"/>
        <v>0</v>
      </c>
      <c r="I71" s="1608">
        <f t="shared" si="8"/>
        <v>0</v>
      </c>
      <c r="J71" s="1600">
        <f>SUM(K71:L71)</f>
        <v>0</v>
      </c>
      <c r="K71" s="1616"/>
      <c r="L71" s="1616"/>
      <c r="M71" s="1604">
        <f t="shared" si="2"/>
        <v>0</v>
      </c>
      <c r="N71" s="1881">
        <f t="shared" si="2"/>
        <v>0</v>
      </c>
      <c r="O71" s="1881">
        <f t="shared" si="2"/>
        <v>0</v>
      </c>
      <c r="P71" s="2124"/>
      <c r="Q71" s="2124"/>
      <c r="R71" s="1602"/>
      <c r="S71" s="1603"/>
      <c r="T71" s="1603"/>
      <c r="U71" s="1602"/>
      <c r="V71" s="1603"/>
      <c r="W71" s="1603"/>
      <c r="X71" s="1423">
        <f t="shared" si="3"/>
        <v>0</v>
      </c>
      <c r="Y71" s="1423"/>
      <c r="Z71" s="1423"/>
      <c r="AA71" s="1423"/>
    </row>
    <row r="72" spans="1:27" s="1607" customFormat="1" ht="42" hidden="1" customHeight="1">
      <c r="A72" s="2127">
        <f>A71+1</f>
        <v>17</v>
      </c>
      <c r="B72" s="521" t="s">
        <v>1398</v>
      </c>
      <c r="C72" s="1882">
        <v>24366</v>
      </c>
      <c r="D72" s="1600">
        <f t="shared" si="4"/>
        <v>0</v>
      </c>
      <c r="E72" s="1608"/>
      <c r="F72" s="1608">
        <v>0</v>
      </c>
      <c r="G72" s="1600">
        <f t="shared" si="11"/>
        <v>0</v>
      </c>
      <c r="H72" s="1608">
        <f t="shared" si="8"/>
        <v>0</v>
      </c>
      <c r="I72" s="1608">
        <f t="shared" si="8"/>
        <v>0</v>
      </c>
      <c r="J72" s="1600">
        <f t="shared" si="10"/>
        <v>0</v>
      </c>
      <c r="K72" s="1616"/>
      <c r="L72" s="1616"/>
      <c r="M72" s="1604">
        <f t="shared" si="2"/>
        <v>0</v>
      </c>
      <c r="N72" s="1881">
        <f t="shared" si="2"/>
        <v>0</v>
      </c>
      <c r="O72" s="1881">
        <f t="shared" si="2"/>
        <v>0</v>
      </c>
      <c r="P72" s="2124" t="s">
        <v>1171</v>
      </c>
      <c r="Q72" s="2124" t="s">
        <v>1116</v>
      </c>
      <c r="R72" s="1600">
        <f t="shared" si="12"/>
        <v>0</v>
      </c>
      <c r="S72" s="1608">
        <v>0</v>
      </c>
      <c r="T72" s="1608">
        <v>0</v>
      </c>
      <c r="U72" s="1600">
        <f t="shared" si="13"/>
        <v>0</v>
      </c>
      <c r="V72" s="1608">
        <v>0</v>
      </c>
      <c r="W72" s="1608">
        <v>0</v>
      </c>
      <c r="X72" s="1423">
        <f t="shared" si="3"/>
        <v>0</v>
      </c>
      <c r="Y72" s="1423"/>
      <c r="Z72" s="1423"/>
      <c r="AA72" s="1423"/>
    </row>
    <row r="73" spans="1:27" s="1607" customFormat="1" ht="30.75" customHeight="1">
      <c r="A73" s="2127">
        <f>A66+1</f>
        <v>15</v>
      </c>
      <c r="B73" s="521" t="s">
        <v>1413</v>
      </c>
      <c r="C73" s="1882">
        <v>24366</v>
      </c>
      <c r="D73" s="1602">
        <f t="shared" si="4"/>
        <v>6338.1</v>
      </c>
      <c r="E73" s="1616"/>
      <c r="F73" s="1616">
        <v>6338.1</v>
      </c>
      <c r="G73" s="1602">
        <f t="shared" si="11"/>
        <v>6338.1</v>
      </c>
      <c r="H73" s="1616">
        <f t="shared" si="8"/>
        <v>0</v>
      </c>
      <c r="I73" s="1616">
        <f t="shared" si="8"/>
        <v>6338.1</v>
      </c>
      <c r="J73" s="1602">
        <f t="shared" si="10"/>
        <v>0</v>
      </c>
      <c r="K73" s="1616"/>
      <c r="L73" s="1616"/>
      <c r="M73" s="1604">
        <f t="shared" si="2"/>
        <v>0</v>
      </c>
      <c r="N73" s="1881">
        <f t="shared" si="2"/>
        <v>0</v>
      </c>
      <c r="O73" s="1881">
        <f t="shared" si="2"/>
        <v>0</v>
      </c>
      <c r="P73" s="2124" t="s">
        <v>1171</v>
      </c>
      <c r="Q73" s="2124" t="s">
        <v>1116</v>
      </c>
      <c r="R73" s="1600">
        <f t="shared" si="12"/>
        <v>0</v>
      </c>
      <c r="S73" s="1608">
        <v>0</v>
      </c>
      <c r="T73" s="1608">
        <v>0</v>
      </c>
      <c r="U73" s="1600">
        <f t="shared" si="13"/>
        <v>0</v>
      </c>
      <c r="V73" s="1608">
        <v>0</v>
      </c>
      <c r="W73" s="1608">
        <v>0</v>
      </c>
      <c r="X73" s="1423">
        <f t="shared" si="3"/>
        <v>0</v>
      </c>
      <c r="Y73" s="1423"/>
      <c r="Z73" s="1423"/>
      <c r="AA73" s="1423"/>
    </row>
    <row r="74" spans="1:27" s="1607" customFormat="1" ht="46.5" customHeight="1">
      <c r="A74" s="2127">
        <f>A73+1</f>
        <v>16</v>
      </c>
      <c r="B74" s="1883" t="s">
        <v>1414</v>
      </c>
      <c r="C74" s="1880">
        <v>24366</v>
      </c>
      <c r="D74" s="1602">
        <f t="shared" si="4"/>
        <v>13755.5</v>
      </c>
      <c r="E74" s="1616"/>
      <c r="F74" s="1616">
        <v>13755.5</v>
      </c>
      <c r="G74" s="1602">
        <f t="shared" si="11"/>
        <v>13755.5</v>
      </c>
      <c r="H74" s="1616">
        <f t="shared" si="8"/>
        <v>0</v>
      </c>
      <c r="I74" s="1616">
        <f t="shared" si="8"/>
        <v>13755.5</v>
      </c>
      <c r="J74" s="1602">
        <f t="shared" si="10"/>
        <v>0</v>
      </c>
      <c r="K74" s="1616"/>
      <c r="L74" s="1616"/>
      <c r="M74" s="1604">
        <f t="shared" si="2"/>
        <v>0</v>
      </c>
      <c r="N74" s="1881">
        <f t="shared" si="2"/>
        <v>0</v>
      </c>
      <c r="O74" s="1881">
        <f t="shared" si="2"/>
        <v>0</v>
      </c>
      <c r="P74" s="2124" t="s">
        <v>1171</v>
      </c>
      <c r="Q74" s="2124" t="s">
        <v>1116</v>
      </c>
      <c r="R74" s="1600">
        <f t="shared" si="12"/>
        <v>0</v>
      </c>
      <c r="S74" s="1608">
        <v>0</v>
      </c>
      <c r="T74" s="1608">
        <v>0</v>
      </c>
      <c r="U74" s="1600">
        <f t="shared" si="13"/>
        <v>0</v>
      </c>
      <c r="V74" s="1608">
        <v>0</v>
      </c>
      <c r="W74" s="1608">
        <v>0</v>
      </c>
      <c r="X74" s="1423">
        <f t="shared" si="3"/>
        <v>0</v>
      </c>
      <c r="Y74" s="1423"/>
      <c r="Z74" s="1423"/>
      <c r="AA74" s="1423"/>
    </row>
    <row r="75" spans="1:27" s="484" customFormat="1" ht="57.75" customHeight="1">
      <c r="A75" s="2127"/>
      <c r="B75" s="1897" t="s">
        <v>1628</v>
      </c>
      <c r="C75" s="1898"/>
      <c r="D75" s="1899">
        <f t="shared" si="4"/>
        <v>2900</v>
      </c>
      <c r="E75" s="1899">
        <f>SUM(E76,E78)</f>
        <v>0</v>
      </c>
      <c r="F75" s="1899">
        <f>SUM(F76,F78)</f>
        <v>2900</v>
      </c>
      <c r="G75" s="1899">
        <f>SUM(H75:I75)</f>
        <v>2900</v>
      </c>
      <c r="H75" s="1899">
        <f>SUM(H76,H78)</f>
        <v>0</v>
      </c>
      <c r="I75" s="1899">
        <f>SUM(I76,I78)</f>
        <v>2900</v>
      </c>
      <c r="J75" s="1899">
        <f>SUM(K75:L75)</f>
        <v>2529.1</v>
      </c>
      <c r="K75" s="1899">
        <f>SUM(K76,K78)</f>
        <v>0</v>
      </c>
      <c r="L75" s="1899">
        <f>SUM(L76,L78)</f>
        <v>2529.1</v>
      </c>
      <c r="M75" s="1900">
        <f t="shared" si="2"/>
        <v>87.2</v>
      </c>
      <c r="N75" s="1901">
        <f t="shared" si="2"/>
        <v>0</v>
      </c>
      <c r="O75" s="1901">
        <f t="shared" si="2"/>
        <v>87.2</v>
      </c>
      <c r="P75" s="2129" t="e">
        <f>SUM(P92+P80+P98)</f>
        <v>#VALUE!</v>
      </c>
      <c r="Q75" s="2129" t="e">
        <f>SUM(Q92+Q80+Q98)</f>
        <v>#VALUE!</v>
      </c>
      <c r="R75" s="1899">
        <f t="shared" si="12"/>
        <v>0</v>
      </c>
      <c r="S75" s="1899">
        <f>SUM(S76,S78)</f>
        <v>0</v>
      </c>
      <c r="T75" s="1899">
        <f>SUM(T76,T78)</f>
        <v>0</v>
      </c>
      <c r="U75" s="1899">
        <f t="shared" si="13"/>
        <v>0</v>
      </c>
      <c r="V75" s="1899">
        <f>SUM(V76,V78)</f>
        <v>0</v>
      </c>
      <c r="W75" s="1899">
        <f>SUM(W76,W78)</f>
        <v>0</v>
      </c>
      <c r="X75" s="1423">
        <f t="shared" si="3"/>
        <v>0</v>
      </c>
      <c r="Y75" s="1423"/>
      <c r="Z75" s="1423"/>
      <c r="AA75" s="1423"/>
    </row>
    <row r="76" spans="1:27" s="484" customFormat="1" ht="27" customHeight="1">
      <c r="A76" s="2127"/>
      <c r="B76" s="2126" t="s">
        <v>1401</v>
      </c>
      <c r="C76" s="1882"/>
      <c r="D76" s="1600">
        <f t="shared" si="4"/>
        <v>1400</v>
      </c>
      <c r="E76" s="2130">
        <f>E77</f>
        <v>0</v>
      </c>
      <c r="F76" s="2130">
        <f>F77</f>
        <v>1400</v>
      </c>
      <c r="G76" s="1600">
        <f t="shared" si="11"/>
        <v>1400</v>
      </c>
      <c r="H76" s="2130">
        <f t="shared" si="8"/>
        <v>0</v>
      </c>
      <c r="I76" s="2130">
        <f t="shared" si="8"/>
        <v>1400</v>
      </c>
      <c r="J76" s="1600">
        <f t="shared" si="10"/>
        <v>1400</v>
      </c>
      <c r="K76" s="1603">
        <f>K77</f>
        <v>0</v>
      </c>
      <c r="L76" s="1603">
        <f>L77</f>
        <v>1400</v>
      </c>
      <c r="M76" s="1604">
        <f t="shared" si="2"/>
        <v>100</v>
      </c>
      <c r="N76" s="1881">
        <f t="shared" si="2"/>
        <v>0</v>
      </c>
      <c r="O76" s="1881">
        <f t="shared" si="2"/>
        <v>100</v>
      </c>
      <c r="P76" s="2130">
        <f t="shared" ref="P76:W76" si="14">P77</f>
        <v>0</v>
      </c>
      <c r="Q76" s="2130">
        <f t="shared" si="14"/>
        <v>0</v>
      </c>
      <c r="R76" s="2130">
        <f t="shared" si="14"/>
        <v>0</v>
      </c>
      <c r="S76" s="2130">
        <f t="shared" si="14"/>
        <v>0</v>
      </c>
      <c r="T76" s="2130">
        <f t="shared" si="14"/>
        <v>0</v>
      </c>
      <c r="U76" s="2130">
        <f t="shared" si="14"/>
        <v>0</v>
      </c>
      <c r="V76" s="2130">
        <f t="shared" si="14"/>
        <v>0</v>
      </c>
      <c r="W76" s="2130">
        <f t="shared" si="14"/>
        <v>0</v>
      </c>
      <c r="X76" s="1423">
        <f t="shared" si="3"/>
        <v>0</v>
      </c>
      <c r="Y76" s="1423"/>
      <c r="Z76" s="1423"/>
      <c r="AA76" s="1423"/>
    </row>
    <row r="77" spans="1:27" s="484" customFormat="1" ht="39.75" customHeight="1">
      <c r="A77" s="2127" t="s">
        <v>119</v>
      </c>
      <c r="B77" s="1889" t="s">
        <v>681</v>
      </c>
      <c r="C77" s="1882">
        <v>90420</v>
      </c>
      <c r="D77" s="1600">
        <f t="shared" si="4"/>
        <v>1400</v>
      </c>
      <c r="E77" s="1608"/>
      <c r="F77" s="1608">
        <v>1400</v>
      </c>
      <c r="G77" s="1600">
        <f t="shared" si="11"/>
        <v>1400</v>
      </c>
      <c r="H77" s="1608">
        <f>E77</f>
        <v>0</v>
      </c>
      <c r="I77" s="1608">
        <f>F77</f>
        <v>1400</v>
      </c>
      <c r="J77" s="1600">
        <f t="shared" si="10"/>
        <v>1400</v>
      </c>
      <c r="K77" s="1616"/>
      <c r="L77" s="1616">
        <v>1400</v>
      </c>
      <c r="M77" s="1604">
        <f t="shared" si="2"/>
        <v>100</v>
      </c>
      <c r="N77" s="1881">
        <f t="shared" si="2"/>
        <v>0</v>
      </c>
      <c r="O77" s="1881">
        <f t="shared" si="2"/>
        <v>100</v>
      </c>
      <c r="P77" s="2124"/>
      <c r="Q77" s="2124"/>
      <c r="R77" s="1600">
        <f>S77+T77</f>
        <v>0</v>
      </c>
      <c r="S77" s="1614"/>
      <c r="T77" s="1614"/>
      <c r="U77" s="1600">
        <f>V77+W77</f>
        <v>0</v>
      </c>
      <c r="V77" s="1614"/>
      <c r="W77" s="1614"/>
      <c r="X77" s="1423">
        <f t="shared" ref="X77:X82" si="15">D77-G77</f>
        <v>0</v>
      </c>
      <c r="Y77" s="1423"/>
      <c r="Z77" s="1423"/>
      <c r="AA77" s="1423"/>
    </row>
    <row r="78" spans="1:27" s="484" customFormat="1" ht="23.25" customHeight="1">
      <c r="A78" s="2127"/>
      <c r="B78" s="2126" t="s">
        <v>1554</v>
      </c>
      <c r="C78" s="1882"/>
      <c r="D78" s="1600">
        <f t="shared" si="4"/>
        <v>1500</v>
      </c>
      <c r="E78" s="2130">
        <f>E79</f>
        <v>0</v>
      </c>
      <c r="F78" s="2130">
        <f>F79</f>
        <v>1500</v>
      </c>
      <c r="G78" s="1600">
        <f t="shared" si="11"/>
        <v>1500</v>
      </c>
      <c r="H78" s="2130">
        <f t="shared" si="8"/>
        <v>0</v>
      </c>
      <c r="I78" s="2130">
        <f t="shared" si="8"/>
        <v>1500</v>
      </c>
      <c r="J78" s="1600">
        <f t="shared" si="10"/>
        <v>1129.0999999999999</v>
      </c>
      <c r="K78" s="1603">
        <f>K79</f>
        <v>0</v>
      </c>
      <c r="L78" s="1603">
        <f>L79</f>
        <v>1129.0999999999999</v>
      </c>
      <c r="M78" s="1604">
        <f t="shared" si="2"/>
        <v>75.3</v>
      </c>
      <c r="N78" s="1881">
        <f t="shared" si="2"/>
        <v>0</v>
      </c>
      <c r="O78" s="1881">
        <f t="shared" si="2"/>
        <v>75.3</v>
      </c>
      <c r="P78" s="2124"/>
      <c r="Q78" s="2124"/>
      <c r="R78" s="1602">
        <f>SUM(S78:T78)</f>
        <v>0</v>
      </c>
      <c r="S78" s="1603">
        <f>S79</f>
        <v>0</v>
      </c>
      <c r="T78" s="1603">
        <f>T79</f>
        <v>0</v>
      </c>
      <c r="U78" s="1602">
        <f>SUM(V78:W78)</f>
        <v>0</v>
      </c>
      <c r="V78" s="1603">
        <f>V79</f>
        <v>0</v>
      </c>
      <c r="W78" s="1603">
        <f>W79</f>
        <v>0</v>
      </c>
      <c r="X78" s="1423">
        <f t="shared" si="15"/>
        <v>0</v>
      </c>
      <c r="Y78" s="1423"/>
      <c r="Z78" s="1423"/>
      <c r="AA78" s="1423"/>
    </row>
    <row r="79" spans="1:27" s="484" customFormat="1" ht="39.75" customHeight="1">
      <c r="A79" s="2127" t="s">
        <v>120</v>
      </c>
      <c r="B79" s="1889" t="s">
        <v>1623</v>
      </c>
      <c r="C79" s="1882">
        <v>90420</v>
      </c>
      <c r="D79" s="1602">
        <f t="shared" si="4"/>
        <v>1500</v>
      </c>
      <c r="E79" s="1616"/>
      <c r="F79" s="1616">
        <v>1500</v>
      </c>
      <c r="G79" s="1602">
        <f t="shared" si="11"/>
        <v>1500</v>
      </c>
      <c r="H79" s="1616">
        <f>E79</f>
        <v>0</v>
      </c>
      <c r="I79" s="1616">
        <f>F79</f>
        <v>1500</v>
      </c>
      <c r="J79" s="1602">
        <f t="shared" si="10"/>
        <v>1129.0999999999999</v>
      </c>
      <c r="K79" s="1616"/>
      <c r="L79" s="1616">
        <v>1129.0999999999999</v>
      </c>
      <c r="M79" s="1604">
        <f t="shared" ref="M79:O151" si="16">IF(J79=0,0,J79/G79*100)</f>
        <v>75.3</v>
      </c>
      <c r="N79" s="1881">
        <f t="shared" si="16"/>
        <v>0</v>
      </c>
      <c r="O79" s="1881">
        <f t="shared" si="16"/>
        <v>75.3</v>
      </c>
      <c r="P79" s="2124"/>
      <c r="Q79" s="2124"/>
      <c r="R79" s="1600">
        <f>S79+T79</f>
        <v>0</v>
      </c>
      <c r="S79" s="1614"/>
      <c r="T79" s="1614"/>
      <c r="U79" s="1600">
        <f>V79+W79</f>
        <v>0</v>
      </c>
      <c r="V79" s="1614"/>
      <c r="W79" s="1614"/>
      <c r="X79" s="1423">
        <f t="shared" si="15"/>
        <v>0</v>
      </c>
      <c r="Y79" s="1423"/>
      <c r="Z79" s="1423"/>
      <c r="AA79" s="1423"/>
    </row>
    <row r="80" spans="1:27" ht="25.5" customHeight="1">
      <c r="A80" s="2127" t="s">
        <v>254</v>
      </c>
      <c r="B80" s="1876" t="s">
        <v>1394</v>
      </c>
      <c r="C80" s="1877"/>
      <c r="D80" s="1598">
        <f t="shared" si="4"/>
        <v>1404891.9</v>
      </c>
      <c r="E80" s="1903">
        <f>E81+E92</f>
        <v>1356275</v>
      </c>
      <c r="F80" s="1903">
        <f>F81+F92</f>
        <v>48616.9</v>
      </c>
      <c r="G80" s="1598">
        <f>SUM(H80:I80)</f>
        <v>1404088.9</v>
      </c>
      <c r="H80" s="1903">
        <f>H81+H92</f>
        <v>1355520.2</v>
      </c>
      <c r="I80" s="1903">
        <f>I81+I92</f>
        <v>48568.7</v>
      </c>
      <c r="J80" s="1598">
        <f>SUM(K80:L80)</f>
        <v>1156504</v>
      </c>
      <c r="K80" s="1903">
        <f>K81+K92</f>
        <v>1120280.8999999999</v>
      </c>
      <c r="L80" s="1903">
        <f>L81+L92</f>
        <v>36223.1</v>
      </c>
      <c r="M80" s="1903">
        <f t="shared" si="16"/>
        <v>82.4</v>
      </c>
      <c r="N80" s="1903">
        <f t="shared" si="16"/>
        <v>82.6</v>
      </c>
      <c r="O80" s="1903">
        <f t="shared" si="16"/>
        <v>74.599999999999994</v>
      </c>
      <c r="P80" s="1599" t="s">
        <v>353</v>
      </c>
      <c r="Q80" s="1599" t="s">
        <v>353</v>
      </c>
      <c r="R80" s="1598" t="e">
        <f>SUM(S80:T80)</f>
        <v>#REF!</v>
      </c>
      <c r="S80" s="1903" t="e">
        <f>SUM(S81+S92+#REF!)</f>
        <v>#REF!</v>
      </c>
      <c r="T80" s="1903" t="e">
        <f>SUM(T81+T92+#REF!)</f>
        <v>#REF!</v>
      </c>
      <c r="U80" s="1598" t="e">
        <f>SUM(V80:W80)</f>
        <v>#REF!</v>
      </c>
      <c r="V80" s="1903" t="e">
        <f>SUM(V81+V92+#REF!)</f>
        <v>#REF!</v>
      </c>
      <c r="W80" s="1903" t="e">
        <f>SUM(W81+W92+#REF!)</f>
        <v>#REF!</v>
      </c>
      <c r="X80" s="1423">
        <f t="shared" si="15"/>
        <v>803</v>
      </c>
      <c r="Y80" s="1423"/>
      <c r="Z80" s="1423"/>
      <c r="AA80" s="1423"/>
    </row>
    <row r="81" spans="1:27" ht="30.75" customHeight="1">
      <c r="A81" s="2127" t="s">
        <v>1519</v>
      </c>
      <c r="B81" s="1897" t="s">
        <v>1395</v>
      </c>
      <c r="C81" s="1898"/>
      <c r="D81" s="1899">
        <f>SUM(E81:F81)</f>
        <v>1227331.5</v>
      </c>
      <c r="E81" s="1899">
        <f>E82+E89+E87</f>
        <v>1199733.2</v>
      </c>
      <c r="F81" s="1899">
        <f>F82+F89</f>
        <v>27598.3</v>
      </c>
      <c r="G81" s="1899">
        <f>SUM(H81:I81)</f>
        <v>1227331.5</v>
      </c>
      <c r="H81" s="1899">
        <f>H82+H89+H87</f>
        <v>1199733.2</v>
      </c>
      <c r="I81" s="1899">
        <f>I82+I89</f>
        <v>27598.3</v>
      </c>
      <c r="J81" s="1899">
        <f>SUM(K81:L81)</f>
        <v>1107645.6000000001</v>
      </c>
      <c r="K81" s="1899">
        <f>K82+K89+K87</f>
        <v>1082325.8</v>
      </c>
      <c r="L81" s="1899">
        <f>L82+L89</f>
        <v>25319.8</v>
      </c>
      <c r="M81" s="1899">
        <f t="shared" si="16"/>
        <v>90.2</v>
      </c>
      <c r="N81" s="1899">
        <f t="shared" si="16"/>
        <v>90.2</v>
      </c>
      <c r="O81" s="1899">
        <f t="shared" si="16"/>
        <v>91.7</v>
      </c>
      <c r="P81" s="1899" t="e">
        <f t="shared" ref="P81:W81" si="17">P82+P89+P87</f>
        <v>#VALUE!</v>
      </c>
      <c r="Q81" s="1899" t="e">
        <f t="shared" si="17"/>
        <v>#VALUE!</v>
      </c>
      <c r="R81" s="1899">
        <f t="shared" si="17"/>
        <v>702732.2</v>
      </c>
      <c r="S81" s="1899">
        <f t="shared" si="17"/>
        <v>695705</v>
      </c>
      <c r="T81" s="1899">
        <f t="shared" si="17"/>
        <v>7027.2</v>
      </c>
      <c r="U81" s="1899">
        <f t="shared" si="17"/>
        <v>2102737.1</v>
      </c>
      <c r="V81" s="1899">
        <f t="shared" si="17"/>
        <v>2081709.6</v>
      </c>
      <c r="W81" s="1899">
        <f t="shared" si="17"/>
        <v>21027.5</v>
      </c>
      <c r="X81" s="1423">
        <f t="shared" si="15"/>
        <v>0</v>
      </c>
      <c r="Y81" s="1423"/>
      <c r="Z81" s="1423"/>
      <c r="AA81" s="1423"/>
    </row>
    <row r="82" spans="1:27" ht="24.75" customHeight="1">
      <c r="A82" s="2127"/>
      <c r="B82" s="1897" t="s">
        <v>1396</v>
      </c>
      <c r="C82" s="1898"/>
      <c r="D82" s="1899">
        <f>SUM(E82:F82)</f>
        <v>936.1</v>
      </c>
      <c r="E82" s="1899">
        <f>E85+E83</f>
        <v>856.5</v>
      </c>
      <c r="F82" s="1899">
        <f t="shared" ref="F82:W82" si="18">F85+F83</f>
        <v>79.599999999999994</v>
      </c>
      <c r="G82" s="1899">
        <f>SUM(H82:I82)</f>
        <v>936.1</v>
      </c>
      <c r="H82" s="1899">
        <f>H85+H83</f>
        <v>856.5</v>
      </c>
      <c r="I82" s="1899">
        <f>I85+I83</f>
        <v>79.599999999999994</v>
      </c>
      <c r="J82" s="1899">
        <f>SUM(K82:L82)</f>
        <v>936.1</v>
      </c>
      <c r="K82" s="1899">
        <f>K85+K83</f>
        <v>925.7</v>
      </c>
      <c r="L82" s="1899">
        <f>L85+L83</f>
        <v>10.4</v>
      </c>
      <c r="M82" s="1899">
        <f t="shared" si="16"/>
        <v>100</v>
      </c>
      <c r="N82" s="1899">
        <f t="shared" si="16"/>
        <v>108.1</v>
      </c>
      <c r="O82" s="1899">
        <f t="shared" si="16"/>
        <v>13.1</v>
      </c>
      <c r="P82" s="1899" t="e">
        <f t="shared" si="18"/>
        <v>#VALUE!</v>
      </c>
      <c r="Q82" s="1899" t="e">
        <f t="shared" si="18"/>
        <v>#VALUE!</v>
      </c>
      <c r="R82" s="1899">
        <f t="shared" si="18"/>
        <v>216010.9</v>
      </c>
      <c r="S82" s="1899">
        <f t="shared" si="18"/>
        <v>213850.8</v>
      </c>
      <c r="T82" s="1899">
        <f t="shared" si="18"/>
        <v>2160.1</v>
      </c>
      <c r="U82" s="1899">
        <f t="shared" si="18"/>
        <v>327265.90000000002</v>
      </c>
      <c r="V82" s="1899">
        <f t="shared" si="18"/>
        <v>323993.2</v>
      </c>
      <c r="W82" s="1899">
        <f t="shared" si="18"/>
        <v>3272.7</v>
      </c>
      <c r="X82" s="1423">
        <f t="shared" si="15"/>
        <v>0</v>
      </c>
      <c r="Y82" s="1423"/>
      <c r="Z82" s="1423"/>
      <c r="AA82" s="1423"/>
    </row>
    <row r="83" spans="1:27" ht="37.5" hidden="1" customHeight="1">
      <c r="A83" s="2127"/>
      <c r="B83" s="2126" t="s">
        <v>1667</v>
      </c>
      <c r="C83" s="2128"/>
      <c r="D83" s="1602">
        <f>SUM(E83:F83)</f>
        <v>0</v>
      </c>
      <c r="E83" s="1603">
        <f>SUM(E84)</f>
        <v>0</v>
      </c>
      <c r="F83" s="1603">
        <f>SUM(F84)</f>
        <v>0</v>
      </c>
      <c r="G83" s="1602">
        <f t="shared" si="11"/>
        <v>0</v>
      </c>
      <c r="H83" s="1603">
        <f t="shared" ref="H83:I157" si="19">E83</f>
        <v>0</v>
      </c>
      <c r="I83" s="1603">
        <f t="shared" si="19"/>
        <v>0</v>
      </c>
      <c r="J83" s="1602">
        <f t="shared" si="10"/>
        <v>0</v>
      </c>
      <c r="K83" s="1603">
        <f>SUM(K84)</f>
        <v>0</v>
      </c>
      <c r="L83" s="1603">
        <f>SUM(L84)</f>
        <v>0</v>
      </c>
      <c r="M83" s="1604">
        <f t="shared" si="16"/>
        <v>0</v>
      </c>
      <c r="N83" s="1881">
        <f t="shared" si="16"/>
        <v>0</v>
      </c>
      <c r="O83" s="1881">
        <f t="shared" si="16"/>
        <v>0</v>
      </c>
      <c r="P83" s="2124" t="s">
        <v>353</v>
      </c>
      <c r="Q83" s="2124" t="s">
        <v>353</v>
      </c>
      <c r="R83" s="1602">
        <f>SUM(S83:T83)</f>
        <v>216010.9</v>
      </c>
      <c r="S83" s="1603">
        <f>SUM(S84)</f>
        <v>213850.8</v>
      </c>
      <c r="T83" s="1603">
        <f>SUM(T84)</f>
        <v>2160.1</v>
      </c>
      <c r="U83" s="1602">
        <f>SUM(V83:W83)</f>
        <v>327265.90000000002</v>
      </c>
      <c r="V83" s="1603">
        <f>SUM(V84)</f>
        <v>323993.2</v>
      </c>
      <c r="W83" s="1603">
        <f>SUM(W84)</f>
        <v>3272.7</v>
      </c>
      <c r="Y83" s="1423"/>
      <c r="Z83" s="1423"/>
      <c r="AA83" s="1423"/>
    </row>
    <row r="84" spans="1:27" ht="59.25" hidden="1" customHeight="1">
      <c r="A84" s="2127"/>
      <c r="B84" s="1885" t="s">
        <v>672</v>
      </c>
      <c r="C84" s="1904" t="s">
        <v>1539</v>
      </c>
      <c r="D84" s="1602">
        <f>SUM(E84:F84)</f>
        <v>0</v>
      </c>
      <c r="E84" s="1615">
        <v>0</v>
      </c>
      <c r="F84" s="1615">
        <v>0</v>
      </c>
      <c r="G84" s="1602">
        <f t="shared" si="11"/>
        <v>0</v>
      </c>
      <c r="H84" s="1615">
        <f t="shared" si="19"/>
        <v>0</v>
      </c>
      <c r="I84" s="1615">
        <f t="shared" si="19"/>
        <v>0</v>
      </c>
      <c r="J84" s="1602">
        <f t="shared" si="10"/>
        <v>0</v>
      </c>
      <c r="K84" s="1615">
        <v>0</v>
      </c>
      <c r="L84" s="1615">
        <v>0</v>
      </c>
      <c r="M84" s="1893">
        <f t="shared" si="16"/>
        <v>0</v>
      </c>
      <c r="N84" s="1894">
        <f t="shared" si="16"/>
        <v>0</v>
      </c>
      <c r="O84" s="1894">
        <f t="shared" si="16"/>
        <v>0</v>
      </c>
      <c r="P84" s="2124" t="s">
        <v>1171</v>
      </c>
      <c r="Q84" s="2124" t="s">
        <v>1659</v>
      </c>
      <c r="R84" s="1600">
        <f>SUM(S84:T84)</f>
        <v>216010.9</v>
      </c>
      <c r="S84" s="1614">
        <v>213850.8</v>
      </c>
      <c r="T84" s="1614">
        <v>2160.1</v>
      </c>
      <c r="U84" s="1600">
        <f>SUM(V84:W84)</f>
        <v>327265.90000000002</v>
      </c>
      <c r="V84" s="1614">
        <v>323993.2</v>
      </c>
      <c r="W84" s="1614">
        <v>3272.7</v>
      </c>
      <c r="Y84" s="1423"/>
      <c r="Z84" s="1423"/>
      <c r="AA84" s="1423"/>
    </row>
    <row r="85" spans="1:27" ht="29.25" customHeight="1">
      <c r="A85" s="2127"/>
      <c r="B85" s="2126" t="s">
        <v>457</v>
      </c>
      <c r="C85" s="2128"/>
      <c r="D85" s="1602">
        <f t="shared" si="4"/>
        <v>936.1</v>
      </c>
      <c r="E85" s="1603">
        <f>SUM(E86)</f>
        <v>856.5</v>
      </c>
      <c r="F85" s="1603">
        <f>SUM(F86)</f>
        <v>79.599999999999994</v>
      </c>
      <c r="G85" s="1602">
        <f t="shared" si="11"/>
        <v>936.1</v>
      </c>
      <c r="H85" s="1603">
        <f t="shared" si="19"/>
        <v>856.5</v>
      </c>
      <c r="I85" s="1603">
        <f t="shared" si="19"/>
        <v>79.599999999999994</v>
      </c>
      <c r="J85" s="1602">
        <f t="shared" si="10"/>
        <v>936.1</v>
      </c>
      <c r="K85" s="1603">
        <f>SUM(K86)</f>
        <v>925.7</v>
      </c>
      <c r="L85" s="1603">
        <f>SUM(L86)</f>
        <v>10.4</v>
      </c>
      <c r="M85" s="1604">
        <f t="shared" si="16"/>
        <v>100</v>
      </c>
      <c r="N85" s="1881">
        <f t="shared" si="16"/>
        <v>108.1</v>
      </c>
      <c r="O85" s="1881">
        <f t="shared" si="16"/>
        <v>13.1</v>
      </c>
      <c r="P85" s="2124" t="s">
        <v>353</v>
      </c>
      <c r="Q85" s="2124" t="s">
        <v>353</v>
      </c>
      <c r="R85" s="1602">
        <f>SUM(S85:T85)</f>
        <v>0</v>
      </c>
      <c r="S85" s="1603">
        <f>SUM(S86)</f>
        <v>0</v>
      </c>
      <c r="T85" s="1603">
        <f>SUM(T86)</f>
        <v>0</v>
      </c>
      <c r="U85" s="1602">
        <f>SUM(V85:W85)</f>
        <v>0</v>
      </c>
      <c r="V85" s="1603">
        <f>SUM(V86)</f>
        <v>0</v>
      </c>
      <c r="W85" s="1603">
        <f>SUM(W86)</f>
        <v>0</v>
      </c>
      <c r="X85" s="1423">
        <f>D85-G85</f>
        <v>0</v>
      </c>
      <c r="Y85" s="1423"/>
      <c r="Z85" s="1423"/>
      <c r="AA85" s="1423"/>
    </row>
    <row r="86" spans="1:27" s="484" customFormat="1" ht="46.5" customHeight="1">
      <c r="A86" s="2127">
        <f>A74+1</f>
        <v>17</v>
      </c>
      <c r="B86" s="1885" t="s">
        <v>1392</v>
      </c>
      <c r="C86" s="1904" t="s">
        <v>1539</v>
      </c>
      <c r="D86" s="1602">
        <f t="shared" si="4"/>
        <v>936.1</v>
      </c>
      <c r="E86" s="1615">
        <v>856.5</v>
      </c>
      <c r="F86" s="1615">
        <v>79.599999999999994</v>
      </c>
      <c r="G86" s="1600">
        <f t="shared" si="11"/>
        <v>936.1</v>
      </c>
      <c r="H86" s="1608">
        <f>E86</f>
        <v>856.5</v>
      </c>
      <c r="I86" s="1608">
        <f>F86</f>
        <v>79.599999999999994</v>
      </c>
      <c r="J86" s="1600">
        <f t="shared" si="10"/>
        <v>936.1</v>
      </c>
      <c r="K86" s="2132">
        <v>925.7</v>
      </c>
      <c r="L86" s="2132">
        <v>10.4</v>
      </c>
      <c r="M86" s="1893">
        <f t="shared" si="16"/>
        <v>100</v>
      </c>
      <c r="N86" s="1894">
        <f t="shared" si="16"/>
        <v>108.1</v>
      </c>
      <c r="O86" s="1894">
        <f t="shared" si="16"/>
        <v>13.1</v>
      </c>
      <c r="P86" s="2124" t="s">
        <v>1171</v>
      </c>
      <c r="Q86" s="2124" t="s">
        <v>1659</v>
      </c>
      <c r="R86" s="1600">
        <f>SUM(S86:T86)</f>
        <v>0</v>
      </c>
      <c r="S86" s="1614">
        <v>0</v>
      </c>
      <c r="T86" s="1614">
        <v>0</v>
      </c>
      <c r="U86" s="1600">
        <f>SUM(V86:W86)</f>
        <v>0</v>
      </c>
      <c r="V86" s="1614">
        <v>0</v>
      </c>
      <c r="W86" s="1614">
        <v>0</v>
      </c>
      <c r="X86" s="1423">
        <f>D86-G86</f>
        <v>0</v>
      </c>
      <c r="Y86" s="1423"/>
      <c r="Z86" s="1423"/>
      <c r="AA86" s="1423"/>
    </row>
    <row r="87" spans="1:27" s="484" customFormat="1" ht="25.5" hidden="1" customHeight="1">
      <c r="A87" s="2127"/>
      <c r="B87" s="1897" t="s">
        <v>1650</v>
      </c>
      <c r="C87" s="1898"/>
      <c r="D87" s="1899">
        <f>SUM(E87:F87)</f>
        <v>0</v>
      </c>
      <c r="E87" s="2129">
        <f t="shared" ref="E87:W87" si="20">SUM(E88)</f>
        <v>0</v>
      </c>
      <c r="F87" s="2129">
        <f t="shared" si="20"/>
        <v>0</v>
      </c>
      <c r="G87" s="1899">
        <f t="shared" si="11"/>
        <v>0</v>
      </c>
      <c r="H87" s="2129">
        <f t="shared" si="19"/>
        <v>0</v>
      </c>
      <c r="I87" s="2129">
        <f t="shared" si="19"/>
        <v>0</v>
      </c>
      <c r="J87" s="1899">
        <f t="shared" si="10"/>
        <v>0</v>
      </c>
      <c r="K87" s="2129">
        <f t="shared" si="20"/>
        <v>0</v>
      </c>
      <c r="L87" s="2129">
        <f t="shared" si="20"/>
        <v>0</v>
      </c>
      <c r="M87" s="2129">
        <f t="shared" si="16"/>
        <v>0</v>
      </c>
      <c r="N87" s="2129">
        <f t="shared" si="16"/>
        <v>0</v>
      </c>
      <c r="O87" s="2129">
        <f t="shared" si="16"/>
        <v>0</v>
      </c>
      <c r="P87" s="2129">
        <f t="shared" si="20"/>
        <v>0</v>
      </c>
      <c r="Q87" s="2129">
        <f t="shared" si="20"/>
        <v>0</v>
      </c>
      <c r="R87" s="2129">
        <f t="shared" si="20"/>
        <v>0</v>
      </c>
      <c r="S87" s="2129">
        <f t="shared" si="20"/>
        <v>0</v>
      </c>
      <c r="T87" s="2129">
        <f t="shared" si="20"/>
        <v>0</v>
      </c>
      <c r="U87" s="2129">
        <f t="shared" si="20"/>
        <v>0</v>
      </c>
      <c r="V87" s="2129">
        <f t="shared" si="20"/>
        <v>0</v>
      </c>
      <c r="W87" s="2129">
        <f t="shared" si="20"/>
        <v>0</v>
      </c>
      <c r="Y87" s="1423"/>
      <c r="Z87" s="1423"/>
      <c r="AA87" s="1423"/>
    </row>
    <row r="88" spans="1:27" s="484" customFormat="1" ht="88.5" hidden="1" customHeight="1">
      <c r="A88" s="2127"/>
      <c r="B88" s="1885" t="s">
        <v>455</v>
      </c>
      <c r="C88" s="1904"/>
      <c r="D88" s="1602">
        <f>SUM(E88:F88)</f>
        <v>0</v>
      </c>
      <c r="E88" s="1615">
        <v>0</v>
      </c>
      <c r="F88" s="1615">
        <v>0</v>
      </c>
      <c r="G88" s="1602">
        <f t="shared" si="11"/>
        <v>0</v>
      </c>
      <c r="H88" s="1615">
        <f t="shared" si="19"/>
        <v>0</v>
      </c>
      <c r="I88" s="1615">
        <f t="shared" si="19"/>
        <v>0</v>
      </c>
      <c r="J88" s="1602">
        <f t="shared" si="10"/>
        <v>0</v>
      </c>
      <c r="K88" s="1615">
        <v>0</v>
      </c>
      <c r="L88" s="1615">
        <v>0</v>
      </c>
      <c r="M88" s="1893">
        <f t="shared" si="16"/>
        <v>0</v>
      </c>
      <c r="N88" s="1894">
        <f t="shared" si="16"/>
        <v>0</v>
      </c>
      <c r="O88" s="1894">
        <f t="shared" si="16"/>
        <v>0</v>
      </c>
      <c r="P88" s="2124" t="s">
        <v>1171</v>
      </c>
      <c r="Q88" s="2124" t="s">
        <v>1659</v>
      </c>
      <c r="R88" s="1602">
        <f>SUM(S88:T88)</f>
        <v>0</v>
      </c>
      <c r="S88" s="1615">
        <v>0</v>
      </c>
      <c r="T88" s="1615">
        <v>0</v>
      </c>
      <c r="U88" s="1602">
        <f>SUM(V88:W88)</f>
        <v>0</v>
      </c>
      <c r="V88" s="1615">
        <v>0</v>
      </c>
      <c r="W88" s="1615">
        <v>0</v>
      </c>
      <c r="Y88" s="1423"/>
      <c r="Z88" s="1423"/>
      <c r="AA88" s="1423"/>
    </row>
    <row r="89" spans="1:27" ht="33" customHeight="1">
      <c r="A89" s="2127"/>
      <c r="B89" s="1897" t="s">
        <v>1410</v>
      </c>
      <c r="C89" s="1898"/>
      <c r="D89" s="1899">
        <f t="shared" ref="D89:D177" si="21">SUM(E89:F89)</f>
        <v>1226395.3999999999</v>
      </c>
      <c r="E89" s="2129">
        <f>SUM(E90)</f>
        <v>1198876.7</v>
      </c>
      <c r="F89" s="2129">
        <f t="shared" ref="F89:W89" si="22">SUM(F90)</f>
        <v>27518.7</v>
      </c>
      <c r="G89" s="1899">
        <f t="shared" si="11"/>
        <v>1226395.3999999999</v>
      </c>
      <c r="H89" s="2129">
        <f>SUM(H90)</f>
        <v>1198876.7</v>
      </c>
      <c r="I89" s="2129">
        <f t="shared" si="22"/>
        <v>27518.7</v>
      </c>
      <c r="J89" s="1899">
        <f t="shared" si="10"/>
        <v>1106709.5</v>
      </c>
      <c r="K89" s="2129">
        <f>SUM(K90)</f>
        <v>1081400.1000000001</v>
      </c>
      <c r="L89" s="2129">
        <f t="shared" si="22"/>
        <v>25309.4</v>
      </c>
      <c r="M89" s="2129">
        <f t="shared" si="16"/>
        <v>90.2</v>
      </c>
      <c r="N89" s="2129">
        <f t="shared" si="16"/>
        <v>90.2</v>
      </c>
      <c r="O89" s="2129">
        <f t="shared" si="16"/>
        <v>92</v>
      </c>
      <c r="P89" s="2129">
        <f t="shared" si="22"/>
        <v>0</v>
      </c>
      <c r="Q89" s="2129">
        <f t="shared" si="22"/>
        <v>0</v>
      </c>
      <c r="R89" s="2129">
        <f t="shared" si="22"/>
        <v>486721.3</v>
      </c>
      <c r="S89" s="2129">
        <f t="shared" si="22"/>
        <v>481854.2</v>
      </c>
      <c r="T89" s="2129">
        <f t="shared" si="22"/>
        <v>4867.1000000000004</v>
      </c>
      <c r="U89" s="2129">
        <f t="shared" si="22"/>
        <v>1775471.2</v>
      </c>
      <c r="V89" s="2129">
        <f t="shared" si="22"/>
        <v>1757716.4</v>
      </c>
      <c r="W89" s="2129">
        <f t="shared" si="22"/>
        <v>17754.8</v>
      </c>
      <c r="X89" s="1423">
        <f>D89-G89</f>
        <v>0</v>
      </c>
      <c r="Y89" s="1423"/>
      <c r="Z89" s="1423"/>
      <c r="AA89" s="1423"/>
    </row>
    <row r="90" spans="1:27" s="484" customFormat="1" ht="121.5" customHeight="1">
      <c r="A90" s="2127">
        <f>A86+1</f>
        <v>18</v>
      </c>
      <c r="B90" s="1885" t="s">
        <v>1412</v>
      </c>
      <c r="C90" s="1904" t="s">
        <v>1632</v>
      </c>
      <c r="D90" s="1602">
        <f t="shared" si="21"/>
        <v>1226395.3999999999</v>
      </c>
      <c r="E90" s="1615">
        <v>1198876.7</v>
      </c>
      <c r="F90" s="1615">
        <v>27518.7</v>
      </c>
      <c r="G90" s="1602">
        <f t="shared" si="11"/>
        <v>1226395.3999999999</v>
      </c>
      <c r="H90" s="1615">
        <v>1198876.7</v>
      </c>
      <c r="I90" s="1615">
        <v>27518.7</v>
      </c>
      <c r="J90" s="1602">
        <f t="shared" si="10"/>
        <v>1106709.5</v>
      </c>
      <c r="K90" s="1614">
        <v>1081400.1000000001</v>
      </c>
      <c r="L90" s="1614">
        <v>25309.4</v>
      </c>
      <c r="M90" s="1893">
        <f t="shared" si="16"/>
        <v>90.2</v>
      </c>
      <c r="N90" s="1894">
        <f t="shared" si="16"/>
        <v>90.2</v>
      </c>
      <c r="O90" s="1894">
        <f t="shared" si="16"/>
        <v>92</v>
      </c>
      <c r="P90" s="2124" t="s">
        <v>1171</v>
      </c>
      <c r="Q90" s="2124" t="s">
        <v>1659</v>
      </c>
      <c r="R90" s="1602">
        <f t="shared" ref="R90:R100" si="23">SUM(S90:T90)</f>
        <v>486721.3</v>
      </c>
      <c r="S90" s="1615">
        <v>481854.2</v>
      </c>
      <c r="T90" s="1615">
        <v>4867.1000000000004</v>
      </c>
      <c r="U90" s="1602">
        <f t="shared" ref="U90:U100" si="24">SUM(V90:W90)</f>
        <v>1775471.2</v>
      </c>
      <c r="V90" s="1615">
        <v>1757716.4</v>
      </c>
      <c r="W90" s="1615">
        <v>17754.8</v>
      </c>
      <c r="X90" s="1423">
        <f>D90-G90</f>
        <v>0</v>
      </c>
      <c r="Y90" s="1423"/>
      <c r="Z90" s="1423"/>
      <c r="AA90" s="1423"/>
    </row>
    <row r="91" spans="1:27" ht="75.75" hidden="1" customHeight="1">
      <c r="A91" s="2127"/>
      <c r="B91" s="1879" t="s">
        <v>1668</v>
      </c>
      <c r="C91" s="1880"/>
      <c r="D91" s="1602">
        <f>SUM(E91:F91)</f>
        <v>0</v>
      </c>
      <c r="E91" s="1616">
        <v>0</v>
      </c>
      <c r="F91" s="1616">
        <v>0</v>
      </c>
      <c r="G91" s="1602">
        <f t="shared" si="11"/>
        <v>0</v>
      </c>
      <c r="H91" s="1616">
        <f t="shared" si="19"/>
        <v>0</v>
      </c>
      <c r="I91" s="1616">
        <f t="shared" si="19"/>
        <v>0</v>
      </c>
      <c r="J91" s="1602">
        <f>SUM(K91:L91)</f>
        <v>0</v>
      </c>
      <c r="K91" s="1616">
        <v>0</v>
      </c>
      <c r="L91" s="1616">
        <v>0</v>
      </c>
      <c r="M91" s="1604">
        <f t="shared" si="16"/>
        <v>0</v>
      </c>
      <c r="N91" s="1881">
        <f t="shared" si="16"/>
        <v>0</v>
      </c>
      <c r="O91" s="1881">
        <f t="shared" si="16"/>
        <v>0</v>
      </c>
      <c r="P91" s="1599"/>
      <c r="Q91" s="1599"/>
      <c r="R91" s="1602">
        <f>SUM(S91:T91)</f>
        <v>0</v>
      </c>
      <c r="S91" s="1619">
        <v>0</v>
      </c>
      <c r="T91" s="1619">
        <v>0</v>
      </c>
      <c r="U91" s="1602">
        <f>SUM(V91:W91)</f>
        <v>30453.8</v>
      </c>
      <c r="V91" s="1619">
        <v>30149.3</v>
      </c>
      <c r="W91" s="1619">
        <v>304.5</v>
      </c>
      <c r="Y91" s="1423"/>
      <c r="Z91" s="1423"/>
      <c r="AA91" s="1423"/>
    </row>
    <row r="92" spans="1:27" s="484" customFormat="1" ht="73.5" customHeight="1">
      <c r="A92" s="2127" t="s">
        <v>1639</v>
      </c>
      <c r="B92" s="1876" t="s">
        <v>1435</v>
      </c>
      <c r="C92" s="1877"/>
      <c r="D92" s="1598">
        <f t="shared" si="21"/>
        <v>177560.4</v>
      </c>
      <c r="E92" s="1903">
        <f>SUBTOTAL(9,E93:E96)</f>
        <v>156541.79999999999</v>
      </c>
      <c r="F92" s="1903">
        <f>SUBTOTAL(9,F93:F96)</f>
        <v>21018.6</v>
      </c>
      <c r="G92" s="1598">
        <f t="shared" ref="G92" si="25">SUM(H92:I92)</f>
        <v>176757.4</v>
      </c>
      <c r="H92" s="1903">
        <f>SUBTOTAL(9,H93:H96)</f>
        <v>155787</v>
      </c>
      <c r="I92" s="1903">
        <f>SUBTOTAL(9,I93:I96)</f>
        <v>20970.400000000001</v>
      </c>
      <c r="J92" s="1598">
        <f t="shared" ref="J92" si="26">SUM(K92:L92)</f>
        <v>48858.400000000001</v>
      </c>
      <c r="K92" s="1903">
        <f>SUBTOTAL(9,K93:K96)</f>
        <v>37955.1</v>
      </c>
      <c r="L92" s="1903">
        <f>SUBTOTAL(9,L93:L96)</f>
        <v>10903.3</v>
      </c>
      <c r="M92" s="1903">
        <f t="shared" si="16"/>
        <v>27.6</v>
      </c>
      <c r="N92" s="1903">
        <f t="shared" si="16"/>
        <v>24.4</v>
      </c>
      <c r="O92" s="1903">
        <f t="shared" si="16"/>
        <v>52</v>
      </c>
      <c r="P92" s="2129">
        <f>SUM(P110+P97+P112)</f>
        <v>0</v>
      </c>
      <c r="Q92" s="2129">
        <f>SUM(Q110+Q97+Q112)</f>
        <v>0</v>
      </c>
      <c r="R92" s="1598">
        <f t="shared" si="23"/>
        <v>0</v>
      </c>
      <c r="S92" s="1903">
        <f>SUM(S97,S101,S106,S110,S112,S123)</f>
        <v>0</v>
      </c>
      <c r="T92" s="1903">
        <f>SUM(T97,T101,T106,T110,T112,T123)</f>
        <v>0</v>
      </c>
      <c r="U92" s="1598">
        <f t="shared" si="24"/>
        <v>0</v>
      </c>
      <c r="V92" s="1903">
        <f>SUM(V97,V101,V106,V110,V112,V123)</f>
        <v>0</v>
      </c>
      <c r="W92" s="1903">
        <f>SUM(W97,W101,W106,W110,W112,W123)</f>
        <v>0</v>
      </c>
      <c r="X92" s="1423">
        <f t="shared" ref="X92:X129" si="27">D92-G92</f>
        <v>803</v>
      </c>
      <c r="Y92" s="1423"/>
      <c r="Z92" s="1423"/>
      <c r="AA92" s="1423"/>
    </row>
    <row r="93" spans="1:27" s="484" customFormat="1" ht="23.25">
      <c r="A93" s="2127"/>
      <c r="B93" s="2001" t="s">
        <v>1699</v>
      </c>
      <c r="C93" s="1877"/>
      <c r="D93" s="1598">
        <f>SUM(E93:F93)</f>
        <v>50955.1</v>
      </c>
      <c r="E93" s="1903">
        <f>E99+E111+E114+E103</f>
        <v>47897.599999999999</v>
      </c>
      <c r="F93" s="1903">
        <f>F99+F111+F114+F103</f>
        <v>3057.5</v>
      </c>
      <c r="G93" s="1598">
        <f>SUM(H93:I93)</f>
        <v>50152.1</v>
      </c>
      <c r="H93" s="1903">
        <f>H99+H111+H114</f>
        <v>47142.8</v>
      </c>
      <c r="I93" s="1903">
        <f>I99+I111+I114</f>
        <v>3009.3</v>
      </c>
      <c r="J93" s="1598">
        <f>SUM(K93:L93)</f>
        <v>10186.5</v>
      </c>
      <c r="K93" s="1903">
        <f>K99+K111+K114</f>
        <v>9575.2000000000007</v>
      </c>
      <c r="L93" s="1903">
        <f>L99+L111+L114</f>
        <v>611.29999999999995</v>
      </c>
      <c r="M93" s="1903">
        <f t="shared" si="16"/>
        <v>20.3</v>
      </c>
      <c r="N93" s="1903">
        <f t="shared" si="16"/>
        <v>20.3</v>
      </c>
      <c r="O93" s="1903">
        <f t="shared" si="16"/>
        <v>20.3</v>
      </c>
      <c r="P93" s="2129"/>
      <c r="Q93" s="2129"/>
      <c r="R93" s="1598"/>
      <c r="S93" s="1903"/>
      <c r="T93" s="1903"/>
      <c r="U93" s="1598"/>
      <c r="V93" s="1903"/>
      <c r="W93" s="1903"/>
      <c r="X93" s="1423">
        <f t="shared" si="27"/>
        <v>803</v>
      </c>
      <c r="Y93" s="1423"/>
      <c r="Z93" s="1423"/>
      <c r="AA93" s="1423"/>
    </row>
    <row r="94" spans="1:27" s="484" customFormat="1" ht="23.25">
      <c r="A94" s="2127"/>
      <c r="B94" s="2001" t="s">
        <v>1798</v>
      </c>
      <c r="C94" s="1877"/>
      <c r="D94" s="1598">
        <f>E94+F94</f>
        <v>103877.6</v>
      </c>
      <c r="E94" s="1903">
        <f>E115+E117+E125</f>
        <v>97643.9</v>
      </c>
      <c r="F94" s="1903">
        <f>F115+F117+F125</f>
        <v>6233.7</v>
      </c>
      <c r="G94" s="1598">
        <f>H94+I94</f>
        <v>103877.6</v>
      </c>
      <c r="H94" s="1903">
        <f>H115+H117+H125</f>
        <v>97643.9</v>
      </c>
      <c r="I94" s="1903">
        <f>I115+I117+I125</f>
        <v>6233.7</v>
      </c>
      <c r="J94" s="1598">
        <f>K94+L94</f>
        <v>29580.2</v>
      </c>
      <c r="K94" s="1903">
        <f>K115+K117+K125</f>
        <v>27805.1</v>
      </c>
      <c r="L94" s="1903">
        <f>L115+L117+L125</f>
        <v>1775.1</v>
      </c>
      <c r="M94" s="1903">
        <f t="shared" si="16"/>
        <v>28.5</v>
      </c>
      <c r="N94" s="1903">
        <f t="shared" si="16"/>
        <v>28.5</v>
      </c>
      <c r="O94" s="1903">
        <f t="shared" si="16"/>
        <v>28.5</v>
      </c>
      <c r="P94" s="2129"/>
      <c r="Q94" s="2129"/>
      <c r="R94" s="1598"/>
      <c r="S94" s="1903"/>
      <c r="T94" s="1903"/>
      <c r="U94" s="1598"/>
      <c r="V94" s="1903"/>
      <c r="W94" s="1903"/>
      <c r="X94" s="1423"/>
      <c r="Y94" s="1423"/>
      <c r="Z94" s="1423"/>
      <c r="AA94" s="1423"/>
    </row>
    <row r="95" spans="1:27" s="484" customFormat="1" ht="23.25">
      <c r="A95" s="2127"/>
      <c r="B95" s="2001" t="s">
        <v>1770</v>
      </c>
      <c r="C95" s="1877"/>
      <c r="D95" s="1598">
        <f>SUM(E95:F95)</f>
        <v>11702.6</v>
      </c>
      <c r="E95" s="1903">
        <f>E104+E108</f>
        <v>11000.3</v>
      </c>
      <c r="F95" s="1903">
        <f>F104+F108</f>
        <v>702.3</v>
      </c>
      <c r="G95" s="1598">
        <f>SUM(H95:I95)</f>
        <v>11702.6</v>
      </c>
      <c r="H95" s="1903">
        <f>H104+H108</f>
        <v>11000.3</v>
      </c>
      <c r="I95" s="1903">
        <f>I104+I108</f>
        <v>702.3</v>
      </c>
      <c r="J95" s="1598">
        <f>SUM(K95:L95)</f>
        <v>611.5</v>
      </c>
      <c r="K95" s="1903">
        <f>K104+K108</f>
        <v>574.79999999999995</v>
      </c>
      <c r="L95" s="1903">
        <f>L104+L108</f>
        <v>36.700000000000003</v>
      </c>
      <c r="M95" s="1903">
        <f t="shared" si="16"/>
        <v>5.2</v>
      </c>
      <c r="N95" s="1903">
        <f t="shared" si="16"/>
        <v>5.2</v>
      </c>
      <c r="O95" s="1903">
        <f t="shared" si="16"/>
        <v>5.2</v>
      </c>
      <c r="P95" s="2129"/>
      <c r="Q95" s="2129"/>
      <c r="R95" s="1598"/>
      <c r="S95" s="1903"/>
      <c r="T95" s="1903"/>
      <c r="U95" s="1598"/>
      <c r="V95" s="1903"/>
      <c r="W95" s="1903"/>
      <c r="X95" s="1423"/>
      <c r="Y95" s="1423"/>
      <c r="Z95" s="1423"/>
      <c r="AA95" s="1423"/>
    </row>
    <row r="96" spans="1:27" s="484" customFormat="1" ht="23.25">
      <c r="A96" s="2127"/>
      <c r="B96" s="2001" t="s">
        <v>1700</v>
      </c>
      <c r="C96" s="1877"/>
      <c r="D96" s="1598">
        <f t="shared" si="21"/>
        <v>11025.1</v>
      </c>
      <c r="E96" s="1903">
        <f>E100+E105+E109+E118+E122+E126</f>
        <v>0</v>
      </c>
      <c r="F96" s="1903">
        <f>F100+F105+F109+F118+F122+F126</f>
        <v>11025.1</v>
      </c>
      <c r="G96" s="1598">
        <f>SUM(H96:I96)</f>
        <v>11025.1</v>
      </c>
      <c r="H96" s="1903">
        <f>H100+H105+H109+H118+H122+H126</f>
        <v>0</v>
      </c>
      <c r="I96" s="1903">
        <f>I100+I105+I109+I118+I122+I126</f>
        <v>11025.1</v>
      </c>
      <c r="J96" s="1598">
        <f>SUM(K96:L96)</f>
        <v>8480.2000000000007</v>
      </c>
      <c r="K96" s="1903">
        <f>K100+K105+K109+K118+K122+K126</f>
        <v>0</v>
      </c>
      <c r="L96" s="1903">
        <f>L100+L105+L109+L118+L122+L126</f>
        <v>8480.2000000000007</v>
      </c>
      <c r="M96" s="1903">
        <f t="shared" si="16"/>
        <v>76.900000000000006</v>
      </c>
      <c r="N96" s="1903">
        <f t="shared" si="16"/>
        <v>0</v>
      </c>
      <c r="O96" s="1903">
        <f t="shared" si="16"/>
        <v>76.900000000000006</v>
      </c>
      <c r="P96" s="2129"/>
      <c r="Q96" s="2129"/>
      <c r="R96" s="1598"/>
      <c r="S96" s="1903"/>
      <c r="T96" s="1903"/>
      <c r="U96" s="1598"/>
      <c r="V96" s="1903"/>
      <c r="W96" s="1903"/>
      <c r="X96" s="1423">
        <f t="shared" si="27"/>
        <v>0</v>
      </c>
      <c r="Y96" s="1423"/>
      <c r="Z96" s="1423"/>
      <c r="AA96" s="1423"/>
    </row>
    <row r="97" spans="1:27" s="484" customFormat="1" ht="23.25">
      <c r="A97" s="2127"/>
      <c r="B97" s="2126" t="s">
        <v>433</v>
      </c>
      <c r="C97" s="1882"/>
      <c r="D97" s="1602">
        <f t="shared" si="21"/>
        <v>12906.9</v>
      </c>
      <c r="E97" s="1603">
        <f>E98</f>
        <v>9575.2000000000007</v>
      </c>
      <c r="F97" s="1603">
        <f>F98</f>
        <v>3331.7</v>
      </c>
      <c r="G97" s="1602">
        <f t="shared" si="11"/>
        <v>12906.9</v>
      </c>
      <c r="H97" s="1603">
        <f t="shared" si="19"/>
        <v>9575.2000000000007</v>
      </c>
      <c r="I97" s="1603">
        <f t="shared" si="19"/>
        <v>3331.7</v>
      </c>
      <c r="J97" s="1602">
        <f t="shared" si="10"/>
        <v>12308.9</v>
      </c>
      <c r="K97" s="1603">
        <f>K98</f>
        <v>9575.2000000000007</v>
      </c>
      <c r="L97" s="1603">
        <f>L98</f>
        <v>2733.7</v>
      </c>
      <c r="M97" s="2130">
        <f t="shared" si="16"/>
        <v>95.4</v>
      </c>
      <c r="N97" s="2130">
        <f t="shared" si="16"/>
        <v>100</v>
      </c>
      <c r="O97" s="2130">
        <f t="shared" si="16"/>
        <v>82.1</v>
      </c>
      <c r="P97" s="2130">
        <f>SUM(P98)</f>
        <v>0</v>
      </c>
      <c r="Q97" s="2130">
        <f>SUM(Q98)</f>
        <v>0</v>
      </c>
      <c r="R97" s="1602">
        <f t="shared" si="23"/>
        <v>0</v>
      </c>
      <c r="S97" s="1603">
        <f>S98</f>
        <v>0</v>
      </c>
      <c r="T97" s="1603">
        <f>T98</f>
        <v>0</v>
      </c>
      <c r="U97" s="1602">
        <f t="shared" si="24"/>
        <v>0</v>
      </c>
      <c r="V97" s="1603">
        <f>V98</f>
        <v>0</v>
      </c>
      <c r="W97" s="1603">
        <f>W98</f>
        <v>0</v>
      </c>
      <c r="X97" s="1423">
        <f t="shared" si="27"/>
        <v>0</v>
      </c>
      <c r="Y97" s="1423"/>
      <c r="Z97" s="1423"/>
      <c r="AA97" s="1423"/>
    </row>
    <row r="98" spans="1:27" s="484" customFormat="1" ht="40.5" customHeight="1">
      <c r="A98" s="2127">
        <f>A90+1</f>
        <v>19</v>
      </c>
      <c r="B98" s="1905" t="s">
        <v>1563</v>
      </c>
      <c r="C98" s="1906"/>
      <c r="D98" s="1602">
        <f t="shared" si="21"/>
        <v>12906.9</v>
      </c>
      <c r="E98" s="1864">
        <f>E99+E100</f>
        <v>9575.2000000000007</v>
      </c>
      <c r="F98" s="1864">
        <f>F99+F100</f>
        <v>3331.7</v>
      </c>
      <c r="G98" s="1602">
        <f t="shared" si="11"/>
        <v>12906.9</v>
      </c>
      <c r="H98" s="1616">
        <f t="shared" si="19"/>
        <v>9575.2000000000007</v>
      </c>
      <c r="I98" s="1616">
        <f t="shared" si="19"/>
        <v>3331.7</v>
      </c>
      <c r="J98" s="1602">
        <f t="shared" si="10"/>
        <v>12308.9</v>
      </c>
      <c r="K98" s="1864">
        <f>K99+K100</f>
        <v>9575.2000000000007</v>
      </c>
      <c r="L98" s="1864">
        <f>L99+L100</f>
        <v>2733.7</v>
      </c>
      <c r="M98" s="1600">
        <f t="shared" si="16"/>
        <v>95.4</v>
      </c>
      <c r="N98" s="1907">
        <f t="shared" si="16"/>
        <v>100</v>
      </c>
      <c r="O98" s="1907">
        <f t="shared" si="16"/>
        <v>82.1</v>
      </c>
      <c r="P98" s="2124"/>
      <c r="Q98" s="2124"/>
      <c r="R98" s="1602">
        <f t="shared" si="23"/>
        <v>0</v>
      </c>
      <c r="S98" s="1864">
        <f>S99+S100</f>
        <v>0</v>
      </c>
      <c r="T98" s="1864">
        <f>T99+T100</f>
        <v>0</v>
      </c>
      <c r="U98" s="1602">
        <f t="shared" si="24"/>
        <v>0</v>
      </c>
      <c r="V98" s="1864">
        <f>V99+V100</f>
        <v>0</v>
      </c>
      <c r="W98" s="1864">
        <f>W99+W100</f>
        <v>0</v>
      </c>
      <c r="X98" s="1423">
        <f t="shared" si="27"/>
        <v>0</v>
      </c>
      <c r="Y98" s="1423"/>
      <c r="Z98" s="1423"/>
      <c r="AA98" s="1423"/>
    </row>
    <row r="99" spans="1:27" s="484" customFormat="1" ht="23.25">
      <c r="A99" s="2127"/>
      <c r="B99" s="1619" t="s">
        <v>1620</v>
      </c>
      <c r="C99" s="1906" t="s">
        <v>1630</v>
      </c>
      <c r="D99" s="1602">
        <f t="shared" si="21"/>
        <v>10186.5</v>
      </c>
      <c r="E99" s="1864">
        <v>9575.2000000000007</v>
      </c>
      <c r="F99" s="1864">
        <f>611.3</f>
        <v>611.29999999999995</v>
      </c>
      <c r="G99" s="1609">
        <f t="shared" si="11"/>
        <v>10186.5</v>
      </c>
      <c r="H99" s="1616">
        <f t="shared" si="19"/>
        <v>9575.2000000000007</v>
      </c>
      <c r="I99" s="1616">
        <f t="shared" si="19"/>
        <v>611.29999999999995</v>
      </c>
      <c r="J99" s="1602">
        <f t="shared" si="10"/>
        <v>10186.5</v>
      </c>
      <c r="K99" s="1864">
        <v>9575.2000000000007</v>
      </c>
      <c r="L99" s="1864">
        <v>611.29999999999995</v>
      </c>
      <c r="M99" s="1600">
        <f t="shared" si="16"/>
        <v>100</v>
      </c>
      <c r="N99" s="1907">
        <f t="shared" si="16"/>
        <v>100</v>
      </c>
      <c r="O99" s="1907">
        <f t="shared" si="16"/>
        <v>100</v>
      </c>
      <c r="P99" s="2124"/>
      <c r="Q99" s="2124"/>
      <c r="R99" s="1602">
        <f t="shared" si="23"/>
        <v>0</v>
      </c>
      <c r="S99" s="1614">
        <v>0</v>
      </c>
      <c r="T99" s="1614">
        <v>0</v>
      </c>
      <c r="U99" s="1602">
        <f t="shared" si="24"/>
        <v>0</v>
      </c>
      <c r="V99" s="1614">
        <v>0</v>
      </c>
      <c r="W99" s="1614">
        <v>0</v>
      </c>
      <c r="X99" s="1423">
        <f t="shared" si="27"/>
        <v>0</v>
      </c>
      <c r="Y99" s="1423"/>
      <c r="Z99" s="1423"/>
      <c r="AA99" s="1423"/>
    </row>
    <row r="100" spans="1:27" s="484" customFormat="1" ht="23.25">
      <c r="A100" s="2127"/>
      <c r="B100" s="1619" t="s">
        <v>1621</v>
      </c>
      <c r="C100" s="1906" t="s">
        <v>1631</v>
      </c>
      <c r="D100" s="1602">
        <f t="shared" si="21"/>
        <v>2720.4</v>
      </c>
      <c r="E100" s="1864"/>
      <c r="F100" s="1864">
        <f>5553.2-2832.8</f>
        <v>2720.4</v>
      </c>
      <c r="G100" s="1609">
        <f t="shared" si="11"/>
        <v>2720.4</v>
      </c>
      <c r="H100" s="1616">
        <f t="shared" si="19"/>
        <v>0</v>
      </c>
      <c r="I100" s="1864">
        <f>5553.2-2832.8</f>
        <v>2720.4</v>
      </c>
      <c r="J100" s="1602">
        <f t="shared" si="10"/>
        <v>2122.4</v>
      </c>
      <c r="K100" s="1864"/>
      <c r="L100" s="1864">
        <v>2122.4</v>
      </c>
      <c r="M100" s="1600">
        <f t="shared" si="16"/>
        <v>78</v>
      </c>
      <c r="N100" s="1907">
        <f t="shared" si="16"/>
        <v>0</v>
      </c>
      <c r="O100" s="1907">
        <f t="shared" si="16"/>
        <v>78</v>
      </c>
      <c r="P100" s="2124"/>
      <c r="Q100" s="2124"/>
      <c r="R100" s="1602">
        <f t="shared" si="23"/>
        <v>0</v>
      </c>
      <c r="S100" s="1614">
        <v>0</v>
      </c>
      <c r="T100" s="1614">
        <v>0</v>
      </c>
      <c r="U100" s="1602">
        <f t="shared" si="24"/>
        <v>0</v>
      </c>
      <c r="V100" s="1614">
        <v>0</v>
      </c>
      <c r="W100" s="1614">
        <v>0</v>
      </c>
      <c r="X100" s="1423">
        <f t="shared" si="27"/>
        <v>0</v>
      </c>
      <c r="Y100" s="1423"/>
      <c r="Z100" s="1423"/>
      <c r="AA100" s="1423"/>
    </row>
    <row r="101" spans="1:27" s="484" customFormat="1" ht="23.25">
      <c r="A101" s="2127"/>
      <c r="B101" s="2126" t="s">
        <v>583</v>
      </c>
      <c r="C101" s="1882"/>
      <c r="D101" s="1602">
        <f t="shared" si="21"/>
        <v>13521.5</v>
      </c>
      <c r="E101" s="2130">
        <f t="shared" ref="E101:W101" si="28">E102</f>
        <v>9214.7999999999993</v>
      </c>
      <c r="F101" s="2130">
        <f t="shared" si="28"/>
        <v>4306.7</v>
      </c>
      <c r="G101" s="1600">
        <f t="shared" si="11"/>
        <v>13521.5</v>
      </c>
      <c r="H101" s="2130">
        <f t="shared" si="19"/>
        <v>9214.7999999999993</v>
      </c>
      <c r="I101" s="2130">
        <f t="shared" si="19"/>
        <v>4306.7</v>
      </c>
      <c r="J101" s="1600">
        <f t="shared" si="10"/>
        <v>3718.3</v>
      </c>
      <c r="K101" s="1603">
        <f t="shared" si="28"/>
        <v>0</v>
      </c>
      <c r="L101" s="1603">
        <f t="shared" si="28"/>
        <v>3718.3</v>
      </c>
      <c r="M101" s="2130">
        <f t="shared" si="16"/>
        <v>27.5</v>
      </c>
      <c r="N101" s="2130">
        <f t="shared" si="16"/>
        <v>0</v>
      </c>
      <c r="O101" s="2130">
        <f t="shared" si="16"/>
        <v>86.3</v>
      </c>
      <c r="P101" s="2130">
        <f t="shared" si="28"/>
        <v>0</v>
      </c>
      <c r="Q101" s="2130">
        <f t="shared" si="28"/>
        <v>0</v>
      </c>
      <c r="R101" s="2130">
        <f t="shared" si="28"/>
        <v>0</v>
      </c>
      <c r="S101" s="2130">
        <f t="shared" si="28"/>
        <v>0</v>
      </c>
      <c r="T101" s="2130">
        <f t="shared" si="28"/>
        <v>0</v>
      </c>
      <c r="U101" s="2130">
        <f t="shared" si="28"/>
        <v>0</v>
      </c>
      <c r="V101" s="2130">
        <f t="shared" si="28"/>
        <v>0</v>
      </c>
      <c r="W101" s="2130">
        <f t="shared" si="28"/>
        <v>0</v>
      </c>
      <c r="X101" s="1423">
        <f t="shared" si="27"/>
        <v>0</v>
      </c>
      <c r="Y101" s="1423"/>
      <c r="Z101" s="1423"/>
      <c r="AA101" s="1423"/>
    </row>
    <row r="102" spans="1:27" s="484" customFormat="1" ht="27.75" customHeight="1">
      <c r="A102" s="2127">
        <f>A98+1</f>
        <v>20</v>
      </c>
      <c r="B102" s="1889" t="s">
        <v>1629</v>
      </c>
      <c r="C102" s="1882"/>
      <c r="D102" s="1602">
        <f>SUM(E102:F102)</f>
        <v>13521.5</v>
      </c>
      <c r="E102" s="1608">
        <f>E105+E104+E103</f>
        <v>9214.7999999999993</v>
      </c>
      <c r="F102" s="1608">
        <f>F105+F104+F103</f>
        <v>4306.7</v>
      </c>
      <c r="G102" s="1602">
        <f>SUM(H102:I102)</f>
        <v>12718.5</v>
      </c>
      <c r="H102" s="1608">
        <f>H105+H104+H103</f>
        <v>8460</v>
      </c>
      <c r="I102" s="1608">
        <f>I105+I104+I103</f>
        <v>4258.5</v>
      </c>
      <c r="J102" s="1602">
        <f>SUM(K102:L102)</f>
        <v>3718.3</v>
      </c>
      <c r="K102" s="1608">
        <f>K105+K104+K103</f>
        <v>0</v>
      </c>
      <c r="L102" s="1608">
        <f>L105+L104+L103</f>
        <v>3718.3</v>
      </c>
      <c r="M102" s="1604">
        <f t="shared" si="16"/>
        <v>29.2</v>
      </c>
      <c r="N102" s="1881">
        <f t="shared" si="16"/>
        <v>0</v>
      </c>
      <c r="O102" s="1881">
        <f t="shared" si="16"/>
        <v>87.3</v>
      </c>
      <c r="P102" s="2124"/>
      <c r="Q102" s="2124"/>
      <c r="R102" s="1602">
        <f t="shared" ref="R102:R196" si="29">SUM(S102:T102)</f>
        <v>0</v>
      </c>
      <c r="S102" s="1616">
        <f>S105</f>
        <v>0</v>
      </c>
      <c r="T102" s="1616">
        <f>T105</f>
        <v>0</v>
      </c>
      <c r="U102" s="1602">
        <f t="shared" ref="U102:U196" si="30">SUM(V102:W102)</f>
        <v>0</v>
      </c>
      <c r="V102" s="1616">
        <f>V105</f>
        <v>0</v>
      </c>
      <c r="W102" s="1616">
        <f>W105</f>
        <v>0</v>
      </c>
      <c r="X102" s="1423">
        <f t="shared" si="27"/>
        <v>803</v>
      </c>
      <c r="Y102" s="1423"/>
      <c r="Z102" s="1423"/>
      <c r="AA102" s="1423"/>
    </row>
    <row r="103" spans="1:27" s="484" customFormat="1" ht="27" customHeight="1">
      <c r="A103" s="2127"/>
      <c r="B103" s="1619" t="s">
        <v>1620</v>
      </c>
      <c r="C103" s="1882"/>
      <c r="D103" s="1602">
        <f>SUM(E103:F103)</f>
        <v>803</v>
      </c>
      <c r="E103" s="1865">
        <f>9214.8-8460</f>
        <v>754.8</v>
      </c>
      <c r="F103" s="1865">
        <f>588.3-540.1</f>
        <v>48.2</v>
      </c>
      <c r="G103" s="1619">
        <f>SUM(H103:I103)</f>
        <v>0</v>
      </c>
      <c r="H103" s="1608"/>
      <c r="I103" s="1608"/>
      <c r="J103" s="1600">
        <f>SUM(K103:L103)</f>
        <v>0</v>
      </c>
      <c r="K103" s="1864"/>
      <c r="L103" s="1864"/>
      <c r="M103" s="1600"/>
      <c r="N103" s="1907"/>
      <c r="O103" s="1907">
        <f t="shared" si="16"/>
        <v>0</v>
      </c>
      <c r="P103" s="2124"/>
      <c r="Q103" s="2124"/>
      <c r="R103" s="1602"/>
      <c r="S103" s="1616"/>
      <c r="T103" s="1616"/>
      <c r="U103" s="1602"/>
      <c r="V103" s="1616"/>
      <c r="W103" s="1616"/>
      <c r="X103" s="1423"/>
      <c r="Y103" s="1423"/>
      <c r="Z103" s="1423"/>
      <c r="AA103" s="1423"/>
    </row>
    <row r="104" spans="1:27" s="484" customFormat="1" ht="27" customHeight="1">
      <c r="A104" s="2127"/>
      <c r="B104" s="1619" t="s">
        <v>1770</v>
      </c>
      <c r="C104" s="1882"/>
      <c r="D104" s="1602">
        <f>SUM(E104:F104)</f>
        <v>9000.1</v>
      </c>
      <c r="E104" s="1865">
        <v>8460</v>
      </c>
      <c r="F104" s="1865">
        <v>540.1</v>
      </c>
      <c r="G104" s="1619">
        <f>SUM(H104:I104)</f>
        <v>9000.1</v>
      </c>
      <c r="H104" s="1608">
        <f>9214.8-754.8</f>
        <v>8460</v>
      </c>
      <c r="I104" s="1608">
        <f>588.3-48.2</f>
        <v>540.1</v>
      </c>
      <c r="J104" s="1600">
        <f>SUM(K104:L104)</f>
        <v>0</v>
      </c>
      <c r="K104" s="1864"/>
      <c r="L104" s="1864"/>
      <c r="M104" s="1600"/>
      <c r="N104" s="1907"/>
      <c r="O104" s="1907">
        <f t="shared" si="16"/>
        <v>0</v>
      </c>
      <c r="P104" s="2124"/>
      <c r="Q104" s="2124"/>
      <c r="R104" s="1602"/>
      <c r="S104" s="1616"/>
      <c r="T104" s="1616"/>
      <c r="U104" s="1602"/>
      <c r="V104" s="1616"/>
      <c r="W104" s="1616"/>
      <c r="X104" s="1423"/>
      <c r="Y104" s="1423"/>
      <c r="Z104" s="1423"/>
      <c r="AA104" s="1423"/>
    </row>
    <row r="105" spans="1:27" s="484" customFormat="1" ht="23.25">
      <c r="A105" s="2127"/>
      <c r="B105" s="1619" t="s">
        <v>1621</v>
      </c>
      <c r="C105" s="1906"/>
      <c r="D105" s="1602">
        <f t="shared" si="21"/>
        <v>3718.4</v>
      </c>
      <c r="E105" s="1865">
        <v>0</v>
      </c>
      <c r="F105" s="1865">
        <f>8870-5151.6</f>
        <v>3718.4</v>
      </c>
      <c r="G105" s="1619">
        <f t="shared" si="11"/>
        <v>3718.4</v>
      </c>
      <c r="H105" s="1608">
        <f t="shared" si="19"/>
        <v>0</v>
      </c>
      <c r="I105" s="1608">
        <f t="shared" si="19"/>
        <v>3718.4</v>
      </c>
      <c r="J105" s="1600">
        <f t="shared" si="10"/>
        <v>3718.3</v>
      </c>
      <c r="K105" s="1864"/>
      <c r="L105" s="1864">
        <v>3718.3</v>
      </c>
      <c r="M105" s="1600">
        <f t="shared" si="16"/>
        <v>100</v>
      </c>
      <c r="N105" s="1907">
        <f t="shared" si="16"/>
        <v>0</v>
      </c>
      <c r="O105" s="1907">
        <f t="shared" si="16"/>
        <v>100</v>
      </c>
      <c r="P105" s="2124"/>
      <c r="Q105" s="2124"/>
      <c r="R105" s="1602">
        <f t="shared" si="29"/>
        <v>0</v>
      </c>
      <c r="S105" s="1865">
        <v>0</v>
      </c>
      <c r="T105" s="1865">
        <v>0</v>
      </c>
      <c r="U105" s="1602">
        <f t="shared" si="30"/>
        <v>0</v>
      </c>
      <c r="V105" s="1865">
        <v>0</v>
      </c>
      <c r="W105" s="1865">
        <v>0</v>
      </c>
      <c r="X105" s="1423">
        <f t="shared" si="27"/>
        <v>0</v>
      </c>
      <c r="Y105" s="1423"/>
      <c r="Z105" s="1423"/>
      <c r="AA105" s="1423"/>
    </row>
    <row r="106" spans="1:27" s="484" customFormat="1" ht="25.5" customHeight="1">
      <c r="A106" s="2127"/>
      <c r="B106" s="2126" t="s">
        <v>1624</v>
      </c>
      <c r="C106" s="1882"/>
      <c r="D106" s="1602">
        <f t="shared" si="21"/>
        <v>2906.6</v>
      </c>
      <c r="E106" s="2131">
        <f>E107</f>
        <v>2540.3000000000002</v>
      </c>
      <c r="F106" s="2131">
        <f>F107</f>
        <v>366.3</v>
      </c>
      <c r="G106" s="1600">
        <f t="shared" si="11"/>
        <v>2906.6</v>
      </c>
      <c r="H106" s="2130">
        <f t="shared" si="19"/>
        <v>2540.3000000000002</v>
      </c>
      <c r="I106" s="2130">
        <f t="shared" si="19"/>
        <v>366.3</v>
      </c>
      <c r="J106" s="1600">
        <f t="shared" si="10"/>
        <v>815.5</v>
      </c>
      <c r="K106" s="1603">
        <f>K107</f>
        <v>574.79999999999995</v>
      </c>
      <c r="L106" s="1603">
        <f>L107</f>
        <v>240.7</v>
      </c>
      <c r="M106" s="2130">
        <f t="shared" si="16"/>
        <v>28.1</v>
      </c>
      <c r="N106" s="2130">
        <f t="shared" si="16"/>
        <v>22.6</v>
      </c>
      <c r="O106" s="2130">
        <f t="shared" si="16"/>
        <v>65.7</v>
      </c>
      <c r="P106" s="2130">
        <f>P107</f>
        <v>0</v>
      </c>
      <c r="Q106" s="2130">
        <f>Q107</f>
        <v>0</v>
      </c>
      <c r="R106" s="1602">
        <f t="shared" si="29"/>
        <v>0</v>
      </c>
      <c r="S106" s="1603">
        <f>S107</f>
        <v>0</v>
      </c>
      <c r="T106" s="1603">
        <f>T107</f>
        <v>0</v>
      </c>
      <c r="U106" s="1602">
        <f t="shared" si="30"/>
        <v>0</v>
      </c>
      <c r="V106" s="1603">
        <f>V107</f>
        <v>0</v>
      </c>
      <c r="W106" s="1603">
        <f>W107</f>
        <v>0</v>
      </c>
      <c r="X106" s="1423">
        <f t="shared" si="27"/>
        <v>0</v>
      </c>
      <c r="Y106" s="1423"/>
      <c r="Z106" s="1423"/>
      <c r="AA106" s="1423"/>
    </row>
    <row r="107" spans="1:27" s="484" customFormat="1" ht="45.75" customHeight="1">
      <c r="A107" s="2127">
        <f>A102+1</f>
        <v>21</v>
      </c>
      <c r="B107" s="1889" t="s">
        <v>1625</v>
      </c>
      <c r="C107" s="1882"/>
      <c r="D107" s="1602">
        <f t="shared" si="21"/>
        <v>2906.6</v>
      </c>
      <c r="E107" s="1616">
        <f>E108+E109</f>
        <v>2540.3000000000002</v>
      </c>
      <c r="F107" s="1616">
        <f>F108+F109</f>
        <v>366.3</v>
      </c>
      <c r="G107" s="1602">
        <f t="shared" si="11"/>
        <v>2906.6</v>
      </c>
      <c r="H107" s="1616">
        <f t="shared" si="19"/>
        <v>2540.3000000000002</v>
      </c>
      <c r="I107" s="1616">
        <f t="shared" si="19"/>
        <v>366.3</v>
      </c>
      <c r="J107" s="1602">
        <f t="shared" si="10"/>
        <v>815.5</v>
      </c>
      <c r="K107" s="1616">
        <f>K108+K109</f>
        <v>574.79999999999995</v>
      </c>
      <c r="L107" s="1616">
        <f>L108+L109</f>
        <v>240.7</v>
      </c>
      <c r="M107" s="1604">
        <f t="shared" si="16"/>
        <v>28.1</v>
      </c>
      <c r="N107" s="1881">
        <f t="shared" si="16"/>
        <v>22.6</v>
      </c>
      <c r="O107" s="1881">
        <f t="shared" si="16"/>
        <v>65.7</v>
      </c>
      <c r="P107" s="2124"/>
      <c r="Q107" s="2124"/>
      <c r="R107" s="1602">
        <f t="shared" si="29"/>
        <v>0</v>
      </c>
      <c r="S107" s="1616">
        <f>S109</f>
        <v>0</v>
      </c>
      <c r="T107" s="1616">
        <f>T109</f>
        <v>0</v>
      </c>
      <c r="U107" s="1602">
        <f t="shared" si="30"/>
        <v>0</v>
      </c>
      <c r="V107" s="1616">
        <f>V109</f>
        <v>0</v>
      </c>
      <c r="W107" s="1616">
        <f>W109</f>
        <v>0</v>
      </c>
      <c r="X107" s="1423">
        <f t="shared" si="27"/>
        <v>0</v>
      </c>
      <c r="Y107" s="1423"/>
      <c r="Z107" s="1423"/>
      <c r="AA107" s="1423"/>
    </row>
    <row r="108" spans="1:27" s="484" customFormat="1" ht="28.5" customHeight="1">
      <c r="A108" s="2127"/>
      <c r="B108" s="1619" t="s">
        <v>1770</v>
      </c>
      <c r="C108" s="1882"/>
      <c r="D108" s="1602">
        <f>SUM(E108:F108)</f>
        <v>2702.5</v>
      </c>
      <c r="E108" s="1864">
        <v>2540.3000000000002</v>
      </c>
      <c r="F108" s="1864">
        <v>162.19999999999999</v>
      </c>
      <c r="G108" s="1609">
        <f>SUM(H108:I108)</f>
        <v>2702.5</v>
      </c>
      <c r="H108" s="1616">
        <f t="shared" si="19"/>
        <v>2540.3000000000002</v>
      </c>
      <c r="I108" s="1616">
        <f t="shared" si="19"/>
        <v>162.19999999999999</v>
      </c>
      <c r="J108" s="1602">
        <f>SUM(K108:L108)</f>
        <v>611.5</v>
      </c>
      <c r="K108" s="1864">
        <v>574.79999999999995</v>
      </c>
      <c r="L108" s="1864">
        <v>36.700000000000003</v>
      </c>
      <c r="M108" s="1600"/>
      <c r="N108" s="1907"/>
      <c r="O108" s="1907"/>
      <c r="P108" s="2124"/>
      <c r="Q108" s="2124"/>
      <c r="R108" s="1602"/>
      <c r="S108" s="1616"/>
      <c r="T108" s="1616"/>
      <c r="U108" s="1602"/>
      <c r="V108" s="1616"/>
      <c r="W108" s="1616"/>
      <c r="X108" s="1423"/>
      <c r="Y108" s="1423"/>
      <c r="Z108" s="1423"/>
      <c r="AA108" s="1423"/>
    </row>
    <row r="109" spans="1:27" s="484" customFormat="1" ht="23.25">
      <c r="A109" s="2127"/>
      <c r="B109" s="1619" t="s">
        <v>1621</v>
      </c>
      <c r="C109" s="1906"/>
      <c r="D109" s="1602">
        <f t="shared" si="21"/>
        <v>204.1</v>
      </c>
      <c r="E109" s="1864"/>
      <c r="F109" s="1616">
        <f>2745.5-2541.4</f>
        <v>204.1</v>
      </c>
      <c r="G109" s="1609">
        <f t="shared" si="11"/>
        <v>204.1</v>
      </c>
      <c r="H109" s="1616">
        <f t="shared" si="19"/>
        <v>0</v>
      </c>
      <c r="I109" s="1616">
        <f>2745.5-2541.4</f>
        <v>204.1</v>
      </c>
      <c r="J109" s="1602">
        <f t="shared" si="10"/>
        <v>204</v>
      </c>
      <c r="K109" s="1864"/>
      <c r="L109" s="1864">
        <v>204</v>
      </c>
      <c r="M109" s="1600">
        <f t="shared" si="16"/>
        <v>100</v>
      </c>
      <c r="N109" s="1907">
        <f t="shared" si="16"/>
        <v>0</v>
      </c>
      <c r="O109" s="1907">
        <f t="shared" si="16"/>
        <v>100</v>
      </c>
      <c r="P109" s="2124"/>
      <c r="Q109" s="2124"/>
      <c r="R109" s="1602">
        <f t="shared" si="29"/>
        <v>0</v>
      </c>
      <c r="S109" s="1614">
        <v>0</v>
      </c>
      <c r="T109" s="1614">
        <v>0</v>
      </c>
      <c r="U109" s="1602">
        <f t="shared" si="30"/>
        <v>0</v>
      </c>
      <c r="V109" s="1614">
        <v>0</v>
      </c>
      <c r="W109" s="1614">
        <v>0</v>
      </c>
      <c r="X109" s="1423">
        <f t="shared" si="27"/>
        <v>0</v>
      </c>
      <c r="Y109" s="1423"/>
      <c r="Z109" s="1423"/>
      <c r="AA109" s="1423"/>
    </row>
    <row r="110" spans="1:27" s="484" customFormat="1" ht="19.5" customHeight="1">
      <c r="A110" s="2127"/>
      <c r="B110" s="2126" t="s">
        <v>1401</v>
      </c>
      <c r="C110" s="1882"/>
      <c r="D110" s="1600">
        <f t="shared" si="21"/>
        <v>0</v>
      </c>
      <c r="E110" s="2131">
        <f>E111</f>
        <v>0</v>
      </c>
      <c r="F110" s="2131">
        <f>F111</f>
        <v>0</v>
      </c>
      <c r="G110" s="1600">
        <f t="shared" si="11"/>
        <v>0</v>
      </c>
      <c r="H110" s="2130">
        <f t="shared" si="19"/>
        <v>0</v>
      </c>
      <c r="I110" s="2130">
        <f t="shared" si="19"/>
        <v>0</v>
      </c>
      <c r="J110" s="1600">
        <f t="shared" si="10"/>
        <v>0</v>
      </c>
      <c r="K110" s="1603">
        <f>K111</f>
        <v>0</v>
      </c>
      <c r="L110" s="1603">
        <f>L111</f>
        <v>0</v>
      </c>
      <c r="M110" s="2130">
        <f t="shared" si="16"/>
        <v>0</v>
      </c>
      <c r="N110" s="2130">
        <f t="shared" si="16"/>
        <v>0</v>
      </c>
      <c r="O110" s="2130">
        <f t="shared" si="16"/>
        <v>0</v>
      </c>
      <c r="P110" s="2130">
        <f>P111</f>
        <v>0</v>
      </c>
      <c r="Q110" s="2130">
        <f>Q111</f>
        <v>0</v>
      </c>
      <c r="R110" s="1602">
        <f t="shared" si="29"/>
        <v>0</v>
      </c>
      <c r="S110" s="1603">
        <f>S111</f>
        <v>0</v>
      </c>
      <c r="T110" s="1603">
        <f>T111</f>
        <v>0</v>
      </c>
      <c r="U110" s="1602">
        <f t="shared" si="30"/>
        <v>0</v>
      </c>
      <c r="V110" s="1603">
        <f>V111</f>
        <v>0</v>
      </c>
      <c r="W110" s="1603">
        <f>W111</f>
        <v>0</v>
      </c>
      <c r="X110" s="1423">
        <f t="shared" si="27"/>
        <v>0</v>
      </c>
      <c r="Y110" s="1423"/>
      <c r="Z110" s="1423"/>
      <c r="AA110" s="1423"/>
    </row>
    <row r="111" spans="1:27" s="484" customFormat="1" ht="40.5" customHeight="1">
      <c r="A111" s="2127">
        <f>A107+1</f>
        <v>22</v>
      </c>
      <c r="B111" s="1889" t="s">
        <v>681</v>
      </c>
      <c r="C111" s="1882"/>
      <c r="D111" s="1600">
        <f t="shared" si="21"/>
        <v>0</v>
      </c>
      <c r="E111" s="1608">
        <v>0</v>
      </c>
      <c r="F111" s="1608">
        <v>0</v>
      </c>
      <c r="G111" s="1619">
        <f t="shared" si="11"/>
        <v>0</v>
      </c>
      <c r="H111" s="1608">
        <f>E111</f>
        <v>0</v>
      </c>
      <c r="I111" s="1608">
        <f>F111</f>
        <v>0</v>
      </c>
      <c r="J111" s="1600">
        <f t="shared" ref="J111:J177" si="31">SUM(K111:L111)</f>
        <v>0</v>
      </c>
      <c r="K111" s="1616"/>
      <c r="L111" s="1616"/>
      <c r="M111" s="1604">
        <f t="shared" si="16"/>
        <v>0</v>
      </c>
      <c r="N111" s="1881">
        <f t="shared" si="16"/>
        <v>0</v>
      </c>
      <c r="O111" s="1881">
        <f t="shared" si="16"/>
        <v>0</v>
      </c>
      <c r="P111" s="2124"/>
      <c r="Q111" s="2124"/>
      <c r="R111" s="1602">
        <f t="shared" si="29"/>
        <v>0</v>
      </c>
      <c r="S111" s="1614">
        <v>0</v>
      </c>
      <c r="T111" s="1614">
        <v>0</v>
      </c>
      <c r="U111" s="1602">
        <f t="shared" si="30"/>
        <v>0</v>
      </c>
      <c r="V111" s="1614">
        <v>0</v>
      </c>
      <c r="W111" s="1614">
        <v>0</v>
      </c>
      <c r="X111" s="1423">
        <f t="shared" si="27"/>
        <v>0</v>
      </c>
      <c r="Y111" s="1423"/>
      <c r="Z111" s="1423"/>
      <c r="AA111" s="1423"/>
    </row>
    <row r="112" spans="1:27" s="484" customFormat="1" ht="27" customHeight="1">
      <c r="A112" s="2127"/>
      <c r="B112" s="2126" t="s">
        <v>1554</v>
      </c>
      <c r="C112" s="1882"/>
      <c r="D112" s="1600">
        <f t="shared" si="21"/>
        <v>150684.79999999999</v>
      </c>
      <c r="E112" s="2130">
        <f>E113+E116</f>
        <v>133221.5</v>
      </c>
      <c r="F112" s="2130">
        <f>SUM(F113:F116)</f>
        <v>17463.3</v>
      </c>
      <c r="G112" s="1600">
        <f t="shared" si="11"/>
        <v>150684.79999999999</v>
      </c>
      <c r="H112" s="2130">
        <f>H113+H116</f>
        <v>133221.5</v>
      </c>
      <c r="I112" s="2130">
        <f>SUM(I113:I116)</f>
        <v>17463.3</v>
      </c>
      <c r="J112" s="1600">
        <f t="shared" ref="J112" si="32">SUM(K112:L112)</f>
        <v>27683.5</v>
      </c>
      <c r="K112" s="2130">
        <f>K113+K116</f>
        <v>25872.7</v>
      </c>
      <c r="L112" s="2130">
        <f>SUM(L113:L116)</f>
        <v>1810.8</v>
      </c>
      <c r="M112" s="2130">
        <f t="shared" si="16"/>
        <v>18.399999999999999</v>
      </c>
      <c r="N112" s="2130">
        <f t="shared" si="16"/>
        <v>19.399999999999999</v>
      </c>
      <c r="O112" s="2130">
        <f t="shared" si="16"/>
        <v>10.4</v>
      </c>
      <c r="P112" s="2124"/>
      <c r="Q112" s="2124"/>
      <c r="R112" s="1602">
        <f t="shared" si="29"/>
        <v>0</v>
      </c>
      <c r="S112" s="1603">
        <f>SUM(S113:S116)</f>
        <v>0</v>
      </c>
      <c r="T112" s="1603">
        <f>SUM(T113:T116)</f>
        <v>0</v>
      </c>
      <c r="U112" s="1602">
        <f t="shared" si="30"/>
        <v>0</v>
      </c>
      <c r="V112" s="1603">
        <f>SUM(V113:V116)</f>
        <v>0</v>
      </c>
      <c r="W112" s="1603">
        <f>SUM(W113:W116)</f>
        <v>0</v>
      </c>
      <c r="X112" s="1423">
        <f t="shared" si="27"/>
        <v>0</v>
      </c>
      <c r="Y112" s="1423"/>
      <c r="Z112" s="1423"/>
      <c r="AA112" s="1423"/>
    </row>
    <row r="113" spans="1:27" s="484" customFormat="1" ht="42.75" customHeight="1">
      <c r="A113" s="2127">
        <f>A111+1</f>
        <v>23</v>
      </c>
      <c r="B113" s="1889" t="s">
        <v>1623</v>
      </c>
      <c r="C113" s="1882"/>
      <c r="D113" s="1600">
        <f t="shared" si="21"/>
        <v>114201.7</v>
      </c>
      <c r="E113" s="1608">
        <f>E114+E115</f>
        <v>107348.8</v>
      </c>
      <c r="F113" s="1608">
        <f>F114+F115</f>
        <v>6852.9</v>
      </c>
      <c r="G113" s="1600">
        <f t="shared" ref="G113:G186" si="33">SUM(H113:I113)</f>
        <v>114201.7</v>
      </c>
      <c r="H113" s="1608">
        <f>H114+H115</f>
        <v>107348.8</v>
      </c>
      <c r="I113" s="1608">
        <f>I114+I115</f>
        <v>6852.9</v>
      </c>
      <c r="J113" s="1600">
        <f t="shared" si="31"/>
        <v>0</v>
      </c>
      <c r="K113" s="1616">
        <f>K114+K115</f>
        <v>0</v>
      </c>
      <c r="L113" s="1616">
        <f>L114+L115</f>
        <v>0</v>
      </c>
      <c r="M113" s="1604">
        <f t="shared" si="16"/>
        <v>0</v>
      </c>
      <c r="N113" s="1881">
        <f t="shared" si="16"/>
        <v>0</v>
      </c>
      <c r="O113" s="1881">
        <f t="shared" si="16"/>
        <v>0</v>
      </c>
      <c r="P113" s="2124"/>
      <c r="Q113" s="2124"/>
      <c r="R113" s="1602">
        <f t="shared" si="29"/>
        <v>0</v>
      </c>
      <c r="S113" s="1614">
        <v>0</v>
      </c>
      <c r="T113" s="1614">
        <v>0</v>
      </c>
      <c r="U113" s="1602">
        <f t="shared" si="30"/>
        <v>0</v>
      </c>
      <c r="V113" s="1614">
        <v>0</v>
      </c>
      <c r="W113" s="1614">
        <v>0</v>
      </c>
      <c r="X113" s="1423">
        <f t="shared" si="27"/>
        <v>0</v>
      </c>
      <c r="Y113" s="1423"/>
      <c r="Z113" s="1423"/>
      <c r="AA113" s="1423"/>
    </row>
    <row r="114" spans="1:27" s="484" customFormat="1" ht="27.75" customHeight="1">
      <c r="A114" s="2127"/>
      <c r="B114" s="1619" t="s">
        <v>1620</v>
      </c>
      <c r="C114" s="1882"/>
      <c r="D114" s="1600">
        <f>SUM(E114:F114)</f>
        <v>39965.599999999999</v>
      </c>
      <c r="E114" s="1608">
        <v>37567.599999999999</v>
      </c>
      <c r="F114" s="1608">
        <v>2398</v>
      </c>
      <c r="G114" s="1619">
        <f>SUM(H114:I114)</f>
        <v>39965.599999999999</v>
      </c>
      <c r="H114" s="1608">
        <f>E114</f>
        <v>37567.599999999999</v>
      </c>
      <c r="I114" s="1608">
        <f>F114</f>
        <v>2398</v>
      </c>
      <c r="J114" s="1600">
        <f>SUM(K114:L114)</f>
        <v>0</v>
      </c>
      <c r="K114" s="1616"/>
      <c r="L114" s="1616"/>
      <c r="M114" s="1604">
        <f t="shared" si="16"/>
        <v>0</v>
      </c>
      <c r="N114" s="1881">
        <f t="shared" si="16"/>
        <v>0</v>
      </c>
      <c r="O114" s="1881">
        <f t="shared" si="16"/>
        <v>0</v>
      </c>
      <c r="P114" s="2124"/>
      <c r="Q114" s="2124"/>
      <c r="R114" s="1602"/>
      <c r="S114" s="1614"/>
      <c r="T114" s="1614"/>
      <c r="U114" s="1602"/>
      <c r="V114" s="1614"/>
      <c r="W114" s="1614"/>
      <c r="X114" s="1423"/>
      <c r="Y114" s="1423"/>
      <c r="Z114" s="1423"/>
      <c r="AA114" s="1423"/>
    </row>
    <row r="115" spans="1:27" s="484" customFormat="1" ht="26.25" customHeight="1">
      <c r="A115" s="2127"/>
      <c r="B115" s="1619" t="s">
        <v>1798</v>
      </c>
      <c r="C115" s="1882"/>
      <c r="D115" s="1602">
        <f>SUM(E115:F115)</f>
        <v>74236.100000000006</v>
      </c>
      <c r="E115" s="1616">
        <v>69781.2</v>
      </c>
      <c r="F115" s="1616">
        <v>4454.8999999999996</v>
      </c>
      <c r="G115" s="1609">
        <f>SUM(H115:I115)</f>
        <v>74236.100000000006</v>
      </c>
      <c r="H115" s="1616">
        <v>69781.2</v>
      </c>
      <c r="I115" s="1616">
        <v>4454.8999999999996</v>
      </c>
      <c r="J115" s="1602">
        <f>SUM(K115:L115)</f>
        <v>0</v>
      </c>
      <c r="K115" s="1616"/>
      <c r="L115" s="1616"/>
      <c r="M115" s="1604">
        <f t="shared" si="16"/>
        <v>0</v>
      </c>
      <c r="N115" s="1881">
        <f t="shared" si="16"/>
        <v>0</v>
      </c>
      <c r="O115" s="1881">
        <f t="shared" si="16"/>
        <v>0</v>
      </c>
      <c r="P115" s="2124"/>
      <c r="Q115" s="2124"/>
      <c r="R115" s="1602"/>
      <c r="S115" s="1614"/>
      <c r="T115" s="1614"/>
      <c r="U115" s="1602"/>
      <c r="V115" s="1614"/>
      <c r="W115" s="1614"/>
      <c r="X115" s="1423"/>
      <c r="Y115" s="1423"/>
      <c r="Z115" s="1423"/>
      <c r="AA115" s="1423"/>
    </row>
    <row r="116" spans="1:27" s="484" customFormat="1" ht="44.25" customHeight="1">
      <c r="A116" s="2127">
        <f>A113+1</f>
        <v>24</v>
      </c>
      <c r="B116" s="1889" t="s">
        <v>1660</v>
      </c>
      <c r="C116" s="1882"/>
      <c r="D116" s="1616">
        <f t="shared" si="21"/>
        <v>29630.2</v>
      </c>
      <c r="E116" s="1616">
        <f>E117+E118</f>
        <v>25872.7</v>
      </c>
      <c r="F116" s="1616">
        <f>F117+F118</f>
        <v>3757.5</v>
      </c>
      <c r="G116" s="1616">
        <f t="shared" si="33"/>
        <v>29630.2</v>
      </c>
      <c r="H116" s="1616">
        <f>H117+H118</f>
        <v>25872.7</v>
      </c>
      <c r="I116" s="1616">
        <f>I117+I118</f>
        <v>3757.5</v>
      </c>
      <c r="J116" s="1616">
        <f t="shared" si="31"/>
        <v>27683.5</v>
      </c>
      <c r="K116" s="1616">
        <f>K117+K118</f>
        <v>25872.7</v>
      </c>
      <c r="L116" s="1616">
        <f>L117+L118</f>
        <v>1810.8</v>
      </c>
      <c r="M116" s="1604">
        <f t="shared" si="16"/>
        <v>93.4</v>
      </c>
      <c r="N116" s="1881">
        <f t="shared" si="16"/>
        <v>100</v>
      </c>
      <c r="O116" s="1881">
        <f t="shared" si="16"/>
        <v>48.2</v>
      </c>
      <c r="P116" s="2124"/>
      <c r="Q116" s="2124"/>
      <c r="R116" s="1616">
        <f t="shared" si="29"/>
        <v>0</v>
      </c>
      <c r="S116" s="1616">
        <f>S118</f>
        <v>0</v>
      </c>
      <c r="T116" s="1616">
        <f>T118</f>
        <v>0</v>
      </c>
      <c r="U116" s="1616">
        <f t="shared" si="30"/>
        <v>0</v>
      </c>
      <c r="V116" s="1616">
        <f>V118</f>
        <v>0</v>
      </c>
      <c r="W116" s="1616">
        <f>W118</f>
        <v>0</v>
      </c>
      <c r="X116" s="1423">
        <f t="shared" si="27"/>
        <v>0</v>
      </c>
      <c r="Y116" s="1423"/>
      <c r="Z116" s="1423"/>
      <c r="AA116" s="1423"/>
    </row>
    <row r="117" spans="1:27" s="484" customFormat="1" ht="30.75" customHeight="1">
      <c r="A117" s="2127"/>
      <c r="B117" s="1619" t="s">
        <v>1798</v>
      </c>
      <c r="C117" s="1882"/>
      <c r="D117" s="1600">
        <f>SUM(E117:F117)</f>
        <v>27524.400000000001</v>
      </c>
      <c r="E117" s="1865">
        <v>25872.7</v>
      </c>
      <c r="F117" s="1865">
        <v>1651.7</v>
      </c>
      <c r="G117" s="1600">
        <f>SUM(H117:I117)</f>
        <v>27524.400000000001</v>
      </c>
      <c r="H117" s="1608">
        <v>25872.7</v>
      </c>
      <c r="I117" s="1608">
        <v>1651.7</v>
      </c>
      <c r="J117" s="1600">
        <f>SUM(K117:L117)</f>
        <v>27524.400000000001</v>
      </c>
      <c r="K117" s="1864">
        <v>25872.7</v>
      </c>
      <c r="L117" s="1864">
        <v>1651.7</v>
      </c>
      <c r="M117" s="1600">
        <f>IF(J117=0,0,J117/G117*100)</f>
        <v>100</v>
      </c>
      <c r="N117" s="1907">
        <f>IF(K117=0,0,K117/H117*100)</f>
        <v>100</v>
      </c>
      <c r="O117" s="1907">
        <f>IF(L117=0,0,L117/I117*100)</f>
        <v>100</v>
      </c>
      <c r="P117" s="2124"/>
      <c r="Q117" s="2124"/>
      <c r="R117" s="1616"/>
      <c r="S117" s="1616"/>
      <c r="T117" s="1616"/>
      <c r="U117" s="1616"/>
      <c r="V117" s="1616"/>
      <c r="W117" s="1616"/>
      <c r="X117" s="1423"/>
      <c r="Y117" s="1423"/>
      <c r="Z117" s="1423"/>
      <c r="AA117" s="1423"/>
    </row>
    <row r="118" spans="1:27" s="484" customFormat="1" ht="23.25">
      <c r="A118" s="2127"/>
      <c r="B118" s="1619" t="s">
        <v>1621</v>
      </c>
      <c r="C118" s="1906"/>
      <c r="D118" s="1600">
        <f t="shared" si="21"/>
        <v>2105.8000000000002</v>
      </c>
      <c r="E118" s="1865"/>
      <c r="F118" s="1865">
        <f>35698.6-33592.8</f>
        <v>2105.8000000000002</v>
      </c>
      <c r="G118" s="1600">
        <f t="shared" si="33"/>
        <v>2105.8000000000002</v>
      </c>
      <c r="H118" s="1608">
        <f t="shared" si="19"/>
        <v>0</v>
      </c>
      <c r="I118" s="1608">
        <f t="shared" si="19"/>
        <v>2105.8000000000002</v>
      </c>
      <c r="J118" s="1600">
        <f t="shared" si="31"/>
        <v>159.1</v>
      </c>
      <c r="K118" s="1864"/>
      <c r="L118" s="1864">
        <v>159.1</v>
      </c>
      <c r="M118" s="1600">
        <f t="shared" si="16"/>
        <v>7.6</v>
      </c>
      <c r="N118" s="1907">
        <f t="shared" si="16"/>
        <v>0</v>
      </c>
      <c r="O118" s="1907">
        <f t="shared" si="16"/>
        <v>7.6</v>
      </c>
      <c r="P118" s="2124"/>
      <c r="Q118" s="2124"/>
      <c r="R118" s="1609">
        <f t="shared" si="29"/>
        <v>0</v>
      </c>
      <c r="S118" s="1614">
        <v>0</v>
      </c>
      <c r="T118" s="1614">
        <v>0</v>
      </c>
      <c r="U118" s="1602">
        <f t="shared" si="30"/>
        <v>0</v>
      </c>
      <c r="V118" s="1614">
        <v>0</v>
      </c>
      <c r="W118" s="1614">
        <v>0</v>
      </c>
      <c r="X118" s="1423">
        <f t="shared" si="27"/>
        <v>0</v>
      </c>
      <c r="Y118" s="1423"/>
      <c r="Z118" s="1423"/>
      <c r="AA118" s="1423"/>
    </row>
    <row r="119" spans="1:27" s="484" customFormat="1" ht="23.25" hidden="1" customHeight="1">
      <c r="A119" s="2127"/>
      <c r="B119" s="1935" t="s">
        <v>712</v>
      </c>
      <c r="C119" s="1906"/>
      <c r="D119" s="1600" t="s">
        <v>332</v>
      </c>
      <c r="E119" s="1865"/>
      <c r="F119" s="1865"/>
      <c r="G119" s="1600"/>
      <c r="H119" s="1608"/>
      <c r="I119" s="1608"/>
      <c r="J119" s="1600"/>
      <c r="K119" s="1864"/>
      <c r="L119" s="1864"/>
      <c r="M119" s="1600"/>
      <c r="N119" s="1907"/>
      <c r="O119" s="1907"/>
      <c r="P119" s="2124"/>
      <c r="Q119" s="2124"/>
      <c r="R119" s="1609"/>
      <c r="S119" s="1614"/>
      <c r="T119" s="1614"/>
      <c r="U119" s="1602"/>
      <c r="V119" s="1614"/>
      <c r="W119" s="1614"/>
      <c r="X119" s="1423"/>
      <c r="Y119" s="1423"/>
      <c r="Z119" s="1423"/>
      <c r="AA119" s="1423"/>
    </row>
    <row r="120" spans="1:27" s="484" customFormat="1" ht="23.25">
      <c r="A120" s="2127">
        <f>A116+1</f>
        <v>25</v>
      </c>
      <c r="B120" s="2126" t="s">
        <v>1803</v>
      </c>
      <c r="C120" s="1906"/>
      <c r="D120" s="1600">
        <f>E120+F120</f>
        <v>2229.1999999999998</v>
      </c>
      <c r="E120" s="1865">
        <f>E121</f>
        <v>0</v>
      </c>
      <c r="F120" s="2130">
        <f>F121</f>
        <v>2229.1999999999998</v>
      </c>
      <c r="G120" s="1600">
        <f>H120+I120</f>
        <v>2229.1999999999998</v>
      </c>
      <c r="H120" s="1865">
        <f>H121</f>
        <v>0</v>
      </c>
      <c r="I120" s="1865">
        <f>I121</f>
        <v>2229.1999999999998</v>
      </c>
      <c r="J120" s="1600">
        <f>K120+L120</f>
        <v>2229.1999999999998</v>
      </c>
      <c r="K120" s="1864">
        <f>K121</f>
        <v>0</v>
      </c>
      <c r="L120" s="1864">
        <f>L121</f>
        <v>2229.1999999999998</v>
      </c>
      <c r="M120" s="1600"/>
      <c r="N120" s="1907"/>
      <c r="O120" s="1907"/>
      <c r="P120" s="2124"/>
      <c r="Q120" s="2124"/>
      <c r="R120" s="1609"/>
      <c r="S120" s="1614"/>
      <c r="T120" s="1614"/>
      <c r="U120" s="1602"/>
      <c r="V120" s="1614"/>
      <c r="W120" s="1614"/>
      <c r="X120" s="1423"/>
      <c r="Y120" s="1423"/>
      <c r="Z120" s="1423"/>
      <c r="AA120" s="1423"/>
    </row>
    <row r="121" spans="1:27" s="484" customFormat="1" ht="66" customHeight="1">
      <c r="A121" s="2127"/>
      <c r="B121" s="1905" t="s">
        <v>1802</v>
      </c>
      <c r="C121" s="1906"/>
      <c r="D121" s="1600">
        <f>E121+F121</f>
        <v>2229.1999999999998</v>
      </c>
      <c r="E121" s="1865">
        <f>E122</f>
        <v>0</v>
      </c>
      <c r="F121" s="1865">
        <f>F122</f>
        <v>2229.1999999999998</v>
      </c>
      <c r="G121" s="1619">
        <f>H121+I121</f>
        <v>2229.1999999999998</v>
      </c>
      <c r="H121" s="1865">
        <f>H122</f>
        <v>0</v>
      </c>
      <c r="I121" s="1865">
        <f>I122</f>
        <v>2229.1999999999998</v>
      </c>
      <c r="J121" s="1600">
        <f>K121+L121</f>
        <v>2229.1999999999998</v>
      </c>
      <c r="K121" s="1864">
        <f>K122</f>
        <v>0</v>
      </c>
      <c r="L121" s="1864">
        <f>L122</f>
        <v>2229.1999999999998</v>
      </c>
      <c r="M121" s="1600"/>
      <c r="N121" s="1907"/>
      <c r="O121" s="1907"/>
      <c r="P121" s="2124"/>
      <c r="Q121" s="2124"/>
      <c r="R121" s="1609"/>
      <c r="S121" s="1614"/>
      <c r="T121" s="1614"/>
      <c r="U121" s="1602"/>
      <c r="V121" s="1614"/>
      <c r="W121" s="1614"/>
      <c r="X121" s="1423"/>
      <c r="Y121" s="1423"/>
      <c r="Z121" s="1423"/>
      <c r="AA121" s="1423"/>
    </row>
    <row r="122" spans="1:27" s="484" customFormat="1" ht="23.25">
      <c r="A122" s="2127"/>
      <c r="B122" s="1619" t="s">
        <v>1621</v>
      </c>
      <c r="C122" s="1906"/>
      <c r="D122" s="1600">
        <f>SUM(E122:F122)</f>
        <v>2229.1999999999998</v>
      </c>
      <c r="E122" s="1865"/>
      <c r="F122" s="1865">
        <v>2229.1999999999998</v>
      </c>
      <c r="G122" s="1619">
        <f>SUM(H122:I122)</f>
        <v>2229.1999999999998</v>
      </c>
      <c r="H122" s="1608">
        <f>E122</f>
        <v>0</v>
      </c>
      <c r="I122" s="1608">
        <v>2229.1999999999998</v>
      </c>
      <c r="J122" s="1600">
        <f>SUM(K122:L122)</f>
        <v>2229.1999999999998</v>
      </c>
      <c r="K122" s="1864"/>
      <c r="L122" s="1864">
        <v>2229.1999999999998</v>
      </c>
      <c r="M122" s="1600">
        <f>IF(J122=0,0,J122/G122*100)</f>
        <v>100</v>
      </c>
      <c r="N122" s="1907">
        <f>IF(K122=0,0,K122/H122*100)</f>
        <v>0</v>
      </c>
      <c r="O122" s="1907">
        <f>IF(L122=0,0,L122/I122*100)</f>
        <v>100</v>
      </c>
      <c r="P122" s="2124"/>
      <c r="Q122" s="2124"/>
      <c r="R122" s="1609"/>
      <c r="S122" s="1614"/>
      <c r="T122" s="1614"/>
      <c r="U122" s="1602"/>
      <c r="V122" s="1614"/>
      <c r="W122" s="1614"/>
      <c r="X122" s="1423"/>
      <c r="Y122" s="1423"/>
      <c r="Z122" s="1423"/>
      <c r="AA122" s="1423"/>
    </row>
    <row r="123" spans="1:27" s="484" customFormat="1" ht="23.25">
      <c r="A123" s="2127"/>
      <c r="B123" s="2126" t="s">
        <v>1626</v>
      </c>
      <c r="C123" s="1882"/>
      <c r="D123" s="1602">
        <f t="shared" si="21"/>
        <v>2164.3000000000002</v>
      </c>
      <c r="E123" s="1603">
        <f>E124</f>
        <v>1990</v>
      </c>
      <c r="F123" s="1603">
        <f>F124</f>
        <v>174.3</v>
      </c>
      <c r="G123" s="1602">
        <f>G124</f>
        <v>2164.3000000000002</v>
      </c>
      <c r="H123" s="1603">
        <f t="shared" si="19"/>
        <v>1990</v>
      </c>
      <c r="I123" s="1603">
        <f>I124</f>
        <v>174.3</v>
      </c>
      <c r="J123" s="1602">
        <f t="shared" si="31"/>
        <v>2103</v>
      </c>
      <c r="K123" s="1603">
        <f>K124</f>
        <v>1932.4</v>
      </c>
      <c r="L123" s="1603">
        <f>L124</f>
        <v>170.6</v>
      </c>
      <c r="M123" s="2130">
        <f t="shared" si="16"/>
        <v>97.2</v>
      </c>
      <c r="N123" s="2130">
        <f t="shared" si="16"/>
        <v>97.1</v>
      </c>
      <c r="O123" s="2130">
        <f t="shared" si="16"/>
        <v>97.9</v>
      </c>
      <c r="P123" s="2124"/>
      <c r="Q123" s="2124"/>
      <c r="R123" s="1602">
        <f t="shared" si="29"/>
        <v>0</v>
      </c>
      <c r="S123" s="1603">
        <f>S124</f>
        <v>0</v>
      </c>
      <c r="T123" s="1603">
        <f>T124</f>
        <v>0</v>
      </c>
      <c r="U123" s="1602">
        <f t="shared" si="30"/>
        <v>0</v>
      </c>
      <c r="V123" s="1603">
        <f>V124</f>
        <v>0</v>
      </c>
      <c r="W123" s="1603">
        <f>W124</f>
        <v>0</v>
      </c>
      <c r="X123" s="1423">
        <f t="shared" si="27"/>
        <v>0</v>
      </c>
      <c r="Y123" s="1423"/>
      <c r="Z123" s="1423"/>
      <c r="AA123" s="1423"/>
    </row>
    <row r="124" spans="1:27" s="484" customFormat="1" ht="37.5">
      <c r="A124" s="2127">
        <f>A120+1</f>
        <v>26</v>
      </c>
      <c r="B124" s="1889" t="s">
        <v>1627</v>
      </c>
      <c r="C124" s="1882"/>
      <c r="D124" s="1600">
        <f t="shared" si="21"/>
        <v>2164.3000000000002</v>
      </c>
      <c r="E124" s="1616">
        <f>SUBTOTAL(9,E125:E126)</f>
        <v>1990</v>
      </c>
      <c r="F124" s="1616">
        <f>SUBTOTAL(9,F125:F126)</f>
        <v>174.3</v>
      </c>
      <c r="G124" s="1600">
        <f t="shared" si="33"/>
        <v>2164.3000000000002</v>
      </c>
      <c r="H124" s="1616">
        <f>SUBTOTAL(9,H125:H126)</f>
        <v>1990</v>
      </c>
      <c r="I124" s="1616">
        <f>SUBTOTAL(9,I125:I126)</f>
        <v>174.3</v>
      </c>
      <c r="J124" s="1600">
        <f t="shared" si="31"/>
        <v>2103</v>
      </c>
      <c r="K124" s="1608">
        <f>K125+K126</f>
        <v>1932.4</v>
      </c>
      <c r="L124" s="1608">
        <f>L125+L126</f>
        <v>170.6</v>
      </c>
      <c r="M124" s="1604">
        <f t="shared" si="16"/>
        <v>97.2</v>
      </c>
      <c r="N124" s="1881">
        <f t="shared" si="16"/>
        <v>97.1</v>
      </c>
      <c r="O124" s="1881">
        <f t="shared" si="16"/>
        <v>97.9</v>
      </c>
      <c r="P124" s="2124"/>
      <c r="Q124" s="2124"/>
      <c r="R124" s="1600">
        <f t="shared" si="29"/>
        <v>0</v>
      </c>
      <c r="S124" s="1608">
        <f>S126</f>
        <v>0</v>
      </c>
      <c r="T124" s="1608">
        <f>T126</f>
        <v>0</v>
      </c>
      <c r="U124" s="1600">
        <f t="shared" si="30"/>
        <v>0</v>
      </c>
      <c r="V124" s="1608">
        <f>V126</f>
        <v>0</v>
      </c>
      <c r="W124" s="1608">
        <f>W126</f>
        <v>0</v>
      </c>
      <c r="X124" s="1423">
        <f t="shared" si="27"/>
        <v>0</v>
      </c>
      <c r="Y124" s="1423"/>
      <c r="Z124" s="1423"/>
      <c r="AA124" s="1423"/>
    </row>
    <row r="125" spans="1:27" s="484" customFormat="1" ht="23.25">
      <c r="A125" s="2127"/>
      <c r="B125" s="1619" t="s">
        <v>1798</v>
      </c>
      <c r="C125" s="1882"/>
      <c r="D125" s="1600">
        <f>SUM(E125:F125)</f>
        <v>2117.1</v>
      </c>
      <c r="E125" s="1865">
        <v>1990</v>
      </c>
      <c r="F125" s="1865">
        <v>127.1</v>
      </c>
      <c r="G125" s="1619">
        <f>SUM(H125:I125)</f>
        <v>2117.1</v>
      </c>
      <c r="H125" s="1865">
        <v>1990</v>
      </c>
      <c r="I125" s="1865">
        <v>127.1</v>
      </c>
      <c r="J125" s="1600">
        <f>SUM(K125:L125)</f>
        <v>2055.8000000000002</v>
      </c>
      <c r="K125" s="1865">
        <v>1932.4</v>
      </c>
      <c r="L125" s="1865">
        <v>123.4</v>
      </c>
      <c r="M125" s="1600">
        <f>IF(J125=0,0,J125/G125*100)</f>
        <v>97.1</v>
      </c>
      <c r="N125" s="1907">
        <f>IF(K125=0,0,K125/H125*100)</f>
        <v>97.1</v>
      </c>
      <c r="O125" s="1907">
        <f>IF(L125=0,0,L125/I125*100)</f>
        <v>97.1</v>
      </c>
      <c r="P125" s="2124"/>
      <c r="Q125" s="2124"/>
      <c r="R125" s="1600"/>
      <c r="S125" s="1608"/>
      <c r="T125" s="1608"/>
      <c r="U125" s="1600"/>
      <c r="V125" s="1608"/>
      <c r="W125" s="1608"/>
      <c r="X125" s="1423"/>
      <c r="Y125" s="1423"/>
      <c r="Z125" s="1423"/>
      <c r="AA125" s="1423"/>
    </row>
    <row r="126" spans="1:27" s="484" customFormat="1" ht="23.25">
      <c r="A126" s="2127"/>
      <c r="B126" s="1619" t="s">
        <v>1621</v>
      </c>
      <c r="C126" s="1906"/>
      <c r="D126" s="1600">
        <f t="shared" si="21"/>
        <v>47.2</v>
      </c>
      <c r="E126" s="1865"/>
      <c r="F126" s="1616">
        <f>2446-2398.8</f>
        <v>47.2</v>
      </c>
      <c r="G126" s="1619">
        <f t="shared" si="33"/>
        <v>47.2</v>
      </c>
      <c r="H126" s="1616">
        <f t="shared" si="19"/>
        <v>0</v>
      </c>
      <c r="I126" s="1616">
        <f>2446-2398.8</f>
        <v>47.2</v>
      </c>
      <c r="J126" s="1600">
        <f t="shared" si="31"/>
        <v>47.2</v>
      </c>
      <c r="K126" s="1865"/>
      <c r="L126" s="1865">
        <v>47.2</v>
      </c>
      <c r="M126" s="1600">
        <f t="shared" si="16"/>
        <v>100</v>
      </c>
      <c r="N126" s="1907">
        <f t="shared" si="16"/>
        <v>0</v>
      </c>
      <c r="O126" s="1907">
        <f t="shared" si="16"/>
        <v>100</v>
      </c>
      <c r="P126" s="2124"/>
      <c r="Q126" s="2124"/>
      <c r="R126" s="1600">
        <f t="shared" si="29"/>
        <v>0</v>
      </c>
      <c r="S126" s="1614">
        <v>0</v>
      </c>
      <c r="T126" s="1614">
        <v>0</v>
      </c>
      <c r="U126" s="1600">
        <f t="shared" si="30"/>
        <v>0</v>
      </c>
      <c r="V126" s="1614">
        <v>0</v>
      </c>
      <c r="W126" s="1614">
        <v>0</v>
      </c>
      <c r="X126" s="1423">
        <f t="shared" si="27"/>
        <v>0</v>
      </c>
      <c r="Y126" s="1423"/>
      <c r="Z126" s="1423"/>
      <c r="AA126" s="1423"/>
    </row>
    <row r="127" spans="1:27" ht="93.75">
      <c r="A127" s="2070" t="s">
        <v>2</v>
      </c>
      <c r="B127" s="1876" t="s">
        <v>1434</v>
      </c>
      <c r="C127" s="1877"/>
      <c r="D127" s="1598">
        <f t="shared" si="21"/>
        <v>6526266.0999999996</v>
      </c>
      <c r="E127" s="1598">
        <f>SUM(E128,E179)</f>
        <v>5142823</v>
      </c>
      <c r="F127" s="1598">
        <f>SUM(F128,F179)</f>
        <v>1383443.1</v>
      </c>
      <c r="G127" s="1598">
        <f t="shared" si="33"/>
        <v>6526266.0999999996</v>
      </c>
      <c r="H127" s="1598">
        <f>SUM(H128,H179)</f>
        <v>5142823</v>
      </c>
      <c r="I127" s="1598">
        <f>SUM(I128,I179)</f>
        <v>1383443.1</v>
      </c>
      <c r="J127" s="1598">
        <f t="shared" si="31"/>
        <v>3038240.6</v>
      </c>
      <c r="K127" s="1598">
        <f>SUM(K128,K179)</f>
        <v>2386776.9</v>
      </c>
      <c r="L127" s="1598">
        <f>SUM(L128,L179)</f>
        <v>651463.69999999995</v>
      </c>
      <c r="M127" s="1908">
        <f t="shared" si="16"/>
        <v>46.6</v>
      </c>
      <c r="N127" s="1909">
        <f t="shared" si="16"/>
        <v>46.4</v>
      </c>
      <c r="O127" s="1909">
        <f t="shared" si="16"/>
        <v>47.1</v>
      </c>
      <c r="P127" s="1622" t="s">
        <v>353</v>
      </c>
      <c r="Q127" s="1622" t="s">
        <v>353</v>
      </c>
      <c r="R127" s="1861" t="e">
        <f t="shared" si="29"/>
        <v>#REF!</v>
      </c>
      <c r="S127" s="1861" t="e">
        <f>SUM(S128,S179)</f>
        <v>#REF!</v>
      </c>
      <c r="T127" s="1861" t="e">
        <f>SUM(T128,T179)</f>
        <v>#REF!</v>
      </c>
      <c r="U127" s="1861" t="e">
        <f t="shared" si="30"/>
        <v>#REF!</v>
      </c>
      <c r="V127" s="1861" t="e">
        <f>SUM(V128,V179)</f>
        <v>#REF!</v>
      </c>
      <c r="W127" s="1861" t="e">
        <f>SUM(W128,W179)</f>
        <v>#REF!</v>
      </c>
      <c r="X127" s="1423">
        <f t="shared" si="27"/>
        <v>0</v>
      </c>
      <c r="Y127" s="1423"/>
      <c r="Z127" s="1423"/>
      <c r="AA127" s="1423"/>
    </row>
    <row r="128" spans="1:27" ht="23.25">
      <c r="A128" s="2127" t="s">
        <v>246</v>
      </c>
      <c r="B128" s="1876" t="s">
        <v>1393</v>
      </c>
      <c r="C128" s="1877"/>
      <c r="D128" s="1598">
        <f t="shared" si="21"/>
        <v>169299.20000000001</v>
      </c>
      <c r="E128" s="1598">
        <f>SUM(E129,E168)</f>
        <v>0</v>
      </c>
      <c r="F128" s="1598">
        <f>SUM(F129,F168)</f>
        <v>169299.20000000001</v>
      </c>
      <c r="G128" s="1598">
        <f t="shared" si="33"/>
        <v>169299.20000000001</v>
      </c>
      <c r="H128" s="1598">
        <f>SUM(H129,H168)</f>
        <v>0</v>
      </c>
      <c r="I128" s="1598">
        <f>SUM(I129,I168)</f>
        <v>169299.20000000001</v>
      </c>
      <c r="J128" s="1598">
        <f t="shared" ref="J128" si="34">SUM(K128:L128)</f>
        <v>108487.8</v>
      </c>
      <c r="K128" s="1598">
        <f>SUM(K129,K168)</f>
        <v>0</v>
      </c>
      <c r="L128" s="1598">
        <f>SUM(L129,L168)</f>
        <v>108487.8</v>
      </c>
      <c r="M128" s="1908">
        <f t="shared" si="16"/>
        <v>64.099999999999994</v>
      </c>
      <c r="N128" s="1909">
        <f t="shared" si="16"/>
        <v>0</v>
      </c>
      <c r="O128" s="1909">
        <f t="shared" si="16"/>
        <v>64.099999999999994</v>
      </c>
      <c r="P128" s="1599" t="s">
        <v>353</v>
      </c>
      <c r="Q128" s="1599" t="s">
        <v>353</v>
      </c>
      <c r="R128" s="1598">
        <f t="shared" si="29"/>
        <v>39180</v>
      </c>
      <c r="S128" s="1598">
        <f>SUM(S129,S168)</f>
        <v>0</v>
      </c>
      <c r="T128" s="1598">
        <f>SUM(T129,T168)</f>
        <v>39180</v>
      </c>
      <c r="U128" s="1598">
        <f>SUM(V128:W128)</f>
        <v>0</v>
      </c>
      <c r="V128" s="1598">
        <f>SUM(V129,V168)</f>
        <v>0</v>
      </c>
      <c r="W128" s="1598">
        <f>SUM(W129,W168)</f>
        <v>0</v>
      </c>
      <c r="X128" s="1423">
        <f t="shared" si="27"/>
        <v>0</v>
      </c>
      <c r="Y128" s="1423"/>
      <c r="Z128" s="1423"/>
      <c r="AA128" s="1423"/>
    </row>
    <row r="129" spans="1:27" ht="23.25">
      <c r="A129" s="2127" t="s">
        <v>247</v>
      </c>
      <c r="B129" s="1935" t="s">
        <v>529</v>
      </c>
      <c r="C129" s="1906"/>
      <c r="D129" s="1600">
        <f>SUM(E129:F129)</f>
        <v>128682.3</v>
      </c>
      <c r="E129" s="1600">
        <f>E133+E135+E148+E150+E152+E155+E157+E158+E159+E160+E163+E164+E165+E166+E167+E132</f>
        <v>0</v>
      </c>
      <c r="F129" s="1600">
        <f>F133+F135+F148+F150+F152+F155+F157+F158+F159+F160+F163+F164+F165+F166+F167+F132</f>
        <v>128682.3</v>
      </c>
      <c r="G129" s="1600">
        <f>SUM(H129:I129)</f>
        <v>128682.3</v>
      </c>
      <c r="H129" s="1600">
        <f>H133+H135+H148+H150+H152+H155+H157+H158+H159+H160+H163+H164+H165+H166+H167+H132</f>
        <v>0</v>
      </c>
      <c r="I129" s="1600">
        <f>I133+I135+I148+I150+I152+I155+I157+I158+I159+I160+I163+I164+I165+I166+I167+I132</f>
        <v>128682.3</v>
      </c>
      <c r="J129" s="1600">
        <f>SUM(K129:L129)</f>
        <v>96886.5</v>
      </c>
      <c r="K129" s="1600">
        <f>K133+K135+K148+K150+K152+K155+K157+K158+K159+K160+K163+K164+K165+K166+K167+K132</f>
        <v>0</v>
      </c>
      <c r="L129" s="1600">
        <f>L133+L135+L148+L150+L152+L155+L157+L158+L159+L160+L163+L164+L165+L166+L167+L132</f>
        <v>96886.5</v>
      </c>
      <c r="M129" s="1620">
        <f t="shared" si="16"/>
        <v>75.3</v>
      </c>
      <c r="N129" s="1907">
        <f t="shared" si="16"/>
        <v>0</v>
      </c>
      <c r="O129" s="1907">
        <f t="shared" si="16"/>
        <v>75.3</v>
      </c>
      <c r="P129" s="1599"/>
      <c r="Q129" s="1599"/>
      <c r="R129" s="1899">
        <f t="shared" si="29"/>
        <v>38180</v>
      </c>
      <c r="S129" s="1899">
        <f>SUM(S130:S160)</f>
        <v>0</v>
      </c>
      <c r="T129" s="1899">
        <f>SUM(T130:T160)</f>
        <v>38180</v>
      </c>
      <c r="U129" s="1899">
        <f t="shared" si="30"/>
        <v>0</v>
      </c>
      <c r="V129" s="1899">
        <f>SUM(V130:V160)</f>
        <v>0</v>
      </c>
      <c r="W129" s="1899">
        <f>SUM(W130:W160)</f>
        <v>0</v>
      </c>
      <c r="X129" s="1423">
        <f t="shared" si="27"/>
        <v>0</v>
      </c>
      <c r="Y129" s="1423"/>
      <c r="Z129" s="1423"/>
      <c r="AA129" s="1423"/>
    </row>
    <row r="130" spans="1:27" s="1570" customFormat="1" ht="24.75" hidden="1" customHeight="1">
      <c r="A130" s="2127"/>
      <c r="B130" s="1885" t="s">
        <v>1588</v>
      </c>
      <c r="C130" s="2127" t="s">
        <v>1612</v>
      </c>
      <c r="D130" s="1600">
        <f t="shared" si="21"/>
        <v>106323.6</v>
      </c>
      <c r="E130" s="1614"/>
      <c r="F130" s="1600">
        <f t="shared" ref="F130:F131" si="35">F134+F136+F149+F151+F153+F156+F158+F159+F160+F161+F164+F165+F166+F167+F168</f>
        <v>106323.6</v>
      </c>
      <c r="G130" s="1600">
        <f t="shared" si="33"/>
        <v>106323.6</v>
      </c>
      <c r="H130" s="1614">
        <f t="shared" si="19"/>
        <v>0</v>
      </c>
      <c r="I130" s="1614">
        <f t="shared" si="19"/>
        <v>106323.6</v>
      </c>
      <c r="J130" s="1600">
        <f t="shared" si="31"/>
        <v>0</v>
      </c>
      <c r="K130" s="1614"/>
      <c r="L130" s="1614"/>
      <c r="M130" s="1604">
        <f t="shared" si="16"/>
        <v>0</v>
      </c>
      <c r="N130" s="1881">
        <f t="shared" si="16"/>
        <v>0</v>
      </c>
      <c r="O130" s="1881">
        <f t="shared" si="16"/>
        <v>0</v>
      </c>
      <c r="P130" s="2124"/>
      <c r="Q130" s="1612"/>
      <c r="R130" s="1600">
        <f t="shared" si="29"/>
        <v>0</v>
      </c>
      <c r="S130" s="1614">
        <v>0</v>
      </c>
      <c r="T130" s="1614">
        <v>0</v>
      </c>
      <c r="U130" s="1600">
        <f t="shared" si="30"/>
        <v>0</v>
      </c>
      <c r="V130" s="1614">
        <v>0</v>
      </c>
      <c r="W130" s="1614">
        <v>0</v>
      </c>
      <c r="Y130" s="1423"/>
      <c r="Z130" s="1423"/>
      <c r="AA130" s="1423"/>
    </row>
    <row r="131" spans="1:27" ht="23.25" hidden="1" customHeight="1">
      <c r="A131" s="1866"/>
      <c r="B131" s="2071" t="s">
        <v>1592</v>
      </c>
      <c r="C131" s="1913">
        <v>14038</v>
      </c>
      <c r="D131" s="1600">
        <f t="shared" si="21"/>
        <v>136694.9</v>
      </c>
      <c r="E131" s="1608"/>
      <c r="F131" s="1600">
        <f t="shared" si="35"/>
        <v>136694.9</v>
      </c>
      <c r="G131" s="1600">
        <f t="shared" si="33"/>
        <v>136694.9</v>
      </c>
      <c r="H131" s="1616">
        <f t="shared" si="19"/>
        <v>0</v>
      </c>
      <c r="I131" s="1616">
        <f t="shared" si="19"/>
        <v>136694.9</v>
      </c>
      <c r="J131" s="1600">
        <f t="shared" si="31"/>
        <v>0</v>
      </c>
      <c r="K131" s="1608"/>
      <c r="L131" s="1608"/>
      <c r="M131" s="1893">
        <f t="shared" si="16"/>
        <v>0</v>
      </c>
      <c r="N131" s="1894">
        <f t="shared" si="16"/>
        <v>0</v>
      </c>
      <c r="O131" s="1894">
        <f t="shared" si="16"/>
        <v>0</v>
      </c>
      <c r="P131" s="2124"/>
      <c r="Q131" s="2124"/>
      <c r="R131" s="1600">
        <f t="shared" si="29"/>
        <v>0</v>
      </c>
      <c r="S131" s="1614">
        <v>0</v>
      </c>
      <c r="T131" s="1614">
        <v>0</v>
      </c>
      <c r="U131" s="1600">
        <f t="shared" si="30"/>
        <v>0</v>
      </c>
      <c r="V131" s="1614">
        <v>0</v>
      </c>
      <c r="W131" s="1614">
        <v>0</v>
      </c>
      <c r="X131" s="1423">
        <f>D131-G131</f>
        <v>0</v>
      </c>
      <c r="Y131" s="1423"/>
      <c r="Z131" s="1423"/>
      <c r="AA131" s="1423"/>
    </row>
    <row r="132" spans="1:27" ht="23.25">
      <c r="A132" s="1866"/>
      <c r="B132" s="2146"/>
      <c r="C132" s="1913"/>
      <c r="D132" s="2016">
        <f t="shared" ref="D132" si="36">SUM(E132:F132)</f>
        <v>9437</v>
      </c>
      <c r="E132" s="2145"/>
      <c r="F132" s="2145">
        <v>9437</v>
      </c>
      <c r="G132" s="2016">
        <f t="shared" ref="G132" si="37">SUM(H132:I132)</f>
        <v>9437</v>
      </c>
      <c r="H132" s="2145">
        <f t="shared" ref="H132" si="38">E132</f>
        <v>0</v>
      </c>
      <c r="I132" s="2145">
        <f t="shared" ref="I132" si="39">F132</f>
        <v>9437</v>
      </c>
      <c r="J132" s="2016">
        <f t="shared" ref="J132" si="40">SUM(K132:L132)</f>
        <v>0</v>
      </c>
      <c r="K132" s="2145"/>
      <c r="L132" s="2145"/>
      <c r="M132" s="2147">
        <f t="shared" ref="M132" si="41">IF(J132=0,0,J132/G132*100)</f>
        <v>0</v>
      </c>
      <c r="N132" s="2148">
        <f t="shared" ref="N132" si="42">IF(K132=0,0,K132/H132*100)</f>
        <v>0</v>
      </c>
      <c r="O132" s="2148">
        <f t="shared" ref="O132" si="43">IF(L132=0,0,L132/I132*100)</f>
        <v>0</v>
      </c>
      <c r="P132" s="2124"/>
      <c r="Q132" s="2124"/>
      <c r="R132" s="1600"/>
      <c r="S132" s="1614"/>
      <c r="T132" s="1614"/>
      <c r="U132" s="1600"/>
      <c r="V132" s="1614"/>
      <c r="W132" s="1614"/>
      <c r="X132" s="1423"/>
      <c r="Y132" s="1423"/>
      <c r="Z132" s="1423"/>
      <c r="AA132" s="1423"/>
    </row>
    <row r="133" spans="1:27" ht="37.5">
      <c r="A133" s="2127">
        <f>A124+1</f>
        <v>27</v>
      </c>
      <c r="B133" s="1889" t="s">
        <v>1657</v>
      </c>
      <c r="C133" s="2128"/>
      <c r="D133" s="1600">
        <f t="shared" si="21"/>
        <v>600</v>
      </c>
      <c r="E133" s="1616"/>
      <c r="F133" s="1616">
        <f>2000+85.3-1485.3</f>
        <v>600</v>
      </c>
      <c r="G133" s="1600">
        <f t="shared" si="33"/>
        <v>600</v>
      </c>
      <c r="H133" s="1616">
        <f t="shared" si="19"/>
        <v>0</v>
      </c>
      <c r="I133" s="1616">
        <f t="shared" si="19"/>
        <v>600</v>
      </c>
      <c r="J133" s="1600">
        <f t="shared" si="31"/>
        <v>0</v>
      </c>
      <c r="K133" s="1616"/>
      <c r="L133" s="1616"/>
      <c r="M133" s="1604">
        <f t="shared" si="16"/>
        <v>0</v>
      </c>
      <c r="N133" s="1881">
        <f t="shared" si="16"/>
        <v>0</v>
      </c>
      <c r="O133" s="1881">
        <f t="shared" si="16"/>
        <v>0</v>
      </c>
      <c r="P133" s="1599"/>
      <c r="Q133" s="1599"/>
      <c r="R133" s="1600">
        <f t="shared" si="29"/>
        <v>0</v>
      </c>
      <c r="S133" s="1614">
        <v>0</v>
      </c>
      <c r="T133" s="1614">
        <v>0</v>
      </c>
      <c r="U133" s="1600">
        <f t="shared" si="30"/>
        <v>0</v>
      </c>
      <c r="V133" s="1614">
        <v>0</v>
      </c>
      <c r="W133" s="1614">
        <v>0</v>
      </c>
      <c r="X133" s="1423">
        <f>D133-G133</f>
        <v>0</v>
      </c>
      <c r="Y133" s="1423"/>
      <c r="Z133" s="1423"/>
      <c r="AA133" s="1423"/>
    </row>
    <row r="134" spans="1:27" ht="45" hidden="1" customHeight="1">
      <c r="A134" s="2127"/>
      <c r="B134" s="1883" t="s">
        <v>1443</v>
      </c>
      <c r="C134" s="2127">
        <v>14065</v>
      </c>
      <c r="D134" s="1600">
        <f t="shared" si="21"/>
        <v>0</v>
      </c>
      <c r="E134" s="1608"/>
      <c r="F134" s="1616">
        <v>0</v>
      </c>
      <c r="G134" s="1600">
        <f t="shared" si="33"/>
        <v>0</v>
      </c>
      <c r="H134" s="1608">
        <f t="shared" si="19"/>
        <v>0</v>
      </c>
      <c r="I134" s="1608">
        <f t="shared" si="19"/>
        <v>0</v>
      </c>
      <c r="J134" s="1600">
        <f t="shared" si="31"/>
        <v>0</v>
      </c>
      <c r="K134" s="1608"/>
      <c r="L134" s="1608"/>
      <c r="M134" s="1604">
        <f t="shared" si="16"/>
        <v>0</v>
      </c>
      <c r="N134" s="1881">
        <f t="shared" si="16"/>
        <v>0</v>
      </c>
      <c r="O134" s="1881">
        <f t="shared" si="16"/>
        <v>0</v>
      </c>
      <c r="P134" s="2124" t="s">
        <v>1290</v>
      </c>
      <c r="Q134" s="2124" t="s">
        <v>1240</v>
      </c>
      <c r="R134" s="1600">
        <f t="shared" si="29"/>
        <v>0</v>
      </c>
      <c r="S134" s="1614">
        <v>0</v>
      </c>
      <c r="T134" s="1614">
        <v>0</v>
      </c>
      <c r="U134" s="1600">
        <f t="shared" si="30"/>
        <v>0</v>
      </c>
      <c r="V134" s="1614">
        <v>0</v>
      </c>
      <c r="W134" s="1614">
        <v>0</v>
      </c>
      <c r="Y134" s="1423"/>
      <c r="Z134" s="1423"/>
      <c r="AA134" s="1423"/>
    </row>
    <row r="135" spans="1:27" ht="77.25" customHeight="1">
      <c r="A135" s="2127">
        <f>A133+1</f>
        <v>28</v>
      </c>
      <c r="B135" s="1883" t="s">
        <v>1444</v>
      </c>
      <c r="C135" s="2127">
        <v>14066</v>
      </c>
      <c r="D135" s="1600">
        <f t="shared" si="21"/>
        <v>1191.2</v>
      </c>
      <c r="E135" s="1608"/>
      <c r="F135" s="1616">
        <v>1191.2</v>
      </c>
      <c r="G135" s="1600">
        <f t="shared" si="33"/>
        <v>1191.2</v>
      </c>
      <c r="H135" s="1616">
        <f t="shared" si="19"/>
        <v>0</v>
      </c>
      <c r="I135" s="1616">
        <f t="shared" si="19"/>
        <v>1191.2</v>
      </c>
      <c r="J135" s="1600">
        <f t="shared" si="31"/>
        <v>0</v>
      </c>
      <c r="K135" s="1608"/>
      <c r="L135" s="1608"/>
      <c r="M135" s="1604">
        <f t="shared" si="16"/>
        <v>0</v>
      </c>
      <c r="N135" s="1881">
        <f t="shared" si="16"/>
        <v>0</v>
      </c>
      <c r="O135" s="1881">
        <f t="shared" si="16"/>
        <v>0</v>
      </c>
      <c r="P135" s="2124" t="s">
        <v>1290</v>
      </c>
      <c r="Q135" s="2124" t="s">
        <v>1240</v>
      </c>
      <c r="R135" s="1600">
        <f t="shared" si="29"/>
        <v>0</v>
      </c>
      <c r="S135" s="1614">
        <v>0</v>
      </c>
      <c r="T135" s="1614">
        <v>0</v>
      </c>
      <c r="U135" s="1600">
        <f t="shared" si="30"/>
        <v>0</v>
      </c>
      <c r="V135" s="1614">
        <v>0</v>
      </c>
      <c r="W135" s="1614">
        <v>0</v>
      </c>
      <c r="X135" s="1423">
        <f t="shared" ref="X135:X140" si="44">D135-G135</f>
        <v>0</v>
      </c>
      <c r="Y135" s="1423"/>
      <c r="Z135" s="1423"/>
      <c r="AA135" s="1423"/>
    </row>
    <row r="136" spans="1:27" ht="38.25" hidden="1" customHeight="1">
      <c r="A136" s="1866">
        <f>A135+1</f>
        <v>29</v>
      </c>
      <c r="B136" s="1916" t="s">
        <v>1446</v>
      </c>
      <c r="C136" s="1913">
        <v>14076</v>
      </c>
      <c r="D136" s="1600">
        <f t="shared" si="21"/>
        <v>0</v>
      </c>
      <c r="E136" s="1608"/>
      <c r="F136" s="1608">
        <v>0</v>
      </c>
      <c r="G136" s="1600">
        <f t="shared" si="33"/>
        <v>0</v>
      </c>
      <c r="H136" s="1616">
        <f t="shared" si="19"/>
        <v>0</v>
      </c>
      <c r="I136" s="1616">
        <v>0</v>
      </c>
      <c r="J136" s="1600">
        <f t="shared" si="31"/>
        <v>0</v>
      </c>
      <c r="K136" s="1608"/>
      <c r="L136" s="1608"/>
      <c r="M136" s="1893">
        <f t="shared" si="16"/>
        <v>0</v>
      </c>
      <c r="N136" s="1894">
        <f t="shared" si="16"/>
        <v>0</v>
      </c>
      <c r="O136" s="1894">
        <f t="shared" si="16"/>
        <v>0</v>
      </c>
      <c r="P136" s="2124" t="s">
        <v>1290</v>
      </c>
      <c r="Q136" s="2124" t="s">
        <v>1240</v>
      </c>
      <c r="R136" s="1600">
        <f t="shared" si="29"/>
        <v>0</v>
      </c>
      <c r="S136" s="1614">
        <v>0</v>
      </c>
      <c r="T136" s="1614">
        <v>0</v>
      </c>
      <c r="U136" s="1600">
        <f t="shared" si="30"/>
        <v>0</v>
      </c>
      <c r="V136" s="1614">
        <v>0</v>
      </c>
      <c r="W136" s="1614">
        <v>0</v>
      </c>
      <c r="X136" s="1423">
        <f t="shared" si="44"/>
        <v>0</v>
      </c>
      <c r="Y136" s="1423"/>
      <c r="Z136" s="1423"/>
      <c r="AA136" s="1423"/>
    </row>
    <row r="137" spans="1:27" ht="41.25" hidden="1" customHeight="1">
      <c r="A137" s="1866">
        <f>A136+1</f>
        <v>30</v>
      </c>
      <c r="B137" s="1916" t="s">
        <v>1447</v>
      </c>
      <c r="C137" s="1913">
        <v>14077</v>
      </c>
      <c r="D137" s="1600">
        <f t="shared" si="21"/>
        <v>0</v>
      </c>
      <c r="E137" s="1608"/>
      <c r="F137" s="1608">
        <v>0</v>
      </c>
      <c r="G137" s="1600">
        <f t="shared" si="33"/>
        <v>0</v>
      </c>
      <c r="H137" s="1616">
        <f t="shared" si="19"/>
        <v>0</v>
      </c>
      <c r="I137" s="1616">
        <v>0</v>
      </c>
      <c r="J137" s="1600">
        <f t="shared" si="31"/>
        <v>0</v>
      </c>
      <c r="K137" s="1608"/>
      <c r="L137" s="1608"/>
      <c r="M137" s="1893">
        <f t="shared" si="16"/>
        <v>0</v>
      </c>
      <c r="N137" s="1894">
        <f t="shared" si="16"/>
        <v>0</v>
      </c>
      <c r="O137" s="1894">
        <f t="shared" si="16"/>
        <v>0</v>
      </c>
      <c r="P137" s="2124" t="s">
        <v>1290</v>
      </c>
      <c r="Q137" s="2124" t="s">
        <v>1240</v>
      </c>
      <c r="R137" s="1600">
        <f t="shared" si="29"/>
        <v>0</v>
      </c>
      <c r="S137" s="1614">
        <v>0</v>
      </c>
      <c r="T137" s="1614">
        <v>0</v>
      </c>
      <c r="U137" s="1600">
        <f t="shared" si="30"/>
        <v>0</v>
      </c>
      <c r="V137" s="1614">
        <v>0</v>
      </c>
      <c r="W137" s="1614">
        <v>0</v>
      </c>
      <c r="X137" s="1423">
        <f t="shared" si="44"/>
        <v>0</v>
      </c>
      <c r="Y137" s="1423"/>
      <c r="Z137" s="1423"/>
      <c r="AA137" s="1423"/>
    </row>
    <row r="138" spans="1:27" ht="38.25" hidden="1" customHeight="1">
      <c r="A138" s="1866">
        <f>A137+1</f>
        <v>31</v>
      </c>
      <c r="B138" s="1916" t="s">
        <v>1448</v>
      </c>
      <c r="C138" s="1880">
        <v>14079</v>
      </c>
      <c r="D138" s="1600">
        <f t="shared" si="21"/>
        <v>0</v>
      </c>
      <c r="E138" s="1608"/>
      <c r="F138" s="1608">
        <v>0</v>
      </c>
      <c r="G138" s="1600">
        <f t="shared" si="33"/>
        <v>0</v>
      </c>
      <c r="H138" s="1616">
        <f t="shared" si="19"/>
        <v>0</v>
      </c>
      <c r="I138" s="1616">
        <v>0</v>
      </c>
      <c r="J138" s="1600">
        <f t="shared" si="31"/>
        <v>0</v>
      </c>
      <c r="K138" s="1608"/>
      <c r="L138" s="1608"/>
      <c r="M138" s="1893">
        <f t="shared" si="16"/>
        <v>0</v>
      </c>
      <c r="N138" s="1894">
        <f t="shared" si="16"/>
        <v>0</v>
      </c>
      <c r="O138" s="1894">
        <f t="shared" si="16"/>
        <v>0</v>
      </c>
      <c r="P138" s="2124" t="s">
        <v>1290</v>
      </c>
      <c r="Q138" s="2124" t="s">
        <v>1240</v>
      </c>
      <c r="R138" s="1600">
        <f t="shared" si="29"/>
        <v>0</v>
      </c>
      <c r="S138" s="1614">
        <v>0</v>
      </c>
      <c r="T138" s="1614">
        <v>0</v>
      </c>
      <c r="U138" s="1600">
        <f t="shared" si="30"/>
        <v>0</v>
      </c>
      <c r="V138" s="1614">
        <v>0</v>
      </c>
      <c r="W138" s="1614">
        <v>0</v>
      </c>
      <c r="X138" s="1423">
        <f t="shared" si="44"/>
        <v>0</v>
      </c>
      <c r="Y138" s="1423"/>
      <c r="Z138" s="1423"/>
      <c r="AA138" s="1423"/>
    </row>
    <row r="139" spans="1:27" ht="37.5" hidden="1" customHeight="1">
      <c r="A139" s="1866">
        <f>A138+1</f>
        <v>32</v>
      </c>
      <c r="B139" s="1916" t="s">
        <v>1449</v>
      </c>
      <c r="C139" s="1913">
        <v>14080</v>
      </c>
      <c r="D139" s="1600">
        <f t="shared" si="21"/>
        <v>0</v>
      </c>
      <c r="E139" s="1608"/>
      <c r="F139" s="1608">
        <v>0</v>
      </c>
      <c r="G139" s="1600">
        <f t="shared" si="33"/>
        <v>0</v>
      </c>
      <c r="H139" s="1616">
        <f t="shared" si="19"/>
        <v>0</v>
      </c>
      <c r="I139" s="1616">
        <v>0</v>
      </c>
      <c r="J139" s="1600">
        <f t="shared" si="31"/>
        <v>0</v>
      </c>
      <c r="K139" s="1608"/>
      <c r="L139" s="1608"/>
      <c r="M139" s="1893">
        <f t="shared" si="16"/>
        <v>0</v>
      </c>
      <c r="N139" s="1894">
        <f t="shared" si="16"/>
        <v>0</v>
      </c>
      <c r="O139" s="1894">
        <f t="shared" si="16"/>
        <v>0</v>
      </c>
      <c r="P139" s="2124" t="s">
        <v>1290</v>
      </c>
      <c r="Q139" s="2124" t="s">
        <v>1240</v>
      </c>
      <c r="R139" s="1600">
        <f t="shared" si="29"/>
        <v>0</v>
      </c>
      <c r="S139" s="1614">
        <v>0</v>
      </c>
      <c r="T139" s="1614">
        <v>0</v>
      </c>
      <c r="U139" s="1600">
        <f t="shared" si="30"/>
        <v>0</v>
      </c>
      <c r="V139" s="1614">
        <v>0</v>
      </c>
      <c r="W139" s="1614">
        <v>0</v>
      </c>
      <c r="X139" s="1423">
        <f t="shared" si="44"/>
        <v>0</v>
      </c>
      <c r="Y139" s="1423"/>
      <c r="Z139" s="1423"/>
      <c r="AA139" s="1423"/>
    </row>
    <row r="140" spans="1:27" ht="22.5" hidden="1" customHeight="1">
      <c r="A140" s="1866"/>
      <c r="B140" s="1916" t="s">
        <v>1450</v>
      </c>
      <c r="C140" s="1913">
        <v>14081</v>
      </c>
      <c r="D140" s="1600">
        <f t="shared" si="21"/>
        <v>0</v>
      </c>
      <c r="E140" s="1608"/>
      <c r="F140" s="1608">
        <v>0</v>
      </c>
      <c r="G140" s="1600">
        <f t="shared" si="33"/>
        <v>0</v>
      </c>
      <c r="H140" s="1616">
        <f t="shared" si="19"/>
        <v>0</v>
      </c>
      <c r="I140" s="1616">
        <f t="shared" si="19"/>
        <v>0</v>
      </c>
      <c r="J140" s="1600">
        <f t="shared" si="31"/>
        <v>0</v>
      </c>
      <c r="K140" s="1608"/>
      <c r="L140" s="1608"/>
      <c r="M140" s="1893">
        <f t="shared" si="16"/>
        <v>0</v>
      </c>
      <c r="N140" s="1894">
        <f t="shared" si="16"/>
        <v>0</v>
      </c>
      <c r="O140" s="1894">
        <f t="shared" si="16"/>
        <v>0</v>
      </c>
      <c r="P140" s="2124" t="s">
        <v>1290</v>
      </c>
      <c r="Q140" s="2124" t="s">
        <v>1240</v>
      </c>
      <c r="R140" s="1600">
        <f t="shared" si="29"/>
        <v>0</v>
      </c>
      <c r="S140" s="1614">
        <v>0</v>
      </c>
      <c r="T140" s="1614">
        <v>0</v>
      </c>
      <c r="U140" s="1600">
        <f t="shared" si="30"/>
        <v>0</v>
      </c>
      <c r="V140" s="1614">
        <v>0</v>
      </c>
      <c r="W140" s="1614">
        <v>0</v>
      </c>
      <c r="X140" s="1423">
        <f t="shared" si="44"/>
        <v>0</v>
      </c>
      <c r="Y140" s="1423"/>
      <c r="Z140" s="1423"/>
      <c r="AA140" s="1423"/>
    </row>
    <row r="141" spans="1:27" ht="36" hidden="1" customHeight="1">
      <c r="A141" s="1866"/>
      <c r="B141" s="1916" t="s">
        <v>1451</v>
      </c>
      <c r="C141" s="1913">
        <v>14082</v>
      </c>
      <c r="D141" s="1600">
        <f t="shared" si="21"/>
        <v>0</v>
      </c>
      <c r="E141" s="1608"/>
      <c r="F141" s="1608">
        <v>0</v>
      </c>
      <c r="G141" s="1600">
        <f t="shared" si="33"/>
        <v>0</v>
      </c>
      <c r="H141" s="1608">
        <f t="shared" si="19"/>
        <v>0</v>
      </c>
      <c r="I141" s="1608">
        <f t="shared" si="19"/>
        <v>0</v>
      </c>
      <c r="J141" s="1600">
        <f t="shared" si="31"/>
        <v>0</v>
      </c>
      <c r="K141" s="1608"/>
      <c r="L141" s="1608"/>
      <c r="M141" s="1893">
        <f t="shared" si="16"/>
        <v>0</v>
      </c>
      <c r="N141" s="1894">
        <f t="shared" si="16"/>
        <v>0</v>
      </c>
      <c r="O141" s="1894">
        <f t="shared" si="16"/>
        <v>0</v>
      </c>
      <c r="P141" s="2124" t="s">
        <v>1290</v>
      </c>
      <c r="Q141" s="2124" t="s">
        <v>1240</v>
      </c>
      <c r="R141" s="1600">
        <f t="shared" si="29"/>
        <v>0</v>
      </c>
      <c r="S141" s="1614">
        <v>0</v>
      </c>
      <c r="T141" s="1614">
        <v>0</v>
      </c>
      <c r="U141" s="1600">
        <f t="shared" si="30"/>
        <v>0</v>
      </c>
      <c r="V141" s="1614">
        <v>0</v>
      </c>
      <c r="W141" s="1614">
        <v>0</v>
      </c>
      <c r="Y141" s="1423"/>
      <c r="Z141" s="1423"/>
      <c r="AA141" s="1423"/>
    </row>
    <row r="142" spans="1:27" ht="37.5" hidden="1" customHeight="1">
      <c r="A142" s="1866">
        <v>53</v>
      </c>
      <c r="B142" s="1916" t="s">
        <v>1452</v>
      </c>
      <c r="C142" s="1913">
        <v>14083</v>
      </c>
      <c r="D142" s="1600">
        <f t="shared" si="21"/>
        <v>0</v>
      </c>
      <c r="E142" s="1608"/>
      <c r="F142" s="1608">
        <v>0</v>
      </c>
      <c r="G142" s="1600">
        <f t="shared" si="33"/>
        <v>0</v>
      </c>
      <c r="H142" s="1616">
        <f>E142</f>
        <v>0</v>
      </c>
      <c r="I142" s="1616">
        <v>0</v>
      </c>
      <c r="J142" s="1600">
        <f t="shared" si="31"/>
        <v>0</v>
      </c>
      <c r="K142" s="1608"/>
      <c r="L142" s="1608"/>
      <c r="M142" s="1893">
        <f t="shared" si="16"/>
        <v>0</v>
      </c>
      <c r="N142" s="1894">
        <f t="shared" si="16"/>
        <v>0</v>
      </c>
      <c r="O142" s="1894">
        <f t="shared" si="16"/>
        <v>0</v>
      </c>
      <c r="P142" s="2124" t="s">
        <v>1290</v>
      </c>
      <c r="Q142" s="2124" t="s">
        <v>1240</v>
      </c>
      <c r="R142" s="1600">
        <f t="shared" si="29"/>
        <v>0</v>
      </c>
      <c r="S142" s="1614">
        <v>0</v>
      </c>
      <c r="T142" s="1614">
        <v>0</v>
      </c>
      <c r="U142" s="1600">
        <f t="shared" si="30"/>
        <v>0</v>
      </c>
      <c r="V142" s="1614">
        <v>0</v>
      </c>
      <c r="W142" s="1614">
        <v>0</v>
      </c>
      <c r="X142" s="1423">
        <f>D142-G142</f>
        <v>0</v>
      </c>
      <c r="Y142" s="1423"/>
      <c r="Z142" s="1423"/>
      <c r="AA142" s="1423"/>
    </row>
    <row r="143" spans="1:27" ht="40.5" hidden="1" customHeight="1">
      <c r="A143" s="1866"/>
      <c r="B143" s="1916" t="s">
        <v>1453</v>
      </c>
      <c r="C143" s="1913">
        <v>14084</v>
      </c>
      <c r="D143" s="1600">
        <f t="shared" si="21"/>
        <v>0</v>
      </c>
      <c r="E143" s="1608"/>
      <c r="F143" s="1608">
        <v>0</v>
      </c>
      <c r="G143" s="1600">
        <f t="shared" si="33"/>
        <v>0</v>
      </c>
      <c r="H143" s="1608">
        <f t="shared" si="19"/>
        <v>0</v>
      </c>
      <c r="I143" s="1608">
        <f t="shared" si="19"/>
        <v>0</v>
      </c>
      <c r="J143" s="1600">
        <f t="shared" si="31"/>
        <v>0</v>
      </c>
      <c r="K143" s="1608"/>
      <c r="L143" s="1608"/>
      <c r="M143" s="1893">
        <f t="shared" si="16"/>
        <v>0</v>
      </c>
      <c r="N143" s="1894">
        <f t="shared" si="16"/>
        <v>0</v>
      </c>
      <c r="O143" s="1894">
        <f t="shared" si="16"/>
        <v>0</v>
      </c>
      <c r="P143" s="2124" t="s">
        <v>1290</v>
      </c>
      <c r="Q143" s="2124" t="s">
        <v>1240</v>
      </c>
      <c r="R143" s="1600">
        <f t="shared" si="29"/>
        <v>0</v>
      </c>
      <c r="S143" s="1614">
        <v>0</v>
      </c>
      <c r="T143" s="1614">
        <v>0</v>
      </c>
      <c r="U143" s="1600">
        <f t="shared" si="30"/>
        <v>0</v>
      </c>
      <c r="V143" s="1614">
        <v>0</v>
      </c>
      <c r="W143" s="1614">
        <v>0</v>
      </c>
      <c r="Y143" s="1423"/>
      <c r="Z143" s="1423"/>
      <c r="AA143" s="1423"/>
    </row>
    <row r="144" spans="1:27" ht="38.25" hidden="1" customHeight="1">
      <c r="A144" s="1866"/>
      <c r="B144" s="1916" t="s">
        <v>1454</v>
      </c>
      <c r="C144" s="1913">
        <v>14088</v>
      </c>
      <c r="D144" s="1600">
        <f t="shared" si="21"/>
        <v>0</v>
      </c>
      <c r="E144" s="1608"/>
      <c r="F144" s="1608">
        <v>0</v>
      </c>
      <c r="G144" s="1600">
        <f t="shared" si="33"/>
        <v>0</v>
      </c>
      <c r="H144" s="1608">
        <f t="shared" si="19"/>
        <v>0</v>
      </c>
      <c r="I144" s="1608">
        <f t="shared" si="19"/>
        <v>0</v>
      </c>
      <c r="J144" s="1600">
        <f t="shared" si="31"/>
        <v>0</v>
      </c>
      <c r="K144" s="1608"/>
      <c r="L144" s="1608"/>
      <c r="M144" s="1893">
        <f t="shared" si="16"/>
        <v>0</v>
      </c>
      <c r="N144" s="1894">
        <f t="shared" si="16"/>
        <v>0</v>
      </c>
      <c r="O144" s="1894">
        <f t="shared" si="16"/>
        <v>0</v>
      </c>
      <c r="P144" s="2124" t="s">
        <v>1290</v>
      </c>
      <c r="Q144" s="2124" t="s">
        <v>1240</v>
      </c>
      <c r="R144" s="1600">
        <f t="shared" si="29"/>
        <v>0</v>
      </c>
      <c r="S144" s="1614">
        <v>0</v>
      </c>
      <c r="T144" s="1614">
        <v>0</v>
      </c>
      <c r="U144" s="1600">
        <f t="shared" si="30"/>
        <v>0</v>
      </c>
      <c r="V144" s="1614">
        <v>0</v>
      </c>
      <c r="W144" s="1614">
        <v>0</v>
      </c>
      <c r="Y144" s="1423"/>
      <c r="Z144" s="1423"/>
      <c r="AA144" s="1423"/>
    </row>
    <row r="145" spans="1:27" ht="61.5" hidden="1" customHeight="1">
      <c r="A145" s="1866"/>
      <c r="B145" s="2071" t="s">
        <v>1593</v>
      </c>
      <c r="C145" s="1913"/>
      <c r="D145" s="1600">
        <f t="shared" si="21"/>
        <v>0</v>
      </c>
      <c r="E145" s="1608"/>
      <c r="F145" s="1608">
        <v>0</v>
      </c>
      <c r="G145" s="1600">
        <f t="shared" si="33"/>
        <v>0</v>
      </c>
      <c r="H145" s="1616">
        <f>E145</f>
        <v>0</v>
      </c>
      <c r="I145" s="1616">
        <f>F145</f>
        <v>0</v>
      </c>
      <c r="J145" s="1600">
        <f t="shared" si="31"/>
        <v>0</v>
      </c>
      <c r="K145" s="1608"/>
      <c r="L145" s="1608"/>
      <c r="M145" s="1893">
        <f t="shared" si="16"/>
        <v>0</v>
      </c>
      <c r="N145" s="1894">
        <f t="shared" si="16"/>
        <v>0</v>
      </c>
      <c r="O145" s="1894">
        <f t="shared" si="16"/>
        <v>0</v>
      </c>
      <c r="P145" s="2124"/>
      <c r="Q145" s="2124"/>
      <c r="R145" s="1600">
        <f t="shared" si="29"/>
        <v>0</v>
      </c>
      <c r="S145" s="1614">
        <v>0</v>
      </c>
      <c r="T145" s="1614">
        <v>0</v>
      </c>
      <c r="U145" s="1600">
        <f t="shared" si="30"/>
        <v>0</v>
      </c>
      <c r="V145" s="1614">
        <v>0</v>
      </c>
      <c r="W145" s="1614">
        <v>0</v>
      </c>
      <c r="X145" s="1423">
        <f>D145-G145</f>
        <v>0</v>
      </c>
      <c r="Y145" s="1423"/>
      <c r="Z145" s="1423"/>
      <c r="AA145" s="1423"/>
    </row>
    <row r="146" spans="1:27" ht="58.5" hidden="1" customHeight="1">
      <c r="A146" s="2127"/>
      <c r="B146" s="1912" t="s">
        <v>1608</v>
      </c>
      <c r="C146" s="1913"/>
      <c r="D146" s="1600">
        <f t="shared" si="21"/>
        <v>0</v>
      </c>
      <c r="E146" s="1608"/>
      <c r="F146" s="1616">
        <v>0</v>
      </c>
      <c r="G146" s="1600">
        <f t="shared" si="33"/>
        <v>0</v>
      </c>
      <c r="H146" s="1608">
        <f t="shared" si="19"/>
        <v>0</v>
      </c>
      <c r="I146" s="1608">
        <f t="shared" si="19"/>
        <v>0</v>
      </c>
      <c r="J146" s="1600">
        <f t="shared" si="31"/>
        <v>0</v>
      </c>
      <c r="K146" s="1608"/>
      <c r="L146" s="1608"/>
      <c r="M146" s="1893">
        <f t="shared" si="16"/>
        <v>0</v>
      </c>
      <c r="N146" s="1894">
        <f t="shared" si="16"/>
        <v>0</v>
      </c>
      <c r="O146" s="1894">
        <f t="shared" si="16"/>
        <v>0</v>
      </c>
      <c r="P146" s="2124"/>
      <c r="Q146" s="2124"/>
      <c r="R146" s="1600">
        <f t="shared" si="29"/>
        <v>0</v>
      </c>
      <c r="S146" s="1614">
        <v>0</v>
      </c>
      <c r="T146" s="1614">
        <v>0</v>
      </c>
      <c r="U146" s="1600">
        <f t="shared" si="30"/>
        <v>0</v>
      </c>
      <c r="V146" s="1614">
        <v>0</v>
      </c>
      <c r="W146" s="1614">
        <v>0</v>
      </c>
      <c r="Y146" s="1423"/>
      <c r="Z146" s="1423"/>
      <c r="AA146" s="1423"/>
    </row>
    <row r="147" spans="1:27" ht="59.25" hidden="1" customHeight="1">
      <c r="A147" s="2127"/>
      <c r="B147" s="1912" t="s">
        <v>1594</v>
      </c>
      <c r="C147" s="1913"/>
      <c r="D147" s="1600">
        <f t="shared" si="21"/>
        <v>0</v>
      </c>
      <c r="E147" s="1608"/>
      <c r="F147" s="1616">
        <v>0</v>
      </c>
      <c r="G147" s="1600">
        <f t="shared" si="33"/>
        <v>0</v>
      </c>
      <c r="H147" s="1608">
        <f t="shared" si="19"/>
        <v>0</v>
      </c>
      <c r="I147" s="1608">
        <f t="shared" si="19"/>
        <v>0</v>
      </c>
      <c r="J147" s="1600">
        <f t="shared" si="31"/>
        <v>0</v>
      </c>
      <c r="K147" s="1608"/>
      <c r="L147" s="1608"/>
      <c r="M147" s="1893">
        <f t="shared" si="16"/>
        <v>0</v>
      </c>
      <c r="N147" s="1894">
        <f t="shared" si="16"/>
        <v>0</v>
      </c>
      <c r="O147" s="1894">
        <f t="shared" si="16"/>
        <v>0</v>
      </c>
      <c r="P147" s="2124"/>
      <c r="Q147" s="2124"/>
      <c r="R147" s="1600">
        <f t="shared" si="29"/>
        <v>0</v>
      </c>
      <c r="S147" s="1614">
        <v>0</v>
      </c>
      <c r="T147" s="1614">
        <v>0</v>
      </c>
      <c r="U147" s="1600">
        <f t="shared" si="30"/>
        <v>0</v>
      </c>
      <c r="V147" s="1614">
        <v>0</v>
      </c>
      <c r="W147" s="1614">
        <v>0</v>
      </c>
      <c r="Y147" s="1423"/>
      <c r="Z147" s="1423"/>
      <c r="AA147" s="1423"/>
    </row>
    <row r="148" spans="1:27" s="1607" customFormat="1" ht="79.5" customHeight="1">
      <c r="A148" s="2127">
        <f>A135+1</f>
        <v>29</v>
      </c>
      <c r="B148" s="1914" t="s">
        <v>1601</v>
      </c>
      <c r="C148" s="2127" t="s">
        <v>332</v>
      </c>
      <c r="D148" s="1600">
        <f t="shared" si="21"/>
        <v>8850</v>
      </c>
      <c r="E148" s="1608"/>
      <c r="F148" s="1616">
        <v>8850</v>
      </c>
      <c r="G148" s="1600">
        <f t="shared" si="33"/>
        <v>8850</v>
      </c>
      <c r="H148" s="1616">
        <f t="shared" si="19"/>
        <v>0</v>
      </c>
      <c r="I148" s="1616">
        <f t="shared" si="19"/>
        <v>8850</v>
      </c>
      <c r="J148" s="1600">
        <f t="shared" si="31"/>
        <v>8850</v>
      </c>
      <c r="K148" s="1608"/>
      <c r="L148" s="1608">
        <v>8850</v>
      </c>
      <c r="M148" s="1604">
        <f t="shared" si="16"/>
        <v>100</v>
      </c>
      <c r="N148" s="1881">
        <f t="shared" si="16"/>
        <v>0</v>
      </c>
      <c r="O148" s="1881">
        <f t="shared" si="16"/>
        <v>100</v>
      </c>
      <c r="P148" s="2124"/>
      <c r="Q148" s="2124"/>
      <c r="R148" s="1600">
        <f t="shared" si="29"/>
        <v>0</v>
      </c>
      <c r="S148" s="1614">
        <v>0</v>
      </c>
      <c r="T148" s="1614">
        <v>0</v>
      </c>
      <c r="U148" s="1600">
        <f t="shared" si="30"/>
        <v>0</v>
      </c>
      <c r="V148" s="1614">
        <v>0</v>
      </c>
      <c r="W148" s="1614">
        <v>0</v>
      </c>
      <c r="X148" s="1423">
        <f t="shared" ref="X148:X153" si="45">D148-G148</f>
        <v>0</v>
      </c>
      <c r="Y148" s="1423"/>
      <c r="Z148" s="1423"/>
      <c r="AA148" s="1423"/>
    </row>
    <row r="149" spans="1:27" s="1607" customFormat="1" ht="76.5" hidden="1" customHeight="1">
      <c r="A149" s="2127"/>
      <c r="B149" s="1914" t="s">
        <v>1523</v>
      </c>
      <c r="C149" s="2127" t="s">
        <v>1536</v>
      </c>
      <c r="D149" s="1600">
        <f t="shared" si="21"/>
        <v>0</v>
      </c>
      <c r="E149" s="1608"/>
      <c r="F149" s="1616">
        <v>0</v>
      </c>
      <c r="G149" s="1600">
        <f t="shared" si="33"/>
        <v>0</v>
      </c>
      <c r="H149" s="1616">
        <f t="shared" si="19"/>
        <v>0</v>
      </c>
      <c r="I149" s="1616">
        <f t="shared" si="19"/>
        <v>0</v>
      </c>
      <c r="J149" s="1600">
        <f t="shared" si="31"/>
        <v>0</v>
      </c>
      <c r="K149" s="1608"/>
      <c r="L149" s="1608"/>
      <c r="M149" s="1604">
        <f t="shared" si="16"/>
        <v>0</v>
      </c>
      <c r="N149" s="1881">
        <f t="shared" si="16"/>
        <v>0</v>
      </c>
      <c r="O149" s="1881">
        <f t="shared" si="16"/>
        <v>0</v>
      </c>
      <c r="P149" s="2124" t="s">
        <v>1192</v>
      </c>
      <c r="Q149" s="2124" t="s">
        <v>1203</v>
      </c>
      <c r="R149" s="1600">
        <f t="shared" si="29"/>
        <v>0</v>
      </c>
      <c r="S149" s="1614">
        <v>0</v>
      </c>
      <c r="T149" s="1614">
        <v>0</v>
      </c>
      <c r="U149" s="1600">
        <f t="shared" si="30"/>
        <v>0</v>
      </c>
      <c r="V149" s="1614">
        <v>0</v>
      </c>
      <c r="W149" s="1614">
        <v>0</v>
      </c>
      <c r="X149" s="1423">
        <f t="shared" si="45"/>
        <v>0</v>
      </c>
      <c r="Y149" s="1423"/>
      <c r="Z149" s="1423"/>
      <c r="AA149" s="1423"/>
    </row>
    <row r="150" spans="1:27" s="1607" customFormat="1" ht="48" customHeight="1">
      <c r="A150" s="2127">
        <f>A148+1</f>
        <v>30</v>
      </c>
      <c r="B150" s="1914" t="s">
        <v>1602</v>
      </c>
      <c r="C150" s="2127"/>
      <c r="D150" s="1600">
        <f t="shared" si="21"/>
        <v>17550</v>
      </c>
      <c r="E150" s="1608"/>
      <c r="F150" s="1616">
        <v>17550</v>
      </c>
      <c r="G150" s="1600">
        <f t="shared" si="33"/>
        <v>17550</v>
      </c>
      <c r="H150" s="1616">
        <f t="shared" si="19"/>
        <v>0</v>
      </c>
      <c r="I150" s="1616">
        <f t="shared" si="19"/>
        <v>17550</v>
      </c>
      <c r="J150" s="1600">
        <f t="shared" si="31"/>
        <v>17550</v>
      </c>
      <c r="K150" s="1608"/>
      <c r="L150" s="1608">
        <v>17550</v>
      </c>
      <c r="M150" s="1604">
        <f t="shared" si="16"/>
        <v>100</v>
      </c>
      <c r="N150" s="1881">
        <f t="shared" si="16"/>
        <v>0</v>
      </c>
      <c r="O150" s="1881">
        <f t="shared" si="16"/>
        <v>100</v>
      </c>
      <c r="P150" s="2124"/>
      <c r="Q150" s="2124"/>
      <c r="R150" s="1600">
        <f t="shared" si="29"/>
        <v>0</v>
      </c>
      <c r="S150" s="1614">
        <v>0</v>
      </c>
      <c r="T150" s="1614">
        <v>0</v>
      </c>
      <c r="U150" s="1600">
        <f t="shared" si="30"/>
        <v>0</v>
      </c>
      <c r="V150" s="1614">
        <v>0</v>
      </c>
      <c r="W150" s="1614">
        <v>0</v>
      </c>
      <c r="X150" s="1423">
        <f t="shared" si="45"/>
        <v>0</v>
      </c>
      <c r="Y150" s="1423"/>
      <c r="Z150" s="1423"/>
      <c r="AA150" s="1423"/>
    </row>
    <row r="151" spans="1:27" s="1607" customFormat="1" ht="60" hidden="1" customHeight="1">
      <c r="A151" s="2127"/>
      <c r="B151" s="1914" t="s">
        <v>1485</v>
      </c>
      <c r="C151" s="2127" t="s">
        <v>1537</v>
      </c>
      <c r="D151" s="1600">
        <f t="shared" si="21"/>
        <v>0</v>
      </c>
      <c r="E151" s="1608"/>
      <c r="F151" s="1616">
        <v>0</v>
      </c>
      <c r="G151" s="1600">
        <f t="shared" si="33"/>
        <v>0</v>
      </c>
      <c r="H151" s="1616">
        <f t="shared" si="19"/>
        <v>0</v>
      </c>
      <c r="I151" s="1616">
        <f t="shared" si="19"/>
        <v>0</v>
      </c>
      <c r="J151" s="1600">
        <f t="shared" si="31"/>
        <v>0</v>
      </c>
      <c r="K151" s="1608"/>
      <c r="L151" s="1608"/>
      <c r="M151" s="1604">
        <f t="shared" si="16"/>
        <v>0</v>
      </c>
      <c r="N151" s="1881">
        <f t="shared" si="16"/>
        <v>0</v>
      </c>
      <c r="O151" s="1881">
        <f t="shared" si="16"/>
        <v>0</v>
      </c>
      <c r="P151" s="2124" t="s">
        <v>1192</v>
      </c>
      <c r="Q151" s="2124" t="s">
        <v>1203</v>
      </c>
      <c r="R151" s="1600">
        <f t="shared" si="29"/>
        <v>0</v>
      </c>
      <c r="S151" s="1614">
        <v>0</v>
      </c>
      <c r="T151" s="1614">
        <v>0</v>
      </c>
      <c r="U151" s="1600">
        <f t="shared" si="30"/>
        <v>0</v>
      </c>
      <c r="V151" s="1614">
        <v>0</v>
      </c>
      <c r="W151" s="1614">
        <v>0</v>
      </c>
      <c r="X151" s="1423">
        <f t="shared" si="45"/>
        <v>0</v>
      </c>
      <c r="Y151" s="1423"/>
      <c r="Z151" s="1423"/>
      <c r="AA151" s="1423"/>
    </row>
    <row r="152" spans="1:27" s="1607" customFormat="1" ht="78" customHeight="1">
      <c r="A152" s="2127">
        <f>A150+1</f>
        <v>31</v>
      </c>
      <c r="B152" s="1915" t="s">
        <v>1486</v>
      </c>
      <c r="C152" s="2127">
        <v>14059</v>
      </c>
      <c r="D152" s="1600">
        <f t="shared" si="21"/>
        <v>16320</v>
      </c>
      <c r="E152" s="1608"/>
      <c r="F152" s="1616">
        <v>16320</v>
      </c>
      <c r="G152" s="1600">
        <f t="shared" si="33"/>
        <v>16320</v>
      </c>
      <c r="H152" s="1616">
        <f t="shared" si="19"/>
        <v>0</v>
      </c>
      <c r="I152" s="1616">
        <f t="shared" si="19"/>
        <v>16320</v>
      </c>
      <c r="J152" s="1600">
        <f t="shared" si="31"/>
        <v>15900</v>
      </c>
      <c r="K152" s="1608"/>
      <c r="L152" s="1608">
        <v>15900</v>
      </c>
      <c r="M152" s="1604">
        <f t="shared" ref="M152:O237" si="46">IF(J152=0,0,J152/G152*100)</f>
        <v>97.4</v>
      </c>
      <c r="N152" s="1881">
        <f t="shared" si="46"/>
        <v>0</v>
      </c>
      <c r="O152" s="1881">
        <f t="shared" si="46"/>
        <v>97.4</v>
      </c>
      <c r="P152" s="2124" t="s">
        <v>1192</v>
      </c>
      <c r="Q152" s="2124" t="s">
        <v>1204</v>
      </c>
      <c r="R152" s="1600">
        <f t="shared" si="29"/>
        <v>38080</v>
      </c>
      <c r="S152" s="1608">
        <v>0</v>
      </c>
      <c r="T152" s="1608">
        <v>38080</v>
      </c>
      <c r="U152" s="1600">
        <f t="shared" si="30"/>
        <v>0</v>
      </c>
      <c r="V152" s="1608">
        <v>0</v>
      </c>
      <c r="W152" s="1608">
        <v>0</v>
      </c>
      <c r="X152" s="1423">
        <f t="shared" si="45"/>
        <v>0</v>
      </c>
      <c r="Y152" s="1423"/>
      <c r="Z152" s="1423"/>
      <c r="AA152" s="1423"/>
    </row>
    <row r="153" spans="1:27" s="1607" customFormat="1" ht="39" hidden="1" customHeight="1">
      <c r="A153" s="2127"/>
      <c r="B153" s="1912" t="s">
        <v>1491</v>
      </c>
      <c r="C153" s="1880">
        <v>14089</v>
      </c>
      <c r="D153" s="1600">
        <f t="shared" si="21"/>
        <v>0</v>
      </c>
      <c r="E153" s="1614"/>
      <c r="F153" s="1615">
        <v>0</v>
      </c>
      <c r="G153" s="1600">
        <f t="shared" si="33"/>
        <v>0</v>
      </c>
      <c r="H153" s="1616">
        <f t="shared" si="19"/>
        <v>0</v>
      </c>
      <c r="I153" s="1616">
        <f t="shared" si="19"/>
        <v>0</v>
      </c>
      <c r="J153" s="1600">
        <f t="shared" si="31"/>
        <v>0</v>
      </c>
      <c r="K153" s="1614"/>
      <c r="L153" s="1614"/>
      <c r="M153" s="1604">
        <f t="shared" si="46"/>
        <v>0</v>
      </c>
      <c r="N153" s="1881">
        <f t="shared" si="46"/>
        <v>0</v>
      </c>
      <c r="O153" s="1881">
        <f t="shared" si="46"/>
        <v>0</v>
      </c>
      <c r="P153" s="2124" t="s">
        <v>1192</v>
      </c>
      <c r="Q153" s="2124" t="s">
        <v>1206</v>
      </c>
      <c r="R153" s="1600">
        <f t="shared" si="29"/>
        <v>0</v>
      </c>
      <c r="S153" s="1614">
        <v>0</v>
      </c>
      <c r="T153" s="1614">
        <v>0</v>
      </c>
      <c r="U153" s="1600">
        <f t="shared" si="30"/>
        <v>0</v>
      </c>
      <c r="V153" s="1608">
        <v>0</v>
      </c>
      <c r="W153" s="1608">
        <v>0</v>
      </c>
      <c r="X153" s="1423">
        <f t="shared" si="45"/>
        <v>0</v>
      </c>
      <c r="Y153" s="1423"/>
      <c r="Z153" s="1423"/>
      <c r="AA153" s="1423"/>
    </row>
    <row r="154" spans="1:27" s="1607" customFormat="1" ht="60" hidden="1" customHeight="1">
      <c r="A154" s="2127"/>
      <c r="B154" s="493" t="s">
        <v>1492</v>
      </c>
      <c r="C154" s="2127">
        <v>14091</v>
      </c>
      <c r="D154" s="1600">
        <f t="shared" si="21"/>
        <v>0</v>
      </c>
      <c r="E154" s="1614"/>
      <c r="F154" s="1615">
        <v>0</v>
      </c>
      <c r="G154" s="1600">
        <f t="shared" si="33"/>
        <v>0</v>
      </c>
      <c r="H154" s="1614">
        <f t="shared" si="19"/>
        <v>0</v>
      </c>
      <c r="I154" s="1614">
        <f t="shared" si="19"/>
        <v>0</v>
      </c>
      <c r="J154" s="1600">
        <f t="shared" si="31"/>
        <v>0</v>
      </c>
      <c r="K154" s="1614"/>
      <c r="L154" s="1614"/>
      <c r="M154" s="1604">
        <f t="shared" si="46"/>
        <v>0</v>
      </c>
      <c r="N154" s="1881">
        <f t="shared" si="46"/>
        <v>0</v>
      </c>
      <c r="O154" s="1881">
        <f t="shared" si="46"/>
        <v>0</v>
      </c>
      <c r="P154" s="2124" t="s">
        <v>1192</v>
      </c>
      <c r="Q154" s="2124" t="s">
        <v>1206</v>
      </c>
      <c r="R154" s="1600">
        <f t="shared" si="29"/>
        <v>0</v>
      </c>
      <c r="S154" s="1614">
        <v>0</v>
      </c>
      <c r="T154" s="1614">
        <v>0</v>
      </c>
      <c r="U154" s="1600">
        <f t="shared" si="30"/>
        <v>0</v>
      </c>
      <c r="V154" s="1608">
        <v>0</v>
      </c>
      <c r="W154" s="1608">
        <v>0</v>
      </c>
      <c r="Y154" s="1423"/>
      <c r="Z154" s="1423"/>
      <c r="AA154" s="1423"/>
    </row>
    <row r="155" spans="1:27" ht="40.5" customHeight="1">
      <c r="A155" s="2127">
        <f>A152+1</f>
        <v>32</v>
      </c>
      <c r="B155" s="1888" t="s">
        <v>1473</v>
      </c>
      <c r="C155" s="2127">
        <v>14090</v>
      </c>
      <c r="D155" s="1600">
        <f t="shared" si="21"/>
        <v>5964.1</v>
      </c>
      <c r="E155" s="1614"/>
      <c r="F155" s="1615">
        <v>5964.1</v>
      </c>
      <c r="G155" s="1600">
        <f t="shared" si="33"/>
        <v>5964.1</v>
      </c>
      <c r="H155" s="1616">
        <f t="shared" si="19"/>
        <v>0</v>
      </c>
      <c r="I155" s="1616">
        <f t="shared" si="19"/>
        <v>5964.1</v>
      </c>
      <c r="J155" s="1600">
        <f t="shared" si="31"/>
        <v>0</v>
      </c>
      <c r="K155" s="1614"/>
      <c r="L155" s="1614"/>
      <c r="M155" s="1604">
        <f t="shared" si="46"/>
        <v>0</v>
      </c>
      <c r="N155" s="1881">
        <f t="shared" si="46"/>
        <v>0</v>
      </c>
      <c r="O155" s="1881">
        <f t="shared" si="46"/>
        <v>0</v>
      </c>
      <c r="P155" s="2124" t="s">
        <v>1192</v>
      </c>
      <c r="Q155" s="2124" t="s">
        <v>1160</v>
      </c>
      <c r="R155" s="1600">
        <f t="shared" si="29"/>
        <v>0</v>
      </c>
      <c r="S155" s="1614">
        <v>0</v>
      </c>
      <c r="T155" s="1614">
        <v>0</v>
      </c>
      <c r="U155" s="1600">
        <f t="shared" si="30"/>
        <v>0</v>
      </c>
      <c r="V155" s="1608">
        <v>0</v>
      </c>
      <c r="W155" s="1608">
        <v>0</v>
      </c>
      <c r="X155" s="1423">
        <f t="shared" ref="X155:X160" si="47">D155-G155</f>
        <v>0</v>
      </c>
      <c r="Y155" s="1423"/>
      <c r="Z155" s="1423"/>
      <c r="AA155" s="1423"/>
    </row>
    <row r="156" spans="1:27" s="1570" customFormat="1" ht="59.25" hidden="1" customHeight="1">
      <c r="A156" s="2127"/>
      <c r="B156" s="1885" t="s">
        <v>1618</v>
      </c>
      <c r="C156" s="1880">
        <v>24366</v>
      </c>
      <c r="D156" s="1600">
        <f t="shared" si="21"/>
        <v>0</v>
      </c>
      <c r="E156" s="1614"/>
      <c r="F156" s="1615">
        <v>0</v>
      </c>
      <c r="G156" s="1600">
        <f t="shared" si="33"/>
        <v>0</v>
      </c>
      <c r="H156" s="1616">
        <f t="shared" si="19"/>
        <v>0</v>
      </c>
      <c r="I156" s="1616">
        <f t="shared" si="19"/>
        <v>0</v>
      </c>
      <c r="J156" s="1600">
        <f t="shared" si="31"/>
        <v>0</v>
      </c>
      <c r="K156" s="1614"/>
      <c r="L156" s="1614"/>
      <c r="M156" s="1604">
        <f t="shared" si="46"/>
        <v>0</v>
      </c>
      <c r="N156" s="1881">
        <f t="shared" si="46"/>
        <v>0</v>
      </c>
      <c r="O156" s="1881">
        <f t="shared" si="46"/>
        <v>0</v>
      </c>
      <c r="P156" s="2124"/>
      <c r="Q156" s="1612"/>
      <c r="R156" s="1600">
        <f t="shared" si="29"/>
        <v>0</v>
      </c>
      <c r="S156" s="1614">
        <v>0</v>
      </c>
      <c r="T156" s="1614">
        <v>0</v>
      </c>
      <c r="U156" s="1600">
        <f t="shared" si="30"/>
        <v>0</v>
      </c>
      <c r="V156" s="1608">
        <v>0</v>
      </c>
      <c r="W156" s="1608">
        <v>0</v>
      </c>
      <c r="X156" s="1423">
        <f t="shared" si="47"/>
        <v>0</v>
      </c>
      <c r="Y156" s="1423"/>
      <c r="Z156" s="1423"/>
      <c r="AA156" s="1423"/>
    </row>
    <row r="157" spans="1:27" s="1570" customFormat="1" ht="63.75" customHeight="1">
      <c r="A157" s="2127">
        <f>A155+1</f>
        <v>33</v>
      </c>
      <c r="B157" s="1885" t="s">
        <v>1634</v>
      </c>
      <c r="C157" s="1880"/>
      <c r="D157" s="1602">
        <f t="shared" si="21"/>
        <v>2714.8</v>
      </c>
      <c r="E157" s="1615"/>
      <c r="F157" s="1615">
        <v>2714.8</v>
      </c>
      <c r="G157" s="1602">
        <f t="shared" si="33"/>
        <v>2714.8</v>
      </c>
      <c r="H157" s="1616">
        <f t="shared" si="19"/>
        <v>0</v>
      </c>
      <c r="I157" s="1616">
        <f t="shared" si="19"/>
        <v>2714.8</v>
      </c>
      <c r="J157" s="1602">
        <f t="shared" si="31"/>
        <v>0</v>
      </c>
      <c r="K157" s="1615"/>
      <c r="L157" s="1615"/>
      <c r="M157" s="1604">
        <f t="shared" si="46"/>
        <v>0</v>
      </c>
      <c r="N157" s="1881">
        <f t="shared" si="46"/>
        <v>0</v>
      </c>
      <c r="O157" s="1881">
        <f t="shared" si="46"/>
        <v>0</v>
      </c>
      <c r="P157" s="2124"/>
      <c r="Q157" s="1612"/>
      <c r="R157" s="1600">
        <f t="shared" si="29"/>
        <v>0</v>
      </c>
      <c r="S157" s="1614">
        <v>0</v>
      </c>
      <c r="T157" s="1614">
        <v>0</v>
      </c>
      <c r="U157" s="1600">
        <f t="shared" si="30"/>
        <v>0</v>
      </c>
      <c r="V157" s="1608">
        <v>0</v>
      </c>
      <c r="W157" s="1608">
        <v>0</v>
      </c>
      <c r="X157" s="1423">
        <f t="shared" si="47"/>
        <v>0</v>
      </c>
      <c r="Y157" s="1423"/>
      <c r="Z157" s="1423"/>
      <c r="AA157" s="1423"/>
    </row>
    <row r="158" spans="1:27" ht="42.75" customHeight="1">
      <c r="A158" s="2127">
        <f>A157+1</f>
        <v>34</v>
      </c>
      <c r="B158" s="1879" t="s">
        <v>1615</v>
      </c>
      <c r="C158" s="1880"/>
      <c r="D158" s="1600">
        <f t="shared" si="21"/>
        <v>1769.7</v>
      </c>
      <c r="E158" s="1608"/>
      <c r="F158" s="1616">
        <v>1769.7</v>
      </c>
      <c r="G158" s="1600">
        <f t="shared" si="33"/>
        <v>1769.7</v>
      </c>
      <c r="H158" s="1616">
        <f t="shared" ref="H158:I173" si="48">E158</f>
        <v>0</v>
      </c>
      <c r="I158" s="1616">
        <f t="shared" si="48"/>
        <v>1769.7</v>
      </c>
      <c r="J158" s="1600">
        <f t="shared" si="31"/>
        <v>0</v>
      </c>
      <c r="K158" s="1608"/>
      <c r="L158" s="1608"/>
      <c r="M158" s="1604">
        <f t="shared" si="46"/>
        <v>0</v>
      </c>
      <c r="N158" s="1881">
        <f t="shared" si="46"/>
        <v>0</v>
      </c>
      <c r="O158" s="1881">
        <f t="shared" si="46"/>
        <v>0</v>
      </c>
      <c r="P158" s="2124"/>
      <c r="Q158" s="2124"/>
      <c r="R158" s="1600">
        <f t="shared" si="29"/>
        <v>0</v>
      </c>
      <c r="S158" s="1614">
        <v>0</v>
      </c>
      <c r="T158" s="1614">
        <v>0</v>
      </c>
      <c r="U158" s="1600">
        <f t="shared" si="30"/>
        <v>0</v>
      </c>
      <c r="V158" s="1608">
        <v>0</v>
      </c>
      <c r="W158" s="1608">
        <v>0</v>
      </c>
      <c r="X158" s="1423">
        <f t="shared" si="47"/>
        <v>0</v>
      </c>
      <c r="Y158" s="1423"/>
      <c r="Z158" s="1423"/>
      <c r="AA158" s="1423"/>
    </row>
    <row r="159" spans="1:27" s="1607" customFormat="1" ht="41.25" customHeight="1">
      <c r="A159" s="2127">
        <f>A158+1</f>
        <v>35</v>
      </c>
      <c r="B159" s="1890" t="s">
        <v>455</v>
      </c>
      <c r="C159" s="1880">
        <v>14057</v>
      </c>
      <c r="D159" s="1600">
        <f>SUM(E159:F159)</f>
        <v>9940</v>
      </c>
      <c r="E159" s="1614"/>
      <c r="F159" s="1615">
        <f>11287.5-1347.5</f>
        <v>9940</v>
      </c>
      <c r="G159" s="1600">
        <f t="shared" si="33"/>
        <v>9940</v>
      </c>
      <c r="H159" s="1616">
        <f t="shared" si="48"/>
        <v>0</v>
      </c>
      <c r="I159" s="1616">
        <f t="shared" si="48"/>
        <v>9940</v>
      </c>
      <c r="J159" s="1600">
        <f>SUM(K159:L159)</f>
        <v>9768.2000000000007</v>
      </c>
      <c r="K159" s="1614"/>
      <c r="L159" s="1614">
        <v>9768.2000000000007</v>
      </c>
      <c r="M159" s="1604">
        <f t="shared" si="46"/>
        <v>98.3</v>
      </c>
      <c r="N159" s="1881">
        <f t="shared" si="46"/>
        <v>0</v>
      </c>
      <c r="O159" s="1881">
        <f t="shared" si="46"/>
        <v>98.3</v>
      </c>
      <c r="P159" s="2124" t="s">
        <v>1192</v>
      </c>
      <c r="Q159" s="2124" t="s">
        <v>1206</v>
      </c>
      <c r="R159" s="1600">
        <f>SUM(S159:T159)</f>
        <v>0</v>
      </c>
      <c r="S159" s="1614">
        <v>0</v>
      </c>
      <c r="T159" s="1614">
        <v>0</v>
      </c>
      <c r="U159" s="1600">
        <f>SUM(V159:W159)</f>
        <v>0</v>
      </c>
      <c r="V159" s="1614">
        <v>0</v>
      </c>
      <c r="W159" s="1614">
        <v>0</v>
      </c>
      <c r="X159" s="1423">
        <f t="shared" si="47"/>
        <v>0</v>
      </c>
      <c r="Y159" s="1423"/>
      <c r="Z159" s="1423"/>
      <c r="AA159" s="1423"/>
    </row>
    <row r="160" spans="1:27" ht="23.25" customHeight="1">
      <c r="A160" s="2127">
        <f>A159+1</f>
        <v>36</v>
      </c>
      <c r="B160" s="1883" t="s">
        <v>1467</v>
      </c>
      <c r="C160" s="1880">
        <v>14074</v>
      </c>
      <c r="D160" s="1600">
        <f t="shared" si="21"/>
        <v>3120</v>
      </c>
      <c r="E160" s="1608"/>
      <c r="F160" s="1616">
        <f>4400-1280</f>
        <v>3120</v>
      </c>
      <c r="G160" s="1600">
        <f t="shared" si="33"/>
        <v>3120</v>
      </c>
      <c r="H160" s="1616">
        <f t="shared" si="48"/>
        <v>0</v>
      </c>
      <c r="I160" s="1616">
        <f>4400-1280</f>
        <v>3120</v>
      </c>
      <c r="J160" s="1600">
        <f t="shared" si="31"/>
        <v>0</v>
      </c>
      <c r="K160" s="1608"/>
      <c r="L160" s="1608"/>
      <c r="M160" s="1604">
        <f t="shared" si="46"/>
        <v>0</v>
      </c>
      <c r="N160" s="1881">
        <f t="shared" si="46"/>
        <v>0</v>
      </c>
      <c r="O160" s="1881">
        <f t="shared" si="46"/>
        <v>0</v>
      </c>
      <c r="P160" s="2124" t="s">
        <v>1290</v>
      </c>
      <c r="Q160" s="2124" t="s">
        <v>1240</v>
      </c>
      <c r="R160" s="1600">
        <f t="shared" si="29"/>
        <v>100</v>
      </c>
      <c r="S160" s="1608">
        <v>0</v>
      </c>
      <c r="T160" s="1608">
        <v>100</v>
      </c>
      <c r="U160" s="1600">
        <f t="shared" si="30"/>
        <v>0</v>
      </c>
      <c r="V160" s="1608">
        <v>0</v>
      </c>
      <c r="W160" s="1608">
        <v>0</v>
      </c>
      <c r="X160" s="1423">
        <f t="shared" si="47"/>
        <v>0</v>
      </c>
      <c r="Y160" s="1423"/>
      <c r="Z160" s="1423"/>
      <c r="AA160" s="1423"/>
    </row>
    <row r="161" spans="1:27" ht="42.75" hidden="1" customHeight="1">
      <c r="A161" s="2127"/>
      <c r="B161" s="1883" t="s">
        <v>1704</v>
      </c>
      <c r="C161" s="1880"/>
      <c r="D161" s="1600">
        <f>SUM(E161:F161)</f>
        <v>0</v>
      </c>
      <c r="E161" s="1608"/>
      <c r="F161" s="1616">
        <v>0</v>
      </c>
      <c r="G161" s="1600">
        <f>SUM(H161:I161)</f>
        <v>0</v>
      </c>
      <c r="H161" s="1608">
        <f t="shared" si="48"/>
        <v>0</v>
      </c>
      <c r="I161" s="1608">
        <f t="shared" si="48"/>
        <v>0</v>
      </c>
      <c r="J161" s="1600">
        <f>SUM(K161:L161)</f>
        <v>0</v>
      </c>
      <c r="K161" s="1608"/>
      <c r="L161" s="1608"/>
      <c r="M161" s="1604">
        <f t="shared" si="46"/>
        <v>0</v>
      </c>
      <c r="N161" s="1881">
        <f t="shared" si="46"/>
        <v>0</v>
      </c>
      <c r="O161" s="1881">
        <f t="shared" si="46"/>
        <v>0</v>
      </c>
      <c r="P161" s="2124"/>
      <c r="Q161" s="2124"/>
      <c r="R161" s="1600"/>
      <c r="S161" s="1608"/>
      <c r="T161" s="1608"/>
      <c r="U161" s="1600"/>
      <c r="V161" s="1608"/>
      <c r="W161" s="1608"/>
      <c r="Y161" s="1423"/>
      <c r="Z161" s="1423"/>
      <c r="AA161" s="1423"/>
    </row>
    <row r="162" spans="1:27" ht="30" hidden="1" customHeight="1">
      <c r="A162" s="2127"/>
      <c r="B162" s="1883" t="s">
        <v>1705</v>
      </c>
      <c r="C162" s="1880"/>
      <c r="D162" s="1600">
        <f>SUM(E162:F162)</f>
        <v>0</v>
      </c>
      <c r="E162" s="1608"/>
      <c r="F162" s="1616">
        <v>0</v>
      </c>
      <c r="G162" s="1600">
        <f>SUM(H162:I162)</f>
        <v>0</v>
      </c>
      <c r="H162" s="1608">
        <f t="shared" si="48"/>
        <v>0</v>
      </c>
      <c r="I162" s="1608">
        <f t="shared" si="48"/>
        <v>0</v>
      </c>
      <c r="J162" s="1600">
        <f>SUM(K162:L162)</f>
        <v>0</v>
      </c>
      <c r="K162" s="1608"/>
      <c r="L162" s="1608"/>
      <c r="M162" s="1604">
        <f t="shared" si="46"/>
        <v>0</v>
      </c>
      <c r="N162" s="1881">
        <f t="shared" si="46"/>
        <v>0</v>
      </c>
      <c r="O162" s="1881">
        <f t="shared" si="46"/>
        <v>0</v>
      </c>
      <c r="P162" s="2124"/>
      <c r="Q162" s="2124"/>
      <c r="R162" s="1600"/>
      <c r="S162" s="1608"/>
      <c r="T162" s="1608"/>
      <c r="U162" s="1600"/>
      <c r="V162" s="1608"/>
      <c r="W162" s="1608"/>
      <c r="Y162" s="1423"/>
      <c r="Z162" s="1423"/>
      <c r="AA162" s="1423"/>
    </row>
    <row r="163" spans="1:27" ht="66.75" customHeight="1">
      <c r="A163" s="2127">
        <f>A160+1</f>
        <v>37</v>
      </c>
      <c r="B163" s="1883" t="s">
        <v>1812</v>
      </c>
      <c r="C163" s="1880"/>
      <c r="D163" s="1600">
        <f t="shared" ref="D163" si="49">SUM(E163:F163)</f>
        <v>348.5</v>
      </c>
      <c r="E163" s="1608"/>
      <c r="F163" s="1616">
        <v>348.5</v>
      </c>
      <c r="G163" s="1600">
        <f t="shared" ref="G163" si="50">SUM(H163:I163)</f>
        <v>348.5</v>
      </c>
      <c r="H163" s="1616">
        <f t="shared" si="48"/>
        <v>0</v>
      </c>
      <c r="I163" s="1616">
        <f>F163</f>
        <v>348.5</v>
      </c>
      <c r="J163" s="1600">
        <f t="shared" ref="J163" si="51">SUM(K163:L163)</f>
        <v>0</v>
      </c>
      <c r="K163" s="1608"/>
      <c r="L163" s="1608"/>
      <c r="M163" s="1604">
        <f t="shared" si="46"/>
        <v>0</v>
      </c>
      <c r="N163" s="1881">
        <f t="shared" si="46"/>
        <v>0</v>
      </c>
      <c r="O163" s="1881">
        <f t="shared" si="46"/>
        <v>0</v>
      </c>
      <c r="P163" s="2124"/>
      <c r="Q163" s="2124"/>
      <c r="R163" s="1600"/>
      <c r="S163" s="1608"/>
      <c r="T163" s="1608"/>
      <c r="U163" s="1600"/>
      <c r="V163" s="1608"/>
      <c r="W163" s="1608"/>
      <c r="Y163" s="1423"/>
      <c r="Z163" s="1423"/>
      <c r="AA163" s="1423"/>
    </row>
    <row r="164" spans="1:27" ht="30" customHeight="1">
      <c r="A164" s="2127">
        <f>A163+1</f>
        <v>38</v>
      </c>
      <c r="B164" s="1883" t="s">
        <v>1711</v>
      </c>
      <c r="C164" s="1880"/>
      <c r="D164" s="1600">
        <f>SUM(E164:F164)</f>
        <v>5635</v>
      </c>
      <c r="E164" s="1608"/>
      <c r="F164" s="1616">
        <v>5635</v>
      </c>
      <c r="G164" s="1600">
        <f>SUM(H164:I164)</f>
        <v>5635</v>
      </c>
      <c r="H164" s="1616">
        <f t="shared" si="48"/>
        <v>0</v>
      </c>
      <c r="I164" s="1616">
        <f t="shared" si="48"/>
        <v>5635</v>
      </c>
      <c r="J164" s="1600">
        <f>SUM(K164:L164)</f>
        <v>0</v>
      </c>
      <c r="K164" s="1608"/>
      <c r="L164" s="1608"/>
      <c r="M164" s="1604">
        <f t="shared" si="46"/>
        <v>0</v>
      </c>
      <c r="N164" s="1881">
        <f t="shared" si="46"/>
        <v>0</v>
      </c>
      <c r="O164" s="1881">
        <f t="shared" si="46"/>
        <v>0</v>
      </c>
      <c r="P164" s="2124"/>
      <c r="Q164" s="2124"/>
      <c r="R164" s="1600"/>
      <c r="S164" s="1608"/>
      <c r="T164" s="1608"/>
      <c r="U164" s="1600"/>
      <c r="V164" s="1608"/>
      <c r="W164" s="1608"/>
      <c r="X164" s="1423">
        <f>D164-G164</f>
        <v>0</v>
      </c>
      <c r="Y164" s="1423"/>
      <c r="Z164" s="1423"/>
      <c r="AA164" s="1423"/>
    </row>
    <row r="165" spans="1:27" ht="76.5" customHeight="1">
      <c r="A165" s="2127">
        <f>A164+1</f>
        <v>39</v>
      </c>
      <c r="B165" s="1914" t="s">
        <v>434</v>
      </c>
      <c r="C165" s="2127"/>
      <c r="D165" s="1600">
        <f>SUM(E165:F165)</f>
        <v>40100</v>
      </c>
      <c r="E165" s="1608"/>
      <c r="F165" s="1616">
        <v>40100</v>
      </c>
      <c r="G165" s="1600">
        <f>SUM(H165:I165)</f>
        <v>40100</v>
      </c>
      <c r="H165" s="1616">
        <f>E165</f>
        <v>0</v>
      </c>
      <c r="I165" s="1616">
        <v>40100</v>
      </c>
      <c r="J165" s="1600">
        <f>SUM(K165:L165)</f>
        <v>40100</v>
      </c>
      <c r="K165" s="1608"/>
      <c r="L165" s="1608">
        <v>40100</v>
      </c>
      <c r="M165" s="1604">
        <f t="shared" si="46"/>
        <v>100</v>
      </c>
      <c r="N165" s="1881">
        <f t="shared" si="46"/>
        <v>0</v>
      </c>
      <c r="O165" s="1881">
        <f t="shared" si="46"/>
        <v>100</v>
      </c>
      <c r="P165" s="2124"/>
      <c r="Q165" s="2124"/>
      <c r="R165" s="1600"/>
      <c r="S165" s="1608"/>
      <c r="T165" s="1608"/>
      <c r="U165" s="1600"/>
      <c r="V165" s="1608"/>
      <c r="W165" s="1608"/>
      <c r="X165" s="1423"/>
      <c r="Y165" s="1423"/>
      <c r="Z165" s="1423"/>
      <c r="AA165" s="1423"/>
    </row>
    <row r="166" spans="1:27" ht="58.5" customHeight="1">
      <c r="A166" s="2127">
        <f>A165+1</f>
        <v>40</v>
      </c>
      <c r="B166" s="1914" t="s">
        <v>1799</v>
      </c>
      <c r="C166" s="2127"/>
      <c r="D166" s="1600">
        <f>SUM(E166:F166)</f>
        <v>4187</v>
      </c>
      <c r="E166" s="1608"/>
      <c r="F166" s="1616">
        <v>4187</v>
      </c>
      <c r="G166" s="1600">
        <f>SUM(H166:I166)</f>
        <v>4187</v>
      </c>
      <c r="H166" s="1616">
        <f>E166</f>
        <v>0</v>
      </c>
      <c r="I166" s="1616">
        <v>4187</v>
      </c>
      <c r="J166" s="1600">
        <f>SUM(K166:L166)</f>
        <v>3763.3</v>
      </c>
      <c r="K166" s="1608"/>
      <c r="L166" s="1608">
        <v>3763.3</v>
      </c>
      <c r="M166" s="1604">
        <f t="shared" si="46"/>
        <v>89.9</v>
      </c>
      <c r="N166" s="1881">
        <f t="shared" si="46"/>
        <v>0</v>
      </c>
      <c r="O166" s="1881">
        <f t="shared" si="46"/>
        <v>89.9</v>
      </c>
      <c r="P166" s="2124"/>
      <c r="Q166" s="2124"/>
      <c r="R166" s="1600"/>
      <c r="S166" s="1608"/>
      <c r="T166" s="1608"/>
      <c r="U166" s="1600"/>
      <c r="V166" s="1608"/>
      <c r="W166" s="1608"/>
      <c r="X166" s="1423"/>
      <c r="Y166" s="1423"/>
      <c r="Z166" s="1423"/>
      <c r="AA166" s="1423"/>
    </row>
    <row r="167" spans="1:27" ht="97.5" customHeight="1">
      <c r="A167" s="2127">
        <f>A166+1</f>
        <v>41</v>
      </c>
      <c r="B167" s="1883" t="s">
        <v>1684</v>
      </c>
      <c r="C167" s="1880"/>
      <c r="D167" s="1600">
        <f t="shared" si="21"/>
        <v>955</v>
      </c>
      <c r="E167" s="1608"/>
      <c r="F167" s="1616">
        <f>5506.4-4551.4</f>
        <v>955</v>
      </c>
      <c r="G167" s="1600">
        <f t="shared" si="33"/>
        <v>955</v>
      </c>
      <c r="H167" s="1616">
        <f t="shared" si="48"/>
        <v>0</v>
      </c>
      <c r="I167" s="1616">
        <f t="shared" si="48"/>
        <v>955</v>
      </c>
      <c r="J167" s="1600">
        <f t="shared" si="31"/>
        <v>955</v>
      </c>
      <c r="K167" s="1608"/>
      <c r="L167" s="1608">
        <v>955</v>
      </c>
      <c r="M167" s="1604">
        <f t="shared" si="46"/>
        <v>100</v>
      </c>
      <c r="N167" s="1881">
        <f t="shared" si="46"/>
        <v>0</v>
      </c>
      <c r="O167" s="1881">
        <f t="shared" si="46"/>
        <v>100</v>
      </c>
      <c r="P167" s="2124"/>
      <c r="Q167" s="2124"/>
      <c r="R167" s="1600"/>
      <c r="S167" s="1608"/>
      <c r="T167" s="1608"/>
      <c r="U167" s="1600"/>
      <c r="V167" s="1608"/>
      <c r="W167" s="1608"/>
      <c r="X167" s="1423">
        <f>D167-G167</f>
        <v>0</v>
      </c>
      <c r="Y167" s="1423"/>
      <c r="Z167" s="1423"/>
      <c r="AA167" s="1423"/>
    </row>
    <row r="168" spans="1:27" s="484" customFormat="1" ht="63" customHeight="1">
      <c r="A168" s="2127" t="s">
        <v>248</v>
      </c>
      <c r="B168" s="1897" t="s">
        <v>1637</v>
      </c>
      <c r="C168" s="1898"/>
      <c r="D168" s="1899">
        <f>SUM(E168:F168)</f>
        <v>40616.9</v>
      </c>
      <c r="E168" s="1899">
        <f>SUM(E169:E178)</f>
        <v>0</v>
      </c>
      <c r="F168" s="1899">
        <f>SUM(F169:F178)</f>
        <v>40616.9</v>
      </c>
      <c r="G168" s="1899">
        <f>SUM(H168:I168)</f>
        <v>40616.9</v>
      </c>
      <c r="H168" s="1899">
        <f>SUM(H169:H178)</f>
        <v>0</v>
      </c>
      <c r="I168" s="1899">
        <f>SUM(I169:I178)</f>
        <v>40616.9</v>
      </c>
      <c r="J168" s="1899">
        <f>SUM(K168:L168)</f>
        <v>11601.3</v>
      </c>
      <c r="K168" s="1899">
        <f>SUM(K169:K178)</f>
        <v>0</v>
      </c>
      <c r="L168" s="1899">
        <f>SUM(L169:L178)</f>
        <v>11601.3</v>
      </c>
      <c r="M168" s="1900">
        <f t="shared" si="46"/>
        <v>28.6</v>
      </c>
      <c r="N168" s="1901">
        <f t="shared" si="46"/>
        <v>0</v>
      </c>
      <c r="O168" s="1901">
        <f t="shared" si="46"/>
        <v>28.6</v>
      </c>
      <c r="P168" s="2129" t="e">
        <f>SUM(P196+P185+P201)</f>
        <v>#REF!</v>
      </c>
      <c r="Q168" s="2129" t="e">
        <f>SUM(Q196+Q185+Q201)</f>
        <v>#REF!</v>
      </c>
      <c r="R168" s="1899">
        <f t="shared" si="29"/>
        <v>1000</v>
      </c>
      <c r="S168" s="1899">
        <f>SUM(S169:S178)</f>
        <v>0</v>
      </c>
      <c r="T168" s="1899">
        <f>SUM(T169:T178)</f>
        <v>1000</v>
      </c>
      <c r="U168" s="1899">
        <f t="shared" si="30"/>
        <v>0</v>
      </c>
      <c r="V168" s="1899">
        <f>SUM(V169:V178)</f>
        <v>0</v>
      </c>
      <c r="W168" s="1899">
        <f>SUM(W169:W178)</f>
        <v>0</v>
      </c>
      <c r="X168" s="1423">
        <f>D168-G168</f>
        <v>0</v>
      </c>
      <c r="Y168" s="1423"/>
      <c r="Z168" s="1423"/>
      <c r="AA168" s="1423"/>
    </row>
    <row r="169" spans="1:27" ht="48" hidden="1" customHeight="1">
      <c r="A169" s="2127"/>
      <c r="B169" s="1912" t="s">
        <v>1591</v>
      </c>
      <c r="C169" s="1913">
        <v>14098</v>
      </c>
      <c r="D169" s="1600">
        <f>SUM(E169:F169)</f>
        <v>0</v>
      </c>
      <c r="E169" s="1608"/>
      <c r="F169" s="1616">
        <v>0</v>
      </c>
      <c r="G169" s="1600">
        <f t="shared" si="33"/>
        <v>0</v>
      </c>
      <c r="H169" s="1608">
        <f t="shared" si="48"/>
        <v>0</v>
      </c>
      <c r="I169" s="1608">
        <f t="shared" si="48"/>
        <v>0</v>
      </c>
      <c r="J169" s="1600">
        <f>SUM(K169:L169)</f>
        <v>0</v>
      </c>
      <c r="K169" s="1608"/>
      <c r="L169" s="1608"/>
      <c r="M169" s="1893">
        <f t="shared" si="46"/>
        <v>0</v>
      </c>
      <c r="N169" s="1894">
        <f t="shared" si="46"/>
        <v>0</v>
      </c>
      <c r="O169" s="1894">
        <f t="shared" si="46"/>
        <v>0</v>
      </c>
      <c r="P169" s="2124"/>
      <c r="Q169" s="2124"/>
      <c r="R169" s="1600">
        <f>SUM(S169:T169)</f>
        <v>0</v>
      </c>
      <c r="S169" s="1614">
        <v>0</v>
      </c>
      <c r="T169" s="1614">
        <v>0</v>
      </c>
      <c r="U169" s="1600">
        <f>SUM(V169:W169)</f>
        <v>0</v>
      </c>
      <c r="V169" s="1608">
        <v>0</v>
      </c>
      <c r="W169" s="1608">
        <v>0</v>
      </c>
      <c r="Y169" s="1423"/>
      <c r="Z169" s="1423"/>
      <c r="AA169" s="1423"/>
    </row>
    <row r="170" spans="1:27" ht="37.5" customHeight="1">
      <c r="A170" s="2127">
        <f>A167+1</f>
        <v>42</v>
      </c>
      <c r="B170" s="2015" t="s">
        <v>766</v>
      </c>
      <c r="C170" s="1913"/>
      <c r="D170" s="1600">
        <f>SUM(E170:F170)</f>
        <v>670</v>
      </c>
      <c r="E170" s="1608"/>
      <c r="F170" s="1616">
        <v>670</v>
      </c>
      <c r="G170" s="1600">
        <f>SUM(H170:I170)</f>
        <v>670</v>
      </c>
      <c r="H170" s="1616">
        <f t="shared" si="48"/>
        <v>0</v>
      </c>
      <c r="I170" s="1616">
        <f t="shared" si="48"/>
        <v>670</v>
      </c>
      <c r="J170" s="1600">
        <f>SUM(K170:L170)</f>
        <v>600</v>
      </c>
      <c r="K170" s="1608"/>
      <c r="L170" s="1608">
        <v>600</v>
      </c>
      <c r="M170" s="1893">
        <f t="shared" si="46"/>
        <v>89.6</v>
      </c>
      <c r="N170" s="1894">
        <f t="shared" si="46"/>
        <v>0</v>
      </c>
      <c r="O170" s="1894">
        <f t="shared" si="46"/>
        <v>89.6</v>
      </c>
      <c r="P170" s="2124"/>
      <c r="Q170" s="2124"/>
      <c r="R170" s="1600"/>
      <c r="S170" s="1614"/>
      <c r="T170" s="1614"/>
      <c r="U170" s="1600"/>
      <c r="V170" s="1608"/>
      <c r="W170" s="1608"/>
      <c r="X170" s="1423">
        <f>D170-G170</f>
        <v>0</v>
      </c>
      <c r="Y170" s="1423"/>
      <c r="Z170" s="1423"/>
      <c r="AA170" s="1423"/>
    </row>
    <row r="171" spans="1:27" ht="61.5" customHeight="1">
      <c r="A171" s="2127">
        <f>A170+1</f>
        <v>43</v>
      </c>
      <c r="B171" s="2015" t="s">
        <v>1709</v>
      </c>
      <c r="C171" s="1913"/>
      <c r="D171" s="1600">
        <f>SUM(E171:F171)</f>
        <v>255</v>
      </c>
      <c r="E171" s="1608"/>
      <c r="F171" s="1616">
        <v>255</v>
      </c>
      <c r="G171" s="1600">
        <f>SUM(H171:I171)</f>
        <v>255</v>
      </c>
      <c r="H171" s="1616">
        <f>E171</f>
        <v>0</v>
      </c>
      <c r="I171" s="1616">
        <v>255</v>
      </c>
      <c r="J171" s="1600">
        <f>SUM(K171:L171)</f>
        <v>255</v>
      </c>
      <c r="K171" s="1608"/>
      <c r="L171" s="1608">
        <v>255</v>
      </c>
      <c r="M171" s="1893">
        <f>IF(J171=0,0,J171/G171*100)</f>
        <v>100</v>
      </c>
      <c r="N171" s="1894">
        <f>IF(K171=0,0,K171/H171*100)</f>
        <v>0</v>
      </c>
      <c r="O171" s="1894">
        <f>IF(L171=0,0,L171/I171*100)</f>
        <v>100</v>
      </c>
      <c r="P171" s="2124"/>
      <c r="Q171" s="2124"/>
      <c r="R171" s="1600"/>
      <c r="S171" s="1614"/>
      <c r="T171" s="1614"/>
      <c r="U171" s="1600"/>
      <c r="V171" s="1608"/>
      <c r="W171" s="1608"/>
      <c r="X171" s="1423"/>
      <c r="Y171" s="1423"/>
      <c r="Z171" s="1423"/>
      <c r="AA171" s="1423"/>
    </row>
    <row r="172" spans="1:27" s="1607" customFormat="1" ht="63" customHeight="1">
      <c r="A172" s="2127" t="s">
        <v>1822</v>
      </c>
      <c r="B172" s="521" t="s">
        <v>1661</v>
      </c>
      <c r="C172" s="1882"/>
      <c r="D172" s="1602">
        <f>SUM(E172:F172)</f>
        <v>0</v>
      </c>
      <c r="E172" s="1616"/>
      <c r="F172" s="1616">
        <v>0</v>
      </c>
      <c r="G172" s="1602">
        <f t="shared" si="33"/>
        <v>0</v>
      </c>
      <c r="H172" s="1616">
        <f t="shared" si="48"/>
        <v>0</v>
      </c>
      <c r="I172" s="1616">
        <v>0</v>
      </c>
      <c r="J172" s="1602">
        <f>SUM(K172:L172)</f>
        <v>0</v>
      </c>
      <c r="K172" s="1616"/>
      <c r="L172" s="1616"/>
      <c r="M172" s="1604">
        <f t="shared" si="46"/>
        <v>0</v>
      </c>
      <c r="N172" s="1881">
        <f t="shared" si="46"/>
        <v>0</v>
      </c>
      <c r="O172" s="1881">
        <f t="shared" si="46"/>
        <v>0</v>
      </c>
      <c r="P172" s="2124"/>
      <c r="Q172" s="2124"/>
      <c r="R172" s="1600">
        <f>SUM(S172:T172)</f>
        <v>0</v>
      </c>
      <c r="S172" s="1614">
        <v>0</v>
      </c>
      <c r="T172" s="1614">
        <v>0</v>
      </c>
      <c r="U172" s="1600">
        <f>SUM(V172:W172)</f>
        <v>0</v>
      </c>
      <c r="V172" s="1608">
        <v>0</v>
      </c>
      <c r="W172" s="1608">
        <v>0</v>
      </c>
      <c r="X172" s="1423">
        <f>D172-G172</f>
        <v>0</v>
      </c>
      <c r="Y172" s="1423"/>
      <c r="Z172" s="1423"/>
      <c r="AA172" s="1423"/>
    </row>
    <row r="173" spans="1:27" s="1570" customFormat="1" ht="42.75" customHeight="1">
      <c r="A173" s="2127" t="s">
        <v>1823</v>
      </c>
      <c r="B173" s="1885" t="s">
        <v>1676</v>
      </c>
      <c r="C173" s="1880"/>
      <c r="D173" s="1600">
        <f t="shared" si="21"/>
        <v>1910.9</v>
      </c>
      <c r="E173" s="1614"/>
      <c r="F173" s="1615">
        <f>1000+910.9</f>
        <v>1910.9</v>
      </c>
      <c r="G173" s="1600">
        <f t="shared" si="33"/>
        <v>1910.9</v>
      </c>
      <c r="H173" s="1616">
        <f t="shared" si="48"/>
        <v>0</v>
      </c>
      <c r="I173" s="1616">
        <f t="shared" si="48"/>
        <v>1910.9</v>
      </c>
      <c r="J173" s="1600">
        <f t="shared" si="31"/>
        <v>1481.1</v>
      </c>
      <c r="K173" s="1614"/>
      <c r="L173" s="1614">
        <v>1481.1</v>
      </c>
      <c r="M173" s="1604">
        <f t="shared" si="46"/>
        <v>77.5</v>
      </c>
      <c r="N173" s="1881">
        <f t="shared" si="46"/>
        <v>0</v>
      </c>
      <c r="O173" s="1881">
        <f t="shared" si="46"/>
        <v>77.5</v>
      </c>
      <c r="P173" s="2124"/>
      <c r="Q173" s="1612"/>
      <c r="R173" s="1600">
        <f t="shared" si="29"/>
        <v>0</v>
      </c>
      <c r="S173" s="1614">
        <v>0</v>
      </c>
      <c r="T173" s="1614">
        <v>0</v>
      </c>
      <c r="U173" s="1600">
        <f t="shared" si="30"/>
        <v>0</v>
      </c>
      <c r="V173" s="1608">
        <v>0</v>
      </c>
      <c r="W173" s="1608">
        <v>0</v>
      </c>
      <c r="X173" s="1423">
        <f>D173-G173</f>
        <v>0</v>
      </c>
      <c r="Y173" s="1423"/>
      <c r="Z173" s="1423"/>
      <c r="AA173" s="1423"/>
    </row>
    <row r="174" spans="1:27" s="1570" customFormat="1" ht="43.5" customHeight="1">
      <c r="A174" s="2127" t="s">
        <v>1824</v>
      </c>
      <c r="B174" s="1888" t="s">
        <v>1596</v>
      </c>
      <c r="C174" s="1880"/>
      <c r="D174" s="1600">
        <f t="shared" si="21"/>
        <v>1571.9</v>
      </c>
      <c r="E174" s="1614"/>
      <c r="F174" s="1615">
        <f>1500+71.9</f>
        <v>1571.9</v>
      </c>
      <c r="G174" s="1600">
        <f t="shared" si="33"/>
        <v>1571.9</v>
      </c>
      <c r="H174" s="1616">
        <f t="shared" ref="H174:I178" si="52">E174</f>
        <v>0</v>
      </c>
      <c r="I174" s="1616">
        <f t="shared" si="52"/>
        <v>1571.9</v>
      </c>
      <c r="J174" s="1600">
        <f t="shared" si="31"/>
        <v>1571.9</v>
      </c>
      <c r="K174" s="1614"/>
      <c r="L174" s="1614">
        <v>1571.9</v>
      </c>
      <c r="M174" s="1604">
        <f t="shared" si="46"/>
        <v>100</v>
      </c>
      <c r="N174" s="1881">
        <f t="shared" si="46"/>
        <v>0</v>
      </c>
      <c r="O174" s="1881">
        <f t="shared" si="46"/>
        <v>100</v>
      </c>
      <c r="P174" s="2124"/>
      <c r="Q174" s="1612"/>
      <c r="R174" s="1600">
        <f t="shared" si="29"/>
        <v>0</v>
      </c>
      <c r="S174" s="1614">
        <v>0</v>
      </c>
      <c r="T174" s="1614">
        <v>0</v>
      </c>
      <c r="U174" s="1600">
        <f t="shared" si="30"/>
        <v>0</v>
      </c>
      <c r="V174" s="1608">
        <v>0</v>
      </c>
      <c r="W174" s="1608">
        <v>0</v>
      </c>
      <c r="X174" s="1423">
        <f>D174-G174</f>
        <v>0</v>
      </c>
      <c r="Y174" s="1423"/>
      <c r="Z174" s="1423"/>
      <c r="AA174" s="1423"/>
    </row>
    <row r="175" spans="1:27" s="1570" customFormat="1" ht="69" hidden="1" customHeight="1">
      <c r="A175" s="2127"/>
      <c r="B175" s="1888" t="s">
        <v>1703</v>
      </c>
      <c r="C175" s="1880"/>
      <c r="D175" s="1600">
        <f>SUM(E175:F175)</f>
        <v>0</v>
      </c>
      <c r="E175" s="1614"/>
      <c r="F175" s="1615">
        <v>0</v>
      </c>
      <c r="G175" s="1600">
        <f>SUM(H175:I175)</f>
        <v>0</v>
      </c>
      <c r="H175" s="1614">
        <f t="shared" si="52"/>
        <v>0</v>
      </c>
      <c r="I175" s="1614">
        <f t="shared" si="52"/>
        <v>0</v>
      </c>
      <c r="J175" s="1600">
        <f>SUM(K175:L175)</f>
        <v>0</v>
      </c>
      <c r="K175" s="1614"/>
      <c r="L175" s="1614">
        <v>0</v>
      </c>
      <c r="M175" s="1604">
        <f t="shared" si="46"/>
        <v>0</v>
      </c>
      <c r="N175" s="1881">
        <f t="shared" si="46"/>
        <v>0</v>
      </c>
      <c r="O175" s="1881">
        <f t="shared" si="46"/>
        <v>0</v>
      </c>
      <c r="P175" s="2124"/>
      <c r="Q175" s="1612"/>
      <c r="R175" s="1600"/>
      <c r="S175" s="1614"/>
      <c r="T175" s="1614"/>
      <c r="U175" s="1600"/>
      <c r="V175" s="1608"/>
      <c r="W175" s="1608"/>
      <c r="Y175" s="1423"/>
      <c r="Z175" s="1423"/>
      <c r="AA175" s="1423"/>
    </row>
    <row r="176" spans="1:27" s="484" customFormat="1" ht="49.5" customHeight="1">
      <c r="A176" s="2127">
        <f>A171+1</f>
        <v>44</v>
      </c>
      <c r="B176" s="1915" t="s">
        <v>694</v>
      </c>
      <c r="C176" s="1866" t="s">
        <v>1548</v>
      </c>
      <c r="D176" s="1600">
        <f t="shared" si="21"/>
        <v>5250</v>
      </c>
      <c r="E176" s="1614"/>
      <c r="F176" s="1615">
        <f>19000-13000-750</f>
        <v>5250</v>
      </c>
      <c r="G176" s="1600">
        <f t="shared" si="33"/>
        <v>5250</v>
      </c>
      <c r="H176" s="1616">
        <f t="shared" si="52"/>
        <v>0</v>
      </c>
      <c r="I176" s="1616">
        <f t="shared" si="52"/>
        <v>5250</v>
      </c>
      <c r="J176" s="1600">
        <f t="shared" si="31"/>
        <v>5250</v>
      </c>
      <c r="K176" s="1614"/>
      <c r="L176" s="1614">
        <v>5250</v>
      </c>
      <c r="M176" s="1893">
        <f t="shared" si="46"/>
        <v>100</v>
      </c>
      <c r="N176" s="1894">
        <f t="shared" si="46"/>
        <v>0</v>
      </c>
      <c r="O176" s="1894">
        <f t="shared" si="46"/>
        <v>100</v>
      </c>
      <c r="P176" s="2124" t="s">
        <v>1272</v>
      </c>
      <c r="Q176" s="2124" t="s">
        <v>1273</v>
      </c>
      <c r="R176" s="1600">
        <f t="shared" si="29"/>
        <v>1000</v>
      </c>
      <c r="S176" s="1614">
        <v>0</v>
      </c>
      <c r="T176" s="1614">
        <v>1000</v>
      </c>
      <c r="U176" s="1600">
        <f t="shared" si="30"/>
        <v>0</v>
      </c>
      <c r="V176" s="1608">
        <v>0</v>
      </c>
      <c r="W176" s="1608">
        <v>0</v>
      </c>
      <c r="X176" s="1423">
        <f t="shared" ref="X176:X186" si="53">D176-G176</f>
        <v>0</v>
      </c>
      <c r="Y176" s="1423"/>
      <c r="Z176" s="1423"/>
      <c r="AA176" s="1423"/>
    </row>
    <row r="177" spans="1:27" s="1607" customFormat="1" ht="66" customHeight="1">
      <c r="A177" s="2127" t="s">
        <v>1825</v>
      </c>
      <c r="B177" s="1914" t="s">
        <v>1600</v>
      </c>
      <c r="C177" s="2127"/>
      <c r="D177" s="1600">
        <f t="shared" si="21"/>
        <v>959.1</v>
      </c>
      <c r="E177" s="1608"/>
      <c r="F177" s="1616">
        <v>959.1</v>
      </c>
      <c r="G177" s="1600">
        <f t="shared" si="33"/>
        <v>959.1</v>
      </c>
      <c r="H177" s="1616">
        <f t="shared" si="52"/>
        <v>0</v>
      </c>
      <c r="I177" s="1616">
        <f t="shared" si="52"/>
        <v>959.1</v>
      </c>
      <c r="J177" s="1600">
        <f t="shared" si="31"/>
        <v>359.1</v>
      </c>
      <c r="K177" s="1608"/>
      <c r="L177" s="1608">
        <f>300+59.1</f>
        <v>359.1</v>
      </c>
      <c r="M177" s="1604">
        <f t="shared" si="46"/>
        <v>37.4</v>
      </c>
      <c r="N177" s="1881">
        <f t="shared" si="46"/>
        <v>0</v>
      </c>
      <c r="O177" s="1881">
        <f t="shared" si="46"/>
        <v>37.4</v>
      </c>
      <c r="P177" s="2124"/>
      <c r="Q177" s="2124"/>
      <c r="R177" s="1600">
        <f t="shared" si="29"/>
        <v>0</v>
      </c>
      <c r="S177" s="1608">
        <v>0</v>
      </c>
      <c r="T177" s="1608">
        <v>0</v>
      </c>
      <c r="U177" s="1600">
        <f t="shared" si="30"/>
        <v>0</v>
      </c>
      <c r="V177" s="1608">
        <v>0</v>
      </c>
      <c r="W177" s="1608">
        <v>0</v>
      </c>
      <c r="X177" s="1423">
        <f t="shared" si="53"/>
        <v>0</v>
      </c>
      <c r="Y177" s="1423"/>
      <c r="Z177" s="1423"/>
      <c r="AA177" s="1423"/>
    </row>
    <row r="178" spans="1:27" s="484" customFormat="1" ht="53.25" customHeight="1">
      <c r="A178" s="2127" t="s">
        <v>1826</v>
      </c>
      <c r="B178" s="1915" t="s">
        <v>698</v>
      </c>
      <c r="C178" s="1866"/>
      <c r="D178" s="1600">
        <f>SUM(E178:F178)</f>
        <v>30000</v>
      </c>
      <c r="E178" s="1614"/>
      <c r="F178" s="1615">
        <v>30000</v>
      </c>
      <c r="G178" s="1600">
        <f t="shared" si="33"/>
        <v>30000</v>
      </c>
      <c r="H178" s="1616">
        <f t="shared" si="52"/>
        <v>0</v>
      </c>
      <c r="I178" s="1616">
        <f t="shared" si="52"/>
        <v>30000</v>
      </c>
      <c r="J178" s="1600">
        <f>SUM(K178:L178)</f>
        <v>2084.1999999999998</v>
      </c>
      <c r="K178" s="1614"/>
      <c r="L178" s="1614">
        <v>2084.1999999999998</v>
      </c>
      <c r="M178" s="1893">
        <f t="shared" si="46"/>
        <v>6.9</v>
      </c>
      <c r="N178" s="1894">
        <f t="shared" si="46"/>
        <v>0</v>
      </c>
      <c r="O178" s="1894">
        <f t="shared" si="46"/>
        <v>6.9</v>
      </c>
      <c r="P178" s="2124" t="s">
        <v>1306</v>
      </c>
      <c r="Q178" s="2124" t="s">
        <v>1277</v>
      </c>
      <c r="R178" s="1600">
        <f t="shared" si="29"/>
        <v>0</v>
      </c>
      <c r="S178" s="1608">
        <v>0</v>
      </c>
      <c r="T178" s="1608">
        <v>0</v>
      </c>
      <c r="U178" s="1600">
        <f t="shared" si="30"/>
        <v>0</v>
      </c>
      <c r="V178" s="1608">
        <v>0</v>
      </c>
      <c r="W178" s="1608">
        <v>0</v>
      </c>
      <c r="X178" s="1423">
        <f t="shared" si="53"/>
        <v>0</v>
      </c>
      <c r="Y178" s="1423"/>
      <c r="Z178" s="1423"/>
      <c r="AA178" s="1423"/>
    </row>
    <row r="179" spans="1:27" ht="26.25" customHeight="1">
      <c r="A179" s="2127" t="s">
        <v>249</v>
      </c>
      <c r="B179" s="1876" t="s">
        <v>1394</v>
      </c>
      <c r="C179" s="1877"/>
      <c r="D179" s="1598">
        <f>SUM(E179:F179)</f>
        <v>6356966.9000000004</v>
      </c>
      <c r="E179" s="1903">
        <f>SUM(E180,E201,E303,E308,E305)</f>
        <v>5142823</v>
      </c>
      <c r="F179" s="1903">
        <f>SUM(F180,F201,F303,F308,F305)</f>
        <v>1214143.8999999999</v>
      </c>
      <c r="G179" s="1598">
        <f>SUM(H179:I179)</f>
        <v>6356966.9000000004</v>
      </c>
      <c r="H179" s="1903">
        <f>SUM(H180,H201,H303,H308,H305)</f>
        <v>5142823</v>
      </c>
      <c r="I179" s="1903">
        <f>SUM(I180,I201,I303,I308,I305)</f>
        <v>1214143.8999999999</v>
      </c>
      <c r="J179" s="1598">
        <f>SUM(K179:L179)</f>
        <v>2929752.8</v>
      </c>
      <c r="K179" s="1903">
        <f>SUM(K180,K201,K303,K308,K305)</f>
        <v>2386776.9</v>
      </c>
      <c r="L179" s="1903">
        <f>SUM(L180,L201,L303,L308,L305)</f>
        <v>542975.9</v>
      </c>
      <c r="M179" s="1908">
        <f t="shared" si="46"/>
        <v>46.1</v>
      </c>
      <c r="N179" s="1909">
        <f t="shared" si="46"/>
        <v>46.4</v>
      </c>
      <c r="O179" s="1909">
        <f t="shared" si="46"/>
        <v>44.7</v>
      </c>
      <c r="P179" s="1599" t="s">
        <v>353</v>
      </c>
      <c r="Q179" s="1599" t="s">
        <v>353</v>
      </c>
      <c r="R179" s="1598" t="e">
        <f t="shared" si="29"/>
        <v>#REF!</v>
      </c>
      <c r="S179" s="1903" t="e">
        <f>SUM(S180,S201,S303,S308)</f>
        <v>#REF!</v>
      </c>
      <c r="T179" s="1903" t="e">
        <f>SUM(T180,T201,T303,T308)</f>
        <v>#REF!</v>
      </c>
      <c r="U179" s="1598" t="e">
        <f t="shared" si="30"/>
        <v>#REF!</v>
      </c>
      <c r="V179" s="1903" t="e">
        <f>SUM(V180,V201,V303,V308)</f>
        <v>#REF!</v>
      </c>
      <c r="W179" s="1903" t="e">
        <f>SUM(W180,W201,W303,W308)</f>
        <v>#REF!</v>
      </c>
      <c r="X179" s="1423">
        <f t="shared" si="53"/>
        <v>0</v>
      </c>
      <c r="Y179" s="1423"/>
      <c r="Z179" s="1423"/>
      <c r="AA179" s="1423"/>
    </row>
    <row r="180" spans="1:27" ht="37.5">
      <c r="A180" s="2127" t="s">
        <v>250</v>
      </c>
      <c r="B180" s="1897" t="s">
        <v>1395</v>
      </c>
      <c r="C180" s="1898"/>
      <c r="D180" s="1899">
        <f>SUM(E180:F180)</f>
        <v>2458961.9</v>
      </c>
      <c r="E180" s="1899">
        <f>SUM(E181,E185,E192,E196,E198,E183)</f>
        <v>1683092.5</v>
      </c>
      <c r="F180" s="1899">
        <f>SUM(F181,F185,F192,F196,F198,F183)</f>
        <v>775869.4</v>
      </c>
      <c r="G180" s="1899">
        <f>SUM(H180:I180)</f>
        <v>2458961.9</v>
      </c>
      <c r="H180" s="1899">
        <f>SUM(H181,H185,H192,H196,H198,H183)</f>
        <v>1683092.5</v>
      </c>
      <c r="I180" s="1899">
        <f>SUM(I181,I185,I192,I196,I198,I183)</f>
        <v>775869.4</v>
      </c>
      <c r="J180" s="1899">
        <f>SUM(K180:L180)</f>
        <v>1047391.1</v>
      </c>
      <c r="K180" s="1899">
        <f>SUM(K181,K185,K192,K196,K198,K183)</f>
        <v>687009.8</v>
      </c>
      <c r="L180" s="1899">
        <f>SUM(L181,L185,L192,L196,L198,L183)</f>
        <v>360381.3</v>
      </c>
      <c r="M180" s="1899">
        <f t="shared" si="46"/>
        <v>42.6</v>
      </c>
      <c r="N180" s="1899">
        <f t="shared" si="46"/>
        <v>40.799999999999997</v>
      </c>
      <c r="O180" s="1899">
        <f t="shared" si="46"/>
        <v>46.4</v>
      </c>
      <c r="P180" s="1899">
        <f>SUM(P185,P196)+Q192</f>
        <v>0</v>
      </c>
      <c r="Q180" s="1899">
        <f>SUM(Q185,Q196)+R192</f>
        <v>182695.3</v>
      </c>
      <c r="R180" s="1899">
        <f>SUM(S180:T180)</f>
        <v>1266522.3999999999</v>
      </c>
      <c r="S180" s="1899">
        <f>SUM(S185,S192,S196,S198)</f>
        <v>926046.6</v>
      </c>
      <c r="T180" s="1899">
        <f>SUM(T185,T192,T196,T198)</f>
        <v>340475.8</v>
      </c>
      <c r="U180" s="1899">
        <f>SUM(V180:W180)</f>
        <v>1478103.7</v>
      </c>
      <c r="V180" s="1899">
        <f>SUM(V185,V192,V196,V198)</f>
        <v>1463322.7</v>
      </c>
      <c r="W180" s="1899">
        <f>SUM(W185,W192,W196,W198)</f>
        <v>14781</v>
      </c>
      <c r="X180" s="1423">
        <f t="shared" si="53"/>
        <v>0</v>
      </c>
      <c r="Y180" s="1423"/>
      <c r="Z180" s="1423"/>
      <c r="AA180" s="1423"/>
    </row>
    <row r="181" spans="1:27" ht="23.25">
      <c r="A181" s="2127"/>
      <c r="B181" s="1897" t="s">
        <v>1650</v>
      </c>
      <c r="C181" s="1898"/>
      <c r="D181" s="1899">
        <f>E181+F181</f>
        <v>44870.6</v>
      </c>
      <c r="E181" s="1899">
        <f>E182</f>
        <v>13988.1</v>
      </c>
      <c r="F181" s="1899">
        <f>F182</f>
        <v>30882.5</v>
      </c>
      <c r="G181" s="1899">
        <f>H181+I181</f>
        <v>44870.6</v>
      </c>
      <c r="H181" s="1899">
        <f>H182</f>
        <v>13988.1</v>
      </c>
      <c r="I181" s="1899">
        <f>I182</f>
        <v>30882.5</v>
      </c>
      <c r="J181" s="1899">
        <f>K181+L181</f>
        <v>15310.1</v>
      </c>
      <c r="K181" s="1899">
        <f>K182</f>
        <v>5745.2</v>
      </c>
      <c r="L181" s="1899">
        <f>L182</f>
        <v>9564.9</v>
      </c>
      <c r="M181" s="1899">
        <f t="shared" si="46"/>
        <v>34.1</v>
      </c>
      <c r="N181" s="1899">
        <f t="shared" si="46"/>
        <v>41.1</v>
      </c>
      <c r="O181" s="1899">
        <f t="shared" si="46"/>
        <v>31</v>
      </c>
      <c r="P181" s="1899"/>
      <c r="Q181" s="1899"/>
      <c r="R181" s="1899"/>
      <c r="S181" s="1899"/>
      <c r="T181" s="1899"/>
      <c r="U181" s="1899"/>
      <c r="V181" s="1899"/>
      <c r="W181" s="1899"/>
      <c r="X181" s="1423">
        <f t="shared" si="53"/>
        <v>0</v>
      </c>
      <c r="Y181" s="1423"/>
      <c r="Z181" s="1423"/>
      <c r="AA181" s="1423"/>
    </row>
    <row r="182" spans="1:27" ht="52.5" customHeight="1">
      <c r="A182" s="2127">
        <f>A176+1</f>
        <v>45</v>
      </c>
      <c r="B182" s="1919" t="s">
        <v>1469</v>
      </c>
      <c r="C182" s="1898"/>
      <c r="D182" s="1600">
        <f>SUM(E182:F182)</f>
        <v>44870.6</v>
      </c>
      <c r="E182" s="1614">
        <v>13988.1</v>
      </c>
      <c r="F182" s="1614">
        <f>23288.3+1040.3+6553.9</f>
        <v>30882.5</v>
      </c>
      <c r="G182" s="1600">
        <f>SUM(H182:I182)</f>
        <v>44870.6</v>
      </c>
      <c r="H182" s="1616">
        <f>E182</f>
        <v>13988.1</v>
      </c>
      <c r="I182" s="1616">
        <f>24328.6+6553.9</f>
        <v>30882.5</v>
      </c>
      <c r="J182" s="1600">
        <f>SUM(K182:L182)</f>
        <v>15310.1</v>
      </c>
      <c r="K182" s="1614">
        <v>5745.2</v>
      </c>
      <c r="L182" s="1614">
        <v>9564.9</v>
      </c>
      <c r="M182" s="1893">
        <f t="shared" si="46"/>
        <v>34.1</v>
      </c>
      <c r="N182" s="1894">
        <f t="shared" si="46"/>
        <v>41.1</v>
      </c>
      <c r="O182" s="1894">
        <f t="shared" si="46"/>
        <v>31</v>
      </c>
      <c r="P182" s="1899"/>
      <c r="Q182" s="1899"/>
      <c r="R182" s="1899"/>
      <c r="S182" s="1899"/>
      <c r="T182" s="1899"/>
      <c r="U182" s="1899"/>
      <c r="V182" s="1899"/>
      <c r="W182" s="1899"/>
      <c r="X182" s="1423">
        <f t="shared" si="53"/>
        <v>0</v>
      </c>
      <c r="Y182" s="1423"/>
      <c r="Z182" s="1423"/>
      <c r="AA182" s="1423"/>
    </row>
    <row r="183" spans="1:27" ht="25.5" customHeight="1">
      <c r="A183" s="2127"/>
      <c r="B183" s="1897" t="s">
        <v>1396</v>
      </c>
      <c r="C183" s="1898"/>
      <c r="D183" s="1899">
        <f>SUM(E183:F183)</f>
        <v>71498.399999999994</v>
      </c>
      <c r="E183" s="2129">
        <f>SUM(E184)</f>
        <v>62026.400000000001</v>
      </c>
      <c r="F183" s="2129">
        <f>SUM(F184)</f>
        <v>9472</v>
      </c>
      <c r="G183" s="1899">
        <f>SUM(H183:I183)</f>
        <v>71498.399999999994</v>
      </c>
      <c r="H183" s="2129">
        <f>SUM(H184)</f>
        <v>62026.400000000001</v>
      </c>
      <c r="I183" s="2129">
        <f>SUM(I184)</f>
        <v>9472</v>
      </c>
      <c r="J183" s="1899">
        <f>SUM(K183:L183)</f>
        <v>62652.9</v>
      </c>
      <c r="K183" s="2129">
        <f>SUM(K184)</f>
        <v>61956.9</v>
      </c>
      <c r="L183" s="2129">
        <f>SUM(L184)</f>
        <v>696</v>
      </c>
      <c r="M183" s="1900">
        <f t="shared" si="46"/>
        <v>87.6</v>
      </c>
      <c r="N183" s="1901">
        <f t="shared" si="46"/>
        <v>99.9</v>
      </c>
      <c r="O183" s="1901">
        <f t="shared" si="46"/>
        <v>7.3</v>
      </c>
      <c r="P183" s="1899"/>
      <c r="Q183" s="1899"/>
      <c r="R183" s="1899"/>
      <c r="S183" s="1899"/>
      <c r="T183" s="1899"/>
      <c r="U183" s="1899"/>
      <c r="V183" s="1899"/>
      <c r="W183" s="1899"/>
      <c r="X183" s="1423">
        <f t="shared" si="53"/>
        <v>0</v>
      </c>
      <c r="Y183" s="1423"/>
      <c r="Z183" s="1423"/>
      <c r="AA183" s="1423"/>
    </row>
    <row r="184" spans="1:27" ht="52.5" customHeight="1">
      <c r="A184" s="1866">
        <f>A182+1</f>
        <v>46</v>
      </c>
      <c r="B184" s="2072" t="s">
        <v>1392</v>
      </c>
      <c r="C184" s="1906"/>
      <c r="D184" s="1600">
        <f>SUM(E184:F184)</f>
        <v>71498.399999999994</v>
      </c>
      <c r="E184" s="1614">
        <v>62026.400000000001</v>
      </c>
      <c r="F184" s="1614">
        <f>9285.9+186.1</f>
        <v>9472</v>
      </c>
      <c r="G184" s="1600">
        <f>SUM(H184:I184)</f>
        <v>71498.399999999994</v>
      </c>
      <c r="H184" s="1616">
        <f>E184</f>
        <v>62026.400000000001</v>
      </c>
      <c r="I184" s="1616">
        <v>9472</v>
      </c>
      <c r="J184" s="1600">
        <f>SUM(K184:L184)</f>
        <v>62652.9</v>
      </c>
      <c r="K184" s="1614">
        <v>61956.9</v>
      </c>
      <c r="L184" s="1614">
        <v>696</v>
      </c>
      <c r="M184" s="1893">
        <f t="shared" si="46"/>
        <v>87.6</v>
      </c>
      <c r="N184" s="1894">
        <f t="shared" si="46"/>
        <v>99.9</v>
      </c>
      <c r="O184" s="1894">
        <f t="shared" si="46"/>
        <v>7.3</v>
      </c>
      <c r="P184" s="1899"/>
      <c r="Q184" s="1899"/>
      <c r="R184" s="1899"/>
      <c r="S184" s="1899"/>
      <c r="T184" s="1899"/>
      <c r="U184" s="1899"/>
      <c r="V184" s="1899"/>
      <c r="W184" s="1899"/>
      <c r="X184" s="1423">
        <f t="shared" si="53"/>
        <v>0</v>
      </c>
      <c r="Y184" s="1423"/>
      <c r="Z184" s="1423"/>
      <c r="AA184" s="1423"/>
    </row>
    <row r="185" spans="1:27" ht="23.25">
      <c r="A185" s="2127"/>
      <c r="B185" s="1897" t="s">
        <v>1461</v>
      </c>
      <c r="C185" s="1898"/>
      <c r="D185" s="1899">
        <f>SUM(E185:F185)</f>
        <v>2303783.1</v>
      </c>
      <c r="E185" s="1899">
        <f>SUM(E186:E191)</f>
        <v>1569072.1</v>
      </c>
      <c r="F185" s="1899">
        <f>SUM(F186:F191)</f>
        <v>734711</v>
      </c>
      <c r="G185" s="1899">
        <f>SUM(H185:I185)</f>
        <v>2303783.1</v>
      </c>
      <c r="H185" s="1899">
        <f>SUM(H186:H191)</f>
        <v>1569072.1</v>
      </c>
      <c r="I185" s="1899">
        <f>SUM(I186:I191)</f>
        <v>734711</v>
      </c>
      <c r="J185" s="1899">
        <f>SUM(K185:L185)</f>
        <v>944442.1</v>
      </c>
      <c r="K185" s="1899">
        <f>SUM(K186:K191)</f>
        <v>594571.6</v>
      </c>
      <c r="L185" s="1899">
        <f>SUM(L186:L191)</f>
        <v>349870.5</v>
      </c>
      <c r="M185" s="1899">
        <f t="shared" si="46"/>
        <v>41</v>
      </c>
      <c r="N185" s="1899">
        <f t="shared" si="46"/>
        <v>37.9</v>
      </c>
      <c r="O185" s="1899">
        <f t="shared" si="46"/>
        <v>47.6</v>
      </c>
      <c r="P185" s="1899">
        <f t="shared" ref="P185:W185" si="54">SUM(P186:P191)</f>
        <v>0</v>
      </c>
      <c r="Q185" s="1899">
        <f t="shared" si="54"/>
        <v>0</v>
      </c>
      <c r="R185" s="1899">
        <f t="shared" si="54"/>
        <v>1083827.1000000001</v>
      </c>
      <c r="S185" s="1899">
        <f t="shared" si="54"/>
        <v>745178.3</v>
      </c>
      <c r="T185" s="1899">
        <f t="shared" si="54"/>
        <v>338648.8</v>
      </c>
      <c r="U185" s="1899">
        <f t="shared" si="54"/>
        <v>416896.2</v>
      </c>
      <c r="V185" s="1899">
        <f t="shared" si="54"/>
        <v>412727.2</v>
      </c>
      <c r="W185" s="1899">
        <f t="shared" si="54"/>
        <v>4169</v>
      </c>
      <c r="X185" s="1423">
        <f t="shared" si="53"/>
        <v>0</v>
      </c>
      <c r="Y185" s="1423"/>
      <c r="Z185" s="1423"/>
      <c r="AA185" s="1423"/>
    </row>
    <row r="186" spans="1:27" ht="66" customHeight="1">
      <c r="A186" s="2127">
        <f>A184+1</f>
        <v>47</v>
      </c>
      <c r="B186" s="1888" t="s">
        <v>1459</v>
      </c>
      <c r="C186" s="1866" t="s">
        <v>1547</v>
      </c>
      <c r="D186" s="1600">
        <f>SUM(E186:F186)</f>
        <v>983584</v>
      </c>
      <c r="E186" s="1614">
        <v>587130.1</v>
      </c>
      <c r="F186" s="1614">
        <f>382915.2+66255.7+1828.7-54545.7</f>
        <v>396453.9</v>
      </c>
      <c r="G186" s="1600">
        <f t="shared" si="33"/>
        <v>983584</v>
      </c>
      <c r="H186" s="1614">
        <v>587130.1</v>
      </c>
      <c r="I186" s="1614">
        <f>382915.2+66255.7+1828.7-54545.7</f>
        <v>396453.9</v>
      </c>
      <c r="J186" s="1600">
        <f>SUM(K186:L186)</f>
        <v>663598.5</v>
      </c>
      <c r="K186" s="1614">
        <v>384759.8</v>
      </c>
      <c r="L186" s="1614">
        <v>278838.7</v>
      </c>
      <c r="M186" s="1893">
        <f t="shared" si="46"/>
        <v>67.5</v>
      </c>
      <c r="N186" s="1894">
        <f t="shared" si="46"/>
        <v>65.5</v>
      </c>
      <c r="O186" s="1894">
        <f t="shared" si="46"/>
        <v>70.3</v>
      </c>
      <c r="P186" s="2124" t="s">
        <v>1192</v>
      </c>
      <c r="Q186" s="2124" t="s">
        <v>1160</v>
      </c>
      <c r="R186" s="1600">
        <f t="shared" si="29"/>
        <v>0</v>
      </c>
      <c r="S186" s="1614">
        <v>0</v>
      </c>
      <c r="T186" s="1614">
        <v>0</v>
      </c>
      <c r="U186" s="1600">
        <f t="shared" si="30"/>
        <v>0</v>
      </c>
      <c r="V186" s="1614">
        <v>0</v>
      </c>
      <c r="W186" s="1614">
        <v>0</v>
      </c>
      <c r="X186" s="1423">
        <f t="shared" si="53"/>
        <v>0</v>
      </c>
      <c r="Y186" s="1423"/>
      <c r="Z186" s="1423"/>
      <c r="AA186" s="1423"/>
    </row>
    <row r="187" spans="1:27" ht="37.5" hidden="1" customHeight="1">
      <c r="A187" s="2127">
        <f>A186+1</f>
        <v>48</v>
      </c>
      <c r="B187" s="1888" t="s">
        <v>1645</v>
      </c>
      <c r="C187" s="1866"/>
      <c r="D187" s="1600">
        <f>E187+F187</f>
        <v>0</v>
      </c>
      <c r="E187" s="1614">
        <v>0</v>
      </c>
      <c r="F187" s="1614">
        <v>0</v>
      </c>
      <c r="G187" s="1600">
        <f>H187+I187</f>
        <v>0</v>
      </c>
      <c r="H187" s="1614">
        <v>0</v>
      </c>
      <c r="I187" s="1614">
        <v>0</v>
      </c>
      <c r="J187" s="1600">
        <f>K187+L187</f>
        <v>0</v>
      </c>
      <c r="K187" s="1614"/>
      <c r="L187" s="1614"/>
      <c r="M187" s="1600">
        <f t="shared" si="46"/>
        <v>0</v>
      </c>
      <c r="N187" s="1614">
        <f t="shared" si="46"/>
        <v>0</v>
      </c>
      <c r="O187" s="1614">
        <f t="shared" si="46"/>
        <v>0</v>
      </c>
      <c r="P187" s="2124"/>
      <c r="Q187" s="2124"/>
      <c r="R187" s="1600">
        <f>S187+T187</f>
        <v>416896.2</v>
      </c>
      <c r="S187" s="1614">
        <v>412727.2</v>
      </c>
      <c r="T187" s="1614">
        <v>4169</v>
      </c>
      <c r="U187" s="1600">
        <f>V187+W187</f>
        <v>416896.2</v>
      </c>
      <c r="V187" s="1614">
        <v>412727.2</v>
      </c>
      <c r="W187" s="1614">
        <v>4169</v>
      </c>
      <c r="Y187" s="1423"/>
      <c r="Z187" s="1423"/>
      <c r="AA187" s="1423"/>
    </row>
    <row r="188" spans="1:27" ht="56.25" customHeight="1">
      <c r="A188" s="2127">
        <f>A186+1</f>
        <v>48</v>
      </c>
      <c r="B188" s="1888" t="s">
        <v>1460</v>
      </c>
      <c r="C188" s="1866" t="s">
        <v>1547</v>
      </c>
      <c r="D188" s="1600">
        <f>SUM(E188:F188)</f>
        <v>1107192.2</v>
      </c>
      <c r="E188" s="1614">
        <v>771065.2</v>
      </c>
      <c r="F188" s="1614">
        <f>324236.5+11890.5</f>
        <v>336127</v>
      </c>
      <c r="G188" s="1600">
        <f>SUM(H188:I188)</f>
        <v>1107192.2</v>
      </c>
      <c r="H188" s="1614">
        <v>771065.2</v>
      </c>
      <c r="I188" s="1614">
        <f>324236.5+11890.5</f>
        <v>336127</v>
      </c>
      <c r="J188" s="1600">
        <f>SUM(K188:L188)</f>
        <v>174091</v>
      </c>
      <c r="K188" s="1614">
        <v>104126.7</v>
      </c>
      <c r="L188" s="1614">
        <v>69964.3</v>
      </c>
      <c r="M188" s="1893">
        <f t="shared" si="46"/>
        <v>15.7</v>
      </c>
      <c r="N188" s="1894">
        <f t="shared" si="46"/>
        <v>13.5</v>
      </c>
      <c r="O188" s="1894">
        <f t="shared" si="46"/>
        <v>20.8</v>
      </c>
      <c r="P188" s="2124" t="s">
        <v>1192</v>
      </c>
      <c r="Q188" s="2124" t="s">
        <v>1159</v>
      </c>
      <c r="R188" s="1600">
        <f t="shared" si="29"/>
        <v>331121.7</v>
      </c>
      <c r="S188" s="1614">
        <v>0</v>
      </c>
      <c r="T188" s="1614">
        <v>331121.7</v>
      </c>
      <c r="U188" s="1600">
        <f t="shared" si="30"/>
        <v>0</v>
      </c>
      <c r="V188" s="1614">
        <v>0</v>
      </c>
      <c r="W188" s="1614">
        <v>0</v>
      </c>
      <c r="X188" s="1423">
        <f>D188-G188</f>
        <v>0</v>
      </c>
      <c r="Y188" s="1423"/>
      <c r="Z188" s="1423"/>
      <c r="AA188" s="1423"/>
    </row>
    <row r="189" spans="1:27" ht="39" customHeight="1">
      <c r="A189" s="2127">
        <f t="shared" ref="A189:A195" si="55">A188+1</f>
        <v>49</v>
      </c>
      <c r="B189" s="1916" t="s">
        <v>1465</v>
      </c>
      <c r="C189" s="1866" t="s">
        <v>1547</v>
      </c>
      <c r="D189" s="1600">
        <f>SUM(E189:F189)</f>
        <v>109222.5</v>
      </c>
      <c r="E189" s="1614">
        <v>108130.3</v>
      </c>
      <c r="F189" s="1614">
        <v>1092.2</v>
      </c>
      <c r="G189" s="1600">
        <f>SUM(H189:I189)</f>
        <v>109222.5</v>
      </c>
      <c r="H189" s="1614">
        <v>108130.3</v>
      </c>
      <c r="I189" s="1614">
        <f>F189</f>
        <v>1092.2</v>
      </c>
      <c r="J189" s="1600">
        <f>SUM(K189:L189)</f>
        <v>106752.6</v>
      </c>
      <c r="K189" s="1614">
        <v>105685.1</v>
      </c>
      <c r="L189" s="1614">
        <v>1067.5</v>
      </c>
      <c r="M189" s="1893">
        <f t="shared" si="46"/>
        <v>97.7</v>
      </c>
      <c r="N189" s="1894">
        <f t="shared" si="46"/>
        <v>97.7</v>
      </c>
      <c r="O189" s="1894">
        <f t="shared" si="46"/>
        <v>97.7</v>
      </c>
      <c r="P189" s="2124" t="s">
        <v>1192</v>
      </c>
      <c r="Q189" s="2124" t="s">
        <v>1160</v>
      </c>
      <c r="R189" s="1600">
        <f t="shared" si="29"/>
        <v>172191.3</v>
      </c>
      <c r="S189" s="1614">
        <v>170469.4</v>
      </c>
      <c r="T189" s="1614">
        <v>1721.9</v>
      </c>
      <c r="U189" s="1600">
        <f t="shared" si="30"/>
        <v>0</v>
      </c>
      <c r="V189" s="1614">
        <v>0</v>
      </c>
      <c r="W189" s="1614">
        <v>0</v>
      </c>
      <c r="X189" s="1423">
        <f>D189-G189</f>
        <v>0</v>
      </c>
      <c r="Y189" s="1423"/>
      <c r="Z189" s="1423"/>
      <c r="AA189" s="1423"/>
    </row>
    <row r="190" spans="1:27" ht="60.75" customHeight="1">
      <c r="A190" s="2127">
        <f>A189+1</f>
        <v>50</v>
      </c>
      <c r="B190" s="1916" t="s">
        <v>1810</v>
      </c>
      <c r="C190" s="1866"/>
      <c r="D190" s="1600">
        <f>SUM(E190:F190)</f>
        <v>24135.9</v>
      </c>
      <c r="E190" s="1614">
        <v>23894.5</v>
      </c>
      <c r="F190" s="1614">
        <v>241.4</v>
      </c>
      <c r="G190" s="1600">
        <f>SUM(H190:I190)</f>
        <v>24135.9</v>
      </c>
      <c r="H190" s="1614">
        <v>23894.5</v>
      </c>
      <c r="I190" s="1614">
        <v>241.4</v>
      </c>
      <c r="J190" s="1600">
        <f>SUM(K190:L190)</f>
        <v>0</v>
      </c>
      <c r="K190" s="1614"/>
      <c r="L190" s="1614"/>
      <c r="M190" s="1893">
        <f t="shared" si="46"/>
        <v>0</v>
      </c>
      <c r="N190" s="1894">
        <f t="shared" si="46"/>
        <v>0</v>
      </c>
      <c r="O190" s="1894">
        <f t="shared" si="46"/>
        <v>0</v>
      </c>
      <c r="P190" s="2124"/>
      <c r="Q190" s="2124"/>
      <c r="R190" s="1600"/>
      <c r="S190" s="1614"/>
      <c r="T190" s="1614"/>
      <c r="U190" s="1600"/>
      <c r="V190" s="1614"/>
      <c r="W190" s="1614"/>
      <c r="X190" s="1423"/>
      <c r="Y190" s="1423"/>
      <c r="Z190" s="1423"/>
      <c r="AA190" s="1423"/>
    </row>
    <row r="191" spans="1:27" ht="44.25" customHeight="1">
      <c r="A191" s="2127">
        <f>A190+1</f>
        <v>51</v>
      </c>
      <c r="B191" s="1916" t="s">
        <v>1811</v>
      </c>
      <c r="C191" s="1866" t="s">
        <v>1547</v>
      </c>
      <c r="D191" s="1600">
        <f>SUM(E191:F191)</f>
        <v>79648.5</v>
      </c>
      <c r="E191" s="1614">
        <v>78852</v>
      </c>
      <c r="F191" s="1614">
        <v>796.5</v>
      </c>
      <c r="G191" s="1600">
        <f>SUM(H191:I191)</f>
        <v>79648.5</v>
      </c>
      <c r="H191" s="1614">
        <v>78852</v>
      </c>
      <c r="I191" s="1614">
        <v>796.5</v>
      </c>
      <c r="J191" s="1600">
        <f>SUM(K191:L191)</f>
        <v>0</v>
      </c>
      <c r="K191" s="1614"/>
      <c r="L191" s="1614"/>
      <c r="M191" s="1893">
        <f t="shared" si="46"/>
        <v>0</v>
      </c>
      <c r="N191" s="1894">
        <f t="shared" si="46"/>
        <v>0</v>
      </c>
      <c r="O191" s="1894">
        <f t="shared" si="46"/>
        <v>0</v>
      </c>
      <c r="P191" s="2124" t="s">
        <v>1192</v>
      </c>
      <c r="Q191" s="2124" t="s">
        <v>1159</v>
      </c>
      <c r="R191" s="1600">
        <f t="shared" si="29"/>
        <v>163617.9</v>
      </c>
      <c r="S191" s="1614">
        <v>161981.70000000001</v>
      </c>
      <c r="T191" s="1614">
        <v>1636.2</v>
      </c>
      <c r="U191" s="1600">
        <f t="shared" si="30"/>
        <v>0</v>
      </c>
      <c r="V191" s="1614">
        <v>0</v>
      </c>
      <c r="W191" s="1614">
        <v>0</v>
      </c>
      <c r="X191" s="1423">
        <f>D191-G191</f>
        <v>0</v>
      </c>
      <c r="Y191" s="1423"/>
      <c r="Z191" s="1423"/>
      <c r="AA191" s="1423"/>
    </row>
    <row r="192" spans="1:27" ht="19.5" hidden="1" customHeight="1">
      <c r="A192" s="2127"/>
      <c r="B192" s="1897" t="s">
        <v>1648</v>
      </c>
      <c r="C192" s="1899">
        <v>47690.1</v>
      </c>
      <c r="D192" s="1899">
        <f>D193+D195+D194</f>
        <v>0</v>
      </c>
      <c r="E192" s="1899">
        <f t="shared" ref="E192:W192" si="56">E193+E195+E194</f>
        <v>0</v>
      </c>
      <c r="F192" s="1899">
        <f t="shared" si="56"/>
        <v>0</v>
      </c>
      <c r="G192" s="1899">
        <f t="shared" si="56"/>
        <v>0</v>
      </c>
      <c r="H192" s="1899">
        <f t="shared" si="56"/>
        <v>0</v>
      </c>
      <c r="I192" s="1899">
        <f t="shared" si="56"/>
        <v>0</v>
      </c>
      <c r="J192" s="1899">
        <f t="shared" si="56"/>
        <v>0</v>
      </c>
      <c r="K192" s="1899">
        <f t="shared" si="56"/>
        <v>0</v>
      </c>
      <c r="L192" s="1899">
        <f t="shared" si="56"/>
        <v>0</v>
      </c>
      <c r="M192" s="1899">
        <f t="shared" si="46"/>
        <v>0</v>
      </c>
      <c r="N192" s="1899">
        <f t="shared" si="46"/>
        <v>0</v>
      </c>
      <c r="O192" s="1899">
        <f t="shared" si="46"/>
        <v>0</v>
      </c>
      <c r="P192" s="1899">
        <f t="shared" si="56"/>
        <v>0</v>
      </c>
      <c r="Q192" s="1899">
        <f t="shared" si="56"/>
        <v>0</v>
      </c>
      <c r="R192" s="1899">
        <f t="shared" si="56"/>
        <v>182695.3</v>
      </c>
      <c r="S192" s="1899">
        <f t="shared" si="56"/>
        <v>180868.3</v>
      </c>
      <c r="T192" s="1899">
        <f t="shared" si="56"/>
        <v>1827</v>
      </c>
      <c r="U192" s="1899">
        <f t="shared" si="56"/>
        <v>272422.7</v>
      </c>
      <c r="V192" s="1899">
        <f t="shared" si="56"/>
        <v>269698.5</v>
      </c>
      <c r="W192" s="1899">
        <f t="shared" si="56"/>
        <v>2724.2</v>
      </c>
      <c r="Y192" s="1423"/>
      <c r="Z192" s="1423"/>
      <c r="AA192" s="1423"/>
    </row>
    <row r="193" spans="1:27" ht="21" hidden="1" customHeight="1">
      <c r="A193" s="2127">
        <f>A191+1</f>
        <v>52</v>
      </c>
      <c r="B193" s="1916" t="s">
        <v>1467</v>
      </c>
      <c r="C193" s="1866"/>
      <c r="D193" s="1600">
        <v>0</v>
      </c>
      <c r="E193" s="1614">
        <v>0</v>
      </c>
      <c r="F193" s="1614">
        <v>0</v>
      </c>
      <c r="G193" s="1600">
        <v>0</v>
      </c>
      <c r="H193" s="1614">
        <v>0</v>
      </c>
      <c r="I193" s="1614">
        <v>0</v>
      </c>
      <c r="J193" s="1600">
        <v>0</v>
      </c>
      <c r="K193" s="1614">
        <v>0</v>
      </c>
      <c r="L193" s="1614">
        <v>0</v>
      </c>
      <c r="M193" s="1893">
        <f t="shared" si="46"/>
        <v>0</v>
      </c>
      <c r="N193" s="1894">
        <f t="shared" si="46"/>
        <v>0</v>
      </c>
      <c r="O193" s="1894">
        <f t="shared" si="46"/>
        <v>0</v>
      </c>
      <c r="P193" s="2124"/>
      <c r="Q193" s="2124"/>
      <c r="R193" s="1600">
        <f>S193+T193</f>
        <v>82695.3</v>
      </c>
      <c r="S193" s="1614">
        <v>81868.3</v>
      </c>
      <c r="T193" s="1614">
        <v>827</v>
      </c>
      <c r="U193" s="1600">
        <f>V193+W193</f>
        <v>69829.7</v>
      </c>
      <c r="V193" s="1614">
        <v>69131.7</v>
      </c>
      <c r="W193" s="1614">
        <v>698</v>
      </c>
      <c r="Y193" s="1423"/>
      <c r="Z193" s="1423"/>
      <c r="AA193" s="1423"/>
    </row>
    <row r="194" spans="1:27" ht="39.75" hidden="1" customHeight="1">
      <c r="A194" s="2127">
        <f t="shared" si="55"/>
        <v>53</v>
      </c>
      <c r="B194" s="1916" t="s">
        <v>1647</v>
      </c>
      <c r="C194" s="1866"/>
      <c r="D194" s="1600">
        <v>0</v>
      </c>
      <c r="E194" s="1614">
        <v>0</v>
      </c>
      <c r="F194" s="1614">
        <v>0</v>
      </c>
      <c r="G194" s="1600">
        <v>0</v>
      </c>
      <c r="H194" s="1614">
        <v>0</v>
      </c>
      <c r="I194" s="1614">
        <v>0</v>
      </c>
      <c r="J194" s="1600">
        <v>0</v>
      </c>
      <c r="K194" s="1614">
        <v>0</v>
      </c>
      <c r="L194" s="1614">
        <v>0</v>
      </c>
      <c r="M194" s="1893">
        <f t="shared" si="46"/>
        <v>0</v>
      </c>
      <c r="N194" s="1894">
        <f t="shared" si="46"/>
        <v>0</v>
      </c>
      <c r="O194" s="1894">
        <f t="shared" si="46"/>
        <v>0</v>
      </c>
      <c r="P194" s="2124"/>
      <c r="Q194" s="2124"/>
      <c r="R194" s="1600">
        <f>S194+T194</f>
        <v>100000</v>
      </c>
      <c r="S194" s="1614">
        <v>99000</v>
      </c>
      <c r="T194" s="1614">
        <v>1000</v>
      </c>
      <c r="U194" s="1600">
        <f>V194+W194</f>
        <v>0</v>
      </c>
      <c r="V194" s="1614">
        <v>0</v>
      </c>
      <c r="W194" s="1614">
        <v>0</v>
      </c>
      <c r="Y194" s="1423"/>
      <c r="Z194" s="1423"/>
      <c r="AA194" s="1423"/>
    </row>
    <row r="195" spans="1:27" ht="24.75" hidden="1" customHeight="1">
      <c r="A195" s="2127">
        <f t="shared" si="55"/>
        <v>54</v>
      </c>
      <c r="B195" s="1916" t="s">
        <v>1646</v>
      </c>
      <c r="C195" s="1866"/>
      <c r="D195" s="1600">
        <f t="shared" ref="D195:D204" si="57">SUM(E195:F195)</f>
        <v>0</v>
      </c>
      <c r="E195" s="1614">
        <v>0</v>
      </c>
      <c r="F195" s="1614">
        <v>0</v>
      </c>
      <c r="G195" s="1600">
        <f t="shared" ref="G195:G199" si="58">SUM(H195:I195)</f>
        <v>0</v>
      </c>
      <c r="H195" s="1614">
        <v>0</v>
      </c>
      <c r="I195" s="1614">
        <v>0</v>
      </c>
      <c r="J195" s="1600">
        <f t="shared" ref="J195:J202" si="59">SUM(K195:L195)</f>
        <v>0</v>
      </c>
      <c r="K195" s="1614">
        <v>0</v>
      </c>
      <c r="L195" s="1614">
        <v>0</v>
      </c>
      <c r="M195" s="1600">
        <f t="shared" si="46"/>
        <v>0</v>
      </c>
      <c r="N195" s="1614">
        <f t="shared" si="46"/>
        <v>0</v>
      </c>
      <c r="O195" s="1614">
        <f t="shared" si="46"/>
        <v>0</v>
      </c>
      <c r="P195" s="2124"/>
      <c r="Q195" s="2124"/>
      <c r="R195" s="1600">
        <f>S195+T195</f>
        <v>0</v>
      </c>
      <c r="S195" s="1614">
        <v>0</v>
      </c>
      <c r="T195" s="1614">
        <v>0</v>
      </c>
      <c r="U195" s="1600">
        <f>V195+W195</f>
        <v>202593</v>
      </c>
      <c r="V195" s="1614">
        <v>200566.8</v>
      </c>
      <c r="W195" s="1614">
        <v>2026.2</v>
      </c>
      <c r="Y195" s="1423"/>
      <c r="Z195" s="1423"/>
      <c r="AA195" s="1423"/>
    </row>
    <row r="196" spans="1:27" ht="23.25">
      <c r="A196" s="2127"/>
      <c r="B196" s="1897" t="s">
        <v>1470</v>
      </c>
      <c r="C196" s="1898"/>
      <c r="D196" s="1899">
        <f t="shared" si="57"/>
        <v>38809.800000000003</v>
      </c>
      <c r="E196" s="1899">
        <f>SUM(E197)</f>
        <v>38005.9</v>
      </c>
      <c r="F196" s="1899">
        <f>SUM(F197)</f>
        <v>803.9</v>
      </c>
      <c r="G196" s="1899">
        <f>SUM(H196:I196)</f>
        <v>38809.800000000003</v>
      </c>
      <c r="H196" s="1899">
        <f>SUM(H197)</f>
        <v>38005.9</v>
      </c>
      <c r="I196" s="1899">
        <f>SUM(I197)</f>
        <v>803.9</v>
      </c>
      <c r="J196" s="1899">
        <f t="shared" si="59"/>
        <v>24986</v>
      </c>
      <c r="K196" s="1899">
        <f>SUM(K197)</f>
        <v>24736.1</v>
      </c>
      <c r="L196" s="1899">
        <f>SUM(L197)</f>
        <v>249.9</v>
      </c>
      <c r="M196" s="1910">
        <f t="shared" si="46"/>
        <v>64.400000000000006</v>
      </c>
      <c r="N196" s="1911">
        <f t="shared" si="46"/>
        <v>65.099999999999994</v>
      </c>
      <c r="O196" s="1911">
        <f t="shared" si="46"/>
        <v>31.1</v>
      </c>
      <c r="P196" s="1599"/>
      <c r="Q196" s="1599"/>
      <c r="R196" s="1899">
        <f t="shared" si="29"/>
        <v>0</v>
      </c>
      <c r="S196" s="1899">
        <f>SUM(S197)</f>
        <v>0</v>
      </c>
      <c r="T196" s="1899">
        <f>SUM(T197)</f>
        <v>0</v>
      </c>
      <c r="U196" s="1899">
        <f t="shared" si="30"/>
        <v>0</v>
      </c>
      <c r="V196" s="1899">
        <f>SUM(V197)</f>
        <v>0</v>
      </c>
      <c r="W196" s="1899">
        <f>SUM(W197)</f>
        <v>0</v>
      </c>
      <c r="X196" s="1423">
        <f>D196-G196</f>
        <v>0</v>
      </c>
      <c r="Y196" s="1423"/>
      <c r="Z196" s="1423"/>
      <c r="AA196" s="1423"/>
    </row>
    <row r="197" spans="1:27" ht="44.25" customHeight="1">
      <c r="A197" s="2127">
        <f>A191+1</f>
        <v>52</v>
      </c>
      <c r="B197" s="1888" t="s">
        <v>1472</v>
      </c>
      <c r="C197" s="2127" t="s">
        <v>1549</v>
      </c>
      <c r="D197" s="1600">
        <f t="shared" si="57"/>
        <v>38809.800000000003</v>
      </c>
      <c r="E197" s="1614">
        <v>38005.9</v>
      </c>
      <c r="F197" s="1614">
        <f>10828.3-10444.4+420</f>
        <v>803.9</v>
      </c>
      <c r="G197" s="1600">
        <f t="shared" si="58"/>
        <v>38809.800000000003</v>
      </c>
      <c r="H197" s="1616">
        <f>E197</f>
        <v>38005.9</v>
      </c>
      <c r="I197" s="1614">
        <f>F197</f>
        <v>803.9</v>
      </c>
      <c r="J197" s="1600">
        <f t="shared" si="59"/>
        <v>24986</v>
      </c>
      <c r="K197" s="1614">
        <v>24736.1</v>
      </c>
      <c r="L197" s="1614">
        <v>249.9</v>
      </c>
      <c r="M197" s="1604">
        <f t="shared" si="46"/>
        <v>64.400000000000006</v>
      </c>
      <c r="N197" s="1881">
        <f t="shared" si="46"/>
        <v>65.099999999999994</v>
      </c>
      <c r="O197" s="1881">
        <f t="shared" si="46"/>
        <v>31.1</v>
      </c>
      <c r="P197" s="2124" t="s">
        <v>1192</v>
      </c>
      <c r="Q197" s="2124" t="s">
        <v>1160</v>
      </c>
      <c r="R197" s="1600">
        <f>SUM(S197:T197)</f>
        <v>0</v>
      </c>
      <c r="S197" s="1614">
        <v>0</v>
      </c>
      <c r="T197" s="1614">
        <v>0</v>
      </c>
      <c r="U197" s="1600">
        <f>SUM(V197:W197)</f>
        <v>0</v>
      </c>
      <c r="V197" s="1614">
        <v>0</v>
      </c>
      <c r="W197" s="1614">
        <v>0</v>
      </c>
      <c r="X197" s="1423">
        <f>D197-G197</f>
        <v>0</v>
      </c>
      <c r="Y197" s="1423"/>
      <c r="Z197" s="1423"/>
      <c r="AA197" s="1423"/>
    </row>
    <row r="198" spans="1:27" ht="27" hidden="1" customHeight="1">
      <c r="A198" s="2127"/>
      <c r="B198" s="1897" t="s">
        <v>1650</v>
      </c>
      <c r="C198" s="1898"/>
      <c r="D198" s="1899">
        <f t="shared" si="57"/>
        <v>0</v>
      </c>
      <c r="E198" s="1899">
        <f>SUM(E199)</f>
        <v>0</v>
      </c>
      <c r="F198" s="1899">
        <f>SUM(F199)</f>
        <v>0</v>
      </c>
      <c r="G198" s="1899">
        <f t="shared" si="58"/>
        <v>0</v>
      </c>
      <c r="H198" s="1899">
        <f>SUM(H199)</f>
        <v>0</v>
      </c>
      <c r="I198" s="1899">
        <f>SUM(I199)</f>
        <v>0</v>
      </c>
      <c r="J198" s="1899">
        <f t="shared" si="59"/>
        <v>0</v>
      </c>
      <c r="K198" s="1899">
        <f>SUM(K199)</f>
        <v>0</v>
      </c>
      <c r="L198" s="1899">
        <f>SUM(L199)</f>
        <v>0</v>
      </c>
      <c r="M198" s="1910">
        <f t="shared" si="46"/>
        <v>0</v>
      </c>
      <c r="N198" s="1911">
        <f t="shared" si="46"/>
        <v>0</v>
      </c>
      <c r="O198" s="1911">
        <f t="shared" si="46"/>
        <v>0</v>
      </c>
      <c r="P198" s="1599"/>
      <c r="Q198" s="1599"/>
      <c r="R198" s="1899">
        <f>SUM(S198:T198)</f>
        <v>0</v>
      </c>
      <c r="S198" s="1899">
        <f>SUM(S199)</f>
        <v>0</v>
      </c>
      <c r="T198" s="1899">
        <f>SUM(T199)</f>
        <v>0</v>
      </c>
      <c r="U198" s="1899">
        <f>SUM(V198:W198)</f>
        <v>788784.8</v>
      </c>
      <c r="V198" s="1899">
        <f>SUM(V199)</f>
        <v>780897</v>
      </c>
      <c r="W198" s="1899">
        <f>SUM(W199)</f>
        <v>7887.8</v>
      </c>
      <c r="Y198" s="1423"/>
      <c r="Z198" s="1423"/>
      <c r="AA198" s="1423"/>
    </row>
    <row r="199" spans="1:27" s="1607" customFormat="1" ht="44.25" hidden="1" customHeight="1">
      <c r="A199" s="2127">
        <f>A197+1</f>
        <v>53</v>
      </c>
      <c r="B199" s="1890" t="s">
        <v>455</v>
      </c>
      <c r="C199" s="1880">
        <v>14057</v>
      </c>
      <c r="D199" s="1600">
        <f t="shared" si="57"/>
        <v>0</v>
      </c>
      <c r="E199" s="1614"/>
      <c r="F199" s="1614"/>
      <c r="G199" s="1600">
        <f t="shared" si="58"/>
        <v>0</v>
      </c>
      <c r="H199" s="1614"/>
      <c r="I199" s="1614"/>
      <c r="J199" s="1600">
        <f t="shared" si="59"/>
        <v>0</v>
      </c>
      <c r="K199" s="1614"/>
      <c r="L199" s="1614"/>
      <c r="M199" s="1604">
        <f t="shared" si="46"/>
        <v>0</v>
      </c>
      <c r="N199" s="1881">
        <f t="shared" si="46"/>
        <v>0</v>
      </c>
      <c r="O199" s="1881">
        <f t="shared" si="46"/>
        <v>0</v>
      </c>
      <c r="P199" s="2124" t="s">
        <v>1192</v>
      </c>
      <c r="Q199" s="2124" t="s">
        <v>1206</v>
      </c>
      <c r="R199" s="1600">
        <f>SUM(S199:T199)</f>
        <v>0</v>
      </c>
      <c r="S199" s="1614">
        <v>0</v>
      </c>
      <c r="T199" s="1614">
        <v>0</v>
      </c>
      <c r="U199" s="1600">
        <f>SUM(V199:W199)</f>
        <v>788784.8</v>
      </c>
      <c r="V199" s="1614">
        <v>780897</v>
      </c>
      <c r="W199" s="1614">
        <v>7887.8</v>
      </c>
      <c r="Y199" s="1423"/>
      <c r="Z199" s="1423"/>
      <c r="AA199" s="1423"/>
    </row>
    <row r="200" spans="1:27" s="1607" customFormat="1" ht="44.25" hidden="1" customHeight="1">
      <c r="A200" s="2127"/>
      <c r="B200" s="1890"/>
      <c r="C200" s="1880"/>
      <c r="D200" s="1600"/>
      <c r="E200" s="1614"/>
      <c r="F200" s="1614"/>
      <c r="G200" s="1600"/>
      <c r="H200" s="1614"/>
      <c r="I200" s="1614"/>
      <c r="J200" s="1600"/>
      <c r="K200" s="1600"/>
      <c r="L200" s="1600"/>
      <c r="M200" s="1604"/>
      <c r="N200" s="1881"/>
      <c r="O200" s="1881"/>
      <c r="P200" s="2124"/>
      <c r="Q200" s="2124"/>
      <c r="R200" s="1600"/>
      <c r="S200" s="1614"/>
      <c r="T200" s="1614"/>
      <c r="U200" s="1600"/>
      <c r="V200" s="1614"/>
      <c r="W200" s="1614"/>
      <c r="Y200" s="1423"/>
      <c r="Z200" s="1423"/>
      <c r="AA200" s="1423"/>
    </row>
    <row r="201" spans="1:27" ht="64.5" customHeight="1">
      <c r="A201" s="2044" t="s">
        <v>251</v>
      </c>
      <c r="B201" s="2046" t="s">
        <v>1435</v>
      </c>
      <c r="C201" s="2047"/>
      <c r="D201" s="2048">
        <f t="shared" si="57"/>
        <v>3517376.4</v>
      </c>
      <c r="E201" s="2048">
        <f>SUBTOTAL(9,E202:E205)</f>
        <v>3226945.6</v>
      </c>
      <c r="F201" s="2048">
        <f>SUBTOTAL(9,F202:F205)</f>
        <v>290430.8</v>
      </c>
      <c r="G201" s="2048">
        <f>SUM(H201:I201)</f>
        <v>3517376.4</v>
      </c>
      <c r="H201" s="2048">
        <f>SUBTOTAL(9,H202:H205)</f>
        <v>3226945.6</v>
      </c>
      <c r="I201" s="2048">
        <f>SUBTOTAL(9,I202:I205)</f>
        <v>290430.8</v>
      </c>
      <c r="J201" s="2048">
        <f t="shared" si="59"/>
        <v>1666639.7</v>
      </c>
      <c r="K201" s="2048">
        <f>K202+K203+K204+K205</f>
        <v>1541270</v>
      </c>
      <c r="L201" s="2048">
        <f>L202+L203+L204+L205</f>
        <v>125369.7</v>
      </c>
      <c r="M201" s="2048">
        <f t="shared" si="46"/>
        <v>47.4</v>
      </c>
      <c r="N201" s="2048">
        <f t="shared" si="46"/>
        <v>47.8</v>
      </c>
      <c r="O201" s="2048">
        <f t="shared" si="46"/>
        <v>43.2</v>
      </c>
      <c r="P201" s="1860" t="e">
        <f>P206+P214+P217+P220+P223+P226+P230+P234+#REF!+#REF!+P237+P241+P245+P248+P254+P257+P260+P264+P268+P270+P273+P276+P279+P284+P286+P289+P293+P297+#REF!+P300</f>
        <v>#REF!</v>
      </c>
      <c r="Q201" s="1860" t="e">
        <f>Q206+Q214+Q217+Q220+Q223+Q226+Q230+Q234+#REF!+#REF!+Q237+Q241+Q245+Q248+Q254+Q257+Q260+Q264+Q268+Q270+Q273+Q276+Q279+Q284+Q286+Q289+Q293+Q297+#REF!+Q300</f>
        <v>#REF!</v>
      </c>
      <c r="R201" s="1860" t="e">
        <f>R206+R214+R217+R220+R223+R226+R230+R234+#REF!+#REF!+R237+R241+R245+R248+R254+R257+R260+R264+R268+R270+R273+R276+R279+R284+R286+R289+R293+R297+#REF!+R300</f>
        <v>#REF!</v>
      </c>
      <c r="S201" s="1860" t="e">
        <f>S206+S214+S217+S220+S223+S226+S230+S234+#REF!+#REF!+S237+S241+S245+S248+S254+S257+S260+S264+S268+S270+S273+S276+S279+S284+S286+S289+S293+S297+#REF!+S300</f>
        <v>#REF!</v>
      </c>
      <c r="T201" s="1860" t="e">
        <f>T206+T214+T217+T220+T223+T226+T230+T234+#REF!+#REF!+T237+T241+T245+T248+T254+T257+T260+T264+T268+T270+T273+T276+T279+T284+T286+T289+T293+T297+#REF!+T300</f>
        <v>#REF!</v>
      </c>
      <c r="U201" s="1860" t="e">
        <f>U206+U214+U217+U220+U223+U226+U230+U234+#REF!+#REF!+U237+U241+U245+U248+U254+U257+U260+U264+U268+U270+U273+U276+U279+U284+U286+U289+U293+U297+#REF!+U300</f>
        <v>#REF!</v>
      </c>
      <c r="V201" s="1860" t="e">
        <f>V206+V214+V217+V220+V223+V226+V230+V234+#REF!+#REF!+V237+V241+V245+V248+V254+V257+V260+V264+V268+V270+V273+V276+V279+V284+V286+V289+V293+V297+#REF!+V300</f>
        <v>#REF!</v>
      </c>
      <c r="W201" s="1860" t="e">
        <f>W206+W214+W217+W220+W223+W226+W230+W234+#REF!+#REF!+W237+W241+W245+W248+W254+W257+W260+W264+W268+W270+W273+W276+W279+W284+W286+W289+W293+W297+#REF!+W300</f>
        <v>#REF!</v>
      </c>
      <c r="X201" s="1423">
        <f>D201-G201</f>
        <v>0</v>
      </c>
      <c r="Y201" s="1423"/>
      <c r="Z201" s="1423"/>
      <c r="AA201" s="1423"/>
    </row>
    <row r="202" spans="1:27" ht="23.25">
      <c r="A202" s="2044"/>
      <c r="B202" s="2049" t="s">
        <v>1699</v>
      </c>
      <c r="C202" s="2047"/>
      <c r="D202" s="2048">
        <f>SUM(E202:F202)</f>
        <v>2675187.5</v>
      </c>
      <c r="E202" s="2048">
        <f>E210+E215+E218+E224+E231+E235+E242+E246+E255+E258+E261+E265+E269+E271+E274+E277+E280+E285+E287+E290+E294+E298+E301+E221+E227+E238+E211</f>
        <v>2514202.4</v>
      </c>
      <c r="F202" s="2048">
        <f>F210+F215+F218+F224+F231+F235+F242+F246+F255+F258+F261+F265+F269+F271+F274+F277+F280+F285+F287+F290+F294+F298+F301+F221+F227+F238+F211</f>
        <v>160985.1</v>
      </c>
      <c r="G202" s="2048">
        <f>SUM(H202:I202)</f>
        <v>2675187.5</v>
      </c>
      <c r="H202" s="2048">
        <f>H210+H215+H218+H224+H231+H235+H242+H246+H255+H258+H261+H265+H269+H271+H274+H277+H280+H285+H287+H290+H294+H298+H301+H221+H227+H238+H211</f>
        <v>2514202.4</v>
      </c>
      <c r="I202" s="2048">
        <f>I210+I215+I218+I224+I231+I235+I242+I246+I255+I258+I261+I265+I269+I271+I274+I277+I280+I285+I287+I290+I294+I298+I301+I221+I227+I238+I211</f>
        <v>160985.1</v>
      </c>
      <c r="J202" s="2048">
        <f t="shared" si="59"/>
        <v>1238337.3</v>
      </c>
      <c r="K202" s="2048">
        <f>K210+K215+K218+K224+K231+K235+K242+K246+K255+K258+K261+K265+K269+K271+K274+K277+K280+K285+K287+K290+K294+K298+K301+K221+K227+K238+K211</f>
        <v>1163909.1000000001</v>
      </c>
      <c r="L202" s="2048">
        <f>L210+L215+L218+L224+L231+L235+L242+L246+L255+L258+L261+L265+L269+L271+L274+L277+L280+L285+L287+L290+L294+L298+L301+L221+L227+L238+L211</f>
        <v>74428.2</v>
      </c>
      <c r="M202" s="2048">
        <f t="shared" si="46"/>
        <v>46.3</v>
      </c>
      <c r="N202" s="2048">
        <f t="shared" si="46"/>
        <v>46.3</v>
      </c>
      <c r="O202" s="2048">
        <f t="shared" si="46"/>
        <v>46.2</v>
      </c>
      <c r="P202" s="1860"/>
      <c r="Q202" s="1860"/>
      <c r="R202" s="1860"/>
      <c r="S202" s="1860"/>
      <c r="T202" s="1860"/>
      <c r="U202" s="1860"/>
      <c r="V202" s="1860"/>
      <c r="W202" s="1860"/>
      <c r="X202" s="1423">
        <f>D202-G202</f>
        <v>0</v>
      </c>
      <c r="Y202" s="1423"/>
      <c r="Z202" s="1423"/>
      <c r="AA202" s="1423"/>
    </row>
    <row r="203" spans="1:27" ht="23.25">
      <c r="A203" s="2044"/>
      <c r="B203" s="2049" t="s">
        <v>1798</v>
      </c>
      <c r="C203" s="2047"/>
      <c r="D203" s="2048">
        <f>E203+F203</f>
        <v>452520.5</v>
      </c>
      <c r="E203" s="2048">
        <f>E228+E232+E239+E243+E262+E266+E281+E292</f>
        <v>425356.1</v>
      </c>
      <c r="F203" s="2048">
        <f>F228+F232+F239+F243+F262+F266+F281+F292</f>
        <v>27164.400000000001</v>
      </c>
      <c r="G203" s="2048">
        <f>H203+I203</f>
        <v>452520.5</v>
      </c>
      <c r="H203" s="2048">
        <f>H228+H232+H239+H243+H262+H266+H281+H292</f>
        <v>425356.1</v>
      </c>
      <c r="I203" s="2048">
        <f>I228+I232+I239+I243+I262+I266+I281+I292</f>
        <v>27164.400000000001</v>
      </c>
      <c r="J203" s="2048">
        <f>K203+L203</f>
        <v>220565</v>
      </c>
      <c r="K203" s="2048">
        <f>K228+K232+K239+K243+K262+K266+K281+K292</f>
        <v>207328.8</v>
      </c>
      <c r="L203" s="2048">
        <f>L228+L232+L239+L243+L262+L266+L281+L292</f>
        <v>13236.2</v>
      </c>
      <c r="M203" s="2048"/>
      <c r="N203" s="2048"/>
      <c r="O203" s="2048"/>
      <c r="P203" s="1860"/>
      <c r="Q203" s="1860"/>
      <c r="R203" s="1860"/>
      <c r="S203" s="1860"/>
      <c r="T203" s="1860"/>
      <c r="U203" s="1860"/>
      <c r="V203" s="1860"/>
      <c r="W203" s="1860"/>
      <c r="X203" s="1423"/>
      <c r="Y203" s="1423"/>
      <c r="Z203" s="1423"/>
      <c r="AA203" s="1423"/>
    </row>
    <row r="204" spans="1:27" ht="26.25" customHeight="1">
      <c r="A204" s="2044"/>
      <c r="B204" s="2049" t="s">
        <v>1770</v>
      </c>
      <c r="C204" s="2047"/>
      <c r="D204" s="2048">
        <f t="shared" si="57"/>
        <v>306117.7</v>
      </c>
      <c r="E204" s="2049">
        <f>E207+E212+E216+E219+E222+E225+E229+E233+E236+E244+E247+E249+E256+E263+E267+E282+E288+E295+E299+E302+E252</f>
        <v>287387.09999999998</v>
      </c>
      <c r="F204" s="2049">
        <f>F207+F212+F216+F219+F222+F225+F229+F233+F236+F244+F247+F249+F256+F263+F267+F282+F288+F295+F299+F302+F252</f>
        <v>18730.599999999999</v>
      </c>
      <c r="G204" s="2048">
        <f>SUM(H204:I204)</f>
        <v>306117.7</v>
      </c>
      <c r="H204" s="2049">
        <f>H207+H212+H216+H219+H222+H225+H229+H233+H236+H244+H247+H249+H256+H263+H267+H282+H288+H295+H299+H302+H252</f>
        <v>287387.09999999998</v>
      </c>
      <c r="I204" s="2049">
        <f>I207+I212+I216+I219+I222+I225+I229+I233+I236+I244+I247+I249+I256+I263+I267+I282+I288+I295+I299+I302+I252</f>
        <v>18730.599999999999</v>
      </c>
      <c r="J204" s="2048">
        <f>SUM(K204:L204)</f>
        <v>181101.8</v>
      </c>
      <c r="K204" s="2049">
        <f>K207+K212+K216+K219+K222+K225+K229+K233+K236+K244+K247+K249+K256+K263+K267+K282+K288+K295+K299+K302+K252</f>
        <v>170032.1</v>
      </c>
      <c r="L204" s="2049">
        <f>L207+L212+L216+L219+L222+L225+L229+L233+L236+L244+L247+L249+L256+L263+L267+L282+L288+L295+L299+L302+L252</f>
        <v>11069.7</v>
      </c>
      <c r="M204" s="2049">
        <f>IF(J204=0,0,J204/G204*100)</f>
        <v>59.2</v>
      </c>
      <c r="N204" s="2049">
        <f>IF(K204=0,0,K204/H204*100)</f>
        <v>59.2</v>
      </c>
      <c r="O204" s="2049">
        <f>IF(L204=0,0,L204/I204*100)</f>
        <v>59.1</v>
      </c>
      <c r="P204" s="2124"/>
      <c r="Q204" s="2124"/>
      <c r="R204" s="1600"/>
      <c r="S204" s="1619"/>
      <c r="T204" s="1619"/>
      <c r="U204" s="1600"/>
      <c r="V204" s="1619"/>
      <c r="W204" s="1619"/>
      <c r="X204" s="1423">
        <f t="shared" ref="X204:X209" si="60">D204-G204</f>
        <v>0</v>
      </c>
      <c r="Y204" s="1423"/>
      <c r="Z204" s="1423"/>
      <c r="AA204" s="1423"/>
    </row>
    <row r="205" spans="1:27" ht="23.25">
      <c r="A205" s="2044"/>
      <c r="B205" s="2049" t="s">
        <v>1700</v>
      </c>
      <c r="C205" s="2047"/>
      <c r="D205" s="2048">
        <f t="shared" ref="D205:L205" si="61">D208+D213+D240+D250+D259+D275+D296+D253+D278+D283</f>
        <v>83550.7</v>
      </c>
      <c r="E205" s="2048">
        <f t="shared" si="61"/>
        <v>0</v>
      </c>
      <c r="F205" s="2048">
        <f t="shared" si="61"/>
        <v>83550.7</v>
      </c>
      <c r="G205" s="2048">
        <f t="shared" si="61"/>
        <v>83550.7</v>
      </c>
      <c r="H205" s="2048">
        <f t="shared" si="61"/>
        <v>0</v>
      </c>
      <c r="I205" s="2048">
        <f t="shared" si="61"/>
        <v>83550.7</v>
      </c>
      <c r="J205" s="2048">
        <f t="shared" si="61"/>
        <v>26635.599999999999</v>
      </c>
      <c r="K205" s="2048">
        <f t="shared" si="61"/>
        <v>0</v>
      </c>
      <c r="L205" s="2048">
        <f t="shared" si="61"/>
        <v>26635.599999999999</v>
      </c>
      <c r="M205" s="2048">
        <f t="shared" si="46"/>
        <v>31.9</v>
      </c>
      <c r="N205" s="2048">
        <f t="shared" si="46"/>
        <v>0</v>
      </c>
      <c r="O205" s="2048">
        <f t="shared" si="46"/>
        <v>31.9</v>
      </c>
      <c r="P205" s="1860"/>
      <c r="Q205" s="1860"/>
      <c r="R205" s="1860"/>
      <c r="S205" s="1860"/>
      <c r="T205" s="1860"/>
      <c r="U205" s="1860"/>
      <c r="V205" s="1860"/>
      <c r="W205" s="1860"/>
      <c r="X205" s="1423">
        <f t="shared" si="60"/>
        <v>0</v>
      </c>
      <c r="Y205" s="1423"/>
      <c r="Z205" s="1423"/>
      <c r="AA205" s="1423"/>
    </row>
    <row r="206" spans="1:27" ht="67.5" customHeight="1">
      <c r="A206" s="2127">
        <f>A197+1</f>
        <v>53</v>
      </c>
      <c r="B206" s="1919" t="s">
        <v>1709</v>
      </c>
      <c r="C206" s="2128"/>
      <c r="D206" s="1602">
        <f>SUM(E206:F206)</f>
        <v>2924.2</v>
      </c>
      <c r="E206" s="1609">
        <f>E207+E208</f>
        <v>612.20000000000005</v>
      </c>
      <c r="F206" s="1609">
        <f>F207+F208</f>
        <v>2312</v>
      </c>
      <c r="G206" s="1602">
        <f>SUM(H206:I206)</f>
        <v>2924.2</v>
      </c>
      <c r="H206" s="1609">
        <f>H207+H208</f>
        <v>612.20000000000005</v>
      </c>
      <c r="I206" s="1609">
        <f>I207+I208</f>
        <v>2312</v>
      </c>
      <c r="J206" s="1602">
        <f>SUM(K206:L206)</f>
        <v>1759.3</v>
      </c>
      <c r="K206" s="1619">
        <f>K207+K208</f>
        <v>42.5</v>
      </c>
      <c r="L206" s="1609">
        <f>L207+L208</f>
        <v>1716.8</v>
      </c>
      <c r="M206" s="1602">
        <f t="shared" si="46"/>
        <v>60.2</v>
      </c>
      <c r="N206" s="1602">
        <f t="shared" si="46"/>
        <v>6.9</v>
      </c>
      <c r="O206" s="1602">
        <f t="shared" si="46"/>
        <v>74.3</v>
      </c>
      <c r="P206" s="2124"/>
      <c r="Q206" s="2124"/>
      <c r="R206" s="1600">
        <f>S206+T206</f>
        <v>0</v>
      </c>
      <c r="S206" s="1619">
        <v>0</v>
      </c>
      <c r="T206" s="1619">
        <v>0</v>
      </c>
      <c r="U206" s="1600">
        <f>V206+W206</f>
        <v>0</v>
      </c>
      <c r="V206" s="1619">
        <v>0</v>
      </c>
      <c r="W206" s="1619">
        <v>0</v>
      </c>
      <c r="X206" s="1423">
        <f t="shared" si="60"/>
        <v>0</v>
      </c>
      <c r="Y206" s="1423"/>
      <c r="Z206" s="1423"/>
      <c r="AA206" s="1423"/>
    </row>
    <row r="207" spans="1:27" ht="26.25" customHeight="1">
      <c r="A207" s="2127"/>
      <c r="B207" s="1609" t="s">
        <v>1770</v>
      </c>
      <c r="C207" s="2128"/>
      <c r="D207" s="1602">
        <f>SUM(E207:F207)</f>
        <v>652.79999999999995</v>
      </c>
      <c r="E207" s="1609">
        <v>612.20000000000005</v>
      </c>
      <c r="F207" s="1609">
        <v>40.6</v>
      </c>
      <c r="G207" s="1600">
        <f>SUM(H207:I207)</f>
        <v>652.79999999999995</v>
      </c>
      <c r="H207" s="1616">
        <f>E207</f>
        <v>612.20000000000005</v>
      </c>
      <c r="I207" s="1616">
        <f>F207</f>
        <v>40.6</v>
      </c>
      <c r="J207" s="1600">
        <f>SUM(K207:L207)</f>
        <v>45.3</v>
      </c>
      <c r="K207" s="1619">
        <v>42.5</v>
      </c>
      <c r="L207" s="1619">
        <v>2.8</v>
      </c>
      <c r="M207" s="1619">
        <f t="shared" si="46"/>
        <v>6.9</v>
      </c>
      <c r="N207" s="1619">
        <f t="shared" si="46"/>
        <v>6.9</v>
      </c>
      <c r="O207" s="1619">
        <f t="shared" si="46"/>
        <v>6.9</v>
      </c>
      <c r="P207" s="2124"/>
      <c r="Q207" s="2124"/>
      <c r="R207" s="1600"/>
      <c r="S207" s="1619"/>
      <c r="T207" s="1619"/>
      <c r="U207" s="1600"/>
      <c r="V207" s="1619"/>
      <c r="W207" s="1619"/>
      <c r="X207" s="1423">
        <f t="shared" si="60"/>
        <v>0</v>
      </c>
      <c r="Y207" s="1423"/>
      <c r="Z207" s="1423"/>
      <c r="AA207" s="1423"/>
    </row>
    <row r="208" spans="1:27" ht="23.25">
      <c r="A208" s="2127"/>
      <c r="B208" s="1609" t="s">
        <v>1621</v>
      </c>
      <c r="C208" s="2128"/>
      <c r="D208" s="1602">
        <f>SUM(E208:F208)</f>
        <v>2271.4</v>
      </c>
      <c r="E208" s="1609"/>
      <c r="F208" s="1609">
        <f>3988.8-1717.4</f>
        <v>2271.4</v>
      </c>
      <c r="G208" s="1600">
        <f>SUM(H208:I208)</f>
        <v>2271.4</v>
      </c>
      <c r="H208" s="1616">
        <f>E208</f>
        <v>0</v>
      </c>
      <c r="I208" s="1609">
        <f>3988.8-1717.4</f>
        <v>2271.4</v>
      </c>
      <c r="J208" s="1600">
        <f>SUM(K208:L208)</f>
        <v>1714</v>
      </c>
      <c r="K208" s="1619"/>
      <c r="L208" s="1619">
        <v>1714</v>
      </c>
      <c r="M208" s="1602">
        <f t="shared" si="46"/>
        <v>75.5</v>
      </c>
      <c r="N208" s="1602">
        <f t="shared" si="46"/>
        <v>0</v>
      </c>
      <c r="O208" s="1602">
        <f t="shared" si="46"/>
        <v>75.5</v>
      </c>
      <c r="P208" s="2124"/>
      <c r="Q208" s="2124"/>
      <c r="R208" s="1600">
        <f>S208+T208</f>
        <v>0</v>
      </c>
      <c r="S208" s="1619">
        <v>0</v>
      </c>
      <c r="T208" s="1619">
        <v>0</v>
      </c>
      <c r="U208" s="1600">
        <f>V208+W208</f>
        <v>0</v>
      </c>
      <c r="V208" s="1619">
        <v>0</v>
      </c>
      <c r="W208" s="1619">
        <v>0</v>
      </c>
      <c r="X208" s="1423">
        <f t="shared" si="60"/>
        <v>0</v>
      </c>
      <c r="Y208" s="1423"/>
      <c r="Z208" s="1423"/>
      <c r="AA208" s="1423"/>
    </row>
    <row r="209" spans="1:27" ht="38.25" customHeight="1">
      <c r="A209" s="2127">
        <f>A206+1</f>
        <v>54</v>
      </c>
      <c r="B209" s="1919" t="s">
        <v>1702</v>
      </c>
      <c r="C209" s="2128"/>
      <c r="D209" s="1602">
        <f>SUM(E209:F209)</f>
        <v>130451.7</v>
      </c>
      <c r="E209" s="1609">
        <f>E210+E212+E213+E211</f>
        <v>117850.4</v>
      </c>
      <c r="F209" s="1609">
        <f>F210+F212+F213+F211</f>
        <v>12601.3</v>
      </c>
      <c r="G209" s="1602">
        <f>SUM(H209:I209)</f>
        <v>130451.7</v>
      </c>
      <c r="H209" s="1609">
        <f>H210+H212+H213+H211</f>
        <v>117850.4</v>
      </c>
      <c r="I209" s="1609">
        <f>I210+I212+I213+I211</f>
        <v>12601.3</v>
      </c>
      <c r="J209" s="1602">
        <f>SUM(K209:L209)</f>
        <v>63876.800000000003</v>
      </c>
      <c r="K209" s="1609">
        <f>K210+K212+K213+K211</f>
        <v>59584.4</v>
      </c>
      <c r="L209" s="1609">
        <f>L210+L212+L213+L211</f>
        <v>4292.3999999999996</v>
      </c>
      <c r="M209" s="1602">
        <f t="shared" si="46"/>
        <v>49</v>
      </c>
      <c r="N209" s="1602">
        <f t="shared" si="46"/>
        <v>50.6</v>
      </c>
      <c r="O209" s="1602">
        <f t="shared" si="46"/>
        <v>34.1</v>
      </c>
      <c r="P209" s="2124"/>
      <c r="Q209" s="2124"/>
      <c r="R209" s="1600"/>
      <c r="S209" s="1619"/>
      <c r="T209" s="1619"/>
      <c r="U209" s="1600"/>
      <c r="V209" s="1619"/>
      <c r="W209" s="1619"/>
      <c r="X209" s="1423">
        <f t="shared" si="60"/>
        <v>0</v>
      </c>
      <c r="Y209" s="1423"/>
      <c r="Z209" s="1423"/>
      <c r="AA209" s="1423"/>
    </row>
    <row r="210" spans="1:27" ht="19.5" hidden="1" customHeight="1">
      <c r="A210" s="2127"/>
      <c r="B210" s="1609"/>
      <c r="C210" s="2128"/>
      <c r="D210" s="1602"/>
      <c r="E210" s="1609"/>
      <c r="F210" s="1609"/>
      <c r="G210" s="1600"/>
      <c r="H210" s="1619">
        <f t="shared" ref="H210:I213" si="62">E210</f>
        <v>0</v>
      </c>
      <c r="I210" s="1619">
        <f t="shared" si="62"/>
        <v>0</v>
      </c>
      <c r="J210" s="1600"/>
      <c r="K210" s="1619"/>
      <c r="L210" s="1619"/>
      <c r="M210" s="1619"/>
      <c r="N210" s="1619"/>
      <c r="O210" s="1619"/>
      <c r="P210" s="2124"/>
      <c r="Q210" s="2124"/>
      <c r="R210" s="1600"/>
      <c r="S210" s="1619"/>
      <c r="T210" s="1619"/>
      <c r="U210" s="1600"/>
      <c r="V210" s="1619"/>
      <c r="W210" s="1619"/>
      <c r="X210" s="1423"/>
      <c r="Y210" s="1423"/>
      <c r="Z210" s="1423"/>
      <c r="AA210" s="1423"/>
    </row>
    <row r="211" spans="1:27" ht="26.25" customHeight="1">
      <c r="A211" s="2127"/>
      <c r="B211" s="1609" t="s">
        <v>1821</v>
      </c>
      <c r="C211" s="2128"/>
      <c r="D211" s="1602">
        <f t="shared" ref="D211" si="63">SUM(E211:F211)</f>
        <v>4665.1000000000004</v>
      </c>
      <c r="E211" s="1609">
        <v>4370.7</v>
      </c>
      <c r="F211" s="1609">
        <v>294.39999999999998</v>
      </c>
      <c r="G211" s="1600">
        <f t="shared" ref="G211" si="64">SUM(H211:I211)</f>
        <v>4665.1000000000004</v>
      </c>
      <c r="H211" s="1616">
        <f t="shared" ref="H211" si="65">E211</f>
        <v>4370.7</v>
      </c>
      <c r="I211" s="1616">
        <f t="shared" ref="I211" si="66">F211</f>
        <v>294.39999999999998</v>
      </c>
      <c r="J211" s="1600">
        <f t="shared" ref="J211" si="67">SUM(K211:L211)</f>
        <v>0</v>
      </c>
      <c r="K211" s="1619"/>
      <c r="L211" s="1619"/>
      <c r="M211" s="1619">
        <f t="shared" ref="M211:O212" si="68">IF(J211=0,0,J211/G211*100)</f>
        <v>0</v>
      </c>
      <c r="N211" s="1619">
        <f t="shared" si="68"/>
        <v>0</v>
      </c>
      <c r="O211" s="1619">
        <f t="shared" si="68"/>
        <v>0</v>
      </c>
      <c r="P211" s="2124"/>
      <c r="Q211" s="2124"/>
      <c r="R211" s="1600"/>
      <c r="S211" s="1619"/>
      <c r="T211" s="1619"/>
      <c r="U211" s="1600"/>
      <c r="V211" s="1619"/>
      <c r="W211" s="1619"/>
      <c r="X211" s="1423">
        <f>D211-G211</f>
        <v>0</v>
      </c>
      <c r="Y211" s="1423"/>
      <c r="Z211" s="1423"/>
      <c r="AA211" s="1423"/>
    </row>
    <row r="212" spans="1:27" ht="26.25" customHeight="1">
      <c r="A212" s="2127"/>
      <c r="B212" s="1609" t="s">
        <v>1770</v>
      </c>
      <c r="C212" s="2128"/>
      <c r="D212" s="1602">
        <f t="shared" ref="D212:D247" si="69">SUM(E212:F212)</f>
        <v>121121.5</v>
      </c>
      <c r="E212" s="1609">
        <f>117850.4-4370.7</f>
        <v>113479.7</v>
      </c>
      <c r="F212" s="1609">
        <f>7936.2-294.4</f>
        <v>7641.8</v>
      </c>
      <c r="G212" s="1600">
        <f t="shared" ref="G212:G247" si="70">SUM(H212:I212)</f>
        <v>121121.5</v>
      </c>
      <c r="H212" s="1616">
        <f t="shared" si="62"/>
        <v>113479.7</v>
      </c>
      <c r="I212" s="1616">
        <f t="shared" si="62"/>
        <v>7641.8</v>
      </c>
      <c r="J212" s="1600">
        <f t="shared" ref="J212:J248" si="71">SUM(K212:L212)</f>
        <v>63596.800000000003</v>
      </c>
      <c r="K212" s="1619">
        <f>58637.629+946.775</f>
        <v>59584.4</v>
      </c>
      <c r="L212" s="1619">
        <f>63.798+3948.6</f>
        <v>4012.4</v>
      </c>
      <c r="M212" s="1619">
        <f t="shared" si="68"/>
        <v>52.5</v>
      </c>
      <c r="N212" s="1619">
        <f t="shared" si="68"/>
        <v>52.5</v>
      </c>
      <c r="O212" s="1619">
        <f t="shared" si="68"/>
        <v>52.5</v>
      </c>
      <c r="P212" s="2124"/>
      <c r="Q212" s="2124"/>
      <c r="R212" s="1600"/>
      <c r="S212" s="1619"/>
      <c r="T212" s="1619"/>
      <c r="U212" s="1600"/>
      <c r="V212" s="1619"/>
      <c r="W212" s="1619"/>
      <c r="X212" s="1423">
        <f>D212-G212</f>
        <v>0</v>
      </c>
      <c r="Y212" s="1423"/>
      <c r="Z212" s="1423"/>
      <c r="AA212" s="1423"/>
    </row>
    <row r="213" spans="1:27" ht="23.25">
      <c r="A213" s="2127"/>
      <c r="B213" s="1609" t="s">
        <v>1621</v>
      </c>
      <c r="C213" s="2128"/>
      <c r="D213" s="1602">
        <f t="shared" si="69"/>
        <v>4665.1000000000004</v>
      </c>
      <c r="E213" s="1609"/>
      <c r="F213" s="1609">
        <f>4443.3+221.8</f>
        <v>4665.1000000000004</v>
      </c>
      <c r="G213" s="1600">
        <f t="shared" si="70"/>
        <v>4665.1000000000004</v>
      </c>
      <c r="H213" s="1616">
        <f t="shared" si="62"/>
        <v>0</v>
      </c>
      <c r="I213" s="1616">
        <f t="shared" si="62"/>
        <v>4665.1000000000004</v>
      </c>
      <c r="J213" s="1600">
        <f t="shared" si="71"/>
        <v>280</v>
      </c>
      <c r="K213" s="1619"/>
      <c r="L213" s="1619">
        <f>77.8+22.22+180</f>
        <v>280</v>
      </c>
      <c r="M213" s="1602">
        <f t="shared" si="46"/>
        <v>6</v>
      </c>
      <c r="N213" s="1602">
        <f t="shared" si="46"/>
        <v>0</v>
      </c>
      <c r="O213" s="1602">
        <f t="shared" si="46"/>
        <v>6</v>
      </c>
      <c r="P213" s="2124"/>
      <c r="Q213" s="2124"/>
      <c r="R213" s="1600"/>
      <c r="S213" s="1619"/>
      <c r="T213" s="1619"/>
      <c r="U213" s="1600"/>
      <c r="V213" s="1619"/>
      <c r="W213" s="1619"/>
      <c r="X213" s="1423">
        <f>D213-G213</f>
        <v>0</v>
      </c>
      <c r="Y213" s="1423"/>
      <c r="Z213" s="1423"/>
      <c r="AA213" s="1423"/>
    </row>
    <row r="214" spans="1:27" ht="40.5" customHeight="1">
      <c r="A214" s="1866">
        <f>A209+1</f>
        <v>55</v>
      </c>
      <c r="B214" s="1905" t="s">
        <v>1590</v>
      </c>
      <c r="C214" s="1906"/>
      <c r="D214" s="1600">
        <f>E214+F214</f>
        <v>20293.2</v>
      </c>
      <c r="E214" s="1619">
        <f>SUM(E215:E216)</f>
        <v>19075.7</v>
      </c>
      <c r="F214" s="1619">
        <f>F215+F216</f>
        <v>1217.5</v>
      </c>
      <c r="G214" s="1600">
        <f t="shared" si="70"/>
        <v>20293.2</v>
      </c>
      <c r="H214" s="1619">
        <f>SUM(H215:H216)</f>
        <v>19075.7</v>
      </c>
      <c r="I214" s="1619">
        <f>I215+I216</f>
        <v>1217.5</v>
      </c>
      <c r="J214" s="1600">
        <f t="shared" si="71"/>
        <v>286.39999999999998</v>
      </c>
      <c r="K214" s="1619">
        <f>SUM(K215:K216)</f>
        <v>269.2</v>
      </c>
      <c r="L214" s="1619">
        <f>SUM(L215:L216)</f>
        <v>17.2</v>
      </c>
      <c r="M214" s="1619">
        <f t="shared" si="46"/>
        <v>1.4</v>
      </c>
      <c r="N214" s="1619">
        <f t="shared" si="46"/>
        <v>1.4</v>
      </c>
      <c r="O214" s="1619">
        <f t="shared" si="46"/>
        <v>1.4</v>
      </c>
      <c r="P214" s="1619">
        <v>0</v>
      </c>
      <c r="Q214" s="1619">
        <v>0</v>
      </c>
      <c r="R214" s="1600">
        <f>S214+T214</f>
        <v>0</v>
      </c>
      <c r="S214" s="1619">
        <v>0</v>
      </c>
      <c r="T214" s="1619">
        <v>0</v>
      </c>
      <c r="U214" s="1600">
        <f>V214+W214</f>
        <v>0</v>
      </c>
      <c r="V214" s="1619">
        <v>0</v>
      </c>
      <c r="W214" s="1619">
        <v>0</v>
      </c>
      <c r="X214" s="1423">
        <f>D214-G214</f>
        <v>0</v>
      </c>
      <c r="Y214" s="1423"/>
      <c r="Z214" s="1423"/>
      <c r="AA214" s="1423"/>
    </row>
    <row r="215" spans="1:27" ht="40.5" customHeight="1">
      <c r="A215" s="2127"/>
      <c r="B215" s="1609" t="s">
        <v>1620</v>
      </c>
      <c r="C215" s="2128"/>
      <c r="D215" s="1602">
        <f t="shared" si="69"/>
        <v>9341</v>
      </c>
      <c r="E215" s="1609">
        <v>8780.6</v>
      </c>
      <c r="F215" s="1609">
        <v>560.4</v>
      </c>
      <c r="G215" s="1600">
        <f t="shared" si="70"/>
        <v>9341</v>
      </c>
      <c r="H215" s="1609">
        <v>8780.6</v>
      </c>
      <c r="I215" s="1609">
        <v>560.4</v>
      </c>
      <c r="J215" s="1600">
        <f t="shared" si="71"/>
        <v>64.400000000000006</v>
      </c>
      <c r="K215" s="1619">
        <v>60.5</v>
      </c>
      <c r="L215" s="1619">
        <v>3.9</v>
      </c>
      <c r="M215" s="1619"/>
      <c r="N215" s="1619"/>
      <c r="O215" s="1619"/>
      <c r="P215" s="1619"/>
      <c r="Q215" s="1619"/>
      <c r="R215" s="1600"/>
      <c r="S215" s="1619"/>
      <c r="T215" s="1619"/>
      <c r="U215" s="1600"/>
      <c r="V215" s="1619"/>
      <c r="W215" s="1619"/>
      <c r="X215" s="1423"/>
      <c r="Y215" s="1423"/>
      <c r="Z215" s="1423"/>
      <c r="AA215" s="1423"/>
    </row>
    <row r="216" spans="1:27" ht="23.25">
      <c r="A216" s="2127"/>
      <c r="B216" s="1609" t="s">
        <v>1770</v>
      </c>
      <c r="C216" s="2128"/>
      <c r="D216" s="1602">
        <f t="shared" si="69"/>
        <v>10952.2</v>
      </c>
      <c r="E216" s="1609">
        <f>8974.9+1320.2</f>
        <v>10295.1</v>
      </c>
      <c r="F216" s="1609">
        <f>572.8+84.3</f>
        <v>657.1</v>
      </c>
      <c r="G216" s="1600">
        <f t="shared" si="70"/>
        <v>10952.2</v>
      </c>
      <c r="H216" s="1609">
        <f>8974.9+1320.2</f>
        <v>10295.1</v>
      </c>
      <c r="I216" s="1609">
        <f>572.8+84.3</f>
        <v>657.1</v>
      </c>
      <c r="J216" s="1600">
        <f t="shared" si="71"/>
        <v>222</v>
      </c>
      <c r="K216" s="1619">
        <f>208.738</f>
        <v>208.7</v>
      </c>
      <c r="L216" s="1619">
        <v>13.3</v>
      </c>
      <c r="M216" s="1619"/>
      <c r="N216" s="1619"/>
      <c r="O216" s="1619"/>
      <c r="P216" s="1619"/>
      <c r="Q216" s="1619"/>
      <c r="R216" s="1600"/>
      <c r="S216" s="1619"/>
      <c r="T216" s="1619"/>
      <c r="U216" s="1600"/>
      <c r="V216" s="1619"/>
      <c r="W216" s="1619"/>
      <c r="X216" s="1423"/>
      <c r="Y216" s="1423"/>
      <c r="Z216" s="1423"/>
      <c r="AA216" s="1423"/>
    </row>
    <row r="217" spans="1:27" ht="58.5" customHeight="1">
      <c r="A217" s="1866">
        <f>A214+1</f>
        <v>56</v>
      </c>
      <c r="B217" s="2073" t="s">
        <v>1655</v>
      </c>
      <c r="C217" s="1866" t="s">
        <v>1544</v>
      </c>
      <c r="D217" s="1600">
        <f t="shared" si="69"/>
        <v>20</v>
      </c>
      <c r="E217" s="1614">
        <f>E218+E219</f>
        <v>18.8</v>
      </c>
      <c r="F217" s="1614">
        <f>F218+F219</f>
        <v>1.2</v>
      </c>
      <c r="G217" s="1600">
        <f t="shared" si="70"/>
        <v>20</v>
      </c>
      <c r="H217" s="1614">
        <f>H218+H219</f>
        <v>18.8</v>
      </c>
      <c r="I217" s="1614">
        <f>I218+I219</f>
        <v>1.2</v>
      </c>
      <c r="J217" s="1600">
        <f t="shared" si="71"/>
        <v>0</v>
      </c>
      <c r="K217" s="1614">
        <f>K218+K219</f>
        <v>0</v>
      </c>
      <c r="L217" s="1614">
        <f>L218+L219</f>
        <v>0</v>
      </c>
      <c r="M217" s="1893">
        <f t="shared" si="46"/>
        <v>0</v>
      </c>
      <c r="N217" s="1894">
        <f t="shared" si="46"/>
        <v>0</v>
      </c>
      <c r="O217" s="1894">
        <f t="shared" si="46"/>
        <v>0</v>
      </c>
      <c r="P217" s="2124"/>
      <c r="Q217" s="2124"/>
      <c r="R217" s="1600">
        <f>S217+T217</f>
        <v>0</v>
      </c>
      <c r="S217" s="1619">
        <v>0</v>
      </c>
      <c r="T217" s="1619">
        <v>0</v>
      </c>
      <c r="U217" s="1600">
        <f>V217+W217</f>
        <v>0</v>
      </c>
      <c r="V217" s="1619">
        <v>0</v>
      </c>
      <c r="W217" s="1619">
        <v>0</v>
      </c>
      <c r="X217" s="1423">
        <f>D217-G217</f>
        <v>0</v>
      </c>
      <c r="Y217" s="1423"/>
      <c r="Z217" s="1423"/>
      <c r="AA217" s="1423"/>
    </row>
    <row r="218" spans="1:27" ht="30.75" hidden="1" customHeight="1">
      <c r="A218" s="2127"/>
      <c r="B218" s="1609" t="s">
        <v>1620</v>
      </c>
      <c r="C218" s="2128"/>
      <c r="D218" s="1602">
        <f t="shared" si="69"/>
        <v>0</v>
      </c>
      <c r="E218" s="1609">
        <v>0</v>
      </c>
      <c r="F218" s="1609">
        <v>0</v>
      </c>
      <c r="G218" s="1600">
        <f t="shared" si="70"/>
        <v>0</v>
      </c>
      <c r="H218" s="1616">
        <f>E218</f>
        <v>0</v>
      </c>
      <c r="I218" s="1616">
        <f>F218</f>
        <v>0</v>
      </c>
      <c r="J218" s="1600">
        <f t="shared" si="71"/>
        <v>0</v>
      </c>
      <c r="K218" s="1619"/>
      <c r="L218" s="1619"/>
      <c r="M218" s="1619"/>
      <c r="N218" s="1619"/>
      <c r="O218" s="1619"/>
      <c r="P218" s="1619"/>
      <c r="Q218" s="1619"/>
      <c r="R218" s="1600"/>
      <c r="S218" s="1619"/>
      <c r="T218" s="1619"/>
      <c r="U218" s="1600"/>
      <c r="V218" s="1619"/>
      <c r="W218" s="1619"/>
      <c r="X218" s="1423"/>
      <c r="Y218" s="1423"/>
      <c r="Z218" s="1423"/>
      <c r="AA218" s="1423"/>
    </row>
    <row r="219" spans="1:27" ht="26.25" customHeight="1">
      <c r="A219" s="2127"/>
      <c r="B219" s="1609" t="s">
        <v>1770</v>
      </c>
      <c r="C219" s="2128"/>
      <c r="D219" s="1602">
        <f t="shared" si="69"/>
        <v>20</v>
      </c>
      <c r="E219" s="1609">
        <v>18.8</v>
      </c>
      <c r="F219" s="1609">
        <v>1.2</v>
      </c>
      <c r="G219" s="1600">
        <f t="shared" si="70"/>
        <v>20</v>
      </c>
      <c r="H219" s="1616">
        <f>E219</f>
        <v>18.8</v>
      </c>
      <c r="I219" s="1616">
        <f>F219</f>
        <v>1.2</v>
      </c>
      <c r="J219" s="1600">
        <f t="shared" si="71"/>
        <v>0</v>
      </c>
      <c r="K219" s="1619"/>
      <c r="L219" s="1619"/>
      <c r="M219" s="1619"/>
      <c r="N219" s="1619"/>
      <c r="O219" s="1619"/>
      <c r="P219" s="1619"/>
      <c r="Q219" s="1619"/>
      <c r="R219" s="1600"/>
      <c r="S219" s="1619"/>
      <c r="T219" s="1619"/>
      <c r="U219" s="1600"/>
      <c r="V219" s="1619"/>
      <c r="W219" s="1619"/>
      <c r="X219" s="1423"/>
      <c r="Y219" s="1423"/>
      <c r="Z219" s="1423"/>
      <c r="AA219" s="1423"/>
    </row>
    <row r="220" spans="1:27" ht="85.5" customHeight="1">
      <c r="A220" s="2127">
        <f>A217+1</f>
        <v>57</v>
      </c>
      <c r="B220" s="1919" t="s">
        <v>1656</v>
      </c>
      <c r="C220" s="2128"/>
      <c r="D220" s="1602">
        <f t="shared" si="69"/>
        <v>33251.9</v>
      </c>
      <c r="E220" s="1609">
        <f>E221+E222</f>
        <v>31256.5</v>
      </c>
      <c r="F220" s="1609">
        <f>F221+F222</f>
        <v>1995.4</v>
      </c>
      <c r="G220" s="1600">
        <f t="shared" si="70"/>
        <v>33251.9</v>
      </c>
      <c r="H220" s="1609">
        <f>H221+H222</f>
        <v>31256.5</v>
      </c>
      <c r="I220" s="1609">
        <f>I221+I222</f>
        <v>1995.4</v>
      </c>
      <c r="J220" s="1602">
        <f t="shared" si="71"/>
        <v>955.5</v>
      </c>
      <c r="K220" s="1609">
        <f>K221+K222</f>
        <v>898.2</v>
      </c>
      <c r="L220" s="1609">
        <f>L221+L222</f>
        <v>57.3</v>
      </c>
      <c r="M220" s="1893">
        <f t="shared" si="46"/>
        <v>2.9</v>
      </c>
      <c r="N220" s="1893">
        <f t="shared" si="46"/>
        <v>2.9</v>
      </c>
      <c r="O220" s="1893">
        <f t="shared" si="46"/>
        <v>2.9</v>
      </c>
      <c r="P220" s="2124"/>
      <c r="Q220" s="2124"/>
      <c r="R220" s="1600">
        <f>S220+T220</f>
        <v>0</v>
      </c>
      <c r="S220" s="1619">
        <v>0</v>
      </c>
      <c r="T220" s="1619">
        <v>0</v>
      </c>
      <c r="U220" s="1600">
        <f>V220+W220</f>
        <v>0</v>
      </c>
      <c r="V220" s="1619">
        <v>0</v>
      </c>
      <c r="W220" s="1619">
        <v>0</v>
      </c>
      <c r="X220" s="1423">
        <f>D220-G220</f>
        <v>0</v>
      </c>
      <c r="Y220" s="1423"/>
      <c r="Z220" s="1423"/>
      <c r="AA220" s="1423"/>
    </row>
    <row r="221" spans="1:27" ht="23.25">
      <c r="A221" s="2127"/>
      <c r="B221" s="1609" t="s">
        <v>1620</v>
      </c>
      <c r="C221" s="2128"/>
      <c r="D221" s="1602">
        <f t="shared" si="69"/>
        <v>15410.7</v>
      </c>
      <c r="E221" s="1609">
        <v>14485.9</v>
      </c>
      <c r="F221" s="1609">
        <v>924.8</v>
      </c>
      <c r="G221" s="1600">
        <f t="shared" si="70"/>
        <v>15410.7</v>
      </c>
      <c r="H221" s="1616">
        <f>E221</f>
        <v>14485.9</v>
      </c>
      <c r="I221" s="1616">
        <f>F221</f>
        <v>924.8</v>
      </c>
      <c r="J221" s="1600">
        <f t="shared" si="71"/>
        <v>0</v>
      </c>
      <c r="K221" s="1619">
        <v>0</v>
      </c>
      <c r="L221" s="1619">
        <v>0</v>
      </c>
      <c r="M221" s="1619"/>
      <c r="N221" s="1619"/>
      <c r="O221" s="1619"/>
      <c r="P221" s="1619"/>
      <c r="Q221" s="1619"/>
      <c r="R221" s="1600"/>
      <c r="S221" s="1619"/>
      <c r="T221" s="1619"/>
      <c r="U221" s="1600"/>
      <c r="V221" s="1619"/>
      <c r="W221" s="1619"/>
      <c r="X221" s="1423"/>
      <c r="Y221" s="1423"/>
      <c r="Z221" s="1423"/>
      <c r="AA221" s="1423"/>
    </row>
    <row r="222" spans="1:27" ht="23.25">
      <c r="A222" s="2127"/>
      <c r="B222" s="1609" t="s">
        <v>1770</v>
      </c>
      <c r="C222" s="2128"/>
      <c r="D222" s="1602">
        <f t="shared" si="69"/>
        <v>17841.2</v>
      </c>
      <c r="E222" s="1609">
        <f>16053.6+717</f>
        <v>16770.599999999999</v>
      </c>
      <c r="F222" s="1609">
        <f>1024.8+45.8</f>
        <v>1070.5999999999999</v>
      </c>
      <c r="G222" s="1600">
        <f t="shared" si="70"/>
        <v>17841.2</v>
      </c>
      <c r="H222" s="1616">
        <f>E222</f>
        <v>16770.599999999999</v>
      </c>
      <c r="I222" s="1616">
        <f>F222</f>
        <v>1070.5999999999999</v>
      </c>
      <c r="J222" s="1600">
        <f t="shared" si="71"/>
        <v>955.5</v>
      </c>
      <c r="K222" s="1619">
        <f>678.269+219.898</f>
        <v>898.2</v>
      </c>
      <c r="L222" s="1619">
        <f>43.3+14</f>
        <v>57.3</v>
      </c>
      <c r="M222" s="1619"/>
      <c r="N222" s="1619"/>
      <c r="O222" s="1619"/>
      <c r="P222" s="1619"/>
      <c r="Q222" s="1619"/>
      <c r="R222" s="1600"/>
      <c r="S222" s="1619"/>
      <c r="T222" s="1619"/>
      <c r="U222" s="1600"/>
      <c r="V222" s="1619"/>
      <c r="W222" s="1619"/>
      <c r="X222" s="1423"/>
      <c r="Y222" s="1423"/>
      <c r="Z222" s="1423"/>
      <c r="AA222" s="1423"/>
    </row>
    <row r="223" spans="1:27" ht="68.25" customHeight="1">
      <c r="A223" s="2127">
        <f>A220+1</f>
        <v>58</v>
      </c>
      <c r="B223" s="1919" t="s">
        <v>1583</v>
      </c>
      <c r="C223" s="2128"/>
      <c r="D223" s="1602">
        <f t="shared" si="69"/>
        <v>9677.2999999999993</v>
      </c>
      <c r="E223" s="1609">
        <f>E224+E225</f>
        <v>9096.6</v>
      </c>
      <c r="F223" s="1609">
        <f>F224+F225</f>
        <v>580.70000000000005</v>
      </c>
      <c r="G223" s="1600">
        <f t="shared" si="70"/>
        <v>9677.2999999999993</v>
      </c>
      <c r="H223" s="1609">
        <f>H224+H225</f>
        <v>9096.6</v>
      </c>
      <c r="I223" s="1609">
        <f>I224+I225</f>
        <v>580.70000000000005</v>
      </c>
      <c r="J223" s="1602">
        <f t="shared" si="71"/>
        <v>376.2</v>
      </c>
      <c r="K223" s="1619">
        <f>K224+K225</f>
        <v>353.6</v>
      </c>
      <c r="L223" s="1609">
        <f>L224+L225</f>
        <v>22.6</v>
      </c>
      <c r="M223" s="1893">
        <f t="shared" si="46"/>
        <v>3.9</v>
      </c>
      <c r="N223" s="1893">
        <f t="shared" si="46"/>
        <v>3.9</v>
      </c>
      <c r="O223" s="1893">
        <f t="shared" si="46"/>
        <v>3.9</v>
      </c>
      <c r="P223" s="2124"/>
      <c r="Q223" s="2124"/>
      <c r="R223" s="1600">
        <f>S223+T223</f>
        <v>0</v>
      </c>
      <c r="S223" s="1619">
        <v>0</v>
      </c>
      <c r="T223" s="1619">
        <v>0</v>
      </c>
      <c r="U223" s="1600">
        <f>V223+W223</f>
        <v>0</v>
      </c>
      <c r="V223" s="1619">
        <v>0</v>
      </c>
      <c r="W223" s="1619">
        <v>0</v>
      </c>
      <c r="X223" s="1423">
        <f>D223-G223</f>
        <v>0</v>
      </c>
      <c r="Y223" s="1423"/>
      <c r="Z223" s="1423"/>
      <c r="AA223" s="1423"/>
    </row>
    <row r="224" spans="1:27" ht="23.25">
      <c r="A224" s="2127"/>
      <c r="B224" s="1609" t="s">
        <v>1620</v>
      </c>
      <c r="C224" s="2128"/>
      <c r="D224" s="1602">
        <f t="shared" si="69"/>
        <v>4597</v>
      </c>
      <c r="E224" s="1609">
        <v>4321.2</v>
      </c>
      <c r="F224" s="1609">
        <v>275.8</v>
      </c>
      <c r="G224" s="1600">
        <f t="shared" si="70"/>
        <v>4597</v>
      </c>
      <c r="H224" s="1616">
        <f t="shared" ref="H224:I229" si="72">E224</f>
        <v>4321.2</v>
      </c>
      <c r="I224" s="1616">
        <f t="shared" si="72"/>
        <v>275.8</v>
      </c>
      <c r="J224" s="1600">
        <f t="shared" si="71"/>
        <v>0</v>
      </c>
      <c r="K224" s="1619">
        <v>0</v>
      </c>
      <c r="L224" s="1619">
        <v>0</v>
      </c>
      <c r="M224" s="1619"/>
      <c r="N224" s="1619"/>
      <c r="O224" s="1619"/>
      <c r="P224" s="1619"/>
      <c r="Q224" s="1619"/>
      <c r="R224" s="1600"/>
      <c r="S224" s="1619"/>
      <c r="T224" s="1619"/>
      <c r="U224" s="1600"/>
      <c r="V224" s="1619"/>
      <c r="W224" s="1619"/>
      <c r="X224" s="1423"/>
      <c r="Y224" s="1423"/>
      <c r="Z224" s="1423"/>
      <c r="AA224" s="1423"/>
    </row>
    <row r="225" spans="1:27" ht="23.25">
      <c r="A225" s="2127"/>
      <c r="B225" s="1609" t="s">
        <v>1770</v>
      </c>
      <c r="C225" s="2128"/>
      <c r="D225" s="1602">
        <f t="shared" si="69"/>
        <v>5080.3</v>
      </c>
      <c r="E225" s="1609">
        <f>3503+1272.4</f>
        <v>4775.3999999999996</v>
      </c>
      <c r="F225" s="1609">
        <f>223.6+81.3</f>
        <v>304.89999999999998</v>
      </c>
      <c r="G225" s="1600">
        <f t="shared" si="70"/>
        <v>5080.3</v>
      </c>
      <c r="H225" s="1616">
        <f t="shared" si="72"/>
        <v>4775.3999999999996</v>
      </c>
      <c r="I225" s="1616">
        <f t="shared" si="72"/>
        <v>304.89999999999998</v>
      </c>
      <c r="J225" s="1600">
        <f t="shared" si="71"/>
        <v>376.2</v>
      </c>
      <c r="K225" s="1619">
        <v>353.6</v>
      </c>
      <c r="L225" s="1619">
        <v>22.6</v>
      </c>
      <c r="M225" s="1619"/>
      <c r="N225" s="1619"/>
      <c r="O225" s="1619"/>
      <c r="P225" s="1619"/>
      <c r="Q225" s="1619"/>
      <c r="R225" s="1600"/>
      <c r="S225" s="1619"/>
      <c r="T225" s="1619"/>
      <c r="U225" s="1600"/>
      <c r="V225" s="1619"/>
      <c r="W225" s="1619"/>
      <c r="X225" s="1423"/>
      <c r="Y225" s="1423"/>
      <c r="Z225" s="1423"/>
      <c r="AA225" s="1423"/>
    </row>
    <row r="226" spans="1:27" ht="66.75" customHeight="1">
      <c r="A226" s="2127">
        <f>A223+1</f>
        <v>59</v>
      </c>
      <c r="B226" s="1919" t="s">
        <v>1585</v>
      </c>
      <c r="C226" s="2128"/>
      <c r="D226" s="1602">
        <f t="shared" si="69"/>
        <v>16334.2</v>
      </c>
      <c r="E226" s="1609">
        <f>E227+E228+E229</f>
        <v>15354.2</v>
      </c>
      <c r="F226" s="1609">
        <f>F227+F228+F229</f>
        <v>980</v>
      </c>
      <c r="G226" s="1600">
        <f t="shared" si="70"/>
        <v>16334.2</v>
      </c>
      <c r="H226" s="1609">
        <f>H227+H228+H229</f>
        <v>15354.2</v>
      </c>
      <c r="I226" s="1609">
        <f>I227+I228+I229</f>
        <v>980</v>
      </c>
      <c r="J226" s="1609">
        <f>J227+J228+J229</f>
        <v>4162.2</v>
      </c>
      <c r="K226" s="1609">
        <f>K227+K228+K229</f>
        <v>3912.4</v>
      </c>
      <c r="L226" s="1609">
        <f>L227+L228+L229</f>
        <v>249.8</v>
      </c>
      <c r="M226" s="1893">
        <f t="shared" si="46"/>
        <v>25.5</v>
      </c>
      <c r="N226" s="1893">
        <f t="shared" si="46"/>
        <v>25.5</v>
      </c>
      <c r="O226" s="1893">
        <f t="shared" si="46"/>
        <v>25.5</v>
      </c>
      <c r="P226" s="2124"/>
      <c r="Q226" s="2124"/>
      <c r="R226" s="1600">
        <f>S226+T226</f>
        <v>0</v>
      </c>
      <c r="S226" s="1619">
        <v>0</v>
      </c>
      <c r="T226" s="1619">
        <v>0</v>
      </c>
      <c r="U226" s="1600">
        <f>V226+W226</f>
        <v>0</v>
      </c>
      <c r="V226" s="1619">
        <v>0</v>
      </c>
      <c r="W226" s="1619">
        <v>0</v>
      </c>
      <c r="X226" s="1423">
        <f>D226-G226</f>
        <v>0</v>
      </c>
      <c r="Y226" s="1423"/>
      <c r="Z226" s="1423"/>
      <c r="AA226" s="1423"/>
    </row>
    <row r="227" spans="1:27" ht="23.25">
      <c r="A227" s="2127"/>
      <c r="B227" s="1609" t="s">
        <v>1620</v>
      </c>
      <c r="C227" s="2128"/>
      <c r="D227" s="1602">
        <f t="shared" si="69"/>
        <v>3935.3</v>
      </c>
      <c r="E227" s="1609">
        <v>3699.2</v>
      </c>
      <c r="F227" s="1609">
        <v>236.1</v>
      </c>
      <c r="G227" s="1600">
        <f t="shared" si="70"/>
        <v>3935.3</v>
      </c>
      <c r="H227" s="1616">
        <f t="shared" si="72"/>
        <v>3699.2</v>
      </c>
      <c r="I227" s="1616">
        <f t="shared" si="72"/>
        <v>236.1</v>
      </c>
      <c r="J227" s="1600">
        <f t="shared" si="71"/>
        <v>0</v>
      </c>
      <c r="K227" s="1619">
        <v>0</v>
      </c>
      <c r="L227" s="1619">
        <v>0</v>
      </c>
      <c r="M227" s="1619"/>
      <c r="N227" s="1619"/>
      <c r="O227" s="1619"/>
      <c r="P227" s="1619"/>
      <c r="Q227" s="1619"/>
      <c r="R227" s="1600"/>
      <c r="S227" s="1619"/>
      <c r="T227" s="1619"/>
      <c r="U227" s="1600"/>
      <c r="V227" s="1619"/>
      <c r="W227" s="1619"/>
      <c r="X227" s="1423"/>
      <c r="Y227" s="1423"/>
      <c r="Z227" s="1423"/>
      <c r="AA227" s="1423"/>
    </row>
    <row r="228" spans="1:27" ht="23.25">
      <c r="A228" s="2127"/>
      <c r="B228" s="1609" t="s">
        <v>1798</v>
      </c>
      <c r="C228" s="2128"/>
      <c r="D228" s="1602">
        <f>SUM(E228:F228)</f>
        <v>11307.5</v>
      </c>
      <c r="E228" s="1609">
        <v>10629.1</v>
      </c>
      <c r="F228" s="1609">
        <v>678.4</v>
      </c>
      <c r="G228" s="1600">
        <f>SUM(H228:I228)</f>
        <v>11307.5</v>
      </c>
      <c r="H228" s="1616">
        <f>E228</f>
        <v>10629.1</v>
      </c>
      <c r="I228" s="1616">
        <f>F228</f>
        <v>678.4</v>
      </c>
      <c r="J228" s="1600">
        <f>SUM(K228:L228)</f>
        <v>3222.8</v>
      </c>
      <c r="K228" s="1619">
        <v>3029.4</v>
      </c>
      <c r="L228" s="1619">
        <v>193.4</v>
      </c>
      <c r="M228" s="1619"/>
      <c r="N228" s="1619"/>
      <c r="O228" s="1619"/>
      <c r="P228" s="1619"/>
      <c r="Q228" s="1619"/>
      <c r="R228" s="1600"/>
      <c r="S228" s="1619"/>
      <c r="T228" s="1619"/>
      <c r="U228" s="1600"/>
      <c r="V228" s="1619"/>
      <c r="W228" s="1619"/>
      <c r="X228" s="1423"/>
      <c r="Y228" s="1423"/>
      <c r="Z228" s="1423"/>
      <c r="AA228" s="1423"/>
    </row>
    <row r="229" spans="1:27" ht="23.25">
      <c r="A229" s="2127"/>
      <c r="B229" s="1609" t="s">
        <v>1770</v>
      </c>
      <c r="C229" s="2128"/>
      <c r="D229" s="1602">
        <f t="shared" si="69"/>
        <v>1091.4000000000001</v>
      </c>
      <c r="E229" s="1609">
        <v>1025.9000000000001</v>
      </c>
      <c r="F229" s="1609">
        <v>65.5</v>
      </c>
      <c r="G229" s="1600">
        <f t="shared" si="70"/>
        <v>1091.4000000000001</v>
      </c>
      <c r="H229" s="1616">
        <f t="shared" si="72"/>
        <v>1025.9000000000001</v>
      </c>
      <c r="I229" s="1616">
        <f t="shared" si="72"/>
        <v>65.5</v>
      </c>
      <c r="J229" s="1600">
        <f t="shared" si="71"/>
        <v>939.4</v>
      </c>
      <c r="K229" s="1619">
        <v>883</v>
      </c>
      <c r="L229" s="1619">
        <v>56.4</v>
      </c>
      <c r="M229" s="1619"/>
      <c r="N229" s="1619"/>
      <c r="O229" s="1619"/>
      <c r="P229" s="1619"/>
      <c r="Q229" s="1619"/>
      <c r="R229" s="1600"/>
      <c r="S229" s="1619"/>
      <c r="T229" s="1619"/>
      <c r="U229" s="1600"/>
      <c r="V229" s="1619"/>
      <c r="W229" s="1619"/>
      <c r="X229" s="1423"/>
      <c r="Y229" s="1423"/>
      <c r="Z229" s="1423"/>
      <c r="AA229" s="1423"/>
    </row>
    <row r="230" spans="1:27" ht="57.75" customHeight="1">
      <c r="A230" s="2127">
        <f>A226+1</f>
        <v>60</v>
      </c>
      <c r="B230" s="1919" t="s">
        <v>1586</v>
      </c>
      <c r="C230" s="2128"/>
      <c r="D230" s="1602">
        <f t="shared" si="69"/>
        <v>4789.7</v>
      </c>
      <c r="E230" s="1609">
        <f>E231+E232+E233</f>
        <v>4502.3</v>
      </c>
      <c r="F230" s="1609">
        <f>F231+F232+F233</f>
        <v>287.39999999999998</v>
      </c>
      <c r="G230" s="1600">
        <f t="shared" si="70"/>
        <v>4789.7</v>
      </c>
      <c r="H230" s="1609">
        <f>H231+H232+H233</f>
        <v>4502.3</v>
      </c>
      <c r="I230" s="1609">
        <f>I231+I232+I233</f>
        <v>287.39999999999998</v>
      </c>
      <c r="J230" s="1602">
        <f t="shared" si="71"/>
        <v>34.700000000000003</v>
      </c>
      <c r="K230" s="1609">
        <f>K231+K232+K233</f>
        <v>32.6</v>
      </c>
      <c r="L230" s="1609">
        <f>L231+L232+L233</f>
        <v>2.1</v>
      </c>
      <c r="M230" s="1893">
        <f t="shared" si="46"/>
        <v>0.7</v>
      </c>
      <c r="N230" s="1893">
        <f t="shared" si="46"/>
        <v>0.7</v>
      </c>
      <c r="O230" s="1893">
        <f t="shared" si="46"/>
        <v>0.7</v>
      </c>
      <c r="P230" s="2124"/>
      <c r="Q230" s="2124"/>
      <c r="R230" s="1600">
        <f>S230+T230</f>
        <v>0</v>
      </c>
      <c r="S230" s="1619">
        <v>0</v>
      </c>
      <c r="T230" s="1619">
        <v>0</v>
      </c>
      <c r="U230" s="1600">
        <f>V230+W230</f>
        <v>0</v>
      </c>
      <c r="V230" s="1619">
        <v>0</v>
      </c>
      <c r="W230" s="1619">
        <v>0</v>
      </c>
      <c r="X230" s="1423">
        <f>D230-G230</f>
        <v>0</v>
      </c>
      <c r="Y230" s="1423"/>
      <c r="Z230" s="1423"/>
      <c r="AA230" s="1423"/>
    </row>
    <row r="231" spans="1:27" ht="23.25">
      <c r="A231" s="2127"/>
      <c r="B231" s="1609" t="s">
        <v>1620</v>
      </c>
      <c r="C231" s="2128"/>
      <c r="D231" s="1602">
        <f t="shared" si="69"/>
        <v>1226.9000000000001</v>
      </c>
      <c r="E231" s="1609">
        <v>1153.3</v>
      </c>
      <c r="F231" s="1609">
        <v>73.599999999999994</v>
      </c>
      <c r="G231" s="1600">
        <f t="shared" si="70"/>
        <v>1226.9000000000001</v>
      </c>
      <c r="H231" s="1616">
        <f t="shared" ref="H231:I233" si="73">E231</f>
        <v>1153.3</v>
      </c>
      <c r="I231" s="1616">
        <f t="shared" si="73"/>
        <v>73.599999999999994</v>
      </c>
      <c r="J231" s="1600">
        <f t="shared" si="71"/>
        <v>0</v>
      </c>
      <c r="K231" s="1619">
        <v>0</v>
      </c>
      <c r="L231" s="1619">
        <v>0</v>
      </c>
      <c r="M231" s="1619"/>
      <c r="N231" s="1619"/>
      <c r="O231" s="1619"/>
      <c r="P231" s="1619"/>
      <c r="Q231" s="1619"/>
      <c r="R231" s="1600"/>
      <c r="S231" s="1619"/>
      <c r="T231" s="1619"/>
      <c r="U231" s="1600"/>
      <c r="V231" s="1619"/>
      <c r="W231" s="1619"/>
      <c r="X231" s="1423"/>
      <c r="Y231" s="1423"/>
      <c r="Z231" s="1423"/>
      <c r="AA231" s="1423"/>
    </row>
    <row r="232" spans="1:27" ht="23.25">
      <c r="A232" s="2127"/>
      <c r="B232" s="1609" t="s">
        <v>1798</v>
      </c>
      <c r="C232" s="2128"/>
      <c r="D232" s="1602">
        <f>SUM(E232:F232)</f>
        <v>3542.8</v>
      </c>
      <c r="E232" s="1609">
        <v>3330.2</v>
      </c>
      <c r="F232" s="1609">
        <v>212.6</v>
      </c>
      <c r="G232" s="1600">
        <f>SUM(H232:I232)</f>
        <v>3542.8</v>
      </c>
      <c r="H232" s="1616">
        <f t="shared" si="73"/>
        <v>3330.2</v>
      </c>
      <c r="I232" s="1616">
        <f t="shared" si="73"/>
        <v>212.6</v>
      </c>
      <c r="J232" s="1600">
        <f>SUM(K232:L232)</f>
        <v>34.700000000000003</v>
      </c>
      <c r="K232" s="1619">
        <v>32.6</v>
      </c>
      <c r="L232" s="1619">
        <v>2.1</v>
      </c>
      <c r="M232" s="1619"/>
      <c r="N232" s="1619"/>
      <c r="O232" s="1619"/>
      <c r="P232" s="1619"/>
      <c r="Q232" s="1619"/>
      <c r="R232" s="1600"/>
      <c r="S232" s="1619"/>
      <c r="T232" s="1619"/>
      <c r="U232" s="1600"/>
      <c r="V232" s="1619"/>
      <c r="W232" s="1619"/>
      <c r="X232" s="1423"/>
      <c r="Y232" s="1423"/>
      <c r="Z232" s="1423"/>
      <c r="AA232" s="1423"/>
    </row>
    <row r="233" spans="1:27" ht="23.25">
      <c r="A233" s="2127"/>
      <c r="B233" s="1609" t="s">
        <v>1770</v>
      </c>
      <c r="C233" s="2128"/>
      <c r="D233" s="1602">
        <f t="shared" si="69"/>
        <v>20</v>
      </c>
      <c r="E233" s="1609">
        <v>18.8</v>
      </c>
      <c r="F233" s="1609">
        <v>1.2</v>
      </c>
      <c r="G233" s="1600">
        <f t="shared" si="70"/>
        <v>20</v>
      </c>
      <c r="H233" s="1616">
        <f t="shared" si="73"/>
        <v>18.8</v>
      </c>
      <c r="I233" s="1616">
        <f t="shared" si="73"/>
        <v>1.2</v>
      </c>
      <c r="J233" s="1600">
        <f t="shared" si="71"/>
        <v>0</v>
      </c>
      <c r="K233" s="1619"/>
      <c r="L233" s="1619"/>
      <c r="M233" s="1619"/>
      <c r="N233" s="1619"/>
      <c r="O233" s="1619"/>
      <c r="P233" s="1619"/>
      <c r="Q233" s="1619"/>
      <c r="R233" s="1600"/>
      <c r="S233" s="1619"/>
      <c r="T233" s="1619"/>
      <c r="U233" s="1600"/>
      <c r="V233" s="1619"/>
      <c r="W233" s="1619"/>
      <c r="X233" s="1423"/>
      <c r="Y233" s="1423"/>
      <c r="Z233" s="1423"/>
      <c r="AA233" s="1423"/>
    </row>
    <row r="234" spans="1:27" ht="81" customHeight="1">
      <c r="A234" s="2127">
        <f>A230+1</f>
        <v>61</v>
      </c>
      <c r="B234" s="1912" t="s">
        <v>1662</v>
      </c>
      <c r="C234" s="1880"/>
      <c r="D234" s="1602">
        <f t="shared" si="69"/>
        <v>21566.9</v>
      </c>
      <c r="E234" s="1616">
        <f>E235+E236</f>
        <v>20272.7</v>
      </c>
      <c r="F234" s="1616">
        <f>F235+F236</f>
        <v>1294.2</v>
      </c>
      <c r="G234" s="1602">
        <f t="shared" si="70"/>
        <v>21566.9</v>
      </c>
      <c r="H234" s="1616">
        <f>H235+H236</f>
        <v>20272.7</v>
      </c>
      <c r="I234" s="1616">
        <f>I235+I236</f>
        <v>1294.2</v>
      </c>
      <c r="J234" s="1602">
        <f t="shared" si="71"/>
        <v>4497</v>
      </c>
      <c r="K234" s="1616">
        <f>K235+K236</f>
        <v>4227.2</v>
      </c>
      <c r="L234" s="1616">
        <f>L235+L236</f>
        <v>269.8</v>
      </c>
      <c r="M234" s="1893">
        <f t="shared" si="46"/>
        <v>20.9</v>
      </c>
      <c r="N234" s="1894">
        <f t="shared" si="46"/>
        <v>20.9</v>
      </c>
      <c r="O234" s="1894">
        <f t="shared" si="46"/>
        <v>20.8</v>
      </c>
      <c r="P234" s="2124"/>
      <c r="Q234" s="2124"/>
      <c r="R234" s="1600">
        <f>S234+T234</f>
        <v>0</v>
      </c>
      <c r="S234" s="1619">
        <v>0</v>
      </c>
      <c r="T234" s="1619">
        <v>0</v>
      </c>
      <c r="U234" s="1600">
        <f>V234+W234</f>
        <v>0</v>
      </c>
      <c r="V234" s="1619">
        <v>0</v>
      </c>
      <c r="W234" s="1619">
        <v>0</v>
      </c>
      <c r="X234" s="1423">
        <f>D234-G234</f>
        <v>0</v>
      </c>
      <c r="Y234" s="1423"/>
      <c r="Z234" s="1423"/>
      <c r="AA234" s="1423"/>
    </row>
    <row r="235" spans="1:27" ht="23.25">
      <c r="A235" s="2127"/>
      <c r="B235" s="1609" t="s">
        <v>1620</v>
      </c>
      <c r="C235" s="2128"/>
      <c r="D235" s="1602">
        <f t="shared" si="69"/>
        <v>14615.1</v>
      </c>
      <c r="E235" s="1609">
        <v>13738.1</v>
      </c>
      <c r="F235" s="1609">
        <v>877</v>
      </c>
      <c r="G235" s="1600">
        <f t="shared" si="70"/>
        <v>14615.1</v>
      </c>
      <c r="H235" s="1616">
        <f>E235</f>
        <v>13738.1</v>
      </c>
      <c r="I235" s="1616">
        <f>F235</f>
        <v>877</v>
      </c>
      <c r="J235" s="1600">
        <f t="shared" si="71"/>
        <v>0</v>
      </c>
      <c r="K235" s="1619"/>
      <c r="L235" s="1619"/>
      <c r="M235" s="1619"/>
      <c r="N235" s="1619"/>
      <c r="O235" s="1619"/>
      <c r="P235" s="1619"/>
      <c r="Q235" s="1619"/>
      <c r="R235" s="1600"/>
      <c r="S235" s="1619"/>
      <c r="T235" s="1619"/>
      <c r="U235" s="1600"/>
      <c r="V235" s="1619"/>
      <c r="W235" s="1619"/>
      <c r="X235" s="1423"/>
      <c r="Y235" s="1423"/>
      <c r="Z235" s="1423"/>
      <c r="AA235" s="1423"/>
    </row>
    <row r="236" spans="1:27" ht="23.25">
      <c r="A236" s="2127"/>
      <c r="B236" s="1609" t="s">
        <v>1770</v>
      </c>
      <c r="C236" s="2128"/>
      <c r="D236" s="1602">
        <f t="shared" si="69"/>
        <v>6951.8</v>
      </c>
      <c r="E236" s="1609">
        <f>5138.2+1396.4</f>
        <v>6534.6</v>
      </c>
      <c r="F236" s="1609">
        <f>328+89.2</f>
        <v>417.2</v>
      </c>
      <c r="G236" s="1600">
        <f t="shared" si="70"/>
        <v>6951.8</v>
      </c>
      <c r="H236" s="1616">
        <f>E236</f>
        <v>6534.6</v>
      </c>
      <c r="I236" s="1616">
        <f>F236</f>
        <v>417.2</v>
      </c>
      <c r="J236" s="1600">
        <f t="shared" si="71"/>
        <v>4497</v>
      </c>
      <c r="K236" s="1619">
        <f>1090.159+3137.08</f>
        <v>4227.2</v>
      </c>
      <c r="L236" s="1619">
        <f>69.6+200.2</f>
        <v>269.8</v>
      </c>
      <c r="M236" s="1619"/>
      <c r="N236" s="1619"/>
      <c r="O236" s="1619"/>
      <c r="P236" s="1619"/>
      <c r="Q236" s="1619"/>
      <c r="R236" s="1600"/>
      <c r="S236" s="1619"/>
      <c r="T236" s="1619"/>
      <c r="U236" s="1600"/>
      <c r="V236" s="1619"/>
      <c r="W236" s="1619"/>
      <c r="X236" s="1423"/>
      <c r="Y236" s="1423"/>
      <c r="Z236" s="1423"/>
      <c r="AA236" s="1423"/>
    </row>
    <row r="237" spans="1:27" s="484" customFormat="1" ht="65.25" customHeight="1">
      <c r="A237" s="2127">
        <f>A234+1</f>
        <v>62</v>
      </c>
      <c r="B237" s="1920" t="s">
        <v>1437</v>
      </c>
      <c r="C237" s="1880" t="s">
        <v>1544</v>
      </c>
      <c r="D237" s="1602">
        <f t="shared" si="69"/>
        <v>114857</v>
      </c>
      <c r="E237" s="1616">
        <f>SUM(E238:E240)</f>
        <v>96866.8</v>
      </c>
      <c r="F237" s="1616">
        <f>SUM(F238:F240)</f>
        <v>17990.2</v>
      </c>
      <c r="G237" s="1600">
        <f t="shared" si="70"/>
        <v>114857</v>
      </c>
      <c r="H237" s="1616">
        <f>SUM(H238:H240)</f>
        <v>96866.8</v>
      </c>
      <c r="I237" s="1616">
        <f>SUM(I238:I240)</f>
        <v>17990.2</v>
      </c>
      <c r="J237" s="1602">
        <f t="shared" si="71"/>
        <v>96623.9</v>
      </c>
      <c r="K237" s="1616">
        <f>SUM(K238:K240)</f>
        <v>79728.600000000006</v>
      </c>
      <c r="L237" s="1616">
        <f>SUM(L238:L240)</f>
        <v>16895.3</v>
      </c>
      <c r="M237" s="1893">
        <f t="shared" si="46"/>
        <v>84.1</v>
      </c>
      <c r="N237" s="1894">
        <f t="shared" si="46"/>
        <v>82.3</v>
      </c>
      <c r="O237" s="1894">
        <f t="shared" si="46"/>
        <v>93.9</v>
      </c>
      <c r="P237" s="2124" t="s">
        <v>1293</v>
      </c>
      <c r="Q237" s="2124" t="s">
        <v>1101</v>
      </c>
      <c r="R237" s="1600">
        <f>S237+T237</f>
        <v>0</v>
      </c>
      <c r="S237" s="1608">
        <v>0</v>
      </c>
      <c r="T237" s="1608">
        <v>0</v>
      </c>
      <c r="U237" s="1600">
        <f>V237+W237</f>
        <v>0</v>
      </c>
      <c r="V237" s="1608">
        <v>0</v>
      </c>
      <c r="W237" s="1608">
        <v>0</v>
      </c>
      <c r="X237" s="1423">
        <f>D237-G237</f>
        <v>0</v>
      </c>
      <c r="Y237" s="1423"/>
      <c r="Z237" s="1423"/>
      <c r="AA237" s="1423"/>
    </row>
    <row r="238" spans="1:27" s="484" customFormat="1" ht="23.25">
      <c r="A238" s="2127"/>
      <c r="B238" s="1609" t="s">
        <v>1620</v>
      </c>
      <c r="C238" s="1880"/>
      <c r="D238" s="1602">
        <f t="shared" si="69"/>
        <v>74115.8</v>
      </c>
      <c r="E238" s="1616">
        <v>69668.800000000003</v>
      </c>
      <c r="F238" s="1616">
        <f>4447</f>
        <v>4447</v>
      </c>
      <c r="G238" s="1600">
        <f t="shared" si="70"/>
        <v>74115.8</v>
      </c>
      <c r="H238" s="1616">
        <f t="shared" ref="H238:I244" si="74">E238</f>
        <v>69668.800000000003</v>
      </c>
      <c r="I238" s="1616">
        <f t="shared" si="74"/>
        <v>4447</v>
      </c>
      <c r="J238" s="1600">
        <f t="shared" si="71"/>
        <v>71952.399999999994</v>
      </c>
      <c r="K238" s="1608">
        <v>67635.199999999997</v>
      </c>
      <c r="L238" s="1608">
        <v>4317.2</v>
      </c>
      <c r="M238" s="1921">
        <f t="shared" ref="M238:O328" si="75">IF(J238=0,0,J238/G238*100)</f>
        <v>97.1</v>
      </c>
      <c r="N238" s="1922">
        <f t="shared" si="75"/>
        <v>97.1</v>
      </c>
      <c r="O238" s="1922">
        <f t="shared" si="75"/>
        <v>97.1</v>
      </c>
      <c r="P238" s="2124"/>
      <c r="Q238" s="2124"/>
      <c r="R238" s="1600">
        <f t="shared" ref="R238:R248" si="76">S238+T238</f>
        <v>0</v>
      </c>
      <c r="S238" s="1608">
        <v>0</v>
      </c>
      <c r="T238" s="1608">
        <v>0</v>
      </c>
      <c r="U238" s="1600">
        <f>V238+W238</f>
        <v>0</v>
      </c>
      <c r="V238" s="1608">
        <v>0</v>
      </c>
      <c r="W238" s="1608">
        <v>0</v>
      </c>
      <c r="X238" s="1423">
        <f>D238-G238</f>
        <v>0</v>
      </c>
      <c r="Y238" s="1423"/>
      <c r="Z238" s="1423"/>
      <c r="AA238" s="1423"/>
    </row>
    <row r="239" spans="1:27" s="484" customFormat="1" ht="23.25">
      <c r="A239" s="2127"/>
      <c r="B239" s="1609" t="s">
        <v>1798</v>
      </c>
      <c r="C239" s="1880"/>
      <c r="D239" s="1602">
        <f>SUM(E239:F239)</f>
        <v>28934.400000000001</v>
      </c>
      <c r="E239" s="1616">
        <v>27198</v>
      </c>
      <c r="F239" s="1616">
        <v>1736.4</v>
      </c>
      <c r="G239" s="1600">
        <f>SUM(H239:I239)</f>
        <v>28934.400000000001</v>
      </c>
      <c r="H239" s="1616">
        <f>E239</f>
        <v>27198</v>
      </c>
      <c r="I239" s="1616">
        <f>F239</f>
        <v>1736.4</v>
      </c>
      <c r="J239" s="1600">
        <f>SUM(K239:L239)</f>
        <v>12865.5</v>
      </c>
      <c r="K239" s="1608">
        <v>12093.4</v>
      </c>
      <c r="L239" s="1608">
        <v>772.1</v>
      </c>
      <c r="M239" s="1921">
        <f>IF(J239=0,0,J239/G239*100)</f>
        <v>44.5</v>
      </c>
      <c r="N239" s="1922">
        <f>IF(K239=0,0,K239/H239*100)</f>
        <v>44.5</v>
      </c>
      <c r="O239" s="1922">
        <f>IF(L239=0,0,L239/I239*100)</f>
        <v>44.5</v>
      </c>
      <c r="P239" s="2124"/>
      <c r="Q239" s="2124"/>
      <c r="R239" s="1600"/>
      <c r="S239" s="1608"/>
      <c r="T239" s="1608"/>
      <c r="U239" s="1600"/>
      <c r="V239" s="1608"/>
      <c r="W239" s="1608"/>
      <c r="X239" s="1423"/>
      <c r="Y239" s="1423"/>
      <c r="Z239" s="1423"/>
      <c r="AA239" s="1423"/>
    </row>
    <row r="240" spans="1:27" s="484" customFormat="1" ht="23.25">
      <c r="A240" s="2127"/>
      <c r="B240" s="1609" t="s">
        <v>1621</v>
      </c>
      <c r="C240" s="1880"/>
      <c r="D240" s="1602">
        <f t="shared" si="69"/>
        <v>11806.8</v>
      </c>
      <c r="E240" s="1616"/>
      <c r="F240" s="1616">
        <v>11806.8</v>
      </c>
      <c r="G240" s="1600">
        <f t="shared" si="70"/>
        <v>11806.8</v>
      </c>
      <c r="H240" s="1616">
        <f t="shared" si="74"/>
        <v>0</v>
      </c>
      <c r="I240" s="1616">
        <v>11806.8</v>
      </c>
      <c r="J240" s="1600">
        <f t="shared" si="71"/>
        <v>11806</v>
      </c>
      <c r="K240" s="1608"/>
      <c r="L240" s="1608">
        <f>9181.4+2624.596</f>
        <v>11806</v>
      </c>
      <c r="M240" s="1921">
        <f t="shared" si="75"/>
        <v>100</v>
      </c>
      <c r="N240" s="1922">
        <f t="shared" si="75"/>
        <v>0</v>
      </c>
      <c r="O240" s="1922">
        <f t="shared" si="75"/>
        <v>100</v>
      </c>
      <c r="P240" s="2124"/>
      <c r="Q240" s="2124"/>
      <c r="R240" s="1600">
        <f t="shared" si="76"/>
        <v>0</v>
      </c>
      <c r="S240" s="1608">
        <v>0</v>
      </c>
      <c r="T240" s="1608">
        <v>0</v>
      </c>
      <c r="U240" s="1600">
        <f>V240+W240</f>
        <v>0</v>
      </c>
      <c r="V240" s="1608">
        <v>0</v>
      </c>
      <c r="W240" s="1608">
        <v>0</v>
      </c>
      <c r="X240" s="1423">
        <f>D240-G240</f>
        <v>0</v>
      </c>
      <c r="Y240" s="1423"/>
      <c r="Z240" s="1423"/>
      <c r="AA240" s="1423"/>
    </row>
    <row r="241" spans="1:27" ht="63" customHeight="1">
      <c r="A241" s="2127">
        <f>A237+1</f>
        <v>63</v>
      </c>
      <c r="B241" s="1912" t="s">
        <v>1441</v>
      </c>
      <c r="C241" s="1880" t="s">
        <v>1544</v>
      </c>
      <c r="D241" s="1602">
        <f t="shared" si="69"/>
        <v>79786.100000000006</v>
      </c>
      <c r="E241" s="1616">
        <f>E242+E243+E244</f>
        <v>74998.3</v>
      </c>
      <c r="F241" s="1616">
        <f>F242+F243+F244</f>
        <v>4787.8</v>
      </c>
      <c r="G241" s="1600">
        <f t="shared" si="70"/>
        <v>79786.100000000006</v>
      </c>
      <c r="H241" s="1616">
        <f>H242+H243+H244</f>
        <v>74998.3</v>
      </c>
      <c r="I241" s="1616">
        <f>I242+I243+I244</f>
        <v>4787.8</v>
      </c>
      <c r="J241" s="1602">
        <f t="shared" si="71"/>
        <v>20</v>
      </c>
      <c r="K241" s="1616">
        <f>K242+K243+K244</f>
        <v>18.8</v>
      </c>
      <c r="L241" s="1616">
        <f>L242+L243+L244</f>
        <v>1.2</v>
      </c>
      <c r="M241" s="1893">
        <f t="shared" si="75"/>
        <v>0</v>
      </c>
      <c r="N241" s="1894">
        <f t="shared" si="75"/>
        <v>0</v>
      </c>
      <c r="O241" s="1894">
        <f t="shared" si="75"/>
        <v>0</v>
      </c>
      <c r="P241" s="2124" t="s">
        <v>1192</v>
      </c>
      <c r="Q241" s="2124" t="s">
        <v>1663</v>
      </c>
      <c r="R241" s="1600">
        <f t="shared" si="76"/>
        <v>0</v>
      </c>
      <c r="S241" s="1614">
        <v>0</v>
      </c>
      <c r="T241" s="1614">
        <v>0</v>
      </c>
      <c r="U241" s="1600">
        <f>V241+W241</f>
        <v>0</v>
      </c>
      <c r="V241" s="1614">
        <v>0</v>
      </c>
      <c r="W241" s="1614">
        <v>0</v>
      </c>
      <c r="X241" s="1423">
        <f>D241-G241</f>
        <v>0</v>
      </c>
      <c r="Y241" s="1423"/>
      <c r="Z241" s="1423"/>
      <c r="AA241" s="1423"/>
    </row>
    <row r="242" spans="1:27" ht="23.25">
      <c r="A242" s="2127"/>
      <c r="B242" s="1609" t="s">
        <v>1620</v>
      </c>
      <c r="C242" s="2128"/>
      <c r="D242" s="1602">
        <f t="shared" si="69"/>
        <v>18682.400000000001</v>
      </c>
      <c r="E242" s="1609">
        <v>17561.3</v>
      </c>
      <c r="F242" s="1609">
        <v>1121.0999999999999</v>
      </c>
      <c r="G242" s="1600">
        <f t="shared" si="70"/>
        <v>18682.400000000001</v>
      </c>
      <c r="H242" s="1616">
        <f t="shared" si="74"/>
        <v>17561.3</v>
      </c>
      <c r="I242" s="1616">
        <f t="shared" si="74"/>
        <v>1121.0999999999999</v>
      </c>
      <c r="J242" s="1600">
        <f t="shared" si="71"/>
        <v>0</v>
      </c>
      <c r="K242" s="1619"/>
      <c r="L242" s="1619"/>
      <c r="M242" s="1893">
        <f t="shared" si="75"/>
        <v>0</v>
      </c>
      <c r="N242" s="1894">
        <f t="shared" si="75"/>
        <v>0</v>
      </c>
      <c r="O242" s="1894">
        <f t="shared" si="75"/>
        <v>0</v>
      </c>
      <c r="P242" s="1619"/>
      <c r="Q242" s="1619"/>
      <c r="R242" s="1600"/>
      <c r="S242" s="1619"/>
      <c r="T242" s="1619"/>
      <c r="U242" s="1600"/>
      <c r="V242" s="1619"/>
      <c r="W242" s="1619"/>
      <c r="X242" s="1423"/>
      <c r="Y242" s="1423"/>
      <c r="Z242" s="1423"/>
      <c r="AA242" s="1423"/>
    </row>
    <row r="243" spans="1:27" ht="23.25">
      <c r="A243" s="2127"/>
      <c r="B243" s="1609" t="s">
        <v>1798</v>
      </c>
      <c r="C243" s="2128"/>
      <c r="D243" s="1602">
        <f>SUM(E243:F243)</f>
        <v>61083.7</v>
      </c>
      <c r="E243" s="1609">
        <v>57418.2</v>
      </c>
      <c r="F243" s="1609">
        <v>3665.5</v>
      </c>
      <c r="G243" s="1600">
        <f>SUM(H243:I243)</f>
        <v>61083.7</v>
      </c>
      <c r="H243" s="1616">
        <f>E243</f>
        <v>57418.2</v>
      </c>
      <c r="I243" s="1616">
        <f>F243</f>
        <v>3665.5</v>
      </c>
      <c r="J243" s="1600">
        <f>SUM(K243:L243)</f>
        <v>0</v>
      </c>
      <c r="K243" s="1619"/>
      <c r="L243" s="1619"/>
      <c r="M243" s="1893">
        <f t="shared" si="75"/>
        <v>0</v>
      </c>
      <c r="N243" s="1894">
        <f t="shared" si="75"/>
        <v>0</v>
      </c>
      <c r="O243" s="1894">
        <f t="shared" si="75"/>
        <v>0</v>
      </c>
      <c r="P243" s="1619"/>
      <c r="Q243" s="1619"/>
      <c r="R243" s="1600"/>
      <c r="S243" s="1619"/>
      <c r="T243" s="1619"/>
      <c r="U243" s="1600"/>
      <c r="V243" s="1619"/>
      <c r="W243" s="1619"/>
      <c r="X243" s="1423"/>
      <c r="Y243" s="1423"/>
      <c r="Z243" s="1423"/>
      <c r="AA243" s="1423"/>
    </row>
    <row r="244" spans="1:27" ht="23.25">
      <c r="A244" s="2127"/>
      <c r="B244" s="1609" t="s">
        <v>1770</v>
      </c>
      <c r="C244" s="2128"/>
      <c r="D244" s="1602">
        <f t="shared" si="69"/>
        <v>20</v>
      </c>
      <c r="E244" s="1609">
        <v>18.8</v>
      </c>
      <c r="F244" s="1609">
        <v>1.2</v>
      </c>
      <c r="G244" s="1600">
        <f t="shared" si="70"/>
        <v>20</v>
      </c>
      <c r="H244" s="1616">
        <f t="shared" si="74"/>
        <v>18.8</v>
      </c>
      <c r="I244" s="1616">
        <f t="shared" si="74"/>
        <v>1.2</v>
      </c>
      <c r="J244" s="1600">
        <f t="shared" si="71"/>
        <v>20</v>
      </c>
      <c r="K244" s="1619">
        <f t="shared" ref="K244" si="77">3.6+15.2</f>
        <v>18.8</v>
      </c>
      <c r="L244" s="1619">
        <v>1.2</v>
      </c>
      <c r="M244" s="1893">
        <f t="shared" si="75"/>
        <v>100</v>
      </c>
      <c r="N244" s="1894">
        <f t="shared" si="75"/>
        <v>100</v>
      </c>
      <c r="O244" s="1894">
        <f t="shared" si="75"/>
        <v>100</v>
      </c>
      <c r="P244" s="1619"/>
      <c r="Q244" s="1619"/>
      <c r="R244" s="1600"/>
      <c r="S244" s="1619"/>
      <c r="T244" s="1619"/>
      <c r="U244" s="1600"/>
      <c r="V244" s="1619"/>
      <c r="W244" s="1619"/>
      <c r="X244" s="1423"/>
      <c r="Y244" s="1423"/>
      <c r="Z244" s="1423"/>
      <c r="AA244" s="1423"/>
    </row>
    <row r="245" spans="1:27" ht="58.5" customHeight="1">
      <c r="A245" s="2127">
        <f>A241+1</f>
        <v>64</v>
      </c>
      <c r="B245" s="1912" t="s">
        <v>1442</v>
      </c>
      <c r="C245" s="1880" t="s">
        <v>1544</v>
      </c>
      <c r="D245" s="1602">
        <f t="shared" si="69"/>
        <v>14406.9</v>
      </c>
      <c r="E245" s="1616">
        <f>E246+E247</f>
        <v>13542.4</v>
      </c>
      <c r="F245" s="1616">
        <f>F246+F247</f>
        <v>864.5</v>
      </c>
      <c r="G245" s="1600">
        <f t="shared" si="70"/>
        <v>14406.9</v>
      </c>
      <c r="H245" s="1616">
        <f>H246+H247</f>
        <v>13542.4</v>
      </c>
      <c r="I245" s="1616">
        <f>I246+I247</f>
        <v>864.5</v>
      </c>
      <c r="J245" s="1602">
        <f t="shared" si="71"/>
        <v>8267.5</v>
      </c>
      <c r="K245" s="1616">
        <f>K246+K247</f>
        <v>7771.4</v>
      </c>
      <c r="L245" s="1616">
        <f>L246+L247</f>
        <v>496.1</v>
      </c>
      <c r="M245" s="1893">
        <f t="shared" si="75"/>
        <v>57.4</v>
      </c>
      <c r="N245" s="1894">
        <f t="shared" si="75"/>
        <v>57.4</v>
      </c>
      <c r="O245" s="1894">
        <f t="shared" si="75"/>
        <v>57.4</v>
      </c>
      <c r="P245" s="2124" t="s">
        <v>1285</v>
      </c>
      <c r="Q245" s="2124" t="s">
        <v>1252</v>
      </c>
      <c r="R245" s="1600">
        <f t="shared" si="76"/>
        <v>0</v>
      </c>
      <c r="S245" s="1614">
        <v>0</v>
      </c>
      <c r="T245" s="1614">
        <v>0</v>
      </c>
      <c r="U245" s="1600">
        <f>V245+W245</f>
        <v>0</v>
      </c>
      <c r="V245" s="1614">
        <v>0</v>
      </c>
      <c r="W245" s="1614">
        <v>0</v>
      </c>
      <c r="X245" s="1423">
        <f>D245-G245</f>
        <v>0</v>
      </c>
      <c r="Y245" s="1423"/>
      <c r="Z245" s="1423"/>
      <c r="AA245" s="1423"/>
    </row>
    <row r="246" spans="1:27" ht="21.75" customHeight="1">
      <c r="A246" s="2127"/>
      <c r="B246" s="1609" t="s">
        <v>1620</v>
      </c>
      <c r="C246" s="2128"/>
      <c r="D246" s="1602">
        <f t="shared" si="69"/>
        <v>12956.3</v>
      </c>
      <c r="E246" s="1609">
        <v>12178.9</v>
      </c>
      <c r="F246" s="1609">
        <v>777.4</v>
      </c>
      <c r="G246" s="1600">
        <f t="shared" si="70"/>
        <v>12956.3</v>
      </c>
      <c r="H246" s="1616">
        <f>E246</f>
        <v>12178.9</v>
      </c>
      <c r="I246" s="1616">
        <f>F246</f>
        <v>777.4</v>
      </c>
      <c r="J246" s="1600">
        <f t="shared" si="71"/>
        <v>7716.3</v>
      </c>
      <c r="K246" s="1619">
        <v>7253.3</v>
      </c>
      <c r="L246" s="1619">
        <v>463</v>
      </c>
      <c r="M246" s="1619">
        <f t="shared" si="75"/>
        <v>59.6</v>
      </c>
      <c r="N246" s="1619">
        <f t="shared" si="75"/>
        <v>59.6</v>
      </c>
      <c r="O246" s="1619">
        <f t="shared" si="75"/>
        <v>59.6</v>
      </c>
      <c r="P246" s="2124"/>
      <c r="Q246" s="2124"/>
      <c r="R246" s="1600"/>
      <c r="S246" s="1619"/>
      <c r="T246" s="1619"/>
      <c r="U246" s="1600"/>
      <c r="V246" s="1619"/>
      <c r="W246" s="1619"/>
      <c r="X246" s="1423">
        <f>D246-G246</f>
        <v>0</v>
      </c>
      <c r="Y246" s="1423"/>
      <c r="Z246" s="1423"/>
      <c r="AA246" s="1423"/>
    </row>
    <row r="247" spans="1:27" ht="26.25" customHeight="1">
      <c r="A247" s="2127"/>
      <c r="B247" s="1609" t="s">
        <v>1770</v>
      </c>
      <c r="C247" s="2128"/>
      <c r="D247" s="1602">
        <f t="shared" si="69"/>
        <v>1450.6</v>
      </c>
      <c r="E247" s="1609">
        <v>1363.5</v>
      </c>
      <c r="F247" s="1609">
        <v>87.1</v>
      </c>
      <c r="G247" s="1600">
        <f t="shared" si="70"/>
        <v>1450.6</v>
      </c>
      <c r="H247" s="1616">
        <f>E247</f>
        <v>1363.5</v>
      </c>
      <c r="I247" s="1616">
        <f>F247</f>
        <v>87.1</v>
      </c>
      <c r="J247" s="1600">
        <f t="shared" si="71"/>
        <v>551.20000000000005</v>
      </c>
      <c r="K247" s="1619">
        <v>518.1</v>
      </c>
      <c r="L247" s="1619">
        <v>33.1</v>
      </c>
      <c r="M247" s="1619">
        <f t="shared" si="75"/>
        <v>38</v>
      </c>
      <c r="N247" s="1619">
        <f t="shared" si="75"/>
        <v>38</v>
      </c>
      <c r="O247" s="1619">
        <f t="shared" si="75"/>
        <v>38</v>
      </c>
      <c r="P247" s="2124"/>
      <c r="Q247" s="2124"/>
      <c r="R247" s="1600"/>
      <c r="S247" s="1619"/>
      <c r="T247" s="1619"/>
      <c r="U247" s="1600"/>
      <c r="V247" s="1619"/>
      <c r="W247" s="1619"/>
      <c r="X247" s="1423">
        <f>D247-G247</f>
        <v>0</v>
      </c>
      <c r="Y247" s="1423"/>
      <c r="Z247" s="1423"/>
      <c r="AA247" s="1423"/>
    </row>
    <row r="248" spans="1:27" ht="23.25" customHeight="1">
      <c r="A248" s="2127">
        <f>A245+1</f>
        <v>65</v>
      </c>
      <c r="B248" s="1883" t="s">
        <v>1587</v>
      </c>
      <c r="C248" s="1880"/>
      <c r="D248" s="1602">
        <f t="shared" ref="D248:D282" si="78">SUM(E248:F248)</f>
        <v>37898.1</v>
      </c>
      <c r="E248" s="1616">
        <f>E249+E250</f>
        <v>2403.9</v>
      </c>
      <c r="F248" s="1616">
        <f>F249+F250</f>
        <v>35494.199999999997</v>
      </c>
      <c r="G248" s="1600">
        <f t="shared" ref="G248:G270" si="79">SUM(H248:I248)</f>
        <v>37898.1</v>
      </c>
      <c r="H248" s="1616">
        <f>H249+H250</f>
        <v>2403.9</v>
      </c>
      <c r="I248" s="1616">
        <f>I249+I250</f>
        <v>35494.199999999997</v>
      </c>
      <c r="J248" s="1602">
        <f t="shared" si="71"/>
        <v>11297.6</v>
      </c>
      <c r="K248" s="1608">
        <f>K249+K250</f>
        <v>38.1</v>
      </c>
      <c r="L248" s="1616">
        <f>L249+L250</f>
        <v>11259.5</v>
      </c>
      <c r="M248" s="1604">
        <f t="shared" si="75"/>
        <v>29.8</v>
      </c>
      <c r="N248" s="1881">
        <f t="shared" si="75"/>
        <v>1.6</v>
      </c>
      <c r="O248" s="1881">
        <f t="shared" si="75"/>
        <v>31.7</v>
      </c>
      <c r="P248" s="2124"/>
      <c r="Q248" s="2124"/>
      <c r="R248" s="1600">
        <f t="shared" si="76"/>
        <v>0</v>
      </c>
      <c r="S248" s="1614">
        <v>0</v>
      </c>
      <c r="T248" s="1614">
        <v>0</v>
      </c>
      <c r="U248" s="1600">
        <f>V248+W248</f>
        <v>0</v>
      </c>
      <c r="V248" s="1614">
        <v>0</v>
      </c>
      <c r="W248" s="1614">
        <v>0</v>
      </c>
      <c r="X248" s="1423">
        <f>D248-G248</f>
        <v>0</v>
      </c>
      <c r="Y248" s="1423"/>
      <c r="Z248" s="1423"/>
      <c r="AA248" s="1423"/>
    </row>
    <row r="249" spans="1:27" ht="26.25" customHeight="1">
      <c r="A249" s="2127"/>
      <c r="B249" s="1609" t="s">
        <v>1770</v>
      </c>
      <c r="C249" s="2128"/>
      <c r="D249" s="1602">
        <f t="shared" si="78"/>
        <v>2557.4</v>
      </c>
      <c r="E249" s="1609">
        <v>2403.9</v>
      </c>
      <c r="F249" s="1609">
        <v>153.5</v>
      </c>
      <c r="G249" s="1600">
        <f t="shared" si="79"/>
        <v>2557.4</v>
      </c>
      <c r="H249" s="1616">
        <f>E249</f>
        <v>2403.9</v>
      </c>
      <c r="I249" s="1616">
        <f>F249</f>
        <v>153.5</v>
      </c>
      <c r="J249" s="1600">
        <f t="shared" ref="J249:J297" si="80">SUM(K249:L249)</f>
        <v>40.5</v>
      </c>
      <c r="K249" s="1619">
        <v>38.1</v>
      </c>
      <c r="L249" s="1619">
        <f>2.2+0.2</f>
        <v>2.4</v>
      </c>
      <c r="M249" s="1619">
        <f>IF(J249=0,0,J249/G249*100)</f>
        <v>1.6</v>
      </c>
      <c r="N249" s="1619">
        <f>IF(K249=0,0,K249/H249*100)</f>
        <v>1.6</v>
      </c>
      <c r="O249" s="1619">
        <f>IF(L249=0,0,L249/I249*100)</f>
        <v>1.6</v>
      </c>
      <c r="P249" s="2124"/>
      <c r="Q249" s="2124"/>
      <c r="R249" s="1600"/>
      <c r="S249" s="1619"/>
      <c r="T249" s="1619"/>
      <c r="U249" s="1600"/>
      <c r="V249" s="1619"/>
      <c r="W249" s="1619"/>
      <c r="X249" s="1423">
        <f>D249-G249</f>
        <v>0</v>
      </c>
      <c r="Y249" s="1423"/>
      <c r="Z249" s="1423"/>
      <c r="AA249" s="1423"/>
    </row>
    <row r="250" spans="1:27" s="484" customFormat="1" ht="23.25">
      <c r="A250" s="2127"/>
      <c r="B250" s="1609" t="s">
        <v>1621</v>
      </c>
      <c r="C250" s="2128"/>
      <c r="D250" s="1602">
        <f t="shared" si="78"/>
        <v>35340.699999999997</v>
      </c>
      <c r="E250" s="1616"/>
      <c r="F250" s="1616">
        <v>35340.699999999997</v>
      </c>
      <c r="G250" s="1600">
        <f t="shared" si="79"/>
        <v>35340.699999999997</v>
      </c>
      <c r="H250" s="1616">
        <f>E250</f>
        <v>0</v>
      </c>
      <c r="I250" s="1616">
        <f>F250</f>
        <v>35340.699999999997</v>
      </c>
      <c r="J250" s="1600">
        <f t="shared" si="80"/>
        <v>11257.1</v>
      </c>
      <c r="K250" s="1608"/>
      <c r="L250" s="1608">
        <f>9954.9+30.94+1271.296</f>
        <v>11257.1</v>
      </c>
      <c r="M250" s="1604">
        <f t="shared" si="75"/>
        <v>31.9</v>
      </c>
      <c r="N250" s="1907">
        <f t="shared" si="75"/>
        <v>0</v>
      </c>
      <c r="O250" s="1907">
        <f t="shared" si="75"/>
        <v>31.9</v>
      </c>
      <c r="P250" s="2124"/>
      <c r="Q250" s="2124"/>
      <c r="R250" s="1600">
        <f>S250+T250</f>
        <v>0</v>
      </c>
      <c r="S250" s="1608">
        <v>0</v>
      </c>
      <c r="T250" s="1608">
        <v>0</v>
      </c>
      <c r="U250" s="1600">
        <f>V250+W250</f>
        <v>0</v>
      </c>
      <c r="V250" s="1608">
        <v>0</v>
      </c>
      <c r="W250" s="1608">
        <v>0</v>
      </c>
      <c r="X250" s="1423">
        <f t="shared" ref="X250:X271" si="81">D250-G250</f>
        <v>0</v>
      </c>
      <c r="Y250" s="1423"/>
      <c r="Z250" s="1423"/>
      <c r="AA250" s="1423"/>
    </row>
    <row r="251" spans="1:27" s="484" customFormat="1" ht="46.5" customHeight="1">
      <c r="A251" s="1866">
        <f>A248+1</f>
        <v>66</v>
      </c>
      <c r="B251" s="1905" t="s">
        <v>1591</v>
      </c>
      <c r="C251" s="1906"/>
      <c r="D251" s="1600">
        <f t="shared" si="78"/>
        <v>304.60000000000002</v>
      </c>
      <c r="E251" s="1608">
        <f>E252+E253</f>
        <v>147.6</v>
      </c>
      <c r="F251" s="1608">
        <f>F252+F253</f>
        <v>157</v>
      </c>
      <c r="G251" s="1600">
        <f t="shared" si="79"/>
        <v>304.60000000000002</v>
      </c>
      <c r="H251" s="1608">
        <f>H252+H253</f>
        <v>147.6</v>
      </c>
      <c r="I251" s="1608">
        <f>I252+I253</f>
        <v>157</v>
      </c>
      <c r="J251" s="1600">
        <f t="shared" si="80"/>
        <v>157</v>
      </c>
      <c r="K251" s="1608">
        <f>K252+K253</f>
        <v>0</v>
      </c>
      <c r="L251" s="1608">
        <f>L252+L253</f>
        <v>157</v>
      </c>
      <c r="M251" s="1893">
        <f t="shared" si="75"/>
        <v>51.5</v>
      </c>
      <c r="N251" s="1894">
        <f t="shared" si="75"/>
        <v>0</v>
      </c>
      <c r="O251" s="1894">
        <f t="shared" si="75"/>
        <v>100</v>
      </c>
      <c r="P251" s="2124"/>
      <c r="Q251" s="2124"/>
      <c r="R251" s="1600"/>
      <c r="S251" s="1608"/>
      <c r="T251" s="1608"/>
      <c r="U251" s="1600"/>
      <c r="V251" s="1608"/>
      <c r="W251" s="1608"/>
      <c r="X251" s="1423">
        <f t="shared" si="81"/>
        <v>0</v>
      </c>
      <c r="Y251" s="1423"/>
      <c r="Z251" s="1423"/>
      <c r="AA251" s="1423"/>
    </row>
    <row r="252" spans="1:27" s="484" customFormat="1" ht="24" customHeight="1">
      <c r="A252" s="2127"/>
      <c r="B252" s="1609" t="s">
        <v>1770</v>
      </c>
      <c r="C252" s="2128"/>
      <c r="D252" s="1602">
        <f t="shared" si="78"/>
        <v>147.6</v>
      </c>
      <c r="E252" s="1616">
        <v>147.6</v>
      </c>
      <c r="F252" s="2145"/>
      <c r="G252" s="1600">
        <f t="shared" si="79"/>
        <v>147.6</v>
      </c>
      <c r="H252" s="1616">
        <f>E252</f>
        <v>147.6</v>
      </c>
      <c r="I252" s="1616">
        <f>F252</f>
        <v>0</v>
      </c>
      <c r="J252" s="1600">
        <f t="shared" si="80"/>
        <v>0</v>
      </c>
      <c r="K252" s="1608"/>
      <c r="L252" s="1608"/>
      <c r="M252" s="1604">
        <f t="shared" si="75"/>
        <v>0</v>
      </c>
      <c r="N252" s="1881">
        <f t="shared" si="75"/>
        <v>0</v>
      </c>
      <c r="O252" s="1881">
        <f t="shared" si="75"/>
        <v>0</v>
      </c>
      <c r="P252" s="2124"/>
      <c r="Q252" s="2124"/>
      <c r="R252" s="1600"/>
      <c r="S252" s="1608"/>
      <c r="T252" s="1608"/>
      <c r="U252" s="1600"/>
      <c r="V252" s="1608"/>
      <c r="W252" s="1608"/>
      <c r="X252" s="1423">
        <f t="shared" si="81"/>
        <v>0</v>
      </c>
      <c r="Y252" s="1423">
        <v>9.5</v>
      </c>
      <c r="Z252" s="1423"/>
      <c r="AA252" s="1423"/>
    </row>
    <row r="253" spans="1:27" s="484" customFormat="1" ht="27" customHeight="1">
      <c r="A253" s="2127"/>
      <c r="B253" s="1609" t="s">
        <v>1621</v>
      </c>
      <c r="C253" s="2128"/>
      <c r="D253" s="1602">
        <f t="shared" si="78"/>
        <v>157</v>
      </c>
      <c r="E253" s="1616">
        <v>0</v>
      </c>
      <c r="F253" s="1616">
        <v>157</v>
      </c>
      <c r="G253" s="1600">
        <f t="shared" si="79"/>
        <v>157</v>
      </c>
      <c r="H253" s="1616">
        <f>E253</f>
        <v>0</v>
      </c>
      <c r="I253" s="1616">
        <f>F253</f>
        <v>157</v>
      </c>
      <c r="J253" s="1600">
        <f t="shared" si="80"/>
        <v>157</v>
      </c>
      <c r="K253" s="1608"/>
      <c r="L253" s="1608">
        <v>157</v>
      </c>
      <c r="M253" s="1604">
        <f t="shared" si="75"/>
        <v>100</v>
      </c>
      <c r="N253" s="1881">
        <f t="shared" si="75"/>
        <v>0</v>
      </c>
      <c r="O253" s="1881">
        <f t="shared" si="75"/>
        <v>100</v>
      </c>
      <c r="P253" s="2124"/>
      <c r="Q253" s="2124"/>
      <c r="R253" s="1600"/>
      <c r="S253" s="1608"/>
      <c r="T253" s="1608"/>
      <c r="U253" s="1600"/>
      <c r="V253" s="1608"/>
      <c r="W253" s="1608"/>
      <c r="X253" s="1423">
        <f t="shared" si="81"/>
        <v>0</v>
      </c>
      <c r="Y253" s="1423"/>
      <c r="Z253" s="1423"/>
      <c r="AA253" s="1423"/>
    </row>
    <row r="254" spans="1:27" s="1607" customFormat="1" ht="61.5" customHeight="1">
      <c r="A254" s="2127">
        <f>A251+1</f>
        <v>67</v>
      </c>
      <c r="B254" s="1914" t="s">
        <v>1600</v>
      </c>
      <c r="C254" s="2127"/>
      <c r="D254" s="1602">
        <f t="shared" si="78"/>
        <v>160.1</v>
      </c>
      <c r="E254" s="1616">
        <f>E255+E256</f>
        <v>150.4</v>
      </c>
      <c r="F254" s="1616">
        <f>F255+F256</f>
        <v>9.6999999999999993</v>
      </c>
      <c r="G254" s="1600">
        <f t="shared" si="79"/>
        <v>160.1</v>
      </c>
      <c r="H254" s="1608">
        <f>H255+H256</f>
        <v>150.4</v>
      </c>
      <c r="I254" s="1608">
        <f>I255+I256</f>
        <v>9.6999999999999993</v>
      </c>
      <c r="J254" s="1602">
        <f t="shared" si="80"/>
        <v>0</v>
      </c>
      <c r="K254" s="1616">
        <f>K255+K256</f>
        <v>0</v>
      </c>
      <c r="L254" s="1616">
        <f>L255+L256</f>
        <v>0</v>
      </c>
      <c r="M254" s="1608">
        <f>M255+M256</f>
        <v>0</v>
      </c>
      <c r="N254" s="1881">
        <f t="shared" si="75"/>
        <v>0</v>
      </c>
      <c r="O254" s="1881">
        <f t="shared" si="75"/>
        <v>0</v>
      </c>
      <c r="P254" s="2124"/>
      <c r="Q254" s="2124"/>
      <c r="R254" s="1600">
        <f>S254+T254</f>
        <v>0</v>
      </c>
      <c r="S254" s="1608">
        <v>0</v>
      </c>
      <c r="T254" s="1608">
        <v>0</v>
      </c>
      <c r="U254" s="1600">
        <f>V254+W254</f>
        <v>0</v>
      </c>
      <c r="V254" s="1608">
        <v>0</v>
      </c>
      <c r="W254" s="1608">
        <v>0</v>
      </c>
      <c r="X254" s="1423">
        <f t="shared" si="81"/>
        <v>0</v>
      </c>
      <c r="Y254" s="1423"/>
      <c r="Z254" s="1423"/>
      <c r="AA254" s="1423"/>
    </row>
    <row r="255" spans="1:27" ht="19.5" customHeight="1">
      <c r="A255" s="2127"/>
      <c r="B255" s="1609" t="s">
        <v>1620</v>
      </c>
      <c r="C255" s="2128"/>
      <c r="D255" s="1602">
        <f t="shared" si="78"/>
        <v>0</v>
      </c>
      <c r="E255" s="1609">
        <v>0</v>
      </c>
      <c r="F255" s="1609">
        <v>0</v>
      </c>
      <c r="G255" s="1600">
        <f t="shared" si="79"/>
        <v>0</v>
      </c>
      <c r="H255" s="1616">
        <f>E255</f>
        <v>0</v>
      </c>
      <c r="I255" s="1616">
        <f>F255</f>
        <v>0</v>
      </c>
      <c r="J255" s="1600">
        <f t="shared" si="80"/>
        <v>0</v>
      </c>
      <c r="K255" s="1619"/>
      <c r="L255" s="1619"/>
      <c r="M255" s="1619">
        <f t="shared" ref="M255:O256" si="82">IF(J255=0,0,J255/G255*100)</f>
        <v>0</v>
      </c>
      <c r="N255" s="1619">
        <f t="shared" si="82"/>
        <v>0</v>
      </c>
      <c r="O255" s="1619">
        <f t="shared" si="82"/>
        <v>0</v>
      </c>
      <c r="P255" s="2124"/>
      <c r="Q255" s="2124"/>
      <c r="R255" s="1600"/>
      <c r="S255" s="1619"/>
      <c r="T255" s="1619"/>
      <c r="U255" s="1600"/>
      <c r="V255" s="1619"/>
      <c r="W255" s="1619"/>
      <c r="X255" s="1423">
        <f t="shared" si="81"/>
        <v>0</v>
      </c>
      <c r="Y255" s="1423"/>
      <c r="Z255" s="1423"/>
      <c r="AA255" s="1423"/>
    </row>
    <row r="256" spans="1:27" ht="26.25" customHeight="1">
      <c r="A256" s="2127"/>
      <c r="B256" s="1609" t="s">
        <v>1770</v>
      </c>
      <c r="C256" s="2128"/>
      <c r="D256" s="1602">
        <f t="shared" si="78"/>
        <v>160.1</v>
      </c>
      <c r="E256" s="1609">
        <v>150.4</v>
      </c>
      <c r="F256" s="1609">
        <v>9.6999999999999993</v>
      </c>
      <c r="G256" s="1600">
        <f t="shared" si="79"/>
        <v>160.1</v>
      </c>
      <c r="H256" s="1616">
        <f>E256</f>
        <v>150.4</v>
      </c>
      <c r="I256" s="1616">
        <f>F256</f>
        <v>9.6999999999999993</v>
      </c>
      <c r="J256" s="1600">
        <f t="shared" si="80"/>
        <v>0</v>
      </c>
      <c r="K256" s="1619"/>
      <c r="L256" s="1619"/>
      <c r="M256" s="1619">
        <f t="shared" si="82"/>
        <v>0</v>
      </c>
      <c r="N256" s="1619">
        <f t="shared" si="82"/>
        <v>0</v>
      </c>
      <c r="O256" s="1619">
        <f t="shared" si="82"/>
        <v>0</v>
      </c>
      <c r="P256" s="2124"/>
      <c r="Q256" s="2124"/>
      <c r="R256" s="1600"/>
      <c r="S256" s="1619"/>
      <c r="T256" s="1619"/>
      <c r="U256" s="1600"/>
      <c r="V256" s="1619"/>
      <c r="W256" s="1619"/>
      <c r="X256" s="1423">
        <f t="shared" si="81"/>
        <v>0</v>
      </c>
      <c r="Y256" s="1423"/>
      <c r="Z256" s="1423"/>
      <c r="AA256" s="1423"/>
    </row>
    <row r="257" spans="1:27" s="484" customFormat="1" ht="54" customHeight="1">
      <c r="A257" s="2127">
        <f>A254+1</f>
        <v>68</v>
      </c>
      <c r="B257" s="1914" t="s">
        <v>776</v>
      </c>
      <c r="C257" s="2127" t="s">
        <v>1545</v>
      </c>
      <c r="D257" s="1602">
        <f t="shared" si="78"/>
        <v>179059.7</v>
      </c>
      <c r="E257" s="1615">
        <f>E258+E259</f>
        <v>166418.20000000001</v>
      </c>
      <c r="F257" s="1615">
        <f>F258+F259</f>
        <v>12641.5</v>
      </c>
      <c r="G257" s="1600">
        <f t="shared" si="79"/>
        <v>179059.7</v>
      </c>
      <c r="H257" s="1614">
        <f>H258+H259</f>
        <v>166418.20000000001</v>
      </c>
      <c r="I257" s="1614">
        <f>I258+I259</f>
        <v>12641.5</v>
      </c>
      <c r="J257" s="1602">
        <f t="shared" si="80"/>
        <v>72080.7</v>
      </c>
      <c r="K257" s="1614">
        <f>K258+K259</f>
        <v>66752</v>
      </c>
      <c r="L257" s="1615">
        <f>L258+L259</f>
        <v>5328.7</v>
      </c>
      <c r="M257" s="1893">
        <f t="shared" si="75"/>
        <v>40.299999999999997</v>
      </c>
      <c r="N257" s="1894">
        <f t="shared" si="75"/>
        <v>40.1</v>
      </c>
      <c r="O257" s="1894">
        <f t="shared" si="75"/>
        <v>42.2</v>
      </c>
      <c r="P257" s="2124" t="s">
        <v>1272</v>
      </c>
      <c r="Q257" s="2124" t="s">
        <v>1273</v>
      </c>
      <c r="R257" s="1600">
        <f>S257+T257</f>
        <v>0</v>
      </c>
      <c r="S257" s="1608">
        <v>0</v>
      </c>
      <c r="T257" s="1608">
        <v>0</v>
      </c>
      <c r="U257" s="1600">
        <f>V257+W257</f>
        <v>0</v>
      </c>
      <c r="V257" s="1608">
        <v>0</v>
      </c>
      <c r="W257" s="1608">
        <v>0</v>
      </c>
      <c r="X257" s="1423">
        <f t="shared" si="81"/>
        <v>0</v>
      </c>
      <c r="Y257" s="1423"/>
      <c r="Z257" s="1423"/>
      <c r="AA257" s="1423"/>
    </row>
    <row r="258" spans="1:27" s="484" customFormat="1" ht="28.5" customHeight="1">
      <c r="A258" s="2127"/>
      <c r="B258" s="1609" t="s">
        <v>1620</v>
      </c>
      <c r="C258" s="2127"/>
      <c r="D258" s="1602">
        <f t="shared" si="78"/>
        <v>177040.7</v>
      </c>
      <c r="E258" s="1615">
        <v>166418.20000000001</v>
      </c>
      <c r="F258" s="1615">
        <v>10622.5</v>
      </c>
      <c r="G258" s="1600">
        <f t="shared" si="79"/>
        <v>177040.7</v>
      </c>
      <c r="H258" s="1616">
        <f>E258</f>
        <v>166418.20000000001</v>
      </c>
      <c r="I258" s="1616">
        <f>F258</f>
        <v>10622.5</v>
      </c>
      <c r="J258" s="1600">
        <f t="shared" si="80"/>
        <v>71012.800000000003</v>
      </c>
      <c r="K258" s="1614">
        <v>66752</v>
      </c>
      <c r="L258" s="1614">
        <v>4260.8</v>
      </c>
      <c r="M258" s="1893">
        <f t="shared" si="75"/>
        <v>40.1</v>
      </c>
      <c r="N258" s="1894">
        <f t="shared" si="75"/>
        <v>40.1</v>
      </c>
      <c r="O258" s="1894">
        <f t="shared" si="75"/>
        <v>40.1</v>
      </c>
      <c r="P258" s="2124"/>
      <c r="Q258" s="2124"/>
      <c r="R258" s="1600"/>
      <c r="S258" s="1608"/>
      <c r="T258" s="1608"/>
      <c r="U258" s="1600"/>
      <c r="V258" s="1608"/>
      <c r="W258" s="1608"/>
      <c r="X258" s="1423">
        <f t="shared" si="81"/>
        <v>0</v>
      </c>
      <c r="Y258" s="1423"/>
      <c r="Z258" s="1423"/>
      <c r="AA258" s="1423"/>
    </row>
    <row r="259" spans="1:27" s="484" customFormat="1" ht="29.25" customHeight="1">
      <c r="A259" s="2127"/>
      <c r="B259" s="1609" t="s">
        <v>1621</v>
      </c>
      <c r="C259" s="2127"/>
      <c r="D259" s="1602">
        <f t="shared" si="78"/>
        <v>2019</v>
      </c>
      <c r="E259" s="1616">
        <v>0</v>
      </c>
      <c r="F259" s="1616">
        <v>2019</v>
      </c>
      <c r="G259" s="1600">
        <f t="shared" si="79"/>
        <v>2019</v>
      </c>
      <c r="H259" s="1616">
        <f>E259</f>
        <v>0</v>
      </c>
      <c r="I259" s="1616">
        <f>F259</f>
        <v>2019</v>
      </c>
      <c r="J259" s="1600">
        <f t="shared" si="80"/>
        <v>1067.9000000000001</v>
      </c>
      <c r="K259" s="1608"/>
      <c r="L259" s="1608">
        <v>1067.9000000000001</v>
      </c>
      <c r="M259" s="1604">
        <f t="shared" si="75"/>
        <v>52.9</v>
      </c>
      <c r="N259" s="1881">
        <f t="shared" si="75"/>
        <v>0</v>
      </c>
      <c r="O259" s="1881">
        <f t="shared" si="75"/>
        <v>52.9</v>
      </c>
      <c r="P259" s="2124"/>
      <c r="Q259" s="2124"/>
      <c r="R259" s="1600"/>
      <c r="S259" s="1608"/>
      <c r="T259" s="1608"/>
      <c r="U259" s="1600"/>
      <c r="V259" s="1608"/>
      <c r="W259" s="1608"/>
      <c r="X259" s="1423">
        <f t="shared" si="81"/>
        <v>0</v>
      </c>
      <c r="Y259" s="1423"/>
      <c r="Z259" s="1423"/>
      <c r="AA259" s="1423"/>
    </row>
    <row r="260" spans="1:27" ht="50.25" customHeight="1">
      <c r="A260" s="2127">
        <f>A257+1</f>
        <v>69</v>
      </c>
      <c r="B260" s="1888" t="s">
        <v>1595</v>
      </c>
      <c r="C260" s="2127"/>
      <c r="D260" s="1602">
        <f t="shared" si="78"/>
        <v>104514.6</v>
      </c>
      <c r="E260" s="1615">
        <f>E261+E263+E262</f>
        <v>98242.7</v>
      </c>
      <c r="F260" s="1615">
        <f>F261+F263+F262</f>
        <v>6271.9</v>
      </c>
      <c r="G260" s="1600">
        <f t="shared" si="79"/>
        <v>104514.6</v>
      </c>
      <c r="H260" s="1615">
        <f>H261+H263+H262</f>
        <v>98242.7</v>
      </c>
      <c r="I260" s="1615">
        <f>I261+I263+I262</f>
        <v>6271.9</v>
      </c>
      <c r="J260" s="1602">
        <f t="shared" si="80"/>
        <v>97982.6</v>
      </c>
      <c r="K260" s="1615">
        <f>K261+K263+K262</f>
        <v>92102.7</v>
      </c>
      <c r="L260" s="1615">
        <f>L261+L263+L262</f>
        <v>5879.9</v>
      </c>
      <c r="M260" s="1893">
        <f t="shared" si="75"/>
        <v>93.8</v>
      </c>
      <c r="N260" s="1894">
        <f t="shared" si="75"/>
        <v>93.8</v>
      </c>
      <c r="O260" s="1894">
        <f t="shared" si="75"/>
        <v>93.7</v>
      </c>
      <c r="P260" s="2124"/>
      <c r="Q260" s="2124"/>
      <c r="R260" s="1600">
        <f>S260+T260</f>
        <v>0</v>
      </c>
      <c r="S260" s="1608">
        <v>0</v>
      </c>
      <c r="T260" s="1608">
        <v>0</v>
      </c>
      <c r="U260" s="1600">
        <f>V260+W260</f>
        <v>0</v>
      </c>
      <c r="V260" s="1608">
        <v>0</v>
      </c>
      <c r="W260" s="1608">
        <v>0</v>
      </c>
      <c r="X260" s="1423">
        <f t="shared" si="81"/>
        <v>0</v>
      </c>
      <c r="Y260" s="1423"/>
      <c r="Z260" s="1423"/>
      <c r="AA260" s="1423"/>
    </row>
    <row r="261" spans="1:27" ht="19.5" customHeight="1">
      <c r="A261" s="2127"/>
      <c r="B261" s="1609" t="s">
        <v>1620</v>
      </c>
      <c r="C261" s="2128"/>
      <c r="D261" s="1602">
        <f t="shared" si="78"/>
        <v>9921.2000000000007</v>
      </c>
      <c r="E261" s="1609">
        <v>9325.9</v>
      </c>
      <c r="F261" s="1609">
        <v>595.29999999999995</v>
      </c>
      <c r="G261" s="1600">
        <f t="shared" si="79"/>
        <v>9921.2000000000007</v>
      </c>
      <c r="H261" s="1616">
        <f t="shared" ref="H261:I263" si="83">E261</f>
        <v>9325.9</v>
      </c>
      <c r="I261" s="1616">
        <f t="shared" si="83"/>
        <v>595.29999999999995</v>
      </c>
      <c r="J261" s="1600">
        <f t="shared" si="80"/>
        <v>9921.2000000000007</v>
      </c>
      <c r="K261" s="1619">
        <v>9325.9</v>
      </c>
      <c r="L261" s="1619">
        <v>595.29999999999995</v>
      </c>
      <c r="M261" s="1619">
        <f t="shared" si="75"/>
        <v>100</v>
      </c>
      <c r="N261" s="1619">
        <f t="shared" si="75"/>
        <v>100</v>
      </c>
      <c r="O261" s="1619">
        <f t="shared" si="75"/>
        <v>100</v>
      </c>
      <c r="P261" s="2124"/>
      <c r="Q261" s="2124"/>
      <c r="R261" s="1600"/>
      <c r="S261" s="1619"/>
      <c r="T261" s="1619"/>
      <c r="U261" s="1600"/>
      <c r="V261" s="1619"/>
      <c r="W261" s="1619"/>
      <c r="X261" s="1423">
        <f t="shared" si="81"/>
        <v>0</v>
      </c>
      <c r="Y261" s="1423"/>
      <c r="Z261" s="1423"/>
      <c r="AA261" s="1423"/>
    </row>
    <row r="262" spans="1:27" ht="19.5" customHeight="1">
      <c r="A262" s="2127"/>
      <c r="B262" s="1609" t="s">
        <v>1798</v>
      </c>
      <c r="C262" s="2128"/>
      <c r="D262" s="1602">
        <f>SUM(E262:F262)</f>
        <v>94296.9</v>
      </c>
      <c r="E262" s="1609">
        <v>88638.1</v>
      </c>
      <c r="F262" s="1609">
        <v>5658.8</v>
      </c>
      <c r="G262" s="1600">
        <f>SUM(H262:I262)</f>
        <v>94296.9</v>
      </c>
      <c r="H262" s="1616">
        <f t="shared" si="83"/>
        <v>88638.1</v>
      </c>
      <c r="I262" s="1616">
        <f t="shared" si="83"/>
        <v>5658.8</v>
      </c>
      <c r="J262" s="1600">
        <f>SUM(K262:L262)</f>
        <v>88061.4</v>
      </c>
      <c r="K262" s="1619">
        <v>82776.800000000003</v>
      </c>
      <c r="L262" s="1619">
        <v>5284.6</v>
      </c>
      <c r="M262" s="1619">
        <f>IF(J262=0,0,J262/G262*100)</f>
        <v>93.4</v>
      </c>
      <c r="N262" s="1619">
        <f>IF(K262=0,0,K262/H262*100)</f>
        <v>93.4</v>
      </c>
      <c r="O262" s="1619">
        <f>IF(L262=0,0,L262/I262*100)</f>
        <v>93.4</v>
      </c>
      <c r="P262" s="2124"/>
      <c r="Q262" s="2124"/>
      <c r="R262" s="1600"/>
      <c r="S262" s="1619"/>
      <c r="T262" s="1619"/>
      <c r="U262" s="1600"/>
      <c r="V262" s="1619"/>
      <c r="W262" s="1619"/>
      <c r="X262" s="1423"/>
      <c r="Y262" s="1423"/>
      <c r="Z262" s="1423"/>
      <c r="AA262" s="1423"/>
    </row>
    <row r="263" spans="1:27" ht="26.25" customHeight="1">
      <c r="A263" s="2127"/>
      <c r="B263" s="1609" t="s">
        <v>1770</v>
      </c>
      <c r="C263" s="2128"/>
      <c r="D263" s="1602">
        <f t="shared" si="78"/>
        <v>296.5</v>
      </c>
      <c r="E263" s="1609">
        <v>278.7</v>
      </c>
      <c r="F263" s="1609">
        <v>17.8</v>
      </c>
      <c r="G263" s="1600">
        <f t="shared" si="79"/>
        <v>296.5</v>
      </c>
      <c r="H263" s="1616">
        <f t="shared" si="83"/>
        <v>278.7</v>
      </c>
      <c r="I263" s="1616">
        <f t="shared" si="83"/>
        <v>17.8</v>
      </c>
      <c r="J263" s="1600">
        <f t="shared" si="80"/>
        <v>0</v>
      </c>
      <c r="K263" s="1619"/>
      <c r="L263" s="1619"/>
      <c r="M263" s="1619">
        <f t="shared" si="75"/>
        <v>0</v>
      </c>
      <c r="N263" s="1619">
        <f t="shared" si="75"/>
        <v>0</v>
      </c>
      <c r="O263" s="1619">
        <f t="shared" si="75"/>
        <v>0</v>
      </c>
      <c r="P263" s="2124"/>
      <c r="Q263" s="2124"/>
      <c r="R263" s="1600"/>
      <c r="S263" s="1619"/>
      <c r="T263" s="1619"/>
      <c r="U263" s="1600"/>
      <c r="V263" s="1619"/>
      <c r="W263" s="1619"/>
      <c r="X263" s="1423">
        <f t="shared" si="81"/>
        <v>0</v>
      </c>
      <c r="Y263" s="1423"/>
      <c r="Z263" s="1423"/>
      <c r="AA263" s="1423"/>
    </row>
    <row r="264" spans="1:27" ht="50.25" customHeight="1">
      <c r="A264" s="2127">
        <f>A260+1</f>
        <v>70</v>
      </c>
      <c r="B264" s="1888" t="s">
        <v>1596</v>
      </c>
      <c r="C264" s="2127"/>
      <c r="D264" s="1602">
        <f t="shared" si="78"/>
        <v>229155.8</v>
      </c>
      <c r="E264" s="1615">
        <f>E265+E267+E266</f>
        <v>215404.2</v>
      </c>
      <c r="F264" s="1615">
        <f>F265+F267+F266</f>
        <v>13751.6</v>
      </c>
      <c r="G264" s="1600">
        <f t="shared" si="79"/>
        <v>229155.8</v>
      </c>
      <c r="H264" s="1615">
        <f>H265+H267+H266</f>
        <v>215404.2</v>
      </c>
      <c r="I264" s="1615">
        <f>I265+I267+I266</f>
        <v>13751.6</v>
      </c>
      <c r="J264" s="1602">
        <f t="shared" si="80"/>
        <v>116380.6</v>
      </c>
      <c r="K264" s="1615">
        <f>K265+K267+K266</f>
        <v>109396.6</v>
      </c>
      <c r="L264" s="1615">
        <f>L265+L267+L266</f>
        <v>6984</v>
      </c>
      <c r="M264" s="1893">
        <f t="shared" si="75"/>
        <v>50.8</v>
      </c>
      <c r="N264" s="1894">
        <f t="shared" si="75"/>
        <v>50.8</v>
      </c>
      <c r="O264" s="1894">
        <f t="shared" si="75"/>
        <v>50.8</v>
      </c>
      <c r="P264" s="2124"/>
      <c r="Q264" s="2124"/>
      <c r="R264" s="1600">
        <f>S264+T264</f>
        <v>0</v>
      </c>
      <c r="S264" s="1608">
        <v>0</v>
      </c>
      <c r="T264" s="1608">
        <v>0</v>
      </c>
      <c r="U264" s="1600">
        <f>V264+W264</f>
        <v>0</v>
      </c>
      <c r="V264" s="1608">
        <v>0</v>
      </c>
      <c r="W264" s="1608">
        <v>0</v>
      </c>
      <c r="X264" s="1423">
        <f t="shared" si="81"/>
        <v>0</v>
      </c>
      <c r="Y264" s="1423"/>
      <c r="Z264" s="1423"/>
      <c r="AA264" s="1423"/>
    </row>
    <row r="265" spans="1:27" ht="19.5" customHeight="1">
      <c r="A265" s="2127"/>
      <c r="B265" s="1609" t="s">
        <v>1620</v>
      </c>
      <c r="C265" s="2128"/>
      <c r="D265" s="1602">
        <f t="shared" si="78"/>
        <v>6302.6</v>
      </c>
      <c r="E265" s="1609">
        <v>5924.4</v>
      </c>
      <c r="F265" s="1609">
        <v>378.2</v>
      </c>
      <c r="G265" s="1600">
        <f t="shared" si="79"/>
        <v>6302.6</v>
      </c>
      <c r="H265" s="1616">
        <f t="shared" ref="H265:I267" si="84">E265</f>
        <v>5924.4</v>
      </c>
      <c r="I265" s="1616">
        <f t="shared" si="84"/>
        <v>378.2</v>
      </c>
      <c r="J265" s="1600">
        <f t="shared" si="80"/>
        <v>0</v>
      </c>
      <c r="K265" s="1619"/>
      <c r="L265" s="1619"/>
      <c r="M265" s="1619">
        <f t="shared" si="75"/>
        <v>0</v>
      </c>
      <c r="N265" s="1619">
        <f t="shared" si="75"/>
        <v>0</v>
      </c>
      <c r="O265" s="1619">
        <f t="shared" si="75"/>
        <v>0</v>
      </c>
      <c r="P265" s="2124"/>
      <c r="Q265" s="2124"/>
      <c r="R265" s="1600"/>
      <c r="S265" s="1619"/>
      <c r="T265" s="1619"/>
      <c r="U265" s="1600"/>
      <c r="V265" s="1619"/>
      <c r="W265" s="1619"/>
      <c r="X265" s="1423">
        <f>D265-G265</f>
        <v>0</v>
      </c>
      <c r="Y265" s="1423"/>
      <c r="Z265" s="1423"/>
      <c r="AA265" s="1423"/>
    </row>
    <row r="266" spans="1:27" ht="19.5" customHeight="1">
      <c r="A266" s="2127"/>
      <c r="B266" s="1609" t="s">
        <v>1798</v>
      </c>
      <c r="C266" s="2128"/>
      <c r="D266" s="1602">
        <f>SUM(E266:F266)</f>
        <v>222529.1</v>
      </c>
      <c r="E266" s="1609">
        <v>209175.1</v>
      </c>
      <c r="F266" s="1609">
        <v>13354</v>
      </c>
      <c r="G266" s="1600">
        <f>SUM(H266:I266)</f>
        <v>222529.1</v>
      </c>
      <c r="H266" s="1616">
        <f t="shared" si="84"/>
        <v>209175.1</v>
      </c>
      <c r="I266" s="1616">
        <f t="shared" si="84"/>
        <v>13354</v>
      </c>
      <c r="J266" s="1600">
        <f>SUM(K266:L266)</f>
        <v>116380.6</v>
      </c>
      <c r="K266" s="1619">
        <v>109396.6</v>
      </c>
      <c r="L266" s="1619">
        <v>6984</v>
      </c>
      <c r="M266" s="1619">
        <f>IF(J266=0,0,J266/G266*100)</f>
        <v>52.3</v>
      </c>
      <c r="N266" s="1619">
        <f>IF(K266=0,0,K266/H266*100)</f>
        <v>52.3</v>
      </c>
      <c r="O266" s="1619">
        <f>IF(L266=0,0,L266/I266*100)</f>
        <v>52.3</v>
      </c>
      <c r="P266" s="2124"/>
      <c r="Q266" s="2124"/>
      <c r="R266" s="1600"/>
      <c r="S266" s="1619"/>
      <c r="T266" s="1619"/>
      <c r="U266" s="1600"/>
      <c r="V266" s="1619"/>
      <c r="W266" s="1619"/>
      <c r="X266" s="1423"/>
      <c r="Y266" s="1423"/>
      <c r="Z266" s="1423"/>
      <c r="AA266" s="1423"/>
    </row>
    <row r="267" spans="1:27" ht="26.25" customHeight="1">
      <c r="A267" s="2127"/>
      <c r="B267" s="1609" t="s">
        <v>1770</v>
      </c>
      <c r="C267" s="2128"/>
      <c r="D267" s="1602">
        <f t="shared" si="78"/>
        <v>324.10000000000002</v>
      </c>
      <c r="E267" s="1609">
        <v>304.7</v>
      </c>
      <c r="F267" s="1609">
        <v>19.399999999999999</v>
      </c>
      <c r="G267" s="1600">
        <f t="shared" si="79"/>
        <v>324.10000000000002</v>
      </c>
      <c r="H267" s="1616">
        <f t="shared" si="84"/>
        <v>304.7</v>
      </c>
      <c r="I267" s="1616">
        <f t="shared" si="84"/>
        <v>19.399999999999999</v>
      </c>
      <c r="J267" s="1600">
        <f t="shared" si="80"/>
        <v>0</v>
      </c>
      <c r="K267" s="1619"/>
      <c r="L267" s="1619"/>
      <c r="M267" s="1619">
        <f t="shared" si="75"/>
        <v>0</v>
      </c>
      <c r="N267" s="1619">
        <f t="shared" si="75"/>
        <v>0</v>
      </c>
      <c r="O267" s="1619">
        <f t="shared" si="75"/>
        <v>0</v>
      </c>
      <c r="P267" s="2124"/>
      <c r="Q267" s="2124"/>
      <c r="R267" s="1600"/>
      <c r="S267" s="1619"/>
      <c r="T267" s="1619"/>
      <c r="U267" s="1600"/>
      <c r="V267" s="1619"/>
      <c r="W267" s="1619"/>
      <c r="X267" s="1423">
        <f>D267-G267</f>
        <v>0</v>
      </c>
      <c r="Y267" s="1423"/>
      <c r="Z267" s="1423"/>
      <c r="AA267" s="1423"/>
    </row>
    <row r="268" spans="1:27" s="484" customFormat="1" ht="78.75" hidden="1" customHeight="1">
      <c r="A268" s="1866">
        <f>A264+1</f>
        <v>71</v>
      </c>
      <c r="B268" s="2074" t="s">
        <v>1599</v>
      </c>
      <c r="C268" s="1866" t="s">
        <v>1611</v>
      </c>
      <c r="D268" s="1600">
        <f t="shared" si="78"/>
        <v>0</v>
      </c>
      <c r="E268" s="1608">
        <f>E269</f>
        <v>0</v>
      </c>
      <c r="F268" s="1608">
        <f>F269</f>
        <v>0</v>
      </c>
      <c r="G268" s="1600">
        <f t="shared" si="79"/>
        <v>0</v>
      </c>
      <c r="H268" s="1608">
        <f>H269</f>
        <v>0</v>
      </c>
      <c r="I268" s="1608">
        <f>I269</f>
        <v>0</v>
      </c>
      <c r="J268" s="1600">
        <f t="shared" si="80"/>
        <v>0</v>
      </c>
      <c r="K268" s="1608">
        <f>K269</f>
        <v>0</v>
      </c>
      <c r="L268" s="1608">
        <f>L269</f>
        <v>0</v>
      </c>
      <c r="M268" s="1893">
        <f t="shared" si="75"/>
        <v>0</v>
      </c>
      <c r="N268" s="1894">
        <f t="shared" si="75"/>
        <v>0</v>
      </c>
      <c r="O268" s="1894">
        <f t="shared" si="75"/>
        <v>0</v>
      </c>
      <c r="P268" s="2124"/>
      <c r="Q268" s="2124"/>
      <c r="R268" s="1600">
        <f>S268+T268</f>
        <v>0</v>
      </c>
      <c r="S268" s="1608">
        <v>0</v>
      </c>
      <c r="T268" s="1608">
        <v>0</v>
      </c>
      <c r="U268" s="1600">
        <f>V268+W268</f>
        <v>0</v>
      </c>
      <c r="V268" s="1608">
        <v>0</v>
      </c>
      <c r="W268" s="1608">
        <v>0</v>
      </c>
      <c r="X268" s="1423">
        <f t="shared" si="81"/>
        <v>0</v>
      </c>
      <c r="Y268" s="1423"/>
      <c r="Z268" s="1423"/>
      <c r="AA268" s="1423"/>
    </row>
    <row r="269" spans="1:27" s="484" customFormat="1" ht="23.25" hidden="1" customHeight="1">
      <c r="A269" s="1866"/>
      <c r="B269" s="1619" t="s">
        <v>1620</v>
      </c>
      <c r="C269" s="1924"/>
      <c r="D269" s="1600">
        <f t="shared" si="78"/>
        <v>0</v>
      </c>
      <c r="E269" s="1608"/>
      <c r="F269" s="1608"/>
      <c r="G269" s="1600">
        <f t="shared" si="79"/>
        <v>0</v>
      </c>
      <c r="H269" s="1616">
        <f>E269</f>
        <v>0</v>
      </c>
      <c r="I269" s="1616">
        <f>F269</f>
        <v>0</v>
      </c>
      <c r="J269" s="1600">
        <f t="shared" si="80"/>
        <v>0</v>
      </c>
      <c r="K269" s="1608"/>
      <c r="L269" s="1608"/>
      <c r="M269" s="1893">
        <f>IF(J269=0,0,J269/G269*100)</f>
        <v>0</v>
      </c>
      <c r="N269" s="1894">
        <f>IF(K269=0,0,K269/H269*100)</f>
        <v>0</v>
      </c>
      <c r="O269" s="1894">
        <f>IF(L269=0,0,L269/I269*100)</f>
        <v>0</v>
      </c>
      <c r="P269" s="2124"/>
      <c r="Q269" s="2124"/>
      <c r="R269" s="1600">
        <f>S269+T269</f>
        <v>0</v>
      </c>
      <c r="S269" s="1608">
        <v>0</v>
      </c>
      <c r="T269" s="1608">
        <v>0</v>
      </c>
      <c r="U269" s="1600">
        <f>V269+W269</f>
        <v>0</v>
      </c>
      <c r="V269" s="1608">
        <v>0</v>
      </c>
      <c r="W269" s="1624">
        <v>0</v>
      </c>
      <c r="X269" s="1423">
        <f>D269-G269</f>
        <v>0</v>
      </c>
      <c r="Y269" s="1423"/>
      <c r="Z269" s="1423"/>
      <c r="AA269" s="1423"/>
    </row>
    <row r="270" spans="1:27" s="484" customFormat="1" ht="30.75" customHeight="1">
      <c r="A270" s="1866">
        <f>A264+1</f>
        <v>71</v>
      </c>
      <c r="B270" s="2075" t="s">
        <v>763</v>
      </c>
      <c r="C270" s="1923" t="s">
        <v>1550</v>
      </c>
      <c r="D270" s="1600">
        <f t="shared" si="78"/>
        <v>236519.6</v>
      </c>
      <c r="E270" s="1608">
        <f>E271+E272</f>
        <v>222326</v>
      </c>
      <c r="F270" s="1608">
        <f>F271+F272</f>
        <v>14193.6</v>
      </c>
      <c r="G270" s="1600">
        <f t="shared" si="79"/>
        <v>236519.6</v>
      </c>
      <c r="H270" s="1608">
        <f>H271+H272</f>
        <v>222326</v>
      </c>
      <c r="I270" s="1608">
        <f>I271+I272</f>
        <v>14193.6</v>
      </c>
      <c r="J270" s="1600">
        <f t="shared" si="80"/>
        <v>108625.8</v>
      </c>
      <c r="K270" s="1608">
        <f>K271+K272</f>
        <v>102107.2</v>
      </c>
      <c r="L270" s="1608">
        <f>L271+L272</f>
        <v>6518.6</v>
      </c>
      <c r="M270" s="1608">
        <f t="shared" si="75"/>
        <v>45.9</v>
      </c>
      <c r="N270" s="1608">
        <f t="shared" si="75"/>
        <v>45.9</v>
      </c>
      <c r="O270" s="1608">
        <f t="shared" si="75"/>
        <v>45.9</v>
      </c>
      <c r="P270" s="1608">
        <f t="shared" ref="P270:W270" si="85">P271+P272</f>
        <v>0</v>
      </c>
      <c r="Q270" s="1608">
        <f t="shared" si="85"/>
        <v>0</v>
      </c>
      <c r="R270" s="1941">
        <f t="shared" si="85"/>
        <v>109549.9</v>
      </c>
      <c r="S270" s="1608">
        <f t="shared" si="85"/>
        <v>0</v>
      </c>
      <c r="T270" s="1608">
        <f t="shared" si="85"/>
        <v>109549.9</v>
      </c>
      <c r="U270" s="1608">
        <f t="shared" si="85"/>
        <v>0</v>
      </c>
      <c r="V270" s="1608">
        <f t="shared" si="85"/>
        <v>0</v>
      </c>
      <c r="W270" s="1608">
        <f t="shared" si="85"/>
        <v>0</v>
      </c>
      <c r="X270" s="1423">
        <f t="shared" si="81"/>
        <v>0</v>
      </c>
      <c r="Y270" s="1423"/>
      <c r="Z270" s="1423"/>
      <c r="AA270" s="1423"/>
    </row>
    <row r="271" spans="1:27" s="484" customFormat="1" ht="23.25">
      <c r="A271" s="1866"/>
      <c r="B271" s="1619" t="s">
        <v>1620</v>
      </c>
      <c r="C271" s="1924"/>
      <c r="D271" s="1600">
        <f t="shared" si="78"/>
        <v>236519.6</v>
      </c>
      <c r="E271" s="1608">
        <v>222326</v>
      </c>
      <c r="F271" s="1608">
        <v>14193.6</v>
      </c>
      <c r="G271" s="1600">
        <f t="shared" ref="G271:G347" si="86">SUM(H271:I271)</f>
        <v>236519.6</v>
      </c>
      <c r="H271" s="1616">
        <f>E271</f>
        <v>222326</v>
      </c>
      <c r="I271" s="1616">
        <f>F271</f>
        <v>14193.6</v>
      </c>
      <c r="J271" s="1600">
        <f t="shared" si="80"/>
        <v>108625.8</v>
      </c>
      <c r="K271" s="1608">
        <v>102107.2</v>
      </c>
      <c r="L271" s="1608">
        <v>6518.6</v>
      </c>
      <c r="M271" s="1893">
        <f t="shared" si="75"/>
        <v>45.9</v>
      </c>
      <c r="N271" s="1894">
        <f t="shared" si="75"/>
        <v>45.9</v>
      </c>
      <c r="O271" s="1894">
        <f t="shared" si="75"/>
        <v>45.9</v>
      </c>
      <c r="P271" s="2124"/>
      <c r="Q271" s="2124"/>
      <c r="R271" s="1600">
        <f t="shared" ref="R271:R293" si="87">S271+T271</f>
        <v>0</v>
      </c>
      <c r="S271" s="1608">
        <v>0</v>
      </c>
      <c r="T271" s="1608">
        <v>0</v>
      </c>
      <c r="U271" s="1600">
        <f t="shared" ref="U271:U293" si="88">V271+W271</f>
        <v>0</v>
      </c>
      <c r="V271" s="1608">
        <v>0</v>
      </c>
      <c r="W271" s="1624">
        <v>0</v>
      </c>
      <c r="X271" s="1423">
        <f t="shared" si="81"/>
        <v>0</v>
      </c>
      <c r="Y271" s="1423"/>
      <c r="Z271" s="1423"/>
      <c r="AA271" s="1423"/>
    </row>
    <row r="272" spans="1:27" s="484" customFormat="1" ht="19.5" hidden="1" customHeight="1">
      <c r="A272" s="1866"/>
      <c r="B272" s="1619" t="s">
        <v>1621</v>
      </c>
      <c r="C272" s="1924"/>
      <c r="D272" s="1600">
        <f t="shared" si="78"/>
        <v>0</v>
      </c>
      <c r="E272" s="1608"/>
      <c r="F272" s="1624">
        <v>0</v>
      </c>
      <c r="G272" s="1600">
        <f t="shared" si="86"/>
        <v>0</v>
      </c>
      <c r="H272" s="1619">
        <f>E272</f>
        <v>0</v>
      </c>
      <c r="I272" s="1619">
        <f>F272</f>
        <v>0</v>
      </c>
      <c r="J272" s="1600">
        <f t="shared" si="80"/>
        <v>0</v>
      </c>
      <c r="K272" s="1608"/>
      <c r="L272" s="1624"/>
      <c r="M272" s="1893">
        <f t="shared" si="75"/>
        <v>0</v>
      </c>
      <c r="N272" s="1894">
        <f t="shared" si="75"/>
        <v>0</v>
      </c>
      <c r="O272" s="1894">
        <f t="shared" si="75"/>
        <v>0</v>
      </c>
      <c r="P272" s="2124"/>
      <c r="Q272" s="2124"/>
      <c r="R272" s="1600">
        <f t="shared" si="87"/>
        <v>109549.9</v>
      </c>
      <c r="S272" s="1608">
        <v>0</v>
      </c>
      <c r="T272" s="1608">
        <v>109549.9</v>
      </c>
      <c r="U272" s="1600">
        <f t="shared" si="88"/>
        <v>0</v>
      </c>
      <c r="V272" s="1608">
        <v>0</v>
      </c>
      <c r="W272" s="1624">
        <v>0</v>
      </c>
      <c r="Y272" s="1423"/>
      <c r="Z272" s="1423"/>
      <c r="AA272" s="1423"/>
    </row>
    <row r="273" spans="1:27" s="484" customFormat="1" ht="20.25" customHeight="1">
      <c r="A273" s="1866">
        <f>A270+1</f>
        <v>72</v>
      </c>
      <c r="B273" s="2075" t="s">
        <v>765</v>
      </c>
      <c r="C273" s="1923" t="s">
        <v>1550</v>
      </c>
      <c r="D273" s="1600">
        <f t="shared" si="78"/>
        <v>33528.9</v>
      </c>
      <c r="E273" s="1608">
        <f>SUM(E274:E275)</f>
        <v>21967.7</v>
      </c>
      <c r="F273" s="1608">
        <f>SUM(F274:F275)</f>
        <v>11561.2</v>
      </c>
      <c r="G273" s="1600">
        <f t="shared" si="86"/>
        <v>33528.9</v>
      </c>
      <c r="H273" s="1608">
        <f>SUM(H274:H275)</f>
        <v>21967.7</v>
      </c>
      <c r="I273" s="1608">
        <f>SUM(I274:I275)</f>
        <v>11561.2</v>
      </c>
      <c r="J273" s="1600">
        <f t="shared" si="80"/>
        <v>16377.7</v>
      </c>
      <c r="K273" s="1608">
        <f>SUM(K274:K275)</f>
        <v>15087.2</v>
      </c>
      <c r="L273" s="1608">
        <f>SUM(L274:L275)</f>
        <v>1290.5</v>
      </c>
      <c r="M273" s="1893">
        <f t="shared" si="75"/>
        <v>48.8</v>
      </c>
      <c r="N273" s="1894">
        <f t="shared" si="75"/>
        <v>68.7</v>
      </c>
      <c r="O273" s="1894">
        <f t="shared" si="75"/>
        <v>11.2</v>
      </c>
      <c r="P273" s="2124" t="s">
        <v>1267</v>
      </c>
      <c r="Q273" s="2124" t="s">
        <v>1219</v>
      </c>
      <c r="R273" s="1600">
        <f t="shared" si="87"/>
        <v>0</v>
      </c>
      <c r="S273" s="1608">
        <v>0</v>
      </c>
      <c r="T273" s="1608">
        <v>0</v>
      </c>
      <c r="U273" s="1600">
        <f t="shared" si="88"/>
        <v>0</v>
      </c>
      <c r="V273" s="1608">
        <v>0</v>
      </c>
      <c r="W273" s="1624">
        <v>0</v>
      </c>
      <c r="X273" s="1423">
        <f t="shared" ref="X273:X290" si="89">D273-G273</f>
        <v>0</v>
      </c>
      <c r="Y273" s="1423"/>
      <c r="Z273" s="1423"/>
      <c r="AA273" s="1423"/>
    </row>
    <row r="274" spans="1:27" ht="23.25">
      <c r="A274" s="1866"/>
      <c r="B274" s="1619" t="s">
        <v>1620</v>
      </c>
      <c r="C274" s="1924"/>
      <c r="D274" s="1600">
        <f t="shared" si="78"/>
        <v>23370.1</v>
      </c>
      <c r="E274" s="1608">
        <v>21967.7</v>
      </c>
      <c r="F274" s="1608">
        <v>1402.4</v>
      </c>
      <c r="G274" s="1600">
        <f t="shared" si="86"/>
        <v>23370.1</v>
      </c>
      <c r="H274" s="1616">
        <f>E274</f>
        <v>21967.7</v>
      </c>
      <c r="I274" s="1616">
        <f>F274</f>
        <v>1402.4</v>
      </c>
      <c r="J274" s="1600">
        <f t="shared" si="80"/>
        <v>16050.4</v>
      </c>
      <c r="K274" s="1608">
        <v>15087.2</v>
      </c>
      <c r="L274" s="1608">
        <v>963.2</v>
      </c>
      <c r="M274" s="1893">
        <f t="shared" si="75"/>
        <v>68.7</v>
      </c>
      <c r="N274" s="1894">
        <f t="shared" si="75"/>
        <v>68.7</v>
      </c>
      <c r="O274" s="1894">
        <f t="shared" si="75"/>
        <v>68.7</v>
      </c>
      <c r="P274" s="2124"/>
      <c r="Q274" s="2124"/>
      <c r="R274" s="1600">
        <f t="shared" si="87"/>
        <v>0</v>
      </c>
      <c r="S274" s="1608">
        <v>0</v>
      </c>
      <c r="T274" s="1608">
        <v>0</v>
      </c>
      <c r="U274" s="1600">
        <f t="shared" si="88"/>
        <v>0</v>
      </c>
      <c r="V274" s="1608">
        <v>0</v>
      </c>
      <c r="W274" s="1624">
        <v>0</v>
      </c>
      <c r="X274" s="1423">
        <f t="shared" si="89"/>
        <v>0</v>
      </c>
      <c r="Y274" s="1423"/>
      <c r="Z274" s="1423"/>
      <c r="AA274" s="1423"/>
    </row>
    <row r="275" spans="1:27" ht="23.25">
      <c r="A275" s="1866"/>
      <c r="B275" s="1619" t="s">
        <v>1621</v>
      </c>
      <c r="C275" s="1924"/>
      <c r="D275" s="1600">
        <f t="shared" si="78"/>
        <v>10158.799999999999</v>
      </c>
      <c r="E275" s="1608"/>
      <c r="F275" s="1624">
        <f>9985.9+172.9</f>
        <v>10158.799999999999</v>
      </c>
      <c r="G275" s="1600">
        <f t="shared" si="86"/>
        <v>10158.799999999999</v>
      </c>
      <c r="H275" s="1616">
        <f>E275</f>
        <v>0</v>
      </c>
      <c r="I275" s="1616">
        <f>9985.9+172.9</f>
        <v>10158.799999999999</v>
      </c>
      <c r="J275" s="1600">
        <f t="shared" si="80"/>
        <v>327.3</v>
      </c>
      <c r="K275" s="1608"/>
      <c r="L275" s="2105">
        <v>327.3</v>
      </c>
      <c r="M275" s="1893">
        <f t="shared" si="75"/>
        <v>3.2</v>
      </c>
      <c r="N275" s="1894">
        <f t="shared" si="75"/>
        <v>0</v>
      </c>
      <c r="O275" s="1894">
        <f t="shared" si="75"/>
        <v>3.2</v>
      </c>
      <c r="P275" s="2124"/>
      <c r="Q275" s="2124"/>
      <c r="R275" s="1600">
        <f t="shared" si="87"/>
        <v>0</v>
      </c>
      <c r="S275" s="1608">
        <v>0</v>
      </c>
      <c r="T275" s="1608">
        <v>0</v>
      </c>
      <c r="U275" s="1600">
        <f t="shared" si="88"/>
        <v>0</v>
      </c>
      <c r="V275" s="1608">
        <v>0</v>
      </c>
      <c r="W275" s="1624">
        <v>0</v>
      </c>
      <c r="X275" s="1423">
        <f t="shared" si="89"/>
        <v>0</v>
      </c>
      <c r="Y275" s="1423"/>
      <c r="Z275" s="1423"/>
      <c r="AA275" s="1423"/>
    </row>
    <row r="276" spans="1:27" s="484" customFormat="1" ht="24.75" customHeight="1">
      <c r="A276" s="1866">
        <f>A273+1</f>
        <v>73</v>
      </c>
      <c r="B276" s="2075" t="s">
        <v>766</v>
      </c>
      <c r="C276" s="1923" t="s">
        <v>1550</v>
      </c>
      <c r="D276" s="1600">
        <f t="shared" si="78"/>
        <v>20818.099999999999</v>
      </c>
      <c r="E276" s="1608">
        <f>SUM(E277:E278)</f>
        <v>13691.8</v>
      </c>
      <c r="F276" s="1608">
        <f>SUM(F277:F278)</f>
        <v>7126.3</v>
      </c>
      <c r="G276" s="1600">
        <f t="shared" si="86"/>
        <v>20818.099999999999</v>
      </c>
      <c r="H276" s="1608">
        <f>SUM(H277:H278)</f>
        <v>13691.8</v>
      </c>
      <c r="I276" s="1608">
        <f>SUM(I277:I278)</f>
        <v>7126.3</v>
      </c>
      <c r="J276" s="1600">
        <f t="shared" si="80"/>
        <v>9940</v>
      </c>
      <c r="K276" s="1608">
        <f>SUM(K277:K278)</f>
        <v>9343.5</v>
      </c>
      <c r="L276" s="1608">
        <f>SUM(L277:L278)</f>
        <v>596.5</v>
      </c>
      <c r="M276" s="1893">
        <f t="shared" si="75"/>
        <v>47.7</v>
      </c>
      <c r="N276" s="1894">
        <f t="shared" si="75"/>
        <v>68.2</v>
      </c>
      <c r="O276" s="1894">
        <f t="shared" si="75"/>
        <v>8.4</v>
      </c>
      <c r="P276" s="2124" t="s">
        <v>1303</v>
      </c>
      <c r="Q276" s="2124" t="s">
        <v>1268</v>
      </c>
      <c r="R276" s="1600">
        <f t="shared" si="87"/>
        <v>0</v>
      </c>
      <c r="S276" s="1608">
        <v>0</v>
      </c>
      <c r="T276" s="1608">
        <v>0</v>
      </c>
      <c r="U276" s="1600">
        <f t="shared" si="88"/>
        <v>0</v>
      </c>
      <c r="V276" s="1608">
        <v>0</v>
      </c>
      <c r="W276" s="1624">
        <v>0</v>
      </c>
      <c r="X276" s="1423">
        <f t="shared" si="89"/>
        <v>0</v>
      </c>
      <c r="Y276" s="1423"/>
      <c r="Z276" s="1423"/>
      <c r="AA276" s="1423"/>
    </row>
    <row r="277" spans="1:27" ht="23.25">
      <c r="A277" s="1866"/>
      <c r="B277" s="1619" t="s">
        <v>1620</v>
      </c>
      <c r="C277" s="1924"/>
      <c r="D277" s="1600">
        <f t="shared" si="78"/>
        <v>14565.9</v>
      </c>
      <c r="E277" s="1608">
        <v>13691.8</v>
      </c>
      <c r="F277" s="1608">
        <v>874.1</v>
      </c>
      <c r="G277" s="1600">
        <f t="shared" si="86"/>
        <v>14565.9</v>
      </c>
      <c r="H277" s="1616">
        <f>E277</f>
        <v>13691.8</v>
      </c>
      <c r="I277" s="1616">
        <f>F277</f>
        <v>874.1</v>
      </c>
      <c r="J277" s="1600">
        <f t="shared" si="80"/>
        <v>9940</v>
      </c>
      <c r="K277" s="1608">
        <v>9343.5</v>
      </c>
      <c r="L277" s="1608">
        <v>596.5</v>
      </c>
      <c r="M277" s="1893">
        <f t="shared" si="75"/>
        <v>68.2</v>
      </c>
      <c r="N277" s="1894">
        <f t="shared" si="75"/>
        <v>68.2</v>
      </c>
      <c r="O277" s="1894">
        <f t="shared" si="75"/>
        <v>68.2</v>
      </c>
      <c r="P277" s="2124"/>
      <c r="Q277" s="2124"/>
      <c r="R277" s="1600">
        <f t="shared" si="87"/>
        <v>0</v>
      </c>
      <c r="S277" s="1608">
        <v>0</v>
      </c>
      <c r="T277" s="1608">
        <v>0</v>
      </c>
      <c r="U277" s="1600">
        <f t="shared" si="88"/>
        <v>0</v>
      </c>
      <c r="V277" s="1608">
        <v>0</v>
      </c>
      <c r="W277" s="1624">
        <v>0</v>
      </c>
      <c r="X277" s="1423">
        <f t="shared" si="89"/>
        <v>0</v>
      </c>
      <c r="Y277" s="1423"/>
      <c r="Z277" s="1423"/>
      <c r="AA277" s="1423"/>
    </row>
    <row r="278" spans="1:27" ht="23.25">
      <c r="A278" s="1866"/>
      <c r="B278" s="1619" t="s">
        <v>1621</v>
      </c>
      <c r="C278" s="1924"/>
      <c r="D278" s="1600">
        <f t="shared" si="78"/>
        <v>6252.2</v>
      </c>
      <c r="E278" s="1608"/>
      <c r="F278" s="1624">
        <v>6252.2</v>
      </c>
      <c r="G278" s="1600">
        <f t="shared" si="86"/>
        <v>6252.2</v>
      </c>
      <c r="H278" s="1616">
        <f>E278</f>
        <v>0</v>
      </c>
      <c r="I278" s="1616">
        <f>F278</f>
        <v>6252.2</v>
      </c>
      <c r="J278" s="1600">
        <f t="shared" si="80"/>
        <v>0</v>
      </c>
      <c r="K278" s="1608"/>
      <c r="L278" s="2105"/>
      <c r="M278" s="1893">
        <f t="shared" si="75"/>
        <v>0</v>
      </c>
      <c r="N278" s="1894">
        <f t="shared" si="75"/>
        <v>0</v>
      </c>
      <c r="O278" s="1894">
        <f t="shared" si="75"/>
        <v>0</v>
      </c>
      <c r="P278" s="2124"/>
      <c r="Q278" s="2124"/>
      <c r="R278" s="1600">
        <f t="shared" si="87"/>
        <v>0</v>
      </c>
      <c r="S278" s="1608">
        <v>0</v>
      </c>
      <c r="T278" s="1608">
        <v>0</v>
      </c>
      <c r="U278" s="1600">
        <f t="shared" si="88"/>
        <v>0</v>
      </c>
      <c r="V278" s="1608">
        <v>0</v>
      </c>
      <c r="W278" s="1624">
        <v>0</v>
      </c>
      <c r="X278" s="1423">
        <f t="shared" si="89"/>
        <v>0</v>
      </c>
      <c r="Y278" s="1423"/>
      <c r="Z278" s="1423"/>
      <c r="AA278" s="1423"/>
    </row>
    <row r="279" spans="1:27" ht="39" customHeight="1">
      <c r="A279" s="1866">
        <f>A276+1</f>
        <v>74</v>
      </c>
      <c r="B279" s="2076" t="s">
        <v>478</v>
      </c>
      <c r="C279" s="1924" t="s">
        <v>1610</v>
      </c>
      <c r="D279" s="1600">
        <f t="shared" si="78"/>
        <v>423702.5</v>
      </c>
      <c r="E279" s="1608">
        <f>E280+E282+E283+E281</f>
        <v>398273.9</v>
      </c>
      <c r="F279" s="1608">
        <f>F280+F282+F283+F281</f>
        <v>25428.6</v>
      </c>
      <c r="G279" s="1600">
        <f t="shared" si="86"/>
        <v>423702.5</v>
      </c>
      <c r="H279" s="1608">
        <f>H280+H282+H283+H281</f>
        <v>398273.9</v>
      </c>
      <c r="I279" s="1608">
        <f>I280+I282+I283+I281</f>
        <v>25428.6</v>
      </c>
      <c r="J279" s="1600">
        <f>SUM(K279:L279)</f>
        <v>421944.4</v>
      </c>
      <c r="K279" s="1608">
        <f>K280+K282+K283</f>
        <v>396602.9</v>
      </c>
      <c r="L279" s="1608">
        <f>L280+L282+L283</f>
        <v>25341.5</v>
      </c>
      <c r="M279" s="1893">
        <f t="shared" si="75"/>
        <v>99.6</v>
      </c>
      <c r="N279" s="1894">
        <f t="shared" si="75"/>
        <v>99.6</v>
      </c>
      <c r="O279" s="1894">
        <f t="shared" si="75"/>
        <v>99.7</v>
      </c>
      <c r="P279" s="2124" t="s">
        <v>1298</v>
      </c>
      <c r="Q279" s="2124" t="s">
        <v>1261</v>
      </c>
      <c r="R279" s="1600">
        <f t="shared" si="87"/>
        <v>0</v>
      </c>
      <c r="S279" s="1608">
        <v>0</v>
      </c>
      <c r="T279" s="1608">
        <v>0</v>
      </c>
      <c r="U279" s="1600">
        <f t="shared" si="88"/>
        <v>0</v>
      </c>
      <c r="V279" s="1608">
        <v>0</v>
      </c>
      <c r="W279" s="1624">
        <v>0</v>
      </c>
      <c r="X279" s="1423">
        <f t="shared" si="89"/>
        <v>0</v>
      </c>
      <c r="Y279" s="1423"/>
      <c r="Z279" s="1423"/>
      <c r="AA279" s="1423"/>
    </row>
    <row r="280" spans="1:27" ht="23.25">
      <c r="A280" s="1866"/>
      <c r="B280" s="1619" t="s">
        <v>1620</v>
      </c>
      <c r="C280" s="1924"/>
      <c r="D280" s="1600">
        <f t="shared" si="78"/>
        <v>422392.8</v>
      </c>
      <c r="E280" s="1608">
        <v>397049.2</v>
      </c>
      <c r="F280" s="1624">
        <v>25343.599999999999</v>
      </c>
      <c r="G280" s="1600">
        <f t="shared" si="86"/>
        <v>422392.8</v>
      </c>
      <c r="H280" s="1619">
        <f t="shared" ref="H280:I283" si="90">E280</f>
        <v>397049.2</v>
      </c>
      <c r="I280" s="1619">
        <f t="shared" si="90"/>
        <v>25343.599999999999</v>
      </c>
      <c r="J280" s="1600">
        <f t="shared" si="80"/>
        <v>421310.9</v>
      </c>
      <c r="K280" s="1608">
        <v>396032.2</v>
      </c>
      <c r="L280" s="1608">
        <v>25278.7</v>
      </c>
      <c r="M280" s="1893">
        <f t="shared" si="75"/>
        <v>99.7</v>
      </c>
      <c r="N280" s="1894">
        <f t="shared" si="75"/>
        <v>99.7</v>
      </c>
      <c r="O280" s="1894">
        <f t="shared" si="75"/>
        <v>99.7</v>
      </c>
      <c r="P280" s="2124"/>
      <c r="Q280" s="2124"/>
      <c r="R280" s="1600">
        <f t="shared" si="87"/>
        <v>0</v>
      </c>
      <c r="S280" s="1608">
        <v>0</v>
      </c>
      <c r="T280" s="1608">
        <v>0</v>
      </c>
      <c r="U280" s="1600">
        <f t="shared" si="88"/>
        <v>0</v>
      </c>
      <c r="V280" s="1608">
        <v>0</v>
      </c>
      <c r="W280" s="1624">
        <v>0</v>
      </c>
      <c r="X280" s="1423">
        <f t="shared" si="89"/>
        <v>0</v>
      </c>
      <c r="Y280" s="1423"/>
      <c r="Z280" s="1423"/>
      <c r="AA280" s="1423"/>
    </row>
    <row r="281" spans="1:27" ht="23.25">
      <c r="A281" s="1866"/>
      <c r="B281" s="1609" t="s">
        <v>1798</v>
      </c>
      <c r="C281" s="1924"/>
      <c r="D281" s="1600">
        <f>SUM(E281:F281)</f>
        <v>278.7</v>
      </c>
      <c r="E281" s="1608">
        <v>262</v>
      </c>
      <c r="F281" s="1608">
        <v>16.7</v>
      </c>
      <c r="G281" s="1600">
        <f>SUM(H281:I281)</f>
        <v>278.7</v>
      </c>
      <c r="H281" s="1619">
        <f>E281</f>
        <v>262</v>
      </c>
      <c r="I281" s="1619">
        <f>F281</f>
        <v>16.7</v>
      </c>
      <c r="J281" s="1600">
        <f>SUM(K281:L281)</f>
        <v>0</v>
      </c>
      <c r="K281" s="1608">
        <v>0</v>
      </c>
      <c r="L281" s="1608">
        <v>0</v>
      </c>
      <c r="M281" s="1893">
        <f t="shared" si="75"/>
        <v>0</v>
      </c>
      <c r="N281" s="1894">
        <f t="shared" si="75"/>
        <v>0</v>
      </c>
      <c r="O281" s="1894">
        <f t="shared" si="75"/>
        <v>0</v>
      </c>
      <c r="P281" s="2124"/>
      <c r="Q281" s="2124"/>
      <c r="R281" s="1600"/>
      <c r="S281" s="1608"/>
      <c r="T281" s="1608"/>
      <c r="U281" s="1600"/>
      <c r="V281" s="1608"/>
      <c r="W281" s="1624"/>
      <c r="X281" s="1423"/>
      <c r="Y281" s="1423"/>
      <c r="Z281" s="1423"/>
      <c r="AA281" s="1423"/>
    </row>
    <row r="282" spans="1:27" ht="23.25">
      <c r="A282" s="2127"/>
      <c r="B282" s="1609" t="s">
        <v>1770</v>
      </c>
      <c r="C282" s="1882"/>
      <c r="D282" s="1602">
        <f t="shared" si="78"/>
        <v>1004.1</v>
      </c>
      <c r="E282" s="1616">
        <f>256.6+706.1</f>
        <v>962.7</v>
      </c>
      <c r="F282" s="2145">
        <f>16.4+25</f>
        <v>41.4</v>
      </c>
      <c r="G282" s="1600">
        <f>SUM(H282:I282)</f>
        <v>1004.1</v>
      </c>
      <c r="H282" s="1619">
        <f t="shared" si="90"/>
        <v>962.7</v>
      </c>
      <c r="I282" s="1619">
        <f t="shared" si="90"/>
        <v>41.4</v>
      </c>
      <c r="J282" s="1600">
        <f t="shared" si="80"/>
        <v>607.20000000000005</v>
      </c>
      <c r="K282" s="1608">
        <f>256.511+314.156</f>
        <v>570.70000000000005</v>
      </c>
      <c r="L282" s="1608">
        <f>16.4+20.06</f>
        <v>36.5</v>
      </c>
      <c r="M282" s="1893">
        <f t="shared" si="75"/>
        <v>60.5</v>
      </c>
      <c r="N282" s="1894">
        <f t="shared" si="75"/>
        <v>59.3</v>
      </c>
      <c r="O282" s="1894">
        <f t="shared" si="75"/>
        <v>88.2</v>
      </c>
      <c r="P282" s="2124"/>
      <c r="Q282" s="2124"/>
      <c r="R282" s="1600">
        <f t="shared" si="87"/>
        <v>0</v>
      </c>
      <c r="S282" s="1608">
        <v>0</v>
      </c>
      <c r="T282" s="1608">
        <v>0</v>
      </c>
      <c r="U282" s="1600">
        <f t="shared" si="88"/>
        <v>0</v>
      </c>
      <c r="V282" s="1614"/>
      <c r="W282" s="1614"/>
      <c r="X282" s="1423">
        <f>D282-G282</f>
        <v>0</v>
      </c>
      <c r="Y282" s="1423">
        <v>20</v>
      </c>
      <c r="Z282" s="1423"/>
      <c r="AA282" s="1423"/>
    </row>
    <row r="283" spans="1:27" s="1654" customFormat="1" ht="23.25">
      <c r="A283" s="2133"/>
      <c r="B283" s="2134" t="s">
        <v>1621</v>
      </c>
      <c r="C283" s="2135"/>
      <c r="D283" s="2136">
        <f t="shared" ref="D283:D317" si="91">SUM(E283:F283)</f>
        <v>26.9</v>
      </c>
      <c r="E283" s="2137"/>
      <c r="F283" s="2137">
        <f>304.9-278</f>
        <v>26.9</v>
      </c>
      <c r="G283" s="2138">
        <f t="shared" si="86"/>
        <v>26.9</v>
      </c>
      <c r="H283" s="2137">
        <f t="shared" si="90"/>
        <v>0</v>
      </c>
      <c r="I283" s="2137">
        <f>304.9-278</f>
        <v>26.9</v>
      </c>
      <c r="J283" s="2138">
        <f t="shared" si="80"/>
        <v>26.3</v>
      </c>
      <c r="K283" s="2139"/>
      <c r="L283" s="2139">
        <v>26.3</v>
      </c>
      <c r="M283" s="2140">
        <f t="shared" si="75"/>
        <v>97.8</v>
      </c>
      <c r="N283" s="2141">
        <f t="shared" si="75"/>
        <v>0</v>
      </c>
      <c r="O283" s="2141">
        <f t="shared" si="75"/>
        <v>97.8</v>
      </c>
      <c r="P283" s="2142"/>
      <c r="Q283" s="2142"/>
      <c r="R283" s="2138">
        <f t="shared" si="87"/>
        <v>0</v>
      </c>
      <c r="S283" s="2139">
        <v>0</v>
      </c>
      <c r="T283" s="2139">
        <v>0</v>
      </c>
      <c r="U283" s="2138">
        <f t="shared" si="88"/>
        <v>0</v>
      </c>
      <c r="V283" s="2143"/>
      <c r="W283" s="2143"/>
      <c r="X283" s="2144">
        <f t="shared" si="89"/>
        <v>0</v>
      </c>
      <c r="Y283" s="1423"/>
      <c r="Z283" s="1423"/>
      <c r="AA283" s="1423"/>
    </row>
    <row r="284" spans="1:27" s="484" customFormat="1" ht="39.75" hidden="1" customHeight="1">
      <c r="A284" s="2127">
        <f>A279+1</f>
        <v>75</v>
      </c>
      <c r="B284" s="1915" t="s">
        <v>694</v>
      </c>
      <c r="C284" s="2127" t="s">
        <v>1548</v>
      </c>
      <c r="D284" s="1602">
        <f t="shared" si="91"/>
        <v>0</v>
      </c>
      <c r="E284" s="1615">
        <f>E285</f>
        <v>0</v>
      </c>
      <c r="F284" s="1615">
        <f>F285</f>
        <v>0</v>
      </c>
      <c r="G284" s="1600">
        <f t="shared" si="86"/>
        <v>0</v>
      </c>
      <c r="H284" s="1614">
        <f>H285</f>
        <v>0</v>
      </c>
      <c r="I284" s="1614">
        <f>I285</f>
        <v>0</v>
      </c>
      <c r="J284" s="1602">
        <f t="shared" si="80"/>
        <v>0</v>
      </c>
      <c r="K284" s="1615">
        <f>K285</f>
        <v>0</v>
      </c>
      <c r="L284" s="1615">
        <f>L285</f>
        <v>0</v>
      </c>
      <c r="M284" s="1893">
        <f t="shared" si="75"/>
        <v>0</v>
      </c>
      <c r="N284" s="1894">
        <f t="shared" si="75"/>
        <v>0</v>
      </c>
      <c r="O284" s="1894">
        <f t="shared" si="75"/>
        <v>0</v>
      </c>
      <c r="P284" s="2124" t="s">
        <v>1272</v>
      </c>
      <c r="Q284" s="2124" t="s">
        <v>1273</v>
      </c>
      <c r="R284" s="1600">
        <f t="shared" si="87"/>
        <v>0</v>
      </c>
      <c r="S284" s="1614">
        <v>0</v>
      </c>
      <c r="T284" s="1614">
        <v>0</v>
      </c>
      <c r="U284" s="1600">
        <f t="shared" si="88"/>
        <v>0</v>
      </c>
      <c r="V284" s="1614">
        <v>0</v>
      </c>
      <c r="W284" s="1614">
        <v>0</v>
      </c>
      <c r="X284" s="1423">
        <f t="shared" si="89"/>
        <v>0</v>
      </c>
      <c r="Y284" s="1423"/>
      <c r="Z284" s="1423"/>
      <c r="AA284" s="1423"/>
    </row>
    <row r="285" spans="1:27" s="484" customFormat="1" ht="23.25" hidden="1" customHeight="1">
      <c r="A285" s="2127"/>
      <c r="B285" s="1609" t="s">
        <v>1620</v>
      </c>
      <c r="C285" s="1882"/>
      <c r="D285" s="1602">
        <f t="shared" si="91"/>
        <v>0</v>
      </c>
      <c r="E285" s="1615">
        <v>0</v>
      </c>
      <c r="F285" s="1615">
        <v>0</v>
      </c>
      <c r="G285" s="1600">
        <f t="shared" si="86"/>
        <v>0</v>
      </c>
      <c r="H285" s="1616">
        <f>E285</f>
        <v>0</v>
      </c>
      <c r="I285" s="1616">
        <f>F285</f>
        <v>0</v>
      </c>
      <c r="J285" s="1600">
        <f t="shared" si="80"/>
        <v>0</v>
      </c>
      <c r="K285" s="1608"/>
      <c r="L285" s="1608"/>
      <c r="M285" s="1893">
        <f t="shared" si="75"/>
        <v>0</v>
      </c>
      <c r="N285" s="1894">
        <f t="shared" si="75"/>
        <v>0</v>
      </c>
      <c r="O285" s="1894">
        <f t="shared" si="75"/>
        <v>0</v>
      </c>
      <c r="P285" s="2124"/>
      <c r="Q285" s="2124"/>
      <c r="R285" s="1600">
        <f t="shared" si="87"/>
        <v>0</v>
      </c>
      <c r="S285" s="1608">
        <v>0</v>
      </c>
      <c r="T285" s="1608">
        <v>0</v>
      </c>
      <c r="U285" s="1600">
        <f t="shared" si="88"/>
        <v>0</v>
      </c>
      <c r="V285" s="1608">
        <v>0</v>
      </c>
      <c r="W285" s="1624">
        <v>0</v>
      </c>
      <c r="X285" s="1423">
        <f t="shared" si="89"/>
        <v>0</v>
      </c>
      <c r="Y285" s="1423"/>
      <c r="Z285" s="1423"/>
      <c r="AA285" s="1423"/>
    </row>
    <row r="286" spans="1:27" s="484" customFormat="1" ht="42" customHeight="1">
      <c r="A286" s="2127">
        <f>A279+1</f>
        <v>75</v>
      </c>
      <c r="B286" s="1915" t="s">
        <v>695</v>
      </c>
      <c r="C286" s="2127"/>
      <c r="D286" s="1602">
        <f t="shared" si="91"/>
        <v>191951.9</v>
      </c>
      <c r="E286" s="1615">
        <f>E287+E288</f>
        <v>180434.8</v>
      </c>
      <c r="F286" s="1615">
        <f>F287+F288</f>
        <v>11517.1</v>
      </c>
      <c r="G286" s="1600">
        <f t="shared" si="86"/>
        <v>191951.9</v>
      </c>
      <c r="H286" s="1614">
        <f>H287+H288</f>
        <v>180434.8</v>
      </c>
      <c r="I286" s="1614">
        <f>I287+I288</f>
        <v>11517.1</v>
      </c>
      <c r="J286" s="1602">
        <f t="shared" si="80"/>
        <v>186466.1</v>
      </c>
      <c r="K286" s="1615">
        <f>K287+K288</f>
        <v>175278.1</v>
      </c>
      <c r="L286" s="1615">
        <f>L287+L288</f>
        <v>11188</v>
      </c>
      <c r="M286" s="1893">
        <f t="shared" si="75"/>
        <v>97.1</v>
      </c>
      <c r="N286" s="1894">
        <f t="shared" si="75"/>
        <v>97.1</v>
      </c>
      <c r="O286" s="1894">
        <f t="shared" si="75"/>
        <v>97.1</v>
      </c>
      <c r="P286" s="2124" t="s">
        <v>1272</v>
      </c>
      <c r="Q286" s="2124" t="s">
        <v>1273</v>
      </c>
      <c r="R286" s="1600">
        <f t="shared" si="87"/>
        <v>0</v>
      </c>
      <c r="S286" s="1614">
        <v>0</v>
      </c>
      <c r="T286" s="1614">
        <v>0</v>
      </c>
      <c r="U286" s="1600">
        <f t="shared" si="88"/>
        <v>0</v>
      </c>
      <c r="V286" s="1614">
        <v>0</v>
      </c>
      <c r="W286" s="1614">
        <v>0</v>
      </c>
      <c r="X286" s="1423">
        <f t="shared" si="89"/>
        <v>0</v>
      </c>
      <c r="Y286" s="1423"/>
      <c r="Z286" s="1423"/>
      <c r="AA286" s="1423"/>
    </row>
    <row r="287" spans="1:27" ht="23.25">
      <c r="A287" s="2127"/>
      <c r="B287" s="1609" t="s">
        <v>1620</v>
      </c>
      <c r="C287" s="1882"/>
      <c r="D287" s="1602">
        <f t="shared" si="91"/>
        <v>104813.2</v>
      </c>
      <c r="E287" s="1616">
        <v>98524.5</v>
      </c>
      <c r="F287" s="2045">
        <f>6288.8-0.1</f>
        <v>6288.7</v>
      </c>
      <c r="G287" s="1600">
        <f>SUM(H287:I287)</f>
        <v>104813.2</v>
      </c>
      <c r="H287" s="1616">
        <f>E287</f>
        <v>98524.5</v>
      </c>
      <c r="I287" s="1616">
        <f>F287</f>
        <v>6288.7</v>
      </c>
      <c r="J287" s="1600">
        <f t="shared" si="80"/>
        <v>99946.1</v>
      </c>
      <c r="K287" s="1608">
        <v>93949.3</v>
      </c>
      <c r="L287" s="1608">
        <v>5996.8</v>
      </c>
      <c r="M287" s="1893">
        <f t="shared" si="75"/>
        <v>95.4</v>
      </c>
      <c r="N287" s="1894">
        <f t="shared" si="75"/>
        <v>95.4</v>
      </c>
      <c r="O287" s="1894">
        <f t="shared" si="75"/>
        <v>95.4</v>
      </c>
      <c r="P287" s="2124"/>
      <c r="Q287" s="2124"/>
      <c r="R287" s="1600">
        <f t="shared" si="87"/>
        <v>0</v>
      </c>
      <c r="S287" s="1608">
        <v>0</v>
      </c>
      <c r="T287" s="1608">
        <v>0</v>
      </c>
      <c r="U287" s="1600">
        <f t="shared" si="88"/>
        <v>0</v>
      </c>
      <c r="V287" s="1608">
        <v>0</v>
      </c>
      <c r="W287" s="1624">
        <v>0</v>
      </c>
      <c r="X287" s="1423">
        <f>D287-G287</f>
        <v>0</v>
      </c>
      <c r="Y287" s="1423"/>
      <c r="Z287" s="1423"/>
      <c r="AA287" s="1423"/>
    </row>
    <row r="288" spans="1:27" ht="23.25">
      <c r="A288" s="2127"/>
      <c r="B288" s="1609" t="s">
        <v>1770</v>
      </c>
      <c r="C288" s="1882"/>
      <c r="D288" s="1602">
        <f t="shared" si="91"/>
        <v>87138.7</v>
      </c>
      <c r="E288" s="1616">
        <v>81910.3</v>
      </c>
      <c r="F288" s="2045">
        <v>5228.3999999999996</v>
      </c>
      <c r="G288" s="1600">
        <f>SUM(H288:I288)</f>
        <v>87138.7</v>
      </c>
      <c r="H288" s="1619">
        <f>E288</f>
        <v>81910.3</v>
      </c>
      <c r="I288" s="1619">
        <f>F288</f>
        <v>5228.3999999999996</v>
      </c>
      <c r="J288" s="1600">
        <f t="shared" si="80"/>
        <v>86520</v>
      </c>
      <c r="K288" s="1608">
        <v>81328.800000000003</v>
      </c>
      <c r="L288" s="1608">
        <v>5191.2</v>
      </c>
      <c r="M288" s="1893">
        <f t="shared" si="75"/>
        <v>99.3</v>
      </c>
      <c r="N288" s="1894">
        <f t="shared" si="75"/>
        <v>99.3</v>
      </c>
      <c r="O288" s="1894">
        <f t="shared" si="75"/>
        <v>99.3</v>
      </c>
      <c r="P288" s="2124"/>
      <c r="Q288" s="2124"/>
      <c r="R288" s="1600">
        <f t="shared" si="87"/>
        <v>0</v>
      </c>
      <c r="S288" s="1608">
        <v>0</v>
      </c>
      <c r="T288" s="1608">
        <v>0</v>
      </c>
      <c r="U288" s="1600">
        <f t="shared" si="88"/>
        <v>0</v>
      </c>
      <c r="V288" s="1614"/>
      <c r="W288" s="1614"/>
      <c r="X288" s="1423">
        <f>D288-G288</f>
        <v>0</v>
      </c>
      <c r="Y288" s="1423"/>
      <c r="Z288" s="1423"/>
      <c r="AA288" s="1423"/>
    </row>
    <row r="289" spans="1:27" s="484" customFormat="1" ht="42" customHeight="1">
      <c r="A289" s="2127">
        <f>A286+1</f>
        <v>76</v>
      </c>
      <c r="B289" s="1915" t="s">
        <v>698</v>
      </c>
      <c r="C289" s="2127"/>
      <c r="D289" s="1602">
        <f t="shared" si="91"/>
        <v>1250553.7</v>
      </c>
      <c r="E289" s="1614">
        <f>E290+E292</f>
        <v>1175145.3</v>
      </c>
      <c r="F289" s="1614">
        <f>F290+F292</f>
        <v>75408.399999999994</v>
      </c>
      <c r="G289" s="1600">
        <f>SUM(H289:I289)</f>
        <v>1250553.7</v>
      </c>
      <c r="H289" s="1614">
        <f>H290+H292</f>
        <v>1175145.3</v>
      </c>
      <c r="I289" s="1614">
        <f>I290+I292</f>
        <v>75408.399999999994</v>
      </c>
      <c r="J289" s="1602">
        <f t="shared" si="80"/>
        <v>143201.70000000001</v>
      </c>
      <c r="K289" s="1614">
        <f>K290+K292</f>
        <v>134566.6</v>
      </c>
      <c r="L289" s="1614">
        <f>L290+L292</f>
        <v>8635.1</v>
      </c>
      <c r="M289" s="1893">
        <f t="shared" si="75"/>
        <v>11.5</v>
      </c>
      <c r="N289" s="1894">
        <f t="shared" si="75"/>
        <v>11.5</v>
      </c>
      <c r="O289" s="1894">
        <f t="shared" si="75"/>
        <v>11.5</v>
      </c>
      <c r="P289" s="2124" t="s">
        <v>1306</v>
      </c>
      <c r="Q289" s="2124" t="s">
        <v>1277</v>
      </c>
      <c r="R289" s="1600">
        <f t="shared" si="87"/>
        <v>778086</v>
      </c>
      <c r="S289" s="1615">
        <v>0</v>
      </c>
      <c r="T289" s="1615">
        <v>778086</v>
      </c>
      <c r="U289" s="1600">
        <f t="shared" si="88"/>
        <v>0</v>
      </c>
      <c r="V289" s="1615">
        <v>0</v>
      </c>
      <c r="W289" s="1615">
        <v>0</v>
      </c>
      <c r="X289" s="1423">
        <f t="shared" si="89"/>
        <v>0</v>
      </c>
      <c r="Y289" s="1423"/>
      <c r="Z289" s="1423"/>
      <c r="AA289" s="1423"/>
    </row>
    <row r="290" spans="1:27" s="484" customFormat="1" ht="24.75" customHeight="1">
      <c r="A290" s="2127"/>
      <c r="B290" s="1609" t="s">
        <v>1620</v>
      </c>
      <c r="C290" s="1882"/>
      <c r="D290" s="1602">
        <f t="shared" si="91"/>
        <v>1220006.3</v>
      </c>
      <c r="E290" s="1616">
        <v>1146439.8999999999</v>
      </c>
      <c r="F290" s="2045">
        <v>73566.399999999994</v>
      </c>
      <c r="G290" s="1600">
        <f t="shared" si="86"/>
        <v>1220006.3</v>
      </c>
      <c r="H290" s="1616">
        <f t="shared" ref="H290:I292" si="92">E290</f>
        <v>1146439.8999999999</v>
      </c>
      <c r="I290" s="1616">
        <f t="shared" si="92"/>
        <v>73566.399999999994</v>
      </c>
      <c r="J290" s="1600">
        <f t="shared" si="80"/>
        <v>143201.70000000001</v>
      </c>
      <c r="K290" s="1608">
        <v>134566.6</v>
      </c>
      <c r="L290" s="1608">
        <v>8635.1</v>
      </c>
      <c r="M290" s="1893">
        <f t="shared" si="75"/>
        <v>11.7</v>
      </c>
      <c r="N290" s="1894">
        <f t="shared" si="75"/>
        <v>11.7</v>
      </c>
      <c r="O290" s="1894">
        <f t="shared" si="75"/>
        <v>11.7</v>
      </c>
      <c r="P290" s="2124"/>
      <c r="Q290" s="2124"/>
      <c r="R290" s="1600">
        <f t="shared" si="87"/>
        <v>0</v>
      </c>
      <c r="S290" s="1608">
        <v>0</v>
      </c>
      <c r="T290" s="1608">
        <v>0</v>
      </c>
      <c r="U290" s="1600">
        <f t="shared" si="88"/>
        <v>0</v>
      </c>
      <c r="V290" s="1608">
        <v>0</v>
      </c>
      <c r="W290" s="1624">
        <v>0</v>
      </c>
      <c r="X290" s="1423">
        <f t="shared" si="89"/>
        <v>0</v>
      </c>
      <c r="Y290" s="1423"/>
      <c r="Z290" s="1423"/>
      <c r="AA290" s="1423"/>
    </row>
    <row r="291" spans="1:27" s="484" customFormat="1" ht="18.75" hidden="1" customHeight="1">
      <c r="A291" s="2127"/>
      <c r="B291" s="1609" t="s">
        <v>1621</v>
      </c>
      <c r="C291" s="1882"/>
      <c r="D291" s="1602">
        <f t="shared" si="91"/>
        <v>0</v>
      </c>
      <c r="E291" s="1616"/>
      <c r="F291" s="2045">
        <v>0</v>
      </c>
      <c r="G291" s="1600">
        <f t="shared" si="86"/>
        <v>0</v>
      </c>
      <c r="H291" s="1619">
        <f t="shared" si="92"/>
        <v>0</v>
      </c>
      <c r="I291" s="1619">
        <f t="shared" si="92"/>
        <v>0</v>
      </c>
      <c r="J291" s="1600">
        <f t="shared" si="80"/>
        <v>0</v>
      </c>
      <c r="K291" s="1608"/>
      <c r="L291" s="1624"/>
      <c r="M291" s="1893">
        <f t="shared" si="75"/>
        <v>0</v>
      </c>
      <c r="N291" s="1894">
        <f t="shared" si="75"/>
        <v>0</v>
      </c>
      <c r="O291" s="1894">
        <f t="shared" si="75"/>
        <v>0</v>
      </c>
      <c r="P291" s="2124"/>
      <c r="Q291" s="2124"/>
      <c r="R291" s="1600">
        <f t="shared" si="87"/>
        <v>778086</v>
      </c>
      <c r="S291" s="1608">
        <v>0</v>
      </c>
      <c r="T291" s="1608">
        <v>778086</v>
      </c>
      <c r="U291" s="1600">
        <f t="shared" si="88"/>
        <v>0</v>
      </c>
      <c r="V291" s="1614"/>
      <c r="W291" s="1614"/>
      <c r="Y291" s="1423"/>
      <c r="Z291" s="1423"/>
      <c r="AA291" s="1423"/>
    </row>
    <row r="292" spans="1:27" s="484" customFormat="1" ht="18.75" customHeight="1">
      <c r="A292" s="2127"/>
      <c r="B292" s="1609" t="s">
        <v>1798</v>
      </c>
      <c r="C292" s="1882"/>
      <c r="D292" s="1602">
        <f>SUM(E292:F292)</f>
        <v>30547.4</v>
      </c>
      <c r="E292" s="1616">
        <v>28705.4</v>
      </c>
      <c r="F292" s="2045">
        <v>1842</v>
      </c>
      <c r="G292" s="1600">
        <f>SUM(H292:I292)</f>
        <v>30547.4</v>
      </c>
      <c r="H292" s="1616">
        <f t="shared" si="92"/>
        <v>28705.4</v>
      </c>
      <c r="I292" s="1616">
        <f t="shared" si="92"/>
        <v>1842</v>
      </c>
      <c r="J292" s="1600">
        <f>SUM(K292:L292)</f>
        <v>0</v>
      </c>
      <c r="K292" s="1608"/>
      <c r="L292" s="1624"/>
      <c r="M292" s="1893">
        <f>IF(J292=0,0,J292/G292*100)</f>
        <v>0</v>
      </c>
      <c r="N292" s="1894">
        <f>IF(K292=0,0,K292/H292*100)</f>
        <v>0</v>
      </c>
      <c r="O292" s="1894">
        <f>IF(L292=0,0,L292/I292*100)</f>
        <v>0</v>
      </c>
      <c r="P292" s="2124"/>
      <c r="Q292" s="2124"/>
      <c r="R292" s="1600"/>
      <c r="S292" s="1608"/>
      <c r="T292" s="1608"/>
      <c r="U292" s="1600"/>
      <c r="V292" s="1614"/>
      <c r="W292" s="1614"/>
      <c r="Y292" s="1423"/>
      <c r="Z292" s="1423"/>
      <c r="AA292" s="1423"/>
    </row>
    <row r="293" spans="1:27" ht="70.5" customHeight="1">
      <c r="A293" s="2127">
        <f>A289+1</f>
        <v>77</v>
      </c>
      <c r="B293" s="1915" t="s">
        <v>697</v>
      </c>
      <c r="C293" s="2127"/>
      <c r="D293" s="1602">
        <f t="shared" si="91"/>
        <v>140743.5</v>
      </c>
      <c r="E293" s="1615">
        <f>E294+E295+E296</f>
        <v>122058.3</v>
      </c>
      <c r="F293" s="1615">
        <f>F294+F295+F296</f>
        <v>18685.2</v>
      </c>
      <c r="G293" s="1600">
        <f t="shared" si="86"/>
        <v>140743.5</v>
      </c>
      <c r="H293" s="1614">
        <f>H294+H295+H296</f>
        <v>122058.3</v>
      </c>
      <c r="I293" s="1614">
        <f>I294+I295+I296</f>
        <v>18685.2</v>
      </c>
      <c r="J293" s="1602">
        <f t="shared" si="80"/>
        <v>104625.2</v>
      </c>
      <c r="K293" s="1615">
        <f>K294+K295+K296</f>
        <v>98316.4</v>
      </c>
      <c r="L293" s="1615">
        <f>L294+L295+L296</f>
        <v>6308.8</v>
      </c>
      <c r="M293" s="1893">
        <f t="shared" si="75"/>
        <v>74.3</v>
      </c>
      <c r="N293" s="1894">
        <f t="shared" si="75"/>
        <v>80.5</v>
      </c>
      <c r="O293" s="1894">
        <f t="shared" si="75"/>
        <v>33.799999999999997</v>
      </c>
      <c r="P293" s="2124" t="s">
        <v>1192</v>
      </c>
      <c r="Q293" s="2124" t="s">
        <v>1658</v>
      </c>
      <c r="R293" s="1600">
        <f t="shared" si="87"/>
        <v>0</v>
      </c>
      <c r="S293" s="1614">
        <v>0</v>
      </c>
      <c r="T293" s="1614">
        <v>0</v>
      </c>
      <c r="U293" s="1600">
        <f t="shared" si="88"/>
        <v>0</v>
      </c>
      <c r="V293" s="1615">
        <v>0</v>
      </c>
      <c r="W293" s="1615">
        <v>0</v>
      </c>
      <c r="X293" s="1423">
        <f t="shared" ref="X293:X310" si="93">D293-G293</f>
        <v>0</v>
      </c>
      <c r="Y293" s="1423"/>
      <c r="Z293" s="1423"/>
      <c r="AA293" s="1423"/>
    </row>
    <row r="294" spans="1:27" ht="23.25">
      <c r="A294" s="2127"/>
      <c r="B294" s="1609" t="s">
        <v>1620</v>
      </c>
      <c r="C294" s="2127"/>
      <c r="D294" s="1602">
        <f t="shared" si="91"/>
        <v>98852.6</v>
      </c>
      <c r="E294" s="1615">
        <v>92891.8</v>
      </c>
      <c r="F294" s="1615">
        <v>5960.8</v>
      </c>
      <c r="G294" s="1600">
        <f t="shared" ref="G294:G303" si="94">SUM(H294:I294)</f>
        <v>98852.6</v>
      </c>
      <c r="H294" s="1616">
        <f t="shared" ref="H294:I296" si="95">E294</f>
        <v>92891.8</v>
      </c>
      <c r="I294" s="1616">
        <f t="shared" si="95"/>
        <v>5960.8</v>
      </c>
      <c r="J294" s="1600">
        <f t="shared" si="80"/>
        <v>88177.5</v>
      </c>
      <c r="K294" s="1614">
        <v>82860.5</v>
      </c>
      <c r="L294" s="1614">
        <v>5317</v>
      </c>
      <c r="M294" s="1893">
        <f t="shared" si="75"/>
        <v>89.2</v>
      </c>
      <c r="N294" s="1894">
        <f t="shared" si="75"/>
        <v>89.2</v>
      </c>
      <c r="O294" s="1894">
        <f t="shared" si="75"/>
        <v>89.2</v>
      </c>
      <c r="P294" s="2124"/>
      <c r="Q294" s="2124"/>
      <c r="R294" s="1600"/>
      <c r="S294" s="1614"/>
      <c r="T294" s="1614"/>
      <c r="U294" s="1600"/>
      <c r="V294" s="1615"/>
      <c r="W294" s="1615"/>
      <c r="X294" s="1423">
        <f t="shared" si="93"/>
        <v>0</v>
      </c>
      <c r="Y294" s="1423"/>
      <c r="Z294" s="1423"/>
      <c r="AA294" s="1423"/>
    </row>
    <row r="295" spans="1:27" ht="23.25">
      <c r="A295" s="2127"/>
      <c r="B295" s="1609" t="s">
        <v>1770</v>
      </c>
      <c r="C295" s="1882"/>
      <c r="D295" s="1602">
        <f t="shared" si="91"/>
        <v>31038.1</v>
      </c>
      <c r="E295" s="1616">
        <v>29166.5</v>
      </c>
      <c r="F295" s="2045">
        <v>1871.6</v>
      </c>
      <c r="G295" s="1600">
        <f t="shared" si="94"/>
        <v>31038.1</v>
      </c>
      <c r="H295" s="1616">
        <f t="shared" si="95"/>
        <v>29166.5</v>
      </c>
      <c r="I295" s="1616">
        <f t="shared" si="95"/>
        <v>1871.6</v>
      </c>
      <c r="J295" s="1600">
        <f t="shared" si="80"/>
        <v>16447.7</v>
      </c>
      <c r="K295" s="1608">
        <v>15455.9</v>
      </c>
      <c r="L295" s="1608">
        <v>991.8</v>
      </c>
      <c r="M295" s="1893">
        <f t="shared" si="75"/>
        <v>53</v>
      </c>
      <c r="N295" s="1894">
        <f t="shared" si="75"/>
        <v>53</v>
      </c>
      <c r="O295" s="1894">
        <f t="shared" si="75"/>
        <v>53</v>
      </c>
      <c r="P295" s="2124"/>
      <c r="Q295" s="2124"/>
      <c r="R295" s="1600">
        <f>S295+T295</f>
        <v>0</v>
      </c>
      <c r="S295" s="1608">
        <v>0</v>
      </c>
      <c r="T295" s="1608">
        <v>0</v>
      </c>
      <c r="U295" s="1600">
        <f>V295+W295</f>
        <v>0</v>
      </c>
      <c r="V295" s="1614"/>
      <c r="W295" s="1614"/>
      <c r="X295" s="1423">
        <f t="shared" si="93"/>
        <v>0</v>
      </c>
      <c r="Y295" s="1423"/>
      <c r="Z295" s="1423"/>
      <c r="AA295" s="1423"/>
    </row>
    <row r="296" spans="1:27" ht="23.25">
      <c r="A296" s="2127"/>
      <c r="B296" s="1609" t="s">
        <v>1621</v>
      </c>
      <c r="C296" s="2127"/>
      <c r="D296" s="1602">
        <f t="shared" si="91"/>
        <v>10852.8</v>
      </c>
      <c r="E296" s="1615">
        <v>0</v>
      </c>
      <c r="F296" s="1615">
        <v>10852.8</v>
      </c>
      <c r="G296" s="1600">
        <f t="shared" si="94"/>
        <v>10852.8</v>
      </c>
      <c r="H296" s="1616">
        <f t="shared" si="95"/>
        <v>0</v>
      </c>
      <c r="I296" s="1616">
        <f t="shared" si="95"/>
        <v>10852.8</v>
      </c>
      <c r="J296" s="1600">
        <f t="shared" si="80"/>
        <v>0</v>
      </c>
      <c r="K296" s="1614">
        <v>0</v>
      </c>
      <c r="L296" s="1614">
        <v>0</v>
      </c>
      <c r="M296" s="1893">
        <f t="shared" si="75"/>
        <v>0</v>
      </c>
      <c r="N296" s="1894">
        <f t="shared" si="75"/>
        <v>0</v>
      </c>
      <c r="O296" s="1894">
        <f t="shared" si="75"/>
        <v>0</v>
      </c>
      <c r="P296" s="2124"/>
      <c r="Q296" s="2124"/>
      <c r="R296" s="1600"/>
      <c r="S296" s="1614"/>
      <c r="T296" s="1614"/>
      <c r="U296" s="1600"/>
      <c r="V296" s="1615"/>
      <c r="W296" s="1615"/>
      <c r="X296" s="1423">
        <f t="shared" si="93"/>
        <v>0</v>
      </c>
      <c r="Y296" s="1423"/>
      <c r="Z296" s="1423"/>
      <c r="AA296" s="1423"/>
    </row>
    <row r="297" spans="1:27" ht="78.75" customHeight="1">
      <c r="A297" s="2127">
        <f>A293+1</f>
        <v>78</v>
      </c>
      <c r="B297" s="1915" t="s">
        <v>942</v>
      </c>
      <c r="C297" s="2127"/>
      <c r="D297" s="1602">
        <f t="shared" si="91"/>
        <v>219861.4</v>
      </c>
      <c r="E297" s="1615">
        <f>E298+E299</f>
        <v>206603.8</v>
      </c>
      <c r="F297" s="1615">
        <f>F298+F299</f>
        <v>13257.6</v>
      </c>
      <c r="G297" s="1600">
        <f t="shared" si="94"/>
        <v>219861.4</v>
      </c>
      <c r="H297" s="1614">
        <f>H298+H299</f>
        <v>206603.8</v>
      </c>
      <c r="I297" s="1614">
        <f>I298+I299</f>
        <v>13257.6</v>
      </c>
      <c r="J297" s="1602">
        <f t="shared" si="80"/>
        <v>196700.79999999999</v>
      </c>
      <c r="K297" s="1614">
        <f>K298+K299</f>
        <v>184839.8</v>
      </c>
      <c r="L297" s="1615">
        <f>L298+L299</f>
        <v>11861</v>
      </c>
      <c r="M297" s="1893">
        <f t="shared" si="75"/>
        <v>89.5</v>
      </c>
      <c r="N297" s="1894">
        <f t="shared" si="75"/>
        <v>89.5</v>
      </c>
      <c r="O297" s="1894">
        <f t="shared" si="75"/>
        <v>89.5</v>
      </c>
      <c r="P297" s="2124" t="s">
        <v>1192</v>
      </c>
      <c r="Q297" s="2124" t="s">
        <v>1279</v>
      </c>
      <c r="R297" s="1600">
        <f>S297+T297</f>
        <v>0</v>
      </c>
      <c r="S297" s="1614">
        <v>0</v>
      </c>
      <c r="T297" s="1614">
        <v>0</v>
      </c>
      <c r="U297" s="1600">
        <f>V297+W297</f>
        <v>0</v>
      </c>
      <c r="V297" s="1615">
        <v>0</v>
      </c>
      <c r="W297" s="1615">
        <v>0</v>
      </c>
      <c r="X297" s="1423">
        <f t="shared" si="93"/>
        <v>0</v>
      </c>
      <c r="Y297" s="1423"/>
      <c r="Z297" s="1423"/>
      <c r="AA297" s="1423"/>
    </row>
    <row r="298" spans="1:27" ht="23.25">
      <c r="A298" s="2127"/>
      <c r="B298" s="1609" t="s">
        <v>1620</v>
      </c>
      <c r="C298" s="2127"/>
      <c r="D298" s="1602">
        <f t="shared" si="91"/>
        <v>201856.9</v>
      </c>
      <c r="E298" s="1615">
        <v>189685</v>
      </c>
      <c r="F298" s="1615">
        <v>12171.9</v>
      </c>
      <c r="G298" s="1600">
        <f t="shared" si="94"/>
        <v>201856.9</v>
      </c>
      <c r="H298" s="1616">
        <f>E298</f>
        <v>189685</v>
      </c>
      <c r="I298" s="1616">
        <f>F298</f>
        <v>12171.9</v>
      </c>
      <c r="J298" s="1600">
        <f t="shared" ref="J298:J303" si="96">SUM(K298:L298)</f>
        <v>190417.8</v>
      </c>
      <c r="K298" s="1614">
        <v>178935.7</v>
      </c>
      <c r="L298" s="1614">
        <v>11482.1</v>
      </c>
      <c r="M298" s="1893">
        <f t="shared" si="75"/>
        <v>94.3</v>
      </c>
      <c r="N298" s="1894">
        <f t="shared" si="75"/>
        <v>94.3</v>
      </c>
      <c r="O298" s="1894">
        <f t="shared" si="75"/>
        <v>94.3</v>
      </c>
      <c r="P298" s="2124"/>
      <c r="Q298" s="2124"/>
      <c r="R298" s="1600"/>
      <c r="S298" s="1614"/>
      <c r="T298" s="1614"/>
      <c r="U298" s="1600"/>
      <c r="V298" s="1615"/>
      <c r="W298" s="1615"/>
      <c r="X298" s="1423">
        <f t="shared" si="93"/>
        <v>0</v>
      </c>
      <c r="Y298" s="1423"/>
      <c r="Z298" s="1423"/>
      <c r="AA298" s="1423"/>
    </row>
    <row r="299" spans="1:27" ht="23.25">
      <c r="A299" s="2127"/>
      <c r="B299" s="1609" t="s">
        <v>1770</v>
      </c>
      <c r="C299" s="1882"/>
      <c r="D299" s="1602">
        <f t="shared" si="91"/>
        <v>18004.5</v>
      </c>
      <c r="E299" s="1616">
        <v>16918.8</v>
      </c>
      <c r="F299" s="2045">
        <v>1085.7</v>
      </c>
      <c r="G299" s="1600">
        <f t="shared" si="94"/>
        <v>18004.5</v>
      </c>
      <c r="H299" s="1616">
        <f>E299</f>
        <v>16918.8</v>
      </c>
      <c r="I299" s="1616">
        <f>F299</f>
        <v>1085.7</v>
      </c>
      <c r="J299" s="1600">
        <f t="shared" si="96"/>
        <v>6283</v>
      </c>
      <c r="K299" s="1608">
        <v>5904.1</v>
      </c>
      <c r="L299" s="1608">
        <v>378.9</v>
      </c>
      <c r="M299" s="1893">
        <f t="shared" si="75"/>
        <v>34.9</v>
      </c>
      <c r="N299" s="1894">
        <f t="shared" si="75"/>
        <v>34.9</v>
      </c>
      <c r="O299" s="1894">
        <f t="shared" si="75"/>
        <v>34.9</v>
      </c>
      <c r="P299" s="2124"/>
      <c r="Q299" s="2124"/>
      <c r="R299" s="1600">
        <f>S299+T299</f>
        <v>0</v>
      </c>
      <c r="S299" s="1608">
        <v>0</v>
      </c>
      <c r="T299" s="1608">
        <v>0</v>
      </c>
      <c r="U299" s="1600">
        <f>V299+W299</f>
        <v>0</v>
      </c>
      <c r="V299" s="1614"/>
      <c r="W299" s="1614"/>
      <c r="X299" s="1423">
        <f t="shared" si="93"/>
        <v>0</v>
      </c>
      <c r="Y299" s="1423"/>
      <c r="Z299" s="1423"/>
      <c r="AA299" s="1423"/>
    </row>
    <row r="300" spans="1:27" ht="82.5" customHeight="1">
      <c r="A300" s="2127">
        <f>A297+1</f>
        <v>79</v>
      </c>
      <c r="B300" s="1915" t="s">
        <v>1635</v>
      </c>
      <c r="C300" s="2127"/>
      <c r="D300" s="1602">
        <f t="shared" si="91"/>
        <v>244.8</v>
      </c>
      <c r="E300" s="1615">
        <f>E301+E302</f>
        <v>230.1</v>
      </c>
      <c r="F300" s="1615">
        <f>F301+F302</f>
        <v>14.7</v>
      </c>
      <c r="G300" s="1600">
        <f t="shared" si="94"/>
        <v>244.8</v>
      </c>
      <c r="H300" s="1614">
        <f>H301+H302</f>
        <v>230.1</v>
      </c>
      <c r="I300" s="1614">
        <f>I301+I302</f>
        <v>14.7</v>
      </c>
      <c r="J300" s="1602">
        <f t="shared" si="96"/>
        <v>0</v>
      </c>
      <c r="K300" s="1615">
        <f>K301+K302</f>
        <v>0</v>
      </c>
      <c r="L300" s="1615">
        <f>L301+L302</f>
        <v>0</v>
      </c>
      <c r="M300" s="1893">
        <f t="shared" si="75"/>
        <v>0</v>
      </c>
      <c r="N300" s="1894">
        <f t="shared" si="75"/>
        <v>0</v>
      </c>
      <c r="O300" s="1894">
        <f t="shared" si="75"/>
        <v>0</v>
      </c>
      <c r="P300" s="2124" t="s">
        <v>1192</v>
      </c>
      <c r="Q300" s="2124" t="s">
        <v>1279</v>
      </c>
      <c r="R300" s="1600">
        <f>S300+T300</f>
        <v>0</v>
      </c>
      <c r="S300" s="1614">
        <v>0</v>
      </c>
      <c r="T300" s="1614">
        <v>0</v>
      </c>
      <c r="U300" s="1600">
        <f>V300+W300</f>
        <v>0</v>
      </c>
      <c r="V300" s="1615">
        <v>0</v>
      </c>
      <c r="W300" s="1615">
        <v>0</v>
      </c>
      <c r="X300" s="1423">
        <f t="shared" si="93"/>
        <v>0</v>
      </c>
      <c r="Y300" s="1423"/>
      <c r="Z300" s="1423"/>
      <c r="AA300" s="1423"/>
    </row>
    <row r="301" spans="1:27" ht="23.25">
      <c r="A301" s="2127"/>
      <c r="B301" s="1609" t="s">
        <v>1620</v>
      </c>
      <c r="C301" s="2127"/>
      <c r="D301" s="1602">
        <f t="shared" si="91"/>
        <v>0</v>
      </c>
      <c r="E301" s="1615">
        <v>0</v>
      </c>
      <c r="F301" s="1615">
        <v>0</v>
      </c>
      <c r="G301" s="1600">
        <f t="shared" si="94"/>
        <v>0</v>
      </c>
      <c r="H301" s="1616">
        <f>E301</f>
        <v>0</v>
      </c>
      <c r="I301" s="1616">
        <f>F301</f>
        <v>0</v>
      </c>
      <c r="J301" s="1600">
        <f t="shared" si="96"/>
        <v>0</v>
      </c>
      <c r="K301" s="1614"/>
      <c r="L301" s="1614"/>
      <c r="M301" s="1893">
        <f t="shared" si="75"/>
        <v>0</v>
      </c>
      <c r="N301" s="1894">
        <f t="shared" si="75"/>
        <v>0</v>
      </c>
      <c r="O301" s="1894">
        <f t="shared" si="75"/>
        <v>0</v>
      </c>
      <c r="P301" s="2124"/>
      <c r="Q301" s="2124"/>
      <c r="R301" s="1600"/>
      <c r="S301" s="1614"/>
      <c r="T301" s="1614"/>
      <c r="U301" s="1600"/>
      <c r="V301" s="1615"/>
      <c r="W301" s="1615"/>
      <c r="X301" s="1423">
        <f>D301-G301</f>
        <v>0</v>
      </c>
      <c r="Y301" s="1423"/>
      <c r="Z301" s="1423"/>
      <c r="AA301" s="1423"/>
    </row>
    <row r="302" spans="1:27" ht="23.25">
      <c r="A302" s="2127"/>
      <c r="B302" s="1609" t="s">
        <v>1770</v>
      </c>
      <c r="C302" s="1882"/>
      <c r="D302" s="1602">
        <f t="shared" si="91"/>
        <v>244.8</v>
      </c>
      <c r="E302" s="1616">
        <v>230.1</v>
      </c>
      <c r="F302" s="2045">
        <v>14.7</v>
      </c>
      <c r="G302" s="1600">
        <f t="shared" si="94"/>
        <v>244.8</v>
      </c>
      <c r="H302" s="1616">
        <f>E302</f>
        <v>230.1</v>
      </c>
      <c r="I302" s="1616">
        <f>F302</f>
        <v>14.7</v>
      </c>
      <c r="J302" s="1600">
        <f t="shared" si="96"/>
        <v>0</v>
      </c>
      <c r="K302" s="1608"/>
      <c r="L302" s="1624"/>
      <c r="M302" s="1893">
        <f t="shared" si="75"/>
        <v>0</v>
      </c>
      <c r="N302" s="1894">
        <f t="shared" si="75"/>
        <v>0</v>
      </c>
      <c r="O302" s="1894">
        <f>IF(L302=0,0,L302/I302*100)</f>
        <v>0</v>
      </c>
      <c r="P302" s="2124"/>
      <c r="Q302" s="2124"/>
      <c r="R302" s="1600">
        <f>S302+T302</f>
        <v>0</v>
      </c>
      <c r="S302" s="1608">
        <v>0</v>
      </c>
      <c r="T302" s="1608">
        <v>0</v>
      </c>
      <c r="U302" s="1600">
        <f>V302+W302</f>
        <v>0</v>
      </c>
      <c r="V302" s="1614"/>
      <c r="W302" s="1614"/>
      <c r="X302" s="1423">
        <f>D302-G302</f>
        <v>0</v>
      </c>
      <c r="Y302" s="1423"/>
      <c r="Z302" s="1423"/>
      <c r="AA302" s="1423"/>
    </row>
    <row r="303" spans="1:27" ht="77.25" customHeight="1">
      <c r="A303" s="2127" t="s">
        <v>1515</v>
      </c>
      <c r="B303" s="1897" t="s">
        <v>1513</v>
      </c>
      <c r="C303" s="1898"/>
      <c r="D303" s="1899">
        <f t="shared" si="91"/>
        <v>62986.400000000001</v>
      </c>
      <c r="E303" s="1899">
        <f>E304</f>
        <v>44119.8</v>
      </c>
      <c r="F303" s="1899">
        <f>F304</f>
        <v>18866.599999999999</v>
      </c>
      <c r="G303" s="1899">
        <f t="shared" si="94"/>
        <v>62986.400000000001</v>
      </c>
      <c r="H303" s="1899">
        <f>H304</f>
        <v>44119.8</v>
      </c>
      <c r="I303" s="1899">
        <f>I304</f>
        <v>18866.599999999999</v>
      </c>
      <c r="J303" s="1899">
        <f t="shared" si="96"/>
        <v>62952.7</v>
      </c>
      <c r="K303" s="1899">
        <f>K304</f>
        <v>44119.8</v>
      </c>
      <c r="L303" s="1899">
        <f>L304</f>
        <v>18832.900000000001</v>
      </c>
      <c r="M303" s="1900">
        <v>0</v>
      </c>
      <c r="N303" s="1900">
        <f>IF(K303=0,0,K303/H303*100)</f>
        <v>100</v>
      </c>
      <c r="O303" s="1901">
        <v>0</v>
      </c>
      <c r="P303" s="2124"/>
      <c r="Q303" s="2124"/>
      <c r="R303" s="1899">
        <f t="shared" ref="R303:R313" si="97">SUM(S303:T303)</f>
        <v>0</v>
      </c>
      <c r="S303" s="1899">
        <f>S304</f>
        <v>0</v>
      </c>
      <c r="T303" s="1899">
        <f>T304</f>
        <v>0</v>
      </c>
      <c r="U303" s="1899">
        <f t="shared" ref="U303:U313" si="98">SUM(V303:W303)</f>
        <v>0</v>
      </c>
      <c r="V303" s="1899">
        <f>V304</f>
        <v>0</v>
      </c>
      <c r="W303" s="1899">
        <f>W304</f>
        <v>0</v>
      </c>
      <c r="X303" s="1423">
        <f t="shared" si="93"/>
        <v>0</v>
      </c>
      <c r="Y303" s="1423"/>
      <c r="Z303" s="1423"/>
      <c r="AA303" s="1423"/>
    </row>
    <row r="304" spans="1:27" ht="57" customHeight="1">
      <c r="A304" s="2127">
        <f>A300+1</f>
        <v>80</v>
      </c>
      <c r="B304" s="1889" t="s">
        <v>1495</v>
      </c>
      <c r="C304" s="2127">
        <v>30131</v>
      </c>
      <c r="D304" s="1600">
        <f t="shared" si="91"/>
        <v>62986.400000000001</v>
      </c>
      <c r="E304" s="1608">
        <v>44119.8</v>
      </c>
      <c r="F304" s="1616">
        <v>18866.599999999999</v>
      </c>
      <c r="G304" s="1600">
        <f t="shared" si="86"/>
        <v>62986.400000000001</v>
      </c>
      <c r="H304" s="1616">
        <v>44119.8</v>
      </c>
      <c r="I304" s="1616">
        <v>18866.599999999999</v>
      </c>
      <c r="J304" s="1600">
        <f t="shared" ref="J304:J336" si="99">SUM(K304:L304)</f>
        <v>62952.7</v>
      </c>
      <c r="K304" s="1608">
        <f>12803.8+12803.8+10607.39+7904.78</f>
        <v>44119.8</v>
      </c>
      <c r="L304" s="1616">
        <f>180+420+18232.86</f>
        <v>18832.900000000001</v>
      </c>
      <c r="M304" s="1604">
        <v>0</v>
      </c>
      <c r="N304" s="1881">
        <f>IF(K304=0,0,K304/H304*100)</f>
        <v>100</v>
      </c>
      <c r="O304" s="1881">
        <v>0</v>
      </c>
      <c r="P304" s="2124" t="s">
        <v>1290</v>
      </c>
      <c r="Q304" s="2124" t="s">
        <v>1240</v>
      </c>
      <c r="R304" s="1600">
        <f t="shared" si="97"/>
        <v>0</v>
      </c>
      <c r="S304" s="1608">
        <v>0</v>
      </c>
      <c r="T304" s="1608">
        <v>0</v>
      </c>
      <c r="U304" s="1600">
        <f t="shared" si="98"/>
        <v>0</v>
      </c>
      <c r="V304" s="1608">
        <v>0</v>
      </c>
      <c r="W304" s="1608">
        <v>0</v>
      </c>
      <c r="X304" s="1423">
        <f t="shared" si="93"/>
        <v>0</v>
      </c>
      <c r="Y304" s="1423"/>
      <c r="Z304" s="1423"/>
      <c r="AA304" s="1423"/>
    </row>
    <row r="305" spans="1:28" s="484" customFormat="1" ht="77.25" customHeight="1">
      <c r="A305" s="1896" t="s">
        <v>1778</v>
      </c>
      <c r="B305" s="1897" t="s">
        <v>1771</v>
      </c>
      <c r="C305" s="1898"/>
      <c r="D305" s="1899">
        <f t="shared" si="91"/>
        <v>85909.1</v>
      </c>
      <c r="E305" s="1899">
        <f>E306+E307</f>
        <v>85050</v>
      </c>
      <c r="F305" s="1899">
        <f>F306+F307</f>
        <v>859.1</v>
      </c>
      <c r="G305" s="1899">
        <f t="shared" si="86"/>
        <v>85909.1</v>
      </c>
      <c r="H305" s="1899">
        <f>H306+H307</f>
        <v>85050</v>
      </c>
      <c r="I305" s="1899">
        <f>I306+I307</f>
        <v>859.1</v>
      </c>
      <c r="J305" s="1899">
        <f t="shared" si="99"/>
        <v>10811</v>
      </c>
      <c r="K305" s="1899">
        <f>K306+K307</f>
        <v>10702.9</v>
      </c>
      <c r="L305" s="1899">
        <f>L306+L307</f>
        <v>108.1</v>
      </c>
      <c r="M305" s="1900">
        <f t="shared" si="75"/>
        <v>12.6</v>
      </c>
      <c r="N305" s="1900">
        <f t="shared" si="75"/>
        <v>12.6</v>
      </c>
      <c r="O305" s="1900">
        <f t="shared" si="75"/>
        <v>12.6</v>
      </c>
      <c r="P305" s="2124"/>
      <c r="Q305" s="2124"/>
      <c r="R305" s="1600" t="e">
        <f>SUM(S305:T305)</f>
        <v>#REF!</v>
      </c>
      <c r="S305" s="1600" t="e">
        <f>#REF!</f>
        <v>#REF!</v>
      </c>
      <c r="T305" s="1600" t="e">
        <f>#REF!</f>
        <v>#REF!</v>
      </c>
      <c r="U305" s="1600" t="e">
        <f>SUM(V305:W305)</f>
        <v>#REF!</v>
      </c>
      <c r="V305" s="1600" t="e">
        <f>#REF!</f>
        <v>#REF!</v>
      </c>
      <c r="W305" s="1600" t="e">
        <f>#REF!</f>
        <v>#REF!</v>
      </c>
      <c r="X305" s="1760">
        <f>D305-G305</f>
        <v>0</v>
      </c>
      <c r="Y305" s="1423"/>
      <c r="Z305" s="1423"/>
      <c r="AA305" s="1423"/>
    </row>
    <row r="306" spans="1:28" s="484" customFormat="1" ht="57" customHeight="1">
      <c r="A306" s="1866">
        <f>A304+1</f>
        <v>81</v>
      </c>
      <c r="B306" s="2051" t="s">
        <v>1775</v>
      </c>
      <c r="C306" s="1866">
        <v>30131</v>
      </c>
      <c r="D306" s="1600">
        <f t="shared" si="91"/>
        <v>15202</v>
      </c>
      <c r="E306" s="1608">
        <v>15050</v>
      </c>
      <c r="F306" s="1608">
        <v>152</v>
      </c>
      <c r="G306" s="1600">
        <f>SUM(H306:I306)</f>
        <v>15202</v>
      </c>
      <c r="H306" s="1616">
        <f>E306</f>
        <v>15050</v>
      </c>
      <c r="I306" s="1616">
        <f>F306</f>
        <v>152</v>
      </c>
      <c r="J306" s="1600">
        <f t="shared" si="99"/>
        <v>3740.3</v>
      </c>
      <c r="K306" s="1608">
        <v>3702.9</v>
      </c>
      <c r="L306" s="1608">
        <v>37.4</v>
      </c>
      <c r="M306" s="1893">
        <f t="shared" si="75"/>
        <v>24.6</v>
      </c>
      <c r="N306" s="1894">
        <f t="shared" si="75"/>
        <v>24.6</v>
      </c>
      <c r="O306" s="1894">
        <f t="shared" si="75"/>
        <v>24.6</v>
      </c>
      <c r="P306" s="2124" t="s">
        <v>1290</v>
      </c>
      <c r="Q306" s="2124" t="s">
        <v>1240</v>
      </c>
      <c r="R306" s="1600">
        <f>SUM(S306:T306)</f>
        <v>0</v>
      </c>
      <c r="S306" s="1608">
        <v>0</v>
      </c>
      <c r="T306" s="1608">
        <v>0</v>
      </c>
      <c r="U306" s="1600">
        <f>SUM(V306:W306)</f>
        <v>0</v>
      </c>
      <c r="V306" s="1608">
        <v>0</v>
      </c>
      <c r="W306" s="1608">
        <v>0</v>
      </c>
      <c r="X306" s="1760">
        <f>D306-G306</f>
        <v>0</v>
      </c>
      <c r="Y306" s="1423"/>
      <c r="Z306" s="1423"/>
      <c r="AA306" s="1423"/>
    </row>
    <row r="307" spans="1:28" s="484" customFormat="1" ht="57" customHeight="1">
      <c r="A307" s="1866">
        <f>A306+1</f>
        <v>82</v>
      </c>
      <c r="B307" s="2051" t="s">
        <v>1776</v>
      </c>
      <c r="C307" s="1866">
        <v>30131</v>
      </c>
      <c r="D307" s="1600">
        <f t="shared" si="91"/>
        <v>70707.100000000006</v>
      </c>
      <c r="E307" s="1608">
        <v>70000</v>
      </c>
      <c r="F307" s="1608">
        <v>707.1</v>
      </c>
      <c r="G307" s="1600">
        <f>SUM(H307:I307)</f>
        <v>70707.100000000006</v>
      </c>
      <c r="H307" s="1616">
        <f>E307</f>
        <v>70000</v>
      </c>
      <c r="I307" s="1616">
        <f>F307</f>
        <v>707.1</v>
      </c>
      <c r="J307" s="1600">
        <f t="shared" si="99"/>
        <v>7070.7</v>
      </c>
      <c r="K307" s="1608">
        <v>7000</v>
      </c>
      <c r="L307" s="1608">
        <v>70.7</v>
      </c>
      <c r="M307" s="1893">
        <f t="shared" si="75"/>
        <v>10</v>
      </c>
      <c r="N307" s="1894">
        <f t="shared" si="75"/>
        <v>10</v>
      </c>
      <c r="O307" s="1894">
        <f t="shared" si="75"/>
        <v>10</v>
      </c>
      <c r="P307" s="2124" t="s">
        <v>1290</v>
      </c>
      <c r="Q307" s="2124" t="s">
        <v>1240</v>
      </c>
      <c r="R307" s="1600">
        <f>SUM(S307:T307)</f>
        <v>0</v>
      </c>
      <c r="S307" s="1608">
        <v>0</v>
      </c>
      <c r="T307" s="1608">
        <v>0</v>
      </c>
      <c r="U307" s="1600">
        <f>SUM(V307:W307)</f>
        <v>0</v>
      </c>
      <c r="V307" s="1608">
        <v>0</v>
      </c>
      <c r="W307" s="1608">
        <v>0</v>
      </c>
      <c r="X307" s="1760">
        <f>D307-G307</f>
        <v>0</v>
      </c>
      <c r="Y307" s="1423"/>
      <c r="Z307" s="1423"/>
      <c r="AA307" s="1423"/>
    </row>
    <row r="308" spans="1:28" ht="24.75" customHeight="1">
      <c r="A308" s="2127" t="s">
        <v>1636</v>
      </c>
      <c r="B308" s="1897" t="s">
        <v>529</v>
      </c>
      <c r="C308" s="1898"/>
      <c r="D308" s="1899">
        <f t="shared" si="91"/>
        <v>231733.1</v>
      </c>
      <c r="E308" s="1899">
        <f>SUM(E309:E314)</f>
        <v>103615.1</v>
      </c>
      <c r="F308" s="1899">
        <f>SUM(F309:F314)</f>
        <v>128118</v>
      </c>
      <c r="G308" s="1899">
        <f>SUM(H308:I308)</f>
        <v>231733.1</v>
      </c>
      <c r="H308" s="1899">
        <f>SUM(H309:H314)</f>
        <v>103615.1</v>
      </c>
      <c r="I308" s="1899">
        <f>SUM(I309:I314)</f>
        <v>128118</v>
      </c>
      <c r="J308" s="1899">
        <f t="shared" si="99"/>
        <v>141958.29999999999</v>
      </c>
      <c r="K308" s="1899">
        <f>SUM(K309:K314)</f>
        <v>103674.4</v>
      </c>
      <c r="L308" s="1899">
        <f>SUM(L309:L314)</f>
        <v>38283.9</v>
      </c>
      <c r="M308" s="1899">
        <f t="shared" si="75"/>
        <v>61.3</v>
      </c>
      <c r="N308" s="1899">
        <f t="shared" si="75"/>
        <v>100.1</v>
      </c>
      <c r="O308" s="1899">
        <f t="shared" si="75"/>
        <v>29.9</v>
      </c>
      <c r="P308" s="1599"/>
      <c r="Q308" s="1599"/>
      <c r="R308" s="1899">
        <f>SUM(S308:T308)</f>
        <v>220985.5</v>
      </c>
      <c r="S308" s="1899">
        <f>SUM(S309:S314)</f>
        <v>0</v>
      </c>
      <c r="T308" s="1899">
        <f>SUM(T309:T314)</f>
        <v>220985.5</v>
      </c>
      <c r="U308" s="1899">
        <f>SUM(V308:W308)</f>
        <v>0</v>
      </c>
      <c r="V308" s="1899">
        <f>SUM(V309:V314)</f>
        <v>0</v>
      </c>
      <c r="W308" s="1899">
        <f>SUM(W309:W314)</f>
        <v>0</v>
      </c>
      <c r="X308" s="1423">
        <f t="shared" si="93"/>
        <v>0</v>
      </c>
      <c r="Y308" s="1423"/>
      <c r="Z308" s="1423"/>
      <c r="AA308" s="1423"/>
    </row>
    <row r="309" spans="1:28" ht="66" customHeight="1">
      <c r="A309" s="2127">
        <f>A307+1</f>
        <v>83</v>
      </c>
      <c r="B309" s="1925" t="s">
        <v>707</v>
      </c>
      <c r="C309" s="1866">
        <v>10120</v>
      </c>
      <c r="D309" s="1600">
        <f t="shared" si="91"/>
        <v>109857.5</v>
      </c>
      <c r="E309" s="1608"/>
      <c r="F309" s="1608">
        <v>109857.5</v>
      </c>
      <c r="G309" s="1600">
        <f t="shared" si="86"/>
        <v>109857.5</v>
      </c>
      <c r="H309" s="1616"/>
      <c r="I309" s="1616">
        <f>F309</f>
        <v>109857.5</v>
      </c>
      <c r="J309" s="1600">
        <f t="shared" si="99"/>
        <v>28871.3</v>
      </c>
      <c r="K309" s="1608"/>
      <c r="L309" s="1608">
        <v>28871.3</v>
      </c>
      <c r="M309" s="1893">
        <f t="shared" si="75"/>
        <v>26.3</v>
      </c>
      <c r="N309" s="1894">
        <f t="shared" si="75"/>
        <v>0</v>
      </c>
      <c r="O309" s="1894">
        <f t="shared" si="75"/>
        <v>26.3</v>
      </c>
      <c r="P309" s="2124" t="s">
        <v>1192</v>
      </c>
      <c r="Q309" s="2124" t="s">
        <v>1163</v>
      </c>
      <c r="R309" s="1600">
        <f t="shared" si="97"/>
        <v>0</v>
      </c>
      <c r="S309" s="1608">
        <v>0</v>
      </c>
      <c r="T309" s="1608">
        <v>0</v>
      </c>
      <c r="U309" s="1600">
        <f t="shared" si="98"/>
        <v>0</v>
      </c>
      <c r="V309" s="1608">
        <v>0</v>
      </c>
      <c r="W309" s="1608">
        <v>0</v>
      </c>
      <c r="X309" s="1423">
        <f t="shared" si="93"/>
        <v>0</v>
      </c>
      <c r="Y309" s="1423"/>
      <c r="Z309" s="1423"/>
      <c r="AA309" s="1423"/>
    </row>
    <row r="310" spans="1:28" ht="84" customHeight="1">
      <c r="A310" s="2127">
        <f>A309+1</f>
        <v>84</v>
      </c>
      <c r="B310" s="1916" t="s">
        <v>1478</v>
      </c>
      <c r="C310" s="1866">
        <v>10122</v>
      </c>
      <c r="D310" s="1600">
        <f t="shared" si="91"/>
        <v>14509.5</v>
      </c>
      <c r="E310" s="1608"/>
      <c r="F310" s="1624">
        <f>14680.4-170.9</f>
        <v>14509.5</v>
      </c>
      <c r="G310" s="1600">
        <f t="shared" si="86"/>
        <v>14509.5</v>
      </c>
      <c r="H310" s="1608"/>
      <c r="I310" s="1624">
        <f>14680.4-170.9</f>
        <v>14509.5</v>
      </c>
      <c r="J310" s="1600">
        <f t="shared" si="99"/>
        <v>9412.6</v>
      </c>
      <c r="K310" s="1608"/>
      <c r="L310" s="1624">
        <v>9412.6</v>
      </c>
      <c r="M310" s="1893">
        <f t="shared" si="75"/>
        <v>64.900000000000006</v>
      </c>
      <c r="N310" s="1894">
        <f t="shared" si="75"/>
        <v>0</v>
      </c>
      <c r="O310" s="1894">
        <f t="shared" si="75"/>
        <v>64.900000000000006</v>
      </c>
      <c r="P310" s="2124" t="s">
        <v>1298</v>
      </c>
      <c r="Q310" s="2124" t="s">
        <v>1261</v>
      </c>
      <c r="R310" s="1600">
        <f t="shared" si="97"/>
        <v>0</v>
      </c>
      <c r="S310" s="1608">
        <v>0</v>
      </c>
      <c r="T310" s="1608">
        <v>0</v>
      </c>
      <c r="U310" s="1600">
        <f t="shared" si="98"/>
        <v>0</v>
      </c>
      <c r="V310" s="1608">
        <v>0</v>
      </c>
      <c r="W310" s="1608">
        <v>0</v>
      </c>
      <c r="X310" s="1423">
        <f t="shared" si="93"/>
        <v>0</v>
      </c>
      <c r="Y310" s="1423"/>
      <c r="Z310" s="1423"/>
      <c r="AA310" s="1423"/>
    </row>
    <row r="311" spans="1:28" ht="55.5" customHeight="1">
      <c r="A311" s="2127">
        <f>A310+1</f>
        <v>85</v>
      </c>
      <c r="B311" s="2051" t="s">
        <v>1800</v>
      </c>
      <c r="C311" s="1866"/>
      <c r="D311" s="1600">
        <f>SUM(E311:F311)</f>
        <v>3751</v>
      </c>
      <c r="E311" s="1608"/>
      <c r="F311" s="1624">
        <f>3751</f>
        <v>3751</v>
      </c>
      <c r="G311" s="1600">
        <f>SUM(H311:I311)</f>
        <v>3751</v>
      </c>
      <c r="H311" s="1608"/>
      <c r="I311" s="1624">
        <v>3751</v>
      </c>
      <c r="J311" s="1600">
        <f>SUM(K311:L311)</f>
        <v>59.4</v>
      </c>
      <c r="K311" s="2145">
        <v>59.4</v>
      </c>
      <c r="L311" s="2105">
        <v>0</v>
      </c>
      <c r="M311" s="1893">
        <f>IF(J311=0,0,J311/G311*100)</f>
        <v>1.6</v>
      </c>
      <c r="N311" s="1894" t="e">
        <f>IF(K311=0,0,K311/H311*100)</f>
        <v>#DIV/0!</v>
      </c>
      <c r="O311" s="1894">
        <f>IF(L311=0,0,L311/I311*100)</f>
        <v>0</v>
      </c>
      <c r="P311" s="2124"/>
      <c r="Q311" s="2124"/>
      <c r="R311" s="1600"/>
      <c r="S311" s="1608"/>
      <c r="T311" s="1608"/>
      <c r="U311" s="1600"/>
      <c r="V311" s="1608"/>
      <c r="W311" s="1608"/>
      <c r="X311" s="1423"/>
      <c r="Y311" s="1423"/>
      <c r="Z311" s="1423"/>
      <c r="AA311" s="1423"/>
    </row>
    <row r="312" spans="1:28" ht="81" customHeight="1">
      <c r="A312" s="2127">
        <f>A311+1</f>
        <v>86</v>
      </c>
      <c r="B312" s="493" t="s">
        <v>1781</v>
      </c>
      <c r="C312" s="2127">
        <v>14091</v>
      </c>
      <c r="D312" s="1600">
        <f t="shared" si="91"/>
        <v>103615.1</v>
      </c>
      <c r="E312" s="1614">
        <f>5521.9+98093.2</f>
        <v>103615.1</v>
      </c>
      <c r="F312" s="1614">
        <v>0</v>
      </c>
      <c r="G312" s="1600">
        <f t="shared" si="86"/>
        <v>103615.1</v>
      </c>
      <c r="H312" s="1614">
        <f>5521.9+98093.2</f>
        <v>103615.1</v>
      </c>
      <c r="I312" s="1614">
        <f>F312</f>
        <v>0</v>
      </c>
      <c r="J312" s="1600">
        <f t="shared" si="99"/>
        <v>103615</v>
      </c>
      <c r="K312" s="1614">
        <v>103615</v>
      </c>
      <c r="L312" s="1614"/>
      <c r="M312" s="1604">
        <f t="shared" si="75"/>
        <v>100</v>
      </c>
      <c r="N312" s="1881">
        <f t="shared" si="75"/>
        <v>100</v>
      </c>
      <c r="O312" s="1881">
        <f t="shared" si="75"/>
        <v>0</v>
      </c>
      <c r="P312" s="2124" t="s">
        <v>1192</v>
      </c>
      <c r="Q312" s="2124" t="s">
        <v>1206</v>
      </c>
      <c r="R312" s="1600">
        <f t="shared" si="97"/>
        <v>200000</v>
      </c>
      <c r="S312" s="1614">
        <v>0</v>
      </c>
      <c r="T312" s="1614">
        <v>200000</v>
      </c>
      <c r="U312" s="1600">
        <f t="shared" si="98"/>
        <v>0</v>
      </c>
      <c r="V312" s="1608">
        <v>0</v>
      </c>
      <c r="W312" s="1608">
        <v>0</v>
      </c>
      <c r="Y312" s="1423"/>
      <c r="Z312" s="1423"/>
      <c r="AA312" s="1423"/>
    </row>
    <row r="313" spans="1:28" s="484" customFormat="1" ht="45.75" hidden="1" customHeight="1">
      <c r="A313" s="2127">
        <v>117</v>
      </c>
      <c r="B313" s="1912" t="s">
        <v>1712</v>
      </c>
      <c r="C313" s="1913" t="s">
        <v>1546</v>
      </c>
      <c r="D313" s="1600">
        <f t="shared" si="91"/>
        <v>0</v>
      </c>
      <c r="E313" s="1608"/>
      <c r="F313" s="1608">
        <v>0</v>
      </c>
      <c r="G313" s="1600">
        <f t="shared" si="86"/>
        <v>0</v>
      </c>
      <c r="H313" s="1608"/>
      <c r="I313" s="1608">
        <v>0</v>
      </c>
      <c r="J313" s="1600">
        <f t="shared" si="99"/>
        <v>0</v>
      </c>
      <c r="K313" s="1608"/>
      <c r="L313" s="1608"/>
      <c r="M313" s="1893">
        <f t="shared" si="75"/>
        <v>0</v>
      </c>
      <c r="N313" s="1894">
        <f t="shared" si="75"/>
        <v>0</v>
      </c>
      <c r="O313" s="1894">
        <f t="shared" si="75"/>
        <v>0</v>
      </c>
      <c r="P313" s="2124" t="s">
        <v>1291</v>
      </c>
      <c r="Q313" s="2124" t="s">
        <v>1241</v>
      </c>
      <c r="R313" s="1600">
        <f t="shared" si="97"/>
        <v>0</v>
      </c>
      <c r="S313" s="1608">
        <v>0</v>
      </c>
      <c r="T313" s="1608">
        <v>0</v>
      </c>
      <c r="U313" s="1600">
        <f t="shared" si="98"/>
        <v>0</v>
      </c>
      <c r="V313" s="1608">
        <v>0</v>
      </c>
      <c r="W313" s="1608">
        <v>0</v>
      </c>
      <c r="Y313" s="1423"/>
      <c r="Z313" s="1423"/>
      <c r="AA313" s="1423"/>
    </row>
    <row r="314" spans="1:28" ht="225" hidden="1" customHeight="1">
      <c r="A314" s="1946" t="s">
        <v>1671</v>
      </c>
      <c r="B314" s="1888" t="s">
        <v>1669</v>
      </c>
      <c r="C314" s="2127" t="s">
        <v>1549</v>
      </c>
      <c r="D314" s="1600">
        <f t="shared" si="91"/>
        <v>0</v>
      </c>
      <c r="E314" s="1614"/>
      <c r="F314" s="1614"/>
      <c r="G314" s="1600">
        <f t="shared" si="86"/>
        <v>0</v>
      </c>
      <c r="H314" s="1614"/>
      <c r="I314" s="1614"/>
      <c r="J314" s="1600">
        <f>SUM(K314:L314)</f>
        <v>0</v>
      </c>
      <c r="K314" s="1614"/>
      <c r="L314" s="1614"/>
      <c r="M314" s="1604">
        <f t="shared" si="75"/>
        <v>0</v>
      </c>
      <c r="N314" s="1881">
        <f t="shared" si="75"/>
        <v>0</v>
      </c>
      <c r="O314" s="1881">
        <f t="shared" si="75"/>
        <v>0</v>
      </c>
      <c r="P314" s="2124" t="s">
        <v>1192</v>
      </c>
      <c r="Q314" s="2124" t="s">
        <v>1160</v>
      </c>
      <c r="R314" s="1600">
        <f>SUM(S314:T314)</f>
        <v>20985.5</v>
      </c>
      <c r="S314" s="1614">
        <v>0</v>
      </c>
      <c r="T314" s="1614">
        <v>20985.5</v>
      </c>
      <c r="U314" s="1600">
        <f>SUM(V314:W314)</f>
        <v>0</v>
      </c>
      <c r="V314" s="1614">
        <v>0</v>
      </c>
      <c r="W314" s="1614">
        <v>0</v>
      </c>
      <c r="Y314" s="1423"/>
      <c r="Z314" s="1423"/>
      <c r="AA314" s="1423"/>
    </row>
    <row r="315" spans="1:28" s="791" customFormat="1" ht="46.5" customHeight="1">
      <c r="A315" s="2565" t="s">
        <v>456</v>
      </c>
      <c r="B315" s="2565"/>
      <c r="C315" s="1869"/>
      <c r="D315" s="1594">
        <f t="shared" si="91"/>
        <v>2429720.6</v>
      </c>
      <c r="E315" s="1594">
        <f>SUM(E316,E337)</f>
        <v>1923763.3</v>
      </c>
      <c r="F315" s="1594">
        <f>SUM(F316,F337)</f>
        <v>505957.3</v>
      </c>
      <c r="G315" s="1594">
        <f t="shared" si="86"/>
        <v>2200933.1</v>
      </c>
      <c r="H315" s="1594">
        <f>SUM(H316,H337)</f>
        <v>1777654.6</v>
      </c>
      <c r="I315" s="1594">
        <f>SUM(I316,I337)</f>
        <v>423278.5</v>
      </c>
      <c r="J315" s="1594">
        <f t="shared" si="99"/>
        <v>1945007.5</v>
      </c>
      <c r="K315" s="1594">
        <f>SUM(K316,K337)</f>
        <v>1610705.3</v>
      </c>
      <c r="L315" s="1594">
        <f>SUM(L316,L337)</f>
        <v>334302.2</v>
      </c>
      <c r="M315" s="1870">
        <f t="shared" si="75"/>
        <v>88.4</v>
      </c>
      <c r="N315" s="1871">
        <f t="shared" si="75"/>
        <v>90.6</v>
      </c>
      <c r="O315" s="1871">
        <f t="shared" si="75"/>
        <v>79</v>
      </c>
      <c r="P315" s="1940"/>
      <c r="Q315" s="2124" t="s">
        <v>1104</v>
      </c>
      <c r="R315" s="1594">
        <f t="shared" ref="R315:R330" si="100">SUM(S315:T315)</f>
        <v>998248</v>
      </c>
      <c r="S315" s="1594">
        <f>SUM(S316,S337)</f>
        <v>658766.30000000005</v>
      </c>
      <c r="T315" s="1594">
        <f>SUM(T316,T337)</f>
        <v>339481.7</v>
      </c>
      <c r="U315" s="1594">
        <f t="shared" ref="U315:U330" si="101">SUM(V315:W315)</f>
        <v>359443.8</v>
      </c>
      <c r="V315" s="1594">
        <f>SUM(V316,V337)</f>
        <v>15000</v>
      </c>
      <c r="W315" s="1594">
        <f>SUM(W316,W337)</f>
        <v>344443.8</v>
      </c>
      <c r="X315" s="1423">
        <f t="shared" ref="X315:X353" si="102">D315-G315</f>
        <v>228787.5</v>
      </c>
      <c r="Y315" s="1423"/>
      <c r="Z315" s="1423"/>
      <c r="AA315" s="1423"/>
      <c r="AB315" s="1423"/>
    </row>
    <row r="316" spans="1:28" ht="91.5" customHeight="1">
      <c r="A316" s="2127" t="s">
        <v>6</v>
      </c>
      <c r="B316" s="1872" t="s">
        <v>439</v>
      </c>
      <c r="C316" s="1873"/>
      <c r="D316" s="1861">
        <f t="shared" si="91"/>
        <v>51958</v>
      </c>
      <c r="E316" s="1861">
        <f>E317</f>
        <v>0</v>
      </c>
      <c r="F316" s="1861">
        <f>F317</f>
        <v>51958</v>
      </c>
      <c r="G316" s="1861">
        <f>SUM(H316:I316)</f>
        <v>51958</v>
      </c>
      <c r="H316" s="1861">
        <f>H317</f>
        <v>0</v>
      </c>
      <c r="I316" s="1861">
        <f>I317</f>
        <v>51958</v>
      </c>
      <c r="J316" s="1861">
        <f>SUM(K316:L316)</f>
        <v>24761.5</v>
      </c>
      <c r="K316" s="1861">
        <f>K317</f>
        <v>0</v>
      </c>
      <c r="L316" s="1861">
        <f>L317</f>
        <v>24761.5</v>
      </c>
      <c r="M316" s="1874">
        <f t="shared" si="75"/>
        <v>47.7</v>
      </c>
      <c r="N316" s="1875">
        <f t="shared" si="75"/>
        <v>0</v>
      </c>
      <c r="O316" s="1875">
        <f t="shared" si="75"/>
        <v>47.7</v>
      </c>
      <c r="P316" s="1597" t="s">
        <v>353</v>
      </c>
      <c r="Q316" s="1597" t="s">
        <v>353</v>
      </c>
      <c r="R316" s="1861">
        <f t="shared" si="100"/>
        <v>1700</v>
      </c>
      <c r="S316" s="1861">
        <f>S317</f>
        <v>0</v>
      </c>
      <c r="T316" s="1861">
        <f>SUM(T317)</f>
        <v>1700</v>
      </c>
      <c r="U316" s="1861">
        <f t="shared" si="101"/>
        <v>0</v>
      </c>
      <c r="V316" s="1861">
        <f>V317</f>
        <v>0</v>
      </c>
      <c r="W316" s="1861">
        <f>SUM(W317)</f>
        <v>0</v>
      </c>
      <c r="X316" s="1423">
        <f t="shared" si="102"/>
        <v>0</v>
      </c>
      <c r="Y316" s="1423"/>
      <c r="Z316" s="1423"/>
      <c r="AA316" s="1423"/>
    </row>
    <row r="317" spans="1:28" ht="21.75" customHeight="1">
      <c r="A317" s="2127" t="s">
        <v>253</v>
      </c>
      <c r="B317" s="1876" t="s">
        <v>1393</v>
      </c>
      <c r="C317" s="1877"/>
      <c r="D317" s="1598">
        <f t="shared" si="91"/>
        <v>51958</v>
      </c>
      <c r="E317" s="1598">
        <f>E331+E318+E329+E335+E333</f>
        <v>0</v>
      </c>
      <c r="F317" s="1598">
        <f>F331+F318+F329+F335+F333</f>
        <v>51958</v>
      </c>
      <c r="G317" s="1598">
        <f>SUM(H317:I317)</f>
        <v>51958</v>
      </c>
      <c r="H317" s="1598">
        <f>H331+H318+H329+H335+H333</f>
        <v>0</v>
      </c>
      <c r="I317" s="1598">
        <f>I331+I318+I329+I335+I333</f>
        <v>51958</v>
      </c>
      <c r="J317" s="1598">
        <f>SUM(K317:L317)</f>
        <v>24761.5</v>
      </c>
      <c r="K317" s="1598">
        <f>K331+K318+K329+K335+K333</f>
        <v>0</v>
      </c>
      <c r="L317" s="1598">
        <f>L331+L318+L329+L335+L333</f>
        <v>24761.5</v>
      </c>
      <c r="M317" s="1598">
        <f t="shared" si="75"/>
        <v>47.7</v>
      </c>
      <c r="N317" s="1598">
        <f t="shared" si="75"/>
        <v>0</v>
      </c>
      <c r="O317" s="1598">
        <f t="shared" si="75"/>
        <v>47.7</v>
      </c>
      <c r="P317" s="1598">
        <f>P331+P318</f>
        <v>0</v>
      </c>
      <c r="Q317" s="1598">
        <f>Q331+Q318</f>
        <v>0</v>
      </c>
      <c r="R317" s="1598">
        <f t="shared" si="100"/>
        <v>1700</v>
      </c>
      <c r="S317" s="1598">
        <f>S331+S318+S329+S335</f>
        <v>0</v>
      </c>
      <c r="T317" s="1598">
        <f>T331+T318+T329+T335+1000</f>
        <v>1700</v>
      </c>
      <c r="U317" s="1598">
        <f t="shared" si="101"/>
        <v>0</v>
      </c>
      <c r="V317" s="1598">
        <f>V331+V318+V329+V335</f>
        <v>0</v>
      </c>
      <c r="W317" s="1598">
        <f>W331+W318+W329+W335</f>
        <v>0</v>
      </c>
      <c r="X317" s="1423">
        <f t="shared" si="102"/>
        <v>0</v>
      </c>
      <c r="Y317" s="1423"/>
      <c r="Z317" s="1423"/>
      <c r="AA317" s="1423"/>
    </row>
    <row r="318" spans="1:28" ht="23.25" customHeight="1">
      <c r="A318" s="2127"/>
      <c r="B318" s="2126" t="s">
        <v>283</v>
      </c>
      <c r="C318" s="1866"/>
      <c r="D318" s="1602">
        <f t="shared" ref="D318:D384" si="103">SUM(E318:F318)</f>
        <v>47188</v>
      </c>
      <c r="E318" s="2130">
        <f>SUM(E319:E327)</f>
        <v>0</v>
      </c>
      <c r="F318" s="2130">
        <f>SUM(F319:F328)</f>
        <v>47188</v>
      </c>
      <c r="G318" s="1602">
        <f>SUBTOTAL(9,G319:G328)</f>
        <v>47188</v>
      </c>
      <c r="H318" s="2130">
        <f>SUM(H319:H327)</f>
        <v>0</v>
      </c>
      <c r="I318" s="1602">
        <f>SUBTOTAL(9,I319:I328)</f>
        <v>47188</v>
      </c>
      <c r="J318" s="1602">
        <f t="shared" si="99"/>
        <v>23271.5</v>
      </c>
      <c r="K318" s="2130">
        <f>SUM(K319:K327)</f>
        <v>0</v>
      </c>
      <c r="L318" s="2130">
        <f>SUM(L319:L327)</f>
        <v>23271.5</v>
      </c>
      <c r="M318" s="1603">
        <f t="shared" si="75"/>
        <v>49.3</v>
      </c>
      <c r="N318" s="1603">
        <f t="shared" si="75"/>
        <v>0</v>
      </c>
      <c r="O318" s="1603">
        <f t="shared" si="75"/>
        <v>49.3</v>
      </c>
      <c r="P318" s="1603">
        <f>SUM(P319:P327)</f>
        <v>0</v>
      </c>
      <c r="Q318" s="1603">
        <f>SUM(Q319:Q327)</f>
        <v>0</v>
      </c>
      <c r="R318" s="1602">
        <f t="shared" si="100"/>
        <v>0</v>
      </c>
      <c r="S318" s="2130">
        <f>SUM(S319:S327)</f>
        <v>0</v>
      </c>
      <c r="T318" s="2130">
        <f>SUM(T319:T327)</f>
        <v>0</v>
      </c>
      <c r="U318" s="1602">
        <f t="shared" si="101"/>
        <v>0</v>
      </c>
      <c r="V318" s="2130">
        <f>SUM(V319:V327)</f>
        <v>0</v>
      </c>
      <c r="W318" s="2130">
        <f>SUM(W319:W327)</f>
        <v>0</v>
      </c>
      <c r="X318" s="1423">
        <f t="shared" si="102"/>
        <v>0</v>
      </c>
      <c r="Y318" s="1423"/>
      <c r="Z318" s="1423"/>
      <c r="AA318" s="1423"/>
    </row>
    <row r="319" spans="1:28" s="1566" customFormat="1" ht="62.25" hidden="1" customHeight="1">
      <c r="A319" s="2127"/>
      <c r="B319" s="1889" t="s">
        <v>1571</v>
      </c>
      <c r="C319" s="1866"/>
      <c r="D319" s="1602">
        <f t="shared" si="103"/>
        <v>0</v>
      </c>
      <c r="E319" s="2130"/>
      <c r="F319" s="1619">
        <v>0</v>
      </c>
      <c r="G319" s="1602">
        <f t="shared" si="86"/>
        <v>0</v>
      </c>
      <c r="H319" s="2130"/>
      <c r="I319" s="1619">
        <f>F319</f>
        <v>0</v>
      </c>
      <c r="J319" s="1602">
        <f t="shared" si="99"/>
        <v>0</v>
      </c>
      <c r="K319" s="2130"/>
      <c r="L319" s="1619"/>
      <c r="M319" s="1602">
        <f t="shared" si="75"/>
        <v>0</v>
      </c>
      <c r="N319" s="1600">
        <f t="shared" si="75"/>
        <v>0</v>
      </c>
      <c r="O319" s="1619">
        <f t="shared" si="75"/>
        <v>0</v>
      </c>
      <c r="P319" s="1599"/>
      <c r="Q319" s="1599"/>
      <c r="R319" s="1602">
        <f t="shared" si="100"/>
        <v>0</v>
      </c>
      <c r="S319" s="1619">
        <v>0</v>
      </c>
      <c r="T319" s="1619">
        <v>0</v>
      </c>
      <c r="U319" s="1602">
        <f t="shared" si="101"/>
        <v>0</v>
      </c>
      <c r="V319" s="1619">
        <v>0</v>
      </c>
      <c r="W319" s="1619">
        <v>0</v>
      </c>
      <c r="X319" s="1423">
        <f t="shared" si="102"/>
        <v>0</v>
      </c>
      <c r="Y319" s="1423"/>
      <c r="Z319" s="1423"/>
      <c r="AA319" s="1423"/>
    </row>
    <row r="320" spans="1:28" s="1566" customFormat="1" ht="60.75" customHeight="1">
      <c r="A320" s="2127">
        <f>A319+1</f>
        <v>1</v>
      </c>
      <c r="B320" s="1889" t="s">
        <v>1665</v>
      </c>
      <c r="C320" s="1866"/>
      <c r="D320" s="1602">
        <f t="shared" si="103"/>
        <v>0</v>
      </c>
      <c r="E320" s="2130"/>
      <c r="F320" s="1619">
        <v>0</v>
      </c>
      <c r="G320" s="1602">
        <f t="shared" si="86"/>
        <v>0</v>
      </c>
      <c r="H320" s="2130"/>
      <c r="I320" s="1619">
        <v>0</v>
      </c>
      <c r="J320" s="1602">
        <f t="shared" si="99"/>
        <v>0</v>
      </c>
      <c r="K320" s="2130"/>
      <c r="L320" s="1619"/>
      <c r="M320" s="1602">
        <f t="shared" si="75"/>
        <v>0</v>
      </c>
      <c r="N320" s="1600">
        <f t="shared" si="75"/>
        <v>0</v>
      </c>
      <c r="O320" s="1619">
        <f t="shared" si="75"/>
        <v>0</v>
      </c>
      <c r="P320" s="1599"/>
      <c r="Q320" s="1599"/>
      <c r="R320" s="1602">
        <f t="shared" si="100"/>
        <v>0</v>
      </c>
      <c r="S320" s="1619">
        <v>0</v>
      </c>
      <c r="T320" s="1619">
        <v>0</v>
      </c>
      <c r="U320" s="1602">
        <f t="shared" si="101"/>
        <v>0</v>
      </c>
      <c r="V320" s="1619">
        <v>0</v>
      </c>
      <c r="W320" s="1619">
        <v>0</v>
      </c>
      <c r="X320" s="1423">
        <f t="shared" si="102"/>
        <v>0</v>
      </c>
      <c r="Y320" s="1423"/>
      <c r="Z320" s="1423"/>
      <c r="AA320" s="1423"/>
    </row>
    <row r="321" spans="1:27" s="1566" customFormat="1" ht="66.75" hidden="1" customHeight="1">
      <c r="A321" s="2127"/>
      <c r="B321" s="1889" t="s">
        <v>1575</v>
      </c>
      <c r="C321" s="1866"/>
      <c r="D321" s="1602">
        <f t="shared" si="103"/>
        <v>0</v>
      </c>
      <c r="E321" s="2130"/>
      <c r="F321" s="1619">
        <v>0</v>
      </c>
      <c r="G321" s="1602">
        <f t="shared" si="86"/>
        <v>0</v>
      </c>
      <c r="H321" s="2130"/>
      <c r="I321" s="1619">
        <v>0</v>
      </c>
      <c r="J321" s="1602">
        <f t="shared" si="99"/>
        <v>0</v>
      </c>
      <c r="K321" s="2130"/>
      <c r="L321" s="1619"/>
      <c r="M321" s="1602">
        <f t="shared" si="75"/>
        <v>0</v>
      </c>
      <c r="N321" s="1600">
        <f t="shared" si="75"/>
        <v>0</v>
      </c>
      <c r="O321" s="1619">
        <f t="shared" si="75"/>
        <v>0</v>
      </c>
      <c r="P321" s="1599"/>
      <c r="Q321" s="1599"/>
      <c r="R321" s="1602">
        <f t="shared" si="100"/>
        <v>0</v>
      </c>
      <c r="S321" s="1619">
        <v>0</v>
      </c>
      <c r="T321" s="1619">
        <v>0</v>
      </c>
      <c r="U321" s="1602">
        <f t="shared" si="101"/>
        <v>0</v>
      </c>
      <c r="V321" s="1619">
        <v>0</v>
      </c>
      <c r="W321" s="1619">
        <v>0</v>
      </c>
      <c r="X321" s="1423">
        <f t="shared" si="102"/>
        <v>0</v>
      </c>
      <c r="Y321" s="1423"/>
      <c r="Z321" s="1423"/>
      <c r="AA321" s="1423"/>
    </row>
    <row r="322" spans="1:27" s="1566" customFormat="1" ht="76.5" customHeight="1">
      <c r="A322" s="2127">
        <f>A320+1</f>
        <v>2</v>
      </c>
      <c r="B322" s="1889" t="s">
        <v>1666</v>
      </c>
      <c r="C322" s="1866"/>
      <c r="D322" s="1602">
        <f t="shared" si="103"/>
        <v>954</v>
      </c>
      <c r="E322" s="2130"/>
      <c r="F322" s="1619">
        <f>19800-13536-5310</f>
        <v>954</v>
      </c>
      <c r="G322" s="1602">
        <f t="shared" si="86"/>
        <v>954</v>
      </c>
      <c r="H322" s="2130"/>
      <c r="I322" s="1619">
        <f>19800-13536-5310</f>
        <v>954</v>
      </c>
      <c r="J322" s="1602">
        <f t="shared" si="99"/>
        <v>0</v>
      </c>
      <c r="K322" s="2130"/>
      <c r="L322" s="1619"/>
      <c r="M322" s="1602">
        <f t="shared" si="75"/>
        <v>0</v>
      </c>
      <c r="N322" s="1600">
        <f t="shared" si="75"/>
        <v>0</v>
      </c>
      <c r="O322" s="1619">
        <f t="shared" si="75"/>
        <v>0</v>
      </c>
      <c r="P322" s="1599"/>
      <c r="Q322" s="1599"/>
      <c r="R322" s="1602">
        <f t="shared" si="100"/>
        <v>0</v>
      </c>
      <c r="S322" s="1619">
        <v>0</v>
      </c>
      <c r="T322" s="1619">
        <v>0</v>
      </c>
      <c r="U322" s="1602">
        <f t="shared" si="101"/>
        <v>0</v>
      </c>
      <c r="V322" s="1619">
        <v>0</v>
      </c>
      <c r="W322" s="1619">
        <v>0</v>
      </c>
      <c r="X322" s="1423">
        <f t="shared" si="102"/>
        <v>0</v>
      </c>
      <c r="Y322" s="1423"/>
      <c r="Z322" s="1423"/>
      <c r="AA322" s="1423"/>
    </row>
    <row r="323" spans="1:27" s="1566" customFormat="1" ht="74.25" customHeight="1">
      <c r="A323" s="2127">
        <f>A322+1</f>
        <v>3</v>
      </c>
      <c r="B323" s="1889" t="s">
        <v>1573</v>
      </c>
      <c r="C323" s="1866"/>
      <c r="D323" s="1602">
        <f t="shared" si="103"/>
        <v>17670</v>
      </c>
      <c r="E323" s="2130"/>
      <c r="F323" s="1619">
        <v>17670</v>
      </c>
      <c r="G323" s="1602">
        <f t="shared" si="86"/>
        <v>17670</v>
      </c>
      <c r="H323" s="2130"/>
      <c r="I323" s="1619">
        <v>17670</v>
      </c>
      <c r="J323" s="1602">
        <f t="shared" si="99"/>
        <v>0</v>
      </c>
      <c r="K323" s="2130"/>
      <c r="L323" s="1619"/>
      <c r="M323" s="1602">
        <f t="shared" si="75"/>
        <v>0</v>
      </c>
      <c r="N323" s="1600">
        <f t="shared" si="75"/>
        <v>0</v>
      </c>
      <c r="O323" s="1619">
        <f t="shared" si="75"/>
        <v>0</v>
      </c>
      <c r="P323" s="1599"/>
      <c r="Q323" s="1599"/>
      <c r="R323" s="1602">
        <f t="shared" si="100"/>
        <v>0</v>
      </c>
      <c r="S323" s="1619">
        <v>0</v>
      </c>
      <c r="T323" s="1619">
        <v>0</v>
      </c>
      <c r="U323" s="1602">
        <f t="shared" si="101"/>
        <v>0</v>
      </c>
      <c r="V323" s="1619">
        <v>0</v>
      </c>
      <c r="W323" s="1619">
        <v>0</v>
      </c>
      <c r="X323" s="1423">
        <f t="shared" si="102"/>
        <v>0</v>
      </c>
      <c r="Y323" s="1423"/>
      <c r="Z323" s="1423"/>
      <c r="AA323" s="1423"/>
    </row>
    <row r="324" spans="1:27" s="1566" customFormat="1" ht="57.75" customHeight="1">
      <c r="A324" s="2127">
        <f>A323+1</f>
        <v>4</v>
      </c>
      <c r="B324" s="1889" t="s">
        <v>1605</v>
      </c>
      <c r="C324" s="1866"/>
      <c r="D324" s="1602">
        <f t="shared" si="103"/>
        <v>1176</v>
      </c>
      <c r="E324" s="2130"/>
      <c r="F324" s="1619">
        <v>1176</v>
      </c>
      <c r="G324" s="1602">
        <f t="shared" si="86"/>
        <v>1176</v>
      </c>
      <c r="H324" s="2130"/>
      <c r="I324" s="1619">
        <v>1176</v>
      </c>
      <c r="J324" s="1602">
        <f t="shared" si="99"/>
        <v>1176</v>
      </c>
      <c r="K324" s="2130"/>
      <c r="L324" s="1619">
        <v>1176</v>
      </c>
      <c r="M324" s="1604">
        <f t="shared" si="75"/>
        <v>100</v>
      </c>
      <c r="N324" s="1600">
        <f t="shared" si="75"/>
        <v>0</v>
      </c>
      <c r="O324" s="1619">
        <f t="shared" si="75"/>
        <v>100</v>
      </c>
      <c r="P324" s="1599"/>
      <c r="Q324" s="1599"/>
      <c r="R324" s="1602">
        <f t="shared" si="100"/>
        <v>0</v>
      </c>
      <c r="S324" s="1619">
        <v>0</v>
      </c>
      <c r="T324" s="1619">
        <v>0</v>
      </c>
      <c r="U324" s="1602">
        <f t="shared" si="101"/>
        <v>0</v>
      </c>
      <c r="V324" s="1619">
        <v>0</v>
      </c>
      <c r="W324" s="1619">
        <v>0</v>
      </c>
      <c r="X324" s="1423">
        <f t="shared" si="102"/>
        <v>0</v>
      </c>
      <c r="Y324" s="1423"/>
      <c r="Z324" s="1423"/>
      <c r="AA324" s="1423"/>
    </row>
    <row r="325" spans="1:27" s="1566" customFormat="1" ht="55.5" customHeight="1">
      <c r="A325" s="2127">
        <f>A324+1</f>
        <v>5</v>
      </c>
      <c r="B325" s="1889" t="s">
        <v>1572</v>
      </c>
      <c r="C325" s="1866"/>
      <c r="D325" s="1602">
        <f t="shared" si="103"/>
        <v>3822</v>
      </c>
      <c r="E325" s="2130"/>
      <c r="F325" s="1619">
        <v>3822</v>
      </c>
      <c r="G325" s="1602">
        <f t="shared" si="86"/>
        <v>3822</v>
      </c>
      <c r="H325" s="2130"/>
      <c r="I325" s="1619">
        <v>3822</v>
      </c>
      <c r="J325" s="1602">
        <f t="shared" si="99"/>
        <v>3822</v>
      </c>
      <c r="K325" s="2130"/>
      <c r="L325" s="1619">
        <v>3822</v>
      </c>
      <c r="M325" s="1602">
        <f t="shared" si="75"/>
        <v>100</v>
      </c>
      <c r="N325" s="1600">
        <f t="shared" si="75"/>
        <v>0</v>
      </c>
      <c r="O325" s="1619">
        <f t="shared" si="75"/>
        <v>100</v>
      </c>
      <c r="P325" s="1599"/>
      <c r="Q325" s="1599"/>
      <c r="R325" s="1602">
        <f t="shared" si="100"/>
        <v>0</v>
      </c>
      <c r="S325" s="1619">
        <v>0</v>
      </c>
      <c r="T325" s="1619">
        <v>0</v>
      </c>
      <c r="U325" s="1602">
        <f t="shared" si="101"/>
        <v>0</v>
      </c>
      <c r="V325" s="1619">
        <v>0</v>
      </c>
      <c r="W325" s="1619">
        <v>0</v>
      </c>
      <c r="X325" s="1423">
        <f t="shared" si="102"/>
        <v>0</v>
      </c>
      <c r="Y325" s="1423"/>
      <c r="Z325" s="1423"/>
      <c r="AA325" s="1423"/>
    </row>
    <row r="326" spans="1:27" s="1566" customFormat="1" ht="39.75" customHeight="1">
      <c r="A326" s="2127">
        <f>A325+1</f>
        <v>6</v>
      </c>
      <c r="B326" s="1889" t="s">
        <v>1570</v>
      </c>
      <c r="C326" s="1866"/>
      <c r="D326" s="1602">
        <f t="shared" si="103"/>
        <v>4116</v>
      </c>
      <c r="E326" s="2130"/>
      <c r="F326" s="1619">
        <v>4116</v>
      </c>
      <c r="G326" s="1602">
        <f t="shared" si="86"/>
        <v>4116</v>
      </c>
      <c r="H326" s="2130"/>
      <c r="I326" s="1619">
        <v>4116</v>
      </c>
      <c r="J326" s="1602">
        <f t="shared" si="99"/>
        <v>4116</v>
      </c>
      <c r="K326" s="2130"/>
      <c r="L326" s="1619">
        <v>4116</v>
      </c>
      <c r="M326" s="1602">
        <f t="shared" si="75"/>
        <v>100</v>
      </c>
      <c r="N326" s="1600">
        <f t="shared" si="75"/>
        <v>0</v>
      </c>
      <c r="O326" s="1619">
        <f t="shared" si="75"/>
        <v>100</v>
      </c>
      <c r="P326" s="1599"/>
      <c r="Q326" s="1599"/>
      <c r="R326" s="1602">
        <f t="shared" si="100"/>
        <v>0</v>
      </c>
      <c r="S326" s="1619">
        <v>0</v>
      </c>
      <c r="T326" s="1619">
        <v>0</v>
      </c>
      <c r="U326" s="1602">
        <f t="shared" si="101"/>
        <v>0</v>
      </c>
      <c r="V326" s="1619">
        <v>0</v>
      </c>
      <c r="W326" s="1619">
        <v>0</v>
      </c>
      <c r="X326" s="1423">
        <f t="shared" si="102"/>
        <v>0</v>
      </c>
      <c r="Y326" s="1423"/>
      <c r="Z326" s="1423"/>
      <c r="AA326" s="1423"/>
    </row>
    <row r="327" spans="1:27" s="1566" customFormat="1" ht="39" customHeight="1">
      <c r="A327" s="2127">
        <f>A326+1</f>
        <v>7</v>
      </c>
      <c r="B327" s="1905" t="s">
        <v>1569</v>
      </c>
      <c r="C327" s="1906"/>
      <c r="D327" s="1602">
        <f t="shared" si="103"/>
        <v>19450</v>
      </c>
      <c r="E327" s="1600"/>
      <c r="F327" s="1619">
        <v>19450</v>
      </c>
      <c r="G327" s="1602">
        <f t="shared" si="86"/>
        <v>19450</v>
      </c>
      <c r="H327" s="1600"/>
      <c r="I327" s="1619">
        <v>19450</v>
      </c>
      <c r="J327" s="1602">
        <f t="shared" si="99"/>
        <v>14157.5</v>
      </c>
      <c r="K327" s="1600"/>
      <c r="L327" s="1619">
        <v>14157.5</v>
      </c>
      <c r="M327" s="1602">
        <f t="shared" si="75"/>
        <v>72.8</v>
      </c>
      <c r="N327" s="1600">
        <f t="shared" si="75"/>
        <v>0</v>
      </c>
      <c r="O327" s="1619">
        <f t="shared" si="75"/>
        <v>72.8</v>
      </c>
      <c r="P327" s="1599"/>
      <c r="Q327" s="1599"/>
      <c r="R327" s="1602">
        <f t="shared" si="100"/>
        <v>0</v>
      </c>
      <c r="S327" s="1619">
        <v>0</v>
      </c>
      <c r="T327" s="1619">
        <v>0</v>
      </c>
      <c r="U327" s="1602">
        <f t="shared" si="101"/>
        <v>0</v>
      </c>
      <c r="V327" s="1619">
        <v>0</v>
      </c>
      <c r="W327" s="1619">
        <v>0</v>
      </c>
      <c r="X327" s="1423">
        <f t="shared" si="102"/>
        <v>0</v>
      </c>
      <c r="Y327" s="1423"/>
      <c r="Z327" s="1423"/>
      <c r="AA327" s="1423"/>
    </row>
    <row r="328" spans="1:27" s="1566" customFormat="1" ht="63.75" customHeight="1">
      <c r="A328" s="2127">
        <v>8</v>
      </c>
      <c r="B328" s="1926" t="s">
        <v>1708</v>
      </c>
      <c r="C328" s="1906"/>
      <c r="D328" s="1602">
        <f>SUM(E328:F328)</f>
        <v>0</v>
      </c>
      <c r="E328" s="1600"/>
      <c r="F328" s="1619">
        <v>0</v>
      </c>
      <c r="G328" s="1602">
        <f>SUM(H328:I328)</f>
        <v>0</v>
      </c>
      <c r="H328" s="1600"/>
      <c r="I328" s="1619">
        <v>0</v>
      </c>
      <c r="J328" s="1602">
        <f>SUM(K328:L328)</f>
        <v>0</v>
      </c>
      <c r="K328" s="1600"/>
      <c r="L328" s="1619"/>
      <c r="M328" s="1602">
        <f t="shared" si="75"/>
        <v>0</v>
      </c>
      <c r="N328" s="1600">
        <f t="shared" si="75"/>
        <v>0</v>
      </c>
      <c r="O328" s="1619">
        <f t="shared" si="75"/>
        <v>0</v>
      </c>
      <c r="P328" s="1599"/>
      <c r="Q328" s="1599"/>
      <c r="R328" s="1602"/>
      <c r="S328" s="1619"/>
      <c r="T328" s="1619"/>
      <c r="U328" s="1602"/>
      <c r="V328" s="1619"/>
      <c r="W328" s="1619"/>
      <c r="X328" s="1423">
        <f t="shared" si="102"/>
        <v>0</v>
      </c>
      <c r="Y328" s="1423"/>
      <c r="Z328" s="1423"/>
      <c r="AA328" s="1423"/>
    </row>
    <row r="329" spans="1:27" s="1566" customFormat="1" ht="23.25">
      <c r="A329" s="2127"/>
      <c r="B329" s="2126" t="s">
        <v>615</v>
      </c>
      <c r="C329" s="1866">
        <v>24340</v>
      </c>
      <c r="D329" s="1600">
        <f t="shared" si="103"/>
        <v>3280</v>
      </c>
      <c r="E329" s="2130">
        <f>SUM(E330)</f>
        <v>0</v>
      </c>
      <c r="F329" s="2130">
        <f>SUM(F330)</f>
        <v>3280</v>
      </c>
      <c r="G329" s="1600">
        <f t="shared" si="86"/>
        <v>3280</v>
      </c>
      <c r="H329" s="2130">
        <f>SUM(H330)</f>
        <v>0</v>
      </c>
      <c r="I329" s="2130">
        <f>SUM(I330)</f>
        <v>3280</v>
      </c>
      <c r="J329" s="1600">
        <f t="shared" si="99"/>
        <v>0</v>
      </c>
      <c r="K329" s="2130">
        <f>SUM(K330)</f>
        <v>0</v>
      </c>
      <c r="L329" s="2130">
        <f>SUM(L330)</f>
        <v>0</v>
      </c>
      <c r="M329" s="1604">
        <f t="shared" ref="M329:O396" si="104">IF(J329=0,0,J329/G329*100)</f>
        <v>0</v>
      </c>
      <c r="N329" s="1881">
        <f t="shared" si="104"/>
        <v>0</v>
      </c>
      <c r="O329" s="1881">
        <f t="shared" si="104"/>
        <v>0</v>
      </c>
      <c r="P329" s="1599"/>
      <c r="Q329" s="1599"/>
      <c r="R329" s="1602">
        <f t="shared" si="100"/>
        <v>0</v>
      </c>
      <c r="S329" s="1619">
        <v>0</v>
      </c>
      <c r="T329" s="1619">
        <v>0</v>
      </c>
      <c r="U329" s="1602">
        <f t="shared" si="101"/>
        <v>0</v>
      </c>
      <c r="V329" s="1600">
        <v>0</v>
      </c>
      <c r="W329" s="1600">
        <v>0</v>
      </c>
      <c r="X329" s="1423">
        <f t="shared" si="102"/>
        <v>0</v>
      </c>
      <c r="Y329" s="1423"/>
      <c r="Z329" s="1423"/>
      <c r="AA329" s="1423"/>
    </row>
    <row r="330" spans="1:27" s="1566" customFormat="1" ht="96" customHeight="1">
      <c r="A330" s="2127">
        <v>9</v>
      </c>
      <c r="B330" s="1926" t="s">
        <v>1420</v>
      </c>
      <c r="C330" s="1866">
        <v>24340</v>
      </c>
      <c r="D330" s="1600">
        <f t="shared" si="103"/>
        <v>3280</v>
      </c>
      <c r="E330" s="1608"/>
      <c r="F330" s="1608">
        <f>3840-560</f>
        <v>3280</v>
      </c>
      <c r="G330" s="1600">
        <f t="shared" si="86"/>
        <v>3280</v>
      </c>
      <c r="H330" s="1608"/>
      <c r="I330" s="1608">
        <f>3840-560</f>
        <v>3280</v>
      </c>
      <c r="J330" s="1600">
        <f t="shared" si="99"/>
        <v>0</v>
      </c>
      <c r="K330" s="1608"/>
      <c r="L330" s="1608"/>
      <c r="M330" s="1604">
        <f t="shared" si="104"/>
        <v>0</v>
      </c>
      <c r="N330" s="1881">
        <f t="shared" si="104"/>
        <v>0</v>
      </c>
      <c r="O330" s="1881">
        <f t="shared" si="104"/>
        <v>0</v>
      </c>
      <c r="P330" s="1599"/>
      <c r="Q330" s="1599"/>
      <c r="R330" s="1602">
        <f t="shared" si="100"/>
        <v>0</v>
      </c>
      <c r="S330" s="1619">
        <v>0</v>
      </c>
      <c r="T330" s="1619">
        <v>0</v>
      </c>
      <c r="U330" s="1602">
        <f t="shared" si="101"/>
        <v>0</v>
      </c>
      <c r="V330" s="1619">
        <v>0</v>
      </c>
      <c r="W330" s="1619">
        <v>0</v>
      </c>
      <c r="X330" s="1423">
        <f t="shared" si="102"/>
        <v>0</v>
      </c>
      <c r="Y330" s="1423"/>
      <c r="Z330" s="1423"/>
      <c r="AA330" s="1423"/>
    </row>
    <row r="331" spans="1:27" s="1566" customFormat="1" ht="21" customHeight="1">
      <c r="A331" s="2127"/>
      <c r="B331" s="2126" t="s">
        <v>431</v>
      </c>
      <c r="C331" s="1866"/>
      <c r="D331" s="1602">
        <f t="shared" si="103"/>
        <v>0</v>
      </c>
      <c r="E331" s="2130">
        <f>SUM(E332)</f>
        <v>0</v>
      </c>
      <c r="F331" s="2130">
        <f>SUM(F332)</f>
        <v>0</v>
      </c>
      <c r="G331" s="1602">
        <f t="shared" si="86"/>
        <v>0</v>
      </c>
      <c r="H331" s="2130">
        <f>SUM(H332)</f>
        <v>0</v>
      </c>
      <c r="I331" s="2130">
        <f>SUM(I332)</f>
        <v>0</v>
      </c>
      <c r="J331" s="1602">
        <f t="shared" si="99"/>
        <v>0</v>
      </c>
      <c r="K331" s="2130">
        <f>SUM(K332)</f>
        <v>0</v>
      </c>
      <c r="L331" s="2130">
        <f>SUM(L332)</f>
        <v>0</v>
      </c>
      <c r="M331" s="1604">
        <f t="shared" si="104"/>
        <v>0</v>
      </c>
      <c r="N331" s="1881">
        <f t="shared" si="104"/>
        <v>0</v>
      </c>
      <c r="O331" s="1881">
        <f t="shared" si="104"/>
        <v>0</v>
      </c>
      <c r="P331" s="1940"/>
      <c r="Q331" s="2124"/>
      <c r="R331" s="1602">
        <f>SUM(S331:T331)</f>
        <v>700</v>
      </c>
      <c r="S331" s="2130">
        <f>SUM(S332)</f>
        <v>0</v>
      </c>
      <c r="T331" s="2130">
        <f>SUM(T332)</f>
        <v>700</v>
      </c>
      <c r="U331" s="1602">
        <f>SUM(V331:W331)</f>
        <v>0</v>
      </c>
      <c r="V331" s="2130">
        <f>SUM(V332)</f>
        <v>0</v>
      </c>
      <c r="W331" s="2130">
        <f>SUM(W332)</f>
        <v>0</v>
      </c>
      <c r="X331" s="1423">
        <f t="shared" si="102"/>
        <v>0</v>
      </c>
      <c r="Y331" s="1423"/>
      <c r="Z331" s="1423"/>
      <c r="AA331" s="1423"/>
    </row>
    <row r="332" spans="1:27" s="1566" customFormat="1" ht="38.25" customHeight="1">
      <c r="A332" s="2127">
        <f>A330+1</f>
        <v>10</v>
      </c>
      <c r="B332" s="1926" t="s">
        <v>1664</v>
      </c>
      <c r="C332" s="1866">
        <v>24340</v>
      </c>
      <c r="D332" s="1602">
        <f t="shared" si="103"/>
        <v>0</v>
      </c>
      <c r="E332" s="1608"/>
      <c r="F332" s="1608">
        <v>0</v>
      </c>
      <c r="G332" s="1602">
        <f t="shared" si="86"/>
        <v>0</v>
      </c>
      <c r="H332" s="1608"/>
      <c r="I332" s="1608">
        <v>0</v>
      </c>
      <c r="J332" s="1602">
        <f t="shared" si="99"/>
        <v>0</v>
      </c>
      <c r="K332" s="1608"/>
      <c r="L332" s="1608"/>
      <c r="M332" s="1604">
        <f t="shared" si="104"/>
        <v>0</v>
      </c>
      <c r="N332" s="1881">
        <f t="shared" si="104"/>
        <v>0</v>
      </c>
      <c r="O332" s="1881">
        <f t="shared" si="104"/>
        <v>0</v>
      </c>
      <c r="P332" s="1940"/>
      <c r="Q332" s="2124"/>
      <c r="R332" s="1602">
        <f>SUM(S332:T332)</f>
        <v>700</v>
      </c>
      <c r="S332" s="1616">
        <v>0</v>
      </c>
      <c r="T332" s="1616">
        <v>700</v>
      </c>
      <c r="U332" s="1602">
        <f>SUM(V332:W332)</f>
        <v>0</v>
      </c>
      <c r="V332" s="1616">
        <v>0</v>
      </c>
      <c r="W332" s="1616">
        <v>0</v>
      </c>
      <c r="X332" s="1423">
        <f t="shared" si="102"/>
        <v>0</v>
      </c>
      <c r="Y332" s="1423"/>
      <c r="Z332" s="1423"/>
      <c r="AA332" s="1423"/>
    </row>
    <row r="333" spans="1:27" s="1566" customFormat="1" ht="23.25">
      <c r="A333" s="2127"/>
      <c r="B333" s="1974" t="s">
        <v>1688</v>
      </c>
      <c r="C333" s="1866"/>
      <c r="D333" s="1602">
        <f>SUM(E333:F333)</f>
        <v>1490</v>
      </c>
      <c r="E333" s="2130">
        <f>SUM(E334)</f>
        <v>0</v>
      </c>
      <c r="F333" s="2130">
        <f>SUM(F334)</f>
        <v>1490</v>
      </c>
      <c r="G333" s="1602">
        <f>SUM(H333:I333)</f>
        <v>1490</v>
      </c>
      <c r="H333" s="2130">
        <f>SUM(H334)</f>
        <v>0</v>
      </c>
      <c r="I333" s="2130">
        <f>SUM(I334)</f>
        <v>1490</v>
      </c>
      <c r="J333" s="1602">
        <f>SUM(K333:L333)</f>
        <v>1490</v>
      </c>
      <c r="K333" s="2130">
        <f>SUM(K334)</f>
        <v>0</v>
      </c>
      <c r="L333" s="2130">
        <f>SUM(L334)</f>
        <v>1490</v>
      </c>
      <c r="M333" s="1604">
        <f t="shared" si="104"/>
        <v>100</v>
      </c>
      <c r="N333" s="1881">
        <f t="shared" si="104"/>
        <v>0</v>
      </c>
      <c r="O333" s="1881">
        <f t="shared" si="104"/>
        <v>100</v>
      </c>
      <c r="P333" s="1940"/>
      <c r="Q333" s="2124"/>
      <c r="R333" s="1602"/>
      <c r="S333" s="1616"/>
      <c r="T333" s="1616"/>
      <c r="U333" s="1602"/>
      <c r="V333" s="1616"/>
      <c r="W333" s="1616"/>
      <c r="X333" s="1423">
        <f t="shared" si="102"/>
        <v>0</v>
      </c>
      <c r="Y333" s="1423"/>
      <c r="Z333" s="1423"/>
      <c r="AA333" s="1423"/>
    </row>
    <row r="334" spans="1:27" s="1566" customFormat="1" ht="75">
      <c r="A334" s="2127">
        <v>11</v>
      </c>
      <c r="B334" s="1926" t="s">
        <v>1689</v>
      </c>
      <c r="C334" s="1866"/>
      <c r="D334" s="1602">
        <f>SUM(E334:F334)</f>
        <v>1490</v>
      </c>
      <c r="E334" s="1608"/>
      <c r="F334" s="1608">
        <v>1490</v>
      </c>
      <c r="G334" s="1602">
        <f>SUM(H334:I334)</f>
        <v>1490</v>
      </c>
      <c r="H334" s="1608"/>
      <c r="I334" s="1608">
        <v>1490</v>
      </c>
      <c r="J334" s="1602">
        <f>SUM(K334:L334)</f>
        <v>1490</v>
      </c>
      <c r="K334" s="1608"/>
      <c r="L334" s="1608">
        <v>1490</v>
      </c>
      <c r="M334" s="1604">
        <f t="shared" si="104"/>
        <v>100</v>
      </c>
      <c r="N334" s="1881">
        <f t="shared" si="104"/>
        <v>0</v>
      </c>
      <c r="O334" s="1881">
        <f t="shared" si="104"/>
        <v>100</v>
      </c>
      <c r="P334" s="1940"/>
      <c r="Q334" s="2124"/>
      <c r="R334" s="1602"/>
      <c r="S334" s="1616"/>
      <c r="T334" s="1616"/>
      <c r="U334" s="1602"/>
      <c r="V334" s="1616"/>
      <c r="W334" s="1616"/>
      <c r="X334" s="1423">
        <f t="shared" si="102"/>
        <v>0</v>
      </c>
      <c r="Y334" s="1423"/>
      <c r="Z334" s="1423"/>
      <c r="AA334" s="1423"/>
    </row>
    <row r="335" spans="1:27" s="1566" customFormat="1" ht="24" customHeight="1">
      <c r="A335" s="2127"/>
      <c r="B335" s="2126" t="s">
        <v>46</v>
      </c>
      <c r="C335" s="1866"/>
      <c r="D335" s="1602">
        <f t="shared" si="103"/>
        <v>0</v>
      </c>
      <c r="E335" s="2130">
        <f>SUM(E336)</f>
        <v>0</v>
      </c>
      <c r="F335" s="2130">
        <f>SUM(F336)</f>
        <v>0</v>
      </c>
      <c r="G335" s="1602">
        <f t="shared" si="86"/>
        <v>0</v>
      </c>
      <c r="H335" s="2130">
        <f>SUM(H336)</f>
        <v>0</v>
      </c>
      <c r="I335" s="2130">
        <f>SUM(I336)</f>
        <v>0</v>
      </c>
      <c r="J335" s="1602">
        <f t="shared" si="99"/>
        <v>0</v>
      </c>
      <c r="K335" s="2130">
        <f>SUM(K336)</f>
        <v>0</v>
      </c>
      <c r="L335" s="2130">
        <f>SUM(L336)</f>
        <v>0</v>
      </c>
      <c r="M335" s="1604">
        <f t="shared" si="104"/>
        <v>0</v>
      </c>
      <c r="N335" s="1881">
        <f t="shared" si="104"/>
        <v>0</v>
      </c>
      <c r="O335" s="1881">
        <f t="shared" si="104"/>
        <v>0</v>
      </c>
      <c r="P335" s="1940"/>
      <c r="Q335" s="2124"/>
      <c r="R335" s="1602">
        <f>SUM(S335:T335)</f>
        <v>0</v>
      </c>
      <c r="S335" s="2130">
        <f>SUM(S336)</f>
        <v>0</v>
      </c>
      <c r="T335" s="2130">
        <f>SUM(T336)</f>
        <v>0</v>
      </c>
      <c r="U335" s="1602">
        <f>SUM(V335:W335)</f>
        <v>0</v>
      </c>
      <c r="V335" s="2130">
        <f>SUM(V336)</f>
        <v>0</v>
      </c>
      <c r="W335" s="2130">
        <f>SUM(W336)</f>
        <v>0</v>
      </c>
      <c r="X335" s="1423">
        <f t="shared" si="102"/>
        <v>0</v>
      </c>
      <c r="Y335" s="1423"/>
      <c r="Z335" s="1423"/>
      <c r="AA335" s="1423"/>
    </row>
    <row r="336" spans="1:27" s="1566" customFormat="1" ht="64.5" customHeight="1">
      <c r="A336" s="2127">
        <v>12</v>
      </c>
      <c r="B336" s="1926" t="s">
        <v>1638</v>
      </c>
      <c r="C336" s="1866">
        <v>24340</v>
      </c>
      <c r="D336" s="1602">
        <f t="shared" si="103"/>
        <v>0</v>
      </c>
      <c r="E336" s="1608"/>
      <c r="F336" s="1608">
        <v>0</v>
      </c>
      <c r="G336" s="1602">
        <f t="shared" si="86"/>
        <v>0</v>
      </c>
      <c r="H336" s="1608"/>
      <c r="I336" s="1608">
        <v>0</v>
      </c>
      <c r="J336" s="1602">
        <f t="shared" si="99"/>
        <v>0</v>
      </c>
      <c r="K336" s="1608"/>
      <c r="L336" s="1608"/>
      <c r="M336" s="1604">
        <f t="shared" si="104"/>
        <v>0</v>
      </c>
      <c r="N336" s="1881">
        <f t="shared" si="104"/>
        <v>0</v>
      </c>
      <c r="O336" s="1881">
        <f t="shared" si="104"/>
        <v>0</v>
      </c>
      <c r="P336" s="1940"/>
      <c r="Q336" s="2124"/>
      <c r="R336" s="1602">
        <f>SUM(S336:T336)</f>
        <v>0</v>
      </c>
      <c r="S336" s="1616">
        <v>0</v>
      </c>
      <c r="T336" s="1616">
        <v>0</v>
      </c>
      <c r="U336" s="1602">
        <f>SUM(V336:W336)</f>
        <v>0</v>
      </c>
      <c r="V336" s="1616">
        <v>0</v>
      </c>
      <c r="W336" s="1616">
        <v>0</v>
      </c>
      <c r="X336" s="1423">
        <f t="shared" si="102"/>
        <v>0</v>
      </c>
      <c r="Y336" s="1423"/>
      <c r="Z336" s="1423"/>
      <c r="AA336" s="1423"/>
    </row>
    <row r="337" spans="1:28" s="1566" customFormat="1" ht="56.25">
      <c r="A337" s="2127" t="s">
        <v>2</v>
      </c>
      <c r="B337" s="1927" t="s">
        <v>222</v>
      </c>
      <c r="C337" s="1873"/>
      <c r="D337" s="1861">
        <f>SUM(E337:F337)</f>
        <v>2377762.6</v>
      </c>
      <c r="E337" s="1861">
        <f>SUM(E341,E338)</f>
        <v>1923763.3</v>
      </c>
      <c r="F337" s="1861">
        <f>SUM(F341,F338)</f>
        <v>453999.3</v>
      </c>
      <c r="G337" s="1861">
        <f>SUM(H337:I337)</f>
        <v>2148975.1</v>
      </c>
      <c r="H337" s="1861">
        <f>SUM(H341,H338)</f>
        <v>1777654.6</v>
      </c>
      <c r="I337" s="1861">
        <f>SUM(I341,I338)</f>
        <v>371320.5</v>
      </c>
      <c r="J337" s="1861">
        <f>SUM(K337:L337)</f>
        <v>1920246</v>
      </c>
      <c r="K337" s="1861">
        <f>SUM(K341,K338)</f>
        <v>1610705.3</v>
      </c>
      <c r="L337" s="1861">
        <f>SUM(L341,L338)</f>
        <v>309540.7</v>
      </c>
      <c r="M337" s="1861">
        <f t="shared" si="104"/>
        <v>89.4</v>
      </c>
      <c r="N337" s="1861">
        <f t="shared" si="104"/>
        <v>90.6</v>
      </c>
      <c r="O337" s="1861">
        <f t="shared" si="104"/>
        <v>83.4</v>
      </c>
      <c r="P337" s="1861">
        <f>SUM(P341,P338)</f>
        <v>0</v>
      </c>
      <c r="Q337" s="1861">
        <f>SUM(Q341,Q338)</f>
        <v>0</v>
      </c>
      <c r="R337" s="1861">
        <f>SUM(S337:T337)</f>
        <v>996548</v>
      </c>
      <c r="S337" s="1861">
        <f>SUM(S341,S338)</f>
        <v>658766.30000000005</v>
      </c>
      <c r="T337" s="1861">
        <f>SUM(T341,T338)</f>
        <v>337781.7</v>
      </c>
      <c r="U337" s="1861">
        <f>SUM(V337:W337)</f>
        <v>359443.8</v>
      </c>
      <c r="V337" s="1861">
        <f>SUM(V341,V338)</f>
        <v>15000</v>
      </c>
      <c r="W337" s="1861">
        <f>SUM(W341,W338)</f>
        <v>344443.8</v>
      </c>
      <c r="X337" s="1423">
        <f t="shared" si="102"/>
        <v>228787.5</v>
      </c>
      <c r="Y337" s="1423"/>
      <c r="Z337" s="1423"/>
      <c r="AA337" s="1423"/>
      <c r="AB337" s="1815"/>
    </row>
    <row r="338" spans="1:28" s="1566" customFormat="1" ht="23.25">
      <c r="A338" s="2127" t="s">
        <v>246</v>
      </c>
      <c r="B338" s="1876" t="s">
        <v>1393</v>
      </c>
      <c r="C338" s="1877"/>
      <c r="D338" s="1598">
        <f>SUM(E338:F338)</f>
        <v>128750</v>
      </c>
      <c r="E338" s="1598">
        <f>SUM(E339:E340)</f>
        <v>0</v>
      </c>
      <c r="F338" s="1598">
        <f>SUM(F339:F340)</f>
        <v>128750</v>
      </c>
      <c r="G338" s="1598">
        <f t="shared" si="86"/>
        <v>128750</v>
      </c>
      <c r="H338" s="1598">
        <f>SUM(H339:H340)</f>
        <v>0</v>
      </c>
      <c r="I338" s="1598">
        <f>SUM(I339:I340)</f>
        <v>128750</v>
      </c>
      <c r="J338" s="1598">
        <f t="shared" ref="J338:J388" si="105">SUM(K338:L338)</f>
        <v>82697.399999999994</v>
      </c>
      <c r="K338" s="1598">
        <f>SUM(K339:K340)</f>
        <v>0</v>
      </c>
      <c r="L338" s="1598">
        <f>SUM(L339:L340)</f>
        <v>82697.399999999994</v>
      </c>
      <c r="M338" s="1598">
        <f t="shared" si="104"/>
        <v>64.2</v>
      </c>
      <c r="N338" s="1598">
        <f t="shared" si="104"/>
        <v>0</v>
      </c>
      <c r="O338" s="1598">
        <f t="shared" si="104"/>
        <v>64.2</v>
      </c>
      <c r="P338" s="1598">
        <f t="shared" ref="P338:V338" si="106">SUM(P339:P340)</f>
        <v>0</v>
      </c>
      <c r="Q338" s="1598">
        <f t="shared" si="106"/>
        <v>0</v>
      </c>
      <c r="R338" s="1598">
        <f t="shared" si="106"/>
        <v>60800</v>
      </c>
      <c r="S338" s="1598">
        <f t="shared" si="106"/>
        <v>0</v>
      </c>
      <c r="T338" s="1598">
        <f t="shared" si="106"/>
        <v>60800</v>
      </c>
      <c r="U338" s="1598">
        <f t="shared" si="106"/>
        <v>60800</v>
      </c>
      <c r="V338" s="1598">
        <f t="shared" si="106"/>
        <v>0</v>
      </c>
      <c r="W338" s="1598">
        <f>W339+W340</f>
        <v>60800</v>
      </c>
      <c r="X338" s="1423">
        <f t="shared" si="102"/>
        <v>0</v>
      </c>
      <c r="Y338" s="1423"/>
      <c r="Z338" s="1423"/>
      <c r="AA338" s="1423"/>
    </row>
    <row r="339" spans="1:28" ht="25.5" customHeight="1">
      <c r="A339" s="2127"/>
      <c r="B339" s="524" t="s">
        <v>263</v>
      </c>
      <c r="C339" s="1928">
        <v>10001</v>
      </c>
      <c r="D339" s="1602">
        <f>SUM(E339:F339)</f>
        <v>128050</v>
      </c>
      <c r="E339" s="1629">
        <v>0</v>
      </c>
      <c r="F339" s="1629">
        <f>138050-10000.04</f>
        <v>128050</v>
      </c>
      <c r="G339" s="1602">
        <f t="shared" si="86"/>
        <v>128050</v>
      </c>
      <c r="H339" s="1629">
        <v>0</v>
      </c>
      <c r="I339" s="1629">
        <f>F339</f>
        <v>128050</v>
      </c>
      <c r="J339" s="1602">
        <f t="shared" si="105"/>
        <v>82471.399999999994</v>
      </c>
      <c r="K339" s="1629">
        <v>0</v>
      </c>
      <c r="L339" s="1629">
        <v>82471.399999999994</v>
      </c>
      <c r="M339" s="1893">
        <f t="shared" si="104"/>
        <v>64.400000000000006</v>
      </c>
      <c r="N339" s="1894">
        <f t="shared" si="104"/>
        <v>0</v>
      </c>
      <c r="O339" s="1894">
        <f t="shared" si="104"/>
        <v>64.400000000000006</v>
      </c>
      <c r="P339" s="1940"/>
      <c r="Q339" s="2124" t="s">
        <v>1103</v>
      </c>
      <c r="R339" s="1600">
        <f t="shared" ref="R339:R352" si="107">SUM(S339:T339)</f>
        <v>60000</v>
      </c>
      <c r="S339" s="1629"/>
      <c r="T339" s="1629">
        <v>60000</v>
      </c>
      <c r="U339" s="1600">
        <f t="shared" ref="U339:U352" si="108">SUM(V339:W339)</f>
        <v>60000</v>
      </c>
      <c r="V339" s="1629">
        <v>0</v>
      </c>
      <c r="W339" s="1629">
        <v>60000</v>
      </c>
      <c r="X339" s="1423">
        <f t="shared" si="102"/>
        <v>0</v>
      </c>
      <c r="Y339" s="1423"/>
      <c r="Z339" s="1423"/>
      <c r="AA339" s="1423"/>
    </row>
    <row r="340" spans="1:28" ht="42" customHeight="1">
      <c r="A340" s="2127"/>
      <c r="B340" s="524" t="s">
        <v>268</v>
      </c>
      <c r="C340" s="1928">
        <v>10044</v>
      </c>
      <c r="D340" s="1602">
        <f t="shared" si="103"/>
        <v>700</v>
      </c>
      <c r="E340" s="1629">
        <v>0</v>
      </c>
      <c r="F340" s="1629">
        <f>700</f>
        <v>700</v>
      </c>
      <c r="G340" s="1602">
        <f t="shared" si="86"/>
        <v>700</v>
      </c>
      <c r="H340" s="1629">
        <v>0</v>
      </c>
      <c r="I340" s="1629">
        <v>700</v>
      </c>
      <c r="J340" s="1602">
        <f t="shared" si="105"/>
        <v>226</v>
      </c>
      <c r="K340" s="1629">
        <v>0</v>
      </c>
      <c r="L340" s="1629">
        <f>18+58+150</f>
        <v>226</v>
      </c>
      <c r="M340" s="1893">
        <f t="shared" si="104"/>
        <v>32.299999999999997</v>
      </c>
      <c r="N340" s="1894">
        <f t="shared" si="104"/>
        <v>0</v>
      </c>
      <c r="O340" s="1894">
        <f t="shared" si="104"/>
        <v>32.299999999999997</v>
      </c>
      <c r="P340" s="1940"/>
      <c r="Q340" s="2124" t="s">
        <v>1103</v>
      </c>
      <c r="R340" s="1602">
        <f>SUM(S340:T340)</f>
        <v>800</v>
      </c>
      <c r="S340" s="1629">
        <v>0</v>
      </c>
      <c r="T340" s="1629">
        <v>800</v>
      </c>
      <c r="U340" s="1602">
        <f t="shared" si="108"/>
        <v>800</v>
      </c>
      <c r="V340" s="1629">
        <v>0</v>
      </c>
      <c r="W340" s="1629">
        <v>800</v>
      </c>
      <c r="X340" s="1423">
        <f t="shared" si="102"/>
        <v>0</v>
      </c>
      <c r="Y340" s="1423"/>
      <c r="Z340" s="1423"/>
      <c r="AA340" s="1423"/>
    </row>
    <row r="341" spans="1:28" ht="40.5" customHeight="1">
      <c r="A341" s="2127" t="s">
        <v>249</v>
      </c>
      <c r="B341" s="1876" t="s">
        <v>1394</v>
      </c>
      <c r="C341" s="1877"/>
      <c r="D341" s="1598">
        <f t="shared" si="103"/>
        <v>2249012.6</v>
      </c>
      <c r="E341" s="1598">
        <f>E342+E351+E353+E356+E361+E358</f>
        <v>1923763.3</v>
      </c>
      <c r="F341" s="1598">
        <f>F342+F351+F353+F356+F361+F358</f>
        <v>325249.3</v>
      </c>
      <c r="G341" s="1598">
        <f>SUM(H341:I341)</f>
        <v>2020225.1</v>
      </c>
      <c r="H341" s="1598">
        <f>H342+H351+H353+H356+H361+H358</f>
        <v>1777654.6</v>
      </c>
      <c r="I341" s="1598">
        <f>I342+I351+I353+I356+I361+I358</f>
        <v>242570.5</v>
      </c>
      <c r="J341" s="1598">
        <f t="shared" si="105"/>
        <v>1837548.6</v>
      </c>
      <c r="K341" s="1598">
        <f>K342+K351+K353+K356+K361+K358</f>
        <v>1610705.3</v>
      </c>
      <c r="L341" s="1598">
        <f>L342+L351+L353+L356+L361+L358</f>
        <v>226843.3</v>
      </c>
      <c r="M341" s="1598">
        <f t="shared" si="104"/>
        <v>91</v>
      </c>
      <c r="N341" s="1598">
        <f t="shared" si="104"/>
        <v>90.6</v>
      </c>
      <c r="O341" s="1598">
        <f t="shared" si="104"/>
        <v>93.5</v>
      </c>
      <c r="P341" s="1599" t="s">
        <v>353</v>
      </c>
      <c r="Q341" s="1599" t="s">
        <v>353</v>
      </c>
      <c r="R341" s="1598">
        <f>SUM(S341:T341)</f>
        <v>935748</v>
      </c>
      <c r="S341" s="1598">
        <f>S342+S351+S353+S356+S361</f>
        <v>658766.30000000005</v>
      </c>
      <c r="T341" s="1598">
        <f>T342+T351+T353+T356+T361</f>
        <v>276981.7</v>
      </c>
      <c r="U341" s="1598">
        <f t="shared" si="108"/>
        <v>298643.8</v>
      </c>
      <c r="V341" s="1598">
        <f>V342+V351+V353+V356+V361</f>
        <v>15000</v>
      </c>
      <c r="W341" s="1598">
        <f>W342+W351+W353+W356+W361</f>
        <v>283643.8</v>
      </c>
      <c r="X341" s="1423">
        <f t="shared" si="102"/>
        <v>228787.5</v>
      </c>
      <c r="Y341" s="1423"/>
      <c r="Z341" s="1423"/>
      <c r="AA341" s="1423"/>
    </row>
    <row r="342" spans="1:28" s="1570" customFormat="1" ht="39" customHeight="1">
      <c r="A342" s="2127" t="s">
        <v>250</v>
      </c>
      <c r="B342" s="1929" t="s">
        <v>1642</v>
      </c>
      <c r="C342" s="1930"/>
      <c r="D342" s="1899">
        <f t="shared" si="103"/>
        <v>822567.9</v>
      </c>
      <c r="E342" s="1931">
        <f>SUM(E343:E350)</f>
        <v>704256.2</v>
      </c>
      <c r="F342" s="1931">
        <f>SUM(F343:F350)</f>
        <v>118311.7</v>
      </c>
      <c r="G342" s="1899">
        <f>SUM(H342:I342)</f>
        <v>593780.4</v>
      </c>
      <c r="H342" s="1931">
        <f>SUM(H343:H350)</f>
        <v>558147.5</v>
      </c>
      <c r="I342" s="1931">
        <f>SUM(I343:I350)</f>
        <v>35632.9</v>
      </c>
      <c r="J342" s="1899">
        <f>SUM(K342:L342)</f>
        <v>420570.3</v>
      </c>
      <c r="K342" s="1931">
        <f>SUM(K343:K350)</f>
        <v>395333</v>
      </c>
      <c r="L342" s="1931">
        <f>SUM(L343:L350)</f>
        <v>25237.3</v>
      </c>
      <c r="M342" s="1931">
        <f t="shared" si="104"/>
        <v>70.8</v>
      </c>
      <c r="N342" s="1931">
        <f t="shared" si="104"/>
        <v>70.8</v>
      </c>
      <c r="O342" s="1931">
        <f t="shared" si="104"/>
        <v>70.8</v>
      </c>
      <c r="P342" s="1940"/>
      <c r="Q342" s="2124"/>
      <c r="R342" s="1899">
        <f>SUM(S342:T342)</f>
        <v>0</v>
      </c>
      <c r="S342" s="1931">
        <f>SUM(S344:S350)</f>
        <v>0</v>
      </c>
      <c r="T342" s="1931">
        <f>SUM(T344:T350)</f>
        <v>0</v>
      </c>
      <c r="U342" s="1899">
        <f t="shared" si="108"/>
        <v>0</v>
      </c>
      <c r="V342" s="1931">
        <f>SUM(V344:V350)</f>
        <v>0</v>
      </c>
      <c r="W342" s="1931">
        <f>SUM(W344:W350)</f>
        <v>0</v>
      </c>
      <c r="X342" s="1423">
        <f t="shared" si="102"/>
        <v>228787.5</v>
      </c>
      <c r="Y342" s="1423"/>
      <c r="Z342" s="1423"/>
      <c r="AA342" s="1423"/>
    </row>
    <row r="343" spans="1:28" s="1570" customFormat="1" ht="23.25">
      <c r="A343" s="2127"/>
      <c r="B343" s="1879" t="s">
        <v>1780</v>
      </c>
      <c r="C343" s="2053"/>
      <c r="D343" s="1600">
        <f>SUM(E343:F343)</f>
        <v>228787.5</v>
      </c>
      <c r="E343" s="1631">
        <f>146108.668</f>
        <v>146108.70000000001</v>
      </c>
      <c r="F343" s="1631">
        <f>82678.79</f>
        <v>82678.8</v>
      </c>
      <c r="G343" s="1602">
        <f>SUM(H343:I343)</f>
        <v>0</v>
      </c>
      <c r="H343" s="1631"/>
      <c r="I343" s="1629"/>
      <c r="J343" s="1602">
        <f>SUM(K343:L343)</f>
        <v>0</v>
      </c>
      <c r="K343" s="1629"/>
      <c r="L343" s="1629"/>
      <c r="M343" s="1604">
        <f>IF(J343=0,0,J343/G343*100)</f>
        <v>0</v>
      </c>
      <c r="N343" s="1881">
        <f>IF(K343=0,0,K343/H343*100)</f>
        <v>0</v>
      </c>
      <c r="O343" s="1881">
        <f>IF(L343=0,0,L343/I343*100)</f>
        <v>0</v>
      </c>
      <c r="P343" s="2054"/>
      <c r="Q343" s="507"/>
      <c r="R343" s="1602"/>
      <c r="S343" s="2019"/>
      <c r="T343" s="2019"/>
      <c r="U343" s="1602"/>
      <c r="V343" s="2019"/>
      <c r="W343" s="2019"/>
      <c r="X343" s="1423"/>
      <c r="Y343" s="1423"/>
      <c r="Z343" s="1423"/>
      <c r="AA343" s="1423"/>
    </row>
    <row r="344" spans="1:28" ht="45" customHeight="1">
      <c r="A344" s="2127">
        <f>A336+1</f>
        <v>13</v>
      </c>
      <c r="B344" s="1879" t="s">
        <v>1497</v>
      </c>
      <c r="C344" s="1880" t="s">
        <v>1543</v>
      </c>
      <c r="D344" s="1600">
        <f t="shared" si="103"/>
        <v>10016.1</v>
      </c>
      <c r="E344" s="1631">
        <f>5203.864+4211.085</f>
        <v>9414.9</v>
      </c>
      <c r="F344" s="1629">
        <f>332.444+268.792</f>
        <v>601.20000000000005</v>
      </c>
      <c r="G344" s="1602">
        <f t="shared" si="86"/>
        <v>10016.1</v>
      </c>
      <c r="H344" s="1631">
        <f>E344</f>
        <v>9414.9</v>
      </c>
      <c r="I344" s="1631">
        <f>F344</f>
        <v>601.20000000000005</v>
      </c>
      <c r="J344" s="1602">
        <f t="shared" si="105"/>
        <v>9151.1</v>
      </c>
      <c r="K344" s="1629">
        <f>4390.677+4211.085</f>
        <v>8601.7999999999993</v>
      </c>
      <c r="L344" s="1629">
        <f>280.494+268.792</f>
        <v>549.29999999999995</v>
      </c>
      <c r="M344" s="1604">
        <f t="shared" si="104"/>
        <v>91.4</v>
      </c>
      <c r="N344" s="1881">
        <f t="shared" si="104"/>
        <v>91.4</v>
      </c>
      <c r="O344" s="1881">
        <f t="shared" si="104"/>
        <v>91.4</v>
      </c>
      <c r="P344" s="1940"/>
      <c r="Q344" s="2124"/>
      <c r="R344" s="1600">
        <f t="shared" si="107"/>
        <v>0</v>
      </c>
      <c r="S344" s="1631">
        <v>0</v>
      </c>
      <c r="T344" s="1629">
        <v>0</v>
      </c>
      <c r="U344" s="1600">
        <f t="shared" si="108"/>
        <v>0</v>
      </c>
      <c r="V344" s="1631">
        <v>0</v>
      </c>
      <c r="W344" s="1629">
        <v>0</v>
      </c>
      <c r="X344" s="1423">
        <f t="shared" si="102"/>
        <v>0</v>
      </c>
      <c r="Y344" s="1423"/>
      <c r="Z344" s="1423"/>
      <c r="AA344" s="1423"/>
    </row>
    <row r="345" spans="1:28" ht="39.75" customHeight="1">
      <c r="A345" s="2127">
        <f t="shared" ref="A345:A350" si="109">A344+1</f>
        <v>14</v>
      </c>
      <c r="B345" s="1879" t="s">
        <v>1498</v>
      </c>
      <c r="C345" s="1880" t="s">
        <v>1543</v>
      </c>
      <c r="D345" s="1600">
        <f t="shared" si="103"/>
        <v>14296.6</v>
      </c>
      <c r="E345" s="1631">
        <f>9912.284+3525.973</f>
        <v>13438.3</v>
      </c>
      <c r="F345" s="1629">
        <f>633.238+225.062</f>
        <v>858.3</v>
      </c>
      <c r="G345" s="1602">
        <f t="shared" si="86"/>
        <v>14296.6</v>
      </c>
      <c r="H345" s="1631">
        <f t="shared" ref="H345:H350" si="110">E345</f>
        <v>13438.3</v>
      </c>
      <c r="I345" s="1631">
        <f t="shared" ref="I345:I350" si="111">F345</f>
        <v>858.3</v>
      </c>
      <c r="J345" s="1602">
        <f t="shared" si="105"/>
        <v>12143.7</v>
      </c>
      <c r="K345" s="1629">
        <f>7888.74+3525.973</f>
        <v>11414.7</v>
      </c>
      <c r="L345" s="1629">
        <f>503.965+225.062</f>
        <v>729</v>
      </c>
      <c r="M345" s="1604">
        <f t="shared" si="104"/>
        <v>84.9</v>
      </c>
      <c r="N345" s="1881">
        <f t="shared" si="104"/>
        <v>84.9</v>
      </c>
      <c r="O345" s="1881">
        <f t="shared" si="104"/>
        <v>84.9</v>
      </c>
      <c r="P345" s="1940"/>
      <c r="Q345" s="2124"/>
      <c r="R345" s="1600">
        <f t="shared" si="107"/>
        <v>0</v>
      </c>
      <c r="S345" s="1631">
        <v>0</v>
      </c>
      <c r="T345" s="1629">
        <v>0</v>
      </c>
      <c r="U345" s="1600">
        <f t="shared" si="108"/>
        <v>0</v>
      </c>
      <c r="V345" s="1631">
        <v>0</v>
      </c>
      <c r="W345" s="1629">
        <v>0</v>
      </c>
      <c r="X345" s="1423">
        <f t="shared" si="102"/>
        <v>0</v>
      </c>
      <c r="Y345" s="1423"/>
      <c r="Z345" s="1423"/>
      <c r="AA345" s="1423"/>
    </row>
    <row r="346" spans="1:28" ht="57" customHeight="1">
      <c r="A346" s="2127">
        <f t="shared" si="109"/>
        <v>15</v>
      </c>
      <c r="B346" s="1879" t="s">
        <v>1499</v>
      </c>
      <c r="C346" s="1880" t="s">
        <v>1543</v>
      </c>
      <c r="D346" s="1600">
        <f t="shared" si="103"/>
        <v>50668.2</v>
      </c>
      <c r="E346" s="1629">
        <v>47625.599999999999</v>
      </c>
      <c r="F346" s="1629">
        <v>3042.6</v>
      </c>
      <c r="G346" s="1602">
        <f t="shared" si="86"/>
        <v>50668.2</v>
      </c>
      <c r="H346" s="1631">
        <f t="shared" si="110"/>
        <v>47625.599999999999</v>
      </c>
      <c r="I346" s="1631">
        <f t="shared" si="111"/>
        <v>3042.6</v>
      </c>
      <c r="J346" s="1602">
        <f t="shared" si="105"/>
        <v>20460.099999999999</v>
      </c>
      <c r="K346" s="1629">
        <v>19231.599999999999</v>
      </c>
      <c r="L346" s="1629">
        <v>1228.5</v>
      </c>
      <c r="M346" s="1893">
        <f t="shared" si="104"/>
        <v>40.4</v>
      </c>
      <c r="N346" s="1894">
        <f t="shared" si="104"/>
        <v>40.4</v>
      </c>
      <c r="O346" s="1894">
        <f t="shared" si="104"/>
        <v>40.4</v>
      </c>
      <c r="P346" s="1940"/>
      <c r="Q346" s="2124"/>
      <c r="R346" s="1600">
        <f t="shared" si="107"/>
        <v>0</v>
      </c>
      <c r="S346" s="1631">
        <v>0</v>
      </c>
      <c r="T346" s="1629">
        <v>0</v>
      </c>
      <c r="U346" s="1600">
        <f t="shared" si="108"/>
        <v>0</v>
      </c>
      <c r="V346" s="1631">
        <v>0</v>
      </c>
      <c r="W346" s="1629">
        <v>0</v>
      </c>
      <c r="X346" s="1423">
        <f t="shared" si="102"/>
        <v>0</v>
      </c>
      <c r="Y346" s="1423"/>
      <c r="Z346" s="1423"/>
      <c r="AA346" s="1423"/>
    </row>
    <row r="347" spans="1:28" ht="58.5" customHeight="1">
      <c r="A347" s="2127">
        <f t="shared" si="109"/>
        <v>16</v>
      </c>
      <c r="B347" s="1879" t="s">
        <v>1500</v>
      </c>
      <c r="C347" s="1880" t="s">
        <v>1543</v>
      </c>
      <c r="D347" s="1600">
        <f t="shared" si="103"/>
        <v>21886.1</v>
      </c>
      <c r="E347" s="1629">
        <f>18629.848+1942.2</f>
        <v>20572</v>
      </c>
      <c r="F347" s="1629">
        <f>1190.152+123.97</f>
        <v>1314.1</v>
      </c>
      <c r="G347" s="1602">
        <f t="shared" si="86"/>
        <v>21886.1</v>
      </c>
      <c r="H347" s="1631">
        <f t="shared" si="110"/>
        <v>20572</v>
      </c>
      <c r="I347" s="1631">
        <f t="shared" si="111"/>
        <v>1314.1</v>
      </c>
      <c r="J347" s="1602">
        <f t="shared" si="105"/>
        <v>17416.099999999999</v>
      </c>
      <c r="K347" s="1629">
        <f>14428.18+1942.2</f>
        <v>16370.4</v>
      </c>
      <c r="L347" s="1629">
        <f>921.732+123.97</f>
        <v>1045.7</v>
      </c>
      <c r="M347" s="1893">
        <f t="shared" si="104"/>
        <v>79.599999999999994</v>
      </c>
      <c r="N347" s="1894">
        <f t="shared" si="104"/>
        <v>79.599999999999994</v>
      </c>
      <c r="O347" s="1894">
        <f t="shared" si="104"/>
        <v>79.599999999999994</v>
      </c>
      <c r="P347" s="1940"/>
      <c r="Q347" s="2124"/>
      <c r="R347" s="1600">
        <f t="shared" si="107"/>
        <v>0</v>
      </c>
      <c r="S347" s="1631">
        <v>0</v>
      </c>
      <c r="T347" s="1629">
        <v>0</v>
      </c>
      <c r="U347" s="1600">
        <f t="shared" si="108"/>
        <v>0</v>
      </c>
      <c r="V347" s="1631">
        <v>0</v>
      </c>
      <c r="W347" s="1629">
        <v>0</v>
      </c>
      <c r="X347" s="1423">
        <f t="shared" si="102"/>
        <v>0</v>
      </c>
      <c r="Y347" s="1423"/>
      <c r="Z347" s="1423"/>
      <c r="AA347" s="1423"/>
    </row>
    <row r="348" spans="1:28" ht="63.75" customHeight="1">
      <c r="A348" s="2127">
        <f t="shared" si="109"/>
        <v>17</v>
      </c>
      <c r="B348" s="1879" t="s">
        <v>1501</v>
      </c>
      <c r="C348" s="1880" t="s">
        <v>1505</v>
      </c>
      <c r="D348" s="1600">
        <f t="shared" si="103"/>
        <v>38330.1</v>
      </c>
      <c r="E348" s="1629">
        <v>36028.400000000001</v>
      </c>
      <c r="F348" s="1629">
        <v>2301.6999999999998</v>
      </c>
      <c r="G348" s="1602">
        <f t="shared" ref="G348:G357" si="112">SUM(H348:I348)</f>
        <v>38330.1</v>
      </c>
      <c r="H348" s="1631">
        <f t="shared" si="110"/>
        <v>36028.400000000001</v>
      </c>
      <c r="I348" s="1631">
        <f t="shared" si="111"/>
        <v>2301.6999999999998</v>
      </c>
      <c r="J348" s="1602">
        <f t="shared" si="105"/>
        <v>17290.8</v>
      </c>
      <c r="K348" s="1629">
        <v>16252.5</v>
      </c>
      <c r="L348" s="1629">
        <v>1038.3</v>
      </c>
      <c r="M348" s="1893">
        <f t="shared" si="104"/>
        <v>45.1</v>
      </c>
      <c r="N348" s="1894">
        <f t="shared" si="104"/>
        <v>45.1</v>
      </c>
      <c r="O348" s="1894">
        <f t="shared" si="104"/>
        <v>45.1</v>
      </c>
      <c r="P348" s="1940"/>
      <c r="Q348" s="2124"/>
      <c r="R348" s="1600">
        <f t="shared" si="107"/>
        <v>0</v>
      </c>
      <c r="S348" s="1631">
        <v>0</v>
      </c>
      <c r="T348" s="1629">
        <v>0</v>
      </c>
      <c r="U348" s="1600">
        <f t="shared" si="108"/>
        <v>0</v>
      </c>
      <c r="V348" s="1631">
        <v>0</v>
      </c>
      <c r="W348" s="1629">
        <v>0</v>
      </c>
      <c r="X348" s="1423">
        <f t="shared" si="102"/>
        <v>0</v>
      </c>
      <c r="Y348" s="1423"/>
      <c r="Z348" s="1423"/>
      <c r="AA348" s="1423"/>
    </row>
    <row r="349" spans="1:28" ht="48" customHeight="1">
      <c r="A349" s="2127">
        <f t="shared" si="109"/>
        <v>18</v>
      </c>
      <c r="B349" s="1879" t="s">
        <v>1502</v>
      </c>
      <c r="C349" s="1880" t="s">
        <v>1542</v>
      </c>
      <c r="D349" s="1600">
        <f t="shared" si="103"/>
        <v>98583.3</v>
      </c>
      <c r="E349" s="1629">
        <f>74778.815+17889.455</f>
        <v>92668.3</v>
      </c>
      <c r="F349" s="1629">
        <f>4773.164+1141.88</f>
        <v>5915</v>
      </c>
      <c r="G349" s="1602">
        <f t="shared" si="112"/>
        <v>98583.3</v>
      </c>
      <c r="H349" s="1631">
        <f t="shared" si="110"/>
        <v>92668.3</v>
      </c>
      <c r="I349" s="1631">
        <f t="shared" si="111"/>
        <v>5915</v>
      </c>
      <c r="J349" s="1602">
        <f t="shared" si="105"/>
        <v>93523.4</v>
      </c>
      <c r="K349" s="1629">
        <f>70022.512+17889.455</f>
        <v>87912</v>
      </c>
      <c r="L349" s="1629">
        <f>4469.522+1141.88</f>
        <v>5611.4</v>
      </c>
      <c r="M349" s="1893">
        <f t="shared" si="104"/>
        <v>94.9</v>
      </c>
      <c r="N349" s="1894">
        <f t="shared" si="104"/>
        <v>94.9</v>
      </c>
      <c r="O349" s="1894">
        <f t="shared" si="104"/>
        <v>94.9</v>
      </c>
      <c r="P349" s="1940"/>
      <c r="Q349" s="2124"/>
      <c r="R349" s="1600">
        <f t="shared" si="107"/>
        <v>0</v>
      </c>
      <c r="S349" s="1631">
        <v>0</v>
      </c>
      <c r="T349" s="1629">
        <v>0</v>
      </c>
      <c r="U349" s="1600">
        <f t="shared" si="108"/>
        <v>0</v>
      </c>
      <c r="V349" s="1631">
        <v>0</v>
      </c>
      <c r="W349" s="1629">
        <v>0</v>
      </c>
      <c r="X349" s="1423">
        <f t="shared" si="102"/>
        <v>0</v>
      </c>
      <c r="Y349" s="1423"/>
      <c r="Z349" s="1423"/>
      <c r="AA349" s="1423"/>
    </row>
    <row r="350" spans="1:28" ht="39" customHeight="1">
      <c r="A350" s="2127">
        <f t="shared" si="109"/>
        <v>19</v>
      </c>
      <c r="B350" s="1932" t="s">
        <v>1503</v>
      </c>
      <c r="C350" s="1913" t="s">
        <v>1542</v>
      </c>
      <c r="D350" s="1600">
        <f t="shared" si="103"/>
        <v>360000</v>
      </c>
      <c r="E350" s="1629">
        <f>245721.185+92678.815</f>
        <v>338400</v>
      </c>
      <c r="F350" s="1629">
        <f>15684.34+5915.67</f>
        <v>21600</v>
      </c>
      <c r="G350" s="1602">
        <f t="shared" si="112"/>
        <v>360000</v>
      </c>
      <c r="H350" s="1631">
        <f t="shared" si="110"/>
        <v>338400</v>
      </c>
      <c r="I350" s="1631">
        <f t="shared" si="111"/>
        <v>21600</v>
      </c>
      <c r="J350" s="1602">
        <f t="shared" si="105"/>
        <v>250585.1</v>
      </c>
      <c r="K350" s="1629">
        <f>142871.242+92678.815-0.1</f>
        <v>235550</v>
      </c>
      <c r="L350" s="1629">
        <f>9119.441+5915.669</f>
        <v>15035.1</v>
      </c>
      <c r="M350" s="1893">
        <f t="shared" si="104"/>
        <v>69.599999999999994</v>
      </c>
      <c r="N350" s="1894">
        <f t="shared" si="104"/>
        <v>69.599999999999994</v>
      </c>
      <c r="O350" s="1894">
        <f t="shared" si="104"/>
        <v>69.599999999999994</v>
      </c>
      <c r="P350" s="1940"/>
      <c r="Q350" s="2124"/>
      <c r="R350" s="1600">
        <f t="shared" si="107"/>
        <v>0</v>
      </c>
      <c r="S350" s="1631">
        <v>0</v>
      </c>
      <c r="T350" s="1629">
        <v>0</v>
      </c>
      <c r="U350" s="1600">
        <f t="shared" si="108"/>
        <v>0</v>
      </c>
      <c r="V350" s="1631">
        <v>0</v>
      </c>
      <c r="W350" s="1629">
        <v>0</v>
      </c>
      <c r="X350" s="1423">
        <f t="shared" si="102"/>
        <v>0</v>
      </c>
      <c r="Y350" s="1423"/>
      <c r="Z350" s="1423"/>
      <c r="AA350" s="1423"/>
    </row>
    <row r="351" spans="1:28" ht="72" customHeight="1">
      <c r="A351" s="2127" t="s">
        <v>251</v>
      </c>
      <c r="B351" s="1933" t="s">
        <v>1640</v>
      </c>
      <c r="C351" s="1898"/>
      <c r="D351" s="1899">
        <f t="shared" si="103"/>
        <v>63829.8</v>
      </c>
      <c r="E351" s="1899">
        <f>E352</f>
        <v>60000</v>
      </c>
      <c r="F351" s="1899">
        <f>F352</f>
        <v>3829.8</v>
      </c>
      <c r="G351" s="1899">
        <f t="shared" si="112"/>
        <v>63829.8</v>
      </c>
      <c r="H351" s="1899">
        <f>H352</f>
        <v>60000</v>
      </c>
      <c r="I351" s="1899">
        <f>I352</f>
        <v>3829.8</v>
      </c>
      <c r="J351" s="1899">
        <f t="shared" si="105"/>
        <v>63829.8</v>
      </c>
      <c r="K351" s="1899">
        <f>K352</f>
        <v>60000</v>
      </c>
      <c r="L351" s="1899">
        <f>L352</f>
        <v>3829.8</v>
      </c>
      <c r="M351" s="1899">
        <f t="shared" si="104"/>
        <v>100</v>
      </c>
      <c r="N351" s="1899">
        <f t="shared" si="104"/>
        <v>100</v>
      </c>
      <c r="O351" s="1899">
        <f t="shared" si="104"/>
        <v>100</v>
      </c>
      <c r="P351" s="1940"/>
      <c r="Q351" s="2124"/>
      <c r="R351" s="1899">
        <f>SUM(S351:T351)</f>
        <v>55062.400000000001</v>
      </c>
      <c r="S351" s="1899">
        <f>S352</f>
        <v>51758.6</v>
      </c>
      <c r="T351" s="1899">
        <f>T352</f>
        <v>3303.8</v>
      </c>
      <c r="U351" s="1899">
        <f t="shared" si="108"/>
        <v>0</v>
      </c>
      <c r="V351" s="1899">
        <f>V352</f>
        <v>0</v>
      </c>
      <c r="W351" s="1899">
        <f>W352</f>
        <v>0</v>
      </c>
      <c r="X351" s="1423">
        <f t="shared" si="102"/>
        <v>0</v>
      </c>
      <c r="Y351" s="1423"/>
      <c r="Z351" s="1423"/>
      <c r="AA351" s="1423"/>
    </row>
    <row r="352" spans="1:28" ht="39.75" customHeight="1">
      <c r="A352" s="2127">
        <f>A350+1</f>
        <v>20</v>
      </c>
      <c r="B352" s="1879" t="s">
        <v>623</v>
      </c>
      <c r="C352" s="1880" t="s">
        <v>1541</v>
      </c>
      <c r="D352" s="1600">
        <f t="shared" si="103"/>
        <v>63829.8</v>
      </c>
      <c r="E352" s="1631">
        <v>60000</v>
      </c>
      <c r="F352" s="1629">
        <v>3829.8</v>
      </c>
      <c r="G352" s="1602">
        <f t="shared" si="112"/>
        <v>63829.8</v>
      </c>
      <c r="H352" s="1631">
        <v>60000</v>
      </c>
      <c r="I352" s="1629">
        <v>3829.8</v>
      </c>
      <c r="J352" s="1602">
        <f t="shared" si="105"/>
        <v>63829.8</v>
      </c>
      <c r="K352" s="1629">
        <f>59558.7+441.3</f>
        <v>60000</v>
      </c>
      <c r="L352" s="1629">
        <f>3801.6+28.2</f>
        <v>3829.8</v>
      </c>
      <c r="M352" s="1604">
        <f t="shared" si="104"/>
        <v>100</v>
      </c>
      <c r="N352" s="1881">
        <f t="shared" si="104"/>
        <v>100</v>
      </c>
      <c r="O352" s="1881">
        <f t="shared" si="104"/>
        <v>100</v>
      </c>
      <c r="P352" s="1940"/>
      <c r="Q352" s="2124"/>
      <c r="R352" s="1600">
        <f t="shared" si="107"/>
        <v>55062.400000000001</v>
      </c>
      <c r="S352" s="1631">
        <v>51758.6</v>
      </c>
      <c r="T352" s="1629">
        <v>3303.8</v>
      </c>
      <c r="U352" s="1600">
        <f t="shared" si="108"/>
        <v>0</v>
      </c>
      <c r="V352" s="1631">
        <v>0</v>
      </c>
      <c r="W352" s="1629">
        <v>0</v>
      </c>
      <c r="X352" s="1423">
        <f t="shared" si="102"/>
        <v>0</v>
      </c>
      <c r="Y352" s="1423"/>
      <c r="Z352" s="1423"/>
      <c r="AA352" s="1423"/>
    </row>
    <row r="353" spans="1:27" ht="56.25">
      <c r="A353" s="2127" t="s">
        <v>1515</v>
      </c>
      <c r="B353" s="1933" t="s">
        <v>1641</v>
      </c>
      <c r="C353" s="1898"/>
      <c r="D353" s="1899">
        <f>SUM(E353:F353)</f>
        <v>267210.90000000002</v>
      </c>
      <c r="E353" s="1899">
        <f>E355+E354</f>
        <v>114557.1</v>
      </c>
      <c r="F353" s="1899">
        <f t="shared" ref="F353:W353" si="113">F355+F354</f>
        <v>152653.79999999999</v>
      </c>
      <c r="G353" s="1899">
        <f t="shared" si="112"/>
        <v>267210.90000000002</v>
      </c>
      <c r="H353" s="1899">
        <f>H355+H354</f>
        <v>114557.1</v>
      </c>
      <c r="I353" s="1899">
        <f>I355+I354</f>
        <v>152653.79999999999</v>
      </c>
      <c r="J353" s="1899">
        <f t="shared" si="105"/>
        <v>257856.5</v>
      </c>
      <c r="K353" s="1899">
        <f>K355+K354</f>
        <v>110533.2</v>
      </c>
      <c r="L353" s="1899">
        <f>L355+L354</f>
        <v>147323.29999999999</v>
      </c>
      <c r="M353" s="1899">
        <f t="shared" si="104"/>
        <v>96.5</v>
      </c>
      <c r="N353" s="1899">
        <f t="shared" si="104"/>
        <v>96.5</v>
      </c>
      <c r="O353" s="1899">
        <f t="shared" si="104"/>
        <v>96.5</v>
      </c>
      <c r="P353" s="1899">
        <f t="shared" si="113"/>
        <v>0</v>
      </c>
      <c r="Q353" s="1899">
        <f t="shared" si="113"/>
        <v>0</v>
      </c>
      <c r="R353" s="1899">
        <f t="shared" si="113"/>
        <v>0</v>
      </c>
      <c r="S353" s="1899">
        <f t="shared" si="113"/>
        <v>0</v>
      </c>
      <c r="T353" s="1899">
        <f t="shared" si="113"/>
        <v>0</v>
      </c>
      <c r="U353" s="1899">
        <f t="shared" si="113"/>
        <v>0</v>
      </c>
      <c r="V353" s="1899">
        <f t="shared" si="113"/>
        <v>0</v>
      </c>
      <c r="W353" s="1899">
        <f t="shared" si="113"/>
        <v>0</v>
      </c>
      <c r="X353" s="1423">
        <f t="shared" si="102"/>
        <v>0</v>
      </c>
      <c r="Y353" s="1423"/>
      <c r="Z353" s="1423"/>
      <c r="AA353" s="1423"/>
    </row>
    <row r="354" spans="1:27" ht="37.5">
      <c r="A354" s="2127">
        <f>A352+1</f>
        <v>21</v>
      </c>
      <c r="B354" s="1934" t="s">
        <v>1649</v>
      </c>
      <c r="C354" s="1906"/>
      <c r="D354" s="1602">
        <f>SUM(E354:F354)</f>
        <v>900</v>
      </c>
      <c r="E354" s="1631">
        <v>0</v>
      </c>
      <c r="F354" s="1629">
        <v>900</v>
      </c>
      <c r="G354" s="1602">
        <f t="shared" si="112"/>
        <v>900</v>
      </c>
      <c r="H354" s="1631">
        <v>0</v>
      </c>
      <c r="I354" s="1629">
        <f>F354</f>
        <v>900</v>
      </c>
      <c r="J354" s="1602">
        <f t="shared" si="105"/>
        <v>900</v>
      </c>
      <c r="K354" s="1631">
        <v>0</v>
      </c>
      <c r="L354" s="1629">
        <v>900</v>
      </c>
      <c r="M354" s="1604">
        <f t="shared" si="104"/>
        <v>100</v>
      </c>
      <c r="N354" s="1881">
        <f t="shared" si="104"/>
        <v>0</v>
      </c>
      <c r="O354" s="1881">
        <f t="shared" si="104"/>
        <v>100</v>
      </c>
      <c r="P354" s="1940"/>
      <c r="Q354" s="2124"/>
      <c r="R354" s="1600">
        <f t="shared" ref="R354:R362" si="114">SUM(S354:T354)</f>
        <v>0</v>
      </c>
      <c r="S354" s="1631">
        <v>0</v>
      </c>
      <c r="T354" s="1629"/>
      <c r="U354" s="1600">
        <f t="shared" ref="U354:U362" si="115">SUM(V354:W354)</f>
        <v>0</v>
      </c>
      <c r="V354" s="1631">
        <v>0</v>
      </c>
      <c r="W354" s="1629"/>
      <c r="Y354" s="1423"/>
      <c r="Z354" s="1423"/>
      <c r="AA354" s="1423"/>
    </row>
    <row r="355" spans="1:27" ht="60" customHeight="1">
      <c r="A355" s="2127">
        <f>A354+1</f>
        <v>22</v>
      </c>
      <c r="B355" s="1879" t="s">
        <v>1509</v>
      </c>
      <c r="C355" s="1880" t="s">
        <v>1540</v>
      </c>
      <c r="D355" s="1600">
        <f t="shared" si="103"/>
        <v>266310.90000000002</v>
      </c>
      <c r="E355" s="1631">
        <v>114557.1</v>
      </c>
      <c r="F355" s="1629">
        <v>151753.79999999999</v>
      </c>
      <c r="G355" s="1602">
        <f t="shared" si="112"/>
        <v>266310.90000000002</v>
      </c>
      <c r="H355" s="1631">
        <v>114557.1</v>
      </c>
      <c r="I355" s="1629">
        <v>151753.79999999999</v>
      </c>
      <c r="J355" s="1602">
        <f t="shared" si="105"/>
        <v>256956.5</v>
      </c>
      <c r="K355" s="1631">
        <f>107687.2+2682.49551+163.461</f>
        <v>110533.2</v>
      </c>
      <c r="L355" s="1629">
        <f>142653.3+3553.503+216.538</f>
        <v>146423.29999999999</v>
      </c>
      <c r="M355" s="1604">
        <f t="shared" si="104"/>
        <v>96.5</v>
      </c>
      <c r="N355" s="1881">
        <f t="shared" si="104"/>
        <v>96.5</v>
      </c>
      <c r="O355" s="1881">
        <f t="shared" si="104"/>
        <v>96.5</v>
      </c>
      <c r="P355" s="1940"/>
      <c r="Q355" s="2124"/>
      <c r="R355" s="1600">
        <f t="shared" si="114"/>
        <v>0</v>
      </c>
      <c r="S355" s="1631">
        <v>0</v>
      </c>
      <c r="T355" s="1629">
        <v>0</v>
      </c>
      <c r="U355" s="1600">
        <f t="shared" si="115"/>
        <v>0</v>
      </c>
      <c r="V355" s="1631">
        <v>0</v>
      </c>
      <c r="W355" s="1629">
        <v>0</v>
      </c>
      <c r="X355" s="1423">
        <f>D355-G355</f>
        <v>0</v>
      </c>
      <c r="Y355" s="1423"/>
      <c r="Z355" s="1423"/>
      <c r="AA355" s="1423"/>
    </row>
    <row r="356" spans="1:27" ht="56.25" hidden="1" customHeight="1">
      <c r="A356" s="2127" t="s">
        <v>1516</v>
      </c>
      <c r="B356" s="1897" t="s">
        <v>1513</v>
      </c>
      <c r="C356" s="1896">
        <v>10119</v>
      </c>
      <c r="D356" s="1899">
        <f t="shared" si="103"/>
        <v>0</v>
      </c>
      <c r="E356" s="1899">
        <f>E357</f>
        <v>0</v>
      </c>
      <c r="F356" s="1899">
        <f>F357</f>
        <v>0</v>
      </c>
      <c r="G356" s="1899">
        <f t="shared" si="112"/>
        <v>0</v>
      </c>
      <c r="H356" s="1899">
        <f>H357</f>
        <v>0</v>
      </c>
      <c r="I356" s="1899">
        <f>I357</f>
        <v>0</v>
      </c>
      <c r="J356" s="1899">
        <f t="shared" si="105"/>
        <v>0</v>
      </c>
      <c r="K356" s="1899">
        <f>K357</f>
        <v>0</v>
      </c>
      <c r="L356" s="1899">
        <f>L357</f>
        <v>0</v>
      </c>
      <c r="M356" s="1900">
        <f t="shared" si="104"/>
        <v>0</v>
      </c>
      <c r="N356" s="1900">
        <f t="shared" si="104"/>
        <v>0</v>
      </c>
      <c r="O356" s="1900">
        <f t="shared" si="104"/>
        <v>0</v>
      </c>
      <c r="P356" s="2124"/>
      <c r="Q356" s="2124"/>
      <c r="R356" s="1899">
        <f t="shared" si="114"/>
        <v>0</v>
      </c>
      <c r="S356" s="1899">
        <f>S357</f>
        <v>0</v>
      </c>
      <c r="T356" s="1899">
        <f>T357</f>
        <v>0</v>
      </c>
      <c r="U356" s="1899">
        <f t="shared" si="115"/>
        <v>0</v>
      </c>
      <c r="V356" s="1899">
        <f>V357</f>
        <v>0</v>
      </c>
      <c r="W356" s="1899">
        <f>W357</f>
        <v>0</v>
      </c>
      <c r="Y356" s="1423"/>
      <c r="Z356" s="1423"/>
      <c r="AA356" s="1423"/>
    </row>
    <row r="357" spans="1:27" ht="63" hidden="1" customHeight="1">
      <c r="A357" s="2127">
        <f>A355+1</f>
        <v>23</v>
      </c>
      <c r="B357" s="1879" t="s">
        <v>1511</v>
      </c>
      <c r="C357" s="2127">
        <v>10119</v>
      </c>
      <c r="D357" s="1600">
        <f t="shared" si="103"/>
        <v>0</v>
      </c>
      <c r="E357" s="1608">
        <v>0</v>
      </c>
      <c r="F357" s="1608">
        <v>0</v>
      </c>
      <c r="G357" s="1602">
        <f t="shared" si="112"/>
        <v>0</v>
      </c>
      <c r="H357" s="1608">
        <v>0</v>
      </c>
      <c r="I357" s="1608">
        <v>0</v>
      </c>
      <c r="J357" s="1602">
        <f t="shared" si="105"/>
        <v>0</v>
      </c>
      <c r="K357" s="1608">
        <v>0</v>
      </c>
      <c r="L357" s="1608">
        <v>0</v>
      </c>
      <c r="M357" s="1604">
        <f t="shared" si="104"/>
        <v>0</v>
      </c>
      <c r="N357" s="1881">
        <f t="shared" si="104"/>
        <v>0</v>
      </c>
      <c r="O357" s="1881">
        <f t="shared" si="104"/>
        <v>0</v>
      </c>
      <c r="P357" s="2124" t="s">
        <v>1290</v>
      </c>
      <c r="Q357" s="2124" t="s">
        <v>1240</v>
      </c>
      <c r="R357" s="1600">
        <f t="shared" si="114"/>
        <v>0</v>
      </c>
      <c r="S357" s="1608">
        <v>0</v>
      </c>
      <c r="T357" s="1608">
        <v>0</v>
      </c>
      <c r="U357" s="1600">
        <f t="shared" si="115"/>
        <v>0</v>
      </c>
      <c r="V357" s="1608">
        <v>0</v>
      </c>
      <c r="W357" s="1608">
        <v>0</v>
      </c>
      <c r="Y357" s="1423"/>
      <c r="Z357" s="1423"/>
      <c r="AA357" s="1423"/>
    </row>
    <row r="358" spans="1:27" ht="68.25" customHeight="1">
      <c r="A358" s="2127" t="s">
        <v>1516</v>
      </c>
      <c r="B358" s="1897" t="s">
        <v>1721</v>
      </c>
      <c r="C358" s="2127"/>
      <c r="D358" s="1899">
        <v>40404</v>
      </c>
      <c r="E358" s="1899">
        <f>E359+E360</f>
        <v>44950</v>
      </c>
      <c r="F358" s="1899">
        <f>F359+F360</f>
        <v>454</v>
      </c>
      <c r="G358" s="1899">
        <v>40404</v>
      </c>
      <c r="H358" s="1899">
        <f>H359+H360</f>
        <v>44950</v>
      </c>
      <c r="I358" s="1899">
        <f>I359+I360</f>
        <v>454</v>
      </c>
      <c r="J358" s="1899">
        <v>40404</v>
      </c>
      <c r="K358" s="1899">
        <f>K359+K360</f>
        <v>44839.1</v>
      </c>
      <c r="L358" s="1899">
        <f>L359+L360</f>
        <v>452.9</v>
      </c>
      <c r="M358" s="2020">
        <f t="shared" si="104"/>
        <v>100</v>
      </c>
      <c r="N358" s="2021">
        <f t="shared" si="104"/>
        <v>99.8</v>
      </c>
      <c r="O358" s="2021">
        <f t="shared" si="104"/>
        <v>99.8</v>
      </c>
      <c r="P358" s="2124"/>
      <c r="Q358" s="2124"/>
      <c r="R358" s="1600"/>
      <c r="S358" s="1608"/>
      <c r="T358" s="1608"/>
      <c r="U358" s="1600"/>
      <c r="V358" s="1608"/>
      <c r="W358" s="1608"/>
      <c r="X358" s="1423">
        <f>D358-G358</f>
        <v>0</v>
      </c>
      <c r="Y358" s="1423"/>
      <c r="Z358" s="1423"/>
      <c r="AA358" s="1423"/>
    </row>
    <row r="359" spans="1:27" ht="75" customHeight="1">
      <c r="A359" s="2127">
        <f>A355+1</f>
        <v>23</v>
      </c>
      <c r="B359" s="1934" t="s">
        <v>1772</v>
      </c>
      <c r="C359" s="2127"/>
      <c r="D359" s="2019">
        <f>E359+F359</f>
        <v>40404</v>
      </c>
      <c r="E359" s="1629">
        <v>40000</v>
      </c>
      <c r="F359" s="1609">
        <v>404</v>
      </c>
      <c r="G359" s="2019">
        <f>H359+I359</f>
        <v>40404</v>
      </c>
      <c r="H359" s="1629">
        <v>40000</v>
      </c>
      <c r="I359" s="1609">
        <v>404</v>
      </c>
      <c r="J359" s="2019">
        <f>K359+L359</f>
        <v>40404</v>
      </c>
      <c r="K359" s="1629">
        <v>40000</v>
      </c>
      <c r="L359" s="1616">
        <v>404</v>
      </c>
      <c r="M359" s="1604">
        <f t="shared" si="104"/>
        <v>100</v>
      </c>
      <c r="N359" s="1881">
        <f t="shared" si="104"/>
        <v>100</v>
      </c>
      <c r="O359" s="1881">
        <f t="shared" si="104"/>
        <v>100</v>
      </c>
      <c r="P359" s="2124"/>
      <c r="Q359" s="2124"/>
      <c r="R359" s="1600"/>
      <c r="S359" s="1608"/>
      <c r="T359" s="1608"/>
      <c r="U359" s="1600"/>
      <c r="V359" s="1608"/>
      <c r="W359" s="1608"/>
      <c r="X359" s="1423">
        <f>D359-G359</f>
        <v>0</v>
      </c>
      <c r="Y359" s="1423"/>
      <c r="Z359" s="1423"/>
      <c r="AA359" s="1423"/>
    </row>
    <row r="360" spans="1:27" ht="75" customHeight="1">
      <c r="A360" s="2127">
        <f>A359+1</f>
        <v>24</v>
      </c>
      <c r="B360" s="1934" t="s">
        <v>1773</v>
      </c>
      <c r="C360" s="2127"/>
      <c r="D360" s="2019">
        <f>E360+F360</f>
        <v>5000</v>
      </c>
      <c r="E360" s="1629">
        <v>4950</v>
      </c>
      <c r="F360" s="1609">
        <v>50</v>
      </c>
      <c r="G360" s="2019">
        <f>H360+I360</f>
        <v>5000</v>
      </c>
      <c r="H360" s="1629">
        <v>4950</v>
      </c>
      <c r="I360" s="1609">
        <v>50</v>
      </c>
      <c r="J360" s="2019">
        <f>K360+L360</f>
        <v>4888</v>
      </c>
      <c r="K360" s="1629">
        <v>4839.1000000000004</v>
      </c>
      <c r="L360" s="1616">
        <v>48.9</v>
      </c>
      <c r="M360" s="1604">
        <f>IF(J360=0,0,J360/G360*100)</f>
        <v>97.8</v>
      </c>
      <c r="N360" s="1881">
        <f>IF(K360=0,0,K360/H360*100)</f>
        <v>97.8</v>
      </c>
      <c r="O360" s="1881">
        <f>IF(L360=0,0,L360/I360*100)</f>
        <v>97.8</v>
      </c>
      <c r="P360" s="2124"/>
      <c r="Q360" s="2124"/>
      <c r="R360" s="1600"/>
      <c r="S360" s="1608"/>
      <c r="T360" s="1608"/>
      <c r="U360" s="1600"/>
      <c r="V360" s="1608"/>
      <c r="W360" s="1608"/>
      <c r="X360" s="1423">
        <f>D360-G360</f>
        <v>0</v>
      </c>
      <c r="Y360" s="1423"/>
      <c r="Z360" s="1423"/>
      <c r="AA360" s="1423"/>
    </row>
    <row r="361" spans="1:27" ht="23.25">
      <c r="A361" s="2127" t="s">
        <v>1636</v>
      </c>
      <c r="B361" s="1897" t="s">
        <v>529</v>
      </c>
      <c r="C361" s="1896">
        <v>10119</v>
      </c>
      <c r="D361" s="1899">
        <f t="shared" si="103"/>
        <v>1050000</v>
      </c>
      <c r="E361" s="1899">
        <f>E363+E364+E365+E366</f>
        <v>1000000</v>
      </c>
      <c r="F361" s="1899">
        <f>F363+F364+F365+F366</f>
        <v>50000</v>
      </c>
      <c r="G361" s="1899">
        <f>SUM(H361:I361)</f>
        <v>1050000</v>
      </c>
      <c r="H361" s="1899">
        <f>H363+H364+H365+H366</f>
        <v>1000000</v>
      </c>
      <c r="I361" s="1899">
        <f>I363+I364+I365+I366</f>
        <v>50000</v>
      </c>
      <c r="J361" s="1899">
        <f t="shared" si="105"/>
        <v>1050000</v>
      </c>
      <c r="K361" s="1899">
        <f>K363+K364+K365+K366</f>
        <v>1000000</v>
      </c>
      <c r="L361" s="1899">
        <f>L363+L364+L365+L366</f>
        <v>50000</v>
      </c>
      <c r="M361" s="1899">
        <f t="shared" si="104"/>
        <v>100</v>
      </c>
      <c r="N361" s="1899">
        <f t="shared" si="104"/>
        <v>100</v>
      </c>
      <c r="O361" s="1899">
        <f t="shared" si="104"/>
        <v>100</v>
      </c>
      <c r="P361" s="1899">
        <f>P364+P365+P362</f>
        <v>0</v>
      </c>
      <c r="Q361" s="1899">
        <f>Q364+Q365+Q362</f>
        <v>0</v>
      </c>
      <c r="R361" s="1899">
        <f t="shared" si="114"/>
        <v>880685.6</v>
      </c>
      <c r="S361" s="1899">
        <f>S364+S365+S362+S366</f>
        <v>607007.69999999995</v>
      </c>
      <c r="T361" s="1899">
        <f>T364+T365+T362+T366</f>
        <v>273677.90000000002</v>
      </c>
      <c r="U361" s="1899">
        <f t="shared" si="115"/>
        <v>298643.8</v>
      </c>
      <c r="V361" s="1899">
        <f>V364+V365+V362+V366</f>
        <v>15000</v>
      </c>
      <c r="W361" s="1899">
        <f>W364+W365+W362+W366</f>
        <v>283643.8</v>
      </c>
      <c r="X361" s="1423">
        <f>D361-G361</f>
        <v>0</v>
      </c>
      <c r="Y361" s="1423"/>
      <c r="Z361" s="1423"/>
      <c r="AA361" s="1423"/>
    </row>
    <row r="362" spans="1:27" ht="57.75" hidden="1" customHeight="1">
      <c r="A362" s="2127"/>
      <c r="B362" s="1934" t="s">
        <v>1649</v>
      </c>
      <c r="C362" s="1906"/>
      <c r="D362" s="1602">
        <f>SUM(E362:F362)</f>
        <v>0</v>
      </c>
      <c r="E362" s="1631">
        <v>0</v>
      </c>
      <c r="F362" s="1629">
        <v>0</v>
      </c>
      <c r="G362" s="1602">
        <f>SUM(H362:I362)</f>
        <v>0</v>
      </c>
      <c r="H362" s="1631">
        <v>0</v>
      </c>
      <c r="I362" s="1629">
        <v>0</v>
      </c>
      <c r="J362" s="1602">
        <f t="shared" si="105"/>
        <v>0</v>
      </c>
      <c r="K362" s="1631">
        <v>0</v>
      </c>
      <c r="L362" s="1629">
        <v>0</v>
      </c>
      <c r="M362" s="1604">
        <f t="shared" si="104"/>
        <v>0</v>
      </c>
      <c r="N362" s="1881">
        <f t="shared" si="104"/>
        <v>0</v>
      </c>
      <c r="O362" s="1881">
        <f t="shared" si="104"/>
        <v>0</v>
      </c>
      <c r="P362" s="1940"/>
      <c r="Q362" s="2124"/>
      <c r="R362" s="1600">
        <f t="shared" si="114"/>
        <v>50000</v>
      </c>
      <c r="S362" s="1631">
        <v>0</v>
      </c>
      <c r="T362" s="1629">
        <v>50000</v>
      </c>
      <c r="U362" s="1600">
        <f t="shared" si="115"/>
        <v>50000</v>
      </c>
      <c r="V362" s="1631">
        <v>0</v>
      </c>
      <c r="W362" s="1629">
        <v>50000</v>
      </c>
      <c r="Y362" s="1423"/>
      <c r="Z362" s="1423"/>
      <c r="AA362" s="1423"/>
    </row>
    <row r="363" spans="1:27" ht="51" hidden="1" customHeight="1">
      <c r="A363" s="2127"/>
      <c r="B363" s="1934"/>
      <c r="C363" s="1906"/>
      <c r="D363" s="1600"/>
      <c r="E363" s="1631"/>
      <c r="F363" s="1629"/>
      <c r="G363" s="1602"/>
      <c r="H363" s="1631"/>
      <c r="I363" s="1629"/>
      <c r="J363" s="1602"/>
      <c r="K363" s="1631"/>
      <c r="L363" s="1629"/>
      <c r="M363" s="1604"/>
      <c r="N363" s="1881"/>
      <c r="O363" s="1881"/>
      <c r="P363" s="1940"/>
      <c r="Q363" s="2124"/>
      <c r="R363" s="1600"/>
      <c r="S363" s="1631"/>
      <c r="T363" s="1629"/>
      <c r="U363" s="1600"/>
      <c r="V363" s="1631"/>
      <c r="W363" s="1629"/>
      <c r="Y363" s="1423"/>
      <c r="Z363" s="1423"/>
      <c r="AA363" s="1423"/>
    </row>
    <row r="364" spans="1:27" ht="27" customHeight="1">
      <c r="A364" s="2127">
        <f>A360+1</f>
        <v>25</v>
      </c>
      <c r="B364" s="1934" t="s">
        <v>1606</v>
      </c>
      <c r="C364" s="1866" t="s">
        <v>1609</v>
      </c>
      <c r="D364" s="1600">
        <f t="shared" si="103"/>
        <v>100000</v>
      </c>
      <c r="E364" s="1631">
        <v>100000</v>
      </c>
      <c r="F364" s="1629">
        <v>0</v>
      </c>
      <c r="G364" s="1602">
        <f t="shared" ref="G364:G387" si="116">SUM(H364:I364)</f>
        <v>100000</v>
      </c>
      <c r="H364" s="1631">
        <v>100000</v>
      </c>
      <c r="I364" s="1629">
        <v>0</v>
      </c>
      <c r="J364" s="1602">
        <f t="shared" si="105"/>
        <v>100000</v>
      </c>
      <c r="K364" s="1629">
        <v>100000</v>
      </c>
      <c r="L364" s="1629"/>
      <c r="M364" s="1604">
        <f t="shared" si="104"/>
        <v>100</v>
      </c>
      <c r="N364" s="1881">
        <f t="shared" si="104"/>
        <v>100</v>
      </c>
      <c r="O364" s="1881">
        <f t="shared" si="104"/>
        <v>0</v>
      </c>
      <c r="P364" s="1940"/>
      <c r="Q364" s="2124"/>
      <c r="R364" s="1602">
        <f t="shared" ref="R364:R383" si="117">SUM(S364:T364)</f>
        <v>600000</v>
      </c>
      <c r="S364" s="1629">
        <v>600000</v>
      </c>
      <c r="T364" s="1862">
        <v>0</v>
      </c>
      <c r="U364" s="1602">
        <f t="shared" ref="U364:U383" si="118">SUM(V364:W364)</f>
        <v>0</v>
      </c>
      <c r="V364" s="1629">
        <v>0</v>
      </c>
      <c r="W364" s="1629">
        <v>0</v>
      </c>
      <c r="X364" s="1423">
        <f t="shared" ref="X364:X369" si="119">D364-G364</f>
        <v>0</v>
      </c>
      <c r="Y364" s="1423"/>
      <c r="Z364" s="1423"/>
      <c r="AA364" s="1423"/>
    </row>
    <row r="365" spans="1:27" ht="37.5">
      <c r="A365" s="2127">
        <f>A364+1</f>
        <v>26</v>
      </c>
      <c r="B365" s="1934" t="s">
        <v>1607</v>
      </c>
      <c r="C365" s="1866">
        <v>10134</v>
      </c>
      <c r="D365" s="1600">
        <f t="shared" si="103"/>
        <v>50000</v>
      </c>
      <c r="E365" s="1631">
        <v>0</v>
      </c>
      <c r="F365" s="1629">
        <v>50000</v>
      </c>
      <c r="G365" s="1602">
        <f t="shared" si="116"/>
        <v>50000</v>
      </c>
      <c r="H365" s="1631">
        <v>0</v>
      </c>
      <c r="I365" s="1629">
        <v>50000</v>
      </c>
      <c r="J365" s="1602">
        <f t="shared" si="105"/>
        <v>50000</v>
      </c>
      <c r="K365" s="1631"/>
      <c r="L365" s="1629">
        <v>50000</v>
      </c>
      <c r="M365" s="1604">
        <f t="shared" si="104"/>
        <v>100</v>
      </c>
      <c r="N365" s="1881">
        <f t="shared" si="104"/>
        <v>0</v>
      </c>
      <c r="O365" s="1881">
        <f t="shared" si="104"/>
        <v>100</v>
      </c>
      <c r="P365" s="1940"/>
      <c r="Q365" s="2124"/>
      <c r="R365" s="1602">
        <f t="shared" si="117"/>
        <v>116064.7</v>
      </c>
      <c r="S365" s="1629">
        <v>0</v>
      </c>
      <c r="T365" s="1629">
        <v>116064.7</v>
      </c>
      <c r="U365" s="1602">
        <f t="shared" si="118"/>
        <v>121543.6</v>
      </c>
      <c r="V365" s="1629">
        <v>0</v>
      </c>
      <c r="W365" s="1629">
        <v>121543.6</v>
      </c>
      <c r="X365" s="1423">
        <f t="shared" si="119"/>
        <v>0</v>
      </c>
      <c r="Y365" s="1423"/>
      <c r="Z365" s="1423"/>
      <c r="AA365" s="1423"/>
    </row>
    <row r="366" spans="1:27" ht="41.25" customHeight="1">
      <c r="A366" s="2127">
        <f>A365+1</f>
        <v>27</v>
      </c>
      <c r="B366" s="1934" t="s">
        <v>1730</v>
      </c>
      <c r="C366" s="1866"/>
      <c r="D366" s="1602">
        <f t="shared" si="103"/>
        <v>900000</v>
      </c>
      <c r="E366" s="1631">
        <v>900000</v>
      </c>
      <c r="F366" s="1629"/>
      <c r="G366" s="1602">
        <f t="shared" si="116"/>
        <v>900000</v>
      </c>
      <c r="H366" s="1631">
        <f>E366</f>
        <v>900000</v>
      </c>
      <c r="I366" s="1629"/>
      <c r="J366" s="1602">
        <f t="shared" si="105"/>
        <v>900000</v>
      </c>
      <c r="K366" s="1631">
        <v>900000</v>
      </c>
      <c r="L366" s="1629"/>
      <c r="M366" s="1604">
        <f t="shared" si="104"/>
        <v>100</v>
      </c>
      <c r="N366" s="1881">
        <f t="shared" si="104"/>
        <v>100</v>
      </c>
      <c r="O366" s="1881">
        <f t="shared" si="104"/>
        <v>0</v>
      </c>
      <c r="P366" s="1940"/>
      <c r="Q366" s="2124"/>
      <c r="R366" s="1602">
        <f t="shared" si="117"/>
        <v>114620.9</v>
      </c>
      <c r="S366" s="1629">
        <v>7007.7</v>
      </c>
      <c r="T366" s="1629">
        <v>107613.2</v>
      </c>
      <c r="U366" s="1602">
        <f t="shared" si="118"/>
        <v>127100.2</v>
      </c>
      <c r="V366" s="1629">
        <v>15000</v>
      </c>
      <c r="W366" s="1629">
        <v>112100.2</v>
      </c>
      <c r="X366" s="1423">
        <f t="shared" si="119"/>
        <v>0</v>
      </c>
      <c r="Y366" s="1423"/>
      <c r="Z366" s="1423"/>
      <c r="AA366" s="1423"/>
    </row>
    <row r="367" spans="1:27" s="791" customFormat="1" ht="51.75" customHeight="1">
      <c r="A367" s="2565" t="s">
        <v>1421</v>
      </c>
      <c r="B367" s="2565"/>
      <c r="C367" s="1869"/>
      <c r="D367" s="1594">
        <f t="shared" si="103"/>
        <v>9</v>
      </c>
      <c r="E367" s="1594">
        <f>E368+E385</f>
        <v>0</v>
      </c>
      <c r="F367" s="1594">
        <f>F368+F385</f>
        <v>9</v>
      </c>
      <c r="G367" s="1594">
        <f>SUM(H367:I367)</f>
        <v>0</v>
      </c>
      <c r="H367" s="1594">
        <f>H368+H385</f>
        <v>0</v>
      </c>
      <c r="I367" s="1594">
        <f>I368+I385</f>
        <v>0</v>
      </c>
      <c r="J367" s="1594">
        <f>SUM(K367:L367)</f>
        <v>0</v>
      </c>
      <c r="K367" s="1594">
        <f>K368+K385</f>
        <v>0</v>
      </c>
      <c r="L367" s="1594">
        <f>L368+L385</f>
        <v>0</v>
      </c>
      <c r="M367" s="1870">
        <f t="shared" si="104"/>
        <v>0</v>
      </c>
      <c r="N367" s="1871">
        <f t="shared" si="104"/>
        <v>0</v>
      </c>
      <c r="O367" s="1871">
        <f t="shared" si="104"/>
        <v>0</v>
      </c>
      <c r="P367" s="1940"/>
      <c r="Q367" s="2124" t="s">
        <v>1104</v>
      </c>
      <c r="R367" s="1594">
        <f t="shared" si="117"/>
        <v>0</v>
      </c>
      <c r="S367" s="1594">
        <f>S368</f>
        <v>0</v>
      </c>
      <c r="T367" s="1594">
        <f>SUM(T368)</f>
        <v>0</v>
      </c>
      <c r="U367" s="1594">
        <f t="shared" si="118"/>
        <v>0</v>
      </c>
      <c r="V367" s="1594">
        <f>V368</f>
        <v>0</v>
      </c>
      <c r="W367" s="1594">
        <f>SUM(W368)</f>
        <v>0</v>
      </c>
      <c r="X367" s="1423">
        <f t="shared" si="119"/>
        <v>9</v>
      </c>
      <c r="Y367" s="1423"/>
      <c r="Z367" s="1423"/>
      <c r="AA367" s="1423"/>
    </row>
    <row r="368" spans="1:27" ht="75" hidden="1" customHeight="1">
      <c r="A368" s="2127" t="s">
        <v>6</v>
      </c>
      <c r="B368" s="1872" t="s">
        <v>439</v>
      </c>
      <c r="C368" s="1873"/>
      <c r="D368" s="1861">
        <f t="shared" si="103"/>
        <v>0</v>
      </c>
      <c r="E368" s="1861">
        <f>SUM(E369,E382)</f>
        <v>0</v>
      </c>
      <c r="F368" s="1861">
        <f>SUM(F369,F382)</f>
        <v>0</v>
      </c>
      <c r="G368" s="1861">
        <f t="shared" si="116"/>
        <v>0</v>
      </c>
      <c r="H368" s="1861">
        <f>SUM(H369,H382)</f>
        <v>0</v>
      </c>
      <c r="I368" s="1861">
        <f>SUM(I369,I382)</f>
        <v>0</v>
      </c>
      <c r="J368" s="1861">
        <f t="shared" si="105"/>
        <v>0</v>
      </c>
      <c r="K368" s="1861">
        <f>SUM(K369,K382)</f>
        <v>0</v>
      </c>
      <c r="L368" s="1861">
        <f>SUM(L369,L382)</f>
        <v>0</v>
      </c>
      <c r="M368" s="1874">
        <f t="shared" si="104"/>
        <v>0</v>
      </c>
      <c r="N368" s="1875">
        <f t="shared" si="104"/>
        <v>0</v>
      </c>
      <c r="O368" s="1875">
        <f t="shared" si="104"/>
        <v>0</v>
      </c>
      <c r="P368" s="1597" t="s">
        <v>353</v>
      </c>
      <c r="Q368" s="1597" t="s">
        <v>353</v>
      </c>
      <c r="R368" s="1861">
        <f t="shared" si="117"/>
        <v>0</v>
      </c>
      <c r="S368" s="1861">
        <f>SUM(S369,S382)</f>
        <v>0</v>
      </c>
      <c r="T368" s="1861">
        <f>SUM(T369,T382)</f>
        <v>0</v>
      </c>
      <c r="U368" s="1861">
        <f t="shared" si="118"/>
        <v>0</v>
      </c>
      <c r="V368" s="1861">
        <f>SUM(V369,V382)</f>
        <v>0</v>
      </c>
      <c r="W368" s="1861">
        <f>SUM(W369,W382)</f>
        <v>0</v>
      </c>
      <c r="X368" s="1423">
        <f t="shared" si="119"/>
        <v>0</v>
      </c>
      <c r="Y368" s="1423"/>
      <c r="Z368" s="1423"/>
      <c r="AA368" s="1423"/>
    </row>
    <row r="369" spans="1:27" ht="23.25" hidden="1" customHeight="1">
      <c r="A369" s="2127" t="s">
        <v>253</v>
      </c>
      <c r="B369" s="1876" t="s">
        <v>1393</v>
      </c>
      <c r="C369" s="1877"/>
      <c r="D369" s="1598">
        <f t="shared" si="103"/>
        <v>0</v>
      </c>
      <c r="E369" s="1598">
        <f>SUM(E380,E374+E370+E372+E376+E378)</f>
        <v>0</v>
      </c>
      <c r="F369" s="1598">
        <f>SUM(F380,F374+F370+F372+F376+F378)</f>
        <v>0</v>
      </c>
      <c r="G369" s="1598">
        <f t="shared" si="116"/>
        <v>0</v>
      </c>
      <c r="H369" s="1598">
        <f>SUM(H380,H374+H370+H372+H376+H378)</f>
        <v>0</v>
      </c>
      <c r="I369" s="1598">
        <f>SUM(I380,I374+I370+I372+I376+I378)</f>
        <v>0</v>
      </c>
      <c r="J369" s="1598">
        <f t="shared" si="105"/>
        <v>0</v>
      </c>
      <c r="K369" s="1598">
        <f>SUM(K380,K374+K370+K372+K376+K378)</f>
        <v>0</v>
      </c>
      <c r="L369" s="1598">
        <f>SUM(L380,L374+L370+L372+L376+L378)</f>
        <v>0</v>
      </c>
      <c r="M369" s="1598">
        <f t="shared" si="104"/>
        <v>0</v>
      </c>
      <c r="N369" s="1598">
        <f t="shared" si="104"/>
        <v>0</v>
      </c>
      <c r="O369" s="1598">
        <f t="shared" si="104"/>
        <v>0</v>
      </c>
      <c r="P369" s="1599" t="s">
        <v>353</v>
      </c>
      <c r="Q369" s="1599" t="s">
        <v>353</v>
      </c>
      <c r="R369" s="1598">
        <f t="shared" si="117"/>
        <v>0</v>
      </c>
      <c r="S369" s="1598">
        <f>SUM(S380,S374+S370+S372+S376+S378)</f>
        <v>0</v>
      </c>
      <c r="T369" s="1598">
        <f>SUM(T380,T374+T370+T372+T376+T378)</f>
        <v>0</v>
      </c>
      <c r="U369" s="1598">
        <f t="shared" si="118"/>
        <v>0</v>
      </c>
      <c r="V369" s="1598">
        <f>SUM(V380,V374+V370+V372+V376+V378)</f>
        <v>0</v>
      </c>
      <c r="W369" s="1598">
        <f>SUM(W380,W374+W370+W372+W376+W378)</f>
        <v>0</v>
      </c>
      <c r="X369" s="1423">
        <f t="shared" si="119"/>
        <v>0</v>
      </c>
      <c r="Y369" s="1423"/>
      <c r="Z369" s="1423"/>
      <c r="AA369" s="1423"/>
    </row>
    <row r="370" spans="1:27" s="484" customFormat="1" ht="18.75" hidden="1" customHeight="1">
      <c r="A370" s="2127"/>
      <c r="B370" s="1935" t="s">
        <v>46</v>
      </c>
      <c r="C370" s="1906"/>
      <c r="D370" s="1602">
        <f t="shared" si="103"/>
        <v>0</v>
      </c>
      <c r="E370" s="1603">
        <f>SUM(E371)</f>
        <v>0</v>
      </c>
      <c r="F370" s="1603">
        <f>SUM(F371)</f>
        <v>0</v>
      </c>
      <c r="G370" s="1602">
        <f t="shared" si="116"/>
        <v>0</v>
      </c>
      <c r="H370" s="1603">
        <f>SUM(H371)</f>
        <v>0</v>
      </c>
      <c r="I370" s="1603">
        <f>SUM(I371)</f>
        <v>0</v>
      </c>
      <c r="J370" s="1602">
        <f t="shared" si="105"/>
        <v>0</v>
      </c>
      <c r="K370" s="1603">
        <f>SUM(K371)</f>
        <v>0</v>
      </c>
      <c r="L370" s="1603">
        <f>SUM(L371)</f>
        <v>0</v>
      </c>
      <c r="M370" s="1604">
        <f t="shared" si="104"/>
        <v>0</v>
      </c>
      <c r="N370" s="1881">
        <f t="shared" si="104"/>
        <v>0</v>
      </c>
      <c r="O370" s="1881">
        <f t="shared" si="104"/>
        <v>0</v>
      </c>
      <c r="P370" s="2124"/>
      <c r="Q370" s="2124"/>
      <c r="R370" s="1602">
        <f t="shared" si="117"/>
        <v>0</v>
      </c>
      <c r="S370" s="1603">
        <f>SUM(S371)</f>
        <v>0</v>
      </c>
      <c r="T370" s="1603">
        <f>SUM(T371)</f>
        <v>0</v>
      </c>
      <c r="U370" s="1602">
        <f t="shared" si="118"/>
        <v>0</v>
      </c>
      <c r="V370" s="1603">
        <f>SUM(V371)</f>
        <v>0</v>
      </c>
      <c r="W370" s="1603">
        <f>SUM(W371)</f>
        <v>0</v>
      </c>
      <c r="Y370" s="1423"/>
      <c r="Z370" s="1423"/>
      <c r="AA370" s="1423"/>
    </row>
    <row r="371" spans="1:27" s="484" customFormat="1" ht="56.25" hidden="1" customHeight="1">
      <c r="A371" s="2127"/>
      <c r="B371" s="1905" t="s">
        <v>1677</v>
      </c>
      <c r="C371" s="1866">
        <v>24381</v>
      </c>
      <c r="D371" s="1602">
        <f t="shared" si="103"/>
        <v>0</v>
      </c>
      <c r="E371" s="1616">
        <v>0</v>
      </c>
      <c r="F371" s="1616">
        <v>0</v>
      </c>
      <c r="G371" s="1602">
        <f t="shared" si="116"/>
        <v>0</v>
      </c>
      <c r="H371" s="1616">
        <v>0</v>
      </c>
      <c r="I371" s="1616">
        <v>0</v>
      </c>
      <c r="J371" s="1602">
        <f t="shared" si="105"/>
        <v>0</v>
      </c>
      <c r="K371" s="1616">
        <v>0</v>
      </c>
      <c r="L371" s="1616"/>
      <c r="M371" s="1604">
        <f t="shared" si="104"/>
        <v>0</v>
      </c>
      <c r="N371" s="1881">
        <f t="shared" si="104"/>
        <v>0</v>
      </c>
      <c r="O371" s="1881">
        <f t="shared" si="104"/>
        <v>0</v>
      </c>
      <c r="P371" s="2124"/>
      <c r="Q371" s="2124"/>
      <c r="R371" s="1602">
        <f t="shared" si="117"/>
        <v>0</v>
      </c>
      <c r="S371" s="1600"/>
      <c r="T371" s="1600"/>
      <c r="U371" s="1602">
        <f t="shared" si="118"/>
        <v>0</v>
      </c>
      <c r="V371" s="1600"/>
      <c r="W371" s="1600"/>
      <c r="Y371" s="1423"/>
      <c r="Z371" s="1423"/>
      <c r="AA371" s="1423"/>
    </row>
    <row r="372" spans="1:27" s="484" customFormat="1" ht="23.25" hidden="1" customHeight="1">
      <c r="A372" s="2127"/>
      <c r="B372" s="1935" t="s">
        <v>583</v>
      </c>
      <c r="C372" s="1906"/>
      <c r="D372" s="1602">
        <f t="shared" si="103"/>
        <v>0</v>
      </c>
      <c r="E372" s="1603">
        <f>SUM(E373)</f>
        <v>0</v>
      </c>
      <c r="F372" s="1603">
        <f>SUM(F373)</f>
        <v>0</v>
      </c>
      <c r="G372" s="1602">
        <f t="shared" si="116"/>
        <v>0</v>
      </c>
      <c r="H372" s="1603">
        <f>SUM(H373)</f>
        <v>0</v>
      </c>
      <c r="I372" s="1603">
        <f>SUM(I373)</f>
        <v>0</v>
      </c>
      <c r="J372" s="1602">
        <f t="shared" si="105"/>
        <v>0</v>
      </c>
      <c r="K372" s="1603">
        <f>SUM(K373)</f>
        <v>0</v>
      </c>
      <c r="L372" s="1603">
        <f>SUM(L373)</f>
        <v>0</v>
      </c>
      <c r="M372" s="1604">
        <f t="shared" si="104"/>
        <v>0</v>
      </c>
      <c r="N372" s="1881">
        <f t="shared" si="104"/>
        <v>0</v>
      </c>
      <c r="O372" s="1881">
        <f t="shared" si="104"/>
        <v>0</v>
      </c>
      <c r="P372" s="2124"/>
      <c r="Q372" s="2124"/>
      <c r="R372" s="1602">
        <f t="shared" si="117"/>
        <v>0</v>
      </c>
      <c r="S372" s="1603">
        <f>SUM(S373)</f>
        <v>0</v>
      </c>
      <c r="T372" s="1603">
        <f>SUM(T373)</f>
        <v>0</v>
      </c>
      <c r="U372" s="1602">
        <f t="shared" si="118"/>
        <v>0</v>
      </c>
      <c r="V372" s="1603">
        <f>SUM(V373)</f>
        <v>0</v>
      </c>
      <c r="W372" s="1603">
        <f>SUM(W373)</f>
        <v>0</v>
      </c>
      <c r="X372" s="1423">
        <f t="shared" ref="X372:X410" si="120">D372-G372</f>
        <v>0</v>
      </c>
      <c r="Y372" s="1423"/>
      <c r="Z372" s="1423"/>
      <c r="AA372" s="1423"/>
    </row>
    <row r="373" spans="1:27" s="484" customFormat="1" ht="37.5" hidden="1" customHeight="1">
      <c r="A373" s="2127">
        <f>A371+1</f>
        <v>1</v>
      </c>
      <c r="B373" s="1905" t="s">
        <v>1579</v>
      </c>
      <c r="C373" s="1906"/>
      <c r="D373" s="1602">
        <f t="shared" si="103"/>
        <v>0</v>
      </c>
      <c r="E373" s="1616">
        <v>0</v>
      </c>
      <c r="F373" s="1616">
        <v>0</v>
      </c>
      <c r="G373" s="1602">
        <f t="shared" si="116"/>
        <v>0</v>
      </c>
      <c r="H373" s="1616">
        <v>0</v>
      </c>
      <c r="I373" s="1616">
        <v>0</v>
      </c>
      <c r="J373" s="1602">
        <f t="shared" si="105"/>
        <v>0</v>
      </c>
      <c r="K373" s="1616">
        <v>0</v>
      </c>
      <c r="L373" s="1616"/>
      <c r="M373" s="1604">
        <f t="shared" si="104"/>
        <v>0</v>
      </c>
      <c r="N373" s="1881">
        <f t="shared" si="104"/>
        <v>0</v>
      </c>
      <c r="O373" s="1881">
        <f t="shared" si="104"/>
        <v>0</v>
      </c>
      <c r="P373" s="2124"/>
      <c r="Q373" s="2124"/>
      <c r="R373" s="1602">
        <f t="shared" si="117"/>
        <v>0</v>
      </c>
      <c r="S373" s="1616">
        <v>0</v>
      </c>
      <c r="T373" s="1616">
        <v>0</v>
      </c>
      <c r="U373" s="1602">
        <f t="shared" si="118"/>
        <v>0</v>
      </c>
      <c r="V373" s="1616">
        <v>0</v>
      </c>
      <c r="W373" s="1616">
        <v>0</v>
      </c>
      <c r="X373" s="1423">
        <f t="shared" si="120"/>
        <v>0</v>
      </c>
      <c r="Y373" s="1423"/>
      <c r="Z373" s="1423"/>
      <c r="AA373" s="1423"/>
    </row>
    <row r="374" spans="1:27" ht="23.25" hidden="1" customHeight="1">
      <c r="A374" s="2127"/>
      <c r="B374" s="2126" t="s">
        <v>68</v>
      </c>
      <c r="C374" s="2127"/>
      <c r="D374" s="1602">
        <f t="shared" si="103"/>
        <v>0</v>
      </c>
      <c r="E374" s="1603">
        <f>SUM(E375)</f>
        <v>0</v>
      </c>
      <c r="F374" s="1603">
        <f>SUM(F375)</f>
        <v>0</v>
      </c>
      <c r="G374" s="1602">
        <f t="shared" si="116"/>
        <v>0</v>
      </c>
      <c r="H374" s="1603">
        <f>SUM(H375)</f>
        <v>0</v>
      </c>
      <c r="I374" s="1603">
        <f>SUM(I375)</f>
        <v>0</v>
      </c>
      <c r="J374" s="1602">
        <f t="shared" si="105"/>
        <v>0</v>
      </c>
      <c r="K374" s="1603">
        <f>SUM(K375)</f>
        <v>0</v>
      </c>
      <c r="L374" s="1603">
        <f>SUM(L375)</f>
        <v>0</v>
      </c>
      <c r="M374" s="1604">
        <f t="shared" si="104"/>
        <v>0</v>
      </c>
      <c r="N374" s="1881">
        <f t="shared" si="104"/>
        <v>0</v>
      </c>
      <c r="O374" s="1881">
        <f t="shared" si="104"/>
        <v>0</v>
      </c>
      <c r="P374" s="1940"/>
      <c r="Q374" s="2124"/>
      <c r="R374" s="1602">
        <f t="shared" si="117"/>
        <v>0</v>
      </c>
      <c r="S374" s="1603">
        <f>SUM(S375)</f>
        <v>0</v>
      </c>
      <c r="T374" s="1603">
        <f>SUM(T375)</f>
        <v>0</v>
      </c>
      <c r="U374" s="1602">
        <f t="shared" si="118"/>
        <v>0</v>
      </c>
      <c r="V374" s="1603">
        <f>SUM(V375)</f>
        <v>0</v>
      </c>
      <c r="W374" s="1603">
        <f>SUM(W375)</f>
        <v>0</v>
      </c>
      <c r="X374" s="1423">
        <f t="shared" si="120"/>
        <v>0</v>
      </c>
      <c r="Y374" s="1423"/>
      <c r="Z374" s="1423"/>
      <c r="AA374" s="1423"/>
    </row>
    <row r="375" spans="1:27" ht="37.5" hidden="1" customHeight="1">
      <c r="A375" s="2127">
        <f>A373+1</f>
        <v>2</v>
      </c>
      <c r="B375" s="1879" t="s">
        <v>1422</v>
      </c>
      <c r="C375" s="2127"/>
      <c r="D375" s="1602">
        <f t="shared" si="103"/>
        <v>0</v>
      </c>
      <c r="E375" s="1616">
        <v>0</v>
      </c>
      <c r="F375" s="1616">
        <v>0</v>
      </c>
      <c r="G375" s="1602">
        <f t="shared" si="116"/>
        <v>0</v>
      </c>
      <c r="H375" s="1616">
        <v>0</v>
      </c>
      <c r="I375" s="1616">
        <v>0</v>
      </c>
      <c r="J375" s="1602">
        <f t="shared" si="105"/>
        <v>0</v>
      </c>
      <c r="K375" s="1616">
        <v>0</v>
      </c>
      <c r="L375" s="1616"/>
      <c r="M375" s="1604">
        <f t="shared" si="104"/>
        <v>0</v>
      </c>
      <c r="N375" s="1881">
        <f t="shared" si="104"/>
        <v>0</v>
      </c>
      <c r="O375" s="1881">
        <f t="shared" si="104"/>
        <v>0</v>
      </c>
      <c r="P375" s="1940"/>
      <c r="Q375" s="2124"/>
      <c r="R375" s="1602">
        <f t="shared" si="117"/>
        <v>0</v>
      </c>
      <c r="S375" s="1616"/>
      <c r="T375" s="1616"/>
      <c r="U375" s="1602">
        <f t="shared" si="118"/>
        <v>0</v>
      </c>
      <c r="V375" s="1616"/>
      <c r="W375" s="1616"/>
      <c r="X375" s="1423">
        <f t="shared" si="120"/>
        <v>0</v>
      </c>
      <c r="Y375" s="1423"/>
      <c r="Z375" s="1423"/>
      <c r="AA375" s="1423"/>
    </row>
    <row r="376" spans="1:27" ht="23.25" hidden="1" customHeight="1">
      <c r="A376" s="2127"/>
      <c r="B376" s="2126" t="s">
        <v>431</v>
      </c>
      <c r="C376" s="2127"/>
      <c r="D376" s="1602">
        <f t="shared" si="103"/>
        <v>0</v>
      </c>
      <c r="E376" s="1603">
        <f>SUM(E377)</f>
        <v>0</v>
      </c>
      <c r="F376" s="1603">
        <f>SUM(F377)</f>
        <v>0</v>
      </c>
      <c r="G376" s="1602">
        <f t="shared" si="116"/>
        <v>0</v>
      </c>
      <c r="H376" s="1603">
        <f>SUM(H377)</f>
        <v>0</v>
      </c>
      <c r="I376" s="1603">
        <f>SUM(I377)</f>
        <v>0</v>
      </c>
      <c r="J376" s="1602">
        <f t="shared" si="105"/>
        <v>0</v>
      </c>
      <c r="K376" s="1603">
        <f>SUM(K377)</f>
        <v>0</v>
      </c>
      <c r="L376" s="1603">
        <f>SUM(L377)</f>
        <v>0</v>
      </c>
      <c r="M376" s="1604">
        <f t="shared" si="104"/>
        <v>0</v>
      </c>
      <c r="N376" s="1881">
        <f t="shared" si="104"/>
        <v>0</v>
      </c>
      <c r="O376" s="1881">
        <f t="shared" si="104"/>
        <v>0</v>
      </c>
      <c r="P376" s="1940"/>
      <c r="Q376" s="2124"/>
      <c r="R376" s="1602">
        <f t="shared" si="117"/>
        <v>0</v>
      </c>
      <c r="S376" s="1603">
        <f>SUM(S377)</f>
        <v>0</v>
      </c>
      <c r="T376" s="1603">
        <f>SUM(T377)</f>
        <v>0</v>
      </c>
      <c r="U376" s="1602">
        <f t="shared" si="118"/>
        <v>0</v>
      </c>
      <c r="V376" s="1603">
        <f>SUM(V377)</f>
        <v>0</v>
      </c>
      <c r="W376" s="1603">
        <f>SUM(W377)</f>
        <v>0</v>
      </c>
      <c r="X376" s="1423">
        <f t="shared" si="120"/>
        <v>0</v>
      </c>
      <c r="Y376" s="1423"/>
      <c r="Z376" s="1423"/>
      <c r="AA376" s="1423"/>
    </row>
    <row r="377" spans="1:27" ht="37.5" hidden="1" customHeight="1">
      <c r="A377" s="2127">
        <f>A375+1</f>
        <v>3</v>
      </c>
      <c r="B377" s="1879" t="s">
        <v>1580</v>
      </c>
      <c r="C377" s="2127"/>
      <c r="D377" s="1602">
        <f t="shared" si="103"/>
        <v>0</v>
      </c>
      <c r="E377" s="1616">
        <v>0</v>
      </c>
      <c r="F377" s="1616">
        <v>0</v>
      </c>
      <c r="G377" s="1602">
        <f t="shared" si="116"/>
        <v>0</v>
      </c>
      <c r="H377" s="1616">
        <v>0</v>
      </c>
      <c r="I377" s="1616">
        <v>0</v>
      </c>
      <c r="J377" s="1602">
        <f t="shared" si="105"/>
        <v>0</v>
      </c>
      <c r="K377" s="1616">
        <v>0</v>
      </c>
      <c r="L377" s="1616"/>
      <c r="M377" s="1604">
        <f t="shared" si="104"/>
        <v>0</v>
      </c>
      <c r="N377" s="1881">
        <f t="shared" si="104"/>
        <v>0</v>
      </c>
      <c r="O377" s="1881">
        <f t="shared" si="104"/>
        <v>0</v>
      </c>
      <c r="P377" s="1940"/>
      <c r="Q377" s="2124"/>
      <c r="R377" s="1602">
        <f t="shared" si="117"/>
        <v>0</v>
      </c>
      <c r="S377" s="1616">
        <v>0</v>
      </c>
      <c r="T377" s="1616">
        <v>0</v>
      </c>
      <c r="U377" s="1602">
        <f t="shared" si="118"/>
        <v>0</v>
      </c>
      <c r="V377" s="1616">
        <v>0</v>
      </c>
      <c r="W377" s="1616">
        <v>0</v>
      </c>
      <c r="X377" s="1423">
        <f t="shared" si="120"/>
        <v>0</v>
      </c>
      <c r="Y377" s="1423"/>
      <c r="Z377" s="1423"/>
      <c r="AA377" s="1423"/>
    </row>
    <row r="378" spans="1:27" ht="23.25" hidden="1" customHeight="1">
      <c r="A378" s="2127"/>
      <c r="B378" s="2126" t="s">
        <v>90</v>
      </c>
      <c r="C378" s="2127"/>
      <c r="D378" s="1602">
        <f t="shared" si="103"/>
        <v>0</v>
      </c>
      <c r="E378" s="1603">
        <f>SUM(E379)</f>
        <v>0</v>
      </c>
      <c r="F378" s="1603">
        <f>SUM(F379)</f>
        <v>0</v>
      </c>
      <c r="G378" s="1602">
        <f t="shared" si="116"/>
        <v>0</v>
      </c>
      <c r="H378" s="1603">
        <f>SUM(H379)</f>
        <v>0</v>
      </c>
      <c r="I378" s="1603">
        <f>SUM(I379)</f>
        <v>0</v>
      </c>
      <c r="J378" s="1602">
        <f t="shared" si="105"/>
        <v>0</v>
      </c>
      <c r="K378" s="1603">
        <f>SUM(K379)</f>
        <v>0</v>
      </c>
      <c r="L378" s="1603">
        <f>SUM(L379)</f>
        <v>0</v>
      </c>
      <c r="M378" s="1604">
        <f t="shared" si="104"/>
        <v>0</v>
      </c>
      <c r="N378" s="1881">
        <f t="shared" si="104"/>
        <v>0</v>
      </c>
      <c r="O378" s="1881">
        <f t="shared" si="104"/>
        <v>0</v>
      </c>
      <c r="P378" s="1940"/>
      <c r="Q378" s="2124"/>
      <c r="R378" s="1602">
        <f t="shared" si="117"/>
        <v>0</v>
      </c>
      <c r="S378" s="1603">
        <f>SUM(S379)</f>
        <v>0</v>
      </c>
      <c r="T378" s="1603">
        <f>SUM(T379)</f>
        <v>0</v>
      </c>
      <c r="U378" s="1602">
        <f t="shared" si="118"/>
        <v>0</v>
      </c>
      <c r="V378" s="1603">
        <f>SUM(V379)</f>
        <v>0</v>
      </c>
      <c r="W378" s="1603">
        <f>SUM(W379)</f>
        <v>0</v>
      </c>
      <c r="X378" s="1423">
        <f t="shared" si="120"/>
        <v>0</v>
      </c>
      <c r="Y378" s="1423"/>
      <c r="Z378" s="1423"/>
      <c r="AA378" s="1423"/>
    </row>
    <row r="379" spans="1:27" ht="42.75" hidden="1" customHeight="1">
      <c r="A379" s="2127">
        <f>A377+1</f>
        <v>4</v>
      </c>
      <c r="B379" s="1879" t="s">
        <v>1581</v>
      </c>
      <c r="C379" s="2127"/>
      <c r="D379" s="1602">
        <f t="shared" si="103"/>
        <v>0</v>
      </c>
      <c r="E379" s="1616">
        <v>0</v>
      </c>
      <c r="F379" s="1616">
        <v>0</v>
      </c>
      <c r="G379" s="1602">
        <f t="shared" si="116"/>
        <v>0</v>
      </c>
      <c r="H379" s="1616">
        <v>0</v>
      </c>
      <c r="I379" s="1616">
        <v>0</v>
      </c>
      <c r="J379" s="1602">
        <f t="shared" si="105"/>
        <v>0</v>
      </c>
      <c r="K379" s="1616">
        <v>0</v>
      </c>
      <c r="L379" s="1616"/>
      <c r="M379" s="1604">
        <f t="shared" si="104"/>
        <v>0</v>
      </c>
      <c r="N379" s="1881">
        <f t="shared" si="104"/>
        <v>0</v>
      </c>
      <c r="O379" s="1881">
        <f t="shared" si="104"/>
        <v>0</v>
      </c>
      <c r="P379" s="1940"/>
      <c r="Q379" s="2124"/>
      <c r="R379" s="1602">
        <f t="shared" si="117"/>
        <v>0</v>
      </c>
      <c r="S379" s="1616">
        <v>0</v>
      </c>
      <c r="T379" s="1616"/>
      <c r="U379" s="1602">
        <f t="shared" si="118"/>
        <v>0</v>
      </c>
      <c r="V379" s="1616">
        <v>0</v>
      </c>
      <c r="W379" s="1616">
        <v>0</v>
      </c>
      <c r="X379" s="1423">
        <f t="shared" si="120"/>
        <v>0</v>
      </c>
      <c r="Y379" s="1423"/>
      <c r="Z379" s="1423"/>
      <c r="AA379" s="1423"/>
    </row>
    <row r="380" spans="1:27" ht="23.25" hidden="1" customHeight="1">
      <c r="A380" s="2127"/>
      <c r="B380" s="2126" t="s">
        <v>457</v>
      </c>
      <c r="C380" s="2127">
        <v>24371</v>
      </c>
      <c r="D380" s="1602">
        <f t="shared" si="103"/>
        <v>0</v>
      </c>
      <c r="E380" s="1603">
        <f>SUM(E381)</f>
        <v>0</v>
      </c>
      <c r="F380" s="1603">
        <f>SUM(F381)</f>
        <v>0</v>
      </c>
      <c r="G380" s="1602">
        <f t="shared" si="116"/>
        <v>0</v>
      </c>
      <c r="H380" s="1603">
        <f>SUM(H381)</f>
        <v>0</v>
      </c>
      <c r="I380" s="1603">
        <f>SUM(I381)</f>
        <v>0</v>
      </c>
      <c r="J380" s="1602">
        <f t="shared" si="105"/>
        <v>0</v>
      </c>
      <c r="K380" s="1603">
        <f>SUM(K381)</f>
        <v>0</v>
      </c>
      <c r="L380" s="1603">
        <f>SUM(L381)</f>
        <v>0</v>
      </c>
      <c r="M380" s="1604">
        <f t="shared" si="104"/>
        <v>0</v>
      </c>
      <c r="N380" s="1881">
        <f t="shared" si="104"/>
        <v>0</v>
      </c>
      <c r="O380" s="1881">
        <f t="shared" si="104"/>
        <v>0</v>
      </c>
      <c r="P380" s="1940"/>
      <c r="Q380" s="2124"/>
      <c r="R380" s="1602">
        <f t="shared" si="117"/>
        <v>0</v>
      </c>
      <c r="S380" s="1603">
        <f>SUM(S381)</f>
        <v>0</v>
      </c>
      <c r="T380" s="1603">
        <f>SUM(T381)</f>
        <v>0</v>
      </c>
      <c r="U380" s="1602">
        <f t="shared" si="118"/>
        <v>0</v>
      </c>
      <c r="V380" s="1603">
        <f>SUM(V381)</f>
        <v>0</v>
      </c>
      <c r="W380" s="1603">
        <f>SUM(W381)</f>
        <v>0</v>
      </c>
      <c r="X380" s="1423">
        <f t="shared" si="120"/>
        <v>0</v>
      </c>
      <c r="Y380" s="1423"/>
      <c r="Z380" s="1423"/>
      <c r="AA380" s="1423"/>
    </row>
    <row r="381" spans="1:27" ht="85.5" hidden="1" customHeight="1">
      <c r="A381" s="2127">
        <f>A379+1</f>
        <v>5</v>
      </c>
      <c r="B381" s="1879" t="s">
        <v>1424</v>
      </c>
      <c r="C381" s="2127">
        <v>24371</v>
      </c>
      <c r="D381" s="1602">
        <f t="shared" si="103"/>
        <v>0</v>
      </c>
      <c r="E381" s="1616">
        <v>0</v>
      </c>
      <c r="F381" s="1616">
        <v>0</v>
      </c>
      <c r="G381" s="1602">
        <f t="shared" si="116"/>
        <v>0</v>
      </c>
      <c r="H381" s="1616">
        <v>0</v>
      </c>
      <c r="I381" s="1616">
        <v>0</v>
      </c>
      <c r="J381" s="1602">
        <f t="shared" si="105"/>
        <v>0</v>
      </c>
      <c r="K381" s="1616">
        <v>0</v>
      </c>
      <c r="L381" s="1616"/>
      <c r="M381" s="1604">
        <f t="shared" si="104"/>
        <v>0</v>
      </c>
      <c r="N381" s="1881">
        <f t="shared" si="104"/>
        <v>0</v>
      </c>
      <c r="O381" s="1881">
        <f t="shared" si="104"/>
        <v>0</v>
      </c>
      <c r="P381" s="1940"/>
      <c r="Q381" s="2124"/>
      <c r="R381" s="1602">
        <f t="shared" si="117"/>
        <v>0</v>
      </c>
      <c r="S381" s="1616">
        <v>0</v>
      </c>
      <c r="T381" s="1616">
        <v>0</v>
      </c>
      <c r="U381" s="1602">
        <f t="shared" si="118"/>
        <v>0</v>
      </c>
      <c r="V381" s="1616">
        <v>0</v>
      </c>
      <c r="W381" s="1616">
        <v>0</v>
      </c>
      <c r="X381" s="1423">
        <f t="shared" si="120"/>
        <v>0</v>
      </c>
      <c r="Y381" s="1423"/>
      <c r="Z381" s="1423"/>
      <c r="AA381" s="1423"/>
    </row>
    <row r="382" spans="1:27" ht="23.25" hidden="1" customHeight="1">
      <c r="A382" s="2127" t="s">
        <v>254</v>
      </c>
      <c r="B382" s="1876" t="s">
        <v>1394</v>
      </c>
      <c r="C382" s="1936">
        <v>24372</v>
      </c>
      <c r="D382" s="1598">
        <f t="shared" si="103"/>
        <v>0</v>
      </c>
      <c r="E382" s="1598">
        <f>E383</f>
        <v>0</v>
      </c>
      <c r="F382" s="1598">
        <f>F383</f>
        <v>0</v>
      </c>
      <c r="G382" s="1598">
        <f>SUM(H382:I382)</f>
        <v>0</v>
      </c>
      <c r="H382" s="1598">
        <f>H383</f>
        <v>0</v>
      </c>
      <c r="I382" s="1598">
        <f>I383</f>
        <v>0</v>
      </c>
      <c r="J382" s="1598">
        <f>SUM(K382:L382)</f>
        <v>0</v>
      </c>
      <c r="K382" s="1598">
        <f>K383</f>
        <v>0</v>
      </c>
      <c r="L382" s="1598">
        <f>L383</f>
        <v>0</v>
      </c>
      <c r="M382" s="1937">
        <f t="shared" si="104"/>
        <v>0</v>
      </c>
      <c r="N382" s="1938">
        <f t="shared" si="104"/>
        <v>0</v>
      </c>
      <c r="O382" s="1938">
        <f t="shared" si="104"/>
        <v>0</v>
      </c>
      <c r="P382" s="1599" t="s">
        <v>353</v>
      </c>
      <c r="Q382" s="1599" t="s">
        <v>353</v>
      </c>
      <c r="R382" s="1598">
        <f t="shared" si="117"/>
        <v>0</v>
      </c>
      <c r="S382" s="1598">
        <f>S383</f>
        <v>0</v>
      </c>
      <c r="T382" s="1598">
        <f>T383</f>
        <v>0</v>
      </c>
      <c r="U382" s="1598">
        <f t="shared" si="118"/>
        <v>0</v>
      </c>
      <c r="V382" s="1598">
        <f>V383</f>
        <v>0</v>
      </c>
      <c r="W382" s="1598">
        <f>W383</f>
        <v>0</v>
      </c>
      <c r="X382" s="1423">
        <f t="shared" si="120"/>
        <v>0</v>
      </c>
      <c r="Y382" s="1423"/>
      <c r="Z382" s="1423"/>
      <c r="AA382" s="1423"/>
    </row>
    <row r="383" spans="1:27" ht="23.25" hidden="1" customHeight="1">
      <c r="A383" s="2127" t="s">
        <v>441</v>
      </c>
      <c r="B383" s="2126" t="s">
        <v>615</v>
      </c>
      <c r="C383" s="2128"/>
      <c r="D383" s="1602">
        <f t="shared" si="103"/>
        <v>0</v>
      </c>
      <c r="E383" s="1603">
        <f>SUM(E384)</f>
        <v>0</v>
      </c>
      <c r="F383" s="1603">
        <f>SUM(F384)</f>
        <v>0</v>
      </c>
      <c r="G383" s="1602">
        <f t="shared" si="116"/>
        <v>0</v>
      </c>
      <c r="H383" s="1603">
        <f>SUM(H384)</f>
        <v>0</v>
      </c>
      <c r="I383" s="1603">
        <f>SUM(I384)</f>
        <v>0</v>
      </c>
      <c r="J383" s="1602">
        <f t="shared" si="105"/>
        <v>0</v>
      </c>
      <c r="K383" s="1603">
        <f>SUM(K384)</f>
        <v>0</v>
      </c>
      <c r="L383" s="1603">
        <f>SUM(L384)</f>
        <v>0</v>
      </c>
      <c r="M383" s="1604">
        <f t="shared" si="104"/>
        <v>0</v>
      </c>
      <c r="N383" s="1881">
        <f t="shared" si="104"/>
        <v>0</v>
      </c>
      <c r="O383" s="1881">
        <f t="shared" si="104"/>
        <v>0</v>
      </c>
      <c r="P383" s="1940"/>
      <c r="Q383" s="2124"/>
      <c r="R383" s="1602">
        <f t="shared" si="117"/>
        <v>0</v>
      </c>
      <c r="S383" s="1603">
        <f>SUM(S384)</f>
        <v>0</v>
      </c>
      <c r="T383" s="1603">
        <f>SUM(T384)</f>
        <v>0</v>
      </c>
      <c r="U383" s="1602">
        <f t="shared" si="118"/>
        <v>0</v>
      </c>
      <c r="V383" s="1603">
        <f>SUM(V384)</f>
        <v>0</v>
      </c>
      <c r="W383" s="1603">
        <f>SUM(W384)</f>
        <v>0</v>
      </c>
      <c r="X383" s="1423">
        <f t="shared" si="120"/>
        <v>0</v>
      </c>
      <c r="Y383" s="1423"/>
      <c r="Z383" s="1423"/>
      <c r="AA383" s="1423"/>
    </row>
    <row r="384" spans="1:27" ht="23.25" hidden="1" customHeight="1">
      <c r="A384" s="2127">
        <f>A381+1</f>
        <v>6</v>
      </c>
      <c r="B384" s="1879" t="s">
        <v>1423</v>
      </c>
      <c r="C384" s="1880">
        <v>24372</v>
      </c>
      <c r="D384" s="1602">
        <f t="shared" si="103"/>
        <v>0</v>
      </c>
      <c r="E384" s="1616">
        <v>0</v>
      </c>
      <c r="F384" s="1616">
        <v>0</v>
      </c>
      <c r="G384" s="1602">
        <f t="shared" si="116"/>
        <v>0</v>
      </c>
      <c r="H384" s="1616">
        <v>0</v>
      </c>
      <c r="I384" s="1616">
        <v>0</v>
      </c>
      <c r="J384" s="1602">
        <f t="shared" si="105"/>
        <v>0</v>
      </c>
      <c r="K384" s="1616">
        <v>0</v>
      </c>
      <c r="L384" s="1616"/>
      <c r="M384" s="1604">
        <f t="shared" si="104"/>
        <v>0</v>
      </c>
      <c r="N384" s="1881">
        <f t="shared" si="104"/>
        <v>0</v>
      </c>
      <c r="O384" s="1881">
        <f t="shared" si="104"/>
        <v>0</v>
      </c>
      <c r="P384" s="1940"/>
      <c r="Q384" s="2124"/>
      <c r="R384" s="1602">
        <f>SUM(S384:T384)</f>
        <v>0</v>
      </c>
      <c r="S384" s="1616">
        <v>0</v>
      </c>
      <c r="T384" s="1616">
        <v>0</v>
      </c>
      <c r="U384" s="1602">
        <f>SUM(V384:W384)</f>
        <v>0</v>
      </c>
      <c r="V384" s="1616">
        <v>0</v>
      </c>
      <c r="W384" s="1616">
        <v>0</v>
      </c>
      <c r="X384" s="1423">
        <f t="shared" si="120"/>
        <v>0</v>
      </c>
      <c r="Y384" s="1423"/>
      <c r="Z384" s="1423"/>
      <c r="AA384" s="1423"/>
    </row>
    <row r="385" spans="1:27" ht="93.75">
      <c r="A385" s="2127" t="s">
        <v>6</v>
      </c>
      <c r="B385" s="1872" t="s">
        <v>1434</v>
      </c>
      <c r="C385" s="1873"/>
      <c r="D385" s="1861">
        <f>SUM(E385:F385)</f>
        <v>9</v>
      </c>
      <c r="E385" s="1861">
        <f>E387</f>
        <v>0</v>
      </c>
      <c r="F385" s="1861">
        <f>F387</f>
        <v>9</v>
      </c>
      <c r="G385" s="1861">
        <f t="shared" si="116"/>
        <v>0</v>
      </c>
      <c r="H385" s="1861">
        <f>H387</f>
        <v>0</v>
      </c>
      <c r="I385" s="1861">
        <f>I387</f>
        <v>0</v>
      </c>
      <c r="J385" s="1861">
        <f t="shared" si="105"/>
        <v>0</v>
      </c>
      <c r="K385" s="1861">
        <f>K387</f>
        <v>0</v>
      </c>
      <c r="L385" s="1861">
        <f>L387</f>
        <v>0</v>
      </c>
      <c r="M385" s="1874">
        <f t="shared" si="104"/>
        <v>0</v>
      </c>
      <c r="N385" s="1875">
        <f t="shared" si="104"/>
        <v>0</v>
      </c>
      <c r="O385" s="1875">
        <f t="shared" si="104"/>
        <v>0</v>
      </c>
      <c r="P385" s="1622" t="s">
        <v>353</v>
      </c>
      <c r="Q385" s="1622" t="s">
        <v>353</v>
      </c>
      <c r="R385" s="1861" t="e">
        <f>SUM(S385:T385)</f>
        <v>#REF!</v>
      </c>
      <c r="S385" s="1861" t="e">
        <f>SUM(S387,S439)</f>
        <v>#REF!</v>
      </c>
      <c r="T385" s="1861" t="e">
        <f>SUM(T387,T439)</f>
        <v>#REF!</v>
      </c>
      <c r="U385" s="1861" t="e">
        <f>SUM(V385:W385)</f>
        <v>#REF!</v>
      </c>
      <c r="V385" s="1861" t="e">
        <f>SUM(V387,V439)</f>
        <v>#REF!</v>
      </c>
      <c r="W385" s="1861" t="e">
        <f>SUM(W387,W439)</f>
        <v>#REF!</v>
      </c>
      <c r="X385" s="1423">
        <f t="shared" si="120"/>
        <v>9</v>
      </c>
      <c r="Y385" s="1423"/>
      <c r="Z385" s="1423"/>
      <c r="AA385" s="1423"/>
    </row>
    <row r="386" spans="1:27" ht="23.25" hidden="1" customHeight="1">
      <c r="A386" s="2127" t="s">
        <v>253</v>
      </c>
      <c r="B386" s="1876" t="s">
        <v>1393</v>
      </c>
      <c r="C386" s="1877"/>
      <c r="D386" s="1598">
        <f>SUM(E386:F386)</f>
        <v>9</v>
      </c>
      <c r="E386" s="1598">
        <f>E387</f>
        <v>0</v>
      </c>
      <c r="F386" s="1598">
        <f>F387</f>
        <v>9</v>
      </c>
      <c r="G386" s="1598">
        <f>SUM(H386:I386)</f>
        <v>0</v>
      </c>
      <c r="H386" s="1598">
        <f>H387</f>
        <v>0</v>
      </c>
      <c r="I386" s="1598">
        <f>I387</f>
        <v>0</v>
      </c>
      <c r="J386" s="1598">
        <f>SUM(K386:L386)</f>
        <v>0</v>
      </c>
      <c r="K386" s="1598">
        <f>K387</f>
        <v>0</v>
      </c>
      <c r="L386" s="1598">
        <f>L387</f>
        <v>0</v>
      </c>
      <c r="M386" s="1598">
        <f>IF(J386=0,0,J386/G386*100)</f>
        <v>0</v>
      </c>
      <c r="N386" s="1598">
        <f>IF(K386=0,0,K386/H386*100)</f>
        <v>0</v>
      </c>
      <c r="O386" s="1598">
        <f>IF(L386=0,0,L386/I386*100)</f>
        <v>0</v>
      </c>
      <c r="P386" s="1599" t="s">
        <v>353</v>
      </c>
      <c r="Q386" s="1599" t="s">
        <v>353</v>
      </c>
      <c r="R386" s="1598" t="e">
        <f>SUM(S386:T386)</f>
        <v>#REF!</v>
      </c>
      <c r="S386" s="1598" t="e">
        <f>SUM(S397,S391+S387+S389+S393+S395)</f>
        <v>#REF!</v>
      </c>
      <c r="T386" s="1598" t="e">
        <f>SUM(T397,T391+T387+T389+T393+T395)</f>
        <v>#REF!</v>
      </c>
      <c r="U386" s="1598" t="e">
        <f>SUM(V386:W386)</f>
        <v>#REF!</v>
      </c>
      <c r="V386" s="1598" t="e">
        <f>SUM(V397,V391+V387+V389+V393+V395)</f>
        <v>#REF!</v>
      </c>
      <c r="W386" s="1598" t="e">
        <f>SUM(W397,W391+W387+W389+W393+W395)</f>
        <v>#REF!</v>
      </c>
      <c r="X386" s="1423">
        <f t="shared" si="120"/>
        <v>9</v>
      </c>
      <c r="Y386" s="1423"/>
      <c r="Z386" s="1423"/>
      <c r="AA386" s="1423"/>
    </row>
    <row r="387" spans="1:27" ht="61.5" customHeight="1">
      <c r="A387" s="2127" t="s">
        <v>253</v>
      </c>
      <c r="B387" s="1897" t="s">
        <v>1771</v>
      </c>
      <c r="C387" s="1898"/>
      <c r="D387" s="1899">
        <f>SUM(E387:F387)</f>
        <v>9</v>
      </c>
      <c r="E387" s="1899">
        <f>E388</f>
        <v>0</v>
      </c>
      <c r="F387" s="1899">
        <f>F388</f>
        <v>9</v>
      </c>
      <c r="G387" s="1899">
        <f t="shared" si="116"/>
        <v>0</v>
      </c>
      <c r="H387" s="1899">
        <f>H388</f>
        <v>0</v>
      </c>
      <c r="I387" s="1899">
        <f>I388</f>
        <v>0</v>
      </c>
      <c r="J387" s="1899">
        <f t="shared" si="105"/>
        <v>0</v>
      </c>
      <c r="K387" s="1899">
        <f>K388</f>
        <v>0</v>
      </c>
      <c r="L387" s="1899">
        <f>L388</f>
        <v>0</v>
      </c>
      <c r="M387" s="1900">
        <f t="shared" si="104"/>
        <v>0</v>
      </c>
      <c r="N387" s="1900">
        <f t="shared" si="104"/>
        <v>0</v>
      </c>
      <c r="O387" s="1900">
        <f t="shared" si="104"/>
        <v>0</v>
      </c>
      <c r="P387" s="2124"/>
      <c r="Q387" s="2124"/>
      <c r="R387" s="1899" t="e">
        <f>SUM(S387:T387)</f>
        <v>#REF!</v>
      </c>
      <c r="S387" s="1899" t="e">
        <f>#REF!</f>
        <v>#REF!</v>
      </c>
      <c r="T387" s="1899" t="e">
        <f>#REF!</f>
        <v>#REF!</v>
      </c>
      <c r="U387" s="1899" t="e">
        <f>SUM(V387:W387)</f>
        <v>#REF!</v>
      </c>
      <c r="V387" s="1899" t="e">
        <f>#REF!</f>
        <v>#REF!</v>
      </c>
      <c r="W387" s="1899" t="e">
        <f>#REF!</f>
        <v>#REF!</v>
      </c>
      <c r="X387" s="1423">
        <f>D387-G387</f>
        <v>9</v>
      </c>
      <c r="Y387" s="1423"/>
      <c r="Z387" s="1423"/>
      <c r="AA387" s="1423"/>
    </row>
    <row r="388" spans="1:27" ht="57" customHeight="1">
      <c r="A388" s="2127">
        <v>1</v>
      </c>
      <c r="B388" s="1889" t="s">
        <v>1774</v>
      </c>
      <c r="C388" s="2127">
        <v>30131</v>
      </c>
      <c r="D388" s="1600">
        <f>SUM(E388:F388)</f>
        <v>9</v>
      </c>
      <c r="E388" s="1608"/>
      <c r="F388" s="2145">
        <v>9</v>
      </c>
      <c r="G388" s="1600">
        <f>SUM(H388:I388)</f>
        <v>0</v>
      </c>
      <c r="H388" s="1608"/>
      <c r="I388" s="1608"/>
      <c r="J388" s="1600">
        <f t="shared" si="105"/>
        <v>0</v>
      </c>
      <c r="K388" s="1608"/>
      <c r="L388" s="1608"/>
      <c r="M388" s="1604">
        <f t="shared" si="104"/>
        <v>0</v>
      </c>
      <c r="N388" s="1881">
        <f t="shared" si="104"/>
        <v>0</v>
      </c>
      <c r="O388" s="1881">
        <f t="shared" si="104"/>
        <v>0</v>
      </c>
      <c r="P388" s="2124" t="s">
        <v>1290</v>
      </c>
      <c r="Q388" s="2124" t="s">
        <v>1240</v>
      </c>
      <c r="R388" s="1600">
        <f>SUM(S388:T388)</f>
        <v>0</v>
      </c>
      <c r="S388" s="1608">
        <v>0</v>
      </c>
      <c r="T388" s="1608">
        <v>0</v>
      </c>
      <c r="U388" s="1600">
        <f>SUM(V388:W388)</f>
        <v>0</v>
      </c>
      <c r="V388" s="1608">
        <v>0</v>
      </c>
      <c r="W388" s="1608">
        <v>0</v>
      </c>
      <c r="X388" s="1423">
        <f>D388-G388</f>
        <v>9</v>
      </c>
      <c r="Y388" s="1423"/>
      <c r="Z388" s="1423"/>
      <c r="AA388" s="1423"/>
    </row>
    <row r="389" spans="1:27" ht="41.25" customHeight="1">
      <c r="A389" s="2565" t="s">
        <v>1369</v>
      </c>
      <c r="B389" s="2565"/>
      <c r="C389" s="1594">
        <v>62500</v>
      </c>
      <c r="D389" s="1594">
        <f>D390</f>
        <v>9236.2999999999993</v>
      </c>
      <c r="E389" s="1594">
        <f t="shared" ref="E389:L390" si="121">E390</f>
        <v>0</v>
      </c>
      <c r="F389" s="1594">
        <f t="shared" si="121"/>
        <v>9236.2999999999993</v>
      </c>
      <c r="G389" s="1594">
        <f t="shared" si="121"/>
        <v>9236.2999999999993</v>
      </c>
      <c r="H389" s="1594">
        <f t="shared" si="121"/>
        <v>0</v>
      </c>
      <c r="I389" s="1594">
        <f t="shared" si="121"/>
        <v>9236.2999999999993</v>
      </c>
      <c r="J389" s="1594">
        <f t="shared" si="121"/>
        <v>2044.1</v>
      </c>
      <c r="K389" s="1594">
        <f t="shared" si="121"/>
        <v>0</v>
      </c>
      <c r="L389" s="1594">
        <f t="shared" si="121"/>
        <v>2044.1</v>
      </c>
      <c r="M389" s="1966">
        <f t="shared" si="104"/>
        <v>22.1</v>
      </c>
      <c r="N389" s="1967">
        <f t="shared" si="104"/>
        <v>0</v>
      </c>
      <c r="O389" s="1967">
        <f t="shared" si="104"/>
        <v>22.1</v>
      </c>
      <c r="P389" s="1659"/>
      <c r="Q389" s="1794"/>
      <c r="R389" s="1964"/>
      <c r="S389" s="1965"/>
      <c r="T389" s="1965"/>
      <c r="U389" s="1964"/>
      <c r="V389" s="1965"/>
      <c r="W389" s="1965"/>
      <c r="X389" s="1423">
        <f t="shared" si="120"/>
        <v>0</v>
      </c>
      <c r="Y389" s="1423"/>
      <c r="Z389" s="1423"/>
      <c r="AA389" s="1423"/>
    </row>
    <row r="390" spans="1:27" ht="75">
      <c r="A390" s="2127" t="s">
        <v>1681</v>
      </c>
      <c r="B390" s="1872" t="s">
        <v>439</v>
      </c>
      <c r="C390" s="1860">
        <v>2675651.2999999998</v>
      </c>
      <c r="D390" s="1861">
        <f>E390+F390</f>
        <v>9236.2999999999993</v>
      </c>
      <c r="E390" s="1861">
        <f>E391</f>
        <v>0</v>
      </c>
      <c r="F390" s="1861">
        <f t="shared" si="121"/>
        <v>9236.2999999999993</v>
      </c>
      <c r="G390" s="1861">
        <f t="shared" si="121"/>
        <v>9236.2999999999993</v>
      </c>
      <c r="H390" s="1861">
        <f t="shared" si="121"/>
        <v>0</v>
      </c>
      <c r="I390" s="1861">
        <f t="shared" si="121"/>
        <v>9236.2999999999993</v>
      </c>
      <c r="J390" s="1861">
        <f t="shared" si="121"/>
        <v>2044.1</v>
      </c>
      <c r="K390" s="1861">
        <f t="shared" si="121"/>
        <v>0</v>
      </c>
      <c r="L390" s="1861">
        <f t="shared" si="121"/>
        <v>2044.1</v>
      </c>
      <c r="M390" s="1968">
        <f t="shared" si="104"/>
        <v>22.1</v>
      </c>
      <c r="N390" s="1969">
        <f t="shared" si="104"/>
        <v>0</v>
      </c>
      <c r="O390" s="1969">
        <f t="shared" si="104"/>
        <v>22.1</v>
      </c>
      <c r="P390" s="1659"/>
      <c r="Q390" s="1794"/>
      <c r="R390" s="1964"/>
      <c r="S390" s="1965"/>
      <c r="T390" s="1965"/>
      <c r="U390" s="1964"/>
      <c r="V390" s="1965"/>
      <c r="W390" s="1965"/>
      <c r="X390" s="1423">
        <f t="shared" si="120"/>
        <v>0</v>
      </c>
      <c r="Y390" s="1423"/>
      <c r="Z390" s="1423"/>
      <c r="AA390" s="1423"/>
    </row>
    <row r="391" spans="1:27" ht="23.25">
      <c r="A391" s="2127" t="s">
        <v>253</v>
      </c>
      <c r="B391" s="1876" t="s">
        <v>1393</v>
      </c>
      <c r="C391" s="1598">
        <v>14500</v>
      </c>
      <c r="D391" s="1598">
        <f>E391+F391</f>
        <v>9236.2999999999993</v>
      </c>
      <c r="E391" s="1598">
        <f>E394</f>
        <v>0</v>
      </c>
      <c r="F391" s="1598">
        <f t="shared" ref="F391:L391" si="122">F392+F394</f>
        <v>9236.2999999999993</v>
      </c>
      <c r="G391" s="1598">
        <f t="shared" si="122"/>
        <v>9236.2999999999993</v>
      </c>
      <c r="H391" s="1598">
        <f t="shared" si="122"/>
        <v>0</v>
      </c>
      <c r="I391" s="1598">
        <f t="shared" si="122"/>
        <v>9236.2999999999993</v>
      </c>
      <c r="J391" s="1598">
        <f t="shared" si="122"/>
        <v>2044.1</v>
      </c>
      <c r="K391" s="1598">
        <f t="shared" si="122"/>
        <v>0</v>
      </c>
      <c r="L391" s="1598">
        <f t="shared" si="122"/>
        <v>2044.1</v>
      </c>
      <c r="M391" s="1937">
        <f t="shared" si="104"/>
        <v>22.1</v>
      </c>
      <c r="N391" s="1938">
        <f t="shared" si="104"/>
        <v>0</v>
      </c>
      <c r="O391" s="1938">
        <f t="shared" si="104"/>
        <v>22.1</v>
      </c>
      <c r="P391" s="1659"/>
      <c r="Q391" s="1794"/>
      <c r="R391" s="1964"/>
      <c r="S391" s="1965"/>
      <c r="T391" s="1965"/>
      <c r="U391" s="1964"/>
      <c r="V391" s="1965"/>
      <c r="W391" s="1965"/>
      <c r="X391" s="1423">
        <f t="shared" si="120"/>
        <v>0</v>
      </c>
      <c r="Y391" s="1423"/>
      <c r="Z391" s="1423"/>
      <c r="AA391" s="1423"/>
    </row>
    <row r="392" spans="1:27" ht="23.25">
      <c r="A392" s="2127"/>
      <c r="B392" s="2006" t="s">
        <v>283</v>
      </c>
      <c r="C392" s="1598"/>
      <c r="D392" s="1602">
        <f t="shared" ref="D392:L392" si="123">D393</f>
        <v>3150</v>
      </c>
      <c r="E392" s="1602">
        <f t="shared" si="123"/>
        <v>0</v>
      </c>
      <c r="F392" s="1602">
        <f t="shared" si="123"/>
        <v>3150</v>
      </c>
      <c r="G392" s="1602">
        <f t="shared" si="123"/>
        <v>3150</v>
      </c>
      <c r="H392" s="1602">
        <f t="shared" si="123"/>
        <v>0</v>
      </c>
      <c r="I392" s="1602">
        <f t="shared" si="123"/>
        <v>3150</v>
      </c>
      <c r="J392" s="1602">
        <f t="shared" si="123"/>
        <v>0</v>
      </c>
      <c r="K392" s="1602">
        <f t="shared" si="123"/>
        <v>0</v>
      </c>
      <c r="L392" s="1602">
        <f t="shared" si="123"/>
        <v>0</v>
      </c>
      <c r="M392" s="1893">
        <f t="shared" si="104"/>
        <v>0</v>
      </c>
      <c r="N392" s="1894">
        <f t="shared" si="104"/>
        <v>0</v>
      </c>
      <c r="O392" s="1894">
        <f t="shared" si="104"/>
        <v>0</v>
      </c>
      <c r="P392" s="1659"/>
      <c r="Q392" s="1794"/>
      <c r="R392" s="1964"/>
      <c r="S392" s="1965"/>
      <c r="T392" s="1965"/>
      <c r="U392" s="1964"/>
      <c r="V392" s="1965"/>
      <c r="W392" s="1965"/>
      <c r="X392" s="1423">
        <f t="shared" si="120"/>
        <v>0</v>
      </c>
      <c r="Y392" s="1423"/>
      <c r="Z392" s="1423"/>
      <c r="AA392" s="1423"/>
    </row>
    <row r="393" spans="1:27" ht="42" customHeight="1">
      <c r="A393" s="2127">
        <v>1</v>
      </c>
      <c r="B393" s="1919" t="s">
        <v>1701</v>
      </c>
      <c r="C393" s="1598"/>
      <c r="D393" s="1603">
        <f>E393+F393</f>
        <v>3150</v>
      </c>
      <c r="E393" s="1603"/>
      <c r="F393" s="1609">
        <v>3150</v>
      </c>
      <c r="G393" s="1603">
        <f>H393+I393</f>
        <v>3150</v>
      </c>
      <c r="H393" s="1864">
        <f>E393</f>
        <v>0</v>
      </c>
      <c r="I393" s="1864">
        <f>F393</f>
        <v>3150</v>
      </c>
      <c r="J393" s="1603">
        <f>K393+L393</f>
        <v>0</v>
      </c>
      <c r="K393" s="1603"/>
      <c r="L393" s="1609"/>
      <c r="M393" s="1893">
        <f t="shared" si="104"/>
        <v>0</v>
      </c>
      <c r="N393" s="1894">
        <f t="shared" si="104"/>
        <v>0</v>
      </c>
      <c r="O393" s="1894">
        <f t="shared" si="104"/>
        <v>0</v>
      </c>
      <c r="P393" s="1659"/>
      <c r="Q393" s="1794"/>
      <c r="R393" s="1964"/>
      <c r="S393" s="1965"/>
      <c r="T393" s="1965"/>
      <c r="U393" s="1964"/>
      <c r="V393" s="1965"/>
      <c r="W393" s="1965"/>
      <c r="X393" s="1423">
        <f t="shared" si="120"/>
        <v>0</v>
      </c>
      <c r="Y393" s="1423"/>
      <c r="Z393" s="1423"/>
      <c r="AA393" s="1423"/>
    </row>
    <row r="394" spans="1:27" ht="23.25">
      <c r="A394" s="2127"/>
      <c r="B394" s="2126" t="s">
        <v>457</v>
      </c>
      <c r="C394" s="1602">
        <v>10000</v>
      </c>
      <c r="D394" s="1603">
        <f t="shared" ref="D394:L394" si="124">D395+D396</f>
        <v>6086.3</v>
      </c>
      <c r="E394" s="1603">
        <f t="shared" si="124"/>
        <v>0</v>
      </c>
      <c r="F394" s="1603">
        <f t="shared" si="124"/>
        <v>6086.3</v>
      </c>
      <c r="G394" s="1603">
        <f t="shared" si="124"/>
        <v>6086.3</v>
      </c>
      <c r="H394" s="1603">
        <f t="shared" si="124"/>
        <v>0</v>
      </c>
      <c r="I394" s="1603">
        <f t="shared" si="124"/>
        <v>6086.3</v>
      </c>
      <c r="J394" s="1603">
        <f t="shared" si="124"/>
        <v>2044.1</v>
      </c>
      <c r="K394" s="1603">
        <f t="shared" si="124"/>
        <v>0</v>
      </c>
      <c r="L394" s="1603">
        <f t="shared" si="124"/>
        <v>2044.1</v>
      </c>
      <c r="M394" s="1893">
        <f t="shared" si="104"/>
        <v>33.6</v>
      </c>
      <c r="N394" s="1894">
        <f>IF(K394=0,0,K394/H394*100)</f>
        <v>0</v>
      </c>
      <c r="O394" s="1894">
        <f>IF(L394=0,0,L394/I394*100)</f>
        <v>33.6</v>
      </c>
      <c r="P394" s="1659"/>
      <c r="Q394" s="1794"/>
      <c r="R394" s="1964"/>
      <c r="S394" s="1965"/>
      <c r="T394" s="1965"/>
      <c r="U394" s="1964"/>
      <c r="V394" s="1965"/>
      <c r="W394" s="1965"/>
      <c r="X394" s="1423">
        <f t="shared" si="120"/>
        <v>0</v>
      </c>
      <c r="Y394" s="1423"/>
      <c r="Z394" s="1423"/>
      <c r="AA394" s="1423"/>
    </row>
    <row r="395" spans="1:27" ht="37.5">
      <c r="A395" s="2127">
        <v>2</v>
      </c>
      <c r="B395" s="1889" t="s">
        <v>1690</v>
      </c>
      <c r="C395" s="1602"/>
      <c r="D395" s="1603">
        <f>E395+F395</f>
        <v>2044.2</v>
      </c>
      <c r="E395" s="1603"/>
      <c r="F395" s="1609">
        <f>2044.1+0.1</f>
        <v>2044.2</v>
      </c>
      <c r="G395" s="1603">
        <f>H395+I395</f>
        <v>2044.2</v>
      </c>
      <c r="H395" s="1864">
        <f>E395</f>
        <v>0</v>
      </c>
      <c r="I395" s="1864">
        <f>F395</f>
        <v>2044.2</v>
      </c>
      <c r="J395" s="1603">
        <f>K395+L395</f>
        <v>2044.1</v>
      </c>
      <c r="K395" s="1603"/>
      <c r="L395" s="1609">
        <v>2044.1</v>
      </c>
      <c r="M395" s="1893">
        <f t="shared" si="104"/>
        <v>100</v>
      </c>
      <c r="N395" s="1894">
        <f>IF(K395=0,0,K395/H395*100)</f>
        <v>0</v>
      </c>
      <c r="O395" s="1894">
        <f>IF(L395=0,0,L395/I395*100)</f>
        <v>100</v>
      </c>
      <c r="P395" s="1659"/>
      <c r="Q395" s="1794"/>
      <c r="R395" s="1964"/>
      <c r="S395" s="1965"/>
      <c r="T395" s="1965"/>
      <c r="U395" s="1964"/>
      <c r="V395" s="1965"/>
      <c r="W395" s="1965"/>
      <c r="X395" s="1423">
        <f t="shared" si="120"/>
        <v>0</v>
      </c>
      <c r="Y395" s="1423"/>
      <c r="Z395" s="1423"/>
      <c r="AA395" s="1423"/>
    </row>
    <row r="396" spans="1:27" ht="37.5">
      <c r="A396" s="2127">
        <f>A395+1</f>
        <v>3</v>
      </c>
      <c r="B396" s="1889" t="s">
        <v>1691</v>
      </c>
      <c r="C396" s="1602">
        <v>10000</v>
      </c>
      <c r="D396" s="1603">
        <f>E396+F396</f>
        <v>4042.1</v>
      </c>
      <c r="E396" s="1616"/>
      <c r="F396" s="1609">
        <v>4042.1</v>
      </c>
      <c r="G396" s="1603">
        <f>H396+I396</f>
        <v>4042.1</v>
      </c>
      <c r="H396" s="1864">
        <f>E396</f>
        <v>0</v>
      </c>
      <c r="I396" s="1864">
        <f>F396</f>
        <v>4042.1</v>
      </c>
      <c r="J396" s="1603">
        <f>K396+L396</f>
        <v>0</v>
      </c>
      <c r="K396" s="1616"/>
      <c r="L396" s="1609"/>
      <c r="M396" s="1893">
        <f t="shared" si="104"/>
        <v>0</v>
      </c>
      <c r="N396" s="1894">
        <f t="shared" si="104"/>
        <v>0</v>
      </c>
      <c r="O396" s="1894">
        <f t="shared" si="104"/>
        <v>0</v>
      </c>
      <c r="P396" s="1659"/>
      <c r="Q396" s="1794"/>
      <c r="R396" s="1964"/>
      <c r="S396" s="1965"/>
      <c r="T396" s="1965"/>
      <c r="U396" s="1964"/>
      <c r="V396" s="1965"/>
      <c r="W396" s="1965"/>
      <c r="X396" s="1423">
        <f t="shared" si="120"/>
        <v>0</v>
      </c>
      <c r="Y396" s="1423"/>
      <c r="Z396" s="1423"/>
      <c r="AA396" s="1423"/>
    </row>
    <row r="397" spans="1:27" ht="23.25">
      <c r="A397" s="1856"/>
      <c r="B397" s="1962"/>
      <c r="C397" s="1963"/>
      <c r="D397" s="1964"/>
      <c r="E397" s="1965"/>
      <c r="F397" s="1965"/>
      <c r="G397" s="1964"/>
      <c r="H397" s="1965"/>
      <c r="I397" s="1965"/>
      <c r="J397" s="1964"/>
      <c r="K397" s="1965"/>
      <c r="L397" s="1965"/>
      <c r="M397" s="1648"/>
      <c r="N397" s="1647"/>
      <c r="O397" s="1647"/>
      <c r="P397" s="1659"/>
      <c r="Q397" s="1794"/>
      <c r="R397" s="1964"/>
      <c r="S397" s="1965"/>
      <c r="T397" s="1965"/>
      <c r="U397" s="1964"/>
      <c r="V397" s="1965"/>
      <c r="W397" s="1965"/>
      <c r="X397" s="1423">
        <f t="shared" si="120"/>
        <v>0</v>
      </c>
      <c r="Y397" s="1423"/>
      <c r="Z397" s="1423"/>
      <c r="AA397" s="1423"/>
    </row>
    <row r="398" spans="1:27" ht="23.25">
      <c r="A398" s="1856"/>
      <c r="D398" s="1648"/>
      <c r="E398" s="1647"/>
      <c r="F398" s="1647"/>
      <c r="G398" s="1647"/>
      <c r="H398" s="1650"/>
      <c r="I398" s="1650"/>
      <c r="J398" s="1651"/>
      <c r="K398" s="1650"/>
      <c r="L398" s="2535"/>
      <c r="M398" s="2535"/>
      <c r="N398" s="1647"/>
      <c r="O398" s="1647"/>
      <c r="X398" s="1423">
        <f t="shared" si="120"/>
        <v>0</v>
      </c>
      <c r="Y398" s="1423"/>
      <c r="Z398" s="1423"/>
      <c r="AA398" s="1423"/>
    </row>
    <row r="399" spans="1:27" ht="26.25" customHeight="1">
      <c r="D399" s="1648"/>
      <c r="E399" s="1648"/>
      <c r="F399" s="1204"/>
      <c r="G399" s="1647"/>
      <c r="H399" s="1647"/>
      <c r="I399" s="1652"/>
      <c r="J399" s="1648"/>
      <c r="K399" s="1648"/>
      <c r="L399" s="1652"/>
      <c r="X399" s="1423">
        <f t="shared" si="120"/>
        <v>0</v>
      </c>
      <c r="Y399" s="1423"/>
      <c r="Z399" s="1423"/>
      <c r="AA399" s="1423"/>
    </row>
    <row r="400" spans="1:27" ht="30.75" customHeight="1">
      <c r="A400" s="2566" t="s">
        <v>1520</v>
      </c>
      <c r="B400" s="2566"/>
      <c r="C400" s="1840"/>
      <c r="D400" s="1620">
        <f t="shared" ref="D400:D410" si="125">SUM(E400:F400)</f>
        <v>3686293.4</v>
      </c>
      <c r="E400" s="1600">
        <f>E180+E81</f>
        <v>2882825.7</v>
      </c>
      <c r="F400" s="1600">
        <f>F180+F81</f>
        <v>803467.7</v>
      </c>
      <c r="G400" s="1620">
        <f>SUM(H400:I400)</f>
        <v>3686293.4</v>
      </c>
      <c r="H400" s="1600">
        <f>H180+H81</f>
        <v>2882825.7</v>
      </c>
      <c r="I400" s="1600">
        <f>I180+I81</f>
        <v>803467.7</v>
      </c>
      <c r="J400" s="1620">
        <f>SUM(K400:L400)</f>
        <v>2155036.7000000002</v>
      </c>
      <c r="K400" s="1600">
        <f>K180+K81</f>
        <v>1769335.6</v>
      </c>
      <c r="L400" s="1600">
        <f>L180+L81</f>
        <v>385701.1</v>
      </c>
      <c r="M400" s="1620">
        <f>IF(J400=0,0,J400/G400*100)</f>
        <v>58.5</v>
      </c>
      <c r="N400" s="1600">
        <f>IF(K400=0,0,K400/H400*100)</f>
        <v>61.4</v>
      </c>
      <c r="O400" s="1600">
        <f>IF(L400=0,0,L400/I400*100)</f>
        <v>48</v>
      </c>
      <c r="X400" s="1423">
        <f t="shared" si="120"/>
        <v>0</v>
      </c>
      <c r="Y400" s="1423"/>
      <c r="Z400" s="1423"/>
      <c r="AA400" s="1423"/>
    </row>
    <row r="401" spans="1:27" ht="47.25" customHeight="1">
      <c r="A401" s="1947"/>
      <c r="B401" s="1889" t="s">
        <v>1521</v>
      </c>
      <c r="C401" s="1836"/>
      <c r="D401" s="1620">
        <f t="shared" si="125"/>
        <v>1226395.3999999999</v>
      </c>
      <c r="E401" s="1619">
        <f>SUBTOTAL(9,E90)</f>
        <v>1198876.7</v>
      </c>
      <c r="F401" s="1619">
        <f>SUBTOTAL(9,F90)</f>
        <v>27518.7</v>
      </c>
      <c r="G401" s="1620">
        <f t="shared" ref="G401:G410" si="126">SUM(H401:I401)</f>
        <v>1226395.3999999999</v>
      </c>
      <c r="H401" s="1619">
        <f>SUBTOTAL(9,H90)</f>
        <v>1198876.7</v>
      </c>
      <c r="I401" s="1619">
        <f>SUBTOTAL(9,I90)</f>
        <v>27518.7</v>
      </c>
      <c r="J401" s="1620">
        <f t="shared" ref="J401:J410" si="127">SUM(K401:L401)</f>
        <v>1106709.5</v>
      </c>
      <c r="K401" s="1619">
        <f>SUBTOTAL(9,K90)</f>
        <v>1081400.1000000001</v>
      </c>
      <c r="L401" s="1619">
        <f>SUBTOTAL(9,L90)</f>
        <v>25309.4</v>
      </c>
      <c r="M401" s="1620">
        <f t="shared" ref="M401:O410" si="128">IF(J401=0,0,J401/G401*100)</f>
        <v>90.2</v>
      </c>
      <c r="N401" s="1600">
        <f t="shared" si="128"/>
        <v>90.2</v>
      </c>
      <c r="O401" s="1600">
        <f t="shared" si="128"/>
        <v>92</v>
      </c>
      <c r="X401" s="1423">
        <f t="shared" si="120"/>
        <v>0</v>
      </c>
      <c r="Y401" s="1423"/>
      <c r="Z401" s="1423"/>
      <c r="AA401" s="1423"/>
    </row>
    <row r="402" spans="1:27" ht="82.5" customHeight="1">
      <c r="A402" s="2566" t="s">
        <v>1528</v>
      </c>
      <c r="B402" s="2566"/>
      <c r="C402" s="1840"/>
      <c r="D402" s="1620">
        <f>SUM(E402:F402)</f>
        <v>6092853.9000000004</v>
      </c>
      <c r="E402" s="1600">
        <f>SUM(E92,E201,E303,E342,E351,E353,E356,E358,E361,E387,E305)</f>
        <v>5436420.5</v>
      </c>
      <c r="F402" s="1600">
        <f>SUM(F92,F201,F303,F342,F351,F353,F356,F358,F361,F387,F305)</f>
        <v>656433.4</v>
      </c>
      <c r="G402" s="1620">
        <f>SUM(H402:I402)</f>
        <v>5863254.4000000004</v>
      </c>
      <c r="H402" s="1600">
        <f>SUM(H92,H201,H303,H342,H351,H353,H356,H358,H361,H387,H305)</f>
        <v>5289557</v>
      </c>
      <c r="I402" s="1600">
        <f>SUM(I92,I201,I303,I342,I351,I353,I356,I358,I361,I387,I305)</f>
        <v>573697.4</v>
      </c>
      <c r="J402" s="1620">
        <f>SUM(K402:L402)</f>
        <v>3626810.4</v>
      </c>
      <c r="K402" s="1600">
        <f>SUM(K92,K201,K303,K342,K351,K353,K356,K358,K361,K387,K305)</f>
        <v>3244753.1</v>
      </c>
      <c r="L402" s="1600">
        <f>SUM(L92,L201,L303,L342,L351,L353,L356,L358,L361,L387,L305)</f>
        <v>382057.3</v>
      </c>
      <c r="M402" s="1620">
        <f t="shared" si="128"/>
        <v>61.9</v>
      </c>
      <c r="N402" s="1600">
        <f t="shared" si="128"/>
        <v>61.3</v>
      </c>
      <c r="O402" s="1600">
        <f t="shared" si="128"/>
        <v>66.599999999999994</v>
      </c>
      <c r="X402" s="1423">
        <f t="shared" si="120"/>
        <v>229599.5</v>
      </c>
      <c r="Y402" s="1423"/>
      <c r="Z402" s="1423"/>
      <c r="AA402" s="1423"/>
    </row>
    <row r="403" spans="1:27" ht="56.25">
      <c r="A403" s="1948"/>
      <c r="B403" s="493" t="s">
        <v>1527</v>
      </c>
      <c r="C403" s="1836"/>
      <c r="D403" s="1640">
        <f t="shared" si="125"/>
        <v>4517504.7</v>
      </c>
      <c r="E403" s="1609">
        <f>SUM(E404:E407)</f>
        <v>4087743.6</v>
      </c>
      <c r="F403" s="1609">
        <f>SUM(F404:F407)</f>
        <v>429761.1</v>
      </c>
      <c r="G403" s="1640">
        <f>SUM(H403:I403)</f>
        <v>4287914.2</v>
      </c>
      <c r="H403" s="1609">
        <f t="shared" ref="H403:I403" si="129">SUM(H404:H407)</f>
        <v>3940880.1</v>
      </c>
      <c r="I403" s="1609">
        <f t="shared" si="129"/>
        <v>347034.1</v>
      </c>
      <c r="J403" s="1640">
        <f>SUM(K403:L403)</f>
        <v>2136068.4</v>
      </c>
      <c r="K403" s="1609">
        <f t="shared" ref="K403:L403" si="130">SUM(K404:K407)</f>
        <v>1974558.1</v>
      </c>
      <c r="L403" s="1609">
        <f t="shared" si="130"/>
        <v>161510.29999999999</v>
      </c>
      <c r="M403" s="1620">
        <f t="shared" si="128"/>
        <v>49.8</v>
      </c>
      <c r="N403" s="1600">
        <f t="shared" si="128"/>
        <v>50.1</v>
      </c>
      <c r="O403" s="1600">
        <f t="shared" si="128"/>
        <v>46.5</v>
      </c>
      <c r="X403" s="1423">
        <f t="shared" si="120"/>
        <v>229590.5</v>
      </c>
      <c r="Y403" s="1423"/>
      <c r="Z403" s="1423"/>
      <c r="AA403" s="1423"/>
    </row>
    <row r="404" spans="1:27" ht="23.25">
      <c r="A404" s="1948"/>
      <c r="B404" s="1619" t="s">
        <v>1620</v>
      </c>
      <c r="C404" s="1836"/>
      <c r="D404" s="1640">
        <f>SUM(E404:F404)</f>
        <v>3548710.5</v>
      </c>
      <c r="E404" s="1609">
        <f>E342+E202+E93</f>
        <v>3266356.2</v>
      </c>
      <c r="F404" s="1609">
        <f>F342+F202+F93</f>
        <v>282354.3</v>
      </c>
      <c r="G404" s="1640">
        <f t="shared" si="126"/>
        <v>3319120</v>
      </c>
      <c r="H404" s="1609">
        <f>H342+H202+H93</f>
        <v>3119492.7</v>
      </c>
      <c r="I404" s="1609">
        <f>I342+I202+I93</f>
        <v>199627.3</v>
      </c>
      <c r="J404" s="1640">
        <f t="shared" si="127"/>
        <v>1669094.1</v>
      </c>
      <c r="K404" s="1609">
        <f>K342+K202+K93</f>
        <v>1568817.3</v>
      </c>
      <c r="L404" s="1609">
        <f>L342+L202+L93</f>
        <v>100276.8</v>
      </c>
      <c r="M404" s="1620">
        <f t="shared" si="128"/>
        <v>50.3</v>
      </c>
      <c r="N404" s="1600">
        <f t="shared" si="128"/>
        <v>50.3</v>
      </c>
      <c r="O404" s="1600">
        <f t="shared" si="128"/>
        <v>50.2</v>
      </c>
      <c r="X404" s="1423">
        <f t="shared" si="120"/>
        <v>229590.5</v>
      </c>
      <c r="Y404" s="1423"/>
      <c r="Z404" s="1423"/>
      <c r="AA404" s="1423"/>
    </row>
    <row r="405" spans="1:27" ht="23.25">
      <c r="A405" s="1948"/>
      <c r="B405" s="1619" t="s">
        <v>1798</v>
      </c>
      <c r="C405" s="1836"/>
      <c r="D405" s="1640">
        <f>E405+F405</f>
        <v>556398.1</v>
      </c>
      <c r="E405" s="1609">
        <f t="shared" ref="E405:F407" si="131">E203+E94</f>
        <v>523000</v>
      </c>
      <c r="F405" s="1609">
        <f t="shared" si="131"/>
        <v>33398.1</v>
      </c>
      <c r="G405" s="1640">
        <f t="shared" ref="G405" si="132">H405+I405</f>
        <v>556398.1</v>
      </c>
      <c r="H405" s="1609">
        <f t="shared" ref="H405:I407" si="133">H203+H94</f>
        <v>523000</v>
      </c>
      <c r="I405" s="1609">
        <f t="shared" si="133"/>
        <v>33398.1</v>
      </c>
      <c r="J405" s="1640">
        <f t="shared" ref="J405" si="134">K405+L405</f>
        <v>250145.2</v>
      </c>
      <c r="K405" s="1609">
        <f t="shared" ref="K405:L407" si="135">K203+K94</f>
        <v>235133.9</v>
      </c>
      <c r="L405" s="1609">
        <f t="shared" si="135"/>
        <v>15011.3</v>
      </c>
      <c r="M405" s="1640">
        <f t="shared" ref="M405" si="136">N405+O405</f>
        <v>57</v>
      </c>
      <c r="N405" s="1609">
        <f t="shared" ref="N405:O407" si="137">N203+N94</f>
        <v>28.5</v>
      </c>
      <c r="O405" s="1609">
        <f t="shared" si="137"/>
        <v>28.5</v>
      </c>
      <c r="X405" s="1423"/>
      <c r="Y405" s="1423"/>
      <c r="Z405" s="1423"/>
      <c r="AA405" s="1423"/>
    </row>
    <row r="406" spans="1:27" ht="23.25">
      <c r="A406" s="2127"/>
      <c r="B406" s="1609" t="s">
        <v>1770</v>
      </c>
      <c r="C406" s="2128"/>
      <c r="D406" s="1602">
        <f>SUM(E406:F406)</f>
        <v>317820.3</v>
      </c>
      <c r="E406" s="1609">
        <f t="shared" si="131"/>
        <v>298387.40000000002</v>
      </c>
      <c r="F406" s="1609">
        <f t="shared" si="131"/>
        <v>19432.900000000001</v>
      </c>
      <c r="G406" s="1602">
        <f t="shared" ref="G406" si="138">SUM(H406:I406)</f>
        <v>317820.3</v>
      </c>
      <c r="H406" s="1609">
        <f t="shared" si="133"/>
        <v>298387.40000000002</v>
      </c>
      <c r="I406" s="1609">
        <f t="shared" si="133"/>
        <v>19432.900000000001</v>
      </c>
      <c r="J406" s="1602">
        <f t="shared" ref="J406" si="139">SUM(K406:L406)</f>
        <v>181713.3</v>
      </c>
      <c r="K406" s="1609">
        <f t="shared" si="135"/>
        <v>170606.9</v>
      </c>
      <c r="L406" s="1609">
        <f t="shared" si="135"/>
        <v>11106.4</v>
      </c>
      <c r="M406" s="1602">
        <f t="shared" ref="M406" si="140">SUM(N406:O406)</f>
        <v>128.69999999999999</v>
      </c>
      <c r="N406" s="1609">
        <f t="shared" si="137"/>
        <v>64.400000000000006</v>
      </c>
      <c r="O406" s="1609">
        <f t="shared" si="137"/>
        <v>64.3</v>
      </c>
      <c r="P406" s="1619"/>
      <c r="Q406" s="1619"/>
      <c r="R406" s="1600"/>
      <c r="S406" s="1619"/>
      <c r="T406" s="1619"/>
      <c r="U406" s="1600"/>
      <c r="V406" s="1619"/>
      <c r="W406" s="1619"/>
      <c r="X406" s="1423"/>
      <c r="Y406" s="1423"/>
      <c r="Z406" s="1423"/>
      <c r="AA406" s="1423"/>
    </row>
    <row r="407" spans="1:27" ht="23.25">
      <c r="A407" s="1948"/>
      <c r="B407" s="1619" t="s">
        <v>1621</v>
      </c>
      <c r="C407" s="1836"/>
      <c r="D407" s="1640">
        <f>E407+F407</f>
        <v>94575.8</v>
      </c>
      <c r="E407" s="1609">
        <f t="shared" si="131"/>
        <v>0</v>
      </c>
      <c r="F407" s="1609">
        <f t="shared" si="131"/>
        <v>94575.8</v>
      </c>
      <c r="G407" s="1640">
        <f t="shared" ref="G407" si="141">H407+I407</f>
        <v>94575.8</v>
      </c>
      <c r="H407" s="1609">
        <f t="shared" si="133"/>
        <v>0</v>
      </c>
      <c r="I407" s="1609">
        <f t="shared" si="133"/>
        <v>94575.8</v>
      </c>
      <c r="J407" s="1640">
        <f t="shared" ref="J407" si="142">K407+L407</f>
        <v>35115.800000000003</v>
      </c>
      <c r="K407" s="1609">
        <f t="shared" si="135"/>
        <v>0</v>
      </c>
      <c r="L407" s="1609">
        <f t="shared" si="135"/>
        <v>35115.800000000003</v>
      </c>
      <c r="M407" s="1640">
        <f t="shared" ref="M407" si="143">N407+O407</f>
        <v>108.8</v>
      </c>
      <c r="N407" s="1609">
        <f t="shared" si="137"/>
        <v>0</v>
      </c>
      <c r="O407" s="1609">
        <f t="shared" si="137"/>
        <v>108.8</v>
      </c>
      <c r="X407" s="1423">
        <f t="shared" si="120"/>
        <v>0</v>
      </c>
      <c r="Y407" s="1423"/>
      <c r="Z407" s="1423"/>
      <c r="AA407" s="1423"/>
    </row>
    <row r="408" spans="1:27" ht="23.25">
      <c r="A408" s="2566" t="s">
        <v>1529</v>
      </c>
      <c r="B408" s="2566"/>
      <c r="C408" s="1840"/>
      <c r="D408" s="1640">
        <f>SUM(E408:F408)</f>
        <v>429917.8</v>
      </c>
      <c r="E408" s="1602">
        <f>SUBTOTAL(9,E15,E128,E317,E338,E369,E391)-E18</f>
        <v>0</v>
      </c>
      <c r="F408" s="1602">
        <f>SUBTOTAL(9,F15,F128,F317,F338,F369,F391)-F18</f>
        <v>429917.8</v>
      </c>
      <c r="G408" s="1640">
        <f>SUM(H408:I408)</f>
        <v>429917.8</v>
      </c>
      <c r="H408" s="1602">
        <f>SUBTOTAL(9,H15,H128,H317,H338,H369,H391)-H18</f>
        <v>0</v>
      </c>
      <c r="I408" s="1602">
        <f>SUBTOTAL(9,I15,I128,I317,I338,I369,I391)-I18</f>
        <v>429917.8</v>
      </c>
      <c r="J408" s="1640">
        <f>SUM(K408:L408)</f>
        <v>261342.3</v>
      </c>
      <c r="K408" s="1602">
        <f>SUBTOTAL(9,K15,K128,K317,K338,K369,K391)-K18</f>
        <v>0</v>
      </c>
      <c r="L408" s="1602">
        <f>SUBTOTAL(9,L15,L128,L317,L338,L369,L391)-L18</f>
        <v>261342.3</v>
      </c>
      <c r="M408" s="1620">
        <f t="shared" ref="M408:O409" si="144">IF(J408=0,0,J408/G408*100)</f>
        <v>60.8</v>
      </c>
      <c r="N408" s="1600">
        <f t="shared" si="144"/>
        <v>0</v>
      </c>
      <c r="O408" s="1600">
        <f t="shared" si="144"/>
        <v>60.8</v>
      </c>
      <c r="X408" s="1423">
        <f t="shared" si="120"/>
        <v>0</v>
      </c>
      <c r="Y408" s="1423"/>
      <c r="Z408" s="1423"/>
      <c r="AA408" s="1423"/>
    </row>
    <row r="409" spans="1:27" ht="37.5">
      <c r="A409" s="1948"/>
      <c r="B409" s="1619" t="s">
        <v>1777</v>
      </c>
      <c r="C409" s="1836"/>
      <c r="D409" s="1640">
        <f>SUM(E409:F409)</f>
        <v>43516.9</v>
      </c>
      <c r="E409" s="1609">
        <f>E168+E75</f>
        <v>0</v>
      </c>
      <c r="F409" s="1609">
        <f>F168+F75</f>
        <v>43516.9</v>
      </c>
      <c r="G409" s="1640">
        <f>SUM(H409:I409)</f>
        <v>43516.9</v>
      </c>
      <c r="H409" s="1609">
        <f>H168+H75</f>
        <v>0</v>
      </c>
      <c r="I409" s="1609">
        <f>I168+I75</f>
        <v>43516.9</v>
      </c>
      <c r="J409" s="1640">
        <f>SUM(K409:L409)</f>
        <v>14130.4</v>
      </c>
      <c r="K409" s="1609">
        <f>K168+K75</f>
        <v>0</v>
      </c>
      <c r="L409" s="1609">
        <f>L168+L75</f>
        <v>14130.4</v>
      </c>
      <c r="M409" s="1620">
        <f t="shared" si="144"/>
        <v>32.5</v>
      </c>
      <c r="N409" s="1600">
        <f t="shared" si="144"/>
        <v>0</v>
      </c>
      <c r="O409" s="1600">
        <f t="shared" si="144"/>
        <v>32.5</v>
      </c>
      <c r="X409" s="1423"/>
      <c r="Y409" s="1423"/>
      <c r="Z409" s="1423"/>
      <c r="AA409" s="1423"/>
    </row>
    <row r="410" spans="1:27" ht="23.25">
      <c r="A410" s="2567" t="s">
        <v>529</v>
      </c>
      <c r="B410" s="2567"/>
      <c r="C410" s="1840"/>
      <c r="D410" s="1604">
        <f t="shared" si="125"/>
        <v>232697.9</v>
      </c>
      <c r="E410" s="1611">
        <f>E12-E400-E402-E408</f>
        <v>104579.9</v>
      </c>
      <c r="F410" s="1611">
        <f>F12-F400-F402-F408</f>
        <v>128118</v>
      </c>
      <c r="G410" s="1604">
        <f t="shared" si="126"/>
        <v>232697.9</v>
      </c>
      <c r="H410" s="1611">
        <f>H12-H400-H402-H408</f>
        <v>104579.9</v>
      </c>
      <c r="I410" s="1611">
        <f>I12-I400-I402-I408</f>
        <v>128118</v>
      </c>
      <c r="J410" s="1604">
        <f t="shared" si="127"/>
        <v>141958.29999999999</v>
      </c>
      <c r="K410" s="1611">
        <f>K12-K400-K402-K408</f>
        <v>103674.4</v>
      </c>
      <c r="L410" s="1611">
        <f>L12-L400-L402-L408</f>
        <v>38283.9</v>
      </c>
      <c r="M410" s="1620">
        <f t="shared" si="128"/>
        <v>61</v>
      </c>
      <c r="N410" s="1600">
        <f t="shared" si="128"/>
        <v>99.1</v>
      </c>
      <c r="O410" s="1600">
        <f t="shared" si="128"/>
        <v>29.9</v>
      </c>
      <c r="X410" s="1423">
        <f t="shared" si="120"/>
        <v>0</v>
      </c>
      <c r="Y410" s="1423"/>
      <c r="Z410" s="1423"/>
      <c r="AA410" s="1423"/>
    </row>
    <row r="411" spans="1:27" ht="64.5" customHeight="1">
      <c r="A411" s="712"/>
      <c r="B411" s="1951" t="s">
        <v>1817</v>
      </c>
      <c r="C411" s="1556"/>
      <c r="D411" s="1951"/>
      <c r="E411" s="1950"/>
      <c r="F411" s="1953"/>
      <c r="G411" s="1953"/>
      <c r="H411" s="1954"/>
      <c r="I411" s="1955"/>
      <c r="J411" s="1956" t="s">
        <v>613</v>
      </c>
      <c r="K411" s="1955"/>
      <c r="L411" s="1957"/>
      <c r="M411" s="1958"/>
    </row>
    <row r="412" spans="1:27" ht="36.75" customHeight="1">
      <c r="A412" s="712"/>
      <c r="B412" s="1648"/>
      <c r="C412" s="1647"/>
      <c r="D412" s="1649"/>
      <c r="E412" s="1649"/>
      <c r="F412" s="1650"/>
      <c r="G412" s="1650"/>
      <c r="H412" s="1651"/>
      <c r="I412" s="1650"/>
      <c r="J412" s="2535"/>
      <c r="K412" s="2535"/>
      <c r="L412" s="1647"/>
      <c r="M412" s="1647"/>
    </row>
    <row r="413" spans="1:27" ht="45" customHeight="1">
      <c r="B413" s="712" t="s">
        <v>1809</v>
      </c>
    </row>
    <row r="414" spans="1:27" ht="38.25" customHeight="1"/>
    <row r="415" spans="1:27" ht="48" customHeight="1"/>
  </sheetData>
  <autoFilter ref="A11:O362"/>
  <mergeCells count="35">
    <mergeCell ref="A7:W7"/>
    <mergeCell ref="A1:B1"/>
    <mergeCell ref="L1:O1"/>
    <mergeCell ref="J3:M3"/>
    <mergeCell ref="A5:W5"/>
    <mergeCell ref="A6:W6"/>
    <mergeCell ref="L398:M398"/>
    <mergeCell ref="N8:O8"/>
    <mergeCell ref="A9:A10"/>
    <mergeCell ref="B9:B10"/>
    <mergeCell ref="C9:C10"/>
    <mergeCell ref="D9:D10"/>
    <mergeCell ref="E9:F9"/>
    <mergeCell ref="G9:G10"/>
    <mergeCell ref="H9:I9"/>
    <mergeCell ref="J9:J10"/>
    <mergeCell ref="K9:L9"/>
    <mergeCell ref="M9:M10"/>
    <mergeCell ref="N9:O9"/>
    <mergeCell ref="U9:U10"/>
    <mergeCell ref="V9:W9"/>
    <mergeCell ref="A13:B13"/>
    <mergeCell ref="Q68:Q69"/>
    <mergeCell ref="P9:P10"/>
    <mergeCell ref="Q9:Q10"/>
    <mergeCell ref="R9:R10"/>
    <mergeCell ref="S9:T9"/>
    <mergeCell ref="A408:B408"/>
    <mergeCell ref="A410:B410"/>
    <mergeCell ref="J412:K412"/>
    <mergeCell ref="A315:B315"/>
    <mergeCell ref="A367:B367"/>
    <mergeCell ref="A389:B389"/>
    <mergeCell ref="A400:B400"/>
    <mergeCell ref="A402:B402"/>
  </mergeCells>
  <pageMargins left="0.46" right="0.11811023622047245" top="0.55118110236220474" bottom="0.35433070866141736" header="0.31496062992125984" footer="0.15748031496062992"/>
  <pageSetup paperSize="9" scale="49" fitToHeight="17" orientation="landscape" r:id="rId1"/>
  <headerFooter>
    <oddFooter>&amp;C&amp;P</oddFooter>
  </headerFooter>
  <rowBreaks count="1" manualBreakCount="1">
    <brk id="396" max="17" man="1"/>
  </rowBreaks>
</worksheet>
</file>

<file path=xl/worksheets/sheet43.xml><?xml version="1.0" encoding="utf-8"?>
<worksheet xmlns="http://schemas.openxmlformats.org/spreadsheetml/2006/main" xmlns:r="http://schemas.openxmlformats.org/officeDocument/2006/relationships">
  <sheetPr>
    <tabColor rgb="FFFF0000"/>
    <pageSetUpPr fitToPage="1"/>
  </sheetPr>
  <dimension ref="A1:M156"/>
  <sheetViews>
    <sheetView tabSelected="1" view="pageBreakPreview" topLeftCell="A5" zoomScale="70" zoomScaleNormal="70" zoomScaleSheetLayoutView="70" workbookViewId="0">
      <selection activeCell="A6" sqref="A6:F6"/>
    </sheetView>
  </sheetViews>
  <sheetFormatPr defaultColWidth="9.140625" defaultRowHeight="18.75"/>
  <cols>
    <col min="1" max="1" width="12.42578125" style="2241" customWidth="1"/>
    <col min="2" max="2" width="82.5703125" style="484" customWidth="1"/>
    <col min="3" max="3" width="13.7109375" style="2242" customWidth="1"/>
    <col min="4" max="4" width="16.5703125" style="484" customWidth="1"/>
    <col min="5" max="5" width="14.85546875" style="484" customWidth="1"/>
    <col min="6" max="6" width="48.7109375" style="484" customWidth="1"/>
    <col min="7" max="7" width="12.85546875" style="484" bestFit="1" customWidth="1"/>
    <col min="8" max="8" width="8.140625" style="484" bestFit="1" customWidth="1"/>
    <col min="9" max="9" width="11.5703125" style="484" bestFit="1" customWidth="1"/>
    <col min="10" max="10" width="25.7109375" style="484" bestFit="1" customWidth="1"/>
    <col min="11" max="16384" width="9.140625" style="484"/>
  </cols>
  <sheetData>
    <row r="1" spans="1:12" ht="20.25" hidden="1" customHeight="1">
      <c r="A1" s="2579"/>
      <c r="B1" s="2579"/>
      <c r="C1" s="2239"/>
      <c r="E1" s="2240"/>
    </row>
    <row r="2" spans="1:12" ht="18.75" hidden="1" customHeight="1">
      <c r="B2" s="2263"/>
    </row>
    <row r="3" spans="1:12" s="2238" customFormat="1" ht="18.75" hidden="1" customHeight="1">
      <c r="A3" s="2237"/>
      <c r="C3" s="2580"/>
      <c r="D3" s="2580"/>
      <c r="E3" s="2580"/>
    </row>
    <row r="4" spans="1:12" s="2238" customFormat="1" ht="43.5" hidden="1" customHeight="1">
      <c r="A4" s="2237"/>
      <c r="C4" s="2243"/>
      <c r="D4" s="2244"/>
      <c r="E4" s="2244"/>
    </row>
    <row r="5" spans="1:12" s="2238" customFormat="1" ht="23.25" customHeight="1">
      <c r="A5" s="2236"/>
      <c r="B5" s="2236"/>
      <c r="C5" s="2236"/>
      <c r="D5" s="2236"/>
      <c r="E5" s="2236"/>
    </row>
    <row r="6" spans="1:12" s="2238" customFormat="1">
      <c r="A6" s="2581" t="s">
        <v>1892</v>
      </c>
      <c r="B6" s="2582"/>
      <c r="C6" s="2582"/>
      <c r="D6" s="2582"/>
      <c r="E6" s="2582"/>
      <c r="F6" s="2582"/>
    </row>
    <row r="7" spans="1:12" s="2238" customFormat="1" ht="25.5">
      <c r="A7" s="2245"/>
      <c r="B7" s="2236"/>
      <c r="C7" s="2236"/>
      <c r="D7" s="2236"/>
      <c r="E7" s="2236"/>
    </row>
    <row r="8" spans="1:12">
      <c r="A8" s="2577" t="s">
        <v>18</v>
      </c>
      <c r="B8" s="2578" t="s">
        <v>0</v>
      </c>
      <c r="C8" s="2576" t="s">
        <v>1891</v>
      </c>
      <c r="D8" s="2576"/>
      <c r="E8" s="2576"/>
      <c r="F8" s="2550" t="s">
        <v>1886</v>
      </c>
    </row>
    <row r="9" spans="1:12" ht="61.9" customHeight="1">
      <c r="A9" s="2577"/>
      <c r="B9" s="2578"/>
      <c r="C9" s="2246" t="s">
        <v>1855</v>
      </c>
      <c r="D9" s="2247" t="s">
        <v>1856</v>
      </c>
      <c r="E9" s="2247" t="s">
        <v>1857</v>
      </c>
      <c r="F9" s="2550"/>
    </row>
    <row r="10" spans="1:12">
      <c r="A10" s="1866">
        <v>1</v>
      </c>
      <c r="B10" s="2261">
        <v>2</v>
      </c>
      <c r="C10" s="2248">
        <v>3</v>
      </c>
      <c r="D10" s="2248">
        <v>4</v>
      </c>
      <c r="E10" s="2248">
        <v>5</v>
      </c>
      <c r="F10" s="2248">
        <v>6</v>
      </c>
    </row>
    <row r="11" spans="1:12" s="1112" customFormat="1" ht="24.6" customHeight="1">
      <c r="A11" s="1866">
        <v>1</v>
      </c>
      <c r="B11" s="2267" t="s">
        <v>1858</v>
      </c>
      <c r="C11" s="1600">
        <f>D11+E11</f>
        <v>6264.3</v>
      </c>
      <c r="D11" s="1600">
        <f>D12+D20+D30+D38+D44+D54+D61+D65+D70+D76+D81+D83+D85+D88</f>
        <v>5162</v>
      </c>
      <c r="E11" s="1600">
        <f>E12+E20+E30+E38+E44+E54+E61+E65+E70+E76+E81+E83+E85+E88</f>
        <v>1102.3</v>
      </c>
      <c r="F11" s="2259" t="s">
        <v>353</v>
      </c>
      <c r="J11" s="1760"/>
      <c r="K11" s="1760"/>
      <c r="L11" s="1760"/>
    </row>
    <row r="12" spans="1:12" s="1112" customFormat="1" ht="24.6" customHeight="1">
      <c r="A12" s="1866" t="s">
        <v>1338</v>
      </c>
      <c r="B12" s="2268" t="s">
        <v>1859</v>
      </c>
      <c r="C12" s="1600">
        <f>SUM(C13:C19)</f>
        <v>115.3</v>
      </c>
      <c r="D12" s="1600">
        <f>SUM(D13:D19)</f>
        <v>97.2</v>
      </c>
      <c r="E12" s="1600">
        <f>SUM(E13:E19)</f>
        <v>18.100000000000001</v>
      </c>
      <c r="F12" s="2259" t="s">
        <v>353</v>
      </c>
    </row>
    <row r="13" spans="1:12" s="1112" customFormat="1" ht="80.25" customHeight="1">
      <c r="A13" s="1866"/>
      <c r="B13" s="1916" t="s">
        <v>1444</v>
      </c>
      <c r="C13" s="1600">
        <f>D13+E13</f>
        <v>0.1</v>
      </c>
      <c r="D13" s="1608">
        <v>0</v>
      </c>
      <c r="E13" s="1608">
        <v>0.1</v>
      </c>
      <c r="F13" s="1905" t="s">
        <v>1894</v>
      </c>
    </row>
    <row r="14" spans="1:12" s="1112" customFormat="1" ht="78.599999999999994" customHeight="1">
      <c r="A14" s="1866"/>
      <c r="B14" s="1905" t="s">
        <v>1656</v>
      </c>
      <c r="C14" s="1600">
        <f t="shared" ref="C14:C19" si="0">D14+E14</f>
        <v>1</v>
      </c>
      <c r="D14" s="1619">
        <v>0.9</v>
      </c>
      <c r="E14" s="1619">
        <v>0.1</v>
      </c>
      <c r="F14" s="1905" t="s">
        <v>1917</v>
      </c>
    </row>
    <row r="15" spans="1:12" s="1112" customFormat="1" ht="56.25">
      <c r="A15" s="1866"/>
      <c r="B15" s="1905" t="s">
        <v>1583</v>
      </c>
      <c r="C15" s="1600">
        <f t="shared" si="0"/>
        <v>0.4</v>
      </c>
      <c r="D15" s="1619">
        <v>0.4</v>
      </c>
      <c r="E15" s="1619">
        <v>0</v>
      </c>
      <c r="F15" s="1905" t="s">
        <v>1917</v>
      </c>
    </row>
    <row r="16" spans="1:12" s="1112" customFormat="1" ht="56.25">
      <c r="A16" s="1866"/>
      <c r="B16" s="1905" t="s">
        <v>1585</v>
      </c>
      <c r="C16" s="1600">
        <f t="shared" si="0"/>
        <v>4.0999999999999996</v>
      </c>
      <c r="D16" s="1619">
        <v>3.9</v>
      </c>
      <c r="E16" s="1619">
        <v>0.2</v>
      </c>
      <c r="F16" s="1905" t="s">
        <v>1917</v>
      </c>
    </row>
    <row r="17" spans="1:7" s="1112" customFormat="1" ht="75">
      <c r="A17" s="1866"/>
      <c r="B17" s="2071" t="s">
        <v>1662</v>
      </c>
      <c r="C17" s="1600">
        <f t="shared" si="0"/>
        <v>4.5</v>
      </c>
      <c r="D17" s="1608">
        <v>4.2</v>
      </c>
      <c r="E17" s="1608">
        <v>0.3</v>
      </c>
      <c r="F17" s="1905" t="s">
        <v>1917</v>
      </c>
    </row>
    <row r="18" spans="1:7" s="1112" customFormat="1" ht="60" customHeight="1">
      <c r="A18" s="1866"/>
      <c r="B18" s="2252" t="s">
        <v>1437</v>
      </c>
      <c r="C18" s="1600">
        <f t="shared" si="0"/>
        <v>96.9</v>
      </c>
      <c r="D18" s="1608">
        <v>80</v>
      </c>
      <c r="E18" s="1608">
        <v>16.899999999999999</v>
      </c>
      <c r="F18" s="2252" t="s">
        <v>1929</v>
      </c>
    </row>
    <row r="19" spans="1:7" s="1112" customFormat="1" ht="56.25">
      <c r="A19" s="1866"/>
      <c r="B19" s="2071" t="s">
        <v>1442</v>
      </c>
      <c r="C19" s="1600">
        <f t="shared" si="0"/>
        <v>8.3000000000000007</v>
      </c>
      <c r="D19" s="1608">
        <v>7.8</v>
      </c>
      <c r="E19" s="1608">
        <v>0.5</v>
      </c>
      <c r="F19" s="2071" t="s">
        <v>1896</v>
      </c>
    </row>
    <row r="20" spans="1:7" s="1112" customFormat="1" ht="23.25">
      <c r="A20" s="1866" t="s">
        <v>1339</v>
      </c>
      <c r="B20" s="2268" t="s">
        <v>1860</v>
      </c>
      <c r="C20" s="1600">
        <f>SUM(C21:C29)</f>
        <v>109</v>
      </c>
      <c r="D20" s="1600">
        <f>SUM(D21:D29)</f>
        <v>70.099999999999994</v>
      </c>
      <c r="E20" s="1600">
        <f>SUM(E21:E29)</f>
        <v>38.9</v>
      </c>
      <c r="F20" s="2259" t="s">
        <v>353</v>
      </c>
    </row>
    <row r="21" spans="1:7" s="1112" customFormat="1" ht="37.5">
      <c r="A21" s="1866"/>
      <c r="B21" s="1892" t="s">
        <v>1409</v>
      </c>
      <c r="C21" s="1600">
        <f>D21+E21</f>
        <v>1.6</v>
      </c>
      <c r="D21" s="1614">
        <v>0</v>
      </c>
      <c r="E21" s="1614">
        <v>1.6</v>
      </c>
      <c r="F21" s="2072" t="s">
        <v>1897</v>
      </c>
    </row>
    <row r="22" spans="1:7" s="1112" customFormat="1" ht="56.25">
      <c r="A22" s="1866"/>
      <c r="B22" s="1892" t="s">
        <v>1716</v>
      </c>
      <c r="C22" s="1600">
        <f t="shared" ref="C22:C29" si="1">D22+E22</f>
        <v>4.0999999999999996</v>
      </c>
      <c r="D22" s="1614">
        <v>0</v>
      </c>
      <c r="E22" s="1614">
        <v>4.0999999999999996</v>
      </c>
      <c r="F22" s="2072" t="s">
        <v>1897</v>
      </c>
    </row>
    <row r="23" spans="1:7" s="1112" customFormat="1" ht="56.25">
      <c r="A23" s="1866"/>
      <c r="B23" s="2051" t="s">
        <v>1629</v>
      </c>
      <c r="C23" s="1600">
        <f t="shared" si="1"/>
        <v>8.4</v>
      </c>
      <c r="D23" s="1608">
        <v>4.4000000000000004</v>
      </c>
      <c r="E23" s="1608">
        <v>4</v>
      </c>
      <c r="F23" s="1905" t="s">
        <v>1917</v>
      </c>
    </row>
    <row r="24" spans="1:7" s="1112" customFormat="1" ht="56.25">
      <c r="A24" s="1866"/>
      <c r="B24" s="2072" t="s">
        <v>1861</v>
      </c>
      <c r="C24" s="1600">
        <f t="shared" si="1"/>
        <v>67.400000000000006</v>
      </c>
      <c r="D24" s="1614">
        <v>62.9</v>
      </c>
      <c r="E24" s="1614">
        <v>4.5</v>
      </c>
      <c r="F24" s="1905" t="s">
        <v>1917</v>
      </c>
    </row>
    <row r="25" spans="1:7" s="1112" customFormat="1" ht="56.25">
      <c r="A25" s="1866"/>
      <c r="B25" s="2051" t="s">
        <v>1625</v>
      </c>
      <c r="C25" s="1600">
        <f t="shared" si="1"/>
        <v>0.8</v>
      </c>
      <c r="D25" s="1608">
        <v>0.6</v>
      </c>
      <c r="E25" s="1608">
        <v>0.2</v>
      </c>
      <c r="F25" s="2051" t="s">
        <v>1899</v>
      </c>
    </row>
    <row r="26" spans="1:7" s="1112" customFormat="1" ht="37.5">
      <c r="A26" s="1866"/>
      <c r="B26" s="2051" t="s">
        <v>1627</v>
      </c>
      <c r="C26" s="1600">
        <f t="shared" si="1"/>
        <v>2.1</v>
      </c>
      <c r="D26" s="1608">
        <v>1.9</v>
      </c>
      <c r="E26" s="1608">
        <v>0.2</v>
      </c>
      <c r="F26" s="2051" t="s">
        <v>1882</v>
      </c>
    </row>
    <row r="27" spans="1:7" s="1112" customFormat="1" ht="56.25">
      <c r="A27" s="1866"/>
      <c r="B27" s="1916" t="s">
        <v>1587</v>
      </c>
      <c r="C27" s="1600">
        <f t="shared" si="1"/>
        <v>24.1</v>
      </c>
      <c r="D27" s="1608">
        <v>0</v>
      </c>
      <c r="E27" s="1608">
        <v>24.1</v>
      </c>
      <c r="F27" s="1905" t="s">
        <v>1917</v>
      </c>
    </row>
    <row r="28" spans="1:7" s="1112" customFormat="1" ht="37.5">
      <c r="A28" s="1866"/>
      <c r="B28" s="1905" t="s">
        <v>1591</v>
      </c>
      <c r="C28" s="1600">
        <f t="shared" si="1"/>
        <v>0.2</v>
      </c>
      <c r="D28" s="1608">
        <v>0</v>
      </c>
      <c r="E28" s="1608">
        <v>0.2</v>
      </c>
      <c r="F28" s="1905" t="s">
        <v>1882</v>
      </c>
    </row>
    <row r="29" spans="1:7" s="1112" customFormat="1" ht="56.25">
      <c r="A29" s="1866"/>
      <c r="B29" s="1905" t="s">
        <v>1590</v>
      </c>
      <c r="C29" s="1600">
        <f t="shared" si="1"/>
        <v>0.3</v>
      </c>
      <c r="D29" s="1619">
        <v>0.3</v>
      </c>
      <c r="E29" s="1619">
        <v>0</v>
      </c>
      <c r="F29" s="1905" t="s">
        <v>1917</v>
      </c>
    </row>
    <row r="30" spans="1:7" s="1112" customFormat="1" ht="23.25">
      <c r="A30" s="1866" t="s">
        <v>1741</v>
      </c>
      <c r="B30" s="2268" t="s">
        <v>1862</v>
      </c>
      <c r="C30" s="1600">
        <f>D30+E30</f>
        <v>36.9</v>
      </c>
      <c r="D30" s="1941">
        <f>SUM(D31:D37)</f>
        <v>7</v>
      </c>
      <c r="E30" s="1941">
        <f>SUM(E31:E37)</f>
        <v>29.9</v>
      </c>
      <c r="F30" s="2259" t="s">
        <v>353</v>
      </c>
    </row>
    <row r="31" spans="1:7" s="1112" customFormat="1" ht="138" customHeight="1">
      <c r="A31" s="1866"/>
      <c r="B31" s="2249" t="s">
        <v>1553</v>
      </c>
      <c r="C31" s="1600">
        <f>D31+E31</f>
        <v>4</v>
      </c>
      <c r="D31" s="1608">
        <v>0</v>
      </c>
      <c r="E31" s="1608">
        <v>4</v>
      </c>
      <c r="F31" s="1905" t="s">
        <v>1900</v>
      </c>
    </row>
    <row r="32" spans="1:7" s="1112" customFormat="1" ht="80.25" customHeight="1">
      <c r="A32" s="1866"/>
      <c r="B32" s="1889" t="s">
        <v>1901</v>
      </c>
      <c r="C32" s="1602">
        <v>7.1</v>
      </c>
      <c r="D32" s="1616">
        <v>7</v>
      </c>
      <c r="E32" s="1616">
        <v>0.1</v>
      </c>
      <c r="F32" s="1919" t="s">
        <v>1902</v>
      </c>
      <c r="G32" s="608"/>
    </row>
    <row r="33" spans="1:6" s="1112" customFormat="1" ht="112.5">
      <c r="A33" s="1866"/>
      <c r="B33" s="2051" t="s">
        <v>1552</v>
      </c>
      <c r="C33" s="1600">
        <f t="shared" ref="C33:C37" si="2">D33+E33</f>
        <v>2.4</v>
      </c>
      <c r="D33" s="1608">
        <v>0</v>
      </c>
      <c r="E33" s="1608">
        <v>2.4</v>
      </c>
      <c r="F33" s="1905" t="s">
        <v>1900</v>
      </c>
    </row>
    <row r="34" spans="1:6" s="1112" customFormat="1" ht="56.25">
      <c r="A34" s="1866"/>
      <c r="B34" s="2249" t="s">
        <v>1561</v>
      </c>
      <c r="C34" s="1600">
        <f t="shared" si="2"/>
        <v>3.6</v>
      </c>
      <c r="D34" s="1608">
        <v>0</v>
      </c>
      <c r="E34" s="1608">
        <v>3.6</v>
      </c>
      <c r="F34" s="1905" t="s">
        <v>1900</v>
      </c>
    </row>
    <row r="35" spans="1:6" s="1112" customFormat="1" ht="56.25">
      <c r="A35" s="1866"/>
      <c r="B35" s="2071" t="s">
        <v>1836</v>
      </c>
      <c r="C35" s="1600">
        <v>9.4</v>
      </c>
      <c r="D35" s="1608">
        <v>0</v>
      </c>
      <c r="E35" s="1608">
        <v>9.4</v>
      </c>
      <c r="F35" s="1889" t="s">
        <v>1903</v>
      </c>
    </row>
    <row r="36" spans="1:6" s="1112" customFormat="1" ht="56.25">
      <c r="A36" s="1866"/>
      <c r="B36" s="1892" t="s">
        <v>1562</v>
      </c>
      <c r="C36" s="1600">
        <f t="shared" si="2"/>
        <v>6.5</v>
      </c>
      <c r="D36" s="1614">
        <v>0</v>
      </c>
      <c r="E36" s="1614">
        <v>6.5</v>
      </c>
      <c r="F36" s="1905" t="s">
        <v>1900</v>
      </c>
    </row>
    <row r="37" spans="1:6" s="1112" customFormat="1" ht="79.5" customHeight="1">
      <c r="A37" s="1866"/>
      <c r="B37" s="1932" t="s">
        <v>1417</v>
      </c>
      <c r="C37" s="1600">
        <f t="shared" si="2"/>
        <v>3.9</v>
      </c>
      <c r="D37" s="1608">
        <v>0</v>
      </c>
      <c r="E37" s="1608">
        <v>3.9</v>
      </c>
      <c r="F37" s="1905" t="s">
        <v>1900</v>
      </c>
    </row>
    <row r="38" spans="1:6" s="1112" customFormat="1" ht="23.25">
      <c r="A38" s="1866" t="s">
        <v>1742</v>
      </c>
      <c r="B38" s="2268" t="s">
        <v>1863</v>
      </c>
      <c r="C38" s="1600">
        <f>D38+E38</f>
        <v>60.8</v>
      </c>
      <c r="D38" s="1941">
        <f>SUM(D39:D43)</f>
        <v>41.5</v>
      </c>
      <c r="E38" s="1941">
        <f>SUM(E39:E43)</f>
        <v>19.3</v>
      </c>
      <c r="F38" s="2259" t="s">
        <v>353</v>
      </c>
    </row>
    <row r="39" spans="1:6" s="1112" customFormat="1" ht="75">
      <c r="A39" s="1866"/>
      <c r="B39" s="1932" t="s">
        <v>1888</v>
      </c>
      <c r="C39" s="1600">
        <f>D39+E39</f>
        <v>2.6</v>
      </c>
      <c r="D39" s="1608">
        <v>0</v>
      </c>
      <c r="E39" s="1608">
        <v>2.6</v>
      </c>
      <c r="F39" s="1905" t="s">
        <v>1900</v>
      </c>
    </row>
    <row r="40" spans="1:6" s="1112" customFormat="1" ht="37.5">
      <c r="A40" s="1866"/>
      <c r="B40" s="1905" t="s">
        <v>1563</v>
      </c>
      <c r="C40" s="1600">
        <f t="shared" ref="C40:C42" si="3">D40+E40</f>
        <v>12.3</v>
      </c>
      <c r="D40" s="1865">
        <v>9.6</v>
      </c>
      <c r="E40" s="1865">
        <v>2.7</v>
      </c>
      <c r="F40" s="1905" t="s">
        <v>1882</v>
      </c>
    </row>
    <row r="41" spans="1:6" s="1112" customFormat="1" ht="37.5">
      <c r="A41" s="1866"/>
      <c r="B41" s="2051" t="s">
        <v>1660</v>
      </c>
      <c r="C41" s="1600">
        <f t="shared" si="3"/>
        <v>27.7</v>
      </c>
      <c r="D41" s="1608">
        <v>25.9</v>
      </c>
      <c r="E41" s="1608">
        <v>1.8</v>
      </c>
      <c r="F41" s="2051" t="s">
        <v>1882</v>
      </c>
    </row>
    <row r="42" spans="1:6" s="1112" customFormat="1" ht="56.25">
      <c r="A42" s="1866"/>
      <c r="B42" s="1905" t="s">
        <v>1802</v>
      </c>
      <c r="C42" s="1600">
        <f t="shared" si="3"/>
        <v>2.2000000000000002</v>
      </c>
      <c r="D42" s="1865">
        <v>0</v>
      </c>
      <c r="E42" s="1865">
        <v>2.2000000000000002</v>
      </c>
      <c r="F42" s="2051" t="s">
        <v>1904</v>
      </c>
    </row>
    <row r="43" spans="1:6" s="1112" customFormat="1" ht="56.25">
      <c r="A43" s="1866"/>
      <c r="B43" s="1905" t="s">
        <v>1469</v>
      </c>
      <c r="C43" s="1600">
        <v>16</v>
      </c>
      <c r="D43" s="1614">
        <v>6</v>
      </c>
      <c r="E43" s="1614">
        <v>10</v>
      </c>
      <c r="F43" s="1905" t="s">
        <v>1898</v>
      </c>
    </row>
    <row r="44" spans="1:6" s="1112" customFormat="1" ht="23.25">
      <c r="A44" s="1866" t="s">
        <v>1743</v>
      </c>
      <c r="B44" s="2268" t="s">
        <v>1865</v>
      </c>
      <c r="C44" s="1600">
        <f>D44+E44</f>
        <v>500.5</v>
      </c>
      <c r="D44" s="1941">
        <f>SUM(D45:D53)</f>
        <v>417.9</v>
      </c>
      <c r="E44" s="1941">
        <f>SUM(E45:E53)</f>
        <v>82.6</v>
      </c>
      <c r="F44" s="2259" t="s">
        <v>353</v>
      </c>
    </row>
    <row r="45" spans="1:6" s="1112" customFormat="1" ht="81.599999999999994" customHeight="1">
      <c r="A45" s="1866"/>
      <c r="B45" s="2074" t="s">
        <v>1601</v>
      </c>
      <c r="C45" s="1600">
        <f>D45+E45</f>
        <v>8.9</v>
      </c>
      <c r="D45" s="1608">
        <v>0</v>
      </c>
      <c r="E45" s="1608">
        <v>8.9</v>
      </c>
      <c r="F45" s="1905" t="s">
        <v>1900</v>
      </c>
    </row>
    <row r="46" spans="1:6" s="1112" customFormat="1" ht="37.5">
      <c r="A46" s="1866"/>
      <c r="B46" s="2074" t="s">
        <v>1602</v>
      </c>
      <c r="C46" s="1600">
        <f t="shared" ref="C46:C51" si="4">D46+E46</f>
        <v>17.600000000000001</v>
      </c>
      <c r="D46" s="1608">
        <v>0</v>
      </c>
      <c r="E46" s="1608">
        <v>17.600000000000001</v>
      </c>
      <c r="F46" s="1905" t="s">
        <v>1900</v>
      </c>
    </row>
    <row r="47" spans="1:6" s="1112" customFormat="1" ht="93.75">
      <c r="A47" s="1866"/>
      <c r="B47" s="2073" t="s">
        <v>1486</v>
      </c>
      <c r="C47" s="1600">
        <f t="shared" si="4"/>
        <v>15.9</v>
      </c>
      <c r="D47" s="1608">
        <v>0</v>
      </c>
      <c r="E47" s="1608">
        <v>15.9</v>
      </c>
      <c r="F47" s="1905" t="s">
        <v>1918</v>
      </c>
    </row>
    <row r="48" spans="1:6" s="1112" customFormat="1" ht="56.25">
      <c r="A48" s="1866"/>
      <c r="B48" s="2074" t="s">
        <v>1600</v>
      </c>
      <c r="C48" s="1600">
        <f t="shared" si="4"/>
        <v>0.4</v>
      </c>
      <c r="D48" s="1608">
        <v>0</v>
      </c>
      <c r="E48" s="1608">
        <v>0.4</v>
      </c>
      <c r="F48" s="2074" t="s">
        <v>1905</v>
      </c>
    </row>
    <row r="49" spans="1:6" s="1112" customFormat="1" ht="56.25">
      <c r="A49" s="1866"/>
      <c r="B49" s="2073" t="s">
        <v>698</v>
      </c>
      <c r="C49" s="1600">
        <f t="shared" si="4"/>
        <v>145.30000000000001</v>
      </c>
      <c r="D49" s="1614">
        <v>134.6</v>
      </c>
      <c r="E49" s="1614">
        <f>2.1+8.6</f>
        <v>10.7</v>
      </c>
      <c r="F49" s="1905" t="s">
        <v>1918</v>
      </c>
    </row>
    <row r="50" spans="1:6" s="1112" customFormat="1" ht="56.25">
      <c r="A50" s="1866"/>
      <c r="B50" s="2250" t="s">
        <v>455</v>
      </c>
      <c r="C50" s="1600">
        <f t="shared" si="4"/>
        <v>9.9</v>
      </c>
      <c r="D50" s="1614">
        <v>0</v>
      </c>
      <c r="E50" s="1614">
        <v>9.9</v>
      </c>
      <c r="F50" s="1905" t="s">
        <v>1900</v>
      </c>
    </row>
    <row r="51" spans="1:6" s="1112" customFormat="1" ht="102.75" customHeight="1">
      <c r="A51" s="1866"/>
      <c r="B51" s="1916" t="s">
        <v>1684</v>
      </c>
      <c r="C51" s="1600">
        <f t="shared" si="4"/>
        <v>1</v>
      </c>
      <c r="D51" s="1608">
        <v>0</v>
      </c>
      <c r="E51" s="1608">
        <v>1</v>
      </c>
      <c r="F51" s="1905" t="s">
        <v>1906</v>
      </c>
    </row>
    <row r="52" spans="1:6" s="1112" customFormat="1" ht="56.25">
      <c r="A52" s="1866"/>
      <c r="B52" s="2073" t="s">
        <v>697</v>
      </c>
      <c r="C52" s="1600">
        <v>104.6</v>
      </c>
      <c r="D52" s="1614">
        <v>98.3</v>
      </c>
      <c r="E52" s="1614">
        <v>6.3</v>
      </c>
      <c r="F52" s="1905" t="s">
        <v>1917</v>
      </c>
    </row>
    <row r="53" spans="1:6" s="1112" customFormat="1" ht="75">
      <c r="A53" s="1866"/>
      <c r="B53" s="2073" t="s">
        <v>942</v>
      </c>
      <c r="C53" s="1600">
        <v>196.9</v>
      </c>
      <c r="D53" s="1614">
        <v>185</v>
      </c>
      <c r="E53" s="1614">
        <v>11.9</v>
      </c>
      <c r="F53" s="1905" t="s">
        <v>1917</v>
      </c>
    </row>
    <row r="54" spans="1:6" s="1112" customFormat="1" ht="23.25">
      <c r="A54" s="1866" t="s">
        <v>1744</v>
      </c>
      <c r="B54" s="2268" t="s">
        <v>1866</v>
      </c>
      <c r="C54" s="1600">
        <f>D54+E54</f>
        <v>630.79999999999995</v>
      </c>
      <c r="D54" s="1600">
        <f>SUM(D55:D60)</f>
        <v>582.79999999999995</v>
      </c>
      <c r="E54" s="1600">
        <f>SUM(E55:E60)</f>
        <v>48</v>
      </c>
      <c r="F54" s="2258" t="s">
        <v>353</v>
      </c>
    </row>
    <row r="55" spans="1:6" s="1112" customFormat="1" ht="56.25">
      <c r="A55" s="1866"/>
      <c r="B55" s="2075" t="s">
        <v>763</v>
      </c>
      <c r="C55" s="1600">
        <f>D55+E55</f>
        <v>108.6</v>
      </c>
      <c r="D55" s="1608">
        <v>102.1</v>
      </c>
      <c r="E55" s="1608">
        <v>6.5</v>
      </c>
      <c r="F55" s="1905" t="s">
        <v>1917</v>
      </c>
    </row>
    <row r="56" spans="1:6" s="1112" customFormat="1" ht="56.25">
      <c r="A56" s="1866"/>
      <c r="B56" s="2075" t="s">
        <v>765</v>
      </c>
      <c r="C56" s="1600">
        <f t="shared" ref="C56:C58" si="5">D56+E56</f>
        <v>16.3</v>
      </c>
      <c r="D56" s="1608">
        <v>15.1</v>
      </c>
      <c r="E56" s="1608">
        <v>1.2</v>
      </c>
      <c r="F56" s="1905" t="s">
        <v>1917</v>
      </c>
    </row>
    <row r="57" spans="1:6" s="1112" customFormat="1" ht="56.25">
      <c r="A57" s="1866"/>
      <c r="B57" s="2075" t="s">
        <v>766</v>
      </c>
      <c r="C57" s="1600">
        <f t="shared" si="5"/>
        <v>10.7</v>
      </c>
      <c r="D57" s="1608">
        <v>9.4</v>
      </c>
      <c r="E57" s="1608">
        <f>0.7+0.6</f>
        <v>1.3</v>
      </c>
      <c r="F57" s="1905" t="s">
        <v>1917</v>
      </c>
    </row>
    <row r="58" spans="1:6" s="1112" customFormat="1" ht="37.5">
      <c r="A58" s="1866"/>
      <c r="B58" s="2076" t="s">
        <v>1889</v>
      </c>
      <c r="C58" s="1600">
        <f t="shared" si="5"/>
        <v>421.9</v>
      </c>
      <c r="D58" s="1608">
        <v>396.6</v>
      </c>
      <c r="E58" s="1608">
        <v>25.3</v>
      </c>
      <c r="F58" s="2076" t="s">
        <v>1907</v>
      </c>
    </row>
    <row r="59" spans="1:6" s="1112" customFormat="1" ht="75">
      <c r="A59" s="1866"/>
      <c r="B59" s="1916" t="s">
        <v>1890</v>
      </c>
      <c r="C59" s="1600">
        <f>D59+E59</f>
        <v>9.4</v>
      </c>
      <c r="D59" s="1608">
        <v>0</v>
      </c>
      <c r="E59" s="1608">
        <v>9.4</v>
      </c>
      <c r="F59" s="2076" t="s">
        <v>1908</v>
      </c>
    </row>
    <row r="60" spans="1:6" s="1112" customFormat="1" ht="56.25">
      <c r="A60" s="1866"/>
      <c r="B60" s="1905" t="s">
        <v>1887</v>
      </c>
      <c r="C60" s="1600">
        <f>D60+E60</f>
        <v>63.9</v>
      </c>
      <c r="D60" s="1619">
        <v>59.6</v>
      </c>
      <c r="E60" s="1619">
        <v>4.3</v>
      </c>
      <c r="F60" s="1905" t="s">
        <v>1917</v>
      </c>
    </row>
    <row r="61" spans="1:6" s="1112" customFormat="1" ht="23.25">
      <c r="A61" s="1866" t="s">
        <v>1745</v>
      </c>
      <c r="B61" s="2268" t="s">
        <v>1867</v>
      </c>
      <c r="C61" s="1600">
        <f>D61+E61</f>
        <v>8</v>
      </c>
      <c r="D61" s="1600">
        <f>SUM(D62:D64)</f>
        <v>3.7</v>
      </c>
      <c r="E61" s="1600">
        <f>SUM(E62:E64)</f>
        <v>4.3</v>
      </c>
      <c r="F61" s="2258" t="s">
        <v>353</v>
      </c>
    </row>
    <row r="62" spans="1:6" s="1112" customFormat="1" ht="56.25">
      <c r="A62" s="1866"/>
      <c r="B62" s="2051" t="s">
        <v>681</v>
      </c>
      <c r="C62" s="1600">
        <f>D62+E62</f>
        <v>1.4</v>
      </c>
      <c r="D62" s="1608">
        <v>0</v>
      </c>
      <c r="E62" s="1608">
        <v>1.4</v>
      </c>
      <c r="F62" s="1905" t="s">
        <v>1909</v>
      </c>
    </row>
    <row r="63" spans="1:6" s="1112" customFormat="1" ht="56.25">
      <c r="A63" s="1866"/>
      <c r="B63" s="2051" t="s">
        <v>1775</v>
      </c>
      <c r="C63" s="1600">
        <f t="shared" ref="C63:C64" si="6">D63+E63</f>
        <v>3.7</v>
      </c>
      <c r="D63" s="1608">
        <v>3.7</v>
      </c>
      <c r="E63" s="1608">
        <v>0</v>
      </c>
      <c r="F63" s="1905" t="s">
        <v>1918</v>
      </c>
    </row>
    <row r="64" spans="1:6" s="1112" customFormat="1" ht="56.25">
      <c r="A64" s="1866"/>
      <c r="B64" s="2051" t="s">
        <v>1800</v>
      </c>
      <c r="C64" s="1600">
        <f t="shared" si="6"/>
        <v>2.9</v>
      </c>
      <c r="D64" s="1608">
        <v>0</v>
      </c>
      <c r="E64" s="1608">
        <v>2.9</v>
      </c>
      <c r="F64" s="1905" t="s">
        <v>1910</v>
      </c>
    </row>
    <row r="65" spans="1:6" s="1112" customFormat="1" ht="23.25">
      <c r="A65" s="1866" t="s">
        <v>1874</v>
      </c>
      <c r="B65" s="2268" t="s">
        <v>1868</v>
      </c>
      <c r="C65" s="1600">
        <f>SUM(C66:C69)</f>
        <v>948.2</v>
      </c>
      <c r="D65" s="1600">
        <f t="shared" ref="D65" si="7">SUM(D66:D69)</f>
        <v>594.6</v>
      </c>
      <c r="E65" s="1600">
        <f>SUM(E66:E69)</f>
        <v>353.6</v>
      </c>
      <c r="F65" s="2258" t="s">
        <v>353</v>
      </c>
    </row>
    <row r="66" spans="1:6" s="1112" customFormat="1" ht="37.5">
      <c r="A66" s="1866"/>
      <c r="B66" s="2249" t="s">
        <v>1567</v>
      </c>
      <c r="C66" s="1600">
        <f>D66+E66</f>
        <v>3.7</v>
      </c>
      <c r="D66" s="1614">
        <v>0</v>
      </c>
      <c r="E66" s="1614">
        <v>3.7</v>
      </c>
      <c r="F66" s="2249" t="s">
        <v>1911</v>
      </c>
    </row>
    <row r="67" spans="1:6" s="1112" customFormat="1" ht="101.25" customHeight="1">
      <c r="A67" s="1866"/>
      <c r="B67" s="2249" t="s">
        <v>1459</v>
      </c>
      <c r="C67" s="1600">
        <f t="shared" ref="C67:C69" si="8">D67+E67</f>
        <v>663.6</v>
      </c>
      <c r="D67" s="1614">
        <v>384.8</v>
      </c>
      <c r="E67" s="1614">
        <v>278.8</v>
      </c>
      <c r="F67" s="1905" t="s">
        <v>1919</v>
      </c>
    </row>
    <row r="68" spans="1:6" s="1112" customFormat="1" ht="56.25">
      <c r="A68" s="1866"/>
      <c r="B68" s="2249" t="s">
        <v>1460</v>
      </c>
      <c r="C68" s="1600">
        <f t="shared" si="8"/>
        <v>174.1</v>
      </c>
      <c r="D68" s="1614">
        <v>104.1</v>
      </c>
      <c r="E68" s="1614">
        <v>70</v>
      </c>
      <c r="F68" s="1905" t="s">
        <v>1917</v>
      </c>
    </row>
    <row r="69" spans="1:6" s="1112" customFormat="1" ht="56.25">
      <c r="A69" s="1866"/>
      <c r="B69" s="1916" t="s">
        <v>1465</v>
      </c>
      <c r="C69" s="1600">
        <f t="shared" si="8"/>
        <v>106.8</v>
      </c>
      <c r="D69" s="1614">
        <v>105.7</v>
      </c>
      <c r="E69" s="1614">
        <v>1.1000000000000001</v>
      </c>
      <c r="F69" s="2249" t="s">
        <v>1928</v>
      </c>
    </row>
    <row r="70" spans="1:6" s="1112" customFormat="1" ht="23.25">
      <c r="A70" s="1866" t="s">
        <v>1875</v>
      </c>
      <c r="B70" s="2268" t="s">
        <v>1869</v>
      </c>
      <c r="C70" s="1600">
        <f>D70+E70</f>
        <v>304.8</v>
      </c>
      <c r="D70" s="1600">
        <f>SUM(D71:D75)</f>
        <v>279.89999999999998</v>
      </c>
      <c r="E70" s="1600">
        <f>SUM(E71:E75)</f>
        <v>24.9</v>
      </c>
      <c r="F70" s="2258" t="s">
        <v>353</v>
      </c>
    </row>
    <row r="71" spans="1:6" s="1112" customFormat="1" ht="59.25" customHeight="1">
      <c r="A71" s="1866"/>
      <c r="B71" s="2072" t="s">
        <v>1676</v>
      </c>
      <c r="C71" s="1600">
        <f>D71+E71</f>
        <v>101.4</v>
      </c>
      <c r="D71" s="1614">
        <v>93.5</v>
      </c>
      <c r="E71" s="1614">
        <f>1.9+6</f>
        <v>7.9</v>
      </c>
      <c r="F71" s="2249" t="s">
        <v>1912</v>
      </c>
    </row>
    <row r="72" spans="1:6" s="1112" customFormat="1" ht="56.25">
      <c r="A72" s="1866"/>
      <c r="B72" s="2249" t="s">
        <v>1596</v>
      </c>
      <c r="C72" s="1600">
        <f t="shared" ref="C72:C73" si="9">D72+E72</f>
        <v>118</v>
      </c>
      <c r="D72" s="1614">
        <v>109.4</v>
      </c>
      <c r="E72" s="1614">
        <f>1.6+7</f>
        <v>8.6</v>
      </c>
      <c r="F72" s="2249" t="s">
        <v>1912</v>
      </c>
    </row>
    <row r="73" spans="1:6" s="1112" customFormat="1" ht="56.25">
      <c r="A73" s="1866"/>
      <c r="B73" s="2074" t="s">
        <v>776</v>
      </c>
      <c r="C73" s="1600">
        <f t="shared" si="9"/>
        <v>83.2</v>
      </c>
      <c r="D73" s="1614">
        <v>77</v>
      </c>
      <c r="E73" s="1614">
        <v>6.2</v>
      </c>
      <c r="F73" s="2074" t="s">
        <v>1916</v>
      </c>
    </row>
    <row r="74" spans="1:6" s="1112" customFormat="1" ht="45.75" customHeight="1">
      <c r="A74" s="1866"/>
      <c r="B74" s="2051" t="s">
        <v>1690</v>
      </c>
      <c r="C74" s="2262">
        <v>2</v>
      </c>
      <c r="D74" s="2262">
        <v>0</v>
      </c>
      <c r="E74" s="1619">
        <v>2</v>
      </c>
      <c r="F74" s="2074" t="s">
        <v>1900</v>
      </c>
    </row>
    <row r="75" spans="1:6" s="1112" customFormat="1" ht="56.25">
      <c r="A75" s="1866"/>
      <c r="B75" s="2072" t="s">
        <v>1568</v>
      </c>
      <c r="C75" s="1600">
        <v>0.2</v>
      </c>
      <c r="D75" s="1614">
        <v>0</v>
      </c>
      <c r="E75" s="1614">
        <v>0.2</v>
      </c>
      <c r="F75" s="2074" t="s">
        <v>1931</v>
      </c>
    </row>
    <row r="76" spans="1:6" s="1112" customFormat="1" ht="23.25">
      <c r="A76" s="1866" t="s">
        <v>1876</v>
      </c>
      <c r="B76" s="2268" t="s">
        <v>1864</v>
      </c>
      <c r="C76" s="1600">
        <f>D76+E76</f>
        <v>246.5</v>
      </c>
      <c r="D76" s="1600">
        <f>SUM(D77:D80)</f>
        <v>227</v>
      </c>
      <c r="E76" s="1600">
        <f>SUM(E77:E80)</f>
        <v>19.5</v>
      </c>
      <c r="F76" s="2258" t="s">
        <v>353</v>
      </c>
    </row>
    <row r="77" spans="1:6" s="1112" customFormat="1" ht="56.25">
      <c r="A77" s="1866"/>
      <c r="B77" s="2051" t="s">
        <v>1623</v>
      </c>
      <c r="C77" s="1600">
        <f>D77+E77</f>
        <v>29.2</v>
      </c>
      <c r="D77" s="1608">
        <v>26.4</v>
      </c>
      <c r="E77" s="1608">
        <f>1.1+1.7</f>
        <v>2.8</v>
      </c>
      <c r="F77" s="2051" t="s">
        <v>1913</v>
      </c>
    </row>
    <row r="78" spans="1:6" s="1112" customFormat="1" ht="37.5">
      <c r="A78" s="1866"/>
      <c r="B78" s="2073" t="s">
        <v>694</v>
      </c>
      <c r="C78" s="1600">
        <v>5.3</v>
      </c>
      <c r="D78" s="1614">
        <v>0</v>
      </c>
      <c r="E78" s="1614">
        <v>5.3</v>
      </c>
      <c r="F78" s="2051" t="s">
        <v>1914</v>
      </c>
    </row>
    <row r="79" spans="1:6" s="1112" customFormat="1" ht="56.25">
      <c r="A79" s="1866"/>
      <c r="B79" s="2249" t="s">
        <v>1472</v>
      </c>
      <c r="C79" s="1600">
        <v>25</v>
      </c>
      <c r="D79" s="1614">
        <v>24.7</v>
      </c>
      <c r="E79" s="1614">
        <v>0.2</v>
      </c>
      <c r="F79" s="2074" t="s">
        <v>1916</v>
      </c>
    </row>
    <row r="80" spans="1:6" s="1112" customFormat="1" ht="37.5">
      <c r="A80" s="1866"/>
      <c r="B80" s="2073" t="s">
        <v>695</v>
      </c>
      <c r="C80" s="1600">
        <v>187.1</v>
      </c>
      <c r="D80" s="1614">
        <v>175.9</v>
      </c>
      <c r="E80" s="1614">
        <v>11.2</v>
      </c>
      <c r="F80" s="2073" t="s">
        <v>1907</v>
      </c>
    </row>
    <row r="81" spans="1:13" s="1112" customFormat="1" ht="23.25">
      <c r="A81" s="1866" t="s">
        <v>1877</v>
      </c>
      <c r="B81" s="2268" t="s">
        <v>1870</v>
      </c>
      <c r="C81" s="1600">
        <v>1259.4000000000001</v>
      </c>
      <c r="D81" s="1600">
        <v>1185.5</v>
      </c>
      <c r="E81" s="1600">
        <f>E82</f>
        <v>73.900000000000006</v>
      </c>
      <c r="F81" s="2258" t="s">
        <v>353</v>
      </c>
    </row>
    <row r="82" spans="1:13" s="1112" customFormat="1" ht="56.25">
      <c r="A82" s="1866"/>
      <c r="B82" s="2072" t="s">
        <v>21</v>
      </c>
      <c r="C82" s="1619">
        <v>1259.4000000000001</v>
      </c>
      <c r="D82" s="1608" t="s">
        <v>1933</v>
      </c>
      <c r="E82" s="1608">
        <v>73.900000000000006</v>
      </c>
      <c r="F82" s="2072" t="s">
        <v>1883</v>
      </c>
      <c r="J82" s="2260"/>
    </row>
    <row r="83" spans="1:13" s="1112" customFormat="1" ht="23.25">
      <c r="A83" s="2270" t="s">
        <v>1878</v>
      </c>
      <c r="B83" s="2268" t="s">
        <v>1871</v>
      </c>
      <c r="C83" s="1600">
        <f>C84</f>
        <v>2</v>
      </c>
      <c r="D83" s="1600">
        <f t="shared" ref="D83:E83" si="10">D84</f>
        <v>0</v>
      </c>
      <c r="E83" s="1600">
        <f t="shared" si="10"/>
        <v>2</v>
      </c>
      <c r="F83" s="2258" t="s">
        <v>353</v>
      </c>
    </row>
    <row r="84" spans="1:13" s="1112" customFormat="1" ht="56.25">
      <c r="A84" s="1866"/>
      <c r="B84" s="2251" t="s">
        <v>1709</v>
      </c>
      <c r="C84" s="1600">
        <f>D84+E84</f>
        <v>2</v>
      </c>
      <c r="D84" s="1608">
        <v>0</v>
      </c>
      <c r="E84" s="1608">
        <f>0.3+1.7</f>
        <v>2</v>
      </c>
      <c r="F84" s="2074" t="s">
        <v>1916</v>
      </c>
      <c r="H84" s="2271"/>
      <c r="I84" s="2271"/>
      <c r="J84" s="2271"/>
      <c r="K84" s="2271"/>
      <c r="L84" s="2271"/>
      <c r="M84" s="2271"/>
    </row>
    <row r="85" spans="1:13" s="1112" customFormat="1" ht="23.25">
      <c r="A85" s="2270" t="s">
        <v>1879</v>
      </c>
      <c r="B85" s="2268" t="s">
        <v>1872</v>
      </c>
      <c r="C85" s="1600">
        <f>D85+E85</f>
        <v>97.4</v>
      </c>
      <c r="D85" s="1600">
        <f>D86+D87</f>
        <v>44.1</v>
      </c>
      <c r="E85" s="1600">
        <f>E86+E87</f>
        <v>53.3</v>
      </c>
      <c r="F85" s="2258" t="s">
        <v>353</v>
      </c>
    </row>
    <row r="86" spans="1:13" s="1112" customFormat="1" ht="56.25">
      <c r="A86" s="1866"/>
      <c r="B86" s="2051" t="s">
        <v>1495</v>
      </c>
      <c r="C86" s="1600">
        <v>63</v>
      </c>
      <c r="D86" s="1608">
        <v>44.1</v>
      </c>
      <c r="E86" s="1608">
        <v>18.8</v>
      </c>
      <c r="F86" s="2251" t="s">
        <v>1907</v>
      </c>
    </row>
    <row r="87" spans="1:13" s="1112" customFormat="1" ht="56.25">
      <c r="A87" s="1866"/>
      <c r="B87" s="2253" t="s">
        <v>707</v>
      </c>
      <c r="C87" s="1600">
        <v>34.5</v>
      </c>
      <c r="D87" s="1608">
        <v>0</v>
      </c>
      <c r="E87" s="1608">
        <v>34.5</v>
      </c>
      <c r="F87" s="2074" t="s">
        <v>1916</v>
      </c>
    </row>
    <row r="88" spans="1:13" s="1112" customFormat="1" ht="23.25">
      <c r="A88" s="2270" t="s">
        <v>1915</v>
      </c>
      <c r="B88" s="2268" t="s">
        <v>1873</v>
      </c>
      <c r="C88" s="1600">
        <f>D88+E88</f>
        <v>1944.7</v>
      </c>
      <c r="D88" s="1600">
        <f>SUM(D89:D109)</f>
        <v>1610.7</v>
      </c>
      <c r="E88" s="1600">
        <f>SUM(E89:E109)</f>
        <v>334</v>
      </c>
      <c r="F88" s="2258" t="s">
        <v>353</v>
      </c>
    </row>
    <row r="89" spans="1:13" s="1606" customFormat="1" ht="97.5" customHeight="1">
      <c r="A89" s="1866"/>
      <c r="B89" s="2051" t="s">
        <v>1605</v>
      </c>
      <c r="C89" s="1600">
        <v>1.2</v>
      </c>
      <c r="D89" s="2262">
        <v>0</v>
      </c>
      <c r="E89" s="1619">
        <v>1.2</v>
      </c>
      <c r="F89" s="1905" t="s">
        <v>1920</v>
      </c>
    </row>
    <row r="90" spans="1:13" s="1606" customFormat="1" ht="63" customHeight="1">
      <c r="A90" s="1866"/>
      <c r="B90" s="2051" t="s">
        <v>1572</v>
      </c>
      <c r="C90" s="1600">
        <v>3.8</v>
      </c>
      <c r="D90" s="2262">
        <v>0</v>
      </c>
      <c r="E90" s="1619">
        <v>3.8</v>
      </c>
      <c r="F90" s="1905" t="s">
        <v>1894</v>
      </c>
    </row>
    <row r="91" spans="1:13" s="1606" customFormat="1" ht="102.75" customHeight="1">
      <c r="A91" s="1866"/>
      <c r="B91" s="2051" t="s">
        <v>1570</v>
      </c>
      <c r="C91" s="1600">
        <v>4.0999999999999996</v>
      </c>
      <c r="D91" s="2262">
        <v>0</v>
      </c>
      <c r="E91" s="1619">
        <v>4.0999999999999996</v>
      </c>
      <c r="F91" s="1905" t="s">
        <v>1920</v>
      </c>
    </row>
    <row r="92" spans="1:13" s="1606" customFormat="1" ht="65.25" customHeight="1">
      <c r="A92" s="1866"/>
      <c r="B92" s="1905" t="s">
        <v>1569</v>
      </c>
      <c r="C92" s="1600">
        <v>14.2</v>
      </c>
      <c r="D92" s="1600">
        <v>0</v>
      </c>
      <c r="E92" s="1619">
        <v>14.2</v>
      </c>
      <c r="F92" s="1905" t="s">
        <v>1894</v>
      </c>
    </row>
    <row r="93" spans="1:13" s="1606" customFormat="1" ht="75">
      <c r="A93" s="1866"/>
      <c r="B93" s="2254" t="s">
        <v>1689</v>
      </c>
      <c r="C93" s="1600">
        <v>1.5</v>
      </c>
      <c r="D93" s="1608">
        <v>0</v>
      </c>
      <c r="E93" s="1608">
        <v>1.5</v>
      </c>
      <c r="F93" s="1905" t="s">
        <v>1894</v>
      </c>
    </row>
    <row r="94" spans="1:13">
      <c r="A94" s="1866"/>
      <c r="B94" s="2255" t="s">
        <v>263</v>
      </c>
      <c r="C94" s="1600">
        <v>82.5</v>
      </c>
      <c r="D94" s="1629">
        <v>0</v>
      </c>
      <c r="E94" s="1629">
        <v>82.5</v>
      </c>
      <c r="F94" s="1905" t="s">
        <v>1921</v>
      </c>
    </row>
    <row r="95" spans="1:13" ht="56.25">
      <c r="A95" s="1866"/>
      <c r="B95" s="2255" t="s">
        <v>268</v>
      </c>
      <c r="C95" s="1600">
        <v>0.2</v>
      </c>
      <c r="D95" s="1629">
        <v>0</v>
      </c>
      <c r="E95" s="1629">
        <v>0.2</v>
      </c>
      <c r="F95" s="2269" t="s">
        <v>1922</v>
      </c>
    </row>
    <row r="96" spans="1:13" ht="45" customHeight="1">
      <c r="A96" s="1866"/>
      <c r="B96" s="1932" t="s">
        <v>1497</v>
      </c>
      <c r="C96" s="1600">
        <v>9.1999999999999993</v>
      </c>
      <c r="D96" s="1629">
        <v>8.6</v>
      </c>
      <c r="E96" s="1629">
        <v>0.5</v>
      </c>
      <c r="F96" s="1932" t="s">
        <v>1882</v>
      </c>
    </row>
    <row r="97" spans="1:6" ht="39.75" customHeight="1">
      <c r="A97" s="1866"/>
      <c r="B97" s="1932" t="s">
        <v>1498</v>
      </c>
      <c r="C97" s="1600">
        <v>12.1</v>
      </c>
      <c r="D97" s="1629">
        <v>11.4</v>
      </c>
      <c r="E97" s="1629">
        <v>0.7</v>
      </c>
      <c r="F97" s="1932" t="s">
        <v>1882</v>
      </c>
    </row>
    <row r="98" spans="1:6" ht="57" customHeight="1">
      <c r="A98" s="1866"/>
      <c r="B98" s="1932" t="s">
        <v>1499</v>
      </c>
      <c r="C98" s="1600">
        <v>20.5</v>
      </c>
      <c r="D98" s="1629">
        <v>19.2</v>
      </c>
      <c r="E98" s="1629">
        <v>1.2</v>
      </c>
      <c r="F98" s="1905" t="s">
        <v>1917</v>
      </c>
    </row>
    <row r="99" spans="1:6" ht="58.5" customHeight="1">
      <c r="A99" s="1866"/>
      <c r="B99" s="1932" t="s">
        <v>1500</v>
      </c>
      <c r="C99" s="1600">
        <v>17.399999999999999</v>
      </c>
      <c r="D99" s="1629">
        <v>16.399999999999999</v>
      </c>
      <c r="E99" s="1629">
        <v>1</v>
      </c>
      <c r="F99" s="1905" t="s">
        <v>1917</v>
      </c>
    </row>
    <row r="100" spans="1:6" ht="58.5" customHeight="1">
      <c r="A100" s="1866"/>
      <c r="B100" s="1932" t="s">
        <v>1501</v>
      </c>
      <c r="C100" s="1600">
        <v>17.3</v>
      </c>
      <c r="D100" s="1629">
        <v>16.3</v>
      </c>
      <c r="E100" s="1629">
        <v>1</v>
      </c>
      <c r="F100" s="1905" t="s">
        <v>1917</v>
      </c>
    </row>
    <row r="101" spans="1:6" ht="36.6" customHeight="1">
      <c r="A101" s="1866"/>
      <c r="B101" s="1932" t="s">
        <v>1502</v>
      </c>
      <c r="C101" s="1600">
        <v>93.5</v>
      </c>
      <c r="D101" s="1629">
        <v>87.9</v>
      </c>
      <c r="E101" s="1629">
        <v>5.6</v>
      </c>
      <c r="F101" s="1932" t="s">
        <v>1930</v>
      </c>
    </row>
    <row r="102" spans="1:6" ht="39" customHeight="1">
      <c r="A102" s="1866"/>
      <c r="B102" s="1932" t="s">
        <v>1503</v>
      </c>
      <c r="C102" s="1600">
        <v>250.6</v>
      </c>
      <c r="D102" s="1629">
        <v>235.6</v>
      </c>
      <c r="E102" s="1629">
        <v>15</v>
      </c>
      <c r="F102" s="1905" t="s">
        <v>1917</v>
      </c>
    </row>
    <row r="103" spans="1:6" ht="45.6" customHeight="1">
      <c r="A103" s="1866"/>
      <c r="B103" s="1932" t="s">
        <v>623</v>
      </c>
      <c r="C103" s="1600">
        <v>63.8</v>
      </c>
      <c r="D103" s="1629">
        <v>60</v>
      </c>
      <c r="E103" s="1629">
        <v>3.8</v>
      </c>
      <c r="F103" s="1905" t="s">
        <v>1917</v>
      </c>
    </row>
    <row r="104" spans="1:6" ht="55.9" customHeight="1">
      <c r="A104" s="1866"/>
      <c r="B104" s="1932" t="s">
        <v>1509</v>
      </c>
      <c r="C104" s="1600">
        <v>257</v>
      </c>
      <c r="D104" s="1629">
        <v>110.5</v>
      </c>
      <c r="E104" s="1629">
        <v>146.4</v>
      </c>
      <c r="F104" s="1932" t="s">
        <v>1893</v>
      </c>
    </row>
    <row r="105" spans="1:6" ht="60.75" customHeight="1">
      <c r="A105" s="1866"/>
      <c r="B105" s="1934" t="s">
        <v>1772</v>
      </c>
      <c r="C105" s="1862">
        <v>40.4</v>
      </c>
      <c r="D105" s="1629">
        <v>40</v>
      </c>
      <c r="E105" s="1608">
        <v>0.4</v>
      </c>
      <c r="F105" s="1905" t="s">
        <v>1917</v>
      </c>
    </row>
    <row r="106" spans="1:6" ht="61.9" customHeight="1">
      <c r="A106" s="1866"/>
      <c r="B106" s="1934" t="s">
        <v>1773</v>
      </c>
      <c r="C106" s="1862">
        <v>4.9000000000000004</v>
      </c>
      <c r="D106" s="1629">
        <v>4.8</v>
      </c>
      <c r="E106" s="1608">
        <v>0</v>
      </c>
      <c r="F106" s="1905" t="s">
        <v>1923</v>
      </c>
    </row>
    <row r="107" spans="1:6" ht="48.75" customHeight="1">
      <c r="A107" s="1866"/>
      <c r="B107" s="1934" t="s">
        <v>1606</v>
      </c>
      <c r="C107" s="1600">
        <v>500</v>
      </c>
      <c r="D107" s="1629">
        <v>500</v>
      </c>
      <c r="E107" s="1629">
        <v>0</v>
      </c>
      <c r="F107" s="1905" t="s">
        <v>1917</v>
      </c>
    </row>
    <row r="108" spans="1:6" ht="48" customHeight="1">
      <c r="A108" s="1866"/>
      <c r="B108" s="1934" t="s">
        <v>1607</v>
      </c>
      <c r="C108" s="1600">
        <v>50</v>
      </c>
      <c r="D108" s="1629">
        <v>0</v>
      </c>
      <c r="E108" s="1629">
        <v>50</v>
      </c>
      <c r="F108" s="1905" t="s">
        <v>1917</v>
      </c>
    </row>
    <row r="109" spans="1:6" ht="41.25" customHeight="1">
      <c r="A109" s="1866"/>
      <c r="B109" s="1934" t="s">
        <v>1884</v>
      </c>
      <c r="C109" s="1600">
        <v>500.9</v>
      </c>
      <c r="D109" s="1629">
        <v>500</v>
      </c>
      <c r="E109" s="1629">
        <v>0.9</v>
      </c>
      <c r="F109" s="1905" t="s">
        <v>1927</v>
      </c>
    </row>
    <row r="110" spans="1:6" ht="41.25" customHeight="1">
      <c r="A110" s="2256"/>
      <c r="B110" s="2264"/>
      <c r="C110" s="2257"/>
      <c r="D110" s="2265"/>
      <c r="E110" s="2265"/>
      <c r="F110" s="2266"/>
    </row>
    <row r="111" spans="1:6" ht="19.5">
      <c r="A111" s="2256"/>
      <c r="B111" s="2585" t="s">
        <v>1880</v>
      </c>
      <c r="C111" s="2585"/>
      <c r="D111" s="2585"/>
      <c r="E111" s="2585"/>
      <c r="F111" s="2585"/>
    </row>
    <row r="112" spans="1:6">
      <c r="A112" s="2577" t="s">
        <v>18</v>
      </c>
      <c r="B112" s="2578" t="s">
        <v>0</v>
      </c>
      <c r="C112" s="2576" t="s">
        <v>1885</v>
      </c>
      <c r="D112" s="2576"/>
      <c r="E112" s="2576"/>
      <c r="F112" s="2550" t="s">
        <v>1886</v>
      </c>
    </row>
    <row r="113" spans="1:6" ht="39.6" customHeight="1">
      <c r="A113" s="2577"/>
      <c r="B113" s="2578"/>
      <c r="C113" s="2246" t="s">
        <v>1855</v>
      </c>
      <c r="D113" s="2247" t="s">
        <v>1856</v>
      </c>
      <c r="E113" s="2247" t="s">
        <v>1857</v>
      </c>
      <c r="F113" s="2550"/>
    </row>
    <row r="114" spans="1:6">
      <c r="A114" s="1866">
        <v>1</v>
      </c>
      <c r="B114" s="2261">
        <v>2</v>
      </c>
      <c r="C114" s="2248">
        <v>3</v>
      </c>
      <c r="D114" s="2248">
        <v>4</v>
      </c>
      <c r="E114" s="2248">
        <v>5</v>
      </c>
      <c r="F114" s="2248">
        <v>6</v>
      </c>
    </row>
    <row r="115" spans="1:6">
      <c r="A115" s="1866"/>
      <c r="B115" s="2267" t="s">
        <v>1881</v>
      </c>
      <c r="C115" s="1600">
        <f>D115+E115</f>
        <v>2195.4</v>
      </c>
      <c r="D115" s="1600">
        <f>SUM(D116:D155)</f>
        <v>2018.1</v>
      </c>
      <c r="E115" s="1600">
        <f>SUM(E116:E155)</f>
        <v>177.3</v>
      </c>
      <c r="F115" s="1600"/>
    </row>
    <row r="116" spans="1:6" ht="42" customHeight="1">
      <c r="A116" s="1866"/>
      <c r="B116" s="1905" t="s">
        <v>1563</v>
      </c>
      <c r="C116" s="1600">
        <f>D116+E116</f>
        <v>12.3</v>
      </c>
      <c r="D116" s="1865">
        <v>9.6</v>
      </c>
      <c r="E116" s="1865">
        <v>2.7</v>
      </c>
      <c r="F116" s="1905" t="s">
        <v>1882</v>
      </c>
    </row>
    <row r="117" spans="1:6" ht="56.25">
      <c r="A117" s="1866"/>
      <c r="B117" s="2051" t="s">
        <v>1623</v>
      </c>
      <c r="C117" s="1600">
        <f t="shared" ref="C117:C155" si="11">D117+E117</f>
        <v>28.1</v>
      </c>
      <c r="D117" s="1608">
        <v>26.4</v>
      </c>
      <c r="E117" s="1608">
        <v>1.7</v>
      </c>
      <c r="F117" s="2051" t="s">
        <v>1913</v>
      </c>
    </row>
    <row r="118" spans="1:6" ht="37.5">
      <c r="A118" s="1866"/>
      <c r="B118" s="2051" t="s">
        <v>1660</v>
      </c>
      <c r="C118" s="1600">
        <f t="shared" si="11"/>
        <v>27.7</v>
      </c>
      <c r="D118" s="1608">
        <v>25.9</v>
      </c>
      <c r="E118" s="1608">
        <v>1.8</v>
      </c>
      <c r="F118" s="2051" t="s">
        <v>1882</v>
      </c>
    </row>
    <row r="119" spans="1:6" ht="56.25">
      <c r="A119" s="1866"/>
      <c r="B119" s="1905" t="s">
        <v>1802</v>
      </c>
      <c r="C119" s="1600">
        <f t="shared" si="11"/>
        <v>2.2000000000000002</v>
      </c>
      <c r="D119" s="1865">
        <v>0</v>
      </c>
      <c r="E119" s="1865">
        <v>2.2000000000000002</v>
      </c>
      <c r="F119" s="2051" t="s">
        <v>1882</v>
      </c>
    </row>
    <row r="120" spans="1:6" ht="37.5">
      <c r="A120" s="1866"/>
      <c r="B120" s="2051" t="s">
        <v>1627</v>
      </c>
      <c r="C120" s="1600">
        <f t="shared" si="11"/>
        <v>2.1</v>
      </c>
      <c r="D120" s="1608">
        <v>1.9</v>
      </c>
      <c r="E120" s="1608">
        <v>0.2</v>
      </c>
      <c r="F120" s="2051" t="s">
        <v>1882</v>
      </c>
    </row>
    <row r="121" spans="1:6" ht="56.25">
      <c r="A121" s="1866"/>
      <c r="B121" s="2251" t="s">
        <v>1709</v>
      </c>
      <c r="C121" s="1600">
        <f t="shared" si="11"/>
        <v>1.7</v>
      </c>
      <c r="D121" s="1608">
        <v>0</v>
      </c>
      <c r="E121" s="1608">
        <v>1.7</v>
      </c>
      <c r="F121" s="2074" t="s">
        <v>1916</v>
      </c>
    </row>
    <row r="122" spans="1:6" ht="56.25">
      <c r="A122" s="1866"/>
      <c r="B122" s="1905" t="s">
        <v>1887</v>
      </c>
      <c r="C122" s="1600">
        <f t="shared" si="11"/>
        <v>63.9</v>
      </c>
      <c r="D122" s="1619">
        <v>59.6</v>
      </c>
      <c r="E122" s="1619">
        <v>4.3</v>
      </c>
      <c r="F122" s="1905" t="s">
        <v>1917</v>
      </c>
    </row>
    <row r="123" spans="1:6" ht="56.25">
      <c r="A123" s="1866"/>
      <c r="B123" s="1905" t="s">
        <v>1590</v>
      </c>
      <c r="C123" s="1600">
        <f t="shared" si="11"/>
        <v>0.3</v>
      </c>
      <c r="D123" s="1619">
        <v>0.3</v>
      </c>
      <c r="E123" s="1619">
        <v>0</v>
      </c>
      <c r="F123" s="1905" t="s">
        <v>1917</v>
      </c>
    </row>
    <row r="124" spans="1:6" ht="56.25">
      <c r="A124" s="1866"/>
      <c r="B124" s="2051" t="s">
        <v>1625</v>
      </c>
      <c r="C124" s="1600">
        <f t="shared" si="11"/>
        <v>0.8</v>
      </c>
      <c r="D124" s="1608">
        <v>0.6</v>
      </c>
      <c r="E124" s="1608">
        <v>0.2</v>
      </c>
      <c r="F124" s="2051" t="s">
        <v>1899</v>
      </c>
    </row>
    <row r="125" spans="1:6" ht="56.25">
      <c r="A125" s="1866"/>
      <c r="B125" s="2051" t="s">
        <v>1629</v>
      </c>
      <c r="C125" s="1600">
        <f t="shared" si="11"/>
        <v>8.4</v>
      </c>
      <c r="D125" s="1608">
        <v>4.4000000000000004</v>
      </c>
      <c r="E125" s="1608">
        <v>4</v>
      </c>
      <c r="F125" s="1905" t="s">
        <v>1917</v>
      </c>
    </row>
    <row r="126" spans="1:6" ht="75">
      <c r="A126" s="1866"/>
      <c r="B126" s="1905" t="s">
        <v>1656</v>
      </c>
      <c r="C126" s="1600">
        <f t="shared" si="11"/>
        <v>1</v>
      </c>
      <c r="D126" s="1619">
        <v>0.9</v>
      </c>
      <c r="E126" s="1619">
        <v>0.1</v>
      </c>
      <c r="F126" s="1905" t="s">
        <v>1917</v>
      </c>
    </row>
    <row r="127" spans="1:6" ht="56.25">
      <c r="A127" s="1866"/>
      <c r="B127" s="1905" t="s">
        <v>1583</v>
      </c>
      <c r="C127" s="1600">
        <f t="shared" si="11"/>
        <v>0.4</v>
      </c>
      <c r="D127" s="1619">
        <v>0.4</v>
      </c>
      <c r="E127" s="1619">
        <v>0</v>
      </c>
      <c r="F127" s="1905" t="s">
        <v>1917</v>
      </c>
    </row>
    <row r="128" spans="1:6" ht="56.25">
      <c r="A128" s="1866"/>
      <c r="B128" s="1905" t="s">
        <v>1585</v>
      </c>
      <c r="C128" s="1600">
        <f t="shared" si="11"/>
        <v>4.0999999999999996</v>
      </c>
      <c r="D128" s="1619">
        <v>3.9</v>
      </c>
      <c r="E128" s="1619">
        <v>0.2</v>
      </c>
      <c r="F128" s="1905" t="s">
        <v>1917</v>
      </c>
    </row>
    <row r="129" spans="1:6" ht="56.25">
      <c r="A129" s="1866"/>
      <c r="B129" s="1905" t="s">
        <v>1586</v>
      </c>
      <c r="C129" s="1600">
        <f t="shared" si="11"/>
        <v>0</v>
      </c>
      <c r="D129" s="1619">
        <v>0</v>
      </c>
      <c r="E129" s="1619">
        <v>0</v>
      </c>
      <c r="F129" s="1905" t="s">
        <v>1917</v>
      </c>
    </row>
    <row r="130" spans="1:6" ht="75">
      <c r="A130" s="1866"/>
      <c r="B130" s="2071" t="s">
        <v>1662</v>
      </c>
      <c r="C130" s="1600">
        <f t="shared" si="11"/>
        <v>4.5</v>
      </c>
      <c r="D130" s="1608">
        <v>4.2</v>
      </c>
      <c r="E130" s="1608">
        <v>0.3</v>
      </c>
      <c r="F130" s="1905" t="s">
        <v>1917</v>
      </c>
    </row>
    <row r="131" spans="1:6" ht="56.25">
      <c r="A131" s="1866"/>
      <c r="B131" s="2252" t="s">
        <v>1437</v>
      </c>
      <c r="C131" s="1600">
        <f t="shared" si="11"/>
        <v>96.9</v>
      </c>
      <c r="D131" s="1608">
        <v>80</v>
      </c>
      <c r="E131" s="1608">
        <v>16.899999999999999</v>
      </c>
      <c r="F131" s="2252" t="s">
        <v>1932</v>
      </c>
    </row>
    <row r="132" spans="1:6" ht="56.25">
      <c r="A132" s="1866"/>
      <c r="B132" s="2252" t="s">
        <v>1441</v>
      </c>
      <c r="C132" s="1600">
        <f t="shared" si="11"/>
        <v>0</v>
      </c>
      <c r="D132" s="1619">
        <v>0</v>
      </c>
      <c r="E132" s="1619">
        <v>0</v>
      </c>
      <c r="F132" s="1905" t="s">
        <v>1917</v>
      </c>
    </row>
    <row r="133" spans="1:6" ht="56.25">
      <c r="A133" s="1866"/>
      <c r="B133" s="2252" t="s">
        <v>1442</v>
      </c>
      <c r="C133" s="1600">
        <f t="shared" si="11"/>
        <v>8.3000000000000007</v>
      </c>
      <c r="D133" s="1608">
        <v>7.8</v>
      </c>
      <c r="E133" s="1608">
        <v>0.5</v>
      </c>
      <c r="F133" s="2071" t="s">
        <v>1895</v>
      </c>
    </row>
    <row r="134" spans="1:6" ht="56.25">
      <c r="A134" s="1866"/>
      <c r="B134" s="1916" t="s">
        <v>1587</v>
      </c>
      <c r="C134" s="1600">
        <f t="shared" si="11"/>
        <v>24.1</v>
      </c>
      <c r="D134" s="1608">
        <v>0</v>
      </c>
      <c r="E134" s="1608">
        <v>24.1</v>
      </c>
      <c r="F134" s="1905" t="s">
        <v>1917</v>
      </c>
    </row>
    <row r="135" spans="1:6" ht="37.5">
      <c r="A135" s="1866"/>
      <c r="B135" s="1905" t="s">
        <v>1591</v>
      </c>
      <c r="C135" s="1600">
        <f t="shared" si="11"/>
        <v>0.2</v>
      </c>
      <c r="D135" s="1608">
        <v>0</v>
      </c>
      <c r="E135" s="1608">
        <v>0.2</v>
      </c>
      <c r="F135" s="1905" t="s">
        <v>1882</v>
      </c>
    </row>
    <row r="136" spans="1:6" ht="56.25">
      <c r="A136" s="1866"/>
      <c r="B136" s="1905" t="s">
        <v>1600</v>
      </c>
      <c r="C136" s="1600">
        <f t="shared" si="11"/>
        <v>0</v>
      </c>
      <c r="D136" s="1608">
        <v>0</v>
      </c>
      <c r="E136" s="1608">
        <v>0</v>
      </c>
      <c r="F136" s="2074" t="s">
        <v>1924</v>
      </c>
    </row>
    <row r="137" spans="1:6" ht="78" customHeight="1">
      <c r="A137" s="1866"/>
      <c r="B137" s="2074" t="s">
        <v>776</v>
      </c>
      <c r="C137" s="1600">
        <f t="shared" si="11"/>
        <v>83.2</v>
      </c>
      <c r="D137" s="1614">
        <v>77</v>
      </c>
      <c r="E137" s="1614">
        <v>6.2</v>
      </c>
      <c r="F137" s="1905" t="s">
        <v>1917</v>
      </c>
    </row>
    <row r="138" spans="1:6" ht="75.75" customHeight="1">
      <c r="A138" s="1866"/>
      <c r="B138" s="2072" t="s">
        <v>1676</v>
      </c>
      <c r="C138" s="1600">
        <f t="shared" si="11"/>
        <v>99.5</v>
      </c>
      <c r="D138" s="1614">
        <v>93.5</v>
      </c>
      <c r="E138" s="1614">
        <f>6</f>
        <v>6</v>
      </c>
      <c r="F138" s="2072" t="s">
        <v>1925</v>
      </c>
    </row>
    <row r="139" spans="1:6" ht="56.25">
      <c r="A139" s="1866"/>
      <c r="B139" s="2249" t="s">
        <v>1596</v>
      </c>
      <c r="C139" s="1600">
        <f t="shared" si="11"/>
        <v>116.4</v>
      </c>
      <c r="D139" s="1614">
        <v>109.4</v>
      </c>
      <c r="E139" s="1614">
        <f>7</f>
        <v>7</v>
      </c>
      <c r="F139" s="2072" t="s">
        <v>1925</v>
      </c>
    </row>
    <row r="140" spans="1:6" ht="56.25">
      <c r="A140" s="1866"/>
      <c r="B140" s="2075" t="s">
        <v>763</v>
      </c>
      <c r="C140" s="1600">
        <f t="shared" si="11"/>
        <v>108.6</v>
      </c>
      <c r="D140" s="1608">
        <v>102.1</v>
      </c>
      <c r="E140" s="1608">
        <v>6.5</v>
      </c>
      <c r="F140" s="1905" t="s">
        <v>1917</v>
      </c>
    </row>
    <row r="141" spans="1:6" ht="56.25">
      <c r="A141" s="1866"/>
      <c r="B141" s="2075" t="s">
        <v>765</v>
      </c>
      <c r="C141" s="1600">
        <f t="shared" si="11"/>
        <v>16.3</v>
      </c>
      <c r="D141" s="1608">
        <v>15.1</v>
      </c>
      <c r="E141" s="1608">
        <v>1.2</v>
      </c>
      <c r="F141" s="1905" t="s">
        <v>1917</v>
      </c>
    </row>
    <row r="142" spans="1:6" ht="56.25">
      <c r="A142" s="1866"/>
      <c r="B142" s="2075" t="s">
        <v>766</v>
      </c>
      <c r="C142" s="1600">
        <f t="shared" si="11"/>
        <v>10.4</v>
      </c>
      <c r="D142" s="1608">
        <v>9.4</v>
      </c>
      <c r="E142" s="1608">
        <f>0.7+0.3</f>
        <v>1</v>
      </c>
      <c r="F142" s="1905" t="s">
        <v>1917</v>
      </c>
    </row>
    <row r="143" spans="1:6" ht="37.5">
      <c r="A143" s="1866"/>
      <c r="B143" s="2076" t="s">
        <v>1889</v>
      </c>
      <c r="C143" s="1600">
        <f t="shared" si="11"/>
        <v>421.9</v>
      </c>
      <c r="D143" s="1608">
        <v>396.6</v>
      </c>
      <c r="E143" s="1608">
        <v>25.3</v>
      </c>
      <c r="F143" s="2076" t="s">
        <v>1882</v>
      </c>
    </row>
    <row r="144" spans="1:6" ht="37.5">
      <c r="A144" s="1866"/>
      <c r="B144" s="2073" t="s">
        <v>695</v>
      </c>
      <c r="C144" s="1600">
        <f t="shared" si="11"/>
        <v>187.1</v>
      </c>
      <c r="D144" s="1614">
        <v>175.9</v>
      </c>
      <c r="E144" s="1614">
        <v>11.2</v>
      </c>
      <c r="F144" s="2073" t="s">
        <v>1882</v>
      </c>
    </row>
    <row r="145" spans="1:6" ht="56.25">
      <c r="A145" s="1866"/>
      <c r="B145" s="2073" t="s">
        <v>698</v>
      </c>
      <c r="C145" s="1600">
        <f t="shared" si="11"/>
        <v>143.19999999999999</v>
      </c>
      <c r="D145" s="1614">
        <v>134.6</v>
      </c>
      <c r="E145" s="1614">
        <f>8.6</f>
        <v>8.6</v>
      </c>
      <c r="F145" s="1905" t="s">
        <v>1918</v>
      </c>
    </row>
    <row r="146" spans="1:6" ht="56.25">
      <c r="A146" s="1866"/>
      <c r="B146" s="2073" t="s">
        <v>697</v>
      </c>
      <c r="C146" s="1600">
        <f t="shared" si="11"/>
        <v>104.6</v>
      </c>
      <c r="D146" s="1614">
        <v>98.3</v>
      </c>
      <c r="E146" s="1614">
        <v>6.3</v>
      </c>
      <c r="F146" s="1905" t="s">
        <v>1917</v>
      </c>
    </row>
    <row r="147" spans="1:6" ht="75">
      <c r="A147" s="1866"/>
      <c r="B147" s="2073" t="s">
        <v>942</v>
      </c>
      <c r="C147" s="1600">
        <f t="shared" si="11"/>
        <v>196.9</v>
      </c>
      <c r="D147" s="1614">
        <v>185</v>
      </c>
      <c r="E147" s="1614">
        <v>11.9</v>
      </c>
      <c r="F147" s="1905" t="s">
        <v>1917</v>
      </c>
    </row>
    <row r="148" spans="1:6" ht="75">
      <c r="A148" s="1866"/>
      <c r="B148" s="2073" t="s">
        <v>1635</v>
      </c>
      <c r="C148" s="1600">
        <f t="shared" si="11"/>
        <v>0</v>
      </c>
      <c r="D148" s="1614">
        <v>0</v>
      </c>
      <c r="E148" s="1614">
        <v>0</v>
      </c>
      <c r="F148" s="2073" t="s">
        <v>1926</v>
      </c>
    </row>
    <row r="149" spans="1:6" ht="56.25">
      <c r="A149" s="1866"/>
      <c r="B149" s="1932" t="s">
        <v>1497</v>
      </c>
      <c r="C149" s="1600">
        <f t="shared" si="11"/>
        <v>9.1</v>
      </c>
      <c r="D149" s="1629">
        <v>8.6</v>
      </c>
      <c r="E149" s="1629">
        <v>0.5</v>
      </c>
      <c r="F149" s="1932" t="s">
        <v>1882</v>
      </c>
    </row>
    <row r="150" spans="1:6" ht="56.25">
      <c r="A150" s="1866"/>
      <c r="B150" s="1932" t="s">
        <v>1498</v>
      </c>
      <c r="C150" s="1600">
        <f t="shared" si="11"/>
        <v>12.1</v>
      </c>
      <c r="D150" s="1629">
        <v>11.4</v>
      </c>
      <c r="E150" s="1629">
        <v>0.7</v>
      </c>
      <c r="F150" s="1932" t="s">
        <v>1882</v>
      </c>
    </row>
    <row r="151" spans="1:6" ht="56.25">
      <c r="A151" s="1866"/>
      <c r="B151" s="1932" t="s">
        <v>1499</v>
      </c>
      <c r="C151" s="1600">
        <f t="shared" si="11"/>
        <v>20.399999999999999</v>
      </c>
      <c r="D151" s="1629">
        <v>19.2</v>
      </c>
      <c r="E151" s="1629">
        <v>1.2</v>
      </c>
      <c r="F151" s="1905" t="s">
        <v>1917</v>
      </c>
    </row>
    <row r="152" spans="1:6" ht="57.6" customHeight="1">
      <c r="A152" s="1866"/>
      <c r="B152" s="1932" t="s">
        <v>1500</v>
      </c>
      <c r="C152" s="1600">
        <f t="shared" si="11"/>
        <v>17.399999999999999</v>
      </c>
      <c r="D152" s="1629">
        <v>16.399999999999999</v>
      </c>
      <c r="E152" s="1629">
        <v>1</v>
      </c>
      <c r="F152" s="1905" t="s">
        <v>1917</v>
      </c>
    </row>
    <row r="153" spans="1:6" ht="56.25">
      <c r="A153" s="1866"/>
      <c r="B153" s="1932" t="s">
        <v>1501</v>
      </c>
      <c r="C153" s="1600">
        <f t="shared" si="11"/>
        <v>17.3</v>
      </c>
      <c r="D153" s="1629">
        <v>16.3</v>
      </c>
      <c r="E153" s="1629">
        <v>1</v>
      </c>
      <c r="F153" s="1905" t="s">
        <v>1917</v>
      </c>
    </row>
    <row r="154" spans="1:6" ht="56.25">
      <c r="A154" s="1866"/>
      <c r="B154" s="1932" t="s">
        <v>1502</v>
      </c>
      <c r="C154" s="1600">
        <f t="shared" si="11"/>
        <v>93.5</v>
      </c>
      <c r="D154" s="1629">
        <v>87.9</v>
      </c>
      <c r="E154" s="1629">
        <v>5.6</v>
      </c>
      <c r="F154" s="1932" t="s">
        <v>1930</v>
      </c>
    </row>
    <row r="155" spans="1:6" ht="48.6" customHeight="1">
      <c r="A155" s="1866"/>
      <c r="B155" s="1932" t="s">
        <v>1503</v>
      </c>
      <c r="C155" s="1600">
        <f t="shared" si="11"/>
        <v>250.5</v>
      </c>
      <c r="D155" s="1629">
        <f>235.3+0.2</f>
        <v>235.5</v>
      </c>
      <c r="E155" s="1629">
        <v>15</v>
      </c>
      <c r="F155" s="1905" t="s">
        <v>1917</v>
      </c>
    </row>
    <row r="156" spans="1:6" ht="19.5">
      <c r="A156" s="2583" t="s">
        <v>1934</v>
      </c>
      <c r="B156" s="2584"/>
      <c r="C156" s="2584"/>
      <c r="D156" s="2584"/>
      <c r="E156" s="2584"/>
      <c r="F156" s="2584"/>
    </row>
  </sheetData>
  <autoFilter ref="A10:F109"/>
  <mergeCells count="13">
    <mergeCell ref="A156:F156"/>
    <mergeCell ref="B111:F111"/>
    <mergeCell ref="A112:A113"/>
    <mergeCell ref="B112:B113"/>
    <mergeCell ref="C112:E112"/>
    <mergeCell ref="F112:F113"/>
    <mergeCell ref="C8:E8"/>
    <mergeCell ref="F8:F9"/>
    <mergeCell ref="A8:A9"/>
    <mergeCell ref="B8:B9"/>
    <mergeCell ref="A1:B1"/>
    <mergeCell ref="C3:E3"/>
    <mergeCell ref="A6:F6"/>
  </mergeCells>
  <pageMargins left="0.47244094488188981" right="0.11811023622047245" top="0.55118110236220474" bottom="0.35433070866141736" header="0.31496062992125984" footer="0.15748031496062992"/>
  <pageSetup paperSize="9" scale="47" fitToHeight="17" orientation="portrait" r:id="rId1"/>
  <headerFooter>
    <oddFooter>&amp;C&amp;P</oddFooter>
  </headerFooter>
  <rowBreaks count="1" manualBreakCount="1">
    <brk id="112" max="7" man="1"/>
  </rowBreaks>
</worksheet>
</file>

<file path=xl/worksheets/sheet44.xml><?xml version="1.0" encoding="utf-8"?>
<worksheet xmlns="http://schemas.openxmlformats.org/spreadsheetml/2006/main" xmlns:r="http://schemas.openxmlformats.org/officeDocument/2006/relationships">
  <sheetPr>
    <tabColor rgb="FFFFFF00"/>
    <pageSetUpPr fitToPage="1"/>
  </sheetPr>
  <dimension ref="A1:AA168"/>
  <sheetViews>
    <sheetView topLeftCell="A5" zoomScale="80" zoomScaleNormal="80" zoomScaleSheetLayoutView="70" workbookViewId="0">
      <selection activeCell="A7" sqref="A7:W7"/>
    </sheetView>
  </sheetViews>
  <sheetFormatPr defaultColWidth="9.140625" defaultRowHeight="18.75"/>
  <cols>
    <col min="1" max="1" width="12.42578125" style="1942" customWidth="1"/>
    <col min="2" max="2" width="82.5703125" style="712" customWidth="1"/>
    <col min="3" max="3" width="13.42578125" style="1834" hidden="1" customWidth="1"/>
    <col min="4" max="4" width="17.42578125" style="1570" customWidth="1"/>
    <col min="5" max="5" width="17.140625" style="712" customWidth="1"/>
    <col min="6" max="6" width="14.85546875" style="712" customWidth="1"/>
    <col min="7" max="7" width="16.85546875" style="1570" customWidth="1"/>
    <col min="8" max="8" width="16.85546875" style="712" customWidth="1"/>
    <col min="9" max="9" width="14.85546875" style="712" customWidth="1"/>
    <col min="10" max="10" width="18.5703125" style="1569" customWidth="1"/>
    <col min="11" max="11" width="16.42578125" style="712" customWidth="1"/>
    <col min="12" max="12" width="14.85546875" style="712" customWidth="1"/>
    <col min="13" max="13" width="10.5703125" style="1570" customWidth="1"/>
    <col min="14" max="15" width="10.57031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9.5703125" style="712" hidden="1" customWidth="1"/>
    <col min="25" max="26" width="23.5703125" style="712" customWidth="1"/>
    <col min="27" max="27" width="14.5703125" style="712" bestFit="1" customWidth="1"/>
    <col min="28" max="28" width="12.5703125" style="712" bestFit="1" customWidth="1"/>
    <col min="29" max="29" width="14.5703125" style="712" bestFit="1" customWidth="1"/>
    <col min="30" max="30" width="21.140625" style="712" bestFit="1" customWidth="1"/>
    <col min="31" max="31" width="14.5703125" style="712" bestFit="1" customWidth="1"/>
    <col min="32" max="32" width="12.85546875" style="712" bestFit="1" customWidth="1"/>
    <col min="33" max="16384" width="9.140625" style="712"/>
  </cols>
  <sheetData>
    <row r="1" spans="1:27" ht="20.25" hidden="1" customHeight="1">
      <c r="A1" s="2537"/>
      <c r="B1" s="2537"/>
      <c r="D1" s="1563"/>
      <c r="E1" s="1563"/>
      <c r="F1" s="1563"/>
      <c r="G1" s="1563"/>
      <c r="H1" s="1563"/>
      <c r="I1" s="1563"/>
      <c r="J1" s="1563"/>
      <c r="L1" s="2384"/>
      <c r="M1" s="2384"/>
      <c r="N1" s="2384"/>
      <c r="O1" s="2384"/>
    </row>
    <row r="2" spans="1:27" ht="18.75" hidden="1" customHeight="1">
      <c r="B2" s="2168"/>
      <c r="D2" s="1569"/>
      <c r="E2" s="2168"/>
      <c r="F2" s="2168"/>
      <c r="M2" s="1569"/>
    </row>
    <row r="3" spans="1:27" s="1575" customFormat="1" ht="18.75" hidden="1" customHeight="1">
      <c r="A3" s="1943"/>
      <c r="B3" s="1572"/>
      <c r="C3" s="1835"/>
      <c r="D3" s="1573"/>
      <c r="E3" s="1574"/>
      <c r="F3" s="1574"/>
      <c r="G3" s="1573"/>
      <c r="H3" s="1574"/>
      <c r="I3" s="1574"/>
      <c r="J3" s="2538"/>
      <c r="K3" s="2538"/>
      <c r="L3" s="2538"/>
      <c r="M3" s="2538"/>
      <c r="N3" s="1572"/>
      <c r="O3" s="2157"/>
      <c r="P3" s="1577"/>
      <c r="Q3" s="1577"/>
      <c r="R3" s="1577"/>
      <c r="S3" s="1577"/>
      <c r="T3" s="1577"/>
      <c r="U3" s="1577"/>
      <c r="V3" s="1577"/>
      <c r="W3" s="1577"/>
    </row>
    <row r="4" spans="1:27" s="1575" customFormat="1" ht="43.5" hidden="1" customHeight="1">
      <c r="A4" s="1943"/>
      <c r="B4" s="1572"/>
      <c r="C4" s="1835"/>
      <c r="D4" s="1581"/>
      <c r="E4" s="1574"/>
      <c r="F4" s="1574"/>
      <c r="G4" s="1581"/>
      <c r="H4" s="1582"/>
      <c r="I4" s="1582"/>
      <c r="J4" s="1583"/>
      <c r="K4" s="1582"/>
      <c r="L4" s="1582"/>
      <c r="M4" s="2158"/>
      <c r="N4" s="1572"/>
      <c r="O4" s="2157"/>
      <c r="P4" s="1577"/>
      <c r="Q4" s="1577"/>
      <c r="R4" s="1577"/>
      <c r="S4" s="1577"/>
      <c r="T4" s="1577"/>
      <c r="U4" s="1577"/>
      <c r="V4" s="1577"/>
      <c r="W4" s="1577"/>
    </row>
    <row r="5" spans="1:27"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27" s="1575" customFormat="1" ht="33" customHeight="1">
      <c r="A6" s="2361" t="s">
        <v>1842</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27" s="1575" customFormat="1" ht="27">
      <c r="A7" s="2361" t="s">
        <v>1820</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27" s="1575" customFormat="1">
      <c r="A8" s="1943"/>
      <c r="B8" s="1571"/>
      <c r="C8" s="1835"/>
      <c r="D8" s="1587"/>
      <c r="E8" s="1660"/>
      <c r="F8" s="1661"/>
      <c r="H8" s="1661"/>
      <c r="I8" s="1589"/>
      <c r="J8" s="1587"/>
      <c r="K8" s="1587"/>
      <c r="L8" s="1587"/>
      <c r="M8" s="2159"/>
      <c r="N8" s="2590" t="s">
        <v>377</v>
      </c>
      <c r="O8" s="2590"/>
      <c r="P8" s="1577"/>
      <c r="Q8" s="1863"/>
      <c r="R8" s="1591"/>
      <c r="S8" s="1591"/>
      <c r="T8" s="1591"/>
      <c r="U8" s="1661"/>
      <c r="V8" s="1661"/>
      <c r="W8" s="1661" t="s">
        <v>1314</v>
      </c>
    </row>
    <row r="9" spans="1:27" ht="42.75" customHeight="1">
      <c r="A9" s="2563" t="s">
        <v>18</v>
      </c>
      <c r="B9" s="2380" t="s">
        <v>0</v>
      </c>
      <c r="C9" s="2564" t="s">
        <v>1535</v>
      </c>
      <c r="D9" s="2573" t="s">
        <v>1813</v>
      </c>
      <c r="E9" s="2542" t="s">
        <v>257</v>
      </c>
      <c r="F9" s="2542"/>
      <c r="G9" s="2374" t="s">
        <v>442</v>
      </c>
      <c r="H9" s="2542" t="s">
        <v>257</v>
      </c>
      <c r="I9" s="2542"/>
      <c r="J9" s="2374" t="s">
        <v>1835</v>
      </c>
      <c r="K9" s="2542" t="s">
        <v>257</v>
      </c>
      <c r="L9" s="2542"/>
      <c r="M9" s="2588" t="s">
        <v>1313</v>
      </c>
      <c r="N9" s="2589" t="s">
        <v>257</v>
      </c>
      <c r="O9" s="2589"/>
      <c r="P9" s="2550" t="s">
        <v>1110</v>
      </c>
      <c r="Q9" s="2550" t="s">
        <v>1106</v>
      </c>
      <c r="R9" s="2374" t="s">
        <v>1643</v>
      </c>
      <c r="S9" s="2542" t="s">
        <v>257</v>
      </c>
      <c r="T9" s="2542"/>
      <c r="U9" s="2374" t="s">
        <v>1644</v>
      </c>
      <c r="V9" s="2542" t="s">
        <v>257</v>
      </c>
      <c r="W9" s="2542"/>
    </row>
    <row r="10" spans="1:27" ht="210.75" customHeight="1">
      <c r="A10" s="2563"/>
      <c r="B10" s="2380"/>
      <c r="C10" s="2564"/>
      <c r="D10" s="2575"/>
      <c r="E10" s="709" t="s">
        <v>1844</v>
      </c>
      <c r="F10" s="709" t="s">
        <v>258</v>
      </c>
      <c r="G10" s="2374"/>
      <c r="H10" s="709" t="s">
        <v>1844</v>
      </c>
      <c r="I10" s="709" t="s">
        <v>258</v>
      </c>
      <c r="J10" s="2374"/>
      <c r="K10" s="709" t="s">
        <v>1844</v>
      </c>
      <c r="L10" s="709" t="s">
        <v>258</v>
      </c>
      <c r="M10" s="2588"/>
      <c r="N10" s="2160" t="s">
        <v>1816</v>
      </c>
      <c r="O10" s="2160" t="s">
        <v>258</v>
      </c>
      <c r="P10" s="2550"/>
      <c r="Q10" s="2550"/>
      <c r="R10" s="2374"/>
      <c r="S10" s="709" t="s">
        <v>1074</v>
      </c>
      <c r="T10" s="709" t="s">
        <v>258</v>
      </c>
      <c r="U10" s="2374"/>
      <c r="V10" s="709" t="s">
        <v>1074</v>
      </c>
      <c r="W10" s="709" t="s">
        <v>258</v>
      </c>
    </row>
    <row r="11" spans="1:27">
      <c r="A11" s="2170">
        <v>1</v>
      </c>
      <c r="B11" s="507">
        <v>2</v>
      </c>
      <c r="C11" s="2170"/>
      <c r="D11" s="507">
        <v>3</v>
      </c>
      <c r="E11" s="507">
        <v>4</v>
      </c>
      <c r="F11" s="507">
        <v>5</v>
      </c>
      <c r="G11" s="1868">
        <v>7</v>
      </c>
      <c r="H11" s="1868">
        <v>8</v>
      </c>
      <c r="I11" s="1868">
        <v>9</v>
      </c>
      <c r="J11" s="1868">
        <v>10</v>
      </c>
      <c r="K11" s="1868">
        <v>11</v>
      </c>
      <c r="L11" s="1868">
        <v>12</v>
      </c>
      <c r="M11" s="1868">
        <v>13</v>
      </c>
      <c r="N11" s="1868">
        <v>14</v>
      </c>
      <c r="O11" s="1868">
        <v>15</v>
      </c>
      <c r="P11" s="2169">
        <v>10</v>
      </c>
      <c r="Q11" s="2169">
        <v>11</v>
      </c>
      <c r="R11" s="2169">
        <v>9</v>
      </c>
      <c r="S11" s="2169">
        <v>10</v>
      </c>
      <c r="T11" s="2169">
        <v>11</v>
      </c>
      <c r="U11" s="2169">
        <v>12</v>
      </c>
      <c r="V11" s="2169">
        <v>13</v>
      </c>
      <c r="W11" s="2169">
        <v>14</v>
      </c>
    </row>
    <row r="12" spans="1:27" s="791" customFormat="1" ht="40.5" customHeight="1">
      <c r="A12" s="2586" t="s">
        <v>1827</v>
      </c>
      <c r="B12" s="2587"/>
      <c r="C12" s="2156"/>
      <c r="D12" s="722">
        <f>SUM(E12:F12)</f>
        <v>4517504.7</v>
      </c>
      <c r="E12" s="722">
        <f>SUM(E13:E17)</f>
        <v>4087743.6</v>
      </c>
      <c r="F12" s="722">
        <f>SUM(F13:F17)</f>
        <v>429761.1</v>
      </c>
      <c r="G12" s="722">
        <f>SUM(H12:I12)</f>
        <v>4287914.2</v>
      </c>
      <c r="H12" s="722">
        <f>SUM(H13:H17)</f>
        <v>3940880.1</v>
      </c>
      <c r="I12" s="722">
        <f>SUM(I13:I17)</f>
        <v>347034.1</v>
      </c>
      <c r="J12" s="722">
        <f>SUM(K12:L12)</f>
        <v>2195390.9</v>
      </c>
      <c r="K12" s="722">
        <f>SUM(K13:K17)</f>
        <v>2018103.8</v>
      </c>
      <c r="L12" s="722">
        <f>SUM(L13:L17)</f>
        <v>177287.1</v>
      </c>
      <c r="M12" s="723">
        <f>IF(J12=0,0,J12/G12*100)</f>
        <v>51.2</v>
      </c>
      <c r="N12" s="723">
        <f>IF(K12=0,0,K12/H12*100)</f>
        <v>51.2</v>
      </c>
      <c r="O12" s="723">
        <f>IF(L12=0,0,L12/I12*100)</f>
        <v>51.1</v>
      </c>
      <c r="P12" s="643" t="s">
        <v>353</v>
      </c>
      <c r="Q12" s="643"/>
      <c r="R12" s="1594" t="e">
        <f t="shared" ref="R12:R18" si="0">SUM(S12:T12)</f>
        <v>#REF!</v>
      </c>
      <c r="S12" s="1594" t="e">
        <f>SUM(#REF!,S160,#REF!)</f>
        <v>#REF!</v>
      </c>
      <c r="T12" s="1594" t="e">
        <f>SUM(#REF!,T160,#REF!)</f>
        <v>#REF!</v>
      </c>
      <c r="U12" s="1594" t="e">
        <f t="shared" ref="U12:U18" si="1">SUM(V12:W12)</f>
        <v>#REF!</v>
      </c>
      <c r="V12" s="1594" t="e">
        <f>SUM(#REF!,V160,#REF!)</f>
        <v>#REF!</v>
      </c>
      <c r="W12" s="1594" t="e">
        <f>SUM(#REF!,W160,#REF!)</f>
        <v>#REF!</v>
      </c>
      <c r="X12" s="1423">
        <f>D12-G12</f>
        <v>229590.5</v>
      </c>
      <c r="Y12" s="1423"/>
      <c r="Z12" s="1423"/>
      <c r="AA12" s="1423"/>
    </row>
    <row r="13" spans="1:27" s="484" customFormat="1" ht="23.25">
      <c r="A13" s="2170"/>
      <c r="B13" s="2001" t="s">
        <v>1831</v>
      </c>
      <c r="C13" s="1877"/>
      <c r="D13" s="1598">
        <f t="shared" ref="D13:L13" si="2">D19+D57</f>
        <v>2726142.7</v>
      </c>
      <c r="E13" s="1598">
        <f t="shared" si="2"/>
        <v>2562100</v>
      </c>
      <c r="F13" s="1598">
        <f t="shared" si="2"/>
        <v>164042.70000000001</v>
      </c>
      <c r="G13" s="1598">
        <f t="shared" si="2"/>
        <v>2725339.7</v>
      </c>
      <c r="H13" s="1598">
        <f t="shared" si="2"/>
        <v>2561345.2000000002</v>
      </c>
      <c r="I13" s="1598">
        <f t="shared" si="2"/>
        <v>163994.5</v>
      </c>
      <c r="J13" s="1598">
        <f t="shared" si="2"/>
        <v>1260175.1000000001</v>
      </c>
      <c r="K13" s="1598">
        <f t="shared" si="2"/>
        <v>1184436.3999999999</v>
      </c>
      <c r="L13" s="1598">
        <f t="shared" si="2"/>
        <v>75738.7</v>
      </c>
      <c r="M13" s="1908">
        <f t="shared" ref="M13:M76" si="3">IF(J13=0,0,J13/G13*100)</f>
        <v>46.2</v>
      </c>
      <c r="N13" s="1908">
        <f t="shared" ref="N13:N76" si="4">IF(K13=0,0,K13/H13*100)</f>
        <v>46.2</v>
      </c>
      <c r="O13" s="1908">
        <f t="shared" ref="O13:O76" si="5">IF(L13=0,0,L13/I13*100)</f>
        <v>46.2</v>
      </c>
      <c r="P13" s="2173"/>
      <c r="Q13" s="2173"/>
      <c r="R13" s="1598"/>
      <c r="S13" s="1903"/>
      <c r="T13" s="1903"/>
      <c r="U13" s="1598"/>
      <c r="V13" s="1903"/>
      <c r="W13" s="1903"/>
      <c r="X13" s="1423">
        <f t="shared" ref="X13" si="6">D13-G13</f>
        <v>803</v>
      </c>
      <c r="Y13" s="1423"/>
      <c r="Z13" s="1423"/>
    </row>
    <row r="14" spans="1:27" s="484" customFormat="1" ht="23.25">
      <c r="A14" s="2170"/>
      <c r="B14" s="2001" t="s">
        <v>1798</v>
      </c>
      <c r="C14" s="1877"/>
      <c r="D14" s="1598">
        <f t="shared" ref="D14:L14" si="7">D20+D58</f>
        <v>556398.1</v>
      </c>
      <c r="E14" s="1598">
        <f t="shared" si="7"/>
        <v>523000</v>
      </c>
      <c r="F14" s="1598">
        <f t="shared" si="7"/>
        <v>33398.1</v>
      </c>
      <c r="G14" s="1598">
        <f t="shared" si="7"/>
        <v>556398.1</v>
      </c>
      <c r="H14" s="1598">
        <f t="shared" si="7"/>
        <v>523000</v>
      </c>
      <c r="I14" s="1598">
        <f t="shared" si="7"/>
        <v>33398.1</v>
      </c>
      <c r="J14" s="1598">
        <f t="shared" si="7"/>
        <v>279514</v>
      </c>
      <c r="K14" s="1598">
        <f t="shared" si="7"/>
        <v>262740.3</v>
      </c>
      <c r="L14" s="1598">
        <f t="shared" si="7"/>
        <v>16773.7</v>
      </c>
      <c r="M14" s="1908">
        <f t="shared" si="3"/>
        <v>50.2</v>
      </c>
      <c r="N14" s="1908">
        <f t="shared" si="4"/>
        <v>50.2</v>
      </c>
      <c r="O14" s="1908">
        <f t="shared" si="5"/>
        <v>50.2</v>
      </c>
      <c r="P14" s="2173"/>
      <c r="Q14" s="2173"/>
      <c r="R14" s="1598"/>
      <c r="S14" s="1903"/>
      <c r="T14" s="1903"/>
      <c r="U14" s="1598"/>
      <c r="V14" s="1903"/>
      <c r="W14" s="1903"/>
      <c r="X14" s="1423"/>
      <c r="Y14" s="1423"/>
      <c r="Z14" s="1423"/>
    </row>
    <row r="15" spans="1:27" s="484" customFormat="1" ht="23.25">
      <c r="A15" s="2170"/>
      <c r="B15" s="2001" t="s">
        <v>1770</v>
      </c>
      <c r="C15" s="1877"/>
      <c r="D15" s="1598">
        <f t="shared" ref="D15:L15" si="8">D21+D59</f>
        <v>317820.2</v>
      </c>
      <c r="E15" s="1598">
        <f t="shared" si="8"/>
        <v>298387.40000000002</v>
      </c>
      <c r="F15" s="1598">
        <f t="shared" si="8"/>
        <v>19432.8</v>
      </c>
      <c r="G15" s="1598">
        <f t="shared" si="8"/>
        <v>317820.2</v>
      </c>
      <c r="H15" s="1598">
        <f t="shared" si="8"/>
        <v>298387.40000000002</v>
      </c>
      <c r="I15" s="1598">
        <f t="shared" si="8"/>
        <v>19432.8</v>
      </c>
      <c r="J15" s="1598">
        <f t="shared" si="8"/>
        <v>187019</v>
      </c>
      <c r="K15" s="1598">
        <f t="shared" si="8"/>
        <v>175594.1</v>
      </c>
      <c r="L15" s="1598">
        <f t="shared" si="8"/>
        <v>11424.9</v>
      </c>
      <c r="M15" s="1908">
        <f t="shared" si="3"/>
        <v>58.8</v>
      </c>
      <c r="N15" s="1908">
        <f t="shared" si="4"/>
        <v>58.8</v>
      </c>
      <c r="O15" s="1908">
        <f t="shared" si="5"/>
        <v>58.8</v>
      </c>
      <c r="P15" s="2173"/>
      <c r="Q15" s="2173"/>
      <c r="R15" s="1598"/>
      <c r="S15" s="1903"/>
      <c r="T15" s="1903"/>
      <c r="U15" s="1598"/>
      <c r="V15" s="1903"/>
      <c r="W15" s="1903"/>
      <c r="X15" s="1423"/>
      <c r="Y15" s="1423"/>
      <c r="Z15" s="1423"/>
    </row>
    <row r="16" spans="1:27" s="484" customFormat="1" ht="23.25">
      <c r="A16" s="2170"/>
      <c r="B16" s="2001" t="s">
        <v>1832</v>
      </c>
      <c r="C16" s="1877"/>
      <c r="D16" s="1598">
        <f t="shared" ref="D16:L16" si="9">D22+D60</f>
        <v>94575.8</v>
      </c>
      <c r="E16" s="1598">
        <f t="shared" si="9"/>
        <v>0</v>
      </c>
      <c r="F16" s="1598">
        <f t="shared" si="9"/>
        <v>94575.8</v>
      </c>
      <c r="G16" s="1598">
        <f t="shared" si="9"/>
        <v>94575.8</v>
      </c>
      <c r="H16" s="1598">
        <f t="shared" si="9"/>
        <v>0</v>
      </c>
      <c r="I16" s="1598">
        <f t="shared" si="9"/>
        <v>94575.8</v>
      </c>
      <c r="J16" s="1598">
        <f t="shared" si="9"/>
        <v>48112.5</v>
      </c>
      <c r="K16" s="1598">
        <f t="shared" si="9"/>
        <v>0</v>
      </c>
      <c r="L16" s="1598">
        <f t="shared" si="9"/>
        <v>48112.5</v>
      </c>
      <c r="M16" s="1908">
        <f t="shared" si="3"/>
        <v>50.9</v>
      </c>
      <c r="N16" s="1908">
        <f t="shared" si="4"/>
        <v>0</v>
      </c>
      <c r="O16" s="1908">
        <f t="shared" si="5"/>
        <v>50.9</v>
      </c>
      <c r="P16" s="2173"/>
      <c r="Q16" s="2173"/>
      <c r="R16" s="1598"/>
      <c r="S16" s="1903"/>
      <c r="T16" s="1903"/>
      <c r="U16" s="1598"/>
      <c r="V16" s="1903"/>
      <c r="W16" s="1903"/>
      <c r="X16" s="1423">
        <f t="shared" ref="X16" si="10">D16-G16</f>
        <v>0</v>
      </c>
      <c r="Y16" s="1423"/>
      <c r="Z16" s="1423"/>
    </row>
    <row r="17" spans="1:26" s="484" customFormat="1" ht="23.25">
      <c r="A17" s="2170"/>
      <c r="B17" s="2001" t="s">
        <v>1830</v>
      </c>
      <c r="C17" s="1877"/>
      <c r="D17" s="1598">
        <f>SUM(E17:F17)</f>
        <v>822567.9</v>
      </c>
      <c r="E17" s="1598">
        <f>E160</f>
        <v>704256.2</v>
      </c>
      <c r="F17" s="1598">
        <f>F160</f>
        <v>118311.7</v>
      </c>
      <c r="G17" s="1598">
        <f>SUM(H17:I17)</f>
        <v>593780.4</v>
      </c>
      <c r="H17" s="1598">
        <f>H160</f>
        <v>558147.5</v>
      </c>
      <c r="I17" s="1598">
        <f>I160</f>
        <v>35632.9</v>
      </c>
      <c r="J17" s="1598">
        <f>SUM(K17:L17)</f>
        <v>420570.3</v>
      </c>
      <c r="K17" s="1598">
        <f>K160</f>
        <v>395333</v>
      </c>
      <c r="L17" s="1598">
        <f>L160</f>
        <v>25237.3</v>
      </c>
      <c r="M17" s="1908">
        <f t="shared" si="3"/>
        <v>70.8</v>
      </c>
      <c r="N17" s="1908">
        <f t="shared" si="4"/>
        <v>70.8</v>
      </c>
      <c r="O17" s="1908">
        <f t="shared" si="5"/>
        <v>70.8</v>
      </c>
      <c r="P17" s="2173"/>
      <c r="Q17" s="2173"/>
      <c r="R17" s="1598"/>
      <c r="S17" s="1903"/>
      <c r="T17" s="1903"/>
      <c r="U17" s="1598"/>
      <c r="V17" s="1903"/>
      <c r="W17" s="1903"/>
      <c r="X17" s="1423"/>
      <c r="Y17" s="1423"/>
      <c r="Z17" s="1423"/>
    </row>
    <row r="18" spans="1:26" ht="42.75" customHeight="1">
      <c r="A18" s="2149" t="s">
        <v>6</v>
      </c>
      <c r="B18" s="2150" t="s">
        <v>1829</v>
      </c>
      <c r="C18" s="2151"/>
      <c r="D18" s="2152">
        <f>SUM(E18:F18)</f>
        <v>177560.4</v>
      </c>
      <c r="E18" s="2152">
        <f>SUM(E19:E22)</f>
        <v>156541.79999999999</v>
      </c>
      <c r="F18" s="2152">
        <f>SUM(F19:F22)</f>
        <v>21018.6</v>
      </c>
      <c r="G18" s="2152">
        <f>SUM(H18:I18)</f>
        <v>176757.4</v>
      </c>
      <c r="H18" s="2152">
        <f>SUM(H19:H22)</f>
        <v>155787</v>
      </c>
      <c r="I18" s="2152">
        <f>SUM(I19:I22)</f>
        <v>20970.400000000001</v>
      </c>
      <c r="J18" s="2152">
        <f>SUM(K18:L18)</f>
        <v>81611</v>
      </c>
      <c r="K18" s="2152">
        <f>SUM(K19:K22)</f>
        <v>68742.100000000006</v>
      </c>
      <c r="L18" s="2152">
        <f>SUM(L19:L22)</f>
        <v>12868.9</v>
      </c>
      <c r="M18" s="2153">
        <f t="shared" si="3"/>
        <v>46.2</v>
      </c>
      <c r="N18" s="2154">
        <f t="shared" si="4"/>
        <v>44.1</v>
      </c>
      <c r="O18" s="2154">
        <f t="shared" si="5"/>
        <v>61.4</v>
      </c>
      <c r="P18" s="1597" t="s">
        <v>353</v>
      </c>
      <c r="Q18" s="1597" t="s">
        <v>353</v>
      </c>
      <c r="R18" s="1861" t="e">
        <f t="shared" si="0"/>
        <v>#REF!</v>
      </c>
      <c r="S18" s="1861" t="e">
        <f>SUM(#REF!,#REF!)</f>
        <v>#REF!</v>
      </c>
      <c r="T18" s="1861" t="e">
        <f>SUM(#REF!,#REF!)</f>
        <v>#REF!</v>
      </c>
      <c r="U18" s="1861" t="e">
        <f t="shared" si="1"/>
        <v>#REF!</v>
      </c>
      <c r="V18" s="1861" t="e">
        <f>SUM(#REF!,#REF!)</f>
        <v>#REF!</v>
      </c>
      <c r="W18" s="1861" t="e">
        <f>SUM(#REF!,#REF!)</f>
        <v>#REF!</v>
      </c>
      <c r="X18" s="1423">
        <f t="shared" ref="X18" si="11">D18-G18</f>
        <v>803</v>
      </c>
      <c r="Y18" s="1423"/>
      <c r="Z18" s="1423"/>
    </row>
    <row r="19" spans="1:26" s="484" customFormat="1" ht="23.25">
      <c r="A19" s="2170"/>
      <c r="B19" s="2001" t="s">
        <v>1699</v>
      </c>
      <c r="C19" s="1877"/>
      <c r="D19" s="1598">
        <f>SUM(E19:F19)</f>
        <v>50955.1</v>
      </c>
      <c r="E19" s="1903">
        <f>E25+E37+E40+E29</f>
        <v>47897.599999999999</v>
      </c>
      <c r="F19" s="1903">
        <f>F25+F37+F40+F29</f>
        <v>3057.5</v>
      </c>
      <c r="G19" s="1598">
        <f>SUM(H19:I19)</f>
        <v>50152.1</v>
      </c>
      <c r="H19" s="1903">
        <f>H25+H37+H40</f>
        <v>47142.8</v>
      </c>
      <c r="I19" s="1903">
        <f>I25+I37+I40</f>
        <v>3009.3</v>
      </c>
      <c r="J19" s="1598">
        <f>SUM(K19:L19)</f>
        <v>10414</v>
      </c>
      <c r="K19" s="1903">
        <f>K25+K37+K40</f>
        <v>9789</v>
      </c>
      <c r="L19" s="1903">
        <f>L25+L37+L40</f>
        <v>625</v>
      </c>
      <c r="M19" s="1903">
        <f t="shared" si="3"/>
        <v>20.8</v>
      </c>
      <c r="N19" s="1903">
        <f t="shared" si="4"/>
        <v>20.8</v>
      </c>
      <c r="O19" s="1903">
        <f t="shared" si="5"/>
        <v>20.8</v>
      </c>
      <c r="P19" s="2173"/>
      <c r="Q19" s="2173"/>
      <c r="R19" s="1598"/>
      <c r="S19" s="1903"/>
      <c r="T19" s="1903"/>
      <c r="U19" s="1598"/>
      <c r="V19" s="1903"/>
      <c r="W19" s="1903"/>
      <c r="X19" s="1423">
        <f t="shared" ref="X19:X53" si="12">D19-G19</f>
        <v>803</v>
      </c>
      <c r="Y19" s="1423"/>
      <c r="Z19" s="1423"/>
    </row>
    <row r="20" spans="1:26" s="484" customFormat="1" ht="23.25">
      <c r="A20" s="2170"/>
      <c r="B20" s="2001" t="s">
        <v>1798</v>
      </c>
      <c r="C20" s="1877"/>
      <c r="D20" s="1598">
        <f>E20+F20</f>
        <v>103877.6</v>
      </c>
      <c r="E20" s="1903">
        <f>E41+E43+E51</f>
        <v>97643.9</v>
      </c>
      <c r="F20" s="1903">
        <f>F41+F43+F51</f>
        <v>6233.7</v>
      </c>
      <c r="G20" s="1598">
        <f>H20+I20</f>
        <v>103877.6</v>
      </c>
      <c r="H20" s="1903">
        <f>H41+H43+H51</f>
        <v>97643.9</v>
      </c>
      <c r="I20" s="1903">
        <f>I41+I43+I51</f>
        <v>6233.7</v>
      </c>
      <c r="J20" s="1598">
        <f>K20+L20</f>
        <v>57417.8</v>
      </c>
      <c r="K20" s="1903">
        <f>K41+K43+K51</f>
        <v>53972.2</v>
      </c>
      <c r="L20" s="1903">
        <f>L41+L43+L51</f>
        <v>3445.6</v>
      </c>
      <c r="M20" s="1903">
        <f t="shared" si="3"/>
        <v>55.3</v>
      </c>
      <c r="N20" s="1903">
        <f t="shared" si="4"/>
        <v>55.3</v>
      </c>
      <c r="O20" s="1903">
        <f t="shared" si="5"/>
        <v>55.3</v>
      </c>
      <c r="P20" s="2173"/>
      <c r="Q20" s="2173"/>
      <c r="R20" s="1598"/>
      <c r="S20" s="1903"/>
      <c r="T20" s="1903"/>
      <c r="U20" s="1598"/>
      <c r="V20" s="1903"/>
      <c r="W20" s="1903"/>
      <c r="X20" s="1423"/>
      <c r="Y20" s="1423"/>
      <c r="Z20" s="1423"/>
    </row>
    <row r="21" spans="1:26" s="484" customFormat="1" ht="23.25">
      <c r="A21" s="2170"/>
      <c r="B21" s="2001" t="s">
        <v>1770</v>
      </c>
      <c r="C21" s="1877"/>
      <c r="D21" s="1598">
        <f>SUM(E21:F21)</f>
        <v>11702.6</v>
      </c>
      <c r="E21" s="1903">
        <f>E30+E34</f>
        <v>11000.3</v>
      </c>
      <c r="F21" s="1903">
        <f>F30+F34</f>
        <v>702.3</v>
      </c>
      <c r="G21" s="1598">
        <f>SUM(H21:I21)</f>
        <v>11702.6</v>
      </c>
      <c r="H21" s="1903">
        <f>H30+H34</f>
        <v>11000.3</v>
      </c>
      <c r="I21" s="1903">
        <f>I30+I34</f>
        <v>702.3</v>
      </c>
      <c r="J21" s="1598">
        <f>SUM(K21:L21)</f>
        <v>5299</v>
      </c>
      <c r="K21" s="1903">
        <f>K30+K34</f>
        <v>4980.8999999999996</v>
      </c>
      <c r="L21" s="1903">
        <f>L30+L34</f>
        <v>318.10000000000002</v>
      </c>
      <c r="M21" s="1903">
        <f t="shared" si="3"/>
        <v>45.3</v>
      </c>
      <c r="N21" s="1903">
        <f t="shared" si="4"/>
        <v>45.3</v>
      </c>
      <c r="O21" s="1903">
        <f t="shared" si="5"/>
        <v>45.3</v>
      </c>
      <c r="P21" s="2173"/>
      <c r="Q21" s="2173"/>
      <c r="R21" s="1598"/>
      <c r="S21" s="1903"/>
      <c r="T21" s="1903"/>
      <c r="U21" s="1598"/>
      <c r="V21" s="1903"/>
      <c r="W21" s="1903"/>
      <c r="X21" s="1423"/>
      <c r="Y21" s="1423"/>
      <c r="Z21" s="1423"/>
    </row>
    <row r="22" spans="1:26" s="484" customFormat="1" ht="23.25">
      <c r="A22" s="2170"/>
      <c r="B22" s="2001" t="s">
        <v>1700</v>
      </c>
      <c r="C22" s="1877"/>
      <c r="D22" s="1598">
        <f t="shared" ref="D22:D53" si="13">SUM(E22:F22)</f>
        <v>11025.1</v>
      </c>
      <c r="E22" s="1903">
        <f>E26+E31+E35+E44+E48+E52</f>
        <v>0</v>
      </c>
      <c r="F22" s="1903">
        <f>F26+F31+F35+F44+F48+F52</f>
        <v>11025.1</v>
      </c>
      <c r="G22" s="1598">
        <f>SUM(H22:I22)</f>
        <v>11025.1</v>
      </c>
      <c r="H22" s="1903">
        <f>H26+H31+H35+H44+H48+H52</f>
        <v>0</v>
      </c>
      <c r="I22" s="1903">
        <f>I26+I31+I35+I44+I48+I52</f>
        <v>11025.1</v>
      </c>
      <c r="J22" s="1598">
        <f>SUM(K22:L22)</f>
        <v>8480.2000000000007</v>
      </c>
      <c r="K22" s="1903">
        <f>K26+K31+K35+K44+K48+K52</f>
        <v>0</v>
      </c>
      <c r="L22" s="1903">
        <f>L26+L31+L35+L44+L48+L52</f>
        <v>8480.2000000000007</v>
      </c>
      <c r="M22" s="1903">
        <f t="shared" si="3"/>
        <v>76.900000000000006</v>
      </c>
      <c r="N22" s="1903">
        <f t="shared" si="4"/>
        <v>0</v>
      </c>
      <c r="O22" s="1903">
        <f t="shared" si="5"/>
        <v>76.900000000000006</v>
      </c>
      <c r="P22" s="2173"/>
      <c r="Q22" s="2173"/>
      <c r="R22" s="1598"/>
      <c r="S22" s="1903"/>
      <c r="T22" s="1903"/>
      <c r="U22" s="1598"/>
      <c r="V22" s="1903"/>
      <c r="W22" s="1903"/>
      <c r="X22" s="1423">
        <f t="shared" si="12"/>
        <v>0</v>
      </c>
      <c r="Y22" s="1423"/>
      <c r="Z22" s="1423"/>
    </row>
    <row r="23" spans="1:26" s="484" customFormat="1" ht="23.25">
      <c r="A23" s="2170"/>
      <c r="B23" s="2172" t="s">
        <v>433</v>
      </c>
      <c r="C23" s="1882"/>
      <c r="D23" s="1602">
        <f t="shared" si="13"/>
        <v>12906.9</v>
      </c>
      <c r="E23" s="1603">
        <f>E24</f>
        <v>9575.2000000000007</v>
      </c>
      <c r="F23" s="1603">
        <f>F24</f>
        <v>3331.7</v>
      </c>
      <c r="G23" s="1602">
        <f t="shared" ref="G23:G38" si="14">SUM(H23:I23)</f>
        <v>12906.9</v>
      </c>
      <c r="H23" s="1603">
        <f t="shared" ref="H23:I52" si="15">E23</f>
        <v>9575.2000000000007</v>
      </c>
      <c r="I23" s="1603">
        <f t="shared" si="15"/>
        <v>3331.7</v>
      </c>
      <c r="J23" s="1602">
        <f t="shared" ref="J23:J36" si="16">SUM(K23:L23)</f>
        <v>12308.9</v>
      </c>
      <c r="K23" s="1603">
        <f>K24</f>
        <v>9575.2000000000007</v>
      </c>
      <c r="L23" s="1603">
        <f>L24</f>
        <v>2733.7</v>
      </c>
      <c r="M23" s="1603">
        <f t="shared" si="3"/>
        <v>95.4</v>
      </c>
      <c r="N23" s="1603">
        <f t="shared" si="4"/>
        <v>100</v>
      </c>
      <c r="O23" s="1603">
        <f t="shared" si="5"/>
        <v>82.1</v>
      </c>
      <c r="P23" s="2174">
        <f>SUM(P24)</f>
        <v>0</v>
      </c>
      <c r="Q23" s="2174">
        <f>SUM(Q24)</f>
        <v>0</v>
      </c>
      <c r="R23" s="1602">
        <f t="shared" ref="R23:R26" si="17">SUM(S23:T23)</f>
        <v>0</v>
      </c>
      <c r="S23" s="1603">
        <f>S24</f>
        <v>0</v>
      </c>
      <c r="T23" s="1603">
        <f>T24</f>
        <v>0</v>
      </c>
      <c r="U23" s="1602">
        <f t="shared" ref="U23:U26" si="18">SUM(V23:W23)</f>
        <v>0</v>
      </c>
      <c r="V23" s="1603">
        <f>V24</f>
        <v>0</v>
      </c>
      <c r="W23" s="1603">
        <f>W24</f>
        <v>0</v>
      </c>
      <c r="X23" s="1423">
        <f t="shared" si="12"/>
        <v>0</v>
      </c>
      <c r="Y23" s="1423"/>
      <c r="Z23" s="1423"/>
    </row>
    <row r="24" spans="1:26" s="484" customFormat="1" ht="40.5" customHeight="1">
      <c r="A24" s="2170">
        <v>1</v>
      </c>
      <c r="B24" s="1905" t="s">
        <v>1563</v>
      </c>
      <c r="C24" s="1906"/>
      <c r="D24" s="1602">
        <f t="shared" si="13"/>
        <v>12906.9</v>
      </c>
      <c r="E24" s="1864">
        <f>E25+E26</f>
        <v>9575.2000000000007</v>
      </c>
      <c r="F24" s="1864">
        <f>F25+F26</f>
        <v>3331.7</v>
      </c>
      <c r="G24" s="1602">
        <f t="shared" si="14"/>
        <v>12906.9</v>
      </c>
      <c r="H24" s="1616">
        <f t="shared" si="15"/>
        <v>9575.2000000000007</v>
      </c>
      <c r="I24" s="1616">
        <f t="shared" si="15"/>
        <v>3331.7</v>
      </c>
      <c r="J24" s="1602">
        <f t="shared" si="16"/>
        <v>12308.9</v>
      </c>
      <c r="K24" s="1864">
        <f>K25+K26</f>
        <v>9575.2000000000007</v>
      </c>
      <c r="L24" s="1864">
        <f>L25+L26</f>
        <v>2733.7</v>
      </c>
      <c r="M24" s="1602">
        <f t="shared" si="3"/>
        <v>95.4</v>
      </c>
      <c r="N24" s="2161">
        <f t="shared" si="4"/>
        <v>100</v>
      </c>
      <c r="O24" s="2161">
        <f t="shared" si="5"/>
        <v>82.1</v>
      </c>
      <c r="P24" s="2169"/>
      <c r="Q24" s="2169"/>
      <c r="R24" s="1602">
        <f t="shared" si="17"/>
        <v>0</v>
      </c>
      <c r="S24" s="1864">
        <f>S25+S26</f>
        <v>0</v>
      </c>
      <c r="T24" s="1864">
        <f>T25+T26</f>
        <v>0</v>
      </c>
      <c r="U24" s="1602">
        <f t="shared" si="18"/>
        <v>0</v>
      </c>
      <c r="V24" s="1864">
        <f>V25+V26</f>
        <v>0</v>
      </c>
      <c r="W24" s="1864">
        <f>W25+W26</f>
        <v>0</v>
      </c>
      <c r="X24" s="1423">
        <f t="shared" si="12"/>
        <v>0</v>
      </c>
      <c r="Y24" s="1423"/>
      <c r="Z24" s="1423"/>
    </row>
    <row r="25" spans="1:26" s="484" customFormat="1" ht="23.25">
      <c r="A25" s="2170"/>
      <c r="B25" s="1619" t="s">
        <v>1620</v>
      </c>
      <c r="C25" s="1906" t="s">
        <v>1630</v>
      </c>
      <c r="D25" s="1602">
        <f t="shared" si="13"/>
        <v>10186.5</v>
      </c>
      <c r="E25" s="1864">
        <v>9575.2000000000007</v>
      </c>
      <c r="F25" s="1864">
        <f>611.3</f>
        <v>611.29999999999995</v>
      </c>
      <c r="G25" s="1609">
        <f t="shared" si="14"/>
        <v>10186.5</v>
      </c>
      <c r="H25" s="1616">
        <f t="shared" si="15"/>
        <v>9575.2000000000007</v>
      </c>
      <c r="I25" s="1616">
        <f t="shared" si="15"/>
        <v>611.29999999999995</v>
      </c>
      <c r="J25" s="1602">
        <f t="shared" si="16"/>
        <v>10186.5</v>
      </c>
      <c r="K25" s="1864">
        <v>9575.2000000000007</v>
      </c>
      <c r="L25" s="1864">
        <v>611.29999999999995</v>
      </c>
      <c r="M25" s="1602">
        <f t="shared" si="3"/>
        <v>100</v>
      </c>
      <c r="N25" s="2161">
        <f t="shared" si="4"/>
        <v>100</v>
      </c>
      <c r="O25" s="2161">
        <f t="shared" si="5"/>
        <v>100</v>
      </c>
      <c r="P25" s="2169"/>
      <c r="Q25" s="2169"/>
      <c r="R25" s="1602">
        <f t="shared" si="17"/>
        <v>0</v>
      </c>
      <c r="S25" s="1614">
        <v>0</v>
      </c>
      <c r="T25" s="1614">
        <v>0</v>
      </c>
      <c r="U25" s="1602">
        <f t="shared" si="18"/>
        <v>0</v>
      </c>
      <c r="V25" s="1614">
        <v>0</v>
      </c>
      <c r="W25" s="1614">
        <v>0</v>
      </c>
      <c r="X25" s="1423">
        <f t="shared" si="12"/>
        <v>0</v>
      </c>
      <c r="Y25" s="1423"/>
      <c r="Z25" s="1423"/>
    </row>
    <row r="26" spans="1:26" s="484" customFormat="1" ht="23.25">
      <c r="A26" s="2170"/>
      <c r="B26" s="1619" t="s">
        <v>1621</v>
      </c>
      <c r="C26" s="1906" t="s">
        <v>1631</v>
      </c>
      <c r="D26" s="1602">
        <f t="shared" si="13"/>
        <v>2720.4</v>
      </c>
      <c r="E26" s="1864"/>
      <c r="F26" s="1864">
        <f>5553.2-2832.8</f>
        <v>2720.4</v>
      </c>
      <c r="G26" s="1609">
        <f t="shared" si="14"/>
        <v>2720.4</v>
      </c>
      <c r="H26" s="1616">
        <f t="shared" si="15"/>
        <v>0</v>
      </c>
      <c r="I26" s="1864">
        <f>5553.2-2832.8</f>
        <v>2720.4</v>
      </c>
      <c r="J26" s="1602">
        <f t="shared" si="16"/>
        <v>2122.4</v>
      </c>
      <c r="K26" s="1864"/>
      <c r="L26" s="1864">
        <v>2122.4</v>
      </c>
      <c r="M26" s="1602">
        <f t="shared" si="3"/>
        <v>78</v>
      </c>
      <c r="N26" s="2161">
        <f t="shared" si="4"/>
        <v>0</v>
      </c>
      <c r="O26" s="2161">
        <f t="shared" si="5"/>
        <v>78</v>
      </c>
      <c r="P26" s="2169"/>
      <c r="Q26" s="2169"/>
      <c r="R26" s="1602">
        <f t="shared" si="17"/>
        <v>0</v>
      </c>
      <c r="S26" s="1614">
        <v>0</v>
      </c>
      <c r="T26" s="1614">
        <v>0</v>
      </c>
      <c r="U26" s="1602">
        <f t="shared" si="18"/>
        <v>0</v>
      </c>
      <c r="V26" s="1614">
        <v>0</v>
      </c>
      <c r="W26" s="1614">
        <v>0</v>
      </c>
      <c r="X26" s="1423">
        <f t="shared" si="12"/>
        <v>0</v>
      </c>
      <c r="Y26" s="1423"/>
      <c r="Z26" s="1423"/>
    </row>
    <row r="27" spans="1:26" s="484" customFormat="1" ht="23.25">
      <c r="A27" s="2170"/>
      <c r="B27" s="2172" t="s">
        <v>583</v>
      </c>
      <c r="C27" s="1882"/>
      <c r="D27" s="1602">
        <f t="shared" si="13"/>
        <v>13521.5</v>
      </c>
      <c r="E27" s="2174">
        <f t="shared" ref="E27:W27" si="19">E28</f>
        <v>9214.7999999999993</v>
      </c>
      <c r="F27" s="2174">
        <f t="shared" si="19"/>
        <v>4306.7</v>
      </c>
      <c r="G27" s="1600">
        <f t="shared" si="14"/>
        <v>13521.5</v>
      </c>
      <c r="H27" s="2174">
        <f t="shared" si="15"/>
        <v>9214.7999999999993</v>
      </c>
      <c r="I27" s="2174">
        <f t="shared" si="15"/>
        <v>4306.7</v>
      </c>
      <c r="J27" s="1600">
        <f t="shared" si="16"/>
        <v>8405.7999999999993</v>
      </c>
      <c r="K27" s="1603">
        <f t="shared" si="19"/>
        <v>4406.1000000000004</v>
      </c>
      <c r="L27" s="1603">
        <f t="shared" si="19"/>
        <v>3999.7</v>
      </c>
      <c r="M27" s="1603">
        <f t="shared" si="3"/>
        <v>62.2</v>
      </c>
      <c r="N27" s="1603">
        <f t="shared" si="4"/>
        <v>47.8</v>
      </c>
      <c r="O27" s="1603">
        <f t="shared" si="5"/>
        <v>92.9</v>
      </c>
      <c r="P27" s="2174">
        <f t="shared" si="19"/>
        <v>0</v>
      </c>
      <c r="Q27" s="2174">
        <f t="shared" si="19"/>
        <v>0</v>
      </c>
      <c r="R27" s="2174">
        <f t="shared" si="19"/>
        <v>0</v>
      </c>
      <c r="S27" s="2174">
        <f t="shared" si="19"/>
        <v>0</v>
      </c>
      <c r="T27" s="2174">
        <f t="shared" si="19"/>
        <v>0</v>
      </c>
      <c r="U27" s="2174">
        <f t="shared" si="19"/>
        <v>0</v>
      </c>
      <c r="V27" s="2174">
        <f t="shared" si="19"/>
        <v>0</v>
      </c>
      <c r="W27" s="2174">
        <f t="shared" si="19"/>
        <v>0</v>
      </c>
      <c r="X27" s="1423">
        <f t="shared" si="12"/>
        <v>0</v>
      </c>
      <c r="Y27" s="1423"/>
      <c r="Z27" s="1423"/>
    </row>
    <row r="28" spans="1:26" s="484" customFormat="1" ht="27.75" customHeight="1">
      <c r="A28" s="2170">
        <f>A24+1</f>
        <v>2</v>
      </c>
      <c r="B28" s="1889" t="s">
        <v>1629</v>
      </c>
      <c r="C28" s="1882"/>
      <c r="D28" s="1602">
        <f>SUM(E28:F28)</f>
        <v>13521.5</v>
      </c>
      <c r="E28" s="1608">
        <f>E31+E30+E29</f>
        <v>9214.7999999999993</v>
      </c>
      <c r="F28" s="1608">
        <f>F31+F30+F29</f>
        <v>4306.7</v>
      </c>
      <c r="G28" s="1602">
        <f>SUM(H28:I28)</f>
        <v>12718.5</v>
      </c>
      <c r="H28" s="1608">
        <f>H31+H30+H29</f>
        <v>8460</v>
      </c>
      <c r="I28" s="1608">
        <f>I31+I30+I29</f>
        <v>4258.5</v>
      </c>
      <c r="J28" s="1602">
        <f>SUM(K28:L28)</f>
        <v>8405.7999999999993</v>
      </c>
      <c r="K28" s="1608">
        <f>K31+K30+K29</f>
        <v>4406.1000000000004</v>
      </c>
      <c r="L28" s="1608">
        <f>L31+L30+L29</f>
        <v>3999.7</v>
      </c>
      <c r="M28" s="1604">
        <f t="shared" si="3"/>
        <v>66.099999999999994</v>
      </c>
      <c r="N28" s="1881">
        <f t="shared" si="4"/>
        <v>52.1</v>
      </c>
      <c r="O28" s="1881">
        <f t="shared" si="5"/>
        <v>93.9</v>
      </c>
      <c r="P28" s="2169"/>
      <c r="Q28" s="2169"/>
      <c r="R28" s="1602">
        <f t="shared" ref="R28:R53" si="20">SUM(S28:T28)</f>
        <v>0</v>
      </c>
      <c r="S28" s="1616">
        <f>S31</f>
        <v>0</v>
      </c>
      <c r="T28" s="1616">
        <f>T31</f>
        <v>0</v>
      </c>
      <c r="U28" s="1602">
        <f t="shared" ref="U28:U53" si="21">SUM(V28:W28)</f>
        <v>0</v>
      </c>
      <c r="V28" s="1616">
        <f>V31</f>
        <v>0</v>
      </c>
      <c r="W28" s="1616">
        <f>W31</f>
        <v>0</v>
      </c>
      <c r="X28" s="1423">
        <f t="shared" si="12"/>
        <v>803</v>
      </c>
      <c r="Y28" s="1423"/>
      <c r="Z28" s="1423"/>
    </row>
    <row r="29" spans="1:26" s="484" customFormat="1" ht="27" customHeight="1">
      <c r="A29" s="2170"/>
      <c r="B29" s="1619" t="s">
        <v>1620</v>
      </c>
      <c r="C29" s="1882"/>
      <c r="D29" s="1602">
        <f>SUM(E29:F29)</f>
        <v>803</v>
      </c>
      <c r="E29" s="1865">
        <f>9214.8-8460</f>
        <v>754.8</v>
      </c>
      <c r="F29" s="1865">
        <f>588.3-540.1</f>
        <v>48.2</v>
      </c>
      <c r="G29" s="1619">
        <f>SUM(H29:I29)</f>
        <v>0</v>
      </c>
      <c r="H29" s="1608"/>
      <c r="I29" s="1608"/>
      <c r="J29" s="1600">
        <f>SUM(K29:L29)</f>
        <v>0</v>
      </c>
      <c r="K29" s="1864"/>
      <c r="L29" s="1864"/>
      <c r="M29" s="1602">
        <f t="shared" si="3"/>
        <v>0</v>
      </c>
      <c r="N29" s="2161">
        <f t="shared" si="4"/>
        <v>0</v>
      </c>
      <c r="O29" s="2161">
        <f t="shared" si="5"/>
        <v>0</v>
      </c>
      <c r="P29" s="2169"/>
      <c r="Q29" s="2169"/>
      <c r="R29" s="1602"/>
      <c r="S29" s="1616"/>
      <c r="T29" s="1616"/>
      <c r="U29" s="1602"/>
      <c r="V29" s="1616"/>
      <c r="W29" s="1616"/>
      <c r="X29" s="1423"/>
      <c r="Y29" s="1423"/>
      <c r="Z29" s="1423"/>
    </row>
    <row r="30" spans="1:26" s="484" customFormat="1" ht="27" customHeight="1">
      <c r="A30" s="2170"/>
      <c r="B30" s="1619" t="s">
        <v>1770</v>
      </c>
      <c r="C30" s="1882"/>
      <c r="D30" s="1602">
        <f>SUM(E30:F30)</f>
        <v>9000.1</v>
      </c>
      <c r="E30" s="1865">
        <f>8460</f>
        <v>8460</v>
      </c>
      <c r="F30" s="1865">
        <v>540.1</v>
      </c>
      <c r="G30" s="1619">
        <f>SUM(H30:I30)</f>
        <v>9000.1</v>
      </c>
      <c r="H30" s="1608">
        <f>9214.8-754.8</f>
        <v>8460</v>
      </c>
      <c r="I30" s="1608">
        <f>588.3-48.2</f>
        <v>540.1</v>
      </c>
      <c r="J30" s="1600">
        <f>SUM(K30:L30)</f>
        <v>4687.5</v>
      </c>
      <c r="K30" s="1864">
        <f>4075.9+330.24</f>
        <v>4406.1000000000004</v>
      </c>
      <c r="L30" s="1864">
        <f>21.1+260.3</f>
        <v>281.39999999999998</v>
      </c>
      <c r="M30" s="1602">
        <f t="shared" si="3"/>
        <v>52.1</v>
      </c>
      <c r="N30" s="2161">
        <f t="shared" si="4"/>
        <v>52.1</v>
      </c>
      <c r="O30" s="2161">
        <f t="shared" si="5"/>
        <v>52.1</v>
      </c>
      <c r="P30" s="2169"/>
      <c r="Q30" s="2169"/>
      <c r="R30" s="1602"/>
      <c r="S30" s="1616"/>
      <c r="T30" s="1616"/>
      <c r="U30" s="1602"/>
      <c r="V30" s="1616"/>
      <c r="W30" s="1616"/>
      <c r="X30" s="1423"/>
      <c r="Y30" s="1423"/>
      <c r="Z30" s="1423"/>
    </row>
    <row r="31" spans="1:26" s="484" customFormat="1" ht="23.25">
      <c r="A31" s="2170"/>
      <c r="B31" s="1619" t="s">
        <v>1621</v>
      </c>
      <c r="C31" s="1906"/>
      <c r="D31" s="1602">
        <f t="shared" si="13"/>
        <v>3718.4</v>
      </c>
      <c r="E31" s="1865">
        <v>0</v>
      </c>
      <c r="F31" s="1865">
        <f>8870-5151.6</f>
        <v>3718.4</v>
      </c>
      <c r="G31" s="1619">
        <f t="shared" si="14"/>
        <v>3718.4</v>
      </c>
      <c r="H31" s="1608">
        <f t="shared" si="15"/>
        <v>0</v>
      </c>
      <c r="I31" s="1608">
        <f t="shared" si="15"/>
        <v>3718.4</v>
      </c>
      <c r="J31" s="1600">
        <f t="shared" si="16"/>
        <v>3718.3</v>
      </c>
      <c r="K31" s="1864"/>
      <c r="L31" s="1864">
        <v>3718.3</v>
      </c>
      <c r="M31" s="1602">
        <f t="shared" si="3"/>
        <v>100</v>
      </c>
      <c r="N31" s="2161">
        <f t="shared" si="4"/>
        <v>0</v>
      </c>
      <c r="O31" s="2161">
        <f t="shared" si="5"/>
        <v>100</v>
      </c>
      <c r="P31" s="2169"/>
      <c r="Q31" s="2169"/>
      <c r="R31" s="1602">
        <f t="shared" si="20"/>
        <v>0</v>
      </c>
      <c r="S31" s="1865">
        <v>0</v>
      </c>
      <c r="T31" s="1865">
        <v>0</v>
      </c>
      <c r="U31" s="1602">
        <f t="shared" si="21"/>
        <v>0</v>
      </c>
      <c r="V31" s="1865">
        <v>0</v>
      </c>
      <c r="W31" s="1865">
        <v>0</v>
      </c>
      <c r="X31" s="1423">
        <f t="shared" si="12"/>
        <v>0</v>
      </c>
      <c r="Y31" s="1423"/>
      <c r="Z31" s="1423"/>
    </row>
    <row r="32" spans="1:26" s="484" customFormat="1" ht="25.5" customHeight="1">
      <c r="A32" s="2170"/>
      <c r="B32" s="2172" t="s">
        <v>1624</v>
      </c>
      <c r="C32" s="1882"/>
      <c r="D32" s="1602">
        <f t="shared" si="13"/>
        <v>2906.6</v>
      </c>
      <c r="E32" s="2174">
        <f>E33</f>
        <v>2540.3000000000002</v>
      </c>
      <c r="F32" s="2174">
        <f>F33</f>
        <v>366.3</v>
      </c>
      <c r="G32" s="1600">
        <f t="shared" si="14"/>
        <v>2906.6</v>
      </c>
      <c r="H32" s="2174">
        <f t="shared" si="15"/>
        <v>2540.3000000000002</v>
      </c>
      <c r="I32" s="2174">
        <f t="shared" si="15"/>
        <v>366.3</v>
      </c>
      <c r="J32" s="1600">
        <f t="shared" si="16"/>
        <v>815.5</v>
      </c>
      <c r="K32" s="1603">
        <f>K33</f>
        <v>574.79999999999995</v>
      </c>
      <c r="L32" s="1603">
        <f>L33</f>
        <v>240.7</v>
      </c>
      <c r="M32" s="1603">
        <f t="shared" si="3"/>
        <v>28.1</v>
      </c>
      <c r="N32" s="1603">
        <f t="shared" si="4"/>
        <v>22.6</v>
      </c>
      <c r="O32" s="1603">
        <f t="shared" si="5"/>
        <v>65.7</v>
      </c>
      <c r="P32" s="2174">
        <f>P33</f>
        <v>0</v>
      </c>
      <c r="Q32" s="2174">
        <f>Q33</f>
        <v>0</v>
      </c>
      <c r="R32" s="1602">
        <f t="shared" si="20"/>
        <v>0</v>
      </c>
      <c r="S32" s="1603">
        <f>S33</f>
        <v>0</v>
      </c>
      <c r="T32" s="1603">
        <f>T33</f>
        <v>0</v>
      </c>
      <c r="U32" s="1602">
        <f t="shared" si="21"/>
        <v>0</v>
      </c>
      <c r="V32" s="1603">
        <f>V33</f>
        <v>0</v>
      </c>
      <c r="W32" s="1603">
        <f>W33</f>
        <v>0</v>
      </c>
      <c r="X32" s="1423">
        <f t="shared" si="12"/>
        <v>0</v>
      </c>
      <c r="Y32" s="1423"/>
      <c r="Z32" s="1423"/>
    </row>
    <row r="33" spans="1:26" s="484" customFormat="1" ht="45.75" customHeight="1">
      <c r="A33" s="2170">
        <f>A28+1</f>
        <v>3</v>
      </c>
      <c r="B33" s="1889" t="s">
        <v>1625</v>
      </c>
      <c r="C33" s="1882"/>
      <c r="D33" s="1602">
        <f t="shared" si="13"/>
        <v>2906.6</v>
      </c>
      <c r="E33" s="1616">
        <f>E34+E35</f>
        <v>2540.3000000000002</v>
      </c>
      <c r="F33" s="1616">
        <f>F34+F35</f>
        <v>366.3</v>
      </c>
      <c r="G33" s="1602">
        <f t="shared" si="14"/>
        <v>2906.6</v>
      </c>
      <c r="H33" s="1616">
        <f t="shared" si="15"/>
        <v>2540.3000000000002</v>
      </c>
      <c r="I33" s="1616">
        <f t="shared" si="15"/>
        <v>366.3</v>
      </c>
      <c r="J33" s="1602">
        <f t="shared" si="16"/>
        <v>815.5</v>
      </c>
      <c r="K33" s="1616">
        <f>K34+K35</f>
        <v>574.79999999999995</v>
      </c>
      <c r="L33" s="1616">
        <f>L34+L35</f>
        <v>240.7</v>
      </c>
      <c r="M33" s="1604">
        <f t="shared" si="3"/>
        <v>28.1</v>
      </c>
      <c r="N33" s="1881">
        <f t="shared" si="4"/>
        <v>22.6</v>
      </c>
      <c r="O33" s="1881">
        <f t="shared" si="5"/>
        <v>65.7</v>
      </c>
      <c r="P33" s="2169"/>
      <c r="Q33" s="2169"/>
      <c r="R33" s="1602">
        <f t="shared" si="20"/>
        <v>0</v>
      </c>
      <c r="S33" s="1616">
        <f>S35</f>
        <v>0</v>
      </c>
      <c r="T33" s="1616">
        <f>T35</f>
        <v>0</v>
      </c>
      <c r="U33" s="1602">
        <f t="shared" si="21"/>
        <v>0</v>
      </c>
      <c r="V33" s="1616">
        <f>V35</f>
        <v>0</v>
      </c>
      <c r="W33" s="1616">
        <f>W35</f>
        <v>0</v>
      </c>
      <c r="X33" s="1423">
        <f t="shared" si="12"/>
        <v>0</v>
      </c>
      <c r="Y33" s="1423"/>
      <c r="Z33" s="1423"/>
    </row>
    <row r="34" spans="1:26" s="484" customFormat="1" ht="28.5" customHeight="1">
      <c r="A34" s="2170"/>
      <c r="B34" s="1619" t="s">
        <v>1770</v>
      </c>
      <c r="C34" s="1882"/>
      <c r="D34" s="1602">
        <f>SUM(E34:F34)</f>
        <v>2702.5</v>
      </c>
      <c r="E34" s="1864">
        <v>2540.3000000000002</v>
      </c>
      <c r="F34" s="1864">
        <v>162.19999999999999</v>
      </c>
      <c r="G34" s="1609">
        <f>SUM(H34:I34)</f>
        <v>2702.5</v>
      </c>
      <c r="H34" s="1616">
        <f t="shared" si="15"/>
        <v>2540.3000000000002</v>
      </c>
      <c r="I34" s="1616">
        <f t="shared" si="15"/>
        <v>162.19999999999999</v>
      </c>
      <c r="J34" s="1602">
        <f>SUM(K34:L34)</f>
        <v>611.5</v>
      </c>
      <c r="K34" s="1864">
        <v>574.79999999999995</v>
      </c>
      <c r="L34" s="1864">
        <v>36.700000000000003</v>
      </c>
      <c r="M34" s="1602">
        <f t="shared" si="3"/>
        <v>22.6</v>
      </c>
      <c r="N34" s="2161">
        <f t="shared" si="4"/>
        <v>22.6</v>
      </c>
      <c r="O34" s="2161">
        <f t="shared" si="5"/>
        <v>22.6</v>
      </c>
      <c r="P34" s="2169"/>
      <c r="Q34" s="2169"/>
      <c r="R34" s="1602"/>
      <c r="S34" s="1616"/>
      <c r="T34" s="1616"/>
      <c r="U34" s="1602"/>
      <c r="V34" s="1616"/>
      <c r="W34" s="1616"/>
      <c r="X34" s="1423"/>
      <c r="Y34" s="1423"/>
      <c r="Z34" s="1423"/>
    </row>
    <row r="35" spans="1:26" s="484" customFormat="1" ht="23.25">
      <c r="A35" s="2170"/>
      <c r="B35" s="1619" t="s">
        <v>1621</v>
      </c>
      <c r="C35" s="1906"/>
      <c r="D35" s="1602">
        <f t="shared" si="13"/>
        <v>204.1</v>
      </c>
      <c r="E35" s="1864"/>
      <c r="F35" s="1616">
        <f>2745.5-2541.4</f>
        <v>204.1</v>
      </c>
      <c r="G35" s="1609">
        <f t="shared" si="14"/>
        <v>204.1</v>
      </c>
      <c r="H35" s="1616">
        <f t="shared" si="15"/>
        <v>0</v>
      </c>
      <c r="I35" s="1616">
        <f>2745.5-2541.4</f>
        <v>204.1</v>
      </c>
      <c r="J35" s="1602">
        <f t="shared" si="16"/>
        <v>204</v>
      </c>
      <c r="K35" s="1864"/>
      <c r="L35" s="1864">
        <v>204</v>
      </c>
      <c r="M35" s="1602">
        <f t="shared" si="3"/>
        <v>100</v>
      </c>
      <c r="N35" s="2161">
        <f t="shared" si="4"/>
        <v>0</v>
      </c>
      <c r="O35" s="2161">
        <f t="shared" si="5"/>
        <v>100</v>
      </c>
      <c r="P35" s="2169"/>
      <c r="Q35" s="2169"/>
      <c r="R35" s="1602">
        <f t="shared" si="20"/>
        <v>0</v>
      </c>
      <c r="S35" s="1614">
        <v>0</v>
      </c>
      <c r="T35" s="1614">
        <v>0</v>
      </c>
      <c r="U35" s="1602">
        <f t="shared" si="21"/>
        <v>0</v>
      </c>
      <c r="V35" s="1614">
        <v>0</v>
      </c>
      <c r="W35" s="1614">
        <v>0</v>
      </c>
      <c r="X35" s="1423">
        <f t="shared" si="12"/>
        <v>0</v>
      </c>
      <c r="Y35" s="1423"/>
      <c r="Z35" s="1423"/>
    </row>
    <row r="36" spans="1:26" s="484" customFormat="1" ht="19.5" customHeight="1">
      <c r="A36" s="2170"/>
      <c r="B36" s="2172" t="s">
        <v>1401</v>
      </c>
      <c r="C36" s="1882"/>
      <c r="D36" s="1600">
        <f t="shared" si="13"/>
        <v>0</v>
      </c>
      <c r="E36" s="2174">
        <f>E37</f>
        <v>0</v>
      </c>
      <c r="F36" s="2174">
        <f>F37</f>
        <v>0</v>
      </c>
      <c r="G36" s="1600">
        <f t="shared" si="14"/>
        <v>0</v>
      </c>
      <c r="H36" s="2174">
        <f t="shared" si="15"/>
        <v>0</v>
      </c>
      <c r="I36" s="2174">
        <f t="shared" si="15"/>
        <v>0</v>
      </c>
      <c r="J36" s="1600">
        <f t="shared" si="16"/>
        <v>0</v>
      </c>
      <c r="K36" s="1603">
        <f>K37</f>
        <v>0</v>
      </c>
      <c r="L36" s="1603">
        <f>L37</f>
        <v>0</v>
      </c>
      <c r="M36" s="1603">
        <f t="shared" si="3"/>
        <v>0</v>
      </c>
      <c r="N36" s="1603">
        <f t="shared" si="4"/>
        <v>0</v>
      </c>
      <c r="O36" s="1603">
        <f t="shared" si="5"/>
        <v>0</v>
      </c>
      <c r="P36" s="2174">
        <f>P37</f>
        <v>0</v>
      </c>
      <c r="Q36" s="2174">
        <f>Q37</f>
        <v>0</v>
      </c>
      <c r="R36" s="1602">
        <f t="shared" si="20"/>
        <v>0</v>
      </c>
      <c r="S36" s="1603">
        <f>S37</f>
        <v>0</v>
      </c>
      <c r="T36" s="1603">
        <f>T37</f>
        <v>0</v>
      </c>
      <c r="U36" s="1602">
        <f t="shared" si="21"/>
        <v>0</v>
      </c>
      <c r="V36" s="1603">
        <f>V37</f>
        <v>0</v>
      </c>
      <c r="W36" s="1603">
        <f>W37</f>
        <v>0</v>
      </c>
      <c r="X36" s="1423">
        <f t="shared" si="12"/>
        <v>0</v>
      </c>
      <c r="Y36" s="1423"/>
      <c r="Z36" s="1423"/>
    </row>
    <row r="37" spans="1:26" s="484" customFormat="1" ht="40.5" customHeight="1">
      <c r="A37" s="2170">
        <f>A33+1</f>
        <v>4</v>
      </c>
      <c r="B37" s="1889" t="s">
        <v>681</v>
      </c>
      <c r="C37" s="1882"/>
      <c r="D37" s="1600">
        <f t="shared" si="13"/>
        <v>0</v>
      </c>
      <c r="E37" s="1608">
        <v>0</v>
      </c>
      <c r="F37" s="1608">
        <v>0</v>
      </c>
      <c r="G37" s="1619">
        <f t="shared" si="14"/>
        <v>0</v>
      </c>
      <c r="H37" s="1608">
        <f>E37</f>
        <v>0</v>
      </c>
      <c r="I37" s="1608">
        <f>F37</f>
        <v>0</v>
      </c>
      <c r="J37" s="1600">
        <f t="shared" ref="J37:J52" si="22">SUM(K37:L37)</f>
        <v>0</v>
      </c>
      <c r="K37" s="1616"/>
      <c r="L37" s="1616"/>
      <c r="M37" s="1604">
        <f t="shared" si="3"/>
        <v>0</v>
      </c>
      <c r="N37" s="1881">
        <f t="shared" si="4"/>
        <v>0</v>
      </c>
      <c r="O37" s="1881">
        <f t="shared" si="5"/>
        <v>0</v>
      </c>
      <c r="P37" s="2169"/>
      <c r="Q37" s="2169"/>
      <c r="R37" s="1602">
        <f t="shared" si="20"/>
        <v>0</v>
      </c>
      <c r="S37" s="1614">
        <v>0</v>
      </c>
      <c r="T37" s="1614">
        <v>0</v>
      </c>
      <c r="U37" s="1602">
        <f t="shared" si="21"/>
        <v>0</v>
      </c>
      <c r="V37" s="1614">
        <v>0</v>
      </c>
      <c r="W37" s="1614">
        <v>0</v>
      </c>
      <c r="X37" s="1423">
        <f t="shared" si="12"/>
        <v>0</v>
      </c>
      <c r="Y37" s="1423"/>
      <c r="Z37" s="1423"/>
    </row>
    <row r="38" spans="1:26" s="484" customFormat="1" ht="27" customHeight="1">
      <c r="A38" s="2170"/>
      <c r="B38" s="2172" t="s">
        <v>1554</v>
      </c>
      <c r="C38" s="1882"/>
      <c r="D38" s="1600">
        <f t="shared" si="13"/>
        <v>150684.79999999999</v>
      </c>
      <c r="E38" s="2174">
        <f>E39+E42</f>
        <v>133221.5</v>
      </c>
      <c r="F38" s="2174">
        <f>SUM(F39:F42)</f>
        <v>17463.3</v>
      </c>
      <c r="G38" s="1600">
        <f t="shared" si="14"/>
        <v>150684.79999999999</v>
      </c>
      <c r="H38" s="2174">
        <f>H39+H42</f>
        <v>133221.5</v>
      </c>
      <c r="I38" s="2174">
        <f>SUM(I39:I42)</f>
        <v>17463.3</v>
      </c>
      <c r="J38" s="1600">
        <f t="shared" ref="J38" si="23">SUM(K38:L38)</f>
        <v>57432.800000000003</v>
      </c>
      <c r="K38" s="2174">
        <f>K39+K42</f>
        <v>52253.599999999999</v>
      </c>
      <c r="L38" s="2174">
        <f>SUM(L39:L42)</f>
        <v>5179.2</v>
      </c>
      <c r="M38" s="1603">
        <f t="shared" si="3"/>
        <v>38.1</v>
      </c>
      <c r="N38" s="1603">
        <f t="shared" si="4"/>
        <v>39.200000000000003</v>
      </c>
      <c r="O38" s="1603">
        <f t="shared" si="5"/>
        <v>29.7</v>
      </c>
      <c r="P38" s="2169"/>
      <c r="Q38" s="2169"/>
      <c r="R38" s="1602">
        <f t="shared" si="20"/>
        <v>0</v>
      </c>
      <c r="S38" s="1603">
        <f>SUM(S39:S42)</f>
        <v>0</v>
      </c>
      <c r="T38" s="1603">
        <f>SUM(T39:T42)</f>
        <v>0</v>
      </c>
      <c r="U38" s="1602">
        <f t="shared" si="21"/>
        <v>0</v>
      </c>
      <c r="V38" s="1603">
        <f>SUM(V39:V42)</f>
        <v>0</v>
      </c>
      <c r="W38" s="1603">
        <f>SUM(W39:W42)</f>
        <v>0</v>
      </c>
      <c r="X38" s="1423">
        <f t="shared" si="12"/>
        <v>0</v>
      </c>
      <c r="Y38" s="1423"/>
      <c r="Z38" s="1423"/>
    </row>
    <row r="39" spans="1:26" s="484" customFormat="1" ht="42.75" customHeight="1">
      <c r="A39" s="2170">
        <f>A37+1</f>
        <v>5</v>
      </c>
      <c r="B39" s="1889" t="s">
        <v>1623</v>
      </c>
      <c r="C39" s="1882"/>
      <c r="D39" s="1600">
        <f t="shared" si="13"/>
        <v>114201.7</v>
      </c>
      <c r="E39" s="1608">
        <f>E40+E41</f>
        <v>107348.8</v>
      </c>
      <c r="F39" s="1608">
        <f>F40+F41</f>
        <v>6852.9</v>
      </c>
      <c r="G39" s="1600">
        <f t="shared" ref="G39:G52" si="24">SUM(H39:I39)</f>
        <v>114201.7</v>
      </c>
      <c r="H39" s="1608">
        <f>H40+H41</f>
        <v>107348.8</v>
      </c>
      <c r="I39" s="1608">
        <f>I40+I41</f>
        <v>6852.9</v>
      </c>
      <c r="J39" s="1600">
        <f t="shared" si="22"/>
        <v>28065.1</v>
      </c>
      <c r="K39" s="1616">
        <f>K40+K41</f>
        <v>26380.9</v>
      </c>
      <c r="L39" s="1616">
        <f>L40+L41</f>
        <v>1684.2</v>
      </c>
      <c r="M39" s="1604">
        <f t="shared" si="3"/>
        <v>24.6</v>
      </c>
      <c r="N39" s="1881">
        <f t="shared" si="4"/>
        <v>24.6</v>
      </c>
      <c r="O39" s="1881">
        <f t="shared" si="5"/>
        <v>24.6</v>
      </c>
      <c r="P39" s="2169"/>
      <c r="Q39" s="2169"/>
      <c r="R39" s="1602">
        <f t="shared" si="20"/>
        <v>0</v>
      </c>
      <c r="S39" s="1614">
        <v>0</v>
      </c>
      <c r="T39" s="1614">
        <v>0</v>
      </c>
      <c r="U39" s="1602">
        <f t="shared" si="21"/>
        <v>0</v>
      </c>
      <c r="V39" s="1614">
        <v>0</v>
      </c>
      <c r="W39" s="1614">
        <v>0</v>
      </c>
      <c r="X39" s="1423">
        <f t="shared" si="12"/>
        <v>0</v>
      </c>
      <c r="Y39" s="1423"/>
      <c r="Z39" s="1423"/>
    </row>
    <row r="40" spans="1:26" s="484" customFormat="1" ht="27.75" customHeight="1">
      <c r="A40" s="2170"/>
      <c r="B40" s="1619" t="s">
        <v>1620</v>
      </c>
      <c r="C40" s="1882"/>
      <c r="D40" s="1600">
        <f>SUM(E40:F40)</f>
        <v>39965.599999999999</v>
      </c>
      <c r="E40" s="1608">
        <v>37567.599999999999</v>
      </c>
      <c r="F40" s="1608">
        <v>2398</v>
      </c>
      <c r="G40" s="1619">
        <f>SUM(H40:I40)</f>
        <v>39965.599999999999</v>
      </c>
      <c r="H40" s="1608">
        <f>E40</f>
        <v>37567.599999999999</v>
      </c>
      <c r="I40" s="1608">
        <f>F40</f>
        <v>2398</v>
      </c>
      <c r="J40" s="1600">
        <f>SUM(K40:L40)</f>
        <v>227.5</v>
      </c>
      <c r="K40" s="1616">
        <v>213.8</v>
      </c>
      <c r="L40" s="1616">
        <v>13.7</v>
      </c>
      <c r="M40" s="1604">
        <f t="shared" si="3"/>
        <v>0.6</v>
      </c>
      <c r="N40" s="1881">
        <f t="shared" si="4"/>
        <v>0.6</v>
      </c>
      <c r="O40" s="1881">
        <f t="shared" si="5"/>
        <v>0.6</v>
      </c>
      <c r="P40" s="2169"/>
      <c r="Q40" s="2169"/>
      <c r="R40" s="1602"/>
      <c r="S40" s="1614"/>
      <c r="T40" s="1614"/>
      <c r="U40" s="1602"/>
      <c r="V40" s="1614"/>
      <c r="W40" s="1614"/>
      <c r="X40" s="1423"/>
      <c r="Y40" s="1423"/>
      <c r="Z40" s="1423"/>
    </row>
    <row r="41" spans="1:26" s="484" customFormat="1" ht="26.25" customHeight="1">
      <c r="A41" s="2170"/>
      <c r="B41" s="1619" t="s">
        <v>1798</v>
      </c>
      <c r="C41" s="1882"/>
      <c r="D41" s="1602">
        <f>SUM(E41:F41)</f>
        <v>74236.100000000006</v>
      </c>
      <c r="E41" s="1616">
        <v>69781.2</v>
      </c>
      <c r="F41" s="1616">
        <v>4454.8999999999996</v>
      </c>
      <c r="G41" s="1609">
        <f>SUM(H41:I41)</f>
        <v>74236.100000000006</v>
      </c>
      <c r="H41" s="1616">
        <v>69781.2</v>
      </c>
      <c r="I41" s="1616">
        <v>4454.8999999999996</v>
      </c>
      <c r="J41" s="1602">
        <f>SUM(K41:L41)</f>
        <v>27837.599999999999</v>
      </c>
      <c r="K41" s="1616">
        <v>26167.1</v>
      </c>
      <c r="L41" s="1616">
        <v>1670.5</v>
      </c>
      <c r="M41" s="1604">
        <f t="shared" si="3"/>
        <v>37.5</v>
      </c>
      <c r="N41" s="1881">
        <f t="shared" si="4"/>
        <v>37.5</v>
      </c>
      <c r="O41" s="1881">
        <f t="shared" si="5"/>
        <v>37.5</v>
      </c>
      <c r="P41" s="2169"/>
      <c r="Q41" s="2169"/>
      <c r="R41" s="1602"/>
      <c r="S41" s="1614"/>
      <c r="T41" s="1614"/>
      <c r="U41" s="1602"/>
      <c r="V41" s="1614"/>
      <c r="W41" s="1614"/>
      <c r="X41" s="1423"/>
      <c r="Y41" s="1423"/>
      <c r="Z41" s="1423"/>
    </row>
    <row r="42" spans="1:26" s="484" customFormat="1" ht="44.25" customHeight="1">
      <c r="A42" s="2170">
        <f>A39+1</f>
        <v>6</v>
      </c>
      <c r="B42" s="1889" t="s">
        <v>1660</v>
      </c>
      <c r="C42" s="1882"/>
      <c r="D42" s="1616">
        <f t="shared" si="13"/>
        <v>29630.2</v>
      </c>
      <c r="E42" s="1616">
        <f>E43+E44</f>
        <v>25872.7</v>
      </c>
      <c r="F42" s="1616">
        <f>F43+F44</f>
        <v>3757.5</v>
      </c>
      <c r="G42" s="1616">
        <f t="shared" si="24"/>
        <v>29630.2</v>
      </c>
      <c r="H42" s="1616">
        <f>H43+H44</f>
        <v>25872.7</v>
      </c>
      <c r="I42" s="1616">
        <f>I43+I44</f>
        <v>3757.5</v>
      </c>
      <c r="J42" s="1616">
        <f t="shared" si="22"/>
        <v>27683.5</v>
      </c>
      <c r="K42" s="1616">
        <f>K43+K44</f>
        <v>25872.7</v>
      </c>
      <c r="L42" s="1616">
        <f>L43+L44</f>
        <v>1810.8</v>
      </c>
      <c r="M42" s="1604">
        <f t="shared" si="3"/>
        <v>93.4</v>
      </c>
      <c r="N42" s="1881">
        <f t="shared" si="4"/>
        <v>100</v>
      </c>
      <c r="O42" s="1881">
        <f t="shared" si="5"/>
        <v>48.2</v>
      </c>
      <c r="P42" s="2169"/>
      <c r="Q42" s="2169"/>
      <c r="R42" s="1616">
        <f t="shared" si="20"/>
        <v>0</v>
      </c>
      <c r="S42" s="1616">
        <f>S44</f>
        <v>0</v>
      </c>
      <c r="T42" s="1616">
        <f>T44</f>
        <v>0</v>
      </c>
      <c r="U42" s="1616">
        <f t="shared" si="21"/>
        <v>0</v>
      </c>
      <c r="V42" s="1616">
        <f>V44</f>
        <v>0</v>
      </c>
      <c r="W42" s="1616">
        <f>W44</f>
        <v>0</v>
      </c>
      <c r="X42" s="1423">
        <f t="shared" si="12"/>
        <v>0</v>
      </c>
      <c r="Y42" s="1423"/>
      <c r="Z42" s="1423"/>
    </row>
    <row r="43" spans="1:26" s="484" customFormat="1" ht="30.75" customHeight="1">
      <c r="A43" s="2170"/>
      <c r="B43" s="1619" t="s">
        <v>1798</v>
      </c>
      <c r="C43" s="1882"/>
      <c r="D43" s="1600">
        <f>SUM(E43:F43)</f>
        <v>27524.400000000001</v>
      </c>
      <c r="E43" s="1865">
        <v>25872.7</v>
      </c>
      <c r="F43" s="1865">
        <v>1651.7</v>
      </c>
      <c r="G43" s="1600">
        <f>SUM(H43:I43)</f>
        <v>27524.400000000001</v>
      </c>
      <c r="H43" s="1608">
        <v>25872.7</v>
      </c>
      <c r="I43" s="1608">
        <v>1651.7</v>
      </c>
      <c r="J43" s="1600">
        <f>SUM(K43:L43)</f>
        <v>27524.400000000001</v>
      </c>
      <c r="K43" s="1864">
        <v>25872.7</v>
      </c>
      <c r="L43" s="1864">
        <v>1651.7</v>
      </c>
      <c r="M43" s="1602">
        <f t="shared" si="3"/>
        <v>100</v>
      </c>
      <c r="N43" s="2161">
        <f t="shared" si="4"/>
        <v>100</v>
      </c>
      <c r="O43" s="2161">
        <f t="shared" si="5"/>
        <v>100</v>
      </c>
      <c r="P43" s="2169"/>
      <c r="Q43" s="2169"/>
      <c r="R43" s="1616"/>
      <c r="S43" s="1616"/>
      <c r="T43" s="1616"/>
      <c r="U43" s="1616"/>
      <c r="V43" s="1616"/>
      <c r="W43" s="1616"/>
      <c r="X43" s="1423"/>
      <c r="Y43" s="1423"/>
      <c r="Z43" s="1423"/>
    </row>
    <row r="44" spans="1:26" s="484" customFormat="1" ht="23.25">
      <c r="A44" s="2170"/>
      <c r="B44" s="1619" t="s">
        <v>1621</v>
      </c>
      <c r="C44" s="1906"/>
      <c r="D44" s="1600">
        <f t="shared" si="13"/>
        <v>2105.8000000000002</v>
      </c>
      <c r="E44" s="1865"/>
      <c r="F44" s="1865">
        <f>35698.6-33592.8</f>
        <v>2105.8000000000002</v>
      </c>
      <c r="G44" s="1600">
        <f t="shared" si="24"/>
        <v>2105.8000000000002</v>
      </c>
      <c r="H44" s="1608">
        <f t="shared" si="15"/>
        <v>0</v>
      </c>
      <c r="I44" s="1608">
        <f t="shared" si="15"/>
        <v>2105.8000000000002</v>
      </c>
      <c r="J44" s="1600">
        <f t="shared" si="22"/>
        <v>159.1</v>
      </c>
      <c r="K44" s="1864"/>
      <c r="L44" s="1864">
        <v>159.1</v>
      </c>
      <c r="M44" s="1602">
        <f t="shared" si="3"/>
        <v>7.6</v>
      </c>
      <c r="N44" s="2161">
        <f t="shared" si="4"/>
        <v>0</v>
      </c>
      <c r="O44" s="2161">
        <f t="shared" si="5"/>
        <v>7.6</v>
      </c>
      <c r="P44" s="2169"/>
      <c r="Q44" s="2169"/>
      <c r="R44" s="1609">
        <f t="shared" si="20"/>
        <v>0</v>
      </c>
      <c r="S44" s="1614">
        <v>0</v>
      </c>
      <c r="T44" s="1614">
        <v>0</v>
      </c>
      <c r="U44" s="1602">
        <f t="shared" si="21"/>
        <v>0</v>
      </c>
      <c r="V44" s="1614">
        <v>0</v>
      </c>
      <c r="W44" s="1614">
        <v>0</v>
      </c>
      <c r="X44" s="1423">
        <f t="shared" si="12"/>
        <v>0</v>
      </c>
      <c r="Y44" s="1423"/>
      <c r="Z44" s="1423"/>
    </row>
    <row r="45" spans="1:26" s="484" customFormat="1" ht="23.25" hidden="1" customHeight="1">
      <c r="A45" s="2170"/>
      <c r="B45" s="1935" t="s">
        <v>712</v>
      </c>
      <c r="C45" s="1906"/>
      <c r="D45" s="1600" t="s">
        <v>332</v>
      </c>
      <c r="E45" s="1865"/>
      <c r="F45" s="1865"/>
      <c r="G45" s="1600"/>
      <c r="H45" s="1608"/>
      <c r="I45" s="1608"/>
      <c r="J45" s="1600"/>
      <c r="K45" s="1864"/>
      <c r="L45" s="1864"/>
      <c r="M45" s="1602">
        <f t="shared" si="3"/>
        <v>0</v>
      </c>
      <c r="N45" s="2161">
        <f t="shared" si="4"/>
        <v>0</v>
      </c>
      <c r="O45" s="2161">
        <f t="shared" si="5"/>
        <v>0</v>
      </c>
      <c r="P45" s="2169"/>
      <c r="Q45" s="2169"/>
      <c r="R45" s="1609"/>
      <c r="S45" s="1614"/>
      <c r="T45" s="1614"/>
      <c r="U45" s="1602"/>
      <c r="V45" s="1614"/>
      <c r="W45" s="1614"/>
      <c r="X45" s="1423"/>
      <c r="Y45" s="1423"/>
      <c r="Z45" s="1423"/>
    </row>
    <row r="46" spans="1:26" s="484" customFormat="1" ht="23.25">
      <c r="A46" s="2170">
        <f>A42+1</f>
        <v>7</v>
      </c>
      <c r="B46" s="2172" t="s">
        <v>1803</v>
      </c>
      <c r="C46" s="1906"/>
      <c r="D46" s="1600">
        <f>E46+F46</f>
        <v>2229.1999999999998</v>
      </c>
      <c r="E46" s="1865">
        <f>E47</f>
        <v>0</v>
      </c>
      <c r="F46" s="2174">
        <f>F47</f>
        <v>2229.1999999999998</v>
      </c>
      <c r="G46" s="1600">
        <f>H46+I46</f>
        <v>2229.1999999999998</v>
      </c>
      <c r="H46" s="1865">
        <f>H47</f>
        <v>0</v>
      </c>
      <c r="I46" s="1865">
        <f>I47</f>
        <v>2229.1999999999998</v>
      </c>
      <c r="J46" s="1600">
        <f>K46+L46</f>
        <v>2229.1999999999998</v>
      </c>
      <c r="K46" s="1864">
        <f>K47</f>
        <v>0</v>
      </c>
      <c r="L46" s="1864">
        <f>L47</f>
        <v>2229.1999999999998</v>
      </c>
      <c r="M46" s="1602">
        <f t="shared" si="3"/>
        <v>100</v>
      </c>
      <c r="N46" s="2161">
        <f t="shared" si="4"/>
        <v>0</v>
      </c>
      <c r="O46" s="2161">
        <f t="shared" si="5"/>
        <v>100</v>
      </c>
      <c r="P46" s="2169"/>
      <c r="Q46" s="2169"/>
      <c r="R46" s="1609"/>
      <c r="S46" s="1614"/>
      <c r="T46" s="1614"/>
      <c r="U46" s="1602"/>
      <c r="V46" s="1614"/>
      <c r="W46" s="1614"/>
      <c r="X46" s="1423"/>
      <c r="Y46" s="1423"/>
      <c r="Z46" s="1423"/>
    </row>
    <row r="47" spans="1:26" s="484" customFormat="1" ht="66" customHeight="1">
      <c r="A47" s="2170"/>
      <c r="B47" s="1905" t="s">
        <v>1802</v>
      </c>
      <c r="C47" s="1906"/>
      <c r="D47" s="1600">
        <f>E47+F47</f>
        <v>2229.1999999999998</v>
      </c>
      <c r="E47" s="1865">
        <f>E48</f>
        <v>0</v>
      </c>
      <c r="F47" s="1865">
        <f>F48</f>
        <v>2229.1999999999998</v>
      </c>
      <c r="G47" s="1619">
        <f>H47+I47</f>
        <v>2229.1999999999998</v>
      </c>
      <c r="H47" s="1865">
        <f>H48</f>
        <v>0</v>
      </c>
      <c r="I47" s="1865">
        <f>I48</f>
        <v>2229.1999999999998</v>
      </c>
      <c r="J47" s="1600">
        <f>K47+L47</f>
        <v>2229.1999999999998</v>
      </c>
      <c r="K47" s="1864">
        <f>K48</f>
        <v>0</v>
      </c>
      <c r="L47" s="1864">
        <f>L48</f>
        <v>2229.1999999999998</v>
      </c>
      <c r="M47" s="1602">
        <f t="shared" si="3"/>
        <v>100</v>
      </c>
      <c r="N47" s="2161">
        <f t="shared" si="4"/>
        <v>0</v>
      </c>
      <c r="O47" s="2161">
        <f t="shared" si="5"/>
        <v>100</v>
      </c>
      <c r="P47" s="2169"/>
      <c r="Q47" s="2169"/>
      <c r="R47" s="1609"/>
      <c r="S47" s="1614"/>
      <c r="T47" s="1614"/>
      <c r="U47" s="1602"/>
      <c r="V47" s="1614"/>
      <c r="W47" s="1614"/>
      <c r="X47" s="1423"/>
      <c r="Y47" s="1423"/>
      <c r="Z47" s="1423"/>
    </row>
    <row r="48" spans="1:26" s="484" customFormat="1" ht="23.25">
      <c r="A48" s="2170"/>
      <c r="B48" s="1619" t="s">
        <v>1621</v>
      </c>
      <c r="C48" s="1906"/>
      <c r="D48" s="1600">
        <f>SUM(E48:F48)</f>
        <v>2229.1999999999998</v>
      </c>
      <c r="E48" s="1865"/>
      <c r="F48" s="1865">
        <v>2229.1999999999998</v>
      </c>
      <c r="G48" s="1619">
        <f>SUM(H48:I48)</f>
        <v>2229.1999999999998</v>
      </c>
      <c r="H48" s="1608">
        <f>E48</f>
        <v>0</v>
      </c>
      <c r="I48" s="1608">
        <v>2229.1999999999998</v>
      </c>
      <c r="J48" s="1600">
        <f>SUM(K48:L48)</f>
        <v>2229.1999999999998</v>
      </c>
      <c r="K48" s="1864"/>
      <c r="L48" s="1864">
        <v>2229.1999999999998</v>
      </c>
      <c r="M48" s="1602">
        <f t="shared" si="3"/>
        <v>100</v>
      </c>
      <c r="N48" s="2161">
        <f t="shared" si="4"/>
        <v>0</v>
      </c>
      <c r="O48" s="2161">
        <f t="shared" si="5"/>
        <v>100</v>
      </c>
      <c r="P48" s="2169"/>
      <c r="Q48" s="2169"/>
      <c r="R48" s="1609"/>
      <c r="S48" s="1614"/>
      <c r="T48" s="1614"/>
      <c r="U48" s="1602"/>
      <c r="V48" s="1614"/>
      <c r="W48" s="1614"/>
      <c r="X48" s="1423"/>
      <c r="Y48" s="1423"/>
      <c r="Z48" s="1423"/>
    </row>
    <row r="49" spans="1:26" s="484" customFormat="1" ht="23.25">
      <c r="A49" s="2170"/>
      <c r="B49" s="2172" t="s">
        <v>1626</v>
      </c>
      <c r="C49" s="1882"/>
      <c r="D49" s="1602">
        <f t="shared" si="13"/>
        <v>2164.3000000000002</v>
      </c>
      <c r="E49" s="1603">
        <f>E50</f>
        <v>1990</v>
      </c>
      <c r="F49" s="1603">
        <f>F50</f>
        <v>174.3</v>
      </c>
      <c r="G49" s="1602">
        <f>G50</f>
        <v>2164.3000000000002</v>
      </c>
      <c r="H49" s="1603">
        <f t="shared" si="15"/>
        <v>1990</v>
      </c>
      <c r="I49" s="1603">
        <f>I50</f>
        <v>174.3</v>
      </c>
      <c r="J49" s="1602">
        <f t="shared" si="22"/>
        <v>2103</v>
      </c>
      <c r="K49" s="1603">
        <f>K50</f>
        <v>1932.4</v>
      </c>
      <c r="L49" s="1603">
        <f>L50</f>
        <v>170.6</v>
      </c>
      <c r="M49" s="1603">
        <f t="shared" si="3"/>
        <v>97.2</v>
      </c>
      <c r="N49" s="1603">
        <f t="shared" si="4"/>
        <v>97.1</v>
      </c>
      <c r="O49" s="1603">
        <f t="shared" si="5"/>
        <v>97.9</v>
      </c>
      <c r="P49" s="2169"/>
      <c r="Q49" s="2169"/>
      <c r="R49" s="1602">
        <f t="shared" si="20"/>
        <v>0</v>
      </c>
      <c r="S49" s="1603">
        <f>S50</f>
        <v>0</v>
      </c>
      <c r="T49" s="1603">
        <f>T50</f>
        <v>0</v>
      </c>
      <c r="U49" s="1602">
        <f t="shared" si="21"/>
        <v>0</v>
      </c>
      <c r="V49" s="1603">
        <f>V50</f>
        <v>0</v>
      </c>
      <c r="W49" s="1603">
        <f>W50</f>
        <v>0</v>
      </c>
      <c r="X49" s="1423">
        <f t="shared" si="12"/>
        <v>0</v>
      </c>
      <c r="Y49" s="1423"/>
      <c r="Z49" s="1423"/>
    </row>
    <row r="50" spans="1:26" s="484" customFormat="1" ht="37.5">
      <c r="A50" s="2170">
        <f>A46+1</f>
        <v>8</v>
      </c>
      <c r="B50" s="1889" t="s">
        <v>1627</v>
      </c>
      <c r="C50" s="1882"/>
      <c r="D50" s="1600">
        <f t="shared" si="13"/>
        <v>2164.3000000000002</v>
      </c>
      <c r="E50" s="1616">
        <f>SUBTOTAL(9,E51:E52)</f>
        <v>1990</v>
      </c>
      <c r="F50" s="1616">
        <f>SUBTOTAL(9,F51:F52)</f>
        <v>174.3</v>
      </c>
      <c r="G50" s="1600">
        <f t="shared" si="24"/>
        <v>2164.3000000000002</v>
      </c>
      <c r="H50" s="1616">
        <f>SUBTOTAL(9,H51:H52)</f>
        <v>1990</v>
      </c>
      <c r="I50" s="1616">
        <f>SUBTOTAL(9,I51:I52)</f>
        <v>174.3</v>
      </c>
      <c r="J50" s="1600">
        <f t="shared" si="22"/>
        <v>2103</v>
      </c>
      <c r="K50" s="1608">
        <f>K51+K52</f>
        <v>1932.4</v>
      </c>
      <c r="L50" s="1608">
        <f>L51+L52</f>
        <v>170.6</v>
      </c>
      <c r="M50" s="1604">
        <f t="shared" si="3"/>
        <v>97.2</v>
      </c>
      <c r="N50" s="1881">
        <f t="shared" si="4"/>
        <v>97.1</v>
      </c>
      <c r="O50" s="1881">
        <f t="shared" si="5"/>
        <v>97.9</v>
      </c>
      <c r="P50" s="2169"/>
      <c r="Q50" s="2169"/>
      <c r="R50" s="1600">
        <f t="shared" si="20"/>
        <v>0</v>
      </c>
      <c r="S50" s="1608">
        <f>S52</f>
        <v>0</v>
      </c>
      <c r="T50" s="1608">
        <f>T52</f>
        <v>0</v>
      </c>
      <c r="U50" s="1600">
        <f t="shared" si="21"/>
        <v>0</v>
      </c>
      <c r="V50" s="1608">
        <f>V52</f>
        <v>0</v>
      </c>
      <c r="W50" s="1608">
        <f>W52</f>
        <v>0</v>
      </c>
      <c r="X50" s="1423">
        <f t="shared" si="12"/>
        <v>0</v>
      </c>
      <c r="Y50" s="1423"/>
      <c r="Z50" s="1423"/>
    </row>
    <row r="51" spans="1:26" s="484" customFormat="1" ht="23.25">
      <c r="A51" s="2170"/>
      <c r="B51" s="1619" t="s">
        <v>1798</v>
      </c>
      <c r="C51" s="1882"/>
      <c r="D51" s="1600">
        <f>SUM(E51:F51)</f>
        <v>2117.1</v>
      </c>
      <c r="E51" s="1865">
        <v>1990</v>
      </c>
      <c r="F51" s="1865">
        <v>127.1</v>
      </c>
      <c r="G51" s="1619">
        <f>SUM(H51:I51)</f>
        <v>2117.1</v>
      </c>
      <c r="H51" s="1865">
        <v>1990</v>
      </c>
      <c r="I51" s="1865">
        <v>127.1</v>
      </c>
      <c r="J51" s="1600">
        <f>SUM(K51:L51)</f>
        <v>2055.8000000000002</v>
      </c>
      <c r="K51" s="1865">
        <v>1932.4</v>
      </c>
      <c r="L51" s="1865">
        <v>123.4</v>
      </c>
      <c r="M51" s="1602">
        <f t="shared" si="3"/>
        <v>97.1</v>
      </c>
      <c r="N51" s="2161">
        <f t="shared" si="4"/>
        <v>97.1</v>
      </c>
      <c r="O51" s="2161">
        <f t="shared" si="5"/>
        <v>97.1</v>
      </c>
      <c r="P51" s="2169"/>
      <c r="Q51" s="2169"/>
      <c r="R51" s="1600"/>
      <c r="S51" s="1608"/>
      <c r="T51" s="1608"/>
      <c r="U51" s="1600"/>
      <c r="V51" s="1608"/>
      <c r="W51" s="1608"/>
      <c r="X51" s="1423"/>
      <c r="Y51" s="1423"/>
      <c r="Z51" s="1423"/>
    </row>
    <row r="52" spans="1:26" s="484" customFormat="1" ht="23.25">
      <c r="A52" s="2170"/>
      <c r="B52" s="1619" t="s">
        <v>1621</v>
      </c>
      <c r="C52" s="1906"/>
      <c r="D52" s="1600">
        <f t="shared" si="13"/>
        <v>47.2</v>
      </c>
      <c r="E52" s="1865"/>
      <c r="F52" s="1616">
        <f>2446-2398.8</f>
        <v>47.2</v>
      </c>
      <c r="G52" s="1619">
        <f t="shared" si="24"/>
        <v>47.2</v>
      </c>
      <c r="H52" s="1616">
        <f t="shared" si="15"/>
        <v>0</v>
      </c>
      <c r="I52" s="1616">
        <f>2446-2398.8</f>
        <v>47.2</v>
      </c>
      <c r="J52" s="1600">
        <f t="shared" si="22"/>
        <v>47.2</v>
      </c>
      <c r="K52" s="1865"/>
      <c r="L52" s="1865">
        <v>47.2</v>
      </c>
      <c r="M52" s="1602">
        <f t="shared" si="3"/>
        <v>100</v>
      </c>
      <c r="N52" s="2161">
        <f t="shared" si="4"/>
        <v>0</v>
      </c>
      <c r="O52" s="2161">
        <f t="shared" si="5"/>
        <v>100</v>
      </c>
      <c r="P52" s="2169"/>
      <c r="Q52" s="2169"/>
      <c r="R52" s="1600">
        <f t="shared" si="20"/>
        <v>0</v>
      </c>
      <c r="S52" s="1614">
        <v>0</v>
      </c>
      <c r="T52" s="1614">
        <v>0</v>
      </c>
      <c r="U52" s="1600">
        <f t="shared" si="21"/>
        <v>0</v>
      </c>
      <c r="V52" s="1614">
        <v>0</v>
      </c>
      <c r="W52" s="1614">
        <v>0</v>
      </c>
      <c r="X52" s="1423">
        <f t="shared" si="12"/>
        <v>0</v>
      </c>
      <c r="Y52" s="1423"/>
      <c r="Z52" s="1423"/>
    </row>
    <row r="53" spans="1:26" ht="46.5" customHeight="1">
      <c r="A53" s="2149" t="s">
        <v>2</v>
      </c>
      <c r="B53" s="2150" t="s">
        <v>1695</v>
      </c>
      <c r="C53" s="2151"/>
      <c r="D53" s="2152">
        <f t="shared" si="13"/>
        <v>3517376.4</v>
      </c>
      <c r="E53" s="2152">
        <f>SUM(E57:E60)</f>
        <v>3226945.6</v>
      </c>
      <c r="F53" s="2152">
        <f>SUM(F57:F60)</f>
        <v>290430.8</v>
      </c>
      <c r="G53" s="2152">
        <f t="shared" ref="G53" si="25">SUM(H53:I53)</f>
        <v>3517376.4</v>
      </c>
      <c r="H53" s="2152">
        <f>SUM(H57:H60)</f>
        <v>3226945.6</v>
      </c>
      <c r="I53" s="2152">
        <f>SUM(I57:I60)</f>
        <v>290430.8</v>
      </c>
      <c r="J53" s="2152">
        <f t="shared" ref="J53" si="26">SUM(K53:L53)</f>
        <v>1693209.6000000001</v>
      </c>
      <c r="K53" s="2152">
        <f>SUM(K57:K60)</f>
        <v>1554028.7</v>
      </c>
      <c r="L53" s="2152">
        <f>SUM(L57:L60)</f>
        <v>139180.9</v>
      </c>
      <c r="M53" s="2153">
        <f t="shared" si="3"/>
        <v>48.1</v>
      </c>
      <c r="N53" s="2154">
        <f t="shared" si="4"/>
        <v>48.2</v>
      </c>
      <c r="O53" s="2154">
        <f t="shared" si="5"/>
        <v>47.9</v>
      </c>
      <c r="P53" s="1622" t="s">
        <v>353</v>
      </c>
      <c r="Q53" s="1622" t="s">
        <v>353</v>
      </c>
      <c r="R53" s="1861" t="e">
        <f t="shared" si="20"/>
        <v>#REF!</v>
      </c>
      <c r="S53" s="1861" t="e">
        <f>SUM(#REF!,#REF!)</f>
        <v>#REF!</v>
      </c>
      <c r="T53" s="1861" t="e">
        <f>SUM(#REF!,#REF!)</f>
        <v>#REF!</v>
      </c>
      <c r="U53" s="1861" t="e">
        <f t="shared" si="21"/>
        <v>#REF!</v>
      </c>
      <c r="V53" s="1861" t="e">
        <f>SUM(#REF!,#REF!)</f>
        <v>#REF!</v>
      </c>
      <c r="W53" s="1861" t="e">
        <f>SUM(#REF!,#REF!)</f>
        <v>#REF!</v>
      </c>
      <c r="X53" s="1423">
        <f t="shared" si="12"/>
        <v>0</v>
      </c>
      <c r="Y53" s="1423"/>
      <c r="Z53" s="1423"/>
    </row>
    <row r="54" spans="1:26" ht="27" hidden="1" customHeight="1">
      <c r="A54" s="2170"/>
      <c r="B54" s="1897" t="s">
        <v>1650</v>
      </c>
      <c r="C54" s="1898"/>
      <c r="D54" s="1899">
        <f t="shared" ref="D54:D59" si="27">SUM(E54:F54)</f>
        <v>0</v>
      </c>
      <c r="E54" s="1899">
        <f>SUM(E55)</f>
        <v>0</v>
      </c>
      <c r="F54" s="1899">
        <f>SUM(F55)</f>
        <v>0</v>
      </c>
      <c r="G54" s="1899">
        <f t="shared" ref="G54:G55" si="28">SUM(H54:I54)</f>
        <v>0</v>
      </c>
      <c r="H54" s="1899">
        <f>SUM(H55)</f>
        <v>0</v>
      </c>
      <c r="I54" s="1899">
        <f>SUM(I55)</f>
        <v>0</v>
      </c>
      <c r="J54" s="1899">
        <f t="shared" ref="J54:J57" si="29">SUM(K54:L54)</f>
        <v>0</v>
      </c>
      <c r="K54" s="1899">
        <f>SUM(K55)</f>
        <v>0</v>
      </c>
      <c r="L54" s="1899">
        <f>SUM(L55)</f>
        <v>0</v>
      </c>
      <c r="M54" s="1640">
        <f t="shared" si="3"/>
        <v>0</v>
      </c>
      <c r="N54" s="2161">
        <f t="shared" si="4"/>
        <v>0</v>
      </c>
      <c r="O54" s="2161">
        <f t="shared" si="5"/>
        <v>0</v>
      </c>
      <c r="P54" s="1599"/>
      <c r="Q54" s="1599"/>
      <c r="R54" s="1899">
        <f>SUM(S54:T54)</f>
        <v>0</v>
      </c>
      <c r="S54" s="1899">
        <f>SUM(S55)</f>
        <v>0</v>
      </c>
      <c r="T54" s="1899">
        <f>SUM(T55)</f>
        <v>0</v>
      </c>
      <c r="U54" s="1899">
        <f>SUM(V54:W54)</f>
        <v>788784.8</v>
      </c>
      <c r="V54" s="1899">
        <f>SUM(V55)</f>
        <v>780897</v>
      </c>
      <c r="W54" s="1899">
        <f>SUM(W55)</f>
        <v>7887.8</v>
      </c>
      <c r="Y54" s="1423"/>
      <c r="Z54" s="1423"/>
    </row>
    <row r="55" spans="1:26" s="1607" customFormat="1" ht="44.25" hidden="1" customHeight="1">
      <c r="A55" s="2170" t="e">
        <f>#REF!+1</f>
        <v>#REF!</v>
      </c>
      <c r="B55" s="1890" t="s">
        <v>455</v>
      </c>
      <c r="C55" s="1880">
        <v>14057</v>
      </c>
      <c r="D55" s="1600">
        <f t="shared" si="27"/>
        <v>0</v>
      </c>
      <c r="E55" s="1614"/>
      <c r="F55" s="1614"/>
      <c r="G55" s="1600">
        <f t="shared" si="28"/>
        <v>0</v>
      </c>
      <c r="H55" s="1614"/>
      <c r="I55" s="1614"/>
      <c r="J55" s="1600">
        <f t="shared" si="29"/>
        <v>0</v>
      </c>
      <c r="K55" s="1614"/>
      <c r="L55" s="1614"/>
      <c r="M55" s="1604">
        <f t="shared" si="3"/>
        <v>0</v>
      </c>
      <c r="N55" s="1881">
        <f t="shared" si="4"/>
        <v>0</v>
      </c>
      <c r="O55" s="1881">
        <f t="shared" si="5"/>
        <v>0</v>
      </c>
      <c r="P55" s="2169" t="s">
        <v>1192</v>
      </c>
      <c r="Q55" s="2169" t="s">
        <v>1206</v>
      </c>
      <c r="R55" s="1600">
        <f>SUM(S55:T55)</f>
        <v>0</v>
      </c>
      <c r="S55" s="1614">
        <v>0</v>
      </c>
      <c r="T55" s="1614">
        <v>0</v>
      </c>
      <c r="U55" s="1600">
        <f>SUM(V55:W55)</f>
        <v>788784.8</v>
      </c>
      <c r="V55" s="1614">
        <v>780897</v>
      </c>
      <c r="W55" s="1614">
        <v>7887.8</v>
      </c>
      <c r="Y55" s="1423"/>
      <c r="Z55" s="1423"/>
    </row>
    <row r="56" spans="1:26" s="1607" customFormat="1" ht="44.25" hidden="1" customHeight="1">
      <c r="A56" s="2170"/>
      <c r="B56" s="1890"/>
      <c r="C56" s="1880"/>
      <c r="D56" s="1600"/>
      <c r="E56" s="1614"/>
      <c r="F56" s="1614"/>
      <c r="G56" s="1600"/>
      <c r="H56" s="1614"/>
      <c r="I56" s="1614"/>
      <c r="J56" s="1600"/>
      <c r="K56" s="1600"/>
      <c r="L56" s="1600"/>
      <c r="M56" s="1604">
        <f t="shared" si="3"/>
        <v>0</v>
      </c>
      <c r="N56" s="1881">
        <f t="shared" si="4"/>
        <v>0</v>
      </c>
      <c r="O56" s="1881">
        <f t="shared" si="5"/>
        <v>0</v>
      </c>
      <c r="P56" s="2169"/>
      <c r="Q56" s="2169"/>
      <c r="R56" s="1600"/>
      <c r="S56" s="1614"/>
      <c r="T56" s="1614"/>
      <c r="U56" s="1600"/>
      <c r="V56" s="1614"/>
      <c r="W56" s="1614"/>
      <c r="Y56" s="1423"/>
      <c r="Z56" s="1423"/>
    </row>
    <row r="57" spans="1:26" ht="23.25">
      <c r="A57" s="2044"/>
      <c r="B57" s="2049" t="s">
        <v>1834</v>
      </c>
      <c r="C57" s="2047"/>
      <c r="D57" s="2048">
        <f>SUM(E57:F57)</f>
        <v>2675187.6</v>
      </c>
      <c r="E57" s="2049">
        <f>E65+E70+E73+E79+E86+E90+E97+E101+E110+E113+E116+E120+E124+E126+E129+E132+E135+E140+E142+E145+E149+E153+E156+E76+E82+E93+E66</f>
        <v>2514202.4</v>
      </c>
      <c r="F57" s="2049">
        <f>F65+F70+F73+F79+F86+F90+F97+F101+F110+F113+F116+F120+F124+F126+F129+F132+F135+F140+F142+F145+F149+F153+F156+F76+F82+F93+F66</f>
        <v>160985.20000000001</v>
      </c>
      <c r="G57" s="2048">
        <f>SUM(H57:I57)</f>
        <v>2675187.6</v>
      </c>
      <c r="H57" s="2049">
        <f>H65+H70+H73+H79+H86+H90+H97+H101+H110+H113+H116+H120+H124+H126+H129+H132+H135+H140+H142+H145+H149+H153+H156+H76+H82+H93+H66</f>
        <v>2514202.4</v>
      </c>
      <c r="I57" s="2049">
        <f>I65+I70+I73+I79+I86+I90+I97+I101+I110+I113+I116+I120+I124+I126+I129+I132+I135+I140+I142+I145+I149+I153+I156+I76+I82+I93+I66</f>
        <v>160985.20000000001</v>
      </c>
      <c r="J57" s="2048">
        <f t="shared" si="29"/>
        <v>1249761.1000000001</v>
      </c>
      <c r="K57" s="2049">
        <f>K65+K70+K73+K79+K86+K90+K97+K101+K110+K113+K116+K120+K124+K126+K129+K132+K135+K140+K142+K145+K149+K153+K156+K76+K82+K93+K66</f>
        <v>1174647.3999999999</v>
      </c>
      <c r="L57" s="2049">
        <f>L65+L70+L73+L79+L86+L90+L97+L101+L110+L113+L116+L120+L124+L126+L129+L132+L135+L140+L142+L145+L149+L153+L156+L76+L82+L93+L66</f>
        <v>75113.7</v>
      </c>
      <c r="M57" s="2166">
        <f t="shared" si="3"/>
        <v>46.7</v>
      </c>
      <c r="N57" s="2166">
        <f t="shared" si="4"/>
        <v>46.7</v>
      </c>
      <c r="O57" s="2166">
        <f t="shared" si="5"/>
        <v>46.7</v>
      </c>
      <c r="P57" s="1860"/>
      <c r="Q57" s="1860"/>
      <c r="R57" s="1860"/>
      <c r="S57" s="1860"/>
      <c r="T57" s="1860"/>
      <c r="U57" s="1860"/>
      <c r="V57" s="1860"/>
      <c r="W57" s="1860"/>
      <c r="X57" s="1423">
        <f>D57-G57</f>
        <v>0</v>
      </c>
      <c r="Y57" s="1423"/>
      <c r="Z57" s="1423"/>
    </row>
    <row r="58" spans="1:26" ht="23.25">
      <c r="A58" s="2044"/>
      <c r="B58" s="2049" t="s">
        <v>1798</v>
      </c>
      <c r="C58" s="2047"/>
      <c r="D58" s="2048">
        <f>E58+F58</f>
        <v>452520.5</v>
      </c>
      <c r="E58" s="2049">
        <f>E83+E87+E94+E98+E117+E121+E136+E147</f>
        <v>425356.1</v>
      </c>
      <c r="F58" s="2049">
        <f>F83+F87+F94+F98+F117+F121+F136+F147</f>
        <v>27164.400000000001</v>
      </c>
      <c r="G58" s="2048">
        <f>H58+I58</f>
        <v>452520.5</v>
      </c>
      <c r="H58" s="2049">
        <f>H83+H87+H94+H98+H117+H121+H136+H147</f>
        <v>425356.1</v>
      </c>
      <c r="I58" s="2049">
        <f>I83+I87+I94+I98+I117+I121+I136+I147</f>
        <v>27164.400000000001</v>
      </c>
      <c r="J58" s="2048">
        <f>K58+L58</f>
        <v>222096.2</v>
      </c>
      <c r="K58" s="2049">
        <f>K83+K87+K94+K98+K117+K121+K136+K147</f>
        <v>208768.1</v>
      </c>
      <c r="L58" s="2049">
        <f>L83+L87+L94+L98+L117+L121+L136+L147</f>
        <v>13328.1</v>
      </c>
      <c r="M58" s="2166">
        <f t="shared" si="3"/>
        <v>49.1</v>
      </c>
      <c r="N58" s="2166">
        <f t="shared" si="4"/>
        <v>49.1</v>
      </c>
      <c r="O58" s="2166">
        <f t="shared" si="5"/>
        <v>49.1</v>
      </c>
      <c r="P58" s="1860"/>
      <c r="Q58" s="1860"/>
      <c r="R58" s="1860"/>
      <c r="S58" s="1860"/>
      <c r="T58" s="1860"/>
      <c r="U58" s="1860"/>
      <c r="V58" s="1860"/>
      <c r="W58" s="1860"/>
      <c r="X58" s="1423"/>
      <c r="Y58" s="1423"/>
      <c r="Z58" s="1423"/>
    </row>
    <row r="59" spans="1:26" ht="26.25" customHeight="1">
      <c r="A59" s="2044"/>
      <c r="B59" s="2049" t="s">
        <v>1770</v>
      </c>
      <c r="C59" s="2047"/>
      <c r="D59" s="2048">
        <f t="shared" si="27"/>
        <v>306117.59999999998</v>
      </c>
      <c r="E59" s="2049">
        <f>E62+E67+E71+E74+E77+E80+E84+E88+E91+E99+E102+E104+E111+E118+E122+E137+E143+E150+E154+E157+E107</f>
        <v>287387.09999999998</v>
      </c>
      <c r="F59" s="2049">
        <f>F62+F67+F71+F74+F77+F80+F84+F88+F91+F99+F102+F104+F111+F118+F122+F137+F143+F150+F154+F157+F107</f>
        <v>18730.5</v>
      </c>
      <c r="G59" s="2048">
        <f>SUM(H59:I59)</f>
        <v>306117.59999999998</v>
      </c>
      <c r="H59" s="2049">
        <f>H62+H67+H71+H74+H77+H80+H84+H88+H91+H99+H102+H104+H111+H118+H122+H137+H143+H150+H154+H157+H107</f>
        <v>287387.09999999998</v>
      </c>
      <c r="I59" s="2049">
        <f>I62+I67+I71+I74+I77+I80+I84+I88+I91+I99+I102+I104+I111+I118+I122+I137+I143+I150+I154+I157+I107</f>
        <v>18730.5</v>
      </c>
      <c r="J59" s="2048">
        <f>SUM(K59:L59)</f>
        <v>181720</v>
      </c>
      <c r="K59" s="2049">
        <f>K62+K67+K71+K74+K77+K80+K84+K88+K91+K99+K102+K104+K111+K118+K122+K137+K143+K150+K154+K157+K107</f>
        <v>170613.2</v>
      </c>
      <c r="L59" s="2049">
        <f>L62+L67+L71+L74+L77+L80+L84+L88+L91+L99+L102+L104+L111+L118+L122+L137+L143+L150+L154+L157+L107</f>
        <v>11106.8</v>
      </c>
      <c r="M59" s="2167">
        <f t="shared" si="3"/>
        <v>59.4</v>
      </c>
      <c r="N59" s="2167">
        <f t="shared" si="4"/>
        <v>59.4</v>
      </c>
      <c r="O59" s="2167">
        <f t="shared" si="5"/>
        <v>59.3</v>
      </c>
      <c r="P59" s="2169"/>
      <c r="Q59" s="2169"/>
      <c r="R59" s="1600"/>
      <c r="S59" s="1619"/>
      <c r="T59" s="1619"/>
      <c r="U59" s="1600"/>
      <c r="V59" s="1619"/>
      <c r="W59" s="1619"/>
      <c r="X59" s="1423">
        <f t="shared" ref="X59:X64" si="30">D59-G59</f>
        <v>0</v>
      </c>
      <c r="Y59" s="1423"/>
      <c r="Z59" s="1423"/>
    </row>
    <row r="60" spans="1:26" ht="23.25">
      <c r="A60" s="2044"/>
      <c r="B60" s="2049" t="s">
        <v>1833</v>
      </c>
      <c r="C60" s="2047"/>
      <c r="D60" s="2048">
        <f t="shared" ref="D60:L60" si="31">D63+D68+D95+D105+D114+D130+D151+D108+D133+D138</f>
        <v>83550.7</v>
      </c>
      <c r="E60" s="2049">
        <f t="shared" si="31"/>
        <v>0</v>
      </c>
      <c r="F60" s="2049">
        <f t="shared" si="31"/>
        <v>83550.7</v>
      </c>
      <c r="G60" s="2048">
        <f t="shared" si="31"/>
        <v>83550.7</v>
      </c>
      <c r="H60" s="2049">
        <f t="shared" si="31"/>
        <v>0</v>
      </c>
      <c r="I60" s="2049">
        <f t="shared" si="31"/>
        <v>83550.7</v>
      </c>
      <c r="J60" s="2048">
        <f t="shared" si="31"/>
        <v>39632.300000000003</v>
      </c>
      <c r="K60" s="2049">
        <f t="shared" si="31"/>
        <v>0</v>
      </c>
      <c r="L60" s="2049">
        <f t="shared" si="31"/>
        <v>39632.300000000003</v>
      </c>
      <c r="M60" s="2166">
        <f t="shared" si="3"/>
        <v>47.4</v>
      </c>
      <c r="N60" s="2166">
        <f t="shared" si="4"/>
        <v>0</v>
      </c>
      <c r="O60" s="2166">
        <f t="shared" si="5"/>
        <v>47.4</v>
      </c>
      <c r="P60" s="1860"/>
      <c r="Q60" s="1860"/>
      <c r="R60" s="1860"/>
      <c r="S60" s="1860"/>
      <c r="T60" s="1860"/>
      <c r="U60" s="1860"/>
      <c r="V60" s="1860"/>
      <c r="W60" s="1860"/>
      <c r="X60" s="1423">
        <f t="shared" si="30"/>
        <v>0</v>
      </c>
      <c r="Y60" s="1423"/>
      <c r="Z60" s="1423"/>
    </row>
    <row r="61" spans="1:26" ht="67.5" customHeight="1">
      <c r="A61" s="2170">
        <f>A50+1</f>
        <v>9</v>
      </c>
      <c r="B61" s="1919" t="s">
        <v>1709</v>
      </c>
      <c r="C61" s="2171"/>
      <c r="D61" s="1602">
        <f>SUM(E61:F61)</f>
        <v>2924.2</v>
      </c>
      <c r="E61" s="1609">
        <f>E62+E63</f>
        <v>612.20000000000005</v>
      </c>
      <c r="F61" s="1609">
        <f>F62+F63</f>
        <v>2312</v>
      </c>
      <c r="G61" s="1602">
        <f>SUM(H61:I61)</f>
        <v>2924.2</v>
      </c>
      <c r="H61" s="1609">
        <f>H62+H63</f>
        <v>612.20000000000005</v>
      </c>
      <c r="I61" s="1609">
        <f>I62+I63</f>
        <v>2312</v>
      </c>
      <c r="J61" s="1602">
        <f>SUM(K61:L61)</f>
        <v>1759.3</v>
      </c>
      <c r="K61" s="1619">
        <f>K62+K63</f>
        <v>42.5</v>
      </c>
      <c r="L61" s="1609">
        <f>L62+L63</f>
        <v>1716.8</v>
      </c>
      <c r="M61" s="1602">
        <f t="shared" si="3"/>
        <v>60.2</v>
      </c>
      <c r="N61" s="1602">
        <f t="shared" si="4"/>
        <v>6.9</v>
      </c>
      <c r="O61" s="1602">
        <f t="shared" si="5"/>
        <v>74.3</v>
      </c>
      <c r="P61" s="2169"/>
      <c r="Q61" s="2169"/>
      <c r="R61" s="1600">
        <f>S61+T61</f>
        <v>0</v>
      </c>
      <c r="S61" s="1619">
        <v>0</v>
      </c>
      <c r="T61" s="1619">
        <v>0</v>
      </c>
      <c r="U61" s="1600">
        <f>V61+W61</f>
        <v>0</v>
      </c>
      <c r="V61" s="1619">
        <v>0</v>
      </c>
      <c r="W61" s="1619">
        <v>0</v>
      </c>
      <c r="X61" s="1423">
        <f t="shared" si="30"/>
        <v>0</v>
      </c>
      <c r="Y61" s="1423"/>
      <c r="Z61" s="1423"/>
    </row>
    <row r="62" spans="1:26" ht="26.25" customHeight="1">
      <c r="A62" s="2170"/>
      <c r="B62" s="1609" t="s">
        <v>1770</v>
      </c>
      <c r="C62" s="2171"/>
      <c r="D62" s="1602">
        <f>SUM(E62:F62)</f>
        <v>652.79999999999995</v>
      </c>
      <c r="E62" s="1609">
        <v>612.20000000000005</v>
      </c>
      <c r="F62" s="1609">
        <v>40.6</v>
      </c>
      <c r="G62" s="1600">
        <f>SUM(H62:I62)</f>
        <v>652.79999999999995</v>
      </c>
      <c r="H62" s="1616">
        <f>E62</f>
        <v>612.20000000000005</v>
      </c>
      <c r="I62" s="1616">
        <f>F62</f>
        <v>40.6</v>
      </c>
      <c r="J62" s="1600">
        <f>SUM(K62:L62)</f>
        <v>45.3</v>
      </c>
      <c r="K62" s="1619">
        <v>42.5</v>
      </c>
      <c r="L62" s="1619">
        <v>2.8</v>
      </c>
      <c r="M62" s="1609">
        <f t="shared" si="3"/>
        <v>6.9</v>
      </c>
      <c r="N62" s="1609">
        <f t="shared" si="4"/>
        <v>6.9</v>
      </c>
      <c r="O62" s="1609">
        <f t="shared" si="5"/>
        <v>6.9</v>
      </c>
      <c r="P62" s="2169"/>
      <c r="Q62" s="2169"/>
      <c r="R62" s="1600"/>
      <c r="S62" s="1619"/>
      <c r="T62" s="1619"/>
      <c r="U62" s="1600"/>
      <c r="V62" s="1619"/>
      <c r="W62" s="1619"/>
      <c r="X62" s="1423">
        <f t="shared" si="30"/>
        <v>0</v>
      </c>
      <c r="Y62" s="1423"/>
      <c r="Z62" s="1423"/>
    </row>
    <row r="63" spans="1:26" ht="23.25">
      <c r="A63" s="2170"/>
      <c r="B63" s="1609" t="s">
        <v>1621</v>
      </c>
      <c r="C63" s="2171"/>
      <c r="D63" s="1602">
        <f>SUM(E63:F63)</f>
        <v>2271.4</v>
      </c>
      <c r="E63" s="1609"/>
      <c r="F63" s="1609">
        <f>3988.8-1717.4</f>
        <v>2271.4</v>
      </c>
      <c r="G63" s="1600">
        <f>SUM(H63:I63)</f>
        <v>2271.4</v>
      </c>
      <c r="H63" s="1616">
        <f>E63</f>
        <v>0</v>
      </c>
      <c r="I63" s="1609">
        <f>3988.8-1717.4</f>
        <v>2271.4</v>
      </c>
      <c r="J63" s="1600">
        <f>SUM(K63:L63)</f>
        <v>1714</v>
      </c>
      <c r="K63" s="1619"/>
      <c r="L63" s="1619">
        <v>1714</v>
      </c>
      <c r="M63" s="1602">
        <f t="shared" si="3"/>
        <v>75.5</v>
      </c>
      <c r="N63" s="1602">
        <f t="shared" si="4"/>
        <v>0</v>
      </c>
      <c r="O63" s="1602">
        <f t="shared" si="5"/>
        <v>75.5</v>
      </c>
      <c r="P63" s="2169"/>
      <c r="Q63" s="2169"/>
      <c r="R63" s="1600">
        <f>S63+T63</f>
        <v>0</v>
      </c>
      <c r="S63" s="1619">
        <v>0</v>
      </c>
      <c r="T63" s="1619">
        <v>0</v>
      </c>
      <c r="U63" s="1600">
        <f>V63+W63</f>
        <v>0</v>
      </c>
      <c r="V63" s="1619">
        <v>0</v>
      </c>
      <c r="W63" s="1619">
        <v>0</v>
      </c>
      <c r="X63" s="1423">
        <f t="shared" si="30"/>
        <v>0</v>
      </c>
      <c r="Y63" s="1423"/>
      <c r="Z63" s="1423"/>
    </row>
    <row r="64" spans="1:26" ht="38.25" customHeight="1">
      <c r="A64" s="2170">
        <f>A61+1</f>
        <v>10</v>
      </c>
      <c r="B64" s="1919" t="s">
        <v>1702</v>
      </c>
      <c r="C64" s="2171"/>
      <c r="D64" s="1602">
        <f>SUM(E64:F64)</f>
        <v>130451.7</v>
      </c>
      <c r="E64" s="1609">
        <f>E65+E67+E68+E66</f>
        <v>117850.4</v>
      </c>
      <c r="F64" s="1609">
        <f>F65+F67+F68+F66</f>
        <v>12601.3</v>
      </c>
      <c r="G64" s="1602">
        <f>SUM(H64:I64)</f>
        <v>130451.7</v>
      </c>
      <c r="H64" s="1609">
        <f>H65+H67+H68+H66</f>
        <v>117850.4</v>
      </c>
      <c r="I64" s="1609">
        <f>I65+I67+I68+I66</f>
        <v>12601.3</v>
      </c>
      <c r="J64" s="1602">
        <f>SUM(K64:L64)</f>
        <v>63876.800000000003</v>
      </c>
      <c r="K64" s="1609">
        <f>K65+K67+K68+K66</f>
        <v>59584.4</v>
      </c>
      <c r="L64" s="1609">
        <f>L65+L67+L68+L66</f>
        <v>4292.3999999999996</v>
      </c>
      <c r="M64" s="1602">
        <f t="shared" si="3"/>
        <v>49</v>
      </c>
      <c r="N64" s="1602">
        <f t="shared" si="4"/>
        <v>50.6</v>
      </c>
      <c r="O64" s="1602">
        <f t="shared" si="5"/>
        <v>34.1</v>
      </c>
      <c r="P64" s="2169"/>
      <c r="Q64" s="2169"/>
      <c r="R64" s="1600"/>
      <c r="S64" s="1619"/>
      <c r="T64" s="1619"/>
      <c r="U64" s="1600"/>
      <c r="V64" s="1619"/>
      <c r="W64" s="1619"/>
      <c r="X64" s="1423">
        <f t="shared" si="30"/>
        <v>0</v>
      </c>
      <c r="Y64" s="1423"/>
      <c r="Z64" s="1423"/>
    </row>
    <row r="65" spans="1:26" ht="19.5" hidden="1" customHeight="1">
      <c r="A65" s="2170"/>
      <c r="B65" s="1609"/>
      <c r="C65" s="2171"/>
      <c r="D65" s="1602"/>
      <c r="E65" s="1609"/>
      <c r="F65" s="1609"/>
      <c r="G65" s="1600"/>
      <c r="H65" s="1619">
        <f t="shared" ref="H65:I68" si="32">E65</f>
        <v>0</v>
      </c>
      <c r="I65" s="1619">
        <f t="shared" si="32"/>
        <v>0</v>
      </c>
      <c r="J65" s="1600"/>
      <c r="K65" s="1619"/>
      <c r="L65" s="1619"/>
      <c r="M65" s="1609">
        <f t="shared" si="3"/>
        <v>0</v>
      </c>
      <c r="N65" s="1609">
        <f t="shared" si="4"/>
        <v>0</v>
      </c>
      <c r="O65" s="1609">
        <f t="shared" si="5"/>
        <v>0</v>
      </c>
      <c r="P65" s="2169"/>
      <c r="Q65" s="2169"/>
      <c r="R65" s="1600"/>
      <c r="S65" s="1619"/>
      <c r="T65" s="1619"/>
      <c r="U65" s="1600"/>
      <c r="V65" s="1619"/>
      <c r="W65" s="1619"/>
      <c r="X65" s="1423"/>
      <c r="Y65" s="1423"/>
      <c r="Z65" s="1423"/>
    </row>
    <row r="66" spans="1:26" ht="26.25" customHeight="1">
      <c r="A66" s="2170"/>
      <c r="B66" s="1609" t="s">
        <v>1821</v>
      </c>
      <c r="C66" s="2171"/>
      <c r="D66" s="1602">
        <f t="shared" ref="D66" si="33">SUM(E66:F66)</f>
        <v>4665.1000000000004</v>
      </c>
      <c r="E66" s="1609">
        <v>4370.7</v>
      </c>
      <c r="F66" s="1609">
        <v>294.39999999999998</v>
      </c>
      <c r="G66" s="1600">
        <f t="shared" ref="G66" si="34">SUM(H66:I66)</f>
        <v>4665.1000000000004</v>
      </c>
      <c r="H66" s="1616">
        <f t="shared" si="32"/>
        <v>4370.7</v>
      </c>
      <c r="I66" s="1616">
        <f t="shared" si="32"/>
        <v>294.39999999999998</v>
      </c>
      <c r="J66" s="1600">
        <f t="shared" ref="J66" si="35">SUM(K66:L66)</f>
        <v>0</v>
      </c>
      <c r="K66" s="1619"/>
      <c r="L66" s="1619"/>
      <c r="M66" s="1609">
        <f t="shared" si="3"/>
        <v>0</v>
      </c>
      <c r="N66" s="1609">
        <f t="shared" si="4"/>
        <v>0</v>
      </c>
      <c r="O66" s="1609">
        <f t="shared" si="5"/>
        <v>0</v>
      </c>
      <c r="P66" s="2169"/>
      <c r="Q66" s="2169"/>
      <c r="R66" s="1600"/>
      <c r="S66" s="1619"/>
      <c r="T66" s="1619"/>
      <c r="U66" s="1600"/>
      <c r="V66" s="1619"/>
      <c r="W66" s="1619"/>
      <c r="X66" s="1423">
        <f>D66-G66</f>
        <v>0</v>
      </c>
      <c r="Y66" s="1423"/>
      <c r="Z66" s="1423"/>
    </row>
    <row r="67" spans="1:26" ht="26.25" customHeight="1">
      <c r="A67" s="2170"/>
      <c r="B67" s="1609" t="s">
        <v>1770</v>
      </c>
      <c r="C67" s="2171"/>
      <c r="D67" s="1602">
        <f t="shared" ref="D67:D102" si="36">SUM(E67:F67)</f>
        <v>121121.5</v>
      </c>
      <c r="E67" s="1609">
        <f>117850.4-4370.7</f>
        <v>113479.7</v>
      </c>
      <c r="F67" s="1609">
        <f>7936.2-294.4</f>
        <v>7641.8</v>
      </c>
      <c r="G67" s="1600">
        <f t="shared" ref="G67:G102" si="37">SUM(H67:I67)</f>
        <v>121121.5</v>
      </c>
      <c r="H67" s="1616">
        <f t="shared" si="32"/>
        <v>113479.7</v>
      </c>
      <c r="I67" s="1616">
        <f t="shared" si="32"/>
        <v>7641.8</v>
      </c>
      <c r="J67" s="1600">
        <f t="shared" ref="J67:J130" si="38">SUM(K67:L67)</f>
        <v>63596.800000000003</v>
      </c>
      <c r="K67" s="1619">
        <f>58637.629+946.775</f>
        <v>59584.4</v>
      </c>
      <c r="L67" s="1619">
        <f>63.798+3948.6</f>
        <v>4012.4</v>
      </c>
      <c r="M67" s="1609">
        <f t="shared" si="3"/>
        <v>52.5</v>
      </c>
      <c r="N67" s="1609">
        <f t="shared" si="4"/>
        <v>52.5</v>
      </c>
      <c r="O67" s="1609">
        <f t="shared" si="5"/>
        <v>52.5</v>
      </c>
      <c r="P67" s="2169"/>
      <c r="Q67" s="2169"/>
      <c r="R67" s="1600"/>
      <c r="S67" s="1619"/>
      <c r="T67" s="1619"/>
      <c r="U67" s="1600"/>
      <c r="V67" s="1619"/>
      <c r="W67" s="1619"/>
      <c r="X67" s="1423">
        <f>D67-G67</f>
        <v>0</v>
      </c>
      <c r="Y67" s="1423"/>
      <c r="Z67" s="1423"/>
    </row>
    <row r="68" spans="1:26" ht="23.25">
      <c r="A68" s="2170"/>
      <c r="B68" s="1609" t="s">
        <v>1621</v>
      </c>
      <c r="C68" s="2171"/>
      <c r="D68" s="1602">
        <f t="shared" si="36"/>
        <v>4665.1000000000004</v>
      </c>
      <c r="E68" s="1609"/>
      <c r="F68" s="1609">
        <f>4443.3+221.8</f>
        <v>4665.1000000000004</v>
      </c>
      <c r="G68" s="1600">
        <f t="shared" si="37"/>
        <v>4665.1000000000004</v>
      </c>
      <c r="H68" s="1616">
        <f t="shared" si="32"/>
        <v>0</v>
      </c>
      <c r="I68" s="1616">
        <f t="shared" si="32"/>
        <v>4665.1000000000004</v>
      </c>
      <c r="J68" s="1600">
        <f t="shared" si="38"/>
        <v>280</v>
      </c>
      <c r="K68" s="1619"/>
      <c r="L68" s="1619">
        <f>77.8+22.22+180</f>
        <v>280</v>
      </c>
      <c r="M68" s="1602">
        <f t="shared" si="3"/>
        <v>6</v>
      </c>
      <c r="N68" s="1602">
        <f t="shared" si="4"/>
        <v>0</v>
      </c>
      <c r="O68" s="1602">
        <f t="shared" si="5"/>
        <v>6</v>
      </c>
      <c r="P68" s="2169"/>
      <c r="Q68" s="2169"/>
      <c r="R68" s="1600"/>
      <c r="S68" s="1619"/>
      <c r="T68" s="1619"/>
      <c r="U68" s="1600"/>
      <c r="V68" s="1619"/>
      <c r="W68" s="1619"/>
      <c r="X68" s="1423">
        <f>D68-G68</f>
        <v>0</v>
      </c>
      <c r="Y68" s="1423"/>
      <c r="Z68" s="1423"/>
    </row>
    <row r="69" spans="1:26" ht="40.5" customHeight="1">
      <c r="A69" s="2170">
        <f>A64+1</f>
        <v>11</v>
      </c>
      <c r="B69" s="1919" t="s">
        <v>1590</v>
      </c>
      <c r="C69" s="1906"/>
      <c r="D69" s="1600">
        <f>E69+F69</f>
        <v>20293.2</v>
      </c>
      <c r="E69" s="1619">
        <f>SUM(E70:E71)</f>
        <v>19075.7</v>
      </c>
      <c r="F69" s="1619">
        <f>F70+F71</f>
        <v>1217.5</v>
      </c>
      <c r="G69" s="1600">
        <f t="shared" si="37"/>
        <v>20293.2</v>
      </c>
      <c r="H69" s="1619">
        <f>SUM(H70:H71)</f>
        <v>19075.7</v>
      </c>
      <c r="I69" s="1619">
        <f>I70+I71</f>
        <v>1217.5</v>
      </c>
      <c r="J69" s="1600">
        <f t="shared" si="38"/>
        <v>286.39999999999998</v>
      </c>
      <c r="K69" s="1619">
        <f>SUM(K70:K71)</f>
        <v>269.2</v>
      </c>
      <c r="L69" s="1619">
        <f>SUM(L70:L71)</f>
        <v>17.2</v>
      </c>
      <c r="M69" s="1609">
        <f t="shared" si="3"/>
        <v>1.4</v>
      </c>
      <c r="N69" s="1609">
        <f t="shared" si="4"/>
        <v>1.4</v>
      </c>
      <c r="O69" s="1609">
        <f t="shared" si="5"/>
        <v>1.4</v>
      </c>
      <c r="P69" s="1619">
        <v>0</v>
      </c>
      <c r="Q69" s="1619">
        <v>0</v>
      </c>
      <c r="R69" s="1600">
        <f>S69+T69</f>
        <v>0</v>
      </c>
      <c r="S69" s="1619">
        <v>0</v>
      </c>
      <c r="T69" s="1619">
        <v>0</v>
      </c>
      <c r="U69" s="1600">
        <f>V69+W69</f>
        <v>0</v>
      </c>
      <c r="V69" s="1619">
        <v>0</v>
      </c>
      <c r="W69" s="1619">
        <v>0</v>
      </c>
      <c r="X69" s="1423">
        <f>D69-G69</f>
        <v>0</v>
      </c>
      <c r="Y69" s="1423"/>
      <c r="Z69" s="1423"/>
    </row>
    <row r="70" spans="1:26" ht="40.5" customHeight="1">
      <c r="A70" s="2170"/>
      <c r="B70" s="1609" t="s">
        <v>1620</v>
      </c>
      <c r="C70" s="2171"/>
      <c r="D70" s="1602">
        <f t="shared" si="36"/>
        <v>9341</v>
      </c>
      <c r="E70" s="1609">
        <v>8780.6</v>
      </c>
      <c r="F70" s="1609">
        <v>560.4</v>
      </c>
      <c r="G70" s="1600">
        <f t="shared" si="37"/>
        <v>9341</v>
      </c>
      <c r="H70" s="1609">
        <v>8780.6</v>
      </c>
      <c r="I70" s="1609">
        <v>560.4</v>
      </c>
      <c r="J70" s="1600">
        <f t="shared" si="38"/>
        <v>64.400000000000006</v>
      </c>
      <c r="K70" s="1619">
        <v>60.5</v>
      </c>
      <c r="L70" s="1619">
        <v>3.9</v>
      </c>
      <c r="M70" s="1609">
        <f t="shared" si="3"/>
        <v>0.7</v>
      </c>
      <c r="N70" s="1609">
        <f t="shared" si="4"/>
        <v>0.7</v>
      </c>
      <c r="O70" s="1609">
        <f t="shared" si="5"/>
        <v>0.7</v>
      </c>
      <c r="P70" s="1619"/>
      <c r="Q70" s="1619"/>
      <c r="R70" s="1600"/>
      <c r="S70" s="1619"/>
      <c r="T70" s="1619"/>
      <c r="U70" s="1600"/>
      <c r="V70" s="1619"/>
      <c r="W70" s="1619"/>
      <c r="X70" s="1423"/>
      <c r="Y70" s="1423"/>
      <c r="Z70" s="1423"/>
    </row>
    <row r="71" spans="1:26" ht="23.25">
      <c r="A71" s="2170"/>
      <c r="B71" s="1609" t="s">
        <v>1770</v>
      </c>
      <c r="C71" s="2171"/>
      <c r="D71" s="1602">
        <f t="shared" si="36"/>
        <v>10952.2</v>
      </c>
      <c r="E71" s="1609">
        <f>8974.9+1320.2</f>
        <v>10295.1</v>
      </c>
      <c r="F71" s="1609">
        <f>572.8+84.3</f>
        <v>657.1</v>
      </c>
      <c r="G71" s="1600">
        <f t="shared" si="37"/>
        <v>10952.2</v>
      </c>
      <c r="H71" s="1609">
        <f>8974.9+1320.2</f>
        <v>10295.1</v>
      </c>
      <c r="I71" s="1609">
        <f>572.8+84.3</f>
        <v>657.1</v>
      </c>
      <c r="J71" s="1600">
        <f t="shared" si="38"/>
        <v>222</v>
      </c>
      <c r="K71" s="1619">
        <f>208.738</f>
        <v>208.7</v>
      </c>
      <c r="L71" s="1619">
        <v>13.3</v>
      </c>
      <c r="M71" s="1609">
        <f t="shared" si="3"/>
        <v>2</v>
      </c>
      <c r="N71" s="1609">
        <f t="shared" si="4"/>
        <v>2</v>
      </c>
      <c r="O71" s="1609">
        <f t="shared" si="5"/>
        <v>2</v>
      </c>
      <c r="P71" s="1619"/>
      <c r="Q71" s="1619"/>
      <c r="R71" s="1600"/>
      <c r="S71" s="1619"/>
      <c r="T71" s="1619"/>
      <c r="U71" s="1600"/>
      <c r="V71" s="1619"/>
      <c r="W71" s="1619"/>
      <c r="X71" s="1423"/>
      <c r="Y71" s="1423"/>
      <c r="Z71" s="1423"/>
    </row>
    <row r="72" spans="1:26" ht="58.5" customHeight="1">
      <c r="A72" s="2170">
        <f>A69+1</f>
        <v>12</v>
      </c>
      <c r="B72" s="1915" t="s">
        <v>1655</v>
      </c>
      <c r="C72" s="1866" t="s">
        <v>1544</v>
      </c>
      <c r="D72" s="1600">
        <f t="shared" si="36"/>
        <v>20</v>
      </c>
      <c r="E72" s="1614">
        <f>E73+E74</f>
        <v>18.8</v>
      </c>
      <c r="F72" s="1614">
        <f>F73+F74</f>
        <v>1.2</v>
      </c>
      <c r="G72" s="1600">
        <f t="shared" si="37"/>
        <v>20</v>
      </c>
      <c r="H72" s="1614">
        <f>H73+H74</f>
        <v>18.8</v>
      </c>
      <c r="I72" s="1614">
        <f>I73+I74</f>
        <v>1.2</v>
      </c>
      <c r="J72" s="1600">
        <f t="shared" si="38"/>
        <v>0</v>
      </c>
      <c r="K72" s="1614">
        <f>K73+K74</f>
        <v>0</v>
      </c>
      <c r="L72" s="1614">
        <f>L73+L74</f>
        <v>0</v>
      </c>
      <c r="M72" s="1604">
        <f t="shared" si="3"/>
        <v>0</v>
      </c>
      <c r="N72" s="1881">
        <f t="shared" si="4"/>
        <v>0</v>
      </c>
      <c r="O72" s="1881">
        <f t="shared" si="5"/>
        <v>0</v>
      </c>
      <c r="P72" s="2169"/>
      <c r="Q72" s="2169"/>
      <c r="R72" s="1600">
        <f>S72+T72</f>
        <v>0</v>
      </c>
      <c r="S72" s="1619">
        <v>0</v>
      </c>
      <c r="T72" s="1619">
        <v>0</v>
      </c>
      <c r="U72" s="1600">
        <f>V72+W72</f>
        <v>0</v>
      </c>
      <c r="V72" s="1619">
        <v>0</v>
      </c>
      <c r="W72" s="1619">
        <v>0</v>
      </c>
      <c r="X72" s="1423">
        <f>D72-G72</f>
        <v>0</v>
      </c>
      <c r="Y72" s="1423"/>
      <c r="Z72" s="1423"/>
    </row>
    <row r="73" spans="1:26" ht="30.75" hidden="1" customHeight="1">
      <c r="A73" s="2170"/>
      <c r="B73" s="1609" t="s">
        <v>1620</v>
      </c>
      <c r="C73" s="2171"/>
      <c r="D73" s="1602">
        <f t="shared" si="36"/>
        <v>0</v>
      </c>
      <c r="E73" s="1609">
        <v>0</v>
      </c>
      <c r="F73" s="1609">
        <v>0</v>
      </c>
      <c r="G73" s="1600">
        <f t="shared" si="37"/>
        <v>0</v>
      </c>
      <c r="H73" s="1616">
        <f>E73</f>
        <v>0</v>
      </c>
      <c r="I73" s="1616">
        <f>F73</f>
        <v>0</v>
      </c>
      <c r="J73" s="1600">
        <f t="shared" si="38"/>
        <v>0</v>
      </c>
      <c r="K73" s="1619"/>
      <c r="L73" s="1619"/>
      <c r="M73" s="1609">
        <f t="shared" si="3"/>
        <v>0</v>
      </c>
      <c r="N73" s="1609">
        <f t="shared" si="4"/>
        <v>0</v>
      </c>
      <c r="O73" s="1609">
        <f t="shared" si="5"/>
        <v>0</v>
      </c>
      <c r="P73" s="1619"/>
      <c r="Q73" s="1619"/>
      <c r="R73" s="1600"/>
      <c r="S73" s="1619"/>
      <c r="T73" s="1619"/>
      <c r="U73" s="1600"/>
      <c r="V73" s="1619"/>
      <c r="W73" s="1619"/>
      <c r="X73" s="1423"/>
      <c r="Y73" s="1423"/>
      <c r="Z73" s="1423"/>
    </row>
    <row r="74" spans="1:26" ht="26.25" customHeight="1">
      <c r="A74" s="2170"/>
      <c r="B74" s="1609" t="s">
        <v>1770</v>
      </c>
      <c r="C74" s="2171"/>
      <c r="D74" s="1602">
        <f t="shared" si="36"/>
        <v>20</v>
      </c>
      <c r="E74" s="1609">
        <v>18.8</v>
      </c>
      <c r="F74" s="1609">
        <v>1.2</v>
      </c>
      <c r="G74" s="1600">
        <f t="shared" si="37"/>
        <v>20</v>
      </c>
      <c r="H74" s="1616">
        <f>E74</f>
        <v>18.8</v>
      </c>
      <c r="I74" s="1616">
        <f>F74</f>
        <v>1.2</v>
      </c>
      <c r="J74" s="1600">
        <f t="shared" si="38"/>
        <v>0</v>
      </c>
      <c r="K74" s="1619"/>
      <c r="L74" s="1619"/>
      <c r="M74" s="1609">
        <f t="shared" si="3"/>
        <v>0</v>
      </c>
      <c r="N74" s="1609">
        <f t="shared" si="4"/>
        <v>0</v>
      </c>
      <c r="O74" s="1609">
        <f t="shared" si="5"/>
        <v>0</v>
      </c>
      <c r="P74" s="1619"/>
      <c r="Q74" s="1619"/>
      <c r="R74" s="1600"/>
      <c r="S74" s="1619"/>
      <c r="T74" s="1619"/>
      <c r="U74" s="1600"/>
      <c r="V74" s="1619"/>
      <c r="W74" s="1619"/>
      <c r="X74" s="1423"/>
      <c r="Y74" s="1423"/>
      <c r="Z74" s="1423"/>
    </row>
    <row r="75" spans="1:26" ht="85.5" customHeight="1">
      <c r="A75" s="2170">
        <f>A72+1</f>
        <v>13</v>
      </c>
      <c r="B75" s="1919" t="s">
        <v>1656</v>
      </c>
      <c r="C75" s="2171"/>
      <c r="D75" s="1602">
        <f t="shared" si="36"/>
        <v>33251.9</v>
      </c>
      <c r="E75" s="1609">
        <f>E76+E77</f>
        <v>31256.5</v>
      </c>
      <c r="F75" s="1609">
        <f>F76+F77</f>
        <v>1995.4</v>
      </c>
      <c r="G75" s="1600">
        <f t="shared" si="37"/>
        <v>33251.9</v>
      </c>
      <c r="H75" s="1609">
        <f>H76+H77</f>
        <v>31256.5</v>
      </c>
      <c r="I75" s="1609">
        <f>I76+I77</f>
        <v>1995.4</v>
      </c>
      <c r="J75" s="1602">
        <f t="shared" si="38"/>
        <v>955.5</v>
      </c>
      <c r="K75" s="1609">
        <f>K76+K77</f>
        <v>898.2</v>
      </c>
      <c r="L75" s="1609">
        <f>L76+L77</f>
        <v>57.3</v>
      </c>
      <c r="M75" s="1604">
        <f t="shared" si="3"/>
        <v>2.9</v>
      </c>
      <c r="N75" s="1604">
        <f t="shared" si="4"/>
        <v>2.9</v>
      </c>
      <c r="O75" s="1604">
        <f t="shared" si="5"/>
        <v>2.9</v>
      </c>
      <c r="P75" s="2169"/>
      <c r="Q75" s="2169"/>
      <c r="R75" s="1600">
        <f>S75+T75</f>
        <v>0</v>
      </c>
      <c r="S75" s="1619">
        <v>0</v>
      </c>
      <c r="T75" s="1619">
        <v>0</v>
      </c>
      <c r="U75" s="1600">
        <f>V75+W75</f>
        <v>0</v>
      </c>
      <c r="V75" s="1619">
        <v>0</v>
      </c>
      <c r="W75" s="1619">
        <v>0</v>
      </c>
      <c r="X75" s="1423">
        <f>D75-G75</f>
        <v>0</v>
      </c>
      <c r="Y75" s="1423"/>
      <c r="Z75" s="1423"/>
    </row>
    <row r="76" spans="1:26" ht="23.25">
      <c r="A76" s="2170"/>
      <c r="B76" s="1609" t="s">
        <v>1620</v>
      </c>
      <c r="C76" s="2171"/>
      <c r="D76" s="1602">
        <f t="shared" si="36"/>
        <v>15410.7</v>
      </c>
      <c r="E76" s="1609">
        <v>14485.9</v>
      </c>
      <c r="F76" s="1609">
        <v>924.8</v>
      </c>
      <c r="G76" s="1600">
        <f t="shared" si="37"/>
        <v>15410.7</v>
      </c>
      <c r="H76" s="1616">
        <f>E76</f>
        <v>14485.9</v>
      </c>
      <c r="I76" s="1616">
        <f>F76</f>
        <v>924.8</v>
      </c>
      <c r="J76" s="1600">
        <f t="shared" si="38"/>
        <v>0</v>
      </c>
      <c r="K76" s="1619">
        <v>0</v>
      </c>
      <c r="L76" s="1619">
        <v>0</v>
      </c>
      <c r="M76" s="1609">
        <f t="shared" si="3"/>
        <v>0</v>
      </c>
      <c r="N76" s="1609">
        <f t="shared" si="4"/>
        <v>0</v>
      </c>
      <c r="O76" s="1609">
        <f t="shared" si="5"/>
        <v>0</v>
      </c>
      <c r="P76" s="1619"/>
      <c r="Q76" s="1619"/>
      <c r="R76" s="1600"/>
      <c r="S76" s="1619"/>
      <c r="T76" s="1619"/>
      <c r="U76" s="1600"/>
      <c r="V76" s="1619"/>
      <c r="W76" s="1619"/>
      <c r="X76" s="1423"/>
      <c r="Y76" s="1423"/>
      <c r="Z76" s="1423"/>
    </row>
    <row r="77" spans="1:26" ht="23.25">
      <c r="A77" s="2170"/>
      <c r="B77" s="1609" t="s">
        <v>1770</v>
      </c>
      <c r="C77" s="2171"/>
      <c r="D77" s="1602">
        <f t="shared" si="36"/>
        <v>17841.2</v>
      </c>
      <c r="E77" s="1609">
        <f>16053.6+717</f>
        <v>16770.599999999999</v>
      </c>
      <c r="F77" s="1609">
        <f>1024.8+45.8</f>
        <v>1070.5999999999999</v>
      </c>
      <c r="G77" s="1600">
        <f t="shared" si="37"/>
        <v>17841.2</v>
      </c>
      <c r="H77" s="1616">
        <f>E77</f>
        <v>16770.599999999999</v>
      </c>
      <c r="I77" s="1616">
        <f>F77</f>
        <v>1070.5999999999999</v>
      </c>
      <c r="J77" s="1600">
        <f t="shared" si="38"/>
        <v>955.5</v>
      </c>
      <c r="K77" s="1619">
        <f>678.269+219.898</f>
        <v>898.2</v>
      </c>
      <c r="L77" s="1619">
        <f>43.3+14</f>
        <v>57.3</v>
      </c>
      <c r="M77" s="1609">
        <f t="shared" ref="M77:M140" si="39">IF(J77=0,0,J77/G77*100)</f>
        <v>5.4</v>
      </c>
      <c r="N77" s="1609">
        <f t="shared" ref="N77:N140" si="40">IF(K77=0,0,K77/H77*100)</f>
        <v>5.4</v>
      </c>
      <c r="O77" s="1609">
        <f t="shared" ref="O77:O140" si="41">IF(L77=0,0,L77/I77*100)</f>
        <v>5.4</v>
      </c>
      <c r="P77" s="1619"/>
      <c r="Q77" s="1619"/>
      <c r="R77" s="1600"/>
      <c r="S77" s="1619"/>
      <c r="T77" s="1619"/>
      <c r="U77" s="1600"/>
      <c r="V77" s="1619"/>
      <c r="W77" s="1619"/>
      <c r="X77" s="1423"/>
      <c r="Y77" s="1423"/>
      <c r="Z77" s="1423"/>
    </row>
    <row r="78" spans="1:26" ht="68.25" customHeight="1">
      <c r="A78" s="2170">
        <f>A75+1</f>
        <v>14</v>
      </c>
      <c r="B78" s="1919" t="s">
        <v>1583</v>
      </c>
      <c r="C78" s="2171"/>
      <c r="D78" s="1602">
        <f t="shared" si="36"/>
        <v>9677.2999999999993</v>
      </c>
      <c r="E78" s="1609">
        <f>E79+E80</f>
        <v>9096.6</v>
      </c>
      <c r="F78" s="1609">
        <f>F79+F80</f>
        <v>580.70000000000005</v>
      </c>
      <c r="G78" s="1600">
        <f t="shared" si="37"/>
        <v>9677.2999999999993</v>
      </c>
      <c r="H78" s="1609">
        <f>H79+H80</f>
        <v>9096.6</v>
      </c>
      <c r="I78" s="1609">
        <f>I79+I80</f>
        <v>580.70000000000005</v>
      </c>
      <c r="J78" s="1602">
        <f t="shared" si="38"/>
        <v>376.2</v>
      </c>
      <c r="K78" s="1619">
        <f>K79+K80</f>
        <v>353.6</v>
      </c>
      <c r="L78" s="1609">
        <f>L79+L80</f>
        <v>22.6</v>
      </c>
      <c r="M78" s="1604">
        <f t="shared" si="39"/>
        <v>3.9</v>
      </c>
      <c r="N78" s="1604">
        <f t="shared" si="40"/>
        <v>3.9</v>
      </c>
      <c r="O78" s="1604">
        <f t="shared" si="41"/>
        <v>3.9</v>
      </c>
      <c r="P78" s="2169"/>
      <c r="Q78" s="2169"/>
      <c r="R78" s="1600">
        <f>S78+T78</f>
        <v>0</v>
      </c>
      <c r="S78" s="1619">
        <v>0</v>
      </c>
      <c r="T78" s="1619">
        <v>0</v>
      </c>
      <c r="U78" s="1600">
        <f>V78+W78</f>
        <v>0</v>
      </c>
      <c r="V78" s="1619">
        <v>0</v>
      </c>
      <c r="W78" s="1619">
        <v>0</v>
      </c>
      <c r="X78" s="1423">
        <f>D78-G78</f>
        <v>0</v>
      </c>
      <c r="Y78" s="1423"/>
      <c r="Z78" s="1423"/>
    </row>
    <row r="79" spans="1:26" ht="23.25">
      <c r="A79" s="2170"/>
      <c r="B79" s="1609" t="s">
        <v>1620</v>
      </c>
      <c r="C79" s="2171"/>
      <c r="D79" s="1602">
        <f t="shared" si="36"/>
        <v>4597</v>
      </c>
      <c r="E79" s="1609">
        <v>4321.2</v>
      </c>
      <c r="F79" s="1609">
        <v>275.8</v>
      </c>
      <c r="G79" s="1600">
        <f t="shared" si="37"/>
        <v>4597</v>
      </c>
      <c r="H79" s="1616">
        <f t="shared" ref="H79:I84" si="42">E79</f>
        <v>4321.2</v>
      </c>
      <c r="I79" s="1616">
        <f t="shared" si="42"/>
        <v>275.8</v>
      </c>
      <c r="J79" s="1600">
        <f t="shared" si="38"/>
        <v>0</v>
      </c>
      <c r="K79" s="1619">
        <v>0</v>
      </c>
      <c r="L79" s="1619">
        <v>0</v>
      </c>
      <c r="M79" s="1609">
        <f t="shared" si="39"/>
        <v>0</v>
      </c>
      <c r="N79" s="1609">
        <f t="shared" si="40"/>
        <v>0</v>
      </c>
      <c r="O79" s="1609">
        <f t="shared" si="41"/>
        <v>0</v>
      </c>
      <c r="P79" s="1619"/>
      <c r="Q79" s="1619"/>
      <c r="R79" s="1600"/>
      <c r="S79" s="1619"/>
      <c r="T79" s="1619"/>
      <c r="U79" s="1600"/>
      <c r="V79" s="1619"/>
      <c r="W79" s="1619"/>
      <c r="X79" s="1423"/>
      <c r="Y79" s="1423"/>
      <c r="Z79" s="1423"/>
    </row>
    <row r="80" spans="1:26" ht="23.25">
      <c r="A80" s="2170"/>
      <c r="B80" s="1609" t="s">
        <v>1770</v>
      </c>
      <c r="C80" s="2171"/>
      <c r="D80" s="1602">
        <f t="shared" si="36"/>
        <v>5080.3</v>
      </c>
      <c r="E80" s="1609">
        <f>3503+1272.4</f>
        <v>4775.3999999999996</v>
      </c>
      <c r="F80" s="1609">
        <f>223.6+81.3</f>
        <v>304.89999999999998</v>
      </c>
      <c r="G80" s="1600">
        <f t="shared" si="37"/>
        <v>5080.3</v>
      </c>
      <c r="H80" s="1616">
        <f t="shared" si="42"/>
        <v>4775.3999999999996</v>
      </c>
      <c r="I80" s="1616">
        <f t="shared" si="42"/>
        <v>304.89999999999998</v>
      </c>
      <c r="J80" s="1600">
        <f t="shared" si="38"/>
        <v>376.2</v>
      </c>
      <c r="K80" s="1619">
        <v>353.6</v>
      </c>
      <c r="L80" s="1619">
        <v>22.6</v>
      </c>
      <c r="M80" s="1609">
        <f t="shared" si="39"/>
        <v>7.4</v>
      </c>
      <c r="N80" s="1609">
        <f t="shared" si="40"/>
        <v>7.4</v>
      </c>
      <c r="O80" s="1609">
        <f t="shared" si="41"/>
        <v>7.4</v>
      </c>
      <c r="P80" s="1619"/>
      <c r="Q80" s="1619"/>
      <c r="R80" s="1600"/>
      <c r="S80" s="1619"/>
      <c r="T80" s="1619"/>
      <c r="U80" s="1600"/>
      <c r="V80" s="1619"/>
      <c r="W80" s="1619"/>
      <c r="X80" s="1423"/>
      <c r="Y80" s="1423"/>
      <c r="Z80" s="1423"/>
    </row>
    <row r="81" spans="1:26" ht="66.75" customHeight="1">
      <c r="A81" s="2170">
        <f>A78+1</f>
        <v>15</v>
      </c>
      <c r="B81" s="1919" t="s">
        <v>1585</v>
      </c>
      <c r="C81" s="2171"/>
      <c r="D81" s="1602">
        <f t="shared" si="36"/>
        <v>16334.2</v>
      </c>
      <c r="E81" s="1609">
        <f>E82+E83+E84</f>
        <v>15354.2</v>
      </c>
      <c r="F81" s="1609">
        <f>F82+F83+F84</f>
        <v>980</v>
      </c>
      <c r="G81" s="1600">
        <f t="shared" si="37"/>
        <v>16334.2</v>
      </c>
      <c r="H81" s="1609">
        <f>H82+H83+H84</f>
        <v>15354.2</v>
      </c>
      <c r="I81" s="1609">
        <f>I82+I83+I84</f>
        <v>980</v>
      </c>
      <c r="J81" s="1609">
        <f>J82+J83+J84</f>
        <v>4162.2</v>
      </c>
      <c r="K81" s="1609">
        <f>K82+K83+K84</f>
        <v>3912.4</v>
      </c>
      <c r="L81" s="1609">
        <f>L82+L83+L84</f>
        <v>249.8</v>
      </c>
      <c r="M81" s="1604">
        <f t="shared" si="39"/>
        <v>25.5</v>
      </c>
      <c r="N81" s="1604">
        <f t="shared" si="40"/>
        <v>25.5</v>
      </c>
      <c r="O81" s="1604">
        <f t="shared" si="41"/>
        <v>25.5</v>
      </c>
      <c r="P81" s="2169"/>
      <c r="Q81" s="2169"/>
      <c r="R81" s="1600">
        <f>S81+T81</f>
        <v>0</v>
      </c>
      <c r="S81" s="1619">
        <v>0</v>
      </c>
      <c r="T81" s="1619">
        <v>0</v>
      </c>
      <c r="U81" s="1600">
        <f>V81+W81</f>
        <v>0</v>
      </c>
      <c r="V81" s="1619">
        <v>0</v>
      </c>
      <c r="W81" s="1619">
        <v>0</v>
      </c>
      <c r="X81" s="1423">
        <f>D81-G81</f>
        <v>0</v>
      </c>
      <c r="Y81" s="1423"/>
      <c r="Z81" s="1423"/>
    </row>
    <row r="82" spans="1:26" ht="23.25">
      <c r="A82" s="2170"/>
      <c r="B82" s="1609" t="s">
        <v>1620</v>
      </c>
      <c r="C82" s="2171"/>
      <c r="D82" s="1602">
        <f t="shared" si="36"/>
        <v>3935.3</v>
      </c>
      <c r="E82" s="1609">
        <v>3699.2</v>
      </c>
      <c r="F82" s="1609">
        <v>236.1</v>
      </c>
      <c r="G82" s="1600">
        <f t="shared" si="37"/>
        <v>3935.3</v>
      </c>
      <c r="H82" s="1616">
        <f t="shared" si="42"/>
        <v>3699.2</v>
      </c>
      <c r="I82" s="1616">
        <f t="shared" si="42"/>
        <v>236.1</v>
      </c>
      <c r="J82" s="1600">
        <f t="shared" si="38"/>
        <v>0</v>
      </c>
      <c r="K82" s="1619">
        <v>0</v>
      </c>
      <c r="L82" s="1619">
        <v>0</v>
      </c>
      <c r="M82" s="1609">
        <f t="shared" si="39"/>
        <v>0</v>
      </c>
      <c r="N82" s="1609">
        <f t="shared" si="40"/>
        <v>0</v>
      </c>
      <c r="O82" s="1609">
        <f t="shared" si="41"/>
        <v>0</v>
      </c>
      <c r="P82" s="1619"/>
      <c r="Q82" s="1619"/>
      <c r="R82" s="1600"/>
      <c r="S82" s="1619"/>
      <c r="T82" s="1619"/>
      <c r="U82" s="1600"/>
      <c r="V82" s="1619"/>
      <c r="W82" s="1619"/>
      <c r="X82" s="1423"/>
      <c r="Y82" s="1423"/>
      <c r="Z82" s="1423"/>
    </row>
    <row r="83" spans="1:26" ht="23.25">
      <c r="A83" s="2170"/>
      <c r="B83" s="1609" t="s">
        <v>1798</v>
      </c>
      <c r="C83" s="2171"/>
      <c r="D83" s="1602">
        <f>SUM(E83:F83)</f>
        <v>11307.5</v>
      </c>
      <c r="E83" s="1609">
        <v>10629.1</v>
      </c>
      <c r="F83" s="1609">
        <v>678.4</v>
      </c>
      <c r="G83" s="1600">
        <f>SUM(H83:I83)</f>
        <v>11307.5</v>
      </c>
      <c r="H83" s="1616">
        <f>E83</f>
        <v>10629.1</v>
      </c>
      <c r="I83" s="1616">
        <f>F83</f>
        <v>678.4</v>
      </c>
      <c r="J83" s="1600">
        <f>SUM(K83:L83)</f>
        <v>3222.8</v>
      </c>
      <c r="K83" s="1619">
        <v>3029.4</v>
      </c>
      <c r="L83" s="1619">
        <v>193.4</v>
      </c>
      <c r="M83" s="1609">
        <f t="shared" si="39"/>
        <v>28.5</v>
      </c>
      <c r="N83" s="1609">
        <f t="shared" si="40"/>
        <v>28.5</v>
      </c>
      <c r="O83" s="1609">
        <f t="shared" si="41"/>
        <v>28.5</v>
      </c>
      <c r="P83" s="1619"/>
      <c r="Q83" s="1619"/>
      <c r="R83" s="1600"/>
      <c r="S83" s="1619"/>
      <c r="T83" s="1619"/>
      <c r="U83" s="1600"/>
      <c r="V83" s="1619"/>
      <c r="W83" s="1619"/>
      <c r="X83" s="1423"/>
      <c r="Y83" s="1423"/>
      <c r="Z83" s="1423"/>
    </row>
    <row r="84" spans="1:26" ht="23.25">
      <c r="A84" s="2170"/>
      <c r="B84" s="1609" t="s">
        <v>1770</v>
      </c>
      <c r="C84" s="2171"/>
      <c r="D84" s="1602">
        <f t="shared" si="36"/>
        <v>1091.4000000000001</v>
      </c>
      <c r="E84" s="1609">
        <v>1025.9000000000001</v>
      </c>
      <c r="F84" s="1609">
        <v>65.5</v>
      </c>
      <c r="G84" s="1600">
        <f t="shared" si="37"/>
        <v>1091.4000000000001</v>
      </c>
      <c r="H84" s="1616">
        <f t="shared" si="42"/>
        <v>1025.9000000000001</v>
      </c>
      <c r="I84" s="1616">
        <f t="shared" si="42"/>
        <v>65.5</v>
      </c>
      <c r="J84" s="1600">
        <f t="shared" si="38"/>
        <v>939.4</v>
      </c>
      <c r="K84" s="1619">
        <v>883</v>
      </c>
      <c r="L84" s="1619">
        <v>56.4</v>
      </c>
      <c r="M84" s="1609">
        <f t="shared" si="39"/>
        <v>86.1</v>
      </c>
      <c r="N84" s="1609">
        <f t="shared" si="40"/>
        <v>86.1</v>
      </c>
      <c r="O84" s="1609">
        <f t="shared" si="41"/>
        <v>86.1</v>
      </c>
      <c r="P84" s="1619"/>
      <c r="Q84" s="1619"/>
      <c r="R84" s="1600"/>
      <c r="S84" s="1619"/>
      <c r="T84" s="1619"/>
      <c r="U84" s="1600"/>
      <c r="V84" s="1619"/>
      <c r="W84" s="1619"/>
      <c r="X84" s="1423"/>
      <c r="Y84" s="1423"/>
      <c r="Z84" s="1423"/>
    </row>
    <row r="85" spans="1:26" ht="57.75" customHeight="1">
      <c r="A85" s="2170">
        <f>A81+1</f>
        <v>16</v>
      </c>
      <c r="B85" s="1919" t="s">
        <v>1586</v>
      </c>
      <c r="C85" s="2171"/>
      <c r="D85" s="1602">
        <f t="shared" si="36"/>
        <v>4789.7</v>
      </c>
      <c r="E85" s="1609">
        <f>E86+E87+E88</f>
        <v>4502.3</v>
      </c>
      <c r="F85" s="1609">
        <f>F86+F87+F88</f>
        <v>287.39999999999998</v>
      </c>
      <c r="G85" s="1600">
        <f t="shared" si="37"/>
        <v>4789.7</v>
      </c>
      <c r="H85" s="1609">
        <f>H86+H87+H88</f>
        <v>4502.3</v>
      </c>
      <c r="I85" s="1609">
        <f>I86+I87+I88</f>
        <v>287.39999999999998</v>
      </c>
      <c r="J85" s="1602">
        <f t="shared" si="38"/>
        <v>34.700000000000003</v>
      </c>
      <c r="K85" s="1609">
        <f>K86+K87+K88</f>
        <v>32.6</v>
      </c>
      <c r="L85" s="1609">
        <f>L86+L87+L88</f>
        <v>2.1</v>
      </c>
      <c r="M85" s="1604">
        <f t="shared" si="39"/>
        <v>0.7</v>
      </c>
      <c r="N85" s="1604">
        <f t="shared" si="40"/>
        <v>0.7</v>
      </c>
      <c r="O85" s="1604">
        <f t="shared" si="41"/>
        <v>0.7</v>
      </c>
      <c r="P85" s="2169"/>
      <c r="Q85" s="2169"/>
      <c r="R85" s="1600">
        <f>S85+T85</f>
        <v>0</v>
      </c>
      <c r="S85" s="1619">
        <v>0</v>
      </c>
      <c r="T85" s="1619">
        <v>0</v>
      </c>
      <c r="U85" s="1600">
        <f>V85+W85</f>
        <v>0</v>
      </c>
      <c r="V85" s="1619">
        <v>0</v>
      </c>
      <c r="W85" s="1619">
        <v>0</v>
      </c>
      <c r="X85" s="1423">
        <f>D85-G85</f>
        <v>0</v>
      </c>
      <c r="Y85" s="1423"/>
      <c r="Z85" s="1423"/>
    </row>
    <row r="86" spans="1:26" ht="23.25">
      <c r="A86" s="2170"/>
      <c r="B86" s="1609" t="s">
        <v>1620</v>
      </c>
      <c r="C86" s="2171"/>
      <c r="D86" s="1602">
        <f t="shared" si="36"/>
        <v>1226.9000000000001</v>
      </c>
      <c r="E86" s="1609">
        <v>1153.3</v>
      </c>
      <c r="F86" s="1609">
        <v>73.599999999999994</v>
      </c>
      <c r="G86" s="1600">
        <f t="shared" si="37"/>
        <v>1226.9000000000001</v>
      </c>
      <c r="H86" s="1616">
        <f t="shared" ref="H86:I88" si="43">E86</f>
        <v>1153.3</v>
      </c>
      <c r="I86" s="1616">
        <f t="shared" si="43"/>
        <v>73.599999999999994</v>
      </c>
      <c r="J86" s="1600">
        <f t="shared" si="38"/>
        <v>0</v>
      </c>
      <c r="K86" s="1619">
        <v>0</v>
      </c>
      <c r="L86" s="1619">
        <v>0</v>
      </c>
      <c r="M86" s="1609">
        <f t="shared" si="39"/>
        <v>0</v>
      </c>
      <c r="N86" s="1609">
        <f t="shared" si="40"/>
        <v>0</v>
      </c>
      <c r="O86" s="1609">
        <f t="shared" si="41"/>
        <v>0</v>
      </c>
      <c r="P86" s="1619"/>
      <c r="Q86" s="1619"/>
      <c r="R86" s="1600"/>
      <c r="S86" s="1619"/>
      <c r="T86" s="1619"/>
      <c r="U86" s="1600"/>
      <c r="V86" s="1619"/>
      <c r="W86" s="1619"/>
      <c r="X86" s="1423"/>
      <c r="Y86" s="1423"/>
      <c r="Z86" s="1423"/>
    </row>
    <row r="87" spans="1:26" ht="23.25">
      <c r="A87" s="2170"/>
      <c r="B87" s="1609" t="s">
        <v>1798</v>
      </c>
      <c r="C87" s="2171"/>
      <c r="D87" s="1602">
        <f>SUM(E87:F87)</f>
        <v>3542.8</v>
      </c>
      <c r="E87" s="1609">
        <v>3330.2</v>
      </c>
      <c r="F87" s="1609">
        <v>212.6</v>
      </c>
      <c r="G87" s="1600">
        <f>SUM(H87:I87)</f>
        <v>3542.8</v>
      </c>
      <c r="H87" s="1616">
        <f t="shared" si="43"/>
        <v>3330.2</v>
      </c>
      <c r="I87" s="1616">
        <f t="shared" si="43"/>
        <v>212.6</v>
      </c>
      <c r="J87" s="1600">
        <f>SUM(K87:L87)</f>
        <v>34.700000000000003</v>
      </c>
      <c r="K87" s="1619">
        <v>32.6</v>
      </c>
      <c r="L87" s="1619">
        <v>2.1</v>
      </c>
      <c r="M87" s="1609">
        <f t="shared" si="39"/>
        <v>1</v>
      </c>
      <c r="N87" s="1609">
        <f t="shared" si="40"/>
        <v>1</v>
      </c>
      <c r="O87" s="1609">
        <f t="shared" si="41"/>
        <v>1</v>
      </c>
      <c r="P87" s="1619"/>
      <c r="Q87" s="1619"/>
      <c r="R87" s="1600"/>
      <c r="S87" s="1619"/>
      <c r="T87" s="1619"/>
      <c r="U87" s="1600"/>
      <c r="V87" s="1619"/>
      <c r="W87" s="1619"/>
      <c r="X87" s="1423"/>
      <c r="Y87" s="1423"/>
      <c r="Z87" s="1423"/>
    </row>
    <row r="88" spans="1:26" ht="23.25">
      <c r="A88" s="2170"/>
      <c r="B88" s="1609" t="s">
        <v>1770</v>
      </c>
      <c r="C88" s="2171"/>
      <c r="D88" s="1602">
        <f t="shared" si="36"/>
        <v>20</v>
      </c>
      <c r="E88" s="1609">
        <v>18.8</v>
      </c>
      <c r="F88" s="1609">
        <v>1.2</v>
      </c>
      <c r="G88" s="1600">
        <f t="shared" si="37"/>
        <v>20</v>
      </c>
      <c r="H88" s="1616">
        <f t="shared" si="43"/>
        <v>18.8</v>
      </c>
      <c r="I88" s="1616">
        <f t="shared" si="43"/>
        <v>1.2</v>
      </c>
      <c r="J88" s="1600">
        <f t="shared" si="38"/>
        <v>0</v>
      </c>
      <c r="K88" s="1619"/>
      <c r="L88" s="1619"/>
      <c r="M88" s="1609">
        <f t="shared" si="39"/>
        <v>0</v>
      </c>
      <c r="N88" s="1609">
        <f t="shared" si="40"/>
        <v>0</v>
      </c>
      <c r="O88" s="1609">
        <f t="shared" si="41"/>
        <v>0</v>
      </c>
      <c r="P88" s="1619"/>
      <c r="Q88" s="1619"/>
      <c r="R88" s="1600"/>
      <c r="S88" s="1619"/>
      <c r="T88" s="1619"/>
      <c r="U88" s="1600"/>
      <c r="V88" s="1619"/>
      <c r="W88" s="1619"/>
      <c r="X88" s="1423"/>
      <c r="Y88" s="1423"/>
      <c r="Z88" s="1423"/>
    </row>
    <row r="89" spans="1:26" ht="81" customHeight="1">
      <c r="A89" s="2170">
        <f>A85+1</f>
        <v>17</v>
      </c>
      <c r="B89" s="1912" t="s">
        <v>1662</v>
      </c>
      <c r="C89" s="1880"/>
      <c r="D89" s="1602">
        <f t="shared" si="36"/>
        <v>21566.9</v>
      </c>
      <c r="E89" s="1616">
        <f>E90+E91</f>
        <v>20272.7</v>
      </c>
      <c r="F89" s="1616">
        <f>F90+F91</f>
        <v>1294.2</v>
      </c>
      <c r="G89" s="1602">
        <f t="shared" si="37"/>
        <v>21566.9</v>
      </c>
      <c r="H89" s="1616">
        <f>H90+H91</f>
        <v>20272.7</v>
      </c>
      <c r="I89" s="1616">
        <f>I90+I91</f>
        <v>1294.2</v>
      </c>
      <c r="J89" s="1602">
        <f t="shared" si="38"/>
        <v>4497</v>
      </c>
      <c r="K89" s="1616">
        <f>K90+K91</f>
        <v>4227.2</v>
      </c>
      <c r="L89" s="1616">
        <f>L90+L91</f>
        <v>269.8</v>
      </c>
      <c r="M89" s="1604">
        <f t="shared" si="39"/>
        <v>20.9</v>
      </c>
      <c r="N89" s="1881">
        <f t="shared" si="40"/>
        <v>20.9</v>
      </c>
      <c r="O89" s="1881">
        <f t="shared" si="41"/>
        <v>20.8</v>
      </c>
      <c r="P89" s="2169"/>
      <c r="Q89" s="2169"/>
      <c r="R89" s="1600">
        <f>S89+T89</f>
        <v>0</v>
      </c>
      <c r="S89" s="1619">
        <v>0</v>
      </c>
      <c r="T89" s="1619">
        <v>0</v>
      </c>
      <c r="U89" s="1600">
        <f>V89+W89</f>
        <v>0</v>
      </c>
      <c r="V89" s="1619">
        <v>0</v>
      </c>
      <c r="W89" s="1619">
        <v>0</v>
      </c>
      <c r="X89" s="1423">
        <f>D89-G89</f>
        <v>0</v>
      </c>
      <c r="Y89" s="1423"/>
      <c r="Z89" s="1423"/>
    </row>
    <row r="90" spans="1:26" ht="23.25">
      <c r="A90" s="2170"/>
      <c r="B90" s="1609" t="s">
        <v>1620</v>
      </c>
      <c r="C90" s="2171"/>
      <c r="D90" s="1602">
        <f t="shared" si="36"/>
        <v>14615.1</v>
      </c>
      <c r="E90" s="1609">
        <v>13738.1</v>
      </c>
      <c r="F90" s="1609">
        <v>877</v>
      </c>
      <c r="G90" s="1600">
        <f t="shared" si="37"/>
        <v>14615.1</v>
      </c>
      <c r="H90" s="1616">
        <f>E90</f>
        <v>13738.1</v>
      </c>
      <c r="I90" s="1616">
        <f>F90</f>
        <v>877</v>
      </c>
      <c r="J90" s="1600">
        <f t="shared" si="38"/>
        <v>0</v>
      </c>
      <c r="K90" s="1619"/>
      <c r="L90" s="1619"/>
      <c r="M90" s="1609">
        <f t="shared" si="39"/>
        <v>0</v>
      </c>
      <c r="N90" s="1609">
        <f t="shared" si="40"/>
        <v>0</v>
      </c>
      <c r="O90" s="1609">
        <f t="shared" si="41"/>
        <v>0</v>
      </c>
      <c r="P90" s="1619"/>
      <c r="Q90" s="1619"/>
      <c r="R90" s="1600"/>
      <c r="S90" s="1619"/>
      <c r="T90" s="1619"/>
      <c r="U90" s="1600"/>
      <c r="V90" s="1619"/>
      <c r="W90" s="1619"/>
      <c r="X90" s="1423"/>
      <c r="Y90" s="1423"/>
      <c r="Z90" s="1423"/>
    </row>
    <row r="91" spans="1:26" ht="23.25">
      <c r="A91" s="2170"/>
      <c r="B91" s="1609" t="s">
        <v>1770</v>
      </c>
      <c r="C91" s="2171"/>
      <c r="D91" s="1602">
        <f t="shared" si="36"/>
        <v>6951.8</v>
      </c>
      <c r="E91" s="1609">
        <f>5138.2+1396.4</f>
        <v>6534.6</v>
      </c>
      <c r="F91" s="1609">
        <f>328+89.2</f>
        <v>417.2</v>
      </c>
      <c r="G91" s="1600">
        <f t="shared" si="37"/>
        <v>6951.8</v>
      </c>
      <c r="H91" s="1616">
        <f>E91</f>
        <v>6534.6</v>
      </c>
      <c r="I91" s="1616">
        <f>F91</f>
        <v>417.2</v>
      </c>
      <c r="J91" s="1600">
        <f t="shared" si="38"/>
        <v>4497</v>
      </c>
      <c r="K91" s="1619">
        <f>1090.159+3137.08</f>
        <v>4227.2</v>
      </c>
      <c r="L91" s="1619">
        <f>69.6+200.2</f>
        <v>269.8</v>
      </c>
      <c r="M91" s="1609">
        <f t="shared" si="39"/>
        <v>64.7</v>
      </c>
      <c r="N91" s="1609">
        <f t="shared" si="40"/>
        <v>64.7</v>
      </c>
      <c r="O91" s="1609">
        <f t="shared" si="41"/>
        <v>64.7</v>
      </c>
      <c r="P91" s="1619"/>
      <c r="Q91" s="1619"/>
      <c r="R91" s="1600"/>
      <c r="S91" s="1619"/>
      <c r="T91" s="1619"/>
      <c r="U91" s="1600"/>
      <c r="V91" s="1619"/>
      <c r="W91" s="1619"/>
      <c r="X91" s="1423"/>
      <c r="Y91" s="1423"/>
      <c r="Z91" s="1423"/>
    </row>
    <row r="92" spans="1:26" s="484" customFormat="1" ht="65.25" customHeight="1">
      <c r="A92" s="2170">
        <f>A89+1</f>
        <v>18</v>
      </c>
      <c r="B92" s="1920" t="s">
        <v>1437</v>
      </c>
      <c r="C92" s="1880" t="s">
        <v>1544</v>
      </c>
      <c r="D92" s="1602">
        <f t="shared" si="36"/>
        <v>114857</v>
      </c>
      <c r="E92" s="1616">
        <f>SUM(E93:E95)</f>
        <v>96866.8</v>
      </c>
      <c r="F92" s="1616">
        <f>SUM(F93:F95)</f>
        <v>17990.2</v>
      </c>
      <c r="G92" s="1600">
        <f t="shared" si="37"/>
        <v>114857</v>
      </c>
      <c r="H92" s="1616">
        <f>SUM(H93:H95)</f>
        <v>96866.8</v>
      </c>
      <c r="I92" s="1616">
        <f>SUM(I93:I95)</f>
        <v>17990.2</v>
      </c>
      <c r="J92" s="1602">
        <f t="shared" si="38"/>
        <v>96907.6</v>
      </c>
      <c r="K92" s="1616">
        <f>SUM(K93:K95)</f>
        <v>79995.3</v>
      </c>
      <c r="L92" s="1616">
        <f>SUM(L93:L95)</f>
        <v>16912.3</v>
      </c>
      <c r="M92" s="1604">
        <f t="shared" si="39"/>
        <v>84.4</v>
      </c>
      <c r="N92" s="1881">
        <f t="shared" si="40"/>
        <v>82.6</v>
      </c>
      <c r="O92" s="1881">
        <f t="shared" si="41"/>
        <v>94</v>
      </c>
      <c r="P92" s="2169" t="s">
        <v>1293</v>
      </c>
      <c r="Q92" s="2169" t="s">
        <v>1101</v>
      </c>
      <c r="R92" s="1600">
        <f>S92+T92</f>
        <v>0</v>
      </c>
      <c r="S92" s="1608">
        <v>0</v>
      </c>
      <c r="T92" s="1608">
        <v>0</v>
      </c>
      <c r="U92" s="1600">
        <f>V92+W92</f>
        <v>0</v>
      </c>
      <c r="V92" s="1608">
        <v>0</v>
      </c>
      <c r="W92" s="1608">
        <v>0</v>
      </c>
      <c r="X92" s="1423">
        <f>D92-G92</f>
        <v>0</v>
      </c>
      <c r="Y92" s="1423"/>
      <c r="Z92" s="1423"/>
    </row>
    <row r="93" spans="1:26" s="484" customFormat="1" ht="23.25">
      <c r="A93" s="2170"/>
      <c r="B93" s="1609" t="s">
        <v>1620</v>
      </c>
      <c r="C93" s="1880"/>
      <c r="D93" s="1602">
        <f t="shared" si="36"/>
        <v>74115.8</v>
      </c>
      <c r="E93" s="1616">
        <v>69668.800000000003</v>
      </c>
      <c r="F93" s="1616">
        <f>4447</f>
        <v>4447</v>
      </c>
      <c r="G93" s="1600">
        <f t="shared" si="37"/>
        <v>74115.8</v>
      </c>
      <c r="H93" s="1616">
        <f t="shared" ref="H93:I99" si="44">E93</f>
        <v>69668.800000000003</v>
      </c>
      <c r="I93" s="1616">
        <f t="shared" si="44"/>
        <v>4447</v>
      </c>
      <c r="J93" s="1600">
        <f t="shared" si="38"/>
        <v>72236.100000000006</v>
      </c>
      <c r="K93" s="1608">
        <v>67901.899999999994</v>
      </c>
      <c r="L93" s="1608">
        <v>4334.2</v>
      </c>
      <c r="M93" s="2162">
        <f t="shared" si="39"/>
        <v>97.5</v>
      </c>
      <c r="N93" s="2163">
        <f t="shared" si="40"/>
        <v>97.5</v>
      </c>
      <c r="O93" s="2163">
        <f t="shared" si="41"/>
        <v>97.5</v>
      </c>
      <c r="P93" s="2169"/>
      <c r="Q93" s="2169"/>
      <c r="R93" s="1600">
        <f t="shared" ref="R93:R103" si="45">S93+T93</f>
        <v>0</v>
      </c>
      <c r="S93" s="1608">
        <v>0</v>
      </c>
      <c r="T93" s="1608">
        <v>0</v>
      </c>
      <c r="U93" s="1600">
        <f>V93+W93</f>
        <v>0</v>
      </c>
      <c r="V93" s="1608">
        <v>0</v>
      </c>
      <c r="W93" s="1608">
        <v>0</v>
      </c>
      <c r="X93" s="1423">
        <f>D93-G93</f>
        <v>0</v>
      </c>
      <c r="Y93" s="1423"/>
      <c r="Z93" s="1423"/>
    </row>
    <row r="94" spans="1:26" s="484" customFormat="1" ht="23.25">
      <c r="A94" s="2170"/>
      <c r="B94" s="1609" t="s">
        <v>1798</v>
      </c>
      <c r="C94" s="1880"/>
      <c r="D94" s="1602">
        <f>SUM(E94:F94)</f>
        <v>28934.400000000001</v>
      </c>
      <c r="E94" s="1616">
        <v>27198</v>
      </c>
      <c r="F94" s="1616">
        <v>1736.4</v>
      </c>
      <c r="G94" s="1600">
        <f>SUM(H94:I94)</f>
        <v>28934.400000000001</v>
      </c>
      <c r="H94" s="1616">
        <f>E94</f>
        <v>27198</v>
      </c>
      <c r="I94" s="1616">
        <f>F94</f>
        <v>1736.4</v>
      </c>
      <c r="J94" s="1600">
        <f>SUM(K94:L94)</f>
        <v>12865.5</v>
      </c>
      <c r="K94" s="1608">
        <v>12093.4</v>
      </c>
      <c r="L94" s="1608">
        <v>772.1</v>
      </c>
      <c r="M94" s="2162">
        <f t="shared" si="39"/>
        <v>44.5</v>
      </c>
      <c r="N94" s="2163">
        <f t="shared" si="40"/>
        <v>44.5</v>
      </c>
      <c r="O94" s="2163">
        <f t="shared" si="41"/>
        <v>44.5</v>
      </c>
      <c r="P94" s="2169"/>
      <c r="Q94" s="2169"/>
      <c r="R94" s="1600"/>
      <c r="S94" s="1608"/>
      <c r="T94" s="1608"/>
      <c r="U94" s="1600"/>
      <c r="V94" s="1608"/>
      <c r="W94" s="1608"/>
      <c r="X94" s="1423"/>
      <c r="Y94" s="1423"/>
      <c r="Z94" s="1423"/>
    </row>
    <row r="95" spans="1:26" s="484" customFormat="1" ht="23.25">
      <c r="A95" s="2170"/>
      <c r="B95" s="1609" t="s">
        <v>1621</v>
      </c>
      <c r="C95" s="1880"/>
      <c r="D95" s="1602">
        <f t="shared" si="36"/>
        <v>11806.8</v>
      </c>
      <c r="E95" s="1616"/>
      <c r="F95" s="1616">
        <v>11806.8</v>
      </c>
      <c r="G95" s="1600">
        <f t="shared" si="37"/>
        <v>11806.8</v>
      </c>
      <c r="H95" s="1616">
        <f t="shared" si="44"/>
        <v>0</v>
      </c>
      <c r="I95" s="1616">
        <v>11806.8</v>
      </c>
      <c r="J95" s="1600">
        <f t="shared" si="38"/>
        <v>11806</v>
      </c>
      <c r="K95" s="1608"/>
      <c r="L95" s="1608">
        <f>9181.4+2624.596</f>
        <v>11806</v>
      </c>
      <c r="M95" s="2162">
        <f t="shared" si="39"/>
        <v>100</v>
      </c>
      <c r="N95" s="2163">
        <f t="shared" si="40"/>
        <v>0</v>
      </c>
      <c r="O95" s="2163">
        <f t="shared" si="41"/>
        <v>100</v>
      </c>
      <c r="P95" s="2169"/>
      <c r="Q95" s="2169"/>
      <c r="R95" s="1600">
        <f t="shared" si="45"/>
        <v>0</v>
      </c>
      <c r="S95" s="1608">
        <v>0</v>
      </c>
      <c r="T95" s="1608">
        <v>0</v>
      </c>
      <c r="U95" s="1600">
        <f>V95+W95</f>
        <v>0</v>
      </c>
      <c r="V95" s="1608">
        <v>0</v>
      </c>
      <c r="W95" s="1608">
        <v>0</v>
      </c>
      <c r="X95" s="1423">
        <f>D95-G95</f>
        <v>0</v>
      </c>
      <c r="Y95" s="1423"/>
      <c r="Z95" s="1423"/>
    </row>
    <row r="96" spans="1:26" ht="63" customHeight="1">
      <c r="A96" s="2170">
        <f>A92+1</f>
        <v>19</v>
      </c>
      <c r="B96" s="1912" t="s">
        <v>1441</v>
      </c>
      <c r="C96" s="1880" t="s">
        <v>1544</v>
      </c>
      <c r="D96" s="1602">
        <f t="shared" si="36"/>
        <v>79786.100000000006</v>
      </c>
      <c r="E96" s="1616">
        <f>E97+E98+E99</f>
        <v>74998.3</v>
      </c>
      <c r="F96" s="1616">
        <f>F97+F98+F99</f>
        <v>4787.8</v>
      </c>
      <c r="G96" s="1600">
        <f t="shared" si="37"/>
        <v>79786.100000000006</v>
      </c>
      <c r="H96" s="1616">
        <f>H97+H98+H99</f>
        <v>74998.3</v>
      </c>
      <c r="I96" s="1616">
        <f>I97+I98+I99</f>
        <v>4787.8</v>
      </c>
      <c r="J96" s="1602">
        <f t="shared" si="38"/>
        <v>20</v>
      </c>
      <c r="K96" s="1616">
        <f>K97+K98+K99</f>
        <v>18.8</v>
      </c>
      <c r="L96" s="1616">
        <f>L97+L98+L99</f>
        <v>1.2</v>
      </c>
      <c r="M96" s="1604">
        <f t="shared" si="39"/>
        <v>0</v>
      </c>
      <c r="N96" s="1881">
        <f t="shared" si="40"/>
        <v>0</v>
      </c>
      <c r="O96" s="1881">
        <f t="shared" si="41"/>
        <v>0</v>
      </c>
      <c r="P96" s="2169" t="s">
        <v>1192</v>
      </c>
      <c r="Q96" s="2169" t="s">
        <v>1663</v>
      </c>
      <c r="R96" s="1600">
        <f t="shared" si="45"/>
        <v>0</v>
      </c>
      <c r="S96" s="1614">
        <v>0</v>
      </c>
      <c r="T96" s="1614">
        <v>0</v>
      </c>
      <c r="U96" s="1600">
        <f>V96+W96</f>
        <v>0</v>
      </c>
      <c r="V96" s="1614">
        <v>0</v>
      </c>
      <c r="W96" s="1614">
        <v>0</v>
      </c>
      <c r="X96" s="1423">
        <f>D96-G96</f>
        <v>0</v>
      </c>
      <c r="Y96" s="1423"/>
      <c r="Z96" s="1423"/>
    </row>
    <row r="97" spans="1:26" ht="23.25">
      <c r="A97" s="2170"/>
      <c r="B97" s="1609" t="s">
        <v>1620</v>
      </c>
      <c r="C97" s="2171"/>
      <c r="D97" s="1602">
        <f t="shared" si="36"/>
        <v>18682.400000000001</v>
      </c>
      <c r="E97" s="1609">
        <v>17561.3</v>
      </c>
      <c r="F97" s="1609">
        <v>1121.0999999999999</v>
      </c>
      <c r="G97" s="1600">
        <f t="shared" si="37"/>
        <v>18682.400000000001</v>
      </c>
      <c r="H97" s="1616">
        <f t="shared" si="44"/>
        <v>17561.3</v>
      </c>
      <c r="I97" s="1616">
        <f t="shared" si="44"/>
        <v>1121.0999999999999</v>
      </c>
      <c r="J97" s="1600">
        <f t="shared" si="38"/>
        <v>0</v>
      </c>
      <c r="K97" s="1619"/>
      <c r="L97" s="1619"/>
      <c r="M97" s="1604">
        <f t="shared" si="39"/>
        <v>0</v>
      </c>
      <c r="N97" s="1881">
        <f t="shared" si="40"/>
        <v>0</v>
      </c>
      <c r="O97" s="1881">
        <f t="shared" si="41"/>
        <v>0</v>
      </c>
      <c r="P97" s="1619"/>
      <c r="Q97" s="1619"/>
      <c r="R97" s="1600"/>
      <c r="S97" s="1619"/>
      <c r="T97" s="1619"/>
      <c r="U97" s="1600"/>
      <c r="V97" s="1619"/>
      <c r="W97" s="1619"/>
      <c r="X97" s="1423"/>
      <c r="Y97" s="1423"/>
      <c r="Z97" s="1423"/>
    </row>
    <row r="98" spans="1:26" ht="23.25">
      <c r="A98" s="2170"/>
      <c r="B98" s="1609" t="s">
        <v>1798</v>
      </c>
      <c r="C98" s="2171"/>
      <c r="D98" s="1602">
        <f>SUM(E98:F98)</f>
        <v>61083.7</v>
      </c>
      <c r="E98" s="1609">
        <v>57418.2</v>
      </c>
      <c r="F98" s="1609">
        <v>3665.5</v>
      </c>
      <c r="G98" s="1600">
        <f>SUM(H98:I98)</f>
        <v>61083.7</v>
      </c>
      <c r="H98" s="1616">
        <f>E98</f>
        <v>57418.2</v>
      </c>
      <c r="I98" s="1616">
        <f>F98</f>
        <v>3665.5</v>
      </c>
      <c r="J98" s="1600">
        <f>SUM(K98:L98)</f>
        <v>0</v>
      </c>
      <c r="K98" s="1619"/>
      <c r="L98" s="1619"/>
      <c r="M98" s="1604">
        <f t="shared" si="39"/>
        <v>0</v>
      </c>
      <c r="N98" s="1881">
        <f t="shared" si="40"/>
        <v>0</v>
      </c>
      <c r="O98" s="1881">
        <f t="shared" si="41"/>
        <v>0</v>
      </c>
      <c r="P98" s="1619"/>
      <c r="Q98" s="1619"/>
      <c r="R98" s="1600"/>
      <c r="S98" s="1619"/>
      <c r="T98" s="1619"/>
      <c r="U98" s="1600"/>
      <c r="V98" s="1619"/>
      <c r="W98" s="1619"/>
      <c r="X98" s="1423"/>
      <c r="Y98" s="1423"/>
      <c r="Z98" s="1423"/>
    </row>
    <row r="99" spans="1:26" ht="23.25">
      <c r="A99" s="2170"/>
      <c r="B99" s="1609" t="s">
        <v>1770</v>
      </c>
      <c r="C99" s="2171"/>
      <c r="D99" s="1602">
        <f t="shared" si="36"/>
        <v>20</v>
      </c>
      <c r="E99" s="1609">
        <v>18.8</v>
      </c>
      <c r="F99" s="1609">
        <v>1.2</v>
      </c>
      <c r="G99" s="1600">
        <f t="shared" si="37"/>
        <v>20</v>
      </c>
      <c r="H99" s="1616">
        <f t="shared" si="44"/>
        <v>18.8</v>
      </c>
      <c r="I99" s="1616">
        <f t="shared" si="44"/>
        <v>1.2</v>
      </c>
      <c r="J99" s="1600">
        <f t="shared" si="38"/>
        <v>20</v>
      </c>
      <c r="K99" s="1619">
        <f t="shared" ref="K99" si="46">3.6+15.2</f>
        <v>18.8</v>
      </c>
      <c r="L99" s="1619">
        <v>1.2</v>
      </c>
      <c r="M99" s="1604">
        <f t="shared" si="39"/>
        <v>100</v>
      </c>
      <c r="N99" s="1881">
        <f t="shared" si="40"/>
        <v>100</v>
      </c>
      <c r="O99" s="1881">
        <f t="shared" si="41"/>
        <v>100</v>
      </c>
      <c r="P99" s="1619"/>
      <c r="Q99" s="1619"/>
      <c r="R99" s="1600"/>
      <c r="S99" s="1619"/>
      <c r="T99" s="1619"/>
      <c r="U99" s="1600"/>
      <c r="V99" s="1619"/>
      <c r="W99" s="1619"/>
      <c r="X99" s="1423"/>
      <c r="Y99" s="1423"/>
      <c r="Z99" s="1423"/>
    </row>
    <row r="100" spans="1:26" ht="58.5" customHeight="1">
      <c r="A100" s="2170">
        <f>A96+1</f>
        <v>20</v>
      </c>
      <c r="B100" s="1912" t="s">
        <v>1442</v>
      </c>
      <c r="C100" s="1880" t="s">
        <v>1544</v>
      </c>
      <c r="D100" s="1602">
        <f t="shared" si="36"/>
        <v>14406.9</v>
      </c>
      <c r="E100" s="1616">
        <f>E101+E102</f>
        <v>13542.4</v>
      </c>
      <c r="F100" s="1616">
        <f>F101+F102</f>
        <v>864.5</v>
      </c>
      <c r="G100" s="1600">
        <f t="shared" si="37"/>
        <v>14406.9</v>
      </c>
      <c r="H100" s="1616">
        <f>H101+H102</f>
        <v>13542.4</v>
      </c>
      <c r="I100" s="1616">
        <f>I101+I102</f>
        <v>864.5</v>
      </c>
      <c r="J100" s="1602">
        <f t="shared" si="38"/>
        <v>8267.5</v>
      </c>
      <c r="K100" s="1616">
        <f>K101+K102</f>
        <v>7771.4</v>
      </c>
      <c r="L100" s="1616">
        <f>L101+L102</f>
        <v>496.1</v>
      </c>
      <c r="M100" s="1604">
        <f t="shared" si="39"/>
        <v>57.4</v>
      </c>
      <c r="N100" s="1881">
        <f t="shared" si="40"/>
        <v>57.4</v>
      </c>
      <c r="O100" s="1881">
        <f t="shared" si="41"/>
        <v>57.4</v>
      </c>
      <c r="P100" s="2169" t="s">
        <v>1285</v>
      </c>
      <c r="Q100" s="2169" t="s">
        <v>1252</v>
      </c>
      <c r="R100" s="1600">
        <f t="shared" si="45"/>
        <v>0</v>
      </c>
      <c r="S100" s="1614">
        <v>0</v>
      </c>
      <c r="T100" s="1614">
        <v>0</v>
      </c>
      <c r="U100" s="1600">
        <f>V100+W100</f>
        <v>0</v>
      </c>
      <c r="V100" s="1614">
        <v>0</v>
      </c>
      <c r="W100" s="1614">
        <v>0</v>
      </c>
      <c r="X100" s="1423">
        <f>D100-G100</f>
        <v>0</v>
      </c>
      <c r="Y100" s="1423"/>
      <c r="Z100" s="1423"/>
    </row>
    <row r="101" spans="1:26" ht="21.75" customHeight="1">
      <c r="A101" s="2170"/>
      <c r="B101" s="1609" t="s">
        <v>1620</v>
      </c>
      <c r="C101" s="2171"/>
      <c r="D101" s="1602">
        <f t="shared" si="36"/>
        <v>12956.3</v>
      </c>
      <c r="E101" s="1609">
        <v>12178.9</v>
      </c>
      <c r="F101" s="1609">
        <v>777.4</v>
      </c>
      <c r="G101" s="1600">
        <f t="shared" si="37"/>
        <v>12956.3</v>
      </c>
      <c r="H101" s="1616">
        <f>E101</f>
        <v>12178.9</v>
      </c>
      <c r="I101" s="1616">
        <f>F101</f>
        <v>777.4</v>
      </c>
      <c r="J101" s="1600">
        <f t="shared" si="38"/>
        <v>7716.3</v>
      </c>
      <c r="K101" s="1619">
        <v>7253.3</v>
      </c>
      <c r="L101" s="1619">
        <v>463</v>
      </c>
      <c r="M101" s="1609">
        <f t="shared" si="39"/>
        <v>59.6</v>
      </c>
      <c r="N101" s="1609">
        <f t="shared" si="40"/>
        <v>59.6</v>
      </c>
      <c r="O101" s="1609">
        <f t="shared" si="41"/>
        <v>59.6</v>
      </c>
      <c r="P101" s="2169"/>
      <c r="Q101" s="2169"/>
      <c r="R101" s="1600"/>
      <c r="S101" s="1619"/>
      <c r="T101" s="1619"/>
      <c r="U101" s="1600"/>
      <c r="V101" s="1619"/>
      <c r="W101" s="1619"/>
      <c r="X101" s="1423">
        <f>D101-G101</f>
        <v>0</v>
      </c>
      <c r="Y101" s="1423"/>
      <c r="Z101" s="1423"/>
    </row>
    <row r="102" spans="1:26" ht="26.25" customHeight="1">
      <c r="A102" s="2170"/>
      <c r="B102" s="1609" t="s">
        <v>1770</v>
      </c>
      <c r="C102" s="2171"/>
      <c r="D102" s="1602">
        <f t="shared" si="36"/>
        <v>1450.6</v>
      </c>
      <c r="E102" s="1609">
        <v>1363.5</v>
      </c>
      <c r="F102" s="1609">
        <v>87.1</v>
      </c>
      <c r="G102" s="1600">
        <f t="shared" si="37"/>
        <v>1450.6</v>
      </c>
      <c r="H102" s="1616">
        <f>E102</f>
        <v>1363.5</v>
      </c>
      <c r="I102" s="1616">
        <f>F102</f>
        <v>87.1</v>
      </c>
      <c r="J102" s="1600">
        <f t="shared" si="38"/>
        <v>551.20000000000005</v>
      </c>
      <c r="K102" s="1619">
        <v>518.1</v>
      </c>
      <c r="L102" s="1619">
        <v>33.1</v>
      </c>
      <c r="M102" s="1609">
        <f t="shared" si="39"/>
        <v>38</v>
      </c>
      <c r="N102" s="1609">
        <f t="shared" si="40"/>
        <v>38</v>
      </c>
      <c r="O102" s="1609">
        <f t="shared" si="41"/>
        <v>38</v>
      </c>
      <c r="P102" s="2169"/>
      <c r="Q102" s="2169"/>
      <c r="R102" s="1600"/>
      <c r="S102" s="1619"/>
      <c r="T102" s="1619"/>
      <c r="U102" s="1600"/>
      <c r="V102" s="1619"/>
      <c r="W102" s="1619"/>
      <c r="X102" s="1423">
        <f>D102-G102</f>
        <v>0</v>
      </c>
      <c r="Y102" s="1423"/>
      <c r="Z102" s="1423"/>
    </row>
    <row r="103" spans="1:26" ht="23.25" customHeight="1">
      <c r="A103" s="2170">
        <f>A100+1</f>
        <v>21</v>
      </c>
      <c r="B103" s="1883" t="s">
        <v>1587</v>
      </c>
      <c r="C103" s="1880"/>
      <c r="D103" s="1602">
        <f t="shared" ref="D103:D137" si="47">SUM(E103:F103)</f>
        <v>37898.1</v>
      </c>
      <c r="E103" s="1616">
        <f>E104+E105</f>
        <v>2403.9</v>
      </c>
      <c r="F103" s="1616">
        <f>F104+F105</f>
        <v>35494.199999999997</v>
      </c>
      <c r="G103" s="1600">
        <f t="shared" ref="G103:G125" si="48">SUM(H103:I103)</f>
        <v>37898.1</v>
      </c>
      <c r="H103" s="1616">
        <f>H104+H105</f>
        <v>2403.9</v>
      </c>
      <c r="I103" s="1616">
        <f>I104+I105</f>
        <v>35494.199999999997</v>
      </c>
      <c r="J103" s="1602">
        <f t="shared" si="38"/>
        <v>24105.9</v>
      </c>
      <c r="K103" s="1608">
        <f>K104+K105</f>
        <v>38.1</v>
      </c>
      <c r="L103" s="1616">
        <f>L104+L105</f>
        <v>24067.8</v>
      </c>
      <c r="M103" s="1604">
        <f t="shared" si="39"/>
        <v>63.6</v>
      </c>
      <c r="N103" s="1881">
        <f t="shared" si="40"/>
        <v>1.6</v>
      </c>
      <c r="O103" s="1881">
        <f t="shared" si="41"/>
        <v>67.8</v>
      </c>
      <c r="P103" s="2169"/>
      <c r="Q103" s="2169"/>
      <c r="R103" s="1600">
        <f t="shared" si="45"/>
        <v>0</v>
      </c>
      <c r="S103" s="1614">
        <v>0</v>
      </c>
      <c r="T103" s="1614">
        <v>0</v>
      </c>
      <c r="U103" s="1600">
        <f>V103+W103</f>
        <v>0</v>
      </c>
      <c r="V103" s="1614">
        <v>0</v>
      </c>
      <c r="W103" s="1614">
        <v>0</v>
      </c>
      <c r="X103" s="1423">
        <f>D103-G103</f>
        <v>0</v>
      </c>
      <c r="Y103" s="1423"/>
      <c r="Z103" s="1423"/>
    </row>
    <row r="104" spans="1:26" ht="26.25" customHeight="1">
      <c r="A104" s="2170"/>
      <c r="B104" s="1609" t="s">
        <v>1770</v>
      </c>
      <c r="C104" s="2171"/>
      <c r="D104" s="1602">
        <f t="shared" si="47"/>
        <v>2557.4</v>
      </c>
      <c r="E104" s="1609">
        <v>2403.9</v>
      </c>
      <c r="F104" s="1609">
        <v>153.5</v>
      </c>
      <c r="G104" s="1600">
        <f t="shared" si="48"/>
        <v>2557.4</v>
      </c>
      <c r="H104" s="1616">
        <f>E104</f>
        <v>2403.9</v>
      </c>
      <c r="I104" s="1616">
        <f>F104</f>
        <v>153.5</v>
      </c>
      <c r="J104" s="1600">
        <f t="shared" si="38"/>
        <v>40.5</v>
      </c>
      <c r="K104" s="1619">
        <v>38.1</v>
      </c>
      <c r="L104" s="1619">
        <f>2.2+0.2</f>
        <v>2.4</v>
      </c>
      <c r="M104" s="1609">
        <f t="shared" si="39"/>
        <v>1.6</v>
      </c>
      <c r="N104" s="1609">
        <f t="shared" si="40"/>
        <v>1.6</v>
      </c>
      <c r="O104" s="1609">
        <f t="shared" si="41"/>
        <v>1.6</v>
      </c>
      <c r="P104" s="2169"/>
      <c r="Q104" s="2169"/>
      <c r="R104" s="1600"/>
      <c r="S104" s="1619"/>
      <c r="T104" s="1619"/>
      <c r="U104" s="1600"/>
      <c r="V104" s="1619"/>
      <c r="W104" s="1619"/>
      <c r="X104" s="1423">
        <f>D104-G104</f>
        <v>0</v>
      </c>
      <c r="Y104" s="1423"/>
      <c r="Z104" s="1423"/>
    </row>
    <row r="105" spans="1:26" s="484" customFormat="1" ht="23.25">
      <c r="A105" s="2170"/>
      <c r="B105" s="1609" t="s">
        <v>1621</v>
      </c>
      <c r="C105" s="2171"/>
      <c r="D105" s="1602">
        <f t="shared" si="47"/>
        <v>35340.699999999997</v>
      </c>
      <c r="E105" s="1616"/>
      <c r="F105" s="1616">
        <v>35340.699999999997</v>
      </c>
      <c r="G105" s="1600">
        <f t="shared" si="48"/>
        <v>35340.699999999997</v>
      </c>
      <c r="H105" s="1616">
        <f>E105</f>
        <v>0</v>
      </c>
      <c r="I105" s="1616">
        <f>F105</f>
        <v>35340.699999999997</v>
      </c>
      <c r="J105" s="1600">
        <f t="shared" si="38"/>
        <v>24065.4</v>
      </c>
      <c r="K105" s="1608"/>
      <c r="L105" s="1608">
        <v>24065.4</v>
      </c>
      <c r="M105" s="1604">
        <f t="shared" si="39"/>
        <v>68.099999999999994</v>
      </c>
      <c r="N105" s="2161">
        <f t="shared" si="40"/>
        <v>0</v>
      </c>
      <c r="O105" s="2161">
        <f t="shared" si="41"/>
        <v>68.099999999999994</v>
      </c>
      <c r="P105" s="2169"/>
      <c r="Q105" s="2169"/>
      <c r="R105" s="1600">
        <f>S105+T105</f>
        <v>0</v>
      </c>
      <c r="S105" s="1608">
        <v>0</v>
      </c>
      <c r="T105" s="1608">
        <v>0</v>
      </c>
      <c r="U105" s="1600">
        <f>V105+W105</f>
        <v>0</v>
      </c>
      <c r="V105" s="1608">
        <v>0</v>
      </c>
      <c r="W105" s="1608">
        <v>0</v>
      </c>
      <c r="X105" s="1423">
        <f t="shared" ref="X105:X126" si="49">D105-G105</f>
        <v>0</v>
      </c>
      <c r="Y105" s="1423"/>
      <c r="Z105" s="1423"/>
    </row>
    <row r="106" spans="1:26" s="484" customFormat="1" ht="46.5" customHeight="1">
      <c r="A106" s="2170">
        <f>A103+1</f>
        <v>22</v>
      </c>
      <c r="B106" s="1919" t="s">
        <v>1591</v>
      </c>
      <c r="C106" s="1906"/>
      <c r="D106" s="1600">
        <f t="shared" si="47"/>
        <v>304.60000000000002</v>
      </c>
      <c r="E106" s="1608">
        <f>E107+E108</f>
        <v>147.6</v>
      </c>
      <c r="F106" s="1616">
        <f>F107+F108</f>
        <v>157</v>
      </c>
      <c r="G106" s="1602">
        <f t="shared" si="48"/>
        <v>304.60000000000002</v>
      </c>
      <c r="H106" s="1616">
        <f>H107+H108</f>
        <v>147.6</v>
      </c>
      <c r="I106" s="1608">
        <f>I107+I108</f>
        <v>157</v>
      </c>
      <c r="J106" s="1600">
        <f t="shared" si="38"/>
        <v>157</v>
      </c>
      <c r="K106" s="1608">
        <f>K107+K108</f>
        <v>0</v>
      </c>
      <c r="L106" s="1608">
        <f>L107+L108</f>
        <v>157</v>
      </c>
      <c r="M106" s="1604">
        <f t="shared" si="39"/>
        <v>51.5</v>
      </c>
      <c r="N106" s="1881">
        <f t="shared" si="40"/>
        <v>0</v>
      </c>
      <c r="O106" s="1881">
        <f t="shared" si="41"/>
        <v>100</v>
      </c>
      <c r="P106" s="2169"/>
      <c r="Q106" s="2169"/>
      <c r="R106" s="1600"/>
      <c r="S106" s="1608"/>
      <c r="T106" s="1608"/>
      <c r="U106" s="1600"/>
      <c r="V106" s="1608"/>
      <c r="W106" s="1608"/>
      <c r="X106" s="1423">
        <f t="shared" si="49"/>
        <v>0</v>
      </c>
      <c r="Y106" s="1423"/>
      <c r="Z106" s="1423"/>
    </row>
    <row r="107" spans="1:26" s="484" customFormat="1" ht="24" customHeight="1">
      <c r="A107" s="2170"/>
      <c r="B107" s="1609" t="s">
        <v>1770</v>
      </c>
      <c r="C107" s="2171"/>
      <c r="D107" s="1602">
        <f t="shared" si="47"/>
        <v>147.6</v>
      </c>
      <c r="E107" s="1616">
        <v>147.6</v>
      </c>
      <c r="F107" s="1616"/>
      <c r="G107" s="1602">
        <f t="shared" si="48"/>
        <v>147.6</v>
      </c>
      <c r="H107" s="1616">
        <f>E107</f>
        <v>147.6</v>
      </c>
      <c r="I107" s="1616">
        <f>F107</f>
        <v>0</v>
      </c>
      <c r="J107" s="1600">
        <f t="shared" si="38"/>
        <v>0</v>
      </c>
      <c r="K107" s="1608"/>
      <c r="L107" s="1608"/>
      <c r="M107" s="1604">
        <f t="shared" si="39"/>
        <v>0</v>
      </c>
      <c r="N107" s="1881">
        <f t="shared" si="40"/>
        <v>0</v>
      </c>
      <c r="O107" s="1881">
        <f t="shared" si="41"/>
        <v>0</v>
      </c>
      <c r="P107" s="2169"/>
      <c r="Q107" s="2169"/>
      <c r="R107" s="1600"/>
      <c r="S107" s="1608"/>
      <c r="T107" s="1608"/>
      <c r="U107" s="1600"/>
      <c r="V107" s="1608"/>
      <c r="W107" s="1608"/>
      <c r="X107" s="1423">
        <f t="shared" si="49"/>
        <v>0</v>
      </c>
      <c r="Y107" s="1423"/>
      <c r="Z107" s="1423"/>
    </row>
    <row r="108" spans="1:26" s="484" customFormat="1" ht="27" customHeight="1">
      <c r="A108" s="2170"/>
      <c r="B108" s="1609" t="s">
        <v>1621</v>
      </c>
      <c r="C108" s="2171"/>
      <c r="D108" s="1602">
        <f t="shared" si="47"/>
        <v>157</v>
      </c>
      <c r="E108" s="1616">
        <v>0</v>
      </c>
      <c r="F108" s="1616">
        <v>157</v>
      </c>
      <c r="G108" s="1602">
        <f t="shared" si="48"/>
        <v>157</v>
      </c>
      <c r="H108" s="1616">
        <f>E108</f>
        <v>0</v>
      </c>
      <c r="I108" s="1616">
        <f>F108</f>
        <v>157</v>
      </c>
      <c r="J108" s="1600">
        <f t="shared" si="38"/>
        <v>157</v>
      </c>
      <c r="K108" s="1608"/>
      <c r="L108" s="1608">
        <v>157</v>
      </c>
      <c r="M108" s="1604">
        <f t="shared" si="39"/>
        <v>100</v>
      </c>
      <c r="N108" s="1881">
        <f t="shared" si="40"/>
        <v>0</v>
      </c>
      <c r="O108" s="1881">
        <f t="shared" si="41"/>
        <v>100</v>
      </c>
      <c r="P108" s="2169"/>
      <c r="Q108" s="2169"/>
      <c r="R108" s="1600"/>
      <c r="S108" s="1608"/>
      <c r="T108" s="1608"/>
      <c r="U108" s="1600"/>
      <c r="V108" s="1608"/>
      <c r="W108" s="1608"/>
      <c r="X108" s="1423">
        <f t="shared" si="49"/>
        <v>0</v>
      </c>
      <c r="Y108" s="1423"/>
      <c r="Z108" s="1423"/>
    </row>
    <row r="109" spans="1:26" s="1607" customFormat="1" ht="61.5" customHeight="1">
      <c r="A109" s="2170">
        <f>A106+1</f>
        <v>23</v>
      </c>
      <c r="B109" s="1914" t="s">
        <v>1600</v>
      </c>
      <c r="C109" s="2170"/>
      <c r="D109" s="1602">
        <f t="shared" si="47"/>
        <v>160.1</v>
      </c>
      <c r="E109" s="1616">
        <f>E110+E111</f>
        <v>150.4</v>
      </c>
      <c r="F109" s="1616">
        <f>F110+F111</f>
        <v>9.6999999999999993</v>
      </c>
      <c r="G109" s="1602">
        <f t="shared" si="48"/>
        <v>160.1</v>
      </c>
      <c r="H109" s="1616">
        <f>H110+H111</f>
        <v>150.4</v>
      </c>
      <c r="I109" s="1608">
        <f>I110+I111</f>
        <v>9.6999999999999993</v>
      </c>
      <c r="J109" s="1602">
        <f t="shared" si="38"/>
        <v>0</v>
      </c>
      <c r="K109" s="1616">
        <f>K110+K111</f>
        <v>0</v>
      </c>
      <c r="L109" s="1616">
        <f>L110+L111</f>
        <v>0</v>
      </c>
      <c r="M109" s="1616">
        <f t="shared" si="39"/>
        <v>0</v>
      </c>
      <c r="N109" s="1881">
        <f t="shared" si="40"/>
        <v>0</v>
      </c>
      <c r="O109" s="1881">
        <f t="shared" si="41"/>
        <v>0</v>
      </c>
      <c r="P109" s="2169"/>
      <c r="Q109" s="2169"/>
      <c r="R109" s="1600">
        <f>S109+T109</f>
        <v>0</v>
      </c>
      <c r="S109" s="1608">
        <v>0</v>
      </c>
      <c r="T109" s="1608">
        <v>0</v>
      </c>
      <c r="U109" s="1600">
        <f>V109+W109</f>
        <v>0</v>
      </c>
      <c r="V109" s="1608">
        <v>0</v>
      </c>
      <c r="W109" s="1608">
        <v>0</v>
      </c>
      <c r="X109" s="1423">
        <f t="shared" si="49"/>
        <v>0</v>
      </c>
      <c r="Y109" s="1423"/>
      <c r="Z109" s="1423"/>
    </row>
    <row r="110" spans="1:26" ht="19.5" customHeight="1">
      <c r="A110" s="2170"/>
      <c r="B110" s="1609" t="s">
        <v>1620</v>
      </c>
      <c r="C110" s="2171"/>
      <c r="D110" s="1602">
        <f t="shared" si="47"/>
        <v>0</v>
      </c>
      <c r="E110" s="1609">
        <v>0</v>
      </c>
      <c r="F110" s="1609">
        <v>0</v>
      </c>
      <c r="G110" s="1602">
        <f t="shared" si="48"/>
        <v>0</v>
      </c>
      <c r="H110" s="1616">
        <f>E110</f>
        <v>0</v>
      </c>
      <c r="I110" s="1616">
        <f>F110</f>
        <v>0</v>
      </c>
      <c r="J110" s="1600">
        <f t="shared" si="38"/>
        <v>0</v>
      </c>
      <c r="K110" s="1619"/>
      <c r="L110" s="1619"/>
      <c r="M110" s="1609">
        <f t="shared" si="39"/>
        <v>0</v>
      </c>
      <c r="N110" s="1609">
        <f t="shared" si="40"/>
        <v>0</v>
      </c>
      <c r="O110" s="1609">
        <f t="shared" si="41"/>
        <v>0</v>
      </c>
      <c r="P110" s="2169"/>
      <c r="Q110" s="2169"/>
      <c r="R110" s="1600"/>
      <c r="S110" s="1619"/>
      <c r="T110" s="1619"/>
      <c r="U110" s="1600"/>
      <c r="V110" s="1619"/>
      <c r="W110" s="1619"/>
      <c r="X110" s="1423">
        <f t="shared" si="49"/>
        <v>0</v>
      </c>
      <c r="Y110" s="1423"/>
      <c r="Z110" s="1423"/>
    </row>
    <row r="111" spans="1:26" ht="26.25" customHeight="1">
      <c r="A111" s="2170"/>
      <c r="B111" s="1609" t="s">
        <v>1770</v>
      </c>
      <c r="C111" s="2171"/>
      <c r="D111" s="1602">
        <f t="shared" si="47"/>
        <v>160.1</v>
      </c>
      <c r="E111" s="1609">
        <v>150.4</v>
      </c>
      <c r="F111" s="1609">
        <v>9.6999999999999993</v>
      </c>
      <c r="G111" s="1602">
        <f t="shared" si="48"/>
        <v>160.1</v>
      </c>
      <c r="H111" s="1616">
        <f>E111</f>
        <v>150.4</v>
      </c>
      <c r="I111" s="1616">
        <f>F111</f>
        <v>9.6999999999999993</v>
      </c>
      <c r="J111" s="1600">
        <f t="shared" si="38"/>
        <v>0</v>
      </c>
      <c r="K111" s="1619"/>
      <c r="L111" s="1619"/>
      <c r="M111" s="1609">
        <f t="shared" si="39"/>
        <v>0</v>
      </c>
      <c r="N111" s="1609">
        <f t="shared" si="40"/>
        <v>0</v>
      </c>
      <c r="O111" s="1609">
        <f t="shared" si="41"/>
        <v>0</v>
      </c>
      <c r="P111" s="2169"/>
      <c r="Q111" s="2169"/>
      <c r="R111" s="1600"/>
      <c r="S111" s="1619"/>
      <c r="T111" s="1619"/>
      <c r="U111" s="1600"/>
      <c r="V111" s="1619"/>
      <c r="W111" s="1619"/>
      <c r="X111" s="1423">
        <f t="shared" si="49"/>
        <v>0</v>
      </c>
      <c r="Y111" s="1423"/>
      <c r="Z111" s="1423"/>
    </row>
    <row r="112" spans="1:26" s="484" customFormat="1" ht="54" customHeight="1">
      <c r="A112" s="2170">
        <f>A109+1</f>
        <v>24</v>
      </c>
      <c r="B112" s="1914" t="s">
        <v>776</v>
      </c>
      <c r="C112" s="2170" t="s">
        <v>1545</v>
      </c>
      <c r="D112" s="1602">
        <f t="shared" si="47"/>
        <v>179059.7</v>
      </c>
      <c r="E112" s="1615">
        <f>E113+E114</f>
        <v>166418.20000000001</v>
      </c>
      <c r="F112" s="1615">
        <f>F113+F114</f>
        <v>12641.5</v>
      </c>
      <c r="G112" s="1602">
        <f t="shared" si="48"/>
        <v>179059.7</v>
      </c>
      <c r="H112" s="1615">
        <f>H113+H114</f>
        <v>166418.20000000001</v>
      </c>
      <c r="I112" s="1614">
        <f>I113+I114</f>
        <v>12641.5</v>
      </c>
      <c r="J112" s="1602">
        <f t="shared" si="38"/>
        <v>83160.5</v>
      </c>
      <c r="K112" s="1614">
        <f>K113+K114</f>
        <v>76989.899999999994</v>
      </c>
      <c r="L112" s="1615">
        <f>L113+L114</f>
        <v>6170.6</v>
      </c>
      <c r="M112" s="1604">
        <f t="shared" si="39"/>
        <v>46.4</v>
      </c>
      <c r="N112" s="1881">
        <f t="shared" si="40"/>
        <v>46.3</v>
      </c>
      <c r="O112" s="1881">
        <f t="shared" si="41"/>
        <v>48.8</v>
      </c>
      <c r="P112" s="2169" t="s">
        <v>1272</v>
      </c>
      <c r="Q112" s="2169" t="s">
        <v>1273</v>
      </c>
      <c r="R112" s="1600">
        <f>S112+T112</f>
        <v>0</v>
      </c>
      <c r="S112" s="1608">
        <v>0</v>
      </c>
      <c r="T112" s="1608">
        <v>0</v>
      </c>
      <c r="U112" s="1600">
        <f>V112+W112</f>
        <v>0</v>
      </c>
      <c r="V112" s="1608">
        <v>0</v>
      </c>
      <c r="W112" s="1608">
        <v>0</v>
      </c>
      <c r="X112" s="1423">
        <f t="shared" si="49"/>
        <v>0</v>
      </c>
      <c r="Y112" s="1423"/>
      <c r="Z112" s="1423"/>
    </row>
    <row r="113" spans="1:26" s="484" customFormat="1" ht="23.25">
      <c r="A113" s="2170"/>
      <c r="B113" s="1609" t="s">
        <v>1620</v>
      </c>
      <c r="C113" s="2170"/>
      <c r="D113" s="1602">
        <f t="shared" si="47"/>
        <v>177040.7</v>
      </c>
      <c r="E113" s="1615">
        <v>166418.20000000001</v>
      </c>
      <c r="F113" s="1615">
        <v>10622.5</v>
      </c>
      <c r="G113" s="1602">
        <f t="shared" si="48"/>
        <v>177040.7</v>
      </c>
      <c r="H113" s="1616">
        <f>E113</f>
        <v>166418.20000000001</v>
      </c>
      <c r="I113" s="1616">
        <f>F113</f>
        <v>10622.5</v>
      </c>
      <c r="J113" s="1600">
        <f t="shared" si="38"/>
        <v>81904.2</v>
      </c>
      <c r="K113" s="1614">
        <v>76989.899999999994</v>
      </c>
      <c r="L113" s="1614">
        <v>4914.3</v>
      </c>
      <c r="M113" s="1604">
        <f t="shared" si="39"/>
        <v>46.3</v>
      </c>
      <c r="N113" s="1881">
        <f t="shared" si="40"/>
        <v>46.3</v>
      </c>
      <c r="O113" s="1881">
        <f t="shared" si="41"/>
        <v>46.3</v>
      </c>
      <c r="P113" s="2169"/>
      <c r="Q113" s="2169"/>
      <c r="R113" s="1600"/>
      <c r="S113" s="1608"/>
      <c r="T113" s="1608"/>
      <c r="U113" s="1600"/>
      <c r="V113" s="1608"/>
      <c r="W113" s="1608"/>
      <c r="X113" s="1423">
        <f t="shared" si="49"/>
        <v>0</v>
      </c>
      <c r="Y113" s="1423"/>
      <c r="Z113" s="1423"/>
    </row>
    <row r="114" spans="1:26" s="484" customFormat="1" ht="23.25">
      <c r="A114" s="2170"/>
      <c r="B114" s="1609" t="s">
        <v>1621</v>
      </c>
      <c r="C114" s="2170"/>
      <c r="D114" s="1602">
        <f t="shared" si="47"/>
        <v>2019</v>
      </c>
      <c r="E114" s="1616">
        <v>0</v>
      </c>
      <c r="F114" s="1616">
        <v>2019</v>
      </c>
      <c r="G114" s="1600">
        <f t="shared" si="48"/>
        <v>2019</v>
      </c>
      <c r="H114" s="1616">
        <f>E114</f>
        <v>0</v>
      </c>
      <c r="I114" s="1616">
        <f>F114</f>
        <v>2019</v>
      </c>
      <c r="J114" s="1600">
        <f t="shared" si="38"/>
        <v>1256.3</v>
      </c>
      <c r="K114" s="1608"/>
      <c r="L114" s="1608">
        <v>1256.3</v>
      </c>
      <c r="M114" s="1604">
        <f t="shared" si="39"/>
        <v>62.2</v>
      </c>
      <c r="N114" s="1881">
        <f t="shared" si="40"/>
        <v>0</v>
      </c>
      <c r="O114" s="1881">
        <f t="shared" si="41"/>
        <v>62.2</v>
      </c>
      <c r="P114" s="2169"/>
      <c r="Q114" s="2169"/>
      <c r="R114" s="1600"/>
      <c r="S114" s="1608"/>
      <c r="T114" s="1608"/>
      <c r="U114" s="1600"/>
      <c r="V114" s="1608"/>
      <c r="W114" s="1608"/>
      <c r="X114" s="1423">
        <f t="shared" si="49"/>
        <v>0</v>
      </c>
      <c r="Y114" s="1423"/>
      <c r="Z114" s="1423"/>
    </row>
    <row r="115" spans="1:26" ht="50.25" customHeight="1">
      <c r="A115" s="2170">
        <f>A112+1</f>
        <v>25</v>
      </c>
      <c r="B115" s="1888" t="s">
        <v>1595</v>
      </c>
      <c r="C115" s="2170"/>
      <c r="D115" s="1602">
        <f t="shared" si="47"/>
        <v>104514.6</v>
      </c>
      <c r="E115" s="1615">
        <f>E116+E118+E117</f>
        <v>98242.7</v>
      </c>
      <c r="F115" s="1615">
        <f>F116+F118+F117</f>
        <v>6271.9</v>
      </c>
      <c r="G115" s="1600">
        <f t="shared" si="48"/>
        <v>104514.6</v>
      </c>
      <c r="H115" s="1615">
        <f>H116+H118+H117</f>
        <v>98242.7</v>
      </c>
      <c r="I115" s="1615">
        <f>I116+I118+I117</f>
        <v>6271.9</v>
      </c>
      <c r="J115" s="1602">
        <f t="shared" si="38"/>
        <v>99513.8</v>
      </c>
      <c r="K115" s="1615">
        <f>K116+K118+K117</f>
        <v>93542</v>
      </c>
      <c r="L115" s="1615">
        <f>L116+L118+L117</f>
        <v>5971.8</v>
      </c>
      <c r="M115" s="1604">
        <f t="shared" si="39"/>
        <v>95.2</v>
      </c>
      <c r="N115" s="1881">
        <f t="shared" si="40"/>
        <v>95.2</v>
      </c>
      <c r="O115" s="1881">
        <f t="shared" si="41"/>
        <v>95.2</v>
      </c>
      <c r="P115" s="2169"/>
      <c r="Q115" s="2169"/>
      <c r="R115" s="1600">
        <f>S115+T115</f>
        <v>0</v>
      </c>
      <c r="S115" s="1608">
        <v>0</v>
      </c>
      <c r="T115" s="1608">
        <v>0</v>
      </c>
      <c r="U115" s="1600">
        <f>V115+W115</f>
        <v>0</v>
      </c>
      <c r="V115" s="1608">
        <v>0</v>
      </c>
      <c r="W115" s="1608">
        <v>0</v>
      </c>
      <c r="X115" s="1423">
        <f t="shared" si="49"/>
        <v>0</v>
      </c>
      <c r="Y115" s="1423"/>
      <c r="Z115" s="1423"/>
    </row>
    <row r="116" spans="1:26" ht="19.5" customHeight="1">
      <c r="A116" s="2170"/>
      <c r="B116" s="1609" t="s">
        <v>1620</v>
      </c>
      <c r="C116" s="2171"/>
      <c r="D116" s="1602">
        <f t="shared" si="47"/>
        <v>9921.2000000000007</v>
      </c>
      <c r="E116" s="1609">
        <v>9325.9</v>
      </c>
      <c r="F116" s="1609">
        <v>595.29999999999995</v>
      </c>
      <c r="G116" s="1600">
        <f t="shared" si="48"/>
        <v>9921.2000000000007</v>
      </c>
      <c r="H116" s="1616">
        <f t="shared" ref="H116:I118" si="50">E116</f>
        <v>9325.9</v>
      </c>
      <c r="I116" s="1616">
        <f t="shared" si="50"/>
        <v>595.29999999999995</v>
      </c>
      <c r="J116" s="1600">
        <f t="shared" si="38"/>
        <v>9921.2000000000007</v>
      </c>
      <c r="K116" s="1619">
        <v>9325.9</v>
      </c>
      <c r="L116" s="1619">
        <v>595.29999999999995</v>
      </c>
      <c r="M116" s="1609">
        <f t="shared" si="39"/>
        <v>100</v>
      </c>
      <c r="N116" s="1609">
        <f t="shared" si="40"/>
        <v>100</v>
      </c>
      <c r="O116" s="1609">
        <f t="shared" si="41"/>
        <v>100</v>
      </c>
      <c r="P116" s="2169"/>
      <c r="Q116" s="2169"/>
      <c r="R116" s="1600"/>
      <c r="S116" s="1619"/>
      <c r="T116" s="1619"/>
      <c r="U116" s="1600"/>
      <c r="V116" s="1619"/>
      <c r="W116" s="1619"/>
      <c r="X116" s="1423">
        <f t="shared" si="49"/>
        <v>0</v>
      </c>
      <c r="Y116" s="1423"/>
      <c r="Z116" s="1423"/>
    </row>
    <row r="117" spans="1:26" ht="19.5" customHeight="1">
      <c r="A117" s="2170"/>
      <c r="B117" s="1609" t="s">
        <v>1798</v>
      </c>
      <c r="C117" s="2171"/>
      <c r="D117" s="1602">
        <f>SUM(E117:F117)</f>
        <v>94296.9</v>
      </c>
      <c r="E117" s="1609">
        <v>88638.1</v>
      </c>
      <c r="F117" s="1609">
        <v>5658.8</v>
      </c>
      <c r="G117" s="1600">
        <f>SUM(H117:I117)</f>
        <v>94296.9</v>
      </c>
      <c r="H117" s="1616">
        <f t="shared" si="50"/>
        <v>88638.1</v>
      </c>
      <c r="I117" s="1616">
        <f t="shared" si="50"/>
        <v>5658.8</v>
      </c>
      <c r="J117" s="1600">
        <f>SUM(K117:L117)</f>
        <v>89592.6</v>
      </c>
      <c r="K117" s="1619">
        <v>84216.1</v>
      </c>
      <c r="L117" s="1619">
        <v>5376.5</v>
      </c>
      <c r="M117" s="1609">
        <f t="shared" si="39"/>
        <v>95</v>
      </c>
      <c r="N117" s="1609">
        <f t="shared" si="40"/>
        <v>95</v>
      </c>
      <c r="O117" s="1609">
        <f t="shared" si="41"/>
        <v>95</v>
      </c>
      <c r="P117" s="2169"/>
      <c r="Q117" s="2169"/>
      <c r="R117" s="1600"/>
      <c r="S117" s="1619"/>
      <c r="T117" s="1619"/>
      <c r="U117" s="1600"/>
      <c r="V117" s="1619"/>
      <c r="W117" s="1619"/>
      <c r="X117" s="1423"/>
      <c r="Y117" s="1423"/>
      <c r="Z117" s="1423"/>
    </row>
    <row r="118" spans="1:26" ht="26.25" customHeight="1">
      <c r="A118" s="2170"/>
      <c r="B118" s="1609" t="s">
        <v>1770</v>
      </c>
      <c r="C118" s="2171"/>
      <c r="D118" s="1602">
        <f t="shared" si="47"/>
        <v>296.5</v>
      </c>
      <c r="E118" s="1609">
        <v>278.7</v>
      </c>
      <c r="F118" s="1609">
        <v>17.8</v>
      </c>
      <c r="G118" s="1600">
        <f t="shared" si="48"/>
        <v>296.5</v>
      </c>
      <c r="H118" s="1616">
        <f t="shared" si="50"/>
        <v>278.7</v>
      </c>
      <c r="I118" s="1616">
        <f t="shared" si="50"/>
        <v>17.8</v>
      </c>
      <c r="J118" s="1600">
        <f t="shared" si="38"/>
        <v>0</v>
      </c>
      <c r="K118" s="1619"/>
      <c r="L118" s="1619"/>
      <c r="M118" s="1609">
        <f t="shared" si="39"/>
        <v>0</v>
      </c>
      <c r="N118" s="1609">
        <f t="shared" si="40"/>
        <v>0</v>
      </c>
      <c r="O118" s="1609">
        <f t="shared" si="41"/>
        <v>0</v>
      </c>
      <c r="P118" s="2169"/>
      <c r="Q118" s="2169"/>
      <c r="R118" s="1600"/>
      <c r="S118" s="1619"/>
      <c r="T118" s="1619"/>
      <c r="U118" s="1600"/>
      <c r="V118" s="1619"/>
      <c r="W118" s="1619"/>
      <c r="X118" s="1423">
        <f t="shared" si="49"/>
        <v>0</v>
      </c>
      <c r="Y118" s="1423"/>
      <c r="Z118" s="1423"/>
    </row>
    <row r="119" spans="1:26" ht="50.25" customHeight="1">
      <c r="A119" s="2170">
        <f>A115+1</f>
        <v>26</v>
      </c>
      <c r="B119" s="1888" t="s">
        <v>1596</v>
      </c>
      <c r="C119" s="2170"/>
      <c r="D119" s="1602">
        <f t="shared" si="47"/>
        <v>229155.8</v>
      </c>
      <c r="E119" s="1615">
        <f>E120+E122+E121</f>
        <v>215404.2</v>
      </c>
      <c r="F119" s="1615">
        <f>F120+F122+F121</f>
        <v>13751.6</v>
      </c>
      <c r="G119" s="1602">
        <f t="shared" si="48"/>
        <v>229155.8</v>
      </c>
      <c r="H119" s="1615">
        <f>H120+H122+H121</f>
        <v>215404.2</v>
      </c>
      <c r="I119" s="1615">
        <f>I120+I122+I121</f>
        <v>13751.6</v>
      </c>
      <c r="J119" s="1602">
        <f t="shared" si="38"/>
        <v>116380.6</v>
      </c>
      <c r="K119" s="1615">
        <f>K120+K122+K121</f>
        <v>109396.6</v>
      </c>
      <c r="L119" s="1615">
        <f>L120+L122+L121</f>
        <v>6984</v>
      </c>
      <c r="M119" s="1604">
        <f t="shared" si="39"/>
        <v>50.8</v>
      </c>
      <c r="N119" s="1881">
        <f t="shared" si="40"/>
        <v>50.8</v>
      </c>
      <c r="O119" s="1881">
        <f t="shared" si="41"/>
        <v>50.8</v>
      </c>
      <c r="P119" s="2169"/>
      <c r="Q119" s="2169"/>
      <c r="R119" s="1600">
        <f>S119+T119</f>
        <v>0</v>
      </c>
      <c r="S119" s="1608">
        <v>0</v>
      </c>
      <c r="T119" s="1608">
        <v>0</v>
      </c>
      <c r="U119" s="1600">
        <f>V119+W119</f>
        <v>0</v>
      </c>
      <c r="V119" s="1608">
        <v>0</v>
      </c>
      <c r="W119" s="1608">
        <v>0</v>
      </c>
      <c r="X119" s="1423">
        <f t="shared" si="49"/>
        <v>0</v>
      </c>
      <c r="Y119" s="1423"/>
      <c r="Z119" s="1423"/>
    </row>
    <row r="120" spans="1:26" ht="19.5" customHeight="1">
      <c r="A120" s="2170"/>
      <c r="B120" s="1609" t="s">
        <v>1620</v>
      </c>
      <c r="C120" s="2171"/>
      <c r="D120" s="1602">
        <f t="shared" si="47"/>
        <v>6302.6</v>
      </c>
      <c r="E120" s="1609">
        <v>5924.4</v>
      </c>
      <c r="F120" s="1609">
        <v>378.2</v>
      </c>
      <c r="G120" s="1602">
        <f t="shared" si="48"/>
        <v>6302.6</v>
      </c>
      <c r="H120" s="1616">
        <f t="shared" ref="H120:I122" si="51">E120</f>
        <v>5924.4</v>
      </c>
      <c r="I120" s="1616">
        <f t="shared" si="51"/>
        <v>378.2</v>
      </c>
      <c r="J120" s="1602">
        <f t="shared" si="38"/>
        <v>0</v>
      </c>
      <c r="K120" s="1609"/>
      <c r="L120" s="1609"/>
      <c r="M120" s="1609">
        <f t="shared" si="39"/>
        <v>0</v>
      </c>
      <c r="N120" s="1609">
        <f t="shared" si="40"/>
        <v>0</v>
      </c>
      <c r="O120" s="1609">
        <f t="shared" si="41"/>
        <v>0</v>
      </c>
      <c r="P120" s="2169"/>
      <c r="Q120" s="2169"/>
      <c r="R120" s="1600"/>
      <c r="S120" s="1619"/>
      <c r="T120" s="1619"/>
      <c r="U120" s="1600"/>
      <c r="V120" s="1619"/>
      <c r="W120" s="1619"/>
      <c r="X120" s="1423">
        <f>D120-G120</f>
        <v>0</v>
      </c>
      <c r="Y120" s="1423"/>
      <c r="Z120" s="1423"/>
    </row>
    <row r="121" spans="1:26" ht="19.5" customHeight="1">
      <c r="A121" s="2170"/>
      <c r="B121" s="1609" t="s">
        <v>1798</v>
      </c>
      <c r="C121" s="2171"/>
      <c r="D121" s="1602">
        <f>SUM(E121:F121)</f>
        <v>222529.1</v>
      </c>
      <c r="E121" s="1609">
        <v>209175.1</v>
      </c>
      <c r="F121" s="1609">
        <v>13354</v>
      </c>
      <c r="G121" s="1602">
        <f>SUM(H121:I121)</f>
        <v>222529.1</v>
      </c>
      <c r="H121" s="1616">
        <f t="shared" si="51"/>
        <v>209175.1</v>
      </c>
      <c r="I121" s="1616">
        <f t="shared" si="51"/>
        <v>13354</v>
      </c>
      <c r="J121" s="1602">
        <f>SUM(K121:L121)</f>
        <v>116380.6</v>
      </c>
      <c r="K121" s="1609">
        <v>109396.6</v>
      </c>
      <c r="L121" s="1609">
        <v>6984</v>
      </c>
      <c r="M121" s="1609">
        <f t="shared" si="39"/>
        <v>52.3</v>
      </c>
      <c r="N121" s="1609">
        <f t="shared" si="40"/>
        <v>52.3</v>
      </c>
      <c r="O121" s="1609">
        <f t="shared" si="41"/>
        <v>52.3</v>
      </c>
      <c r="P121" s="2169"/>
      <c r="Q121" s="2169"/>
      <c r="R121" s="1600"/>
      <c r="S121" s="1619"/>
      <c r="T121" s="1619"/>
      <c r="U121" s="1600"/>
      <c r="V121" s="1619"/>
      <c r="W121" s="1619"/>
      <c r="X121" s="1423"/>
      <c r="Y121" s="1423"/>
      <c r="Z121" s="1423"/>
    </row>
    <row r="122" spans="1:26" ht="26.25" customHeight="1">
      <c r="A122" s="2170"/>
      <c r="B122" s="1609" t="s">
        <v>1770</v>
      </c>
      <c r="C122" s="2171"/>
      <c r="D122" s="1602">
        <f t="shared" si="47"/>
        <v>324.10000000000002</v>
      </c>
      <c r="E122" s="1609">
        <v>304.7</v>
      </c>
      <c r="F122" s="1609">
        <v>19.399999999999999</v>
      </c>
      <c r="G122" s="1602">
        <f t="shared" si="48"/>
        <v>324.10000000000002</v>
      </c>
      <c r="H122" s="1616">
        <f t="shared" si="51"/>
        <v>304.7</v>
      </c>
      <c r="I122" s="1616">
        <f t="shared" si="51"/>
        <v>19.399999999999999</v>
      </c>
      <c r="J122" s="1602">
        <f t="shared" si="38"/>
        <v>0</v>
      </c>
      <c r="K122" s="1609"/>
      <c r="L122" s="1609"/>
      <c r="M122" s="1609">
        <f t="shared" si="39"/>
        <v>0</v>
      </c>
      <c r="N122" s="1609">
        <f t="shared" si="40"/>
        <v>0</v>
      </c>
      <c r="O122" s="1609">
        <f t="shared" si="41"/>
        <v>0</v>
      </c>
      <c r="P122" s="2169"/>
      <c r="Q122" s="2169"/>
      <c r="R122" s="1600"/>
      <c r="S122" s="1619"/>
      <c r="T122" s="1619"/>
      <c r="U122" s="1600"/>
      <c r="V122" s="1619"/>
      <c r="W122" s="1619"/>
      <c r="X122" s="1423">
        <f>D122-G122</f>
        <v>0</v>
      </c>
      <c r="Y122" s="1423"/>
      <c r="Z122" s="1423"/>
    </row>
    <row r="123" spans="1:26" s="484" customFormat="1" ht="78.75" hidden="1" customHeight="1">
      <c r="A123" s="2170">
        <f>A119+1</f>
        <v>27</v>
      </c>
      <c r="B123" s="1914" t="s">
        <v>1599</v>
      </c>
      <c r="C123" s="1866" t="s">
        <v>1611</v>
      </c>
      <c r="D123" s="1600">
        <f t="shared" si="47"/>
        <v>0</v>
      </c>
      <c r="E123" s="1616">
        <f>E124</f>
        <v>0</v>
      </c>
      <c r="F123" s="1616">
        <f>F124</f>
        <v>0</v>
      </c>
      <c r="G123" s="1602">
        <f t="shared" si="48"/>
        <v>0</v>
      </c>
      <c r="H123" s="1616">
        <f>H124</f>
        <v>0</v>
      </c>
      <c r="I123" s="1616">
        <f>I124</f>
        <v>0</v>
      </c>
      <c r="J123" s="1602">
        <f t="shared" si="38"/>
        <v>0</v>
      </c>
      <c r="K123" s="1616">
        <f>K124</f>
        <v>0</v>
      </c>
      <c r="L123" s="1616">
        <f>L124</f>
        <v>0</v>
      </c>
      <c r="M123" s="1604">
        <f t="shared" si="39"/>
        <v>0</v>
      </c>
      <c r="N123" s="1881">
        <f t="shared" si="40"/>
        <v>0</v>
      </c>
      <c r="O123" s="1881">
        <f t="shared" si="41"/>
        <v>0</v>
      </c>
      <c r="P123" s="2169"/>
      <c r="Q123" s="2169"/>
      <c r="R123" s="1600">
        <f>S123+T123</f>
        <v>0</v>
      </c>
      <c r="S123" s="1608">
        <v>0</v>
      </c>
      <c r="T123" s="1608">
        <v>0</v>
      </c>
      <c r="U123" s="1600">
        <f>V123+W123</f>
        <v>0</v>
      </c>
      <c r="V123" s="1608">
        <v>0</v>
      </c>
      <c r="W123" s="1608">
        <v>0</v>
      </c>
      <c r="X123" s="1423">
        <f t="shared" si="49"/>
        <v>0</v>
      </c>
      <c r="Y123" s="1423"/>
      <c r="Z123" s="1423"/>
    </row>
    <row r="124" spans="1:26" s="484" customFormat="1" ht="23.25" hidden="1" customHeight="1">
      <c r="A124" s="2170"/>
      <c r="B124" s="1609" t="s">
        <v>1620</v>
      </c>
      <c r="C124" s="1924"/>
      <c r="D124" s="1600">
        <f t="shared" si="47"/>
        <v>0</v>
      </c>
      <c r="E124" s="1616"/>
      <c r="F124" s="1616"/>
      <c r="G124" s="1602">
        <f t="shared" si="48"/>
        <v>0</v>
      </c>
      <c r="H124" s="1616">
        <f>E124</f>
        <v>0</v>
      </c>
      <c r="I124" s="1616">
        <f>F124</f>
        <v>0</v>
      </c>
      <c r="J124" s="1602">
        <f t="shared" si="38"/>
        <v>0</v>
      </c>
      <c r="K124" s="1616"/>
      <c r="L124" s="1616"/>
      <c r="M124" s="1604">
        <f t="shared" si="39"/>
        <v>0</v>
      </c>
      <c r="N124" s="1881">
        <f t="shared" si="40"/>
        <v>0</v>
      </c>
      <c r="O124" s="1881">
        <f t="shared" si="41"/>
        <v>0</v>
      </c>
      <c r="P124" s="2169"/>
      <c r="Q124" s="2169"/>
      <c r="R124" s="1600">
        <f>S124+T124</f>
        <v>0</v>
      </c>
      <c r="S124" s="1608">
        <v>0</v>
      </c>
      <c r="T124" s="1608">
        <v>0</v>
      </c>
      <c r="U124" s="1600">
        <f>V124+W124</f>
        <v>0</v>
      </c>
      <c r="V124" s="1608">
        <v>0</v>
      </c>
      <c r="W124" s="1624">
        <v>0</v>
      </c>
      <c r="X124" s="1423">
        <f>D124-G124</f>
        <v>0</v>
      </c>
      <c r="Y124" s="1423"/>
      <c r="Z124" s="1423"/>
    </row>
    <row r="125" spans="1:26" s="484" customFormat="1" ht="30.75" customHeight="1">
      <c r="A125" s="2170">
        <f>A119+1</f>
        <v>27</v>
      </c>
      <c r="B125" s="516" t="s">
        <v>763</v>
      </c>
      <c r="C125" s="1923" t="s">
        <v>1550</v>
      </c>
      <c r="D125" s="1600">
        <f t="shared" si="47"/>
        <v>236519.6</v>
      </c>
      <c r="E125" s="1616">
        <f>E126+E127</f>
        <v>222326</v>
      </c>
      <c r="F125" s="1616">
        <f>F126+F127</f>
        <v>14193.6</v>
      </c>
      <c r="G125" s="1602">
        <f t="shared" si="48"/>
        <v>236519.6</v>
      </c>
      <c r="H125" s="1616">
        <f>H126+H127</f>
        <v>222326</v>
      </c>
      <c r="I125" s="1616">
        <f>I126+I127</f>
        <v>14193.6</v>
      </c>
      <c r="J125" s="1602">
        <f t="shared" si="38"/>
        <v>108625.8</v>
      </c>
      <c r="K125" s="1616">
        <f>K126+K127</f>
        <v>102107.2</v>
      </c>
      <c r="L125" s="1616">
        <f>L126+L127</f>
        <v>6518.6</v>
      </c>
      <c r="M125" s="1616">
        <f t="shared" si="39"/>
        <v>45.9</v>
      </c>
      <c r="N125" s="1616">
        <f t="shared" si="40"/>
        <v>45.9</v>
      </c>
      <c r="O125" s="1616">
        <f t="shared" si="41"/>
        <v>45.9</v>
      </c>
      <c r="P125" s="1608">
        <f t="shared" ref="P125:W125" si="52">P126+P127</f>
        <v>0</v>
      </c>
      <c r="Q125" s="1608">
        <f t="shared" si="52"/>
        <v>0</v>
      </c>
      <c r="R125" s="1941">
        <f t="shared" si="52"/>
        <v>109549.9</v>
      </c>
      <c r="S125" s="1608">
        <f t="shared" si="52"/>
        <v>0</v>
      </c>
      <c r="T125" s="1608">
        <f t="shared" si="52"/>
        <v>109549.9</v>
      </c>
      <c r="U125" s="1608">
        <f t="shared" si="52"/>
        <v>0</v>
      </c>
      <c r="V125" s="1608">
        <f t="shared" si="52"/>
        <v>0</v>
      </c>
      <c r="W125" s="1608">
        <f t="shared" si="52"/>
        <v>0</v>
      </c>
      <c r="X125" s="1423">
        <f t="shared" si="49"/>
        <v>0</v>
      </c>
      <c r="Y125" s="1423"/>
      <c r="Z125" s="1423"/>
    </row>
    <row r="126" spans="1:26" s="484" customFormat="1" ht="23.25">
      <c r="A126" s="2170"/>
      <c r="B126" s="1609" t="s">
        <v>1620</v>
      </c>
      <c r="C126" s="1924"/>
      <c r="D126" s="1600">
        <f t="shared" si="47"/>
        <v>236519.6</v>
      </c>
      <c r="E126" s="1616">
        <v>222326</v>
      </c>
      <c r="F126" s="1616">
        <v>14193.6</v>
      </c>
      <c r="G126" s="1602">
        <f t="shared" ref="G126:G165" si="53">SUM(H126:I126)</f>
        <v>236519.6</v>
      </c>
      <c r="H126" s="1616">
        <f>E126</f>
        <v>222326</v>
      </c>
      <c r="I126" s="1616">
        <f>F126</f>
        <v>14193.6</v>
      </c>
      <c r="J126" s="1602">
        <f t="shared" si="38"/>
        <v>108625.8</v>
      </c>
      <c r="K126" s="1616">
        <v>102107.2</v>
      </c>
      <c r="L126" s="1616">
        <v>6518.6</v>
      </c>
      <c r="M126" s="1604">
        <f t="shared" si="39"/>
        <v>45.9</v>
      </c>
      <c r="N126" s="1881">
        <f t="shared" si="40"/>
        <v>45.9</v>
      </c>
      <c r="O126" s="1881">
        <f t="shared" si="41"/>
        <v>45.9</v>
      </c>
      <c r="P126" s="2169"/>
      <c r="Q126" s="2169"/>
      <c r="R126" s="1600">
        <f t="shared" ref="R126:R148" si="54">S126+T126</f>
        <v>0</v>
      </c>
      <c r="S126" s="1608">
        <v>0</v>
      </c>
      <c r="T126" s="1608">
        <v>0</v>
      </c>
      <c r="U126" s="1600">
        <f t="shared" ref="U126:U148" si="55">V126+W126</f>
        <v>0</v>
      </c>
      <c r="V126" s="1608">
        <v>0</v>
      </c>
      <c r="W126" s="1624">
        <v>0</v>
      </c>
      <c r="X126" s="1423">
        <f t="shared" si="49"/>
        <v>0</v>
      </c>
      <c r="Y126" s="1423"/>
      <c r="Z126" s="1423"/>
    </row>
    <row r="127" spans="1:26" s="484" customFormat="1" ht="19.5" hidden="1" customHeight="1">
      <c r="A127" s="2170"/>
      <c r="B127" s="1609" t="s">
        <v>1621</v>
      </c>
      <c r="C127" s="1924"/>
      <c r="D127" s="1600">
        <f t="shared" si="47"/>
        <v>0</v>
      </c>
      <c r="E127" s="1616"/>
      <c r="F127" s="2045">
        <v>0</v>
      </c>
      <c r="G127" s="1602">
        <f t="shared" si="53"/>
        <v>0</v>
      </c>
      <c r="H127" s="1609">
        <f>E127</f>
        <v>0</v>
      </c>
      <c r="I127" s="1609">
        <f>F127</f>
        <v>0</v>
      </c>
      <c r="J127" s="1602">
        <f t="shared" si="38"/>
        <v>0</v>
      </c>
      <c r="K127" s="1616"/>
      <c r="L127" s="2045"/>
      <c r="M127" s="1604">
        <f t="shared" si="39"/>
        <v>0</v>
      </c>
      <c r="N127" s="1881">
        <f t="shared" si="40"/>
        <v>0</v>
      </c>
      <c r="O127" s="1881">
        <f t="shared" si="41"/>
        <v>0</v>
      </c>
      <c r="P127" s="2169"/>
      <c r="Q127" s="2169"/>
      <c r="R127" s="1600">
        <f t="shared" si="54"/>
        <v>109549.9</v>
      </c>
      <c r="S127" s="1608">
        <v>0</v>
      </c>
      <c r="T127" s="1608">
        <v>109549.9</v>
      </c>
      <c r="U127" s="1600">
        <f t="shared" si="55"/>
        <v>0</v>
      </c>
      <c r="V127" s="1608">
        <v>0</v>
      </c>
      <c r="W127" s="1624">
        <v>0</v>
      </c>
      <c r="Y127" s="1423"/>
      <c r="Z127" s="1423"/>
    </row>
    <row r="128" spans="1:26" s="484" customFormat="1" ht="20.25" customHeight="1">
      <c r="A128" s="2170">
        <f>A125+1</f>
        <v>28</v>
      </c>
      <c r="B128" s="516" t="s">
        <v>765</v>
      </c>
      <c r="C128" s="1923" t="s">
        <v>1550</v>
      </c>
      <c r="D128" s="1600">
        <f t="shared" si="47"/>
        <v>33528.9</v>
      </c>
      <c r="E128" s="1616">
        <f>SUM(E129:E130)</f>
        <v>21967.7</v>
      </c>
      <c r="F128" s="1616">
        <f>SUM(F129:F130)</f>
        <v>11561.2</v>
      </c>
      <c r="G128" s="1602">
        <f t="shared" si="53"/>
        <v>33528.9</v>
      </c>
      <c r="H128" s="1616">
        <f>SUM(H129:H130)</f>
        <v>21967.7</v>
      </c>
      <c r="I128" s="1616">
        <f>SUM(I129:I130)</f>
        <v>11561.2</v>
      </c>
      <c r="J128" s="1602">
        <f t="shared" si="38"/>
        <v>16247.8</v>
      </c>
      <c r="K128" s="1616">
        <f>SUM(K129:K130)</f>
        <v>15087.2</v>
      </c>
      <c r="L128" s="1616">
        <f>SUM(L129:L130)</f>
        <v>1160.5999999999999</v>
      </c>
      <c r="M128" s="1604">
        <f t="shared" si="39"/>
        <v>48.5</v>
      </c>
      <c r="N128" s="1881">
        <f t="shared" si="40"/>
        <v>68.7</v>
      </c>
      <c r="O128" s="1881">
        <f t="shared" si="41"/>
        <v>10</v>
      </c>
      <c r="P128" s="2169" t="s">
        <v>1267</v>
      </c>
      <c r="Q128" s="2169" t="s">
        <v>1219</v>
      </c>
      <c r="R128" s="1600">
        <f t="shared" si="54"/>
        <v>0</v>
      </c>
      <c r="S128" s="1608">
        <v>0</v>
      </c>
      <c r="T128" s="1608">
        <v>0</v>
      </c>
      <c r="U128" s="1600">
        <f t="shared" si="55"/>
        <v>0</v>
      </c>
      <c r="V128" s="1608">
        <v>0</v>
      </c>
      <c r="W128" s="1624">
        <v>0</v>
      </c>
      <c r="X128" s="1423">
        <f t="shared" ref="X128:X145" si="56">D128-G128</f>
        <v>0</v>
      </c>
      <c r="Y128" s="1423"/>
      <c r="Z128" s="1423"/>
    </row>
    <row r="129" spans="1:26" ht="23.25">
      <c r="A129" s="2170"/>
      <c r="B129" s="1609" t="s">
        <v>1620</v>
      </c>
      <c r="C129" s="1924"/>
      <c r="D129" s="1600">
        <f t="shared" si="47"/>
        <v>23370.1</v>
      </c>
      <c r="E129" s="1616">
        <v>21967.7</v>
      </c>
      <c r="F129" s="1616">
        <v>1402.4</v>
      </c>
      <c r="G129" s="1602">
        <f t="shared" si="53"/>
        <v>23370.1</v>
      </c>
      <c r="H129" s="1616">
        <f>E129</f>
        <v>21967.7</v>
      </c>
      <c r="I129" s="1616">
        <f>F129</f>
        <v>1402.4</v>
      </c>
      <c r="J129" s="1602">
        <f t="shared" si="38"/>
        <v>16050.4</v>
      </c>
      <c r="K129" s="1616">
        <v>15087.2</v>
      </c>
      <c r="L129" s="1616">
        <v>963.2</v>
      </c>
      <c r="M129" s="1604">
        <f t="shared" si="39"/>
        <v>68.7</v>
      </c>
      <c r="N129" s="1881">
        <f t="shared" si="40"/>
        <v>68.7</v>
      </c>
      <c r="O129" s="1881">
        <f t="shared" si="41"/>
        <v>68.7</v>
      </c>
      <c r="P129" s="2169"/>
      <c r="Q129" s="2169"/>
      <c r="R129" s="1600">
        <f t="shared" si="54"/>
        <v>0</v>
      </c>
      <c r="S129" s="1608">
        <v>0</v>
      </c>
      <c r="T129" s="1608">
        <v>0</v>
      </c>
      <c r="U129" s="1600">
        <f t="shared" si="55"/>
        <v>0</v>
      </c>
      <c r="V129" s="1608">
        <v>0</v>
      </c>
      <c r="W129" s="1624">
        <v>0</v>
      </c>
      <c r="X129" s="1423">
        <f t="shared" si="56"/>
        <v>0</v>
      </c>
      <c r="Y129" s="1423"/>
      <c r="Z129" s="1423"/>
    </row>
    <row r="130" spans="1:26" ht="23.25">
      <c r="A130" s="2170"/>
      <c r="B130" s="1609" t="s">
        <v>1621</v>
      </c>
      <c r="C130" s="1924"/>
      <c r="D130" s="1600">
        <f t="shared" si="47"/>
        <v>10158.799999999999</v>
      </c>
      <c r="E130" s="1616"/>
      <c r="F130" s="2045">
        <f>9985.9+172.9</f>
        <v>10158.799999999999</v>
      </c>
      <c r="G130" s="1602">
        <f t="shared" si="53"/>
        <v>10158.799999999999</v>
      </c>
      <c r="H130" s="1616">
        <f>E130</f>
        <v>0</v>
      </c>
      <c r="I130" s="1616">
        <f>9985.9+172.9</f>
        <v>10158.799999999999</v>
      </c>
      <c r="J130" s="1602">
        <f t="shared" si="38"/>
        <v>197.4</v>
      </c>
      <c r="K130" s="1616"/>
      <c r="L130" s="2045">
        <v>197.4</v>
      </c>
      <c r="M130" s="1604">
        <f t="shared" si="39"/>
        <v>1.9</v>
      </c>
      <c r="N130" s="1881">
        <f t="shared" si="40"/>
        <v>0</v>
      </c>
      <c r="O130" s="1881">
        <f t="shared" si="41"/>
        <v>1.9</v>
      </c>
      <c r="P130" s="2169"/>
      <c r="Q130" s="2169"/>
      <c r="R130" s="1600">
        <f t="shared" si="54"/>
        <v>0</v>
      </c>
      <c r="S130" s="1608">
        <v>0</v>
      </c>
      <c r="T130" s="1608">
        <v>0</v>
      </c>
      <c r="U130" s="1600">
        <f t="shared" si="55"/>
        <v>0</v>
      </c>
      <c r="V130" s="1608">
        <v>0</v>
      </c>
      <c r="W130" s="1624">
        <v>0</v>
      </c>
      <c r="X130" s="1423">
        <f t="shared" si="56"/>
        <v>0</v>
      </c>
      <c r="Y130" s="1423"/>
      <c r="Z130" s="1423"/>
    </row>
    <row r="131" spans="1:26" s="484" customFormat="1" ht="24.75" customHeight="1">
      <c r="A131" s="2170">
        <f>A128+1</f>
        <v>29</v>
      </c>
      <c r="B131" s="516" t="s">
        <v>766</v>
      </c>
      <c r="C131" s="1923" t="s">
        <v>1550</v>
      </c>
      <c r="D131" s="1600">
        <f t="shared" si="47"/>
        <v>20818.099999999999</v>
      </c>
      <c r="E131" s="1616">
        <f>SUM(E132:E133)</f>
        <v>13691.8</v>
      </c>
      <c r="F131" s="1616">
        <f>SUM(F132:F133)</f>
        <v>7126.3</v>
      </c>
      <c r="G131" s="1602">
        <f t="shared" si="53"/>
        <v>20818.099999999999</v>
      </c>
      <c r="H131" s="1616">
        <f>SUM(H132:H133)</f>
        <v>13691.8</v>
      </c>
      <c r="I131" s="1616">
        <f>SUM(I132:I133)</f>
        <v>7126.3</v>
      </c>
      <c r="J131" s="1602">
        <f t="shared" ref="J131:J152" si="57">SUM(K131:L131)</f>
        <v>10110.1</v>
      </c>
      <c r="K131" s="1616">
        <f>SUM(K132:K133)</f>
        <v>9381.2999999999993</v>
      </c>
      <c r="L131" s="1616">
        <f>SUM(L132:L133)</f>
        <v>728.8</v>
      </c>
      <c r="M131" s="1604">
        <f t="shared" si="39"/>
        <v>48.6</v>
      </c>
      <c r="N131" s="1881">
        <f t="shared" si="40"/>
        <v>68.5</v>
      </c>
      <c r="O131" s="1881">
        <f t="shared" si="41"/>
        <v>10.199999999999999</v>
      </c>
      <c r="P131" s="2169" t="s">
        <v>1303</v>
      </c>
      <c r="Q131" s="2169" t="s">
        <v>1268</v>
      </c>
      <c r="R131" s="1600">
        <f t="shared" si="54"/>
        <v>0</v>
      </c>
      <c r="S131" s="1608">
        <v>0</v>
      </c>
      <c r="T131" s="1608">
        <v>0</v>
      </c>
      <c r="U131" s="1600">
        <f t="shared" si="55"/>
        <v>0</v>
      </c>
      <c r="V131" s="1608">
        <v>0</v>
      </c>
      <c r="W131" s="1624">
        <v>0</v>
      </c>
      <c r="X131" s="1423">
        <f t="shared" si="56"/>
        <v>0</v>
      </c>
      <c r="Y131" s="1423"/>
      <c r="Z131" s="1423"/>
    </row>
    <row r="132" spans="1:26" ht="23.25">
      <c r="A132" s="2170"/>
      <c r="B132" s="1609" t="s">
        <v>1620</v>
      </c>
      <c r="C132" s="1924"/>
      <c r="D132" s="1600">
        <f t="shared" si="47"/>
        <v>14565.9</v>
      </c>
      <c r="E132" s="1616">
        <v>13691.8</v>
      </c>
      <c r="F132" s="1616">
        <v>874.1</v>
      </c>
      <c r="G132" s="1602">
        <f t="shared" si="53"/>
        <v>14565.9</v>
      </c>
      <c r="H132" s="1616">
        <f>E132</f>
        <v>13691.8</v>
      </c>
      <c r="I132" s="1616">
        <f>F132</f>
        <v>874.1</v>
      </c>
      <c r="J132" s="1602">
        <f t="shared" si="57"/>
        <v>9980.2000000000007</v>
      </c>
      <c r="K132" s="1616">
        <v>9381.2999999999993</v>
      </c>
      <c r="L132" s="1616">
        <v>598.9</v>
      </c>
      <c r="M132" s="1604">
        <f t="shared" si="39"/>
        <v>68.5</v>
      </c>
      <c r="N132" s="1881">
        <f t="shared" si="40"/>
        <v>68.5</v>
      </c>
      <c r="O132" s="1881">
        <f t="shared" si="41"/>
        <v>68.5</v>
      </c>
      <c r="P132" s="2169"/>
      <c r="Q132" s="2169"/>
      <c r="R132" s="1600">
        <f t="shared" si="54"/>
        <v>0</v>
      </c>
      <c r="S132" s="1608">
        <v>0</v>
      </c>
      <c r="T132" s="1608">
        <v>0</v>
      </c>
      <c r="U132" s="1600">
        <f t="shared" si="55"/>
        <v>0</v>
      </c>
      <c r="V132" s="1608">
        <v>0</v>
      </c>
      <c r="W132" s="1624">
        <v>0</v>
      </c>
      <c r="X132" s="1423">
        <f t="shared" si="56"/>
        <v>0</v>
      </c>
      <c r="Y132" s="1423"/>
      <c r="Z132" s="1423"/>
    </row>
    <row r="133" spans="1:26" ht="23.25">
      <c r="A133" s="2170"/>
      <c r="B133" s="1609" t="s">
        <v>1621</v>
      </c>
      <c r="C133" s="1924"/>
      <c r="D133" s="1600">
        <f t="shared" si="47"/>
        <v>6252.2</v>
      </c>
      <c r="E133" s="1616"/>
      <c r="F133" s="2045">
        <v>6252.2</v>
      </c>
      <c r="G133" s="1602">
        <f t="shared" si="53"/>
        <v>6252.2</v>
      </c>
      <c r="H133" s="1616">
        <f>E133</f>
        <v>0</v>
      </c>
      <c r="I133" s="1616">
        <f>F133</f>
        <v>6252.2</v>
      </c>
      <c r="J133" s="1602">
        <f t="shared" si="57"/>
        <v>129.9</v>
      </c>
      <c r="K133" s="1616"/>
      <c r="L133" s="2045">
        <v>129.9</v>
      </c>
      <c r="M133" s="1604">
        <f t="shared" si="39"/>
        <v>2.1</v>
      </c>
      <c r="N133" s="1881">
        <f t="shared" si="40"/>
        <v>0</v>
      </c>
      <c r="O133" s="1881">
        <f t="shared" si="41"/>
        <v>2.1</v>
      </c>
      <c r="P133" s="2169"/>
      <c r="Q133" s="2169"/>
      <c r="R133" s="1600">
        <f t="shared" si="54"/>
        <v>0</v>
      </c>
      <c r="S133" s="1608">
        <v>0</v>
      </c>
      <c r="T133" s="1608">
        <v>0</v>
      </c>
      <c r="U133" s="1600">
        <f t="shared" si="55"/>
        <v>0</v>
      </c>
      <c r="V133" s="1608">
        <v>0</v>
      </c>
      <c r="W133" s="1624">
        <v>0</v>
      </c>
      <c r="X133" s="1423">
        <f t="shared" si="56"/>
        <v>0</v>
      </c>
      <c r="Y133" s="1423"/>
      <c r="Z133" s="1423"/>
    </row>
    <row r="134" spans="1:26" ht="39" customHeight="1">
      <c r="A134" s="2170">
        <f>A131+1</f>
        <v>30</v>
      </c>
      <c r="B134" s="521" t="s">
        <v>478</v>
      </c>
      <c r="C134" s="1924" t="s">
        <v>1610</v>
      </c>
      <c r="D134" s="1600">
        <f t="shared" si="47"/>
        <v>423702.5</v>
      </c>
      <c r="E134" s="1616">
        <f>E135+E137+E138+E136</f>
        <v>398273.9</v>
      </c>
      <c r="F134" s="1616">
        <f>F135+F137+F138+F136</f>
        <v>25428.6</v>
      </c>
      <c r="G134" s="1602">
        <f t="shared" si="53"/>
        <v>423702.5</v>
      </c>
      <c r="H134" s="1616">
        <f>H135+H137+H138+H136</f>
        <v>398273.9</v>
      </c>
      <c r="I134" s="1616">
        <f>I135+I137+I138+I136</f>
        <v>25428.6</v>
      </c>
      <c r="J134" s="1602">
        <f>SUM(K134:L134)</f>
        <v>421944.4</v>
      </c>
      <c r="K134" s="1616">
        <f>K135+K137+K138</f>
        <v>396602.9</v>
      </c>
      <c r="L134" s="1616">
        <f>L135+L137+L138</f>
        <v>25341.5</v>
      </c>
      <c r="M134" s="1604">
        <f t="shared" si="39"/>
        <v>99.6</v>
      </c>
      <c r="N134" s="1881">
        <f t="shared" si="40"/>
        <v>99.6</v>
      </c>
      <c r="O134" s="1881">
        <f t="shared" si="41"/>
        <v>99.7</v>
      </c>
      <c r="P134" s="2169" t="s">
        <v>1298</v>
      </c>
      <c r="Q134" s="2169" t="s">
        <v>1261</v>
      </c>
      <c r="R134" s="1600">
        <f t="shared" si="54"/>
        <v>0</v>
      </c>
      <c r="S134" s="1608">
        <v>0</v>
      </c>
      <c r="T134" s="1608">
        <v>0</v>
      </c>
      <c r="U134" s="1600">
        <f t="shared" si="55"/>
        <v>0</v>
      </c>
      <c r="V134" s="1608">
        <v>0</v>
      </c>
      <c r="W134" s="1624">
        <v>0</v>
      </c>
      <c r="X134" s="1423">
        <f t="shared" si="56"/>
        <v>0</v>
      </c>
      <c r="Y134" s="1423"/>
      <c r="Z134" s="1423"/>
    </row>
    <row r="135" spans="1:26" ht="23.25">
      <c r="A135" s="2170"/>
      <c r="B135" s="1609" t="s">
        <v>1620</v>
      </c>
      <c r="C135" s="1924"/>
      <c r="D135" s="1600">
        <f t="shared" si="47"/>
        <v>422392.8</v>
      </c>
      <c r="E135" s="1616">
        <v>397049.2</v>
      </c>
      <c r="F135" s="2045">
        <v>25343.599999999999</v>
      </c>
      <c r="G135" s="1602">
        <f t="shared" si="53"/>
        <v>422392.8</v>
      </c>
      <c r="H135" s="1609">
        <f t="shared" ref="H135:I138" si="58">E135</f>
        <v>397049.2</v>
      </c>
      <c r="I135" s="1609">
        <f t="shared" si="58"/>
        <v>25343.599999999999</v>
      </c>
      <c r="J135" s="1602">
        <f t="shared" si="57"/>
        <v>421310.9</v>
      </c>
      <c r="K135" s="1616">
        <v>396032.2</v>
      </c>
      <c r="L135" s="1616">
        <v>25278.7</v>
      </c>
      <c r="M135" s="1604">
        <f t="shared" si="39"/>
        <v>99.7</v>
      </c>
      <c r="N135" s="1881">
        <f t="shared" si="40"/>
        <v>99.7</v>
      </c>
      <c r="O135" s="1881">
        <f t="shared" si="41"/>
        <v>99.7</v>
      </c>
      <c r="P135" s="2169"/>
      <c r="Q135" s="2169"/>
      <c r="R135" s="1600">
        <f t="shared" si="54"/>
        <v>0</v>
      </c>
      <c r="S135" s="1608">
        <v>0</v>
      </c>
      <c r="T135" s="1608">
        <v>0</v>
      </c>
      <c r="U135" s="1600">
        <f t="shared" si="55"/>
        <v>0</v>
      </c>
      <c r="V135" s="1608">
        <v>0</v>
      </c>
      <c r="W135" s="1624">
        <v>0</v>
      </c>
      <c r="X135" s="1423">
        <f t="shared" si="56"/>
        <v>0</v>
      </c>
      <c r="Y135" s="1423"/>
      <c r="Z135" s="1423"/>
    </row>
    <row r="136" spans="1:26" ht="23.25">
      <c r="A136" s="2170"/>
      <c r="B136" s="1609" t="s">
        <v>1798</v>
      </c>
      <c r="C136" s="1924"/>
      <c r="D136" s="1600">
        <f>SUM(E136:F136)</f>
        <v>278.7</v>
      </c>
      <c r="E136" s="1616">
        <v>262</v>
      </c>
      <c r="F136" s="1616">
        <v>16.7</v>
      </c>
      <c r="G136" s="1602">
        <f>SUM(H136:I136)</f>
        <v>278.7</v>
      </c>
      <c r="H136" s="1609">
        <f>E136</f>
        <v>262</v>
      </c>
      <c r="I136" s="1609">
        <f>F136</f>
        <v>16.7</v>
      </c>
      <c r="J136" s="1602">
        <f>SUM(K136:L136)</f>
        <v>0</v>
      </c>
      <c r="K136" s="1616">
        <v>0</v>
      </c>
      <c r="L136" s="1616">
        <v>0</v>
      </c>
      <c r="M136" s="1604">
        <f t="shared" si="39"/>
        <v>0</v>
      </c>
      <c r="N136" s="1881">
        <f t="shared" si="40"/>
        <v>0</v>
      </c>
      <c r="O136" s="1881">
        <f t="shared" si="41"/>
        <v>0</v>
      </c>
      <c r="P136" s="2169"/>
      <c r="Q136" s="2169"/>
      <c r="R136" s="1600"/>
      <c r="S136" s="1608"/>
      <c r="T136" s="1608"/>
      <c r="U136" s="1600"/>
      <c r="V136" s="1608"/>
      <c r="W136" s="1624"/>
      <c r="X136" s="1423"/>
      <c r="Y136" s="1423"/>
      <c r="Z136" s="1423"/>
    </row>
    <row r="137" spans="1:26" ht="23.25">
      <c r="A137" s="2170"/>
      <c r="B137" s="1609" t="s">
        <v>1770</v>
      </c>
      <c r="C137" s="1882"/>
      <c r="D137" s="1602">
        <f t="shared" si="47"/>
        <v>1004.1</v>
      </c>
      <c r="E137" s="1616">
        <f>256.6+706.1</f>
        <v>962.7</v>
      </c>
      <c r="F137" s="1616">
        <f>16.4+25</f>
        <v>41.4</v>
      </c>
      <c r="G137" s="1602">
        <f>SUM(H137:I137)</f>
        <v>1004.1</v>
      </c>
      <c r="H137" s="1609">
        <f t="shared" si="58"/>
        <v>962.7</v>
      </c>
      <c r="I137" s="1609">
        <f t="shared" si="58"/>
        <v>41.4</v>
      </c>
      <c r="J137" s="1602">
        <f t="shared" si="57"/>
        <v>607.20000000000005</v>
      </c>
      <c r="K137" s="1616">
        <f>256.511+314.156</f>
        <v>570.70000000000005</v>
      </c>
      <c r="L137" s="1616">
        <f>16.4+20.06</f>
        <v>36.5</v>
      </c>
      <c r="M137" s="1604">
        <f t="shared" si="39"/>
        <v>60.5</v>
      </c>
      <c r="N137" s="1881">
        <f t="shared" si="40"/>
        <v>59.3</v>
      </c>
      <c r="O137" s="1881">
        <f t="shared" si="41"/>
        <v>88.2</v>
      </c>
      <c r="P137" s="2169"/>
      <c r="Q137" s="2169"/>
      <c r="R137" s="1600">
        <f t="shared" si="54"/>
        <v>0</v>
      </c>
      <c r="S137" s="1608">
        <v>0</v>
      </c>
      <c r="T137" s="1608">
        <v>0</v>
      </c>
      <c r="U137" s="1600">
        <f t="shared" si="55"/>
        <v>0</v>
      </c>
      <c r="V137" s="1614"/>
      <c r="W137" s="1614"/>
      <c r="X137" s="1423">
        <f>D137-G137</f>
        <v>0</v>
      </c>
      <c r="Y137" s="1423"/>
      <c r="Z137" s="1423"/>
    </row>
    <row r="138" spans="1:26" s="1654" customFormat="1" ht="23.25">
      <c r="A138" s="2133"/>
      <c r="B138" s="2134" t="s">
        <v>1621</v>
      </c>
      <c r="C138" s="2135"/>
      <c r="D138" s="2136">
        <f t="shared" ref="D138:D160" si="59">SUM(E138:F138)</f>
        <v>26.9</v>
      </c>
      <c r="E138" s="2137"/>
      <c r="F138" s="2137">
        <f>304.9-278</f>
        <v>26.9</v>
      </c>
      <c r="G138" s="2136">
        <f t="shared" si="53"/>
        <v>26.9</v>
      </c>
      <c r="H138" s="2137">
        <f t="shared" si="58"/>
        <v>0</v>
      </c>
      <c r="I138" s="2137">
        <f>304.9-278</f>
        <v>26.9</v>
      </c>
      <c r="J138" s="2136">
        <f t="shared" si="57"/>
        <v>26.3</v>
      </c>
      <c r="K138" s="2137"/>
      <c r="L138" s="2137">
        <v>26.3</v>
      </c>
      <c r="M138" s="2164">
        <f t="shared" si="39"/>
        <v>97.8</v>
      </c>
      <c r="N138" s="2165">
        <f t="shared" si="40"/>
        <v>0</v>
      </c>
      <c r="O138" s="2165">
        <f t="shared" si="41"/>
        <v>97.8</v>
      </c>
      <c r="P138" s="2142"/>
      <c r="Q138" s="2142"/>
      <c r="R138" s="2138">
        <f t="shared" si="54"/>
        <v>0</v>
      </c>
      <c r="S138" s="2139">
        <v>0</v>
      </c>
      <c r="T138" s="2139">
        <v>0</v>
      </c>
      <c r="U138" s="2138">
        <f t="shared" si="55"/>
        <v>0</v>
      </c>
      <c r="V138" s="2143"/>
      <c r="W138" s="2143"/>
      <c r="X138" s="2144">
        <f t="shared" si="56"/>
        <v>0</v>
      </c>
      <c r="Y138" s="1423"/>
      <c r="Z138" s="1423"/>
    </row>
    <row r="139" spans="1:26" s="484" customFormat="1" ht="39.75" hidden="1" customHeight="1">
      <c r="A139" s="2170">
        <f>A134+1</f>
        <v>31</v>
      </c>
      <c r="B139" s="1915" t="s">
        <v>694</v>
      </c>
      <c r="C139" s="2170" t="s">
        <v>1548</v>
      </c>
      <c r="D139" s="1602">
        <f t="shared" si="59"/>
        <v>0</v>
      </c>
      <c r="E139" s="1615">
        <f>E140</f>
        <v>0</v>
      </c>
      <c r="F139" s="1615">
        <f>F140</f>
        <v>0</v>
      </c>
      <c r="G139" s="1602">
        <f t="shared" si="53"/>
        <v>0</v>
      </c>
      <c r="H139" s="1615">
        <f>H140</f>
        <v>0</v>
      </c>
      <c r="I139" s="1615">
        <f>I140</f>
        <v>0</v>
      </c>
      <c r="J139" s="1602">
        <f t="shared" si="57"/>
        <v>0</v>
      </c>
      <c r="K139" s="1615">
        <f>K140</f>
        <v>0</v>
      </c>
      <c r="L139" s="1615">
        <f>L140</f>
        <v>0</v>
      </c>
      <c r="M139" s="1604">
        <f t="shared" si="39"/>
        <v>0</v>
      </c>
      <c r="N139" s="1881">
        <f t="shared" si="40"/>
        <v>0</v>
      </c>
      <c r="O139" s="1881">
        <f t="shared" si="41"/>
        <v>0</v>
      </c>
      <c r="P139" s="2169" t="s">
        <v>1272</v>
      </c>
      <c r="Q139" s="2169" t="s">
        <v>1273</v>
      </c>
      <c r="R139" s="1600">
        <f t="shared" si="54"/>
        <v>0</v>
      </c>
      <c r="S139" s="1614">
        <v>0</v>
      </c>
      <c r="T139" s="1614">
        <v>0</v>
      </c>
      <c r="U139" s="1600">
        <f t="shared" si="55"/>
        <v>0</v>
      </c>
      <c r="V139" s="1614">
        <v>0</v>
      </c>
      <c r="W139" s="1614">
        <v>0</v>
      </c>
      <c r="X139" s="1423">
        <f t="shared" si="56"/>
        <v>0</v>
      </c>
      <c r="Y139" s="1423"/>
      <c r="Z139" s="1423"/>
    </row>
    <row r="140" spans="1:26" s="484" customFormat="1" ht="23.25" hidden="1" customHeight="1">
      <c r="A140" s="2170"/>
      <c r="B140" s="1609" t="s">
        <v>1620</v>
      </c>
      <c r="C140" s="1882"/>
      <c r="D140" s="1602">
        <f t="shared" si="59"/>
        <v>0</v>
      </c>
      <c r="E140" s="1615">
        <v>0</v>
      </c>
      <c r="F140" s="1615">
        <v>0</v>
      </c>
      <c r="G140" s="1602">
        <f t="shared" si="53"/>
        <v>0</v>
      </c>
      <c r="H140" s="1616">
        <f>E140</f>
        <v>0</v>
      </c>
      <c r="I140" s="1616">
        <f>F140</f>
        <v>0</v>
      </c>
      <c r="J140" s="1602">
        <f t="shared" si="57"/>
        <v>0</v>
      </c>
      <c r="K140" s="1616"/>
      <c r="L140" s="1616"/>
      <c r="M140" s="1604">
        <f t="shared" si="39"/>
        <v>0</v>
      </c>
      <c r="N140" s="1881">
        <f t="shared" si="40"/>
        <v>0</v>
      </c>
      <c r="O140" s="1881">
        <f t="shared" si="41"/>
        <v>0</v>
      </c>
      <c r="P140" s="2169"/>
      <c r="Q140" s="2169"/>
      <c r="R140" s="1600">
        <f t="shared" si="54"/>
        <v>0</v>
      </c>
      <c r="S140" s="1608">
        <v>0</v>
      </c>
      <c r="T140" s="1608">
        <v>0</v>
      </c>
      <c r="U140" s="1600">
        <f t="shared" si="55"/>
        <v>0</v>
      </c>
      <c r="V140" s="1608">
        <v>0</v>
      </c>
      <c r="W140" s="1624">
        <v>0</v>
      </c>
      <c r="X140" s="1423">
        <f t="shared" si="56"/>
        <v>0</v>
      </c>
      <c r="Y140" s="1423"/>
      <c r="Z140" s="1423"/>
    </row>
    <row r="141" spans="1:26" s="484" customFormat="1" ht="42" customHeight="1">
      <c r="A141" s="2170">
        <f>A134+1</f>
        <v>31</v>
      </c>
      <c r="B141" s="1915" t="s">
        <v>695</v>
      </c>
      <c r="C141" s="2170"/>
      <c r="D141" s="1602">
        <f t="shared" si="59"/>
        <v>191951.9</v>
      </c>
      <c r="E141" s="1615">
        <f>E142+E143</f>
        <v>180434.8</v>
      </c>
      <c r="F141" s="1615">
        <f>F142+F143</f>
        <v>11517.1</v>
      </c>
      <c r="G141" s="1602">
        <f t="shared" si="53"/>
        <v>191951.9</v>
      </c>
      <c r="H141" s="1615">
        <f>H142+H143</f>
        <v>180434.8</v>
      </c>
      <c r="I141" s="1615">
        <f>I142+I143</f>
        <v>11517.1</v>
      </c>
      <c r="J141" s="1602">
        <f t="shared" si="57"/>
        <v>187084.3</v>
      </c>
      <c r="K141" s="1615">
        <f>K142+K143</f>
        <v>175859.20000000001</v>
      </c>
      <c r="L141" s="1615">
        <f>L142+L143</f>
        <v>11225.1</v>
      </c>
      <c r="M141" s="1604">
        <f t="shared" ref="M141:M168" si="60">IF(J141=0,0,J141/G141*100)</f>
        <v>97.5</v>
      </c>
      <c r="N141" s="1881">
        <f t="shared" ref="N141:N168" si="61">IF(K141=0,0,K141/H141*100)</f>
        <v>97.5</v>
      </c>
      <c r="O141" s="1881">
        <f t="shared" ref="O141:O168" si="62">IF(L141=0,0,L141/I141*100)</f>
        <v>97.5</v>
      </c>
      <c r="P141" s="2169" t="s">
        <v>1272</v>
      </c>
      <c r="Q141" s="2169" t="s">
        <v>1273</v>
      </c>
      <c r="R141" s="1600">
        <f t="shared" si="54"/>
        <v>0</v>
      </c>
      <c r="S141" s="1614">
        <v>0</v>
      </c>
      <c r="T141" s="1614">
        <v>0</v>
      </c>
      <c r="U141" s="1600">
        <f t="shared" si="55"/>
        <v>0</v>
      </c>
      <c r="V141" s="1614">
        <v>0</v>
      </c>
      <c r="W141" s="1614">
        <v>0</v>
      </c>
      <c r="X141" s="1423">
        <f t="shared" si="56"/>
        <v>0</v>
      </c>
      <c r="Y141" s="1423"/>
      <c r="Z141" s="1423"/>
    </row>
    <row r="142" spans="1:26" ht="23.25">
      <c r="A142" s="2170"/>
      <c r="B142" s="1609" t="s">
        <v>1620</v>
      </c>
      <c r="C142" s="1882"/>
      <c r="D142" s="1602">
        <f t="shared" si="59"/>
        <v>104813.3</v>
      </c>
      <c r="E142" s="1616">
        <v>98524.5</v>
      </c>
      <c r="F142" s="2045">
        <f>6288.8</f>
        <v>6288.8</v>
      </c>
      <c r="G142" s="1602">
        <f>SUM(H142:I142)</f>
        <v>104813.3</v>
      </c>
      <c r="H142" s="1616">
        <f>E142</f>
        <v>98524.5</v>
      </c>
      <c r="I142" s="1616">
        <f>F142</f>
        <v>6288.8</v>
      </c>
      <c r="J142" s="1602">
        <f t="shared" si="57"/>
        <v>99946.1</v>
      </c>
      <c r="K142" s="1616">
        <v>93949.3</v>
      </c>
      <c r="L142" s="1616">
        <v>5996.8</v>
      </c>
      <c r="M142" s="1604">
        <f t="shared" si="60"/>
        <v>95.4</v>
      </c>
      <c r="N142" s="1881">
        <f t="shared" si="61"/>
        <v>95.4</v>
      </c>
      <c r="O142" s="1881">
        <f t="shared" si="62"/>
        <v>95.4</v>
      </c>
      <c r="P142" s="2169"/>
      <c r="Q142" s="2169"/>
      <c r="R142" s="1600">
        <f t="shared" si="54"/>
        <v>0</v>
      </c>
      <c r="S142" s="1608">
        <v>0</v>
      </c>
      <c r="T142" s="1608">
        <v>0</v>
      </c>
      <c r="U142" s="1600">
        <f t="shared" si="55"/>
        <v>0</v>
      </c>
      <c r="V142" s="1608">
        <v>0</v>
      </c>
      <c r="W142" s="1624">
        <v>0</v>
      </c>
      <c r="X142" s="1423">
        <f>D142-G142</f>
        <v>0</v>
      </c>
      <c r="Y142" s="1423"/>
      <c r="Z142" s="1423"/>
    </row>
    <row r="143" spans="1:26" ht="23.25">
      <c r="A143" s="2170"/>
      <c r="B143" s="1609" t="s">
        <v>1770</v>
      </c>
      <c r="C143" s="1882"/>
      <c r="D143" s="1602">
        <f t="shared" si="59"/>
        <v>87138.6</v>
      </c>
      <c r="E143" s="1616">
        <v>81910.3</v>
      </c>
      <c r="F143" s="2045">
        <v>5228.3</v>
      </c>
      <c r="G143" s="1600">
        <f>SUM(H143:I143)</f>
        <v>87138.6</v>
      </c>
      <c r="H143" s="1619">
        <f>E143</f>
        <v>81910.3</v>
      </c>
      <c r="I143" s="1619">
        <f>F143</f>
        <v>5228.3</v>
      </c>
      <c r="J143" s="1600">
        <f t="shared" si="57"/>
        <v>87138.2</v>
      </c>
      <c r="K143" s="1608">
        <v>81909.899999999994</v>
      </c>
      <c r="L143" s="1608">
        <v>5228.3</v>
      </c>
      <c r="M143" s="1604">
        <f t="shared" si="60"/>
        <v>100</v>
      </c>
      <c r="N143" s="1881">
        <f t="shared" si="61"/>
        <v>100</v>
      </c>
      <c r="O143" s="1881">
        <f t="shared" si="62"/>
        <v>100</v>
      </c>
      <c r="P143" s="2169"/>
      <c r="Q143" s="2169"/>
      <c r="R143" s="1600">
        <f t="shared" si="54"/>
        <v>0</v>
      </c>
      <c r="S143" s="1608">
        <v>0</v>
      </c>
      <c r="T143" s="1608">
        <v>0</v>
      </c>
      <c r="U143" s="1600">
        <f t="shared" si="55"/>
        <v>0</v>
      </c>
      <c r="V143" s="1614"/>
      <c r="W143" s="1614"/>
      <c r="X143" s="1423">
        <f>D143-G143</f>
        <v>0</v>
      </c>
      <c r="Y143" s="1423"/>
      <c r="Z143" s="1423"/>
    </row>
    <row r="144" spans="1:26" s="484" customFormat="1" ht="42" customHeight="1">
      <c r="A144" s="2170">
        <f>A141+1</f>
        <v>32</v>
      </c>
      <c r="B144" s="1915" t="s">
        <v>698</v>
      </c>
      <c r="C144" s="2170"/>
      <c r="D144" s="1602">
        <f t="shared" si="59"/>
        <v>1250553.7</v>
      </c>
      <c r="E144" s="1614">
        <f>E145+E147</f>
        <v>1175145.3</v>
      </c>
      <c r="F144" s="1614">
        <f>F145+F147</f>
        <v>75408.399999999994</v>
      </c>
      <c r="G144" s="1600">
        <f>SUM(H144:I144)</f>
        <v>1250553.7</v>
      </c>
      <c r="H144" s="1614">
        <f>H145+H147</f>
        <v>1175145.3</v>
      </c>
      <c r="I144" s="1614">
        <f>I145+I147</f>
        <v>75408.399999999994</v>
      </c>
      <c r="J144" s="1602">
        <f t="shared" si="57"/>
        <v>143201.70000000001</v>
      </c>
      <c r="K144" s="1614">
        <f>K145+K147</f>
        <v>134566.6</v>
      </c>
      <c r="L144" s="1614">
        <f>L145+L147</f>
        <v>8635.1</v>
      </c>
      <c r="M144" s="1604">
        <f t="shared" si="60"/>
        <v>11.5</v>
      </c>
      <c r="N144" s="1881">
        <f t="shared" si="61"/>
        <v>11.5</v>
      </c>
      <c r="O144" s="1881">
        <f t="shared" si="62"/>
        <v>11.5</v>
      </c>
      <c r="P144" s="2169" t="s">
        <v>1306</v>
      </c>
      <c r="Q144" s="2169" t="s">
        <v>1277</v>
      </c>
      <c r="R144" s="1600">
        <f t="shared" si="54"/>
        <v>778086</v>
      </c>
      <c r="S144" s="1615">
        <v>0</v>
      </c>
      <c r="T144" s="1615">
        <v>778086</v>
      </c>
      <c r="U144" s="1600">
        <f t="shared" si="55"/>
        <v>0</v>
      </c>
      <c r="V144" s="1615">
        <v>0</v>
      </c>
      <c r="W144" s="1615">
        <v>0</v>
      </c>
      <c r="X144" s="1423">
        <f t="shared" si="56"/>
        <v>0</v>
      </c>
      <c r="Y144" s="1423"/>
      <c r="Z144" s="1423"/>
    </row>
    <row r="145" spans="1:27" s="484" customFormat="1" ht="24.75" customHeight="1">
      <c r="A145" s="2170"/>
      <c r="B145" s="1609" t="s">
        <v>1620</v>
      </c>
      <c r="C145" s="1882"/>
      <c r="D145" s="1602">
        <f t="shared" si="59"/>
        <v>1220006.3</v>
      </c>
      <c r="E145" s="1616">
        <v>1146439.8999999999</v>
      </c>
      <c r="F145" s="2045">
        <v>73566.399999999994</v>
      </c>
      <c r="G145" s="1600">
        <f t="shared" si="53"/>
        <v>1220006.3</v>
      </c>
      <c r="H145" s="1616">
        <f t="shared" ref="H145:I147" si="63">E145</f>
        <v>1146439.8999999999</v>
      </c>
      <c r="I145" s="1616">
        <f t="shared" si="63"/>
        <v>73566.399999999994</v>
      </c>
      <c r="J145" s="1600">
        <f t="shared" si="57"/>
        <v>143201.70000000001</v>
      </c>
      <c r="K145" s="1608">
        <v>134566.6</v>
      </c>
      <c r="L145" s="1608">
        <v>8635.1</v>
      </c>
      <c r="M145" s="1604">
        <f t="shared" si="60"/>
        <v>11.7</v>
      </c>
      <c r="N145" s="1881">
        <f t="shared" si="61"/>
        <v>11.7</v>
      </c>
      <c r="O145" s="1881">
        <f t="shared" si="62"/>
        <v>11.7</v>
      </c>
      <c r="P145" s="2169"/>
      <c r="Q145" s="2169"/>
      <c r="R145" s="1600">
        <f t="shared" si="54"/>
        <v>0</v>
      </c>
      <c r="S145" s="1608">
        <v>0</v>
      </c>
      <c r="T145" s="1608">
        <v>0</v>
      </c>
      <c r="U145" s="1600">
        <f t="shared" si="55"/>
        <v>0</v>
      </c>
      <c r="V145" s="1608">
        <v>0</v>
      </c>
      <c r="W145" s="1624">
        <v>0</v>
      </c>
      <c r="X145" s="1423">
        <f t="shared" si="56"/>
        <v>0</v>
      </c>
      <c r="Y145" s="1423"/>
      <c r="Z145" s="1423"/>
    </row>
    <row r="146" spans="1:27" s="484" customFormat="1" ht="18.75" hidden="1" customHeight="1">
      <c r="A146" s="2170"/>
      <c r="B146" s="1609" t="s">
        <v>1621</v>
      </c>
      <c r="C146" s="1882"/>
      <c r="D146" s="1602">
        <f t="shared" si="59"/>
        <v>0</v>
      </c>
      <c r="E146" s="1616"/>
      <c r="F146" s="2045">
        <v>0</v>
      </c>
      <c r="G146" s="1600">
        <f t="shared" si="53"/>
        <v>0</v>
      </c>
      <c r="H146" s="1619">
        <f t="shared" si="63"/>
        <v>0</v>
      </c>
      <c r="I146" s="1619">
        <f t="shared" si="63"/>
        <v>0</v>
      </c>
      <c r="J146" s="1600">
        <f t="shared" si="57"/>
        <v>0</v>
      </c>
      <c r="K146" s="1608"/>
      <c r="L146" s="1624"/>
      <c r="M146" s="1604">
        <f t="shared" si="60"/>
        <v>0</v>
      </c>
      <c r="N146" s="1881">
        <f t="shared" si="61"/>
        <v>0</v>
      </c>
      <c r="O146" s="1881">
        <f t="shared" si="62"/>
        <v>0</v>
      </c>
      <c r="P146" s="2169"/>
      <c r="Q146" s="2169"/>
      <c r="R146" s="1600">
        <f t="shared" si="54"/>
        <v>778086</v>
      </c>
      <c r="S146" s="1608">
        <v>0</v>
      </c>
      <c r="T146" s="1608">
        <v>778086</v>
      </c>
      <c r="U146" s="1600">
        <f t="shared" si="55"/>
        <v>0</v>
      </c>
      <c r="V146" s="1614"/>
      <c r="W146" s="1614"/>
      <c r="Y146" s="1423"/>
      <c r="Z146" s="1423"/>
    </row>
    <row r="147" spans="1:27" s="484" customFormat="1" ht="18.75" customHeight="1">
      <c r="A147" s="2170"/>
      <c r="B147" s="1609" t="s">
        <v>1798</v>
      </c>
      <c r="C147" s="1882"/>
      <c r="D147" s="1602">
        <f>SUM(E147:F147)</f>
        <v>30547.4</v>
      </c>
      <c r="E147" s="1616">
        <v>28705.4</v>
      </c>
      <c r="F147" s="2045">
        <v>1842</v>
      </c>
      <c r="G147" s="1600">
        <f>SUM(H147:I147)</f>
        <v>30547.4</v>
      </c>
      <c r="H147" s="1616">
        <f t="shared" si="63"/>
        <v>28705.4</v>
      </c>
      <c r="I147" s="1616">
        <f t="shared" si="63"/>
        <v>1842</v>
      </c>
      <c r="J147" s="1600">
        <f>SUM(K147:L147)</f>
        <v>0</v>
      </c>
      <c r="K147" s="1608"/>
      <c r="L147" s="1624"/>
      <c r="M147" s="1604">
        <f t="shared" si="60"/>
        <v>0</v>
      </c>
      <c r="N147" s="1881">
        <f t="shared" si="61"/>
        <v>0</v>
      </c>
      <c r="O147" s="1881">
        <f t="shared" si="62"/>
        <v>0</v>
      </c>
      <c r="P147" s="2169"/>
      <c r="Q147" s="2169"/>
      <c r="R147" s="1600"/>
      <c r="S147" s="1608"/>
      <c r="T147" s="1608"/>
      <c r="U147" s="1600"/>
      <c r="V147" s="1614"/>
      <c r="W147" s="1614"/>
      <c r="Y147" s="1423"/>
      <c r="Z147" s="1423"/>
    </row>
    <row r="148" spans="1:27" ht="49.5" customHeight="1">
      <c r="A148" s="2170">
        <f>A144+1</f>
        <v>33</v>
      </c>
      <c r="B148" s="1915" t="s">
        <v>697</v>
      </c>
      <c r="C148" s="2170"/>
      <c r="D148" s="1602">
        <f t="shared" si="59"/>
        <v>140743.5</v>
      </c>
      <c r="E148" s="1615">
        <f>E149+E150+E151</f>
        <v>122058.3</v>
      </c>
      <c r="F148" s="1615">
        <f>F149+F150+F151</f>
        <v>18685.2</v>
      </c>
      <c r="G148" s="1600">
        <f t="shared" si="53"/>
        <v>140743.5</v>
      </c>
      <c r="H148" s="1614">
        <f>H149+H150+H151</f>
        <v>122058.3</v>
      </c>
      <c r="I148" s="1614">
        <f>I149+I150+I151</f>
        <v>18685.2</v>
      </c>
      <c r="J148" s="1602">
        <f t="shared" si="57"/>
        <v>104625.2</v>
      </c>
      <c r="K148" s="1615">
        <f>K149+K150+K151</f>
        <v>98316.4</v>
      </c>
      <c r="L148" s="1615">
        <f>L149+L150+L151</f>
        <v>6308.8</v>
      </c>
      <c r="M148" s="1604">
        <f t="shared" si="60"/>
        <v>74.3</v>
      </c>
      <c r="N148" s="1881">
        <f t="shared" si="61"/>
        <v>80.5</v>
      </c>
      <c r="O148" s="1881">
        <f t="shared" si="62"/>
        <v>33.799999999999997</v>
      </c>
      <c r="P148" s="2169" t="s">
        <v>1192</v>
      </c>
      <c r="Q148" s="2169" t="s">
        <v>1658</v>
      </c>
      <c r="R148" s="1600">
        <f t="shared" si="54"/>
        <v>0</v>
      </c>
      <c r="S148" s="1614">
        <v>0</v>
      </c>
      <c r="T148" s="1614">
        <v>0</v>
      </c>
      <c r="U148" s="1600">
        <f t="shared" si="55"/>
        <v>0</v>
      </c>
      <c r="V148" s="1615">
        <v>0</v>
      </c>
      <c r="W148" s="1615">
        <v>0</v>
      </c>
      <c r="X148" s="1423">
        <f t="shared" ref="X148:X155" si="64">D148-G148</f>
        <v>0</v>
      </c>
      <c r="Y148" s="1423"/>
      <c r="Z148" s="1423"/>
    </row>
    <row r="149" spans="1:27" ht="23.25">
      <c r="A149" s="2170"/>
      <c r="B149" s="1609" t="s">
        <v>1620</v>
      </c>
      <c r="C149" s="2170"/>
      <c r="D149" s="1602">
        <f t="shared" si="59"/>
        <v>98852.6</v>
      </c>
      <c r="E149" s="1615">
        <v>92891.8</v>
      </c>
      <c r="F149" s="1615">
        <v>5960.8</v>
      </c>
      <c r="G149" s="1600">
        <f t="shared" ref="G149:G157" si="65">SUM(H149:I149)</f>
        <v>98852.6</v>
      </c>
      <c r="H149" s="1616">
        <f t="shared" ref="H149:I151" si="66">E149</f>
        <v>92891.8</v>
      </c>
      <c r="I149" s="1616">
        <f t="shared" si="66"/>
        <v>5960.8</v>
      </c>
      <c r="J149" s="1600">
        <f t="shared" si="57"/>
        <v>88177.5</v>
      </c>
      <c r="K149" s="1614">
        <v>82860.5</v>
      </c>
      <c r="L149" s="1614">
        <v>5317</v>
      </c>
      <c r="M149" s="1604">
        <f t="shared" si="60"/>
        <v>89.2</v>
      </c>
      <c r="N149" s="1881">
        <f t="shared" si="61"/>
        <v>89.2</v>
      </c>
      <c r="O149" s="1881">
        <f t="shared" si="62"/>
        <v>89.2</v>
      </c>
      <c r="P149" s="2169"/>
      <c r="Q149" s="2169"/>
      <c r="R149" s="1600"/>
      <c r="S149" s="1614"/>
      <c r="T149" s="1614"/>
      <c r="U149" s="1600"/>
      <c r="V149" s="1615"/>
      <c r="W149" s="1615"/>
      <c r="X149" s="1423">
        <f t="shared" si="64"/>
        <v>0</v>
      </c>
      <c r="Y149" s="1423"/>
      <c r="Z149" s="1423"/>
    </row>
    <row r="150" spans="1:27" ht="23.25">
      <c r="A150" s="2170"/>
      <c r="B150" s="1609" t="s">
        <v>1770</v>
      </c>
      <c r="C150" s="1882"/>
      <c r="D150" s="1602">
        <f t="shared" si="59"/>
        <v>31038.1</v>
      </c>
      <c r="E150" s="1616">
        <v>29166.5</v>
      </c>
      <c r="F150" s="2045">
        <v>1871.6</v>
      </c>
      <c r="G150" s="1600">
        <f t="shared" si="65"/>
        <v>31038.1</v>
      </c>
      <c r="H150" s="1616">
        <f t="shared" si="66"/>
        <v>29166.5</v>
      </c>
      <c r="I150" s="1616">
        <f t="shared" si="66"/>
        <v>1871.6</v>
      </c>
      <c r="J150" s="1600">
        <f t="shared" si="57"/>
        <v>16447.7</v>
      </c>
      <c r="K150" s="1608">
        <v>15455.9</v>
      </c>
      <c r="L150" s="1608">
        <v>991.8</v>
      </c>
      <c r="M150" s="1604">
        <f t="shared" si="60"/>
        <v>53</v>
      </c>
      <c r="N150" s="1881">
        <f t="shared" si="61"/>
        <v>53</v>
      </c>
      <c r="O150" s="1881">
        <f t="shared" si="62"/>
        <v>53</v>
      </c>
      <c r="P150" s="2169"/>
      <c r="Q150" s="2169"/>
      <c r="R150" s="1600">
        <f>S150+T150</f>
        <v>0</v>
      </c>
      <c r="S150" s="1608">
        <v>0</v>
      </c>
      <c r="T150" s="1608">
        <v>0</v>
      </c>
      <c r="U150" s="1600">
        <f>V150+W150</f>
        <v>0</v>
      </c>
      <c r="V150" s="1614"/>
      <c r="W150" s="1614"/>
      <c r="X150" s="1423">
        <f t="shared" si="64"/>
        <v>0</v>
      </c>
      <c r="Y150" s="1423"/>
      <c r="Z150" s="1423"/>
    </row>
    <row r="151" spans="1:27" ht="23.25">
      <c r="A151" s="2170"/>
      <c r="B151" s="1609" t="s">
        <v>1621</v>
      </c>
      <c r="C151" s="2170"/>
      <c r="D151" s="1602">
        <f t="shared" si="59"/>
        <v>10852.8</v>
      </c>
      <c r="E151" s="1615">
        <v>0</v>
      </c>
      <c r="F151" s="1615">
        <v>10852.8</v>
      </c>
      <c r="G151" s="1600">
        <f t="shared" si="65"/>
        <v>10852.8</v>
      </c>
      <c r="H151" s="1616">
        <f t="shared" si="66"/>
        <v>0</v>
      </c>
      <c r="I151" s="1616">
        <f t="shared" si="66"/>
        <v>10852.8</v>
      </c>
      <c r="J151" s="1600">
        <f t="shared" si="57"/>
        <v>0</v>
      </c>
      <c r="K151" s="1614">
        <v>0</v>
      </c>
      <c r="L151" s="1614">
        <v>0</v>
      </c>
      <c r="M151" s="1604">
        <f t="shared" si="60"/>
        <v>0</v>
      </c>
      <c r="N151" s="1881">
        <f t="shared" si="61"/>
        <v>0</v>
      </c>
      <c r="O151" s="1881">
        <f t="shared" si="62"/>
        <v>0</v>
      </c>
      <c r="P151" s="2169"/>
      <c r="Q151" s="2169"/>
      <c r="R151" s="1600"/>
      <c r="S151" s="1614"/>
      <c r="T151" s="1614"/>
      <c r="U151" s="1600"/>
      <c r="V151" s="1615"/>
      <c r="W151" s="1615"/>
      <c r="X151" s="1423">
        <f t="shared" si="64"/>
        <v>0</v>
      </c>
      <c r="Y151" s="1423"/>
      <c r="Z151" s="1423"/>
    </row>
    <row r="152" spans="1:27" ht="78.75" customHeight="1">
      <c r="A152" s="2170">
        <f>A148+1</f>
        <v>34</v>
      </c>
      <c r="B152" s="1915" t="s">
        <v>942</v>
      </c>
      <c r="C152" s="2170"/>
      <c r="D152" s="1602">
        <f t="shared" si="59"/>
        <v>219861.4</v>
      </c>
      <c r="E152" s="1615">
        <f>E153+E154</f>
        <v>206603.8</v>
      </c>
      <c r="F152" s="1615">
        <f>F153+F154</f>
        <v>13257.6</v>
      </c>
      <c r="G152" s="1600">
        <f t="shared" si="65"/>
        <v>219861.4</v>
      </c>
      <c r="H152" s="1614">
        <f>H153+H154</f>
        <v>206603.8</v>
      </c>
      <c r="I152" s="1614">
        <f>I153+I154</f>
        <v>13257.6</v>
      </c>
      <c r="J152" s="1602">
        <f t="shared" si="57"/>
        <v>196909.3</v>
      </c>
      <c r="K152" s="1614">
        <f>K153+K154</f>
        <v>185035.7</v>
      </c>
      <c r="L152" s="1615">
        <f>L153+L154</f>
        <v>11873.6</v>
      </c>
      <c r="M152" s="1604">
        <f t="shared" si="60"/>
        <v>89.6</v>
      </c>
      <c r="N152" s="1881">
        <f t="shared" si="61"/>
        <v>89.6</v>
      </c>
      <c r="O152" s="1881">
        <f t="shared" si="62"/>
        <v>89.6</v>
      </c>
      <c r="P152" s="2169" t="s">
        <v>1192</v>
      </c>
      <c r="Q152" s="2169" t="s">
        <v>1279</v>
      </c>
      <c r="R152" s="1600">
        <f>S152+T152</f>
        <v>0</v>
      </c>
      <c r="S152" s="1614">
        <v>0</v>
      </c>
      <c r="T152" s="1614">
        <v>0</v>
      </c>
      <c r="U152" s="1600">
        <f>V152+W152</f>
        <v>0</v>
      </c>
      <c r="V152" s="1615">
        <v>0</v>
      </c>
      <c r="W152" s="1615">
        <v>0</v>
      </c>
      <c r="X152" s="1423">
        <f t="shared" si="64"/>
        <v>0</v>
      </c>
      <c r="Y152" s="1423"/>
      <c r="Z152" s="1423"/>
    </row>
    <row r="153" spans="1:27" ht="23.25">
      <c r="A153" s="2170"/>
      <c r="B153" s="1609" t="s">
        <v>1620</v>
      </c>
      <c r="C153" s="2170"/>
      <c r="D153" s="1602">
        <f t="shared" si="59"/>
        <v>201856.9</v>
      </c>
      <c r="E153" s="1615">
        <v>189685</v>
      </c>
      <c r="F153" s="1615">
        <v>12171.9</v>
      </c>
      <c r="G153" s="1600">
        <f t="shared" si="65"/>
        <v>201856.9</v>
      </c>
      <c r="H153" s="1616">
        <f>E153</f>
        <v>189685</v>
      </c>
      <c r="I153" s="1616">
        <f>F153</f>
        <v>12171.9</v>
      </c>
      <c r="J153" s="1600">
        <f t="shared" ref="J153:J157" si="67">SUM(K153:L153)</f>
        <v>190626.3</v>
      </c>
      <c r="K153" s="1614">
        <v>179131.6</v>
      </c>
      <c r="L153" s="1614">
        <v>11494.7</v>
      </c>
      <c r="M153" s="1604">
        <f t="shared" si="60"/>
        <v>94.4</v>
      </c>
      <c r="N153" s="1881">
        <f t="shared" si="61"/>
        <v>94.4</v>
      </c>
      <c r="O153" s="1881">
        <f t="shared" si="62"/>
        <v>94.4</v>
      </c>
      <c r="P153" s="2169"/>
      <c r="Q153" s="2169"/>
      <c r="R153" s="1600"/>
      <c r="S153" s="1614"/>
      <c r="T153" s="1614"/>
      <c r="U153" s="1600"/>
      <c r="V153" s="1615"/>
      <c r="W153" s="1615"/>
      <c r="X153" s="1423">
        <f t="shared" si="64"/>
        <v>0</v>
      </c>
      <c r="Y153" s="1423"/>
      <c r="Z153" s="1423"/>
    </row>
    <row r="154" spans="1:27" ht="23.25">
      <c r="A154" s="2170"/>
      <c r="B154" s="1609" t="s">
        <v>1770</v>
      </c>
      <c r="C154" s="1882"/>
      <c r="D154" s="1602">
        <f t="shared" si="59"/>
        <v>18004.5</v>
      </c>
      <c r="E154" s="1616">
        <v>16918.8</v>
      </c>
      <c r="F154" s="2045">
        <v>1085.7</v>
      </c>
      <c r="G154" s="1600">
        <f t="shared" si="65"/>
        <v>18004.5</v>
      </c>
      <c r="H154" s="1616">
        <f>E154</f>
        <v>16918.8</v>
      </c>
      <c r="I154" s="1616">
        <f>F154</f>
        <v>1085.7</v>
      </c>
      <c r="J154" s="1600">
        <f t="shared" si="67"/>
        <v>6283</v>
      </c>
      <c r="K154" s="1608">
        <v>5904.1</v>
      </c>
      <c r="L154" s="1608">
        <v>378.9</v>
      </c>
      <c r="M154" s="1604">
        <f t="shared" si="60"/>
        <v>34.9</v>
      </c>
      <c r="N154" s="1881">
        <f t="shared" si="61"/>
        <v>34.9</v>
      </c>
      <c r="O154" s="1881">
        <f t="shared" si="62"/>
        <v>34.9</v>
      </c>
      <c r="P154" s="2169"/>
      <c r="Q154" s="2169"/>
      <c r="R154" s="1600">
        <f>S154+T154</f>
        <v>0</v>
      </c>
      <c r="S154" s="1608">
        <v>0</v>
      </c>
      <c r="T154" s="1608">
        <v>0</v>
      </c>
      <c r="U154" s="1600">
        <f>V154+W154</f>
        <v>0</v>
      </c>
      <c r="V154" s="1614"/>
      <c r="W154" s="1614"/>
      <c r="X154" s="1423">
        <f t="shared" si="64"/>
        <v>0</v>
      </c>
      <c r="Y154" s="1423"/>
      <c r="Z154" s="1423"/>
    </row>
    <row r="155" spans="1:27" ht="82.5" customHeight="1">
      <c r="A155" s="2170">
        <f>A152+1</f>
        <v>35</v>
      </c>
      <c r="B155" s="1915" t="s">
        <v>1635</v>
      </c>
      <c r="C155" s="2170"/>
      <c r="D155" s="1602">
        <f t="shared" si="59"/>
        <v>244.8</v>
      </c>
      <c r="E155" s="1615">
        <f>E156+E157</f>
        <v>230.1</v>
      </c>
      <c r="F155" s="1615">
        <f>F156+F157</f>
        <v>14.7</v>
      </c>
      <c r="G155" s="1600">
        <f t="shared" si="65"/>
        <v>244.8</v>
      </c>
      <c r="H155" s="1614">
        <f>H156+H157</f>
        <v>230.1</v>
      </c>
      <c r="I155" s="1614">
        <f>I156+I157</f>
        <v>14.7</v>
      </c>
      <c r="J155" s="1602">
        <f t="shared" si="67"/>
        <v>0</v>
      </c>
      <c r="K155" s="1615">
        <f>K156+K157</f>
        <v>0</v>
      </c>
      <c r="L155" s="1615">
        <f>L156+L157</f>
        <v>0</v>
      </c>
      <c r="M155" s="1604">
        <f t="shared" si="60"/>
        <v>0</v>
      </c>
      <c r="N155" s="1881">
        <f t="shared" si="61"/>
        <v>0</v>
      </c>
      <c r="O155" s="1881">
        <f t="shared" si="62"/>
        <v>0</v>
      </c>
      <c r="P155" s="2169" t="s">
        <v>1192</v>
      </c>
      <c r="Q155" s="2169" t="s">
        <v>1279</v>
      </c>
      <c r="R155" s="1600">
        <f>S155+T155</f>
        <v>0</v>
      </c>
      <c r="S155" s="1614">
        <v>0</v>
      </c>
      <c r="T155" s="1614">
        <v>0</v>
      </c>
      <c r="U155" s="1600">
        <f>V155+W155</f>
        <v>0</v>
      </c>
      <c r="V155" s="1615">
        <v>0</v>
      </c>
      <c r="W155" s="1615">
        <v>0</v>
      </c>
      <c r="X155" s="1423">
        <f t="shared" si="64"/>
        <v>0</v>
      </c>
      <c r="Y155" s="1423"/>
      <c r="Z155" s="1423"/>
    </row>
    <row r="156" spans="1:27" ht="23.25">
      <c r="A156" s="2170"/>
      <c r="B156" s="1609" t="s">
        <v>1620</v>
      </c>
      <c r="C156" s="2170"/>
      <c r="D156" s="1602">
        <f t="shared" si="59"/>
        <v>0</v>
      </c>
      <c r="E156" s="1615">
        <v>0</v>
      </c>
      <c r="F156" s="1615">
        <v>0</v>
      </c>
      <c r="G156" s="1600">
        <f t="shared" si="65"/>
        <v>0</v>
      </c>
      <c r="H156" s="1616">
        <f>E156</f>
        <v>0</v>
      </c>
      <c r="I156" s="1616">
        <f>F156</f>
        <v>0</v>
      </c>
      <c r="J156" s="1600">
        <f t="shared" si="67"/>
        <v>0</v>
      </c>
      <c r="K156" s="1614"/>
      <c r="L156" s="1614"/>
      <c r="M156" s="1604">
        <f t="shared" si="60"/>
        <v>0</v>
      </c>
      <c r="N156" s="1881">
        <f t="shared" si="61"/>
        <v>0</v>
      </c>
      <c r="O156" s="1881">
        <f t="shared" si="62"/>
        <v>0</v>
      </c>
      <c r="P156" s="2169"/>
      <c r="Q156" s="2169"/>
      <c r="R156" s="1600"/>
      <c r="S156" s="1614"/>
      <c r="T156" s="1614"/>
      <c r="U156" s="1600"/>
      <c r="V156" s="1615"/>
      <c r="W156" s="1615"/>
      <c r="X156" s="1423">
        <f>D156-G156</f>
        <v>0</v>
      </c>
      <c r="Y156" s="1423"/>
      <c r="Z156" s="1423"/>
    </row>
    <row r="157" spans="1:27" ht="23.25">
      <c r="A157" s="2170"/>
      <c r="B157" s="1609" t="s">
        <v>1770</v>
      </c>
      <c r="C157" s="1882"/>
      <c r="D157" s="1602">
        <f t="shared" si="59"/>
        <v>244.8</v>
      </c>
      <c r="E157" s="1616">
        <v>230.1</v>
      </c>
      <c r="F157" s="2045">
        <v>14.7</v>
      </c>
      <c r="G157" s="1600">
        <f t="shared" si="65"/>
        <v>244.8</v>
      </c>
      <c r="H157" s="1616">
        <f>E157</f>
        <v>230.1</v>
      </c>
      <c r="I157" s="1616">
        <f>F157</f>
        <v>14.7</v>
      </c>
      <c r="J157" s="1600">
        <f t="shared" si="67"/>
        <v>0</v>
      </c>
      <c r="K157" s="1608"/>
      <c r="L157" s="1624"/>
      <c r="M157" s="1604">
        <f t="shared" si="60"/>
        <v>0</v>
      </c>
      <c r="N157" s="1881">
        <f t="shared" si="61"/>
        <v>0</v>
      </c>
      <c r="O157" s="1881">
        <f t="shared" si="62"/>
        <v>0</v>
      </c>
      <c r="P157" s="2169"/>
      <c r="Q157" s="2169"/>
      <c r="R157" s="1600">
        <f>S157+T157</f>
        <v>0</v>
      </c>
      <c r="S157" s="1608">
        <v>0</v>
      </c>
      <c r="T157" s="1608">
        <v>0</v>
      </c>
      <c r="U157" s="1600">
        <f>V157+W157</f>
        <v>0</v>
      </c>
      <c r="V157" s="1614"/>
      <c r="W157" s="1614"/>
      <c r="X157" s="1423">
        <f>D157-G157</f>
        <v>0</v>
      </c>
      <c r="Y157" s="1423"/>
      <c r="Z157" s="1423"/>
    </row>
    <row r="158" spans="1:27" s="484" customFormat="1" ht="45.75" hidden="1" customHeight="1">
      <c r="A158" s="2170">
        <v>117</v>
      </c>
      <c r="B158" s="1912" t="s">
        <v>1712</v>
      </c>
      <c r="C158" s="1913" t="s">
        <v>1546</v>
      </c>
      <c r="D158" s="1600">
        <f t="shared" si="59"/>
        <v>0</v>
      </c>
      <c r="E158" s="1608"/>
      <c r="F158" s="1608">
        <v>0</v>
      </c>
      <c r="G158" s="1600">
        <f t="shared" si="53"/>
        <v>0</v>
      </c>
      <c r="H158" s="1608"/>
      <c r="I158" s="1608">
        <v>0</v>
      </c>
      <c r="J158" s="1600">
        <f t="shared" ref="J158" si="68">SUM(K158:L158)</f>
        <v>0</v>
      </c>
      <c r="K158" s="1608"/>
      <c r="L158" s="1608"/>
      <c r="M158" s="1604">
        <f t="shared" si="60"/>
        <v>0</v>
      </c>
      <c r="N158" s="1881">
        <f t="shared" si="61"/>
        <v>0</v>
      </c>
      <c r="O158" s="1881">
        <f t="shared" si="62"/>
        <v>0</v>
      </c>
      <c r="P158" s="2169" t="s">
        <v>1291</v>
      </c>
      <c r="Q158" s="2169" t="s">
        <v>1241</v>
      </c>
      <c r="R158" s="1600">
        <f t="shared" ref="R158" si="69">SUM(S158:T158)</f>
        <v>0</v>
      </c>
      <c r="S158" s="1608">
        <v>0</v>
      </c>
      <c r="T158" s="1608">
        <v>0</v>
      </c>
      <c r="U158" s="1600">
        <f t="shared" ref="U158" si="70">SUM(V158:W158)</f>
        <v>0</v>
      </c>
      <c r="V158" s="1608">
        <v>0</v>
      </c>
      <c r="W158" s="1608">
        <v>0</v>
      </c>
      <c r="Y158" s="1423"/>
      <c r="Z158" s="1423"/>
    </row>
    <row r="159" spans="1:27" ht="225" hidden="1" customHeight="1">
      <c r="A159" s="1946" t="s">
        <v>1671</v>
      </c>
      <c r="B159" s="1888" t="s">
        <v>1669</v>
      </c>
      <c r="C159" s="2170" t="s">
        <v>1549</v>
      </c>
      <c r="D159" s="1600">
        <f t="shared" si="59"/>
        <v>0</v>
      </c>
      <c r="E159" s="1614"/>
      <c r="F159" s="1614"/>
      <c r="G159" s="1600">
        <f t="shared" si="53"/>
        <v>0</v>
      </c>
      <c r="H159" s="1614"/>
      <c r="I159" s="1614"/>
      <c r="J159" s="1600">
        <f>SUM(K159:L159)</f>
        <v>0</v>
      </c>
      <c r="K159" s="1614"/>
      <c r="L159" s="1614"/>
      <c r="M159" s="1604">
        <f t="shared" si="60"/>
        <v>0</v>
      </c>
      <c r="N159" s="1881">
        <f t="shared" si="61"/>
        <v>0</v>
      </c>
      <c r="O159" s="1881">
        <f t="shared" si="62"/>
        <v>0</v>
      </c>
      <c r="P159" s="2169" t="s">
        <v>1192</v>
      </c>
      <c r="Q159" s="2169" t="s">
        <v>1160</v>
      </c>
      <c r="R159" s="1600">
        <f>SUM(S159:T159)</f>
        <v>20985.5</v>
      </c>
      <c r="S159" s="1614">
        <v>0</v>
      </c>
      <c r="T159" s="1614">
        <v>20985.5</v>
      </c>
      <c r="U159" s="1600">
        <f>SUM(V159:W159)</f>
        <v>0</v>
      </c>
      <c r="V159" s="1614">
        <v>0</v>
      </c>
      <c r="W159" s="1614">
        <v>0</v>
      </c>
      <c r="Y159" s="1423"/>
      <c r="Z159" s="1423"/>
    </row>
    <row r="160" spans="1:27" s="791" customFormat="1" ht="46.5" customHeight="1">
      <c r="A160" s="2178" t="s">
        <v>3</v>
      </c>
      <c r="B160" s="2155" t="s">
        <v>1828</v>
      </c>
      <c r="C160" s="2151"/>
      <c r="D160" s="2152">
        <f t="shared" si="59"/>
        <v>822567.9</v>
      </c>
      <c r="E160" s="2152">
        <f>SUM(E161:E168)</f>
        <v>704256.2</v>
      </c>
      <c r="F160" s="2152">
        <f>SUM(F161:F168)</f>
        <v>118311.7</v>
      </c>
      <c r="G160" s="2152">
        <f t="shared" ref="G160" si="71">SUM(H160:I160)</f>
        <v>593780.4</v>
      </c>
      <c r="H160" s="2152">
        <f>SUM(H161:H168)</f>
        <v>558147.5</v>
      </c>
      <c r="I160" s="2152">
        <f>SUM(I161:I168)</f>
        <v>35632.9</v>
      </c>
      <c r="J160" s="2152">
        <f t="shared" ref="J160" si="72">SUM(K160:L160)</f>
        <v>420570.3</v>
      </c>
      <c r="K160" s="2152">
        <f>SUM(K161:K168)</f>
        <v>395333</v>
      </c>
      <c r="L160" s="2152">
        <f>SUM(L161:L168)</f>
        <v>25237.3</v>
      </c>
      <c r="M160" s="2153">
        <f t="shared" si="60"/>
        <v>70.8</v>
      </c>
      <c r="N160" s="2154">
        <f t="shared" si="61"/>
        <v>70.8</v>
      </c>
      <c r="O160" s="2154">
        <f t="shared" si="62"/>
        <v>70.8</v>
      </c>
      <c r="P160" s="1940"/>
      <c r="Q160" s="2169" t="s">
        <v>1104</v>
      </c>
      <c r="R160" s="1594" t="e">
        <f t="shared" ref="R160" si="73">SUM(S160:T160)</f>
        <v>#REF!</v>
      </c>
      <c r="S160" s="1594" t="e">
        <f>SUM(#REF!,#REF!)</f>
        <v>#REF!</v>
      </c>
      <c r="T160" s="1594" t="e">
        <f>SUM(#REF!,#REF!)</f>
        <v>#REF!</v>
      </c>
      <c r="U160" s="1594" t="e">
        <f t="shared" ref="U160" si="74">SUM(V160:W160)</f>
        <v>#REF!</v>
      </c>
      <c r="V160" s="1594" t="e">
        <f>SUM(#REF!,#REF!)</f>
        <v>#REF!</v>
      </c>
      <c r="W160" s="1594" t="e">
        <f>SUM(#REF!,#REF!)</f>
        <v>#REF!</v>
      </c>
      <c r="X160" s="1423">
        <f t="shared" ref="X160:X168" si="75">D160-G160</f>
        <v>228787.5</v>
      </c>
      <c r="Y160" s="1423"/>
      <c r="Z160" s="1423"/>
      <c r="AA160" s="1423"/>
    </row>
    <row r="161" spans="1:26" s="1570" customFormat="1" ht="23.25">
      <c r="A161" s="2170"/>
      <c r="B161" s="1879" t="s">
        <v>1780</v>
      </c>
      <c r="C161" s="2053"/>
      <c r="D161" s="1600">
        <f>SUM(E161:F161)</f>
        <v>228787.5</v>
      </c>
      <c r="E161" s="1631">
        <f>146108.668</f>
        <v>146108.70000000001</v>
      </c>
      <c r="F161" s="1631">
        <f>82678.79</f>
        <v>82678.8</v>
      </c>
      <c r="G161" s="1602">
        <f>SUM(H161:I161)</f>
        <v>0</v>
      </c>
      <c r="H161" s="1631"/>
      <c r="I161" s="1629"/>
      <c r="J161" s="1602">
        <f>SUM(K161:L161)</f>
        <v>0</v>
      </c>
      <c r="K161" s="1629"/>
      <c r="L161" s="1629"/>
      <c r="M161" s="1604">
        <f t="shared" si="60"/>
        <v>0</v>
      </c>
      <c r="N161" s="1881">
        <f t="shared" si="61"/>
        <v>0</v>
      </c>
      <c r="O161" s="1881">
        <f t="shared" si="62"/>
        <v>0</v>
      </c>
      <c r="P161" s="2054"/>
      <c r="Q161" s="507"/>
      <c r="R161" s="1602"/>
      <c r="S161" s="2019"/>
      <c r="T161" s="2019"/>
      <c r="U161" s="1602"/>
      <c r="V161" s="2019"/>
      <c r="W161" s="2019"/>
      <c r="X161" s="1423"/>
      <c r="Y161" s="1423"/>
      <c r="Z161" s="1423"/>
    </row>
    <row r="162" spans="1:26" ht="45" customHeight="1">
      <c r="A162" s="2170">
        <f>A155+1</f>
        <v>36</v>
      </c>
      <c r="B162" s="1879" t="s">
        <v>1497</v>
      </c>
      <c r="C162" s="1880" t="s">
        <v>1543</v>
      </c>
      <c r="D162" s="1600">
        <f t="shared" ref="D162:D168" si="76">SUM(E162:F162)</f>
        <v>10016.1</v>
      </c>
      <c r="E162" s="1631">
        <f>5203.864+4211.085</f>
        <v>9414.9</v>
      </c>
      <c r="F162" s="1629">
        <f>332.444+268.792</f>
        <v>601.20000000000005</v>
      </c>
      <c r="G162" s="1602">
        <f t="shared" si="53"/>
        <v>10016.1</v>
      </c>
      <c r="H162" s="1631">
        <f>E162</f>
        <v>9414.9</v>
      </c>
      <c r="I162" s="1631">
        <f>F162</f>
        <v>601.20000000000005</v>
      </c>
      <c r="J162" s="1602">
        <f t="shared" ref="J162:J168" si="77">SUM(K162:L162)</f>
        <v>9151.1</v>
      </c>
      <c r="K162" s="1629">
        <f>4390.677+4211.085</f>
        <v>8601.7999999999993</v>
      </c>
      <c r="L162" s="1629">
        <f>280.494+268.792</f>
        <v>549.29999999999995</v>
      </c>
      <c r="M162" s="1604">
        <f t="shared" si="60"/>
        <v>91.4</v>
      </c>
      <c r="N162" s="1881">
        <f t="shared" si="61"/>
        <v>91.4</v>
      </c>
      <c r="O162" s="1881">
        <f t="shared" si="62"/>
        <v>91.4</v>
      </c>
      <c r="P162" s="1940"/>
      <c r="Q162" s="2169"/>
      <c r="R162" s="1600">
        <f t="shared" ref="R162:R168" si="78">SUM(S162:T162)</f>
        <v>0</v>
      </c>
      <c r="S162" s="1631">
        <v>0</v>
      </c>
      <c r="T162" s="1629">
        <v>0</v>
      </c>
      <c r="U162" s="1600">
        <f t="shared" ref="U162:U168" si="79">SUM(V162:W162)</f>
        <v>0</v>
      </c>
      <c r="V162" s="1631">
        <v>0</v>
      </c>
      <c r="W162" s="1629">
        <v>0</v>
      </c>
      <c r="X162" s="1423">
        <f t="shared" si="75"/>
        <v>0</v>
      </c>
      <c r="Y162" s="1423"/>
      <c r="Z162" s="1423"/>
    </row>
    <row r="163" spans="1:26" ht="39.75" customHeight="1">
      <c r="A163" s="2170">
        <f t="shared" ref="A163:A168" si="80">A162+1</f>
        <v>37</v>
      </c>
      <c r="B163" s="1879" t="s">
        <v>1498</v>
      </c>
      <c r="C163" s="1880" t="s">
        <v>1543</v>
      </c>
      <c r="D163" s="1600">
        <f t="shared" si="76"/>
        <v>14296.6</v>
      </c>
      <c r="E163" s="1631">
        <f>9912.284+3525.973</f>
        <v>13438.3</v>
      </c>
      <c r="F163" s="1629">
        <f>633.238+225.062</f>
        <v>858.3</v>
      </c>
      <c r="G163" s="1602">
        <f t="shared" si="53"/>
        <v>14296.6</v>
      </c>
      <c r="H163" s="1631">
        <f t="shared" ref="H163:I168" si="81">E163</f>
        <v>13438.3</v>
      </c>
      <c r="I163" s="1631">
        <f t="shared" si="81"/>
        <v>858.3</v>
      </c>
      <c r="J163" s="1602">
        <f t="shared" si="77"/>
        <v>12143.7</v>
      </c>
      <c r="K163" s="1629">
        <f>7888.74+3525.973</f>
        <v>11414.7</v>
      </c>
      <c r="L163" s="1629">
        <f>503.965+225.062</f>
        <v>729</v>
      </c>
      <c r="M163" s="1604">
        <f t="shared" si="60"/>
        <v>84.9</v>
      </c>
      <c r="N163" s="1881">
        <f t="shared" si="61"/>
        <v>84.9</v>
      </c>
      <c r="O163" s="1881">
        <f t="shared" si="62"/>
        <v>84.9</v>
      </c>
      <c r="P163" s="1940"/>
      <c r="Q163" s="2169"/>
      <c r="R163" s="1600">
        <f t="shared" si="78"/>
        <v>0</v>
      </c>
      <c r="S163" s="1631">
        <v>0</v>
      </c>
      <c r="T163" s="1629">
        <v>0</v>
      </c>
      <c r="U163" s="1600">
        <f t="shared" si="79"/>
        <v>0</v>
      </c>
      <c r="V163" s="1631">
        <v>0</v>
      </c>
      <c r="W163" s="1629">
        <v>0</v>
      </c>
      <c r="X163" s="1423">
        <f t="shared" si="75"/>
        <v>0</v>
      </c>
      <c r="Y163" s="1423"/>
      <c r="Z163" s="1423"/>
    </row>
    <row r="164" spans="1:26" ht="57" customHeight="1">
      <c r="A164" s="2170">
        <f t="shared" si="80"/>
        <v>38</v>
      </c>
      <c r="B164" s="1879" t="s">
        <v>1499</v>
      </c>
      <c r="C164" s="1880" t="s">
        <v>1543</v>
      </c>
      <c r="D164" s="1600">
        <f t="shared" si="76"/>
        <v>50668.2</v>
      </c>
      <c r="E164" s="1629">
        <v>47625.599999999999</v>
      </c>
      <c r="F164" s="1629">
        <v>3042.6</v>
      </c>
      <c r="G164" s="1602">
        <f t="shared" si="53"/>
        <v>50668.2</v>
      </c>
      <c r="H164" s="1631">
        <f t="shared" si="81"/>
        <v>47625.599999999999</v>
      </c>
      <c r="I164" s="1631">
        <f t="shared" si="81"/>
        <v>3042.6</v>
      </c>
      <c r="J164" s="1602">
        <f t="shared" si="77"/>
        <v>20460.099999999999</v>
      </c>
      <c r="K164" s="1629">
        <v>19231.599999999999</v>
      </c>
      <c r="L164" s="1629">
        <v>1228.5</v>
      </c>
      <c r="M164" s="1604">
        <f t="shared" si="60"/>
        <v>40.4</v>
      </c>
      <c r="N164" s="1881">
        <f t="shared" si="61"/>
        <v>40.4</v>
      </c>
      <c r="O164" s="1881">
        <f t="shared" si="62"/>
        <v>40.4</v>
      </c>
      <c r="P164" s="1940"/>
      <c r="Q164" s="2169"/>
      <c r="R164" s="1600">
        <f t="shared" si="78"/>
        <v>0</v>
      </c>
      <c r="S164" s="1631">
        <v>0</v>
      </c>
      <c r="T164" s="1629">
        <v>0</v>
      </c>
      <c r="U164" s="1600">
        <f t="shared" si="79"/>
        <v>0</v>
      </c>
      <c r="V164" s="1631">
        <v>0</v>
      </c>
      <c r="W164" s="1629">
        <v>0</v>
      </c>
      <c r="X164" s="1423">
        <f t="shared" si="75"/>
        <v>0</v>
      </c>
      <c r="Y164" s="1423"/>
      <c r="Z164" s="1423"/>
    </row>
    <row r="165" spans="1:26" ht="58.5" customHeight="1">
      <c r="A165" s="2170">
        <f t="shared" si="80"/>
        <v>39</v>
      </c>
      <c r="B165" s="1879" t="s">
        <v>1500</v>
      </c>
      <c r="C165" s="1880" t="s">
        <v>1543</v>
      </c>
      <c r="D165" s="1600">
        <f t="shared" si="76"/>
        <v>21886.1</v>
      </c>
      <c r="E165" s="1629">
        <f>18629.848+1942.2</f>
        <v>20572</v>
      </c>
      <c r="F165" s="1629">
        <f>1190.152+123.97</f>
        <v>1314.1</v>
      </c>
      <c r="G165" s="1602">
        <f t="shared" si="53"/>
        <v>21886.1</v>
      </c>
      <c r="H165" s="1631">
        <f t="shared" si="81"/>
        <v>20572</v>
      </c>
      <c r="I165" s="1631">
        <f t="shared" si="81"/>
        <v>1314.1</v>
      </c>
      <c r="J165" s="1602">
        <f t="shared" si="77"/>
        <v>17416.099999999999</v>
      </c>
      <c r="K165" s="1629">
        <f>14428.18+1942.2</f>
        <v>16370.4</v>
      </c>
      <c r="L165" s="1629">
        <f>921.732+123.97</f>
        <v>1045.7</v>
      </c>
      <c r="M165" s="1604">
        <f t="shared" si="60"/>
        <v>79.599999999999994</v>
      </c>
      <c r="N165" s="1881">
        <f t="shared" si="61"/>
        <v>79.599999999999994</v>
      </c>
      <c r="O165" s="1881">
        <f t="shared" si="62"/>
        <v>79.599999999999994</v>
      </c>
      <c r="P165" s="1940"/>
      <c r="Q165" s="2169"/>
      <c r="R165" s="1600">
        <f t="shared" si="78"/>
        <v>0</v>
      </c>
      <c r="S165" s="1631">
        <v>0</v>
      </c>
      <c r="T165" s="1629">
        <v>0</v>
      </c>
      <c r="U165" s="1600">
        <f t="shared" si="79"/>
        <v>0</v>
      </c>
      <c r="V165" s="1631">
        <v>0</v>
      </c>
      <c r="W165" s="1629">
        <v>0</v>
      </c>
      <c r="X165" s="1423">
        <f t="shared" si="75"/>
        <v>0</v>
      </c>
      <c r="Y165" s="1423"/>
      <c r="Z165" s="1423"/>
    </row>
    <row r="166" spans="1:26" ht="63.75" customHeight="1">
      <c r="A166" s="2170">
        <f t="shared" si="80"/>
        <v>40</v>
      </c>
      <c r="B166" s="1879" t="s">
        <v>1501</v>
      </c>
      <c r="C166" s="1880" t="s">
        <v>1505</v>
      </c>
      <c r="D166" s="1600">
        <f t="shared" si="76"/>
        <v>38330.1</v>
      </c>
      <c r="E166" s="1629">
        <v>36028.400000000001</v>
      </c>
      <c r="F166" s="1629">
        <v>2301.6999999999998</v>
      </c>
      <c r="G166" s="1602">
        <f t="shared" ref="G166:G168" si="82">SUM(H166:I166)</f>
        <v>38330.1</v>
      </c>
      <c r="H166" s="1631">
        <f t="shared" si="81"/>
        <v>36028.400000000001</v>
      </c>
      <c r="I166" s="1631">
        <f t="shared" si="81"/>
        <v>2301.6999999999998</v>
      </c>
      <c r="J166" s="1602">
        <f t="shared" si="77"/>
        <v>17290.8</v>
      </c>
      <c r="K166" s="1629">
        <v>16252.5</v>
      </c>
      <c r="L166" s="1629">
        <v>1038.3</v>
      </c>
      <c r="M166" s="1604">
        <f t="shared" si="60"/>
        <v>45.1</v>
      </c>
      <c r="N166" s="1881">
        <f t="shared" si="61"/>
        <v>45.1</v>
      </c>
      <c r="O166" s="1881">
        <f t="shared" si="62"/>
        <v>45.1</v>
      </c>
      <c r="P166" s="1940"/>
      <c r="Q166" s="2169"/>
      <c r="R166" s="1600">
        <f t="shared" si="78"/>
        <v>0</v>
      </c>
      <c r="S166" s="1631">
        <v>0</v>
      </c>
      <c r="T166" s="1629">
        <v>0</v>
      </c>
      <c r="U166" s="1600">
        <f t="shared" si="79"/>
        <v>0</v>
      </c>
      <c r="V166" s="1631">
        <v>0</v>
      </c>
      <c r="W166" s="1629">
        <v>0</v>
      </c>
      <c r="X166" s="1423">
        <f t="shared" si="75"/>
        <v>0</v>
      </c>
      <c r="Y166" s="1423"/>
      <c r="Z166" s="1423"/>
    </row>
    <row r="167" spans="1:26" ht="48" customHeight="1">
      <c r="A167" s="2170">
        <f t="shared" si="80"/>
        <v>41</v>
      </c>
      <c r="B167" s="1879" t="s">
        <v>1502</v>
      </c>
      <c r="C167" s="1880" t="s">
        <v>1542</v>
      </c>
      <c r="D167" s="1600">
        <f t="shared" si="76"/>
        <v>98583.3</v>
      </c>
      <c r="E167" s="1629">
        <f>74778.815+17889.455</f>
        <v>92668.3</v>
      </c>
      <c r="F167" s="1629">
        <f>4773.164+1141.88</f>
        <v>5915</v>
      </c>
      <c r="G167" s="1602">
        <f t="shared" si="82"/>
        <v>98583.3</v>
      </c>
      <c r="H167" s="1631">
        <f t="shared" si="81"/>
        <v>92668.3</v>
      </c>
      <c r="I167" s="1631">
        <f t="shared" si="81"/>
        <v>5915</v>
      </c>
      <c r="J167" s="1602">
        <f t="shared" si="77"/>
        <v>93523.4</v>
      </c>
      <c r="K167" s="1629">
        <f>70022.512+17889.455</f>
        <v>87912</v>
      </c>
      <c r="L167" s="1629">
        <f>4469.522+1141.88</f>
        <v>5611.4</v>
      </c>
      <c r="M167" s="1604">
        <f t="shared" si="60"/>
        <v>94.9</v>
      </c>
      <c r="N167" s="1881">
        <f t="shared" si="61"/>
        <v>94.9</v>
      </c>
      <c r="O167" s="1881">
        <f t="shared" si="62"/>
        <v>94.9</v>
      </c>
      <c r="P167" s="1940"/>
      <c r="Q167" s="2169"/>
      <c r="R167" s="1600">
        <f t="shared" si="78"/>
        <v>0</v>
      </c>
      <c r="S167" s="1631">
        <v>0</v>
      </c>
      <c r="T167" s="1629">
        <v>0</v>
      </c>
      <c r="U167" s="1600">
        <f t="shared" si="79"/>
        <v>0</v>
      </c>
      <c r="V167" s="1631">
        <v>0</v>
      </c>
      <c r="W167" s="1629">
        <v>0</v>
      </c>
      <c r="X167" s="1423">
        <f t="shared" si="75"/>
        <v>0</v>
      </c>
      <c r="Y167" s="1423"/>
      <c r="Z167" s="1423"/>
    </row>
    <row r="168" spans="1:26" ht="39" customHeight="1">
      <c r="A168" s="2170">
        <f t="shared" si="80"/>
        <v>42</v>
      </c>
      <c r="B168" s="1932" t="s">
        <v>1503</v>
      </c>
      <c r="C168" s="1913" t="s">
        <v>1542</v>
      </c>
      <c r="D168" s="1600">
        <f t="shared" si="76"/>
        <v>360000</v>
      </c>
      <c r="E168" s="1629">
        <f>245721.185+92678.815</f>
        <v>338400</v>
      </c>
      <c r="F168" s="1629">
        <f>15684.34+5915.67</f>
        <v>21600</v>
      </c>
      <c r="G168" s="1602">
        <f t="shared" si="82"/>
        <v>360000</v>
      </c>
      <c r="H168" s="1631">
        <f t="shared" si="81"/>
        <v>338400</v>
      </c>
      <c r="I168" s="1631">
        <f t="shared" si="81"/>
        <v>21600</v>
      </c>
      <c r="J168" s="1602">
        <f t="shared" si="77"/>
        <v>250585.1</v>
      </c>
      <c r="K168" s="1629">
        <f>142871.242+92678.815-0.1</f>
        <v>235550</v>
      </c>
      <c r="L168" s="1629">
        <f>9119.441+5915.669</f>
        <v>15035.1</v>
      </c>
      <c r="M168" s="1604">
        <f t="shared" si="60"/>
        <v>69.599999999999994</v>
      </c>
      <c r="N168" s="1881">
        <f t="shared" si="61"/>
        <v>69.599999999999994</v>
      </c>
      <c r="O168" s="1881">
        <f t="shared" si="62"/>
        <v>69.599999999999994</v>
      </c>
      <c r="P168" s="1940"/>
      <c r="Q168" s="2169"/>
      <c r="R168" s="1600">
        <f t="shared" si="78"/>
        <v>0</v>
      </c>
      <c r="S168" s="1631">
        <v>0</v>
      </c>
      <c r="T168" s="1629">
        <v>0</v>
      </c>
      <c r="U168" s="1600">
        <f t="shared" si="79"/>
        <v>0</v>
      </c>
      <c r="V168" s="1631">
        <v>0</v>
      </c>
      <c r="W168" s="1629">
        <v>0</v>
      </c>
      <c r="X168" s="1423">
        <f t="shared" si="75"/>
        <v>0</v>
      </c>
      <c r="Y168" s="1423"/>
      <c r="Z168" s="1423"/>
    </row>
  </sheetData>
  <autoFilter ref="A11:O168"/>
  <mergeCells count="25">
    <mergeCell ref="A7:W7"/>
    <mergeCell ref="A1:B1"/>
    <mergeCell ref="L1:O1"/>
    <mergeCell ref="J3:M3"/>
    <mergeCell ref="A5:W5"/>
    <mergeCell ref="A6:W6"/>
    <mergeCell ref="N8:O8"/>
    <mergeCell ref="A9:A10"/>
    <mergeCell ref="B9:B10"/>
    <mergeCell ref="C9:C10"/>
    <mergeCell ref="D9:D10"/>
    <mergeCell ref="E9:F9"/>
    <mergeCell ref="G9:G10"/>
    <mergeCell ref="H9:I9"/>
    <mergeCell ref="J9:J10"/>
    <mergeCell ref="K9:L9"/>
    <mergeCell ref="A12:B12"/>
    <mergeCell ref="U9:U10"/>
    <mergeCell ref="V9:W9"/>
    <mergeCell ref="M9:M10"/>
    <mergeCell ref="N9:O9"/>
    <mergeCell ref="P9:P10"/>
    <mergeCell ref="Q9:Q10"/>
    <mergeCell ref="R9:R10"/>
    <mergeCell ref="S9:T9"/>
  </mergeCells>
  <pageMargins left="0.46" right="0.11811023622047245" top="0.55118110236220474" bottom="0.35433070866141736" header="0.31496062992125984" footer="0.15748031496062992"/>
  <pageSetup paperSize="9" scale="52" fitToHeight="17" orientation="landscape" r:id="rId1"/>
  <headerFooter>
    <oddFooter>&amp;C&amp;P</oddFooter>
  </headerFooter>
</worksheet>
</file>

<file path=xl/worksheets/sheet45.xml><?xml version="1.0" encoding="utf-8"?>
<worksheet xmlns="http://schemas.openxmlformats.org/spreadsheetml/2006/main" xmlns:r="http://schemas.openxmlformats.org/officeDocument/2006/relationships">
  <dimension ref="C8:O22"/>
  <sheetViews>
    <sheetView workbookViewId="0">
      <selection activeCell="C19" sqref="C19"/>
    </sheetView>
  </sheetViews>
  <sheetFormatPr defaultRowHeight="12.75"/>
  <sheetData>
    <row r="8" spans="3:15">
      <c r="C8">
        <f>7594.2-1040.3</f>
        <v>6553.9</v>
      </c>
    </row>
    <row r="9" spans="3:15">
      <c r="E9">
        <f>44870.6-38316.7</f>
        <v>6553.9</v>
      </c>
      <c r="K9">
        <f>'справка АИП (6)'!D184-'справка АИП (6)'!G184</f>
        <v>0</v>
      </c>
    </row>
    <row r="10" spans="3:15">
      <c r="H10">
        <f>11710-7400</f>
        <v>4310</v>
      </c>
    </row>
    <row r="11" spans="3:15">
      <c r="O11">
        <f>16411-16238.1</f>
        <v>172.9</v>
      </c>
    </row>
    <row r="15" spans="3:15">
      <c r="F15">
        <f>13069.4-11015.6</f>
        <v>2053.8000000000002</v>
      </c>
    </row>
    <row r="18" spans="3:13">
      <c r="C18">
        <f>127.1+1990.1+4454.9+69781.2+1651.7+25872.7+255+172.9+98.1+40100+4187+3751+4310+6533.9+2053.8+745.2+4700+229.2</f>
        <v>171013.8</v>
      </c>
    </row>
    <row r="19" spans="3:13">
      <c r="J19">
        <f>103615.1-5521.9</f>
        <v>98093.2</v>
      </c>
    </row>
    <row r="22" spans="3:13">
      <c r="M22">
        <f>'справка АИП (6)'!D179-'справка АИП (6)'!G179</f>
        <v>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FFFF00"/>
    <pageSetUpPr fitToPage="1"/>
  </sheetPr>
  <dimension ref="A1:U168"/>
  <sheetViews>
    <sheetView topLeftCell="A5" zoomScale="80" zoomScaleNormal="80" zoomScaleSheetLayoutView="70" workbookViewId="0">
      <selection activeCell="A7" sqref="A7:W7"/>
    </sheetView>
  </sheetViews>
  <sheetFormatPr defaultColWidth="9.140625" defaultRowHeight="18.75"/>
  <cols>
    <col min="1" max="1" width="12.42578125" style="1942" customWidth="1"/>
    <col min="2" max="2" width="82.5703125" style="712" customWidth="1"/>
    <col min="3" max="3" width="13.42578125" style="1834" hidden="1" customWidth="1"/>
    <col min="4" max="4" width="17.42578125" style="1570" customWidth="1"/>
    <col min="5" max="5" width="17.140625" style="712" customWidth="1"/>
    <col min="6" max="6" width="14.85546875" style="712" customWidth="1"/>
    <col min="7" max="7" width="18.5703125" style="1569" customWidth="1"/>
    <col min="8" max="8" width="16.42578125" style="712" customWidth="1"/>
    <col min="9" max="9" width="14.85546875" style="712" customWidth="1"/>
    <col min="10" max="10" width="43" style="1564" hidden="1" customWidth="1"/>
    <col min="11" max="11" width="25.140625" style="1564" hidden="1" customWidth="1"/>
    <col min="12" max="12" width="16.28515625" style="1564" hidden="1" customWidth="1"/>
    <col min="13" max="13" width="16.85546875" style="1564" hidden="1" customWidth="1"/>
    <col min="14" max="16" width="18" style="1564" hidden="1" customWidth="1"/>
    <col min="17" max="17" width="15.7109375" style="1564" hidden="1" customWidth="1"/>
    <col min="18" max="18" width="19.5703125" style="712" hidden="1" customWidth="1"/>
    <col min="19" max="20" width="23.5703125" style="712" customWidth="1"/>
    <col min="21" max="21" width="14.5703125" style="712" bestFit="1" customWidth="1"/>
    <col min="22" max="22" width="12.5703125" style="712" bestFit="1" customWidth="1"/>
    <col min="23" max="23" width="14.5703125" style="712" bestFit="1" customWidth="1"/>
    <col min="24" max="24" width="21.140625" style="712" bestFit="1" customWidth="1"/>
    <col min="25" max="25" width="14.5703125" style="712" bestFit="1" customWidth="1"/>
    <col min="26" max="26" width="12.85546875" style="712" bestFit="1" customWidth="1"/>
    <col min="27" max="16384" width="9.140625" style="712"/>
  </cols>
  <sheetData>
    <row r="1" spans="1:21" ht="20.25" hidden="1" customHeight="1">
      <c r="A1" s="2537"/>
      <c r="B1" s="2537"/>
      <c r="D1" s="1563"/>
      <c r="E1" s="1563"/>
      <c r="F1" s="1563"/>
      <c r="G1" s="1563"/>
      <c r="I1" s="2179"/>
    </row>
    <row r="2" spans="1:21" ht="18.75" hidden="1" customHeight="1">
      <c r="B2" s="2180"/>
      <c r="D2" s="1569"/>
      <c r="E2" s="2180"/>
      <c r="F2" s="2180"/>
    </row>
    <row r="3" spans="1:21" s="1575" customFormat="1" ht="18.75" hidden="1" customHeight="1">
      <c r="A3" s="1943"/>
      <c r="B3" s="1572"/>
      <c r="C3" s="1835"/>
      <c r="D3" s="1573"/>
      <c r="E3" s="1574"/>
      <c r="F3" s="1574"/>
      <c r="G3" s="2538"/>
      <c r="H3" s="2538"/>
      <c r="I3" s="2538"/>
      <c r="J3" s="1577"/>
      <c r="K3" s="1577"/>
      <c r="L3" s="1577"/>
      <c r="M3" s="1577"/>
      <c r="N3" s="1577"/>
      <c r="O3" s="1577"/>
      <c r="P3" s="1577"/>
      <c r="Q3" s="1577"/>
    </row>
    <row r="4" spans="1:21" s="1575" customFormat="1" ht="43.5" hidden="1" customHeight="1">
      <c r="A4" s="1943"/>
      <c r="B4" s="1572"/>
      <c r="C4" s="1835"/>
      <c r="D4" s="1581"/>
      <c r="E4" s="1574"/>
      <c r="F4" s="1574"/>
      <c r="G4" s="1583"/>
      <c r="H4" s="1582"/>
      <c r="I4" s="1582"/>
      <c r="J4" s="1577"/>
      <c r="K4" s="1577"/>
      <c r="L4" s="1577"/>
      <c r="M4" s="1577"/>
      <c r="N4" s="1577"/>
      <c r="O4" s="1577"/>
      <c r="P4" s="1577"/>
      <c r="Q4" s="1577"/>
    </row>
    <row r="5" spans="1:21" s="1575" customFormat="1" ht="23.25" customHeight="1">
      <c r="A5" s="2361" t="s">
        <v>5</v>
      </c>
      <c r="B5" s="2361"/>
      <c r="C5" s="2562"/>
      <c r="D5" s="2361"/>
      <c r="E5" s="2361"/>
      <c r="F5" s="2361"/>
      <c r="G5" s="2361"/>
      <c r="H5" s="2361"/>
      <c r="I5" s="2361"/>
      <c r="J5" s="2562"/>
      <c r="K5" s="2562"/>
      <c r="L5" s="2562"/>
      <c r="M5" s="2562"/>
      <c r="N5" s="2562"/>
      <c r="O5" s="2562"/>
      <c r="P5" s="2562"/>
      <c r="Q5" s="2562"/>
    </row>
    <row r="6" spans="1:21" s="1575" customFormat="1" ht="76.5" customHeight="1">
      <c r="A6" s="2591" t="s">
        <v>1843</v>
      </c>
      <c r="B6" s="2591"/>
      <c r="C6" s="2592"/>
      <c r="D6" s="2591"/>
      <c r="E6" s="2591"/>
      <c r="F6" s="2591"/>
      <c r="G6" s="2591"/>
      <c r="H6" s="2591"/>
      <c r="I6" s="2591"/>
      <c r="J6" s="2592"/>
      <c r="K6" s="2592"/>
      <c r="L6" s="2592"/>
      <c r="M6" s="2592"/>
      <c r="N6" s="2592"/>
      <c r="O6" s="2592"/>
      <c r="P6" s="2592"/>
      <c r="Q6" s="2592"/>
    </row>
    <row r="7" spans="1:21" s="1575" customFormat="1" ht="27">
      <c r="A7" s="2361" t="s">
        <v>1852</v>
      </c>
      <c r="B7" s="2361"/>
      <c r="C7" s="2562"/>
      <c r="D7" s="2361"/>
      <c r="E7" s="2361"/>
      <c r="F7" s="2361"/>
      <c r="G7" s="2361"/>
      <c r="H7" s="2361"/>
      <c r="I7" s="2361"/>
      <c r="J7" s="2562"/>
      <c r="K7" s="2562"/>
      <c r="L7" s="2562"/>
      <c r="M7" s="2562"/>
      <c r="N7" s="2562"/>
      <c r="O7" s="2562"/>
      <c r="P7" s="2562"/>
      <c r="Q7" s="2562"/>
    </row>
    <row r="8" spans="1:21" s="1575" customFormat="1">
      <c r="A8" s="1943"/>
      <c r="B8" s="1571"/>
      <c r="C8" s="1835"/>
      <c r="D8" s="1587"/>
      <c r="E8" s="1660"/>
      <c r="F8" s="1661"/>
      <c r="G8" s="1587"/>
      <c r="H8" s="1591"/>
      <c r="I8" s="1591"/>
      <c r="J8" s="1577"/>
      <c r="K8" s="1863"/>
      <c r="L8" s="1591"/>
      <c r="M8" s="1591"/>
      <c r="N8" s="1591"/>
      <c r="O8" s="1661"/>
      <c r="P8" s="1661"/>
      <c r="Q8" s="1661" t="s">
        <v>1314</v>
      </c>
    </row>
    <row r="9" spans="1:21" ht="42.75" customHeight="1">
      <c r="A9" s="2563" t="s">
        <v>18</v>
      </c>
      <c r="B9" s="2380" t="s">
        <v>0</v>
      </c>
      <c r="C9" s="2564" t="s">
        <v>1535</v>
      </c>
      <c r="D9" s="2573" t="s">
        <v>1813</v>
      </c>
      <c r="E9" s="2542" t="s">
        <v>257</v>
      </c>
      <c r="F9" s="2542"/>
      <c r="G9" s="2374" t="s">
        <v>1835</v>
      </c>
      <c r="H9" s="2542" t="s">
        <v>257</v>
      </c>
      <c r="I9" s="2542"/>
      <c r="J9" s="2550" t="s">
        <v>1110</v>
      </c>
      <c r="K9" s="2550" t="s">
        <v>1106</v>
      </c>
      <c r="L9" s="2374" t="s">
        <v>1643</v>
      </c>
      <c r="M9" s="2542" t="s">
        <v>257</v>
      </c>
      <c r="N9" s="2542"/>
      <c r="O9" s="2374" t="s">
        <v>1644</v>
      </c>
      <c r="P9" s="2542" t="s">
        <v>257</v>
      </c>
      <c r="Q9" s="2542"/>
    </row>
    <row r="10" spans="1:21" ht="159" customHeight="1">
      <c r="A10" s="2563"/>
      <c r="B10" s="2380"/>
      <c r="C10" s="2564"/>
      <c r="D10" s="2575"/>
      <c r="E10" s="709" t="s">
        <v>1844</v>
      </c>
      <c r="F10" s="709" t="s">
        <v>258</v>
      </c>
      <c r="G10" s="2374"/>
      <c r="H10" s="709" t="s">
        <v>1844</v>
      </c>
      <c r="I10" s="709" t="s">
        <v>258</v>
      </c>
      <c r="J10" s="2550"/>
      <c r="K10" s="2550"/>
      <c r="L10" s="2374"/>
      <c r="M10" s="709" t="s">
        <v>1074</v>
      </c>
      <c r="N10" s="709" t="s">
        <v>258</v>
      </c>
      <c r="O10" s="2374"/>
      <c r="P10" s="709" t="s">
        <v>1074</v>
      </c>
      <c r="Q10" s="709" t="s">
        <v>258</v>
      </c>
    </row>
    <row r="11" spans="1:21">
      <c r="A11" s="2182">
        <v>1</v>
      </c>
      <c r="B11" s="507">
        <v>2</v>
      </c>
      <c r="C11" s="2182"/>
      <c r="D11" s="507">
        <v>3</v>
      </c>
      <c r="E11" s="507">
        <v>4</v>
      </c>
      <c r="F11" s="507">
        <v>5</v>
      </c>
      <c r="G11" s="1868">
        <v>10</v>
      </c>
      <c r="H11" s="1868">
        <v>11</v>
      </c>
      <c r="I11" s="1868">
        <v>12</v>
      </c>
      <c r="J11" s="2181">
        <v>10</v>
      </c>
      <c r="K11" s="2181">
        <v>11</v>
      </c>
      <c r="L11" s="2181">
        <v>9</v>
      </c>
      <c r="M11" s="2181">
        <v>10</v>
      </c>
      <c r="N11" s="2181">
        <v>11</v>
      </c>
      <c r="O11" s="2181">
        <v>12</v>
      </c>
      <c r="P11" s="2181">
        <v>13</v>
      </c>
      <c r="Q11" s="2181">
        <v>14</v>
      </c>
    </row>
    <row r="12" spans="1:21" s="791" customFormat="1" ht="40.5" customHeight="1">
      <c r="A12" s="2586" t="s">
        <v>1827</v>
      </c>
      <c r="B12" s="2587"/>
      <c r="C12" s="2156"/>
      <c r="D12" s="722">
        <f>SUM(E12:F12)</f>
        <v>4422928.9000000004</v>
      </c>
      <c r="E12" s="722">
        <f>SUM(E13:E17)</f>
        <v>4087743.6</v>
      </c>
      <c r="F12" s="722">
        <f>SUM(F13:F17)</f>
        <v>335185.3</v>
      </c>
      <c r="G12" s="722">
        <f>SUM(H12:I12)</f>
        <v>2147278.4</v>
      </c>
      <c r="H12" s="722">
        <f>SUM(H13:H17)</f>
        <v>2018103.8</v>
      </c>
      <c r="I12" s="722">
        <f>SUM(I13:I17)</f>
        <v>129174.6</v>
      </c>
      <c r="J12" s="643" t="s">
        <v>353</v>
      </c>
      <c r="K12" s="643"/>
      <c r="L12" s="1594" t="e">
        <f t="shared" ref="L12:L18" si="0">SUM(M12:N12)</f>
        <v>#REF!</v>
      </c>
      <c r="M12" s="1594" t="e">
        <f>SUM(#REF!,M160,#REF!)</f>
        <v>#REF!</v>
      </c>
      <c r="N12" s="1594" t="e">
        <f>SUM(#REF!,N160,#REF!)</f>
        <v>#REF!</v>
      </c>
      <c r="O12" s="1594" t="e">
        <f t="shared" ref="O12:O18" si="1">SUM(P12:Q12)</f>
        <v>#REF!</v>
      </c>
      <c r="P12" s="1594" t="e">
        <f>SUM(#REF!,P160,#REF!)</f>
        <v>#REF!</v>
      </c>
      <c r="Q12" s="1594" t="e">
        <f>SUM(#REF!,Q160,#REF!)</f>
        <v>#REF!</v>
      </c>
      <c r="R12" s="1423" t="e">
        <f>D12-#REF!</f>
        <v>#REF!</v>
      </c>
      <c r="S12" s="1423"/>
      <c r="T12" s="1423"/>
      <c r="U12" s="1423"/>
    </row>
    <row r="13" spans="1:21" s="484" customFormat="1" ht="23.25">
      <c r="A13" s="2182"/>
      <c r="B13" s="2001" t="s">
        <v>1831</v>
      </c>
      <c r="C13" s="1877"/>
      <c r="D13" s="1598">
        <f t="shared" ref="D13:I16" si="2">D19+D57</f>
        <v>2726142.7</v>
      </c>
      <c r="E13" s="1598">
        <f t="shared" si="2"/>
        <v>2562100</v>
      </c>
      <c r="F13" s="1598">
        <f t="shared" si="2"/>
        <v>164042.70000000001</v>
      </c>
      <c r="G13" s="1598">
        <f t="shared" si="2"/>
        <v>1260175.1000000001</v>
      </c>
      <c r="H13" s="1598">
        <f t="shared" si="2"/>
        <v>1184436.3999999999</v>
      </c>
      <c r="I13" s="1598">
        <f t="shared" si="2"/>
        <v>75738.7</v>
      </c>
      <c r="J13" s="2185"/>
      <c r="K13" s="2185"/>
      <c r="L13" s="1598"/>
      <c r="M13" s="1903"/>
      <c r="N13" s="1903"/>
      <c r="O13" s="1598"/>
      <c r="P13" s="1903"/>
      <c r="Q13" s="1903"/>
      <c r="R13" s="1423" t="e">
        <f>D13-#REF!</f>
        <v>#REF!</v>
      </c>
      <c r="S13" s="1423"/>
      <c r="T13" s="1423"/>
    </row>
    <row r="14" spans="1:21" s="484" customFormat="1" ht="23.25">
      <c r="A14" s="2182"/>
      <c r="B14" s="2001" t="s">
        <v>1798</v>
      </c>
      <c r="C14" s="1877"/>
      <c r="D14" s="1598">
        <f t="shared" si="2"/>
        <v>556398.1</v>
      </c>
      <c r="E14" s="1598">
        <f t="shared" si="2"/>
        <v>523000</v>
      </c>
      <c r="F14" s="1598">
        <f t="shared" si="2"/>
        <v>33398.1</v>
      </c>
      <c r="G14" s="1598">
        <f t="shared" si="2"/>
        <v>279514</v>
      </c>
      <c r="H14" s="1598">
        <f t="shared" si="2"/>
        <v>262740.3</v>
      </c>
      <c r="I14" s="1598">
        <f t="shared" si="2"/>
        <v>16773.7</v>
      </c>
      <c r="J14" s="2185"/>
      <c r="K14" s="2185"/>
      <c r="L14" s="1598"/>
      <c r="M14" s="1903"/>
      <c r="N14" s="1903"/>
      <c r="O14" s="1598"/>
      <c r="P14" s="1903"/>
      <c r="Q14" s="1903"/>
      <c r="R14" s="1423"/>
      <c r="S14" s="1423"/>
      <c r="T14" s="1423"/>
    </row>
    <row r="15" spans="1:21" s="484" customFormat="1" ht="23.25">
      <c r="A15" s="2182"/>
      <c r="B15" s="2001" t="s">
        <v>1770</v>
      </c>
      <c r="C15" s="1877"/>
      <c r="D15" s="1598">
        <f t="shared" si="2"/>
        <v>317820.2</v>
      </c>
      <c r="E15" s="1598">
        <f t="shared" si="2"/>
        <v>298387.40000000002</v>
      </c>
      <c r="F15" s="1598">
        <f t="shared" si="2"/>
        <v>19432.8</v>
      </c>
      <c r="G15" s="1598">
        <f t="shared" si="2"/>
        <v>187019</v>
      </c>
      <c r="H15" s="1598">
        <f t="shared" si="2"/>
        <v>175594.1</v>
      </c>
      <c r="I15" s="1598">
        <f t="shared" si="2"/>
        <v>11424.9</v>
      </c>
      <c r="J15" s="2185"/>
      <c r="K15" s="2185"/>
      <c r="L15" s="1598"/>
      <c r="M15" s="1903"/>
      <c r="N15" s="1903"/>
      <c r="O15" s="1598"/>
      <c r="P15" s="1903"/>
      <c r="Q15" s="1903"/>
      <c r="R15" s="1423"/>
      <c r="S15" s="1423"/>
      <c r="T15" s="1423"/>
    </row>
    <row r="16" spans="1:21" s="484" customFormat="1" ht="23.25" hidden="1">
      <c r="A16" s="2182"/>
      <c r="B16" s="2001" t="s">
        <v>1832</v>
      </c>
      <c r="C16" s="1877"/>
      <c r="D16" s="1598">
        <f t="shared" si="2"/>
        <v>0</v>
      </c>
      <c r="E16" s="1598">
        <f t="shared" si="2"/>
        <v>0</v>
      </c>
      <c r="F16" s="1598">
        <f t="shared" si="2"/>
        <v>0</v>
      </c>
      <c r="G16" s="1598">
        <f t="shared" si="2"/>
        <v>0</v>
      </c>
      <c r="H16" s="1598">
        <f t="shared" si="2"/>
        <v>0</v>
      </c>
      <c r="I16" s="1598">
        <f t="shared" si="2"/>
        <v>0</v>
      </c>
      <c r="J16" s="2185"/>
      <c r="K16" s="2185"/>
      <c r="L16" s="1598"/>
      <c r="M16" s="1903"/>
      <c r="N16" s="1903"/>
      <c r="O16" s="1598"/>
      <c r="P16" s="1903"/>
      <c r="Q16" s="1903"/>
      <c r="R16" s="1423" t="e">
        <f>D16-#REF!</f>
        <v>#REF!</v>
      </c>
      <c r="S16" s="1423"/>
      <c r="T16" s="1423"/>
    </row>
    <row r="17" spans="1:20" s="484" customFormat="1" ht="23.25">
      <c r="A17" s="2182"/>
      <c r="B17" s="2001" t="s">
        <v>1830</v>
      </c>
      <c r="C17" s="1877"/>
      <c r="D17" s="1598">
        <f>SUM(E17:F17)</f>
        <v>822567.9</v>
      </c>
      <c r="E17" s="1598">
        <f>E160</f>
        <v>704256.2</v>
      </c>
      <c r="F17" s="1598">
        <f>F160</f>
        <v>118311.7</v>
      </c>
      <c r="G17" s="1598">
        <f>SUM(H17:I17)</f>
        <v>420570.3</v>
      </c>
      <c r="H17" s="1598">
        <f>H160</f>
        <v>395333</v>
      </c>
      <c r="I17" s="1598">
        <f>I160</f>
        <v>25237.3</v>
      </c>
      <c r="J17" s="2185"/>
      <c r="K17" s="2185"/>
      <c r="L17" s="1598"/>
      <c r="M17" s="1903"/>
      <c r="N17" s="1903"/>
      <c r="O17" s="1598"/>
      <c r="P17" s="1903"/>
      <c r="Q17" s="1903"/>
      <c r="R17" s="1423"/>
      <c r="S17" s="1423"/>
      <c r="T17" s="1423"/>
    </row>
    <row r="18" spans="1:20" ht="42.75" customHeight="1">
      <c r="A18" s="2149" t="s">
        <v>6</v>
      </c>
      <c r="B18" s="2150" t="s">
        <v>1829</v>
      </c>
      <c r="C18" s="2151"/>
      <c r="D18" s="2152">
        <f>SUM(E18:F18)</f>
        <v>166535.29999999999</v>
      </c>
      <c r="E18" s="2152">
        <f>SUM(E19:E22)</f>
        <v>156541.79999999999</v>
      </c>
      <c r="F18" s="2152">
        <f>SUM(F19:F22)</f>
        <v>9993.5</v>
      </c>
      <c r="G18" s="2152">
        <f>SUM(H18:I18)</f>
        <v>73130.8</v>
      </c>
      <c r="H18" s="2152">
        <f>SUM(H19:H22)</f>
        <v>68742.100000000006</v>
      </c>
      <c r="I18" s="2152">
        <f>SUM(I19:I22)</f>
        <v>4388.7</v>
      </c>
      <c r="J18" s="1597" t="s">
        <v>353</v>
      </c>
      <c r="K18" s="1597" t="s">
        <v>353</v>
      </c>
      <c r="L18" s="1861" t="e">
        <f t="shared" si="0"/>
        <v>#REF!</v>
      </c>
      <c r="M18" s="1861" t="e">
        <f>SUM(#REF!,#REF!)</f>
        <v>#REF!</v>
      </c>
      <c r="N18" s="1861" t="e">
        <f>SUM(#REF!,#REF!)</f>
        <v>#REF!</v>
      </c>
      <c r="O18" s="1861" t="e">
        <f t="shared" si="1"/>
        <v>#REF!</v>
      </c>
      <c r="P18" s="1861" t="e">
        <f>SUM(#REF!,#REF!)</f>
        <v>#REF!</v>
      </c>
      <c r="Q18" s="1861" t="e">
        <f>SUM(#REF!,#REF!)</f>
        <v>#REF!</v>
      </c>
      <c r="R18" s="1423" t="e">
        <f>D18-#REF!</f>
        <v>#REF!</v>
      </c>
      <c r="S18" s="1423"/>
      <c r="T18" s="1423"/>
    </row>
    <row r="19" spans="1:20" s="484" customFormat="1" ht="23.25">
      <c r="A19" s="2182"/>
      <c r="B19" s="2001" t="s">
        <v>1699</v>
      </c>
      <c r="C19" s="1877"/>
      <c r="D19" s="1598">
        <f>SUM(E19:F19)</f>
        <v>50955.1</v>
      </c>
      <c r="E19" s="1903">
        <f>E25+E37+E40+E29</f>
        <v>47897.599999999999</v>
      </c>
      <c r="F19" s="1903">
        <f>F25+F37+F40+F29</f>
        <v>3057.5</v>
      </c>
      <c r="G19" s="1598">
        <f>SUM(H19:I19)</f>
        <v>10414</v>
      </c>
      <c r="H19" s="1903">
        <f>H25+H37+H40</f>
        <v>9789</v>
      </c>
      <c r="I19" s="1903">
        <f>I25+I37+I40</f>
        <v>625</v>
      </c>
      <c r="J19" s="2185"/>
      <c r="K19" s="2185"/>
      <c r="L19" s="1598"/>
      <c r="M19" s="1903"/>
      <c r="N19" s="1903"/>
      <c r="O19" s="1598"/>
      <c r="P19" s="1903"/>
      <c r="Q19" s="1903"/>
      <c r="R19" s="1423" t="e">
        <f>D19-#REF!</f>
        <v>#REF!</v>
      </c>
      <c r="S19" s="1423"/>
      <c r="T19" s="1423"/>
    </row>
    <row r="20" spans="1:20" s="484" customFormat="1" ht="23.25">
      <c r="A20" s="2182"/>
      <c r="B20" s="2001" t="s">
        <v>1798</v>
      </c>
      <c r="C20" s="1877"/>
      <c r="D20" s="1598">
        <f>E20+F20</f>
        <v>103877.6</v>
      </c>
      <c r="E20" s="1903">
        <f>E41+E43+E51</f>
        <v>97643.9</v>
      </c>
      <c r="F20" s="1903">
        <f>F41+F43+F51</f>
        <v>6233.7</v>
      </c>
      <c r="G20" s="1598">
        <f>H20+I20</f>
        <v>57417.8</v>
      </c>
      <c r="H20" s="1903">
        <f>H41+H43+H51</f>
        <v>53972.2</v>
      </c>
      <c r="I20" s="1903">
        <f>I41+I43+I51</f>
        <v>3445.6</v>
      </c>
      <c r="J20" s="2185"/>
      <c r="K20" s="2185"/>
      <c r="L20" s="1598"/>
      <c r="M20" s="1903"/>
      <c r="N20" s="1903"/>
      <c r="O20" s="1598"/>
      <c r="P20" s="1903"/>
      <c r="Q20" s="1903"/>
      <c r="R20" s="1423"/>
      <c r="S20" s="1423"/>
      <c r="T20" s="1423"/>
    </row>
    <row r="21" spans="1:20" s="484" customFormat="1" ht="23.25">
      <c r="A21" s="2182"/>
      <c r="B21" s="2001" t="s">
        <v>1770</v>
      </c>
      <c r="C21" s="1877"/>
      <c r="D21" s="1598">
        <f>SUM(E21:F21)</f>
        <v>11702.6</v>
      </c>
      <c r="E21" s="1903">
        <f>E30+E34</f>
        <v>11000.3</v>
      </c>
      <c r="F21" s="1903">
        <f>F30+F34</f>
        <v>702.3</v>
      </c>
      <c r="G21" s="1598">
        <f>SUM(H21:I21)</f>
        <v>5299</v>
      </c>
      <c r="H21" s="1903">
        <f>H30+H34</f>
        <v>4980.8999999999996</v>
      </c>
      <c r="I21" s="1903">
        <f>I30+I34</f>
        <v>318.10000000000002</v>
      </c>
      <c r="J21" s="2185"/>
      <c r="K21" s="2185"/>
      <c r="L21" s="1598"/>
      <c r="M21" s="1903"/>
      <c r="N21" s="1903"/>
      <c r="O21" s="1598"/>
      <c r="P21" s="1903"/>
      <c r="Q21" s="1903"/>
      <c r="R21" s="1423"/>
      <c r="S21" s="1423"/>
      <c r="T21" s="1423"/>
    </row>
    <row r="22" spans="1:20" s="484" customFormat="1" ht="23.25">
      <c r="A22" s="2182"/>
      <c r="B22" s="2001" t="s">
        <v>1700</v>
      </c>
      <c r="C22" s="1877"/>
      <c r="D22" s="1598">
        <f t="shared" ref="D22:D53" si="3">SUM(E22:F22)</f>
        <v>0</v>
      </c>
      <c r="E22" s="1903">
        <f>E26+E31+E35+E44+E48+E52</f>
        <v>0</v>
      </c>
      <c r="F22" s="1903">
        <f>F26+F31+F35+F44+F48+F52</f>
        <v>0</v>
      </c>
      <c r="G22" s="1598">
        <f>SUM(H22:I22)</f>
        <v>0</v>
      </c>
      <c r="H22" s="1903">
        <f>H26+H31+H35+H44+H48+H52</f>
        <v>0</v>
      </c>
      <c r="I22" s="1903">
        <f>I26+I31+I35+I44+I48+I52</f>
        <v>0</v>
      </c>
      <c r="J22" s="2185"/>
      <c r="K22" s="2185"/>
      <c r="L22" s="1598"/>
      <c r="M22" s="1903"/>
      <c r="N22" s="1903"/>
      <c r="O22" s="1598"/>
      <c r="P22" s="1903"/>
      <c r="Q22" s="1903"/>
      <c r="R22" s="1423" t="e">
        <f>D22-#REF!</f>
        <v>#REF!</v>
      </c>
      <c r="S22" s="1423"/>
      <c r="T22" s="1423"/>
    </row>
    <row r="23" spans="1:20" s="484" customFormat="1" ht="23.25">
      <c r="A23" s="2182"/>
      <c r="B23" s="2184" t="s">
        <v>433</v>
      </c>
      <c r="C23" s="1882"/>
      <c r="D23" s="1602">
        <f t="shared" si="3"/>
        <v>10186.5</v>
      </c>
      <c r="E23" s="1603">
        <f>E24</f>
        <v>9575.2000000000007</v>
      </c>
      <c r="F23" s="1603">
        <f>F24</f>
        <v>611.29999999999995</v>
      </c>
      <c r="G23" s="1602">
        <f t="shared" ref="G23:G36" si="4">SUM(H23:I23)</f>
        <v>10186.5</v>
      </c>
      <c r="H23" s="1603">
        <f>H24</f>
        <v>9575.2000000000007</v>
      </c>
      <c r="I23" s="1603">
        <f>I24</f>
        <v>611.29999999999995</v>
      </c>
      <c r="J23" s="2186">
        <f>SUM(J24)</f>
        <v>0</v>
      </c>
      <c r="K23" s="2186">
        <f>SUM(K24)</f>
        <v>0</v>
      </c>
      <c r="L23" s="1602">
        <f t="shared" ref="L23:L26" si="5">SUM(M23:N23)</f>
        <v>0</v>
      </c>
      <c r="M23" s="1603">
        <f>M24</f>
        <v>0</v>
      </c>
      <c r="N23" s="1603">
        <f>N24</f>
        <v>0</v>
      </c>
      <c r="O23" s="1602">
        <f t="shared" ref="O23:O26" si="6">SUM(P23:Q23)</f>
        <v>0</v>
      </c>
      <c r="P23" s="1603">
        <f>P24</f>
        <v>0</v>
      </c>
      <c r="Q23" s="1603">
        <f>Q24</f>
        <v>0</v>
      </c>
      <c r="R23" s="1423" t="e">
        <f>D23-#REF!</f>
        <v>#REF!</v>
      </c>
      <c r="S23" s="1423"/>
      <c r="T23" s="1423"/>
    </row>
    <row r="24" spans="1:20" s="484" customFormat="1" ht="40.5" customHeight="1">
      <c r="A24" s="2182">
        <v>1</v>
      </c>
      <c r="B24" s="1905" t="s">
        <v>1563</v>
      </c>
      <c r="C24" s="1906"/>
      <c r="D24" s="1602">
        <f t="shared" si="3"/>
        <v>10186.5</v>
      </c>
      <c r="E24" s="1864">
        <f>E25+E26</f>
        <v>9575.2000000000007</v>
      </c>
      <c r="F24" s="1864">
        <f>F25+F26</f>
        <v>611.29999999999995</v>
      </c>
      <c r="G24" s="1602">
        <f t="shared" si="4"/>
        <v>10186.5</v>
      </c>
      <c r="H24" s="1864">
        <f>H25+H26</f>
        <v>9575.2000000000007</v>
      </c>
      <c r="I24" s="1864">
        <f>I25+I26</f>
        <v>611.29999999999995</v>
      </c>
      <c r="J24" s="2181"/>
      <c r="K24" s="2181"/>
      <c r="L24" s="1602">
        <f t="shared" si="5"/>
        <v>0</v>
      </c>
      <c r="M24" s="1864">
        <f>M25+M26</f>
        <v>0</v>
      </c>
      <c r="N24" s="1864">
        <f>N25+N26</f>
        <v>0</v>
      </c>
      <c r="O24" s="1602">
        <f t="shared" si="6"/>
        <v>0</v>
      </c>
      <c r="P24" s="1864">
        <f>P25+P26</f>
        <v>0</v>
      </c>
      <c r="Q24" s="1864">
        <f>Q25+Q26</f>
        <v>0</v>
      </c>
      <c r="R24" s="1423" t="e">
        <f>D24-#REF!</f>
        <v>#REF!</v>
      </c>
      <c r="S24" s="1423"/>
      <c r="T24" s="1423"/>
    </row>
    <row r="25" spans="1:20" s="484" customFormat="1" ht="23.25">
      <c r="A25" s="2182"/>
      <c r="B25" s="1619" t="s">
        <v>1620</v>
      </c>
      <c r="C25" s="1906" t="s">
        <v>1630</v>
      </c>
      <c r="D25" s="1602">
        <f t="shared" si="3"/>
        <v>10186.5</v>
      </c>
      <c r="E25" s="1864">
        <v>9575.2000000000007</v>
      </c>
      <c r="F25" s="1864">
        <f>611.3</f>
        <v>611.29999999999995</v>
      </c>
      <c r="G25" s="1602">
        <f t="shared" si="4"/>
        <v>10186.5</v>
      </c>
      <c r="H25" s="1864">
        <v>9575.2000000000007</v>
      </c>
      <c r="I25" s="1864">
        <v>611.29999999999995</v>
      </c>
      <c r="J25" s="2181"/>
      <c r="K25" s="2181"/>
      <c r="L25" s="1602">
        <f t="shared" si="5"/>
        <v>0</v>
      </c>
      <c r="M25" s="1614">
        <v>0</v>
      </c>
      <c r="N25" s="1614">
        <v>0</v>
      </c>
      <c r="O25" s="1602">
        <f t="shared" si="6"/>
        <v>0</v>
      </c>
      <c r="P25" s="1614">
        <v>0</v>
      </c>
      <c r="Q25" s="1614">
        <v>0</v>
      </c>
      <c r="R25" s="1423" t="e">
        <f>D25-#REF!</f>
        <v>#REF!</v>
      </c>
      <c r="S25" s="1423"/>
      <c r="T25" s="1423"/>
    </row>
    <row r="26" spans="1:20" s="484" customFormat="1" ht="23.25" hidden="1">
      <c r="A26" s="2182"/>
      <c r="B26" s="1619" t="s">
        <v>1621</v>
      </c>
      <c r="C26" s="1906" t="s">
        <v>1631</v>
      </c>
      <c r="D26" s="1602">
        <f t="shared" si="3"/>
        <v>0</v>
      </c>
      <c r="E26" s="1864"/>
      <c r="F26" s="1864"/>
      <c r="G26" s="1602">
        <f t="shared" si="4"/>
        <v>0</v>
      </c>
      <c r="H26" s="1864"/>
      <c r="I26" s="1864"/>
      <c r="J26" s="2181"/>
      <c r="K26" s="2181"/>
      <c r="L26" s="1602">
        <f t="shared" si="5"/>
        <v>0</v>
      </c>
      <c r="M26" s="1614">
        <v>0</v>
      </c>
      <c r="N26" s="1614">
        <v>0</v>
      </c>
      <c r="O26" s="1602">
        <f t="shared" si="6"/>
        <v>0</v>
      </c>
      <c r="P26" s="1614">
        <v>0</v>
      </c>
      <c r="Q26" s="1614">
        <v>0</v>
      </c>
      <c r="R26" s="1423" t="e">
        <f>D26-#REF!</f>
        <v>#REF!</v>
      </c>
      <c r="S26" s="1423"/>
      <c r="T26" s="1423"/>
    </row>
    <row r="27" spans="1:20" s="484" customFormat="1" ht="23.25">
      <c r="A27" s="2182"/>
      <c r="B27" s="2184" t="s">
        <v>583</v>
      </c>
      <c r="C27" s="1882"/>
      <c r="D27" s="1602">
        <f t="shared" si="3"/>
        <v>9803.1</v>
      </c>
      <c r="E27" s="2186">
        <f t="shared" ref="E27:Q27" si="7">E28</f>
        <v>9214.7999999999993</v>
      </c>
      <c r="F27" s="2186">
        <f t="shared" si="7"/>
        <v>588.29999999999995</v>
      </c>
      <c r="G27" s="1600">
        <f t="shared" si="4"/>
        <v>4687.5</v>
      </c>
      <c r="H27" s="1603">
        <f t="shared" si="7"/>
        <v>4406.1000000000004</v>
      </c>
      <c r="I27" s="1603">
        <f t="shared" si="7"/>
        <v>281.39999999999998</v>
      </c>
      <c r="J27" s="2186">
        <f t="shared" si="7"/>
        <v>0</v>
      </c>
      <c r="K27" s="2186">
        <f t="shared" si="7"/>
        <v>0</v>
      </c>
      <c r="L27" s="2186">
        <f t="shared" si="7"/>
        <v>0</v>
      </c>
      <c r="M27" s="2186">
        <f t="shared" si="7"/>
        <v>0</v>
      </c>
      <c r="N27" s="2186">
        <f t="shared" si="7"/>
        <v>0</v>
      </c>
      <c r="O27" s="2186">
        <f t="shared" si="7"/>
        <v>0</v>
      </c>
      <c r="P27" s="2186">
        <f t="shared" si="7"/>
        <v>0</v>
      </c>
      <c r="Q27" s="2186">
        <f t="shared" si="7"/>
        <v>0</v>
      </c>
      <c r="R27" s="1423" t="e">
        <f>D27-#REF!</f>
        <v>#REF!</v>
      </c>
      <c r="S27" s="1423"/>
      <c r="T27" s="1423"/>
    </row>
    <row r="28" spans="1:20" s="484" customFormat="1" ht="27.75" customHeight="1">
      <c r="A28" s="2182">
        <f>A24+1</f>
        <v>2</v>
      </c>
      <c r="B28" s="1889" t="s">
        <v>1629</v>
      </c>
      <c r="C28" s="1882"/>
      <c r="D28" s="1602">
        <f>SUM(E28:F28)</f>
        <v>9803.1</v>
      </c>
      <c r="E28" s="1608">
        <f>E31+E30+E29</f>
        <v>9214.7999999999993</v>
      </c>
      <c r="F28" s="1608">
        <f>F31+F30+F29</f>
        <v>588.29999999999995</v>
      </c>
      <c r="G28" s="1602">
        <f>SUM(H28:I28)</f>
        <v>4687.5</v>
      </c>
      <c r="H28" s="1608">
        <f>H31+H30+H29</f>
        <v>4406.1000000000004</v>
      </c>
      <c r="I28" s="1608">
        <f>I31+I30+I29</f>
        <v>281.39999999999998</v>
      </c>
      <c r="J28" s="2181"/>
      <c r="K28" s="2181"/>
      <c r="L28" s="1602">
        <f t="shared" ref="L28:L53" si="8">SUM(M28:N28)</f>
        <v>0</v>
      </c>
      <c r="M28" s="1616">
        <f>M31</f>
        <v>0</v>
      </c>
      <c r="N28" s="1616">
        <f>N31</f>
        <v>0</v>
      </c>
      <c r="O28" s="1602">
        <f t="shared" ref="O28:O53" si="9">SUM(P28:Q28)</f>
        <v>0</v>
      </c>
      <c r="P28" s="1616">
        <f>P31</f>
        <v>0</v>
      </c>
      <c r="Q28" s="1616">
        <f>Q31</f>
        <v>0</v>
      </c>
      <c r="R28" s="1423" t="e">
        <f>D28-#REF!</f>
        <v>#REF!</v>
      </c>
      <c r="S28" s="1423"/>
      <c r="T28" s="1423"/>
    </row>
    <row r="29" spans="1:20" s="484" customFormat="1" ht="27" customHeight="1">
      <c r="A29" s="2182"/>
      <c r="B29" s="1619" t="s">
        <v>1620</v>
      </c>
      <c r="C29" s="1882"/>
      <c r="D29" s="1602">
        <f>SUM(E29:F29)</f>
        <v>803</v>
      </c>
      <c r="E29" s="1865">
        <f>9214.8-8460</f>
        <v>754.8</v>
      </c>
      <c r="F29" s="1865">
        <f>588.3-540.1</f>
        <v>48.2</v>
      </c>
      <c r="G29" s="1600">
        <f>SUM(H29:I29)</f>
        <v>0</v>
      </c>
      <c r="H29" s="1864"/>
      <c r="I29" s="1864"/>
      <c r="J29" s="2181"/>
      <c r="K29" s="2181"/>
      <c r="L29" s="1602"/>
      <c r="M29" s="1616"/>
      <c r="N29" s="1616"/>
      <c r="O29" s="1602"/>
      <c r="P29" s="1616"/>
      <c r="Q29" s="1616"/>
      <c r="R29" s="1423"/>
      <c r="S29" s="1423"/>
      <c r="T29" s="1423"/>
    </row>
    <row r="30" spans="1:20" s="484" customFormat="1" ht="27" customHeight="1">
      <c r="A30" s="2182"/>
      <c r="B30" s="1619" t="s">
        <v>1770</v>
      </c>
      <c r="C30" s="1882"/>
      <c r="D30" s="1602">
        <f>SUM(E30:F30)</f>
        <v>9000.1</v>
      </c>
      <c r="E30" s="1865">
        <f>8460</f>
        <v>8460</v>
      </c>
      <c r="F30" s="1865">
        <v>540.1</v>
      </c>
      <c r="G30" s="1600">
        <f>SUM(H30:I30)</f>
        <v>4687.5</v>
      </c>
      <c r="H30" s="1864">
        <f>4075.9+330.24</f>
        <v>4406.1000000000004</v>
      </c>
      <c r="I30" s="1864">
        <f>21.1+260.3</f>
        <v>281.39999999999998</v>
      </c>
      <c r="J30" s="2181"/>
      <c r="K30" s="2181"/>
      <c r="L30" s="1602"/>
      <c r="M30" s="1616"/>
      <c r="N30" s="1616"/>
      <c r="O30" s="1602"/>
      <c r="P30" s="1616"/>
      <c r="Q30" s="1616"/>
      <c r="R30" s="1423"/>
      <c r="S30" s="1423"/>
      <c r="T30" s="1423"/>
    </row>
    <row r="31" spans="1:20" s="484" customFormat="1" ht="23.25" hidden="1">
      <c r="A31" s="2182"/>
      <c r="B31" s="1619" t="s">
        <v>1621</v>
      </c>
      <c r="C31" s="1906"/>
      <c r="D31" s="1602">
        <f t="shared" si="3"/>
        <v>0</v>
      </c>
      <c r="E31" s="1865">
        <v>0</v>
      </c>
      <c r="F31" s="1865"/>
      <c r="G31" s="1600">
        <f t="shared" si="4"/>
        <v>0</v>
      </c>
      <c r="H31" s="1864"/>
      <c r="I31" s="1864"/>
      <c r="J31" s="2181"/>
      <c r="K31" s="2181"/>
      <c r="L31" s="1602">
        <f t="shared" si="8"/>
        <v>0</v>
      </c>
      <c r="M31" s="1865">
        <v>0</v>
      </c>
      <c r="N31" s="1865">
        <v>0</v>
      </c>
      <c r="O31" s="1602">
        <f t="shared" si="9"/>
        <v>0</v>
      </c>
      <c r="P31" s="1865">
        <v>0</v>
      </c>
      <c r="Q31" s="1865">
        <v>0</v>
      </c>
      <c r="R31" s="1423" t="e">
        <f>D31-#REF!</f>
        <v>#REF!</v>
      </c>
      <c r="S31" s="1423"/>
      <c r="T31" s="1423"/>
    </row>
    <row r="32" spans="1:20" s="484" customFormat="1" ht="25.5" customHeight="1">
      <c r="A32" s="2182"/>
      <c r="B32" s="2184" t="s">
        <v>1624</v>
      </c>
      <c r="C32" s="1882"/>
      <c r="D32" s="1602">
        <f t="shared" si="3"/>
        <v>2702.5</v>
      </c>
      <c r="E32" s="2186">
        <f>E33</f>
        <v>2540.3000000000002</v>
      </c>
      <c r="F32" s="2186">
        <f>F33</f>
        <v>162.19999999999999</v>
      </c>
      <c r="G32" s="1600">
        <f t="shared" si="4"/>
        <v>611.5</v>
      </c>
      <c r="H32" s="1603">
        <f>H33</f>
        <v>574.79999999999995</v>
      </c>
      <c r="I32" s="1603">
        <f>I33</f>
        <v>36.700000000000003</v>
      </c>
      <c r="J32" s="2186">
        <f>J33</f>
        <v>0</v>
      </c>
      <c r="K32" s="2186">
        <f>K33</f>
        <v>0</v>
      </c>
      <c r="L32" s="1602">
        <f t="shared" si="8"/>
        <v>0</v>
      </c>
      <c r="M32" s="1603">
        <f>M33</f>
        <v>0</v>
      </c>
      <c r="N32" s="1603">
        <f>N33</f>
        <v>0</v>
      </c>
      <c r="O32" s="1602">
        <f t="shared" si="9"/>
        <v>0</v>
      </c>
      <c r="P32" s="1603">
        <f>P33</f>
        <v>0</v>
      </c>
      <c r="Q32" s="1603">
        <f>Q33</f>
        <v>0</v>
      </c>
      <c r="R32" s="1423" t="e">
        <f>D32-#REF!</f>
        <v>#REF!</v>
      </c>
      <c r="S32" s="1423"/>
      <c r="T32" s="1423"/>
    </row>
    <row r="33" spans="1:20" s="484" customFormat="1" ht="45.75" customHeight="1">
      <c r="A33" s="2182">
        <f>A28+1</f>
        <v>3</v>
      </c>
      <c r="B33" s="1889" t="s">
        <v>1625</v>
      </c>
      <c r="C33" s="1882"/>
      <c r="D33" s="1602">
        <f t="shared" si="3"/>
        <v>2702.5</v>
      </c>
      <c r="E33" s="1616">
        <f>E34+E35</f>
        <v>2540.3000000000002</v>
      </c>
      <c r="F33" s="1616">
        <f>F34+F35</f>
        <v>162.19999999999999</v>
      </c>
      <c r="G33" s="1602">
        <f t="shared" si="4"/>
        <v>611.5</v>
      </c>
      <c r="H33" s="1616">
        <f>H34+H35</f>
        <v>574.79999999999995</v>
      </c>
      <c r="I33" s="1616">
        <f>I34+I35</f>
        <v>36.700000000000003</v>
      </c>
      <c r="J33" s="2181"/>
      <c r="K33" s="2181"/>
      <c r="L33" s="1602">
        <f t="shared" si="8"/>
        <v>0</v>
      </c>
      <c r="M33" s="1616">
        <f>M35</f>
        <v>0</v>
      </c>
      <c r="N33" s="1616">
        <f>N35</f>
        <v>0</v>
      </c>
      <c r="O33" s="1602">
        <f t="shared" si="9"/>
        <v>0</v>
      </c>
      <c r="P33" s="1616">
        <f>P35</f>
        <v>0</v>
      </c>
      <c r="Q33" s="1616">
        <f>Q35</f>
        <v>0</v>
      </c>
      <c r="R33" s="1423" t="e">
        <f>D33-#REF!</f>
        <v>#REF!</v>
      </c>
      <c r="S33" s="1423"/>
      <c r="T33" s="1423"/>
    </row>
    <row r="34" spans="1:20" s="484" customFormat="1" ht="28.5" customHeight="1">
      <c r="A34" s="2182"/>
      <c r="B34" s="1619" t="s">
        <v>1770</v>
      </c>
      <c r="C34" s="1882"/>
      <c r="D34" s="1602">
        <f>SUM(E34:F34)</f>
        <v>2702.5</v>
      </c>
      <c r="E34" s="1864">
        <v>2540.3000000000002</v>
      </c>
      <c r="F34" s="1864">
        <v>162.19999999999999</v>
      </c>
      <c r="G34" s="1602">
        <f>SUM(H34:I34)</f>
        <v>611.5</v>
      </c>
      <c r="H34" s="1864">
        <v>574.79999999999995</v>
      </c>
      <c r="I34" s="1864">
        <v>36.700000000000003</v>
      </c>
      <c r="J34" s="2181"/>
      <c r="K34" s="2181"/>
      <c r="L34" s="1602"/>
      <c r="M34" s="1616"/>
      <c r="N34" s="1616"/>
      <c r="O34" s="1602"/>
      <c r="P34" s="1616"/>
      <c r="Q34" s="1616"/>
      <c r="R34" s="1423"/>
      <c r="S34" s="1423"/>
      <c r="T34" s="1423"/>
    </row>
    <row r="35" spans="1:20" s="484" customFormat="1" ht="23.25" hidden="1">
      <c r="A35" s="2182"/>
      <c r="B35" s="1619" t="s">
        <v>1621</v>
      </c>
      <c r="C35" s="1906"/>
      <c r="D35" s="1602">
        <f t="shared" si="3"/>
        <v>0</v>
      </c>
      <c r="E35" s="1864"/>
      <c r="F35" s="1616"/>
      <c r="G35" s="1602">
        <f t="shared" si="4"/>
        <v>0</v>
      </c>
      <c r="H35" s="1864"/>
      <c r="I35" s="1864"/>
      <c r="J35" s="2181"/>
      <c r="K35" s="2181"/>
      <c r="L35" s="1602">
        <f t="shared" si="8"/>
        <v>0</v>
      </c>
      <c r="M35" s="1614">
        <v>0</v>
      </c>
      <c r="N35" s="1614">
        <v>0</v>
      </c>
      <c r="O35" s="1602">
        <f t="shared" si="9"/>
        <v>0</v>
      </c>
      <c r="P35" s="1614">
        <v>0</v>
      </c>
      <c r="Q35" s="1614">
        <v>0</v>
      </c>
      <c r="R35" s="1423" t="e">
        <f>D35-#REF!</f>
        <v>#REF!</v>
      </c>
      <c r="S35" s="1423"/>
      <c r="T35" s="1423"/>
    </row>
    <row r="36" spans="1:20" s="484" customFormat="1" ht="19.5" hidden="1" customHeight="1">
      <c r="A36" s="2182"/>
      <c r="B36" s="2184" t="s">
        <v>1401</v>
      </c>
      <c r="C36" s="1882"/>
      <c r="D36" s="1600">
        <f t="shared" si="3"/>
        <v>0</v>
      </c>
      <c r="E36" s="2186">
        <f>E37</f>
        <v>0</v>
      </c>
      <c r="F36" s="2186">
        <f>F37</f>
        <v>0</v>
      </c>
      <c r="G36" s="1600">
        <f t="shared" si="4"/>
        <v>0</v>
      </c>
      <c r="H36" s="1603">
        <f>H37</f>
        <v>0</v>
      </c>
      <c r="I36" s="1603">
        <f>I37</f>
        <v>0</v>
      </c>
      <c r="J36" s="2186">
        <f>J37</f>
        <v>0</v>
      </c>
      <c r="K36" s="2186">
        <f>K37</f>
        <v>0</v>
      </c>
      <c r="L36" s="1602">
        <f t="shared" si="8"/>
        <v>0</v>
      </c>
      <c r="M36" s="1603">
        <f>M37</f>
        <v>0</v>
      </c>
      <c r="N36" s="1603">
        <f>N37</f>
        <v>0</v>
      </c>
      <c r="O36" s="1602">
        <f t="shared" si="9"/>
        <v>0</v>
      </c>
      <c r="P36" s="1603">
        <f>P37</f>
        <v>0</v>
      </c>
      <c r="Q36" s="1603">
        <f>Q37</f>
        <v>0</v>
      </c>
      <c r="R36" s="1423" t="e">
        <f>D36-#REF!</f>
        <v>#REF!</v>
      </c>
      <c r="S36" s="1423"/>
      <c r="T36" s="1423"/>
    </row>
    <row r="37" spans="1:20" s="484" customFormat="1" ht="40.5" hidden="1" customHeight="1">
      <c r="A37" s="2182">
        <f>A33+1</f>
        <v>4</v>
      </c>
      <c r="B37" s="1889" t="s">
        <v>681</v>
      </c>
      <c r="C37" s="1882"/>
      <c r="D37" s="1600">
        <f t="shared" si="3"/>
        <v>0</v>
      </c>
      <c r="E37" s="1608">
        <v>0</v>
      </c>
      <c r="F37" s="1608">
        <v>0</v>
      </c>
      <c r="G37" s="1600">
        <f t="shared" ref="G37:G52" si="10">SUM(H37:I37)</f>
        <v>0</v>
      </c>
      <c r="H37" s="1616"/>
      <c r="I37" s="1616"/>
      <c r="J37" s="2181"/>
      <c r="K37" s="2181"/>
      <c r="L37" s="1602">
        <f t="shared" si="8"/>
        <v>0</v>
      </c>
      <c r="M37" s="1614">
        <v>0</v>
      </c>
      <c r="N37" s="1614">
        <v>0</v>
      </c>
      <c r="O37" s="1602">
        <f t="shared" si="9"/>
        <v>0</v>
      </c>
      <c r="P37" s="1614">
        <v>0</v>
      </c>
      <c r="Q37" s="1614">
        <v>0</v>
      </c>
      <c r="R37" s="1423" t="e">
        <f>D37-#REF!</f>
        <v>#REF!</v>
      </c>
      <c r="S37" s="1423"/>
      <c r="T37" s="1423"/>
    </row>
    <row r="38" spans="1:20" s="484" customFormat="1" ht="27" customHeight="1">
      <c r="A38" s="2182"/>
      <c r="B38" s="2184" t="s">
        <v>1554</v>
      </c>
      <c r="C38" s="1882"/>
      <c r="D38" s="1600">
        <f t="shared" si="3"/>
        <v>148579</v>
      </c>
      <c r="E38" s="2186">
        <f>E39+E42</f>
        <v>133221.5</v>
      </c>
      <c r="F38" s="2186">
        <f>SUM(F39:F42)</f>
        <v>15357.5</v>
      </c>
      <c r="G38" s="1600">
        <f t="shared" ref="G38" si="11">SUM(H38:I38)</f>
        <v>57273.7</v>
      </c>
      <c r="H38" s="2186">
        <f>H39+H42</f>
        <v>52253.599999999999</v>
      </c>
      <c r="I38" s="2186">
        <f>SUM(I39:I42)</f>
        <v>5020.1000000000004</v>
      </c>
      <c r="J38" s="2181"/>
      <c r="K38" s="2181"/>
      <c r="L38" s="1602">
        <f t="shared" si="8"/>
        <v>0</v>
      </c>
      <c r="M38" s="1603">
        <f>SUM(M39:M42)</f>
        <v>0</v>
      </c>
      <c r="N38" s="1603">
        <f>SUM(N39:N42)</f>
        <v>0</v>
      </c>
      <c r="O38" s="1602">
        <f t="shared" si="9"/>
        <v>0</v>
      </c>
      <c r="P38" s="1603">
        <f>SUM(P39:P42)</f>
        <v>0</v>
      </c>
      <c r="Q38" s="1603">
        <f>SUM(Q39:Q42)</f>
        <v>0</v>
      </c>
      <c r="R38" s="1423" t="e">
        <f>D38-#REF!</f>
        <v>#REF!</v>
      </c>
      <c r="S38" s="1423"/>
      <c r="T38" s="1423"/>
    </row>
    <row r="39" spans="1:20" s="484" customFormat="1" ht="42.75" customHeight="1">
      <c r="A39" s="2182">
        <f>A33+1</f>
        <v>4</v>
      </c>
      <c r="B39" s="1889" t="s">
        <v>1623</v>
      </c>
      <c r="C39" s="1882"/>
      <c r="D39" s="1600">
        <f t="shared" si="3"/>
        <v>114201.7</v>
      </c>
      <c r="E39" s="1608">
        <f>E40+E41</f>
        <v>107348.8</v>
      </c>
      <c r="F39" s="1608">
        <f>F40+F41</f>
        <v>6852.9</v>
      </c>
      <c r="G39" s="1600">
        <f t="shared" si="10"/>
        <v>28065.1</v>
      </c>
      <c r="H39" s="1616">
        <f>H40+H41</f>
        <v>26380.9</v>
      </c>
      <c r="I39" s="1616">
        <f>I40+I41</f>
        <v>1684.2</v>
      </c>
      <c r="J39" s="2181"/>
      <c r="K39" s="2181"/>
      <c r="L39" s="1602">
        <f t="shared" si="8"/>
        <v>0</v>
      </c>
      <c r="M39" s="1614">
        <v>0</v>
      </c>
      <c r="N39" s="1614">
        <v>0</v>
      </c>
      <c r="O39" s="1602">
        <f t="shared" si="9"/>
        <v>0</v>
      </c>
      <c r="P39" s="1614">
        <v>0</v>
      </c>
      <c r="Q39" s="1614">
        <v>0</v>
      </c>
      <c r="R39" s="1423" t="e">
        <f>D39-#REF!</f>
        <v>#REF!</v>
      </c>
      <c r="S39" s="1423"/>
      <c r="T39" s="1423"/>
    </row>
    <row r="40" spans="1:20" s="484" customFormat="1" ht="27.75" customHeight="1">
      <c r="A40" s="2182"/>
      <c r="B40" s="1619" t="s">
        <v>1620</v>
      </c>
      <c r="C40" s="1882"/>
      <c r="D40" s="1600">
        <f>SUM(E40:F40)</f>
        <v>39965.599999999999</v>
      </c>
      <c r="E40" s="1608">
        <v>37567.599999999999</v>
      </c>
      <c r="F40" s="1608">
        <v>2398</v>
      </c>
      <c r="G40" s="1600">
        <f>SUM(H40:I40)</f>
        <v>227.5</v>
      </c>
      <c r="H40" s="1616">
        <v>213.8</v>
      </c>
      <c r="I40" s="1616">
        <v>13.7</v>
      </c>
      <c r="J40" s="2181"/>
      <c r="K40" s="2181"/>
      <c r="L40" s="1602"/>
      <c r="M40" s="1614"/>
      <c r="N40" s="1614"/>
      <c r="O40" s="1602"/>
      <c r="P40" s="1614"/>
      <c r="Q40" s="1614"/>
      <c r="R40" s="1423"/>
      <c r="S40" s="1423"/>
      <c r="T40" s="1423"/>
    </row>
    <row r="41" spans="1:20" s="484" customFormat="1" ht="26.25" customHeight="1">
      <c r="A41" s="2182"/>
      <c r="B41" s="1619" t="s">
        <v>1798</v>
      </c>
      <c r="C41" s="1882"/>
      <c r="D41" s="1602">
        <f>SUM(E41:F41)</f>
        <v>74236.100000000006</v>
      </c>
      <c r="E41" s="1616">
        <v>69781.2</v>
      </c>
      <c r="F41" s="1616">
        <v>4454.8999999999996</v>
      </c>
      <c r="G41" s="1602">
        <f>SUM(H41:I41)</f>
        <v>27837.599999999999</v>
      </c>
      <c r="H41" s="1616">
        <v>26167.1</v>
      </c>
      <c r="I41" s="1616">
        <v>1670.5</v>
      </c>
      <c r="J41" s="2181"/>
      <c r="K41" s="2181"/>
      <c r="L41" s="1602"/>
      <c r="M41" s="1614"/>
      <c r="N41" s="1614"/>
      <c r="O41" s="1602"/>
      <c r="P41" s="1614"/>
      <c r="Q41" s="1614"/>
      <c r="R41" s="1423"/>
      <c r="S41" s="1423"/>
      <c r="T41" s="1423"/>
    </row>
    <row r="42" spans="1:20" s="484" customFormat="1" ht="44.25" customHeight="1">
      <c r="A42" s="2182">
        <f>A39+1</f>
        <v>5</v>
      </c>
      <c r="B42" s="1889" t="s">
        <v>1660</v>
      </c>
      <c r="C42" s="1882"/>
      <c r="D42" s="1616">
        <f t="shared" si="3"/>
        <v>27524.400000000001</v>
      </c>
      <c r="E42" s="1616">
        <f>E43+E44</f>
        <v>25872.7</v>
      </c>
      <c r="F42" s="1616">
        <f>F43+F44</f>
        <v>1651.7</v>
      </c>
      <c r="G42" s="1616">
        <f t="shared" si="10"/>
        <v>27524.400000000001</v>
      </c>
      <c r="H42" s="1616">
        <f>H43+H44</f>
        <v>25872.7</v>
      </c>
      <c r="I42" s="1616">
        <f>I43+I44</f>
        <v>1651.7</v>
      </c>
      <c r="J42" s="2181"/>
      <c r="K42" s="2181"/>
      <c r="L42" s="1616">
        <f t="shared" si="8"/>
        <v>0</v>
      </c>
      <c r="M42" s="1616">
        <f>M44</f>
        <v>0</v>
      </c>
      <c r="N42" s="1616">
        <f>N44</f>
        <v>0</v>
      </c>
      <c r="O42" s="1616">
        <f t="shared" si="9"/>
        <v>0</v>
      </c>
      <c r="P42" s="1616">
        <f>P44</f>
        <v>0</v>
      </c>
      <c r="Q42" s="1616">
        <f>Q44</f>
        <v>0</v>
      </c>
      <c r="R42" s="1423" t="e">
        <f>D42-#REF!</f>
        <v>#REF!</v>
      </c>
      <c r="S42" s="1423"/>
      <c r="T42" s="1423"/>
    </row>
    <row r="43" spans="1:20" s="484" customFormat="1" ht="30.75" customHeight="1">
      <c r="A43" s="2182"/>
      <c r="B43" s="1619" t="s">
        <v>1798</v>
      </c>
      <c r="C43" s="1882"/>
      <c r="D43" s="1600">
        <f>SUM(E43:F43)</f>
        <v>27524.400000000001</v>
      </c>
      <c r="E43" s="1865">
        <v>25872.7</v>
      </c>
      <c r="F43" s="1865">
        <v>1651.7</v>
      </c>
      <c r="G43" s="1600">
        <f>SUM(H43:I43)</f>
        <v>27524.400000000001</v>
      </c>
      <c r="H43" s="1864">
        <v>25872.7</v>
      </c>
      <c r="I43" s="1864">
        <v>1651.7</v>
      </c>
      <c r="J43" s="2181"/>
      <c r="K43" s="2181"/>
      <c r="L43" s="1616"/>
      <c r="M43" s="1616"/>
      <c r="N43" s="1616"/>
      <c r="O43" s="1616"/>
      <c r="P43" s="1616"/>
      <c r="Q43" s="1616"/>
      <c r="R43" s="1423"/>
      <c r="S43" s="1423"/>
      <c r="T43" s="1423"/>
    </row>
    <row r="44" spans="1:20" s="484" customFormat="1" ht="23.25" hidden="1">
      <c r="A44" s="2182"/>
      <c r="B44" s="1619" t="s">
        <v>1621</v>
      </c>
      <c r="C44" s="1906"/>
      <c r="D44" s="1600">
        <f t="shared" si="3"/>
        <v>0</v>
      </c>
      <c r="E44" s="1865"/>
      <c r="F44" s="1865"/>
      <c r="G44" s="1600">
        <f t="shared" si="10"/>
        <v>0</v>
      </c>
      <c r="H44" s="1864"/>
      <c r="I44" s="1864"/>
      <c r="J44" s="2181"/>
      <c r="K44" s="2181"/>
      <c r="L44" s="1609">
        <f t="shared" si="8"/>
        <v>0</v>
      </c>
      <c r="M44" s="1614">
        <v>0</v>
      </c>
      <c r="N44" s="1614">
        <v>0</v>
      </c>
      <c r="O44" s="1602">
        <f t="shared" si="9"/>
        <v>0</v>
      </c>
      <c r="P44" s="1614">
        <v>0</v>
      </c>
      <c r="Q44" s="1614">
        <v>0</v>
      </c>
      <c r="R44" s="1423" t="e">
        <f>D44-#REF!</f>
        <v>#REF!</v>
      </c>
      <c r="S44" s="1423"/>
      <c r="T44" s="1423"/>
    </row>
    <row r="45" spans="1:20" s="484" customFormat="1" ht="23.25" hidden="1" customHeight="1">
      <c r="A45" s="2182"/>
      <c r="B45" s="1935" t="s">
        <v>712</v>
      </c>
      <c r="C45" s="1906"/>
      <c r="D45" s="1600" t="s">
        <v>332</v>
      </c>
      <c r="E45" s="1865"/>
      <c r="F45" s="1865"/>
      <c r="G45" s="1600"/>
      <c r="H45" s="1864"/>
      <c r="I45" s="1864"/>
      <c r="J45" s="2181"/>
      <c r="K45" s="2181"/>
      <c r="L45" s="1609"/>
      <c r="M45" s="1614"/>
      <c r="N45" s="1614"/>
      <c r="O45" s="1602"/>
      <c r="P45" s="1614"/>
      <c r="Q45" s="1614"/>
      <c r="R45" s="1423"/>
      <c r="S45" s="1423"/>
      <c r="T45" s="1423"/>
    </row>
    <row r="46" spans="1:20" s="484" customFormat="1" ht="23.25" hidden="1">
      <c r="A46" s="2182">
        <f>A42+1</f>
        <v>6</v>
      </c>
      <c r="B46" s="2184" t="s">
        <v>1803</v>
      </c>
      <c r="C46" s="1906"/>
      <c r="D46" s="1600">
        <f>E46+F46</f>
        <v>0</v>
      </c>
      <c r="E46" s="1865">
        <f>E47</f>
        <v>0</v>
      </c>
      <c r="F46" s="2186">
        <f>F47</f>
        <v>0</v>
      </c>
      <c r="G46" s="1600">
        <f>H46+I46</f>
        <v>0</v>
      </c>
      <c r="H46" s="1864">
        <f>H47</f>
        <v>0</v>
      </c>
      <c r="I46" s="1864">
        <f>I47</f>
        <v>0</v>
      </c>
      <c r="J46" s="2181"/>
      <c r="K46" s="2181"/>
      <c r="L46" s="1609"/>
      <c r="M46" s="1614"/>
      <c r="N46" s="1614"/>
      <c r="O46" s="1602"/>
      <c r="P46" s="1614"/>
      <c r="Q46" s="1614"/>
      <c r="R46" s="1423"/>
      <c r="S46" s="1423"/>
      <c r="T46" s="1423"/>
    </row>
    <row r="47" spans="1:20" s="484" customFormat="1" ht="66" hidden="1" customHeight="1">
      <c r="A47" s="2182"/>
      <c r="B47" s="1905" t="s">
        <v>1802</v>
      </c>
      <c r="C47" s="1906"/>
      <c r="D47" s="1600">
        <f>E47+F47</f>
        <v>0</v>
      </c>
      <c r="E47" s="1865">
        <f>E48</f>
        <v>0</v>
      </c>
      <c r="F47" s="1865">
        <f>F48</f>
        <v>0</v>
      </c>
      <c r="G47" s="1600">
        <f>H47+I47</f>
        <v>0</v>
      </c>
      <c r="H47" s="1864">
        <f>H48</f>
        <v>0</v>
      </c>
      <c r="I47" s="1864">
        <f>I48</f>
        <v>0</v>
      </c>
      <c r="J47" s="2181"/>
      <c r="K47" s="2181"/>
      <c r="L47" s="1609"/>
      <c r="M47" s="1614"/>
      <c r="N47" s="1614"/>
      <c r="O47" s="1602"/>
      <c r="P47" s="1614"/>
      <c r="Q47" s="1614"/>
      <c r="R47" s="1423"/>
      <c r="S47" s="1423"/>
      <c r="T47" s="1423"/>
    </row>
    <row r="48" spans="1:20" s="484" customFormat="1" ht="23.25" hidden="1">
      <c r="A48" s="2182"/>
      <c r="B48" s="1619" t="s">
        <v>1621</v>
      </c>
      <c r="C48" s="1906"/>
      <c r="D48" s="1600">
        <f>SUM(E48:F48)</f>
        <v>0</v>
      </c>
      <c r="E48" s="1865"/>
      <c r="F48" s="1865"/>
      <c r="G48" s="1600">
        <f>SUM(H48:I48)</f>
        <v>0</v>
      </c>
      <c r="H48" s="1864"/>
      <c r="I48" s="1864"/>
      <c r="J48" s="2181"/>
      <c r="K48" s="2181"/>
      <c r="L48" s="1609"/>
      <c r="M48" s="1614"/>
      <c r="N48" s="1614"/>
      <c r="O48" s="1602"/>
      <c r="P48" s="1614"/>
      <c r="Q48" s="1614"/>
      <c r="R48" s="1423"/>
      <c r="S48" s="1423"/>
      <c r="T48" s="1423"/>
    </row>
    <row r="49" spans="1:20" s="484" customFormat="1" ht="23.25">
      <c r="A49" s="2182"/>
      <c r="B49" s="2184" t="s">
        <v>1626</v>
      </c>
      <c r="C49" s="1882"/>
      <c r="D49" s="1602">
        <f t="shared" si="3"/>
        <v>2117.1</v>
      </c>
      <c r="E49" s="1603">
        <f>E50</f>
        <v>1990</v>
      </c>
      <c r="F49" s="1603">
        <f>F50</f>
        <v>127.1</v>
      </c>
      <c r="G49" s="1602">
        <f t="shared" si="10"/>
        <v>2055.8000000000002</v>
      </c>
      <c r="H49" s="1603">
        <f>H50</f>
        <v>1932.4</v>
      </c>
      <c r="I49" s="1603">
        <f>I50</f>
        <v>123.4</v>
      </c>
      <c r="J49" s="2181"/>
      <c r="K49" s="2181"/>
      <c r="L49" s="1602">
        <f t="shared" si="8"/>
        <v>0</v>
      </c>
      <c r="M49" s="1603">
        <f>M50</f>
        <v>0</v>
      </c>
      <c r="N49" s="1603">
        <f>N50</f>
        <v>0</v>
      </c>
      <c r="O49" s="1602">
        <f t="shared" si="9"/>
        <v>0</v>
      </c>
      <c r="P49" s="1603">
        <f>P50</f>
        <v>0</v>
      </c>
      <c r="Q49" s="1603">
        <f>Q50</f>
        <v>0</v>
      </c>
      <c r="R49" s="1423" t="e">
        <f>D49-#REF!</f>
        <v>#REF!</v>
      </c>
      <c r="S49" s="1423"/>
      <c r="T49" s="1423"/>
    </row>
    <row r="50" spans="1:20" s="484" customFormat="1" ht="37.5">
      <c r="A50" s="2182">
        <f>A42+1</f>
        <v>6</v>
      </c>
      <c r="B50" s="1889" t="s">
        <v>1627</v>
      </c>
      <c r="C50" s="1882"/>
      <c r="D50" s="1600">
        <f t="shared" si="3"/>
        <v>2117.1</v>
      </c>
      <c r="E50" s="1616">
        <f>SUBTOTAL(9,E51:E52)</f>
        <v>1990</v>
      </c>
      <c r="F50" s="1616">
        <f>SUBTOTAL(9,F51:F52)</f>
        <v>127.1</v>
      </c>
      <c r="G50" s="1600">
        <f t="shared" si="10"/>
        <v>2055.8000000000002</v>
      </c>
      <c r="H50" s="1608">
        <f>H51+H52</f>
        <v>1932.4</v>
      </c>
      <c r="I50" s="1608">
        <f>I51+I52</f>
        <v>123.4</v>
      </c>
      <c r="J50" s="2181"/>
      <c r="K50" s="2181"/>
      <c r="L50" s="1600">
        <f t="shared" si="8"/>
        <v>0</v>
      </c>
      <c r="M50" s="1608">
        <f>M52</f>
        <v>0</v>
      </c>
      <c r="N50" s="1608">
        <f>N52</f>
        <v>0</v>
      </c>
      <c r="O50" s="1600">
        <f t="shared" si="9"/>
        <v>0</v>
      </c>
      <c r="P50" s="1608">
        <f>P52</f>
        <v>0</v>
      </c>
      <c r="Q50" s="1608">
        <f>Q52</f>
        <v>0</v>
      </c>
      <c r="R50" s="1423" t="e">
        <f>D50-#REF!</f>
        <v>#REF!</v>
      </c>
      <c r="S50" s="1423"/>
      <c r="T50" s="1423"/>
    </row>
    <row r="51" spans="1:20" s="484" customFormat="1" ht="23.25">
      <c r="A51" s="2182"/>
      <c r="B51" s="1619" t="s">
        <v>1798</v>
      </c>
      <c r="C51" s="1882"/>
      <c r="D51" s="1600">
        <f>SUM(E51:F51)</f>
        <v>2117.1</v>
      </c>
      <c r="E51" s="1865">
        <v>1990</v>
      </c>
      <c r="F51" s="1865">
        <v>127.1</v>
      </c>
      <c r="G51" s="1600">
        <f>SUM(H51:I51)</f>
        <v>2055.8000000000002</v>
      </c>
      <c r="H51" s="1865">
        <v>1932.4</v>
      </c>
      <c r="I51" s="1865">
        <v>123.4</v>
      </c>
      <c r="J51" s="2181"/>
      <c r="K51" s="2181"/>
      <c r="L51" s="1600"/>
      <c r="M51" s="1608"/>
      <c r="N51" s="1608"/>
      <c r="O51" s="1600"/>
      <c r="P51" s="1608"/>
      <c r="Q51" s="1608"/>
      <c r="R51" s="1423"/>
      <c r="S51" s="1423"/>
      <c r="T51" s="1423"/>
    </row>
    <row r="52" spans="1:20" s="484" customFormat="1" ht="23.25" hidden="1">
      <c r="A52" s="2182"/>
      <c r="B52" s="1619" t="s">
        <v>1621</v>
      </c>
      <c r="C52" s="1906"/>
      <c r="D52" s="1600">
        <f t="shared" si="3"/>
        <v>0</v>
      </c>
      <c r="E52" s="1865"/>
      <c r="F52" s="1616"/>
      <c r="G52" s="1600">
        <f t="shared" si="10"/>
        <v>0</v>
      </c>
      <c r="H52" s="1865"/>
      <c r="I52" s="1865"/>
      <c r="J52" s="2181"/>
      <c r="K52" s="2181"/>
      <c r="L52" s="1600">
        <f t="shared" si="8"/>
        <v>0</v>
      </c>
      <c r="M52" s="1614">
        <v>0</v>
      </c>
      <c r="N52" s="1614">
        <v>0</v>
      </c>
      <c r="O52" s="1600">
        <f t="shared" si="9"/>
        <v>0</v>
      </c>
      <c r="P52" s="1614">
        <v>0</v>
      </c>
      <c r="Q52" s="1614">
        <v>0</v>
      </c>
      <c r="R52" s="1423" t="e">
        <f>D52-#REF!</f>
        <v>#REF!</v>
      </c>
      <c r="S52" s="1423"/>
      <c r="T52" s="1423"/>
    </row>
    <row r="53" spans="1:20" ht="46.5" customHeight="1">
      <c r="A53" s="2149" t="s">
        <v>2</v>
      </c>
      <c r="B53" s="2150" t="s">
        <v>1695</v>
      </c>
      <c r="C53" s="2151"/>
      <c r="D53" s="2152">
        <f t="shared" si="3"/>
        <v>3433825.7</v>
      </c>
      <c r="E53" s="2152">
        <f>SUM(E57:E60)</f>
        <v>3226945.6</v>
      </c>
      <c r="F53" s="2152">
        <f>SUM(F57:F60)</f>
        <v>206880.1</v>
      </c>
      <c r="G53" s="2152">
        <f t="shared" ref="G53" si="12">SUM(H53:I53)</f>
        <v>1653577.3</v>
      </c>
      <c r="H53" s="2152">
        <f>SUM(H57:H60)</f>
        <v>1554028.7</v>
      </c>
      <c r="I53" s="2152">
        <f>SUM(I57:I60)</f>
        <v>99548.6</v>
      </c>
      <c r="J53" s="1622" t="s">
        <v>353</v>
      </c>
      <c r="K53" s="1622" t="s">
        <v>353</v>
      </c>
      <c r="L53" s="1861" t="e">
        <f t="shared" si="8"/>
        <v>#REF!</v>
      </c>
      <c r="M53" s="1861" t="e">
        <f>SUM(#REF!,#REF!)</f>
        <v>#REF!</v>
      </c>
      <c r="N53" s="1861" t="e">
        <f>SUM(#REF!,#REF!)</f>
        <v>#REF!</v>
      </c>
      <c r="O53" s="1861" t="e">
        <f t="shared" si="9"/>
        <v>#REF!</v>
      </c>
      <c r="P53" s="1861" t="e">
        <f>SUM(#REF!,#REF!)</f>
        <v>#REF!</v>
      </c>
      <c r="Q53" s="1861" t="e">
        <f>SUM(#REF!,#REF!)</f>
        <v>#REF!</v>
      </c>
      <c r="R53" s="1423" t="e">
        <f>D53-#REF!</f>
        <v>#REF!</v>
      </c>
      <c r="S53" s="1423"/>
      <c r="T53" s="1423"/>
    </row>
    <row r="54" spans="1:20" ht="27" hidden="1" customHeight="1">
      <c r="A54" s="2182"/>
      <c r="B54" s="1897" t="s">
        <v>1650</v>
      </c>
      <c r="C54" s="1898"/>
      <c r="D54" s="1899">
        <f t="shared" ref="D54:D59" si="13">SUM(E54:F54)</f>
        <v>0</v>
      </c>
      <c r="E54" s="1899">
        <f>SUM(E55)</f>
        <v>0</v>
      </c>
      <c r="F54" s="1899">
        <f>SUM(F55)</f>
        <v>0</v>
      </c>
      <c r="G54" s="1899">
        <f t="shared" ref="G54:G57" si="14">SUM(H54:I54)</f>
        <v>0</v>
      </c>
      <c r="H54" s="1899">
        <f>SUM(H55)</f>
        <v>0</v>
      </c>
      <c r="I54" s="1899">
        <f>SUM(I55)</f>
        <v>0</v>
      </c>
      <c r="J54" s="1599"/>
      <c r="K54" s="1599"/>
      <c r="L54" s="1899">
        <f>SUM(M54:N54)</f>
        <v>0</v>
      </c>
      <c r="M54" s="1899">
        <f>SUM(M55)</f>
        <v>0</v>
      </c>
      <c r="N54" s="1899">
        <f>SUM(N55)</f>
        <v>0</v>
      </c>
      <c r="O54" s="1899">
        <f>SUM(P54:Q54)</f>
        <v>788784.8</v>
      </c>
      <c r="P54" s="1899">
        <f>SUM(P55)</f>
        <v>780897</v>
      </c>
      <c r="Q54" s="1899">
        <f>SUM(Q55)</f>
        <v>7887.8</v>
      </c>
      <c r="S54" s="1423"/>
      <c r="T54" s="1423"/>
    </row>
    <row r="55" spans="1:20" s="1607" customFormat="1" ht="44.25" hidden="1" customHeight="1">
      <c r="A55" s="2182" t="e">
        <f>#REF!+1</f>
        <v>#REF!</v>
      </c>
      <c r="B55" s="1890" t="s">
        <v>455</v>
      </c>
      <c r="C55" s="1880">
        <v>14057</v>
      </c>
      <c r="D55" s="1600">
        <f t="shared" si="13"/>
        <v>0</v>
      </c>
      <c r="E55" s="1614"/>
      <c r="F55" s="1614"/>
      <c r="G55" s="1600">
        <f t="shared" si="14"/>
        <v>0</v>
      </c>
      <c r="H55" s="1614"/>
      <c r="I55" s="1614"/>
      <c r="J55" s="2181" t="s">
        <v>1192</v>
      </c>
      <c r="K55" s="2181" t="s">
        <v>1206</v>
      </c>
      <c r="L55" s="1600">
        <f>SUM(M55:N55)</f>
        <v>0</v>
      </c>
      <c r="M55" s="1614">
        <v>0</v>
      </c>
      <c r="N55" s="1614">
        <v>0</v>
      </c>
      <c r="O55" s="1600">
        <f>SUM(P55:Q55)</f>
        <v>788784.8</v>
      </c>
      <c r="P55" s="1614">
        <v>780897</v>
      </c>
      <c r="Q55" s="1614">
        <v>7887.8</v>
      </c>
      <c r="S55" s="1423"/>
      <c r="T55" s="1423"/>
    </row>
    <row r="56" spans="1:20" s="1607" customFormat="1" ht="44.25" hidden="1" customHeight="1">
      <c r="A56" s="2182"/>
      <c r="B56" s="1890"/>
      <c r="C56" s="1880"/>
      <c r="D56" s="1600"/>
      <c r="E56" s="1614"/>
      <c r="F56" s="1614"/>
      <c r="G56" s="1600"/>
      <c r="H56" s="1600"/>
      <c r="I56" s="1600"/>
      <c r="J56" s="2181"/>
      <c r="K56" s="2181"/>
      <c r="L56" s="1600"/>
      <c r="M56" s="1614"/>
      <c r="N56" s="1614"/>
      <c r="O56" s="1600"/>
      <c r="P56" s="1614"/>
      <c r="Q56" s="1614"/>
      <c r="S56" s="1423"/>
      <c r="T56" s="1423"/>
    </row>
    <row r="57" spans="1:20" ht="23.25">
      <c r="A57" s="2044"/>
      <c r="B57" s="2049" t="s">
        <v>1834</v>
      </c>
      <c r="C57" s="2047"/>
      <c r="D57" s="2048">
        <f>SUM(E57:F57)</f>
        <v>2675187.6</v>
      </c>
      <c r="E57" s="2049">
        <f>E65+E70+E73+E79+E86+E90+E97+E101+E110+E113+E116+E120+E124+E126+E129+E132+E135+E140+E142+E145+E149+E153+E156+E76+E82+E93+E66</f>
        <v>2514202.4</v>
      </c>
      <c r="F57" s="2049">
        <f>F65+F70+F73+F79+F86+F90+F97+F101+F110+F113+F116+F120+F124+F126+F129+F132+F135+F140+F142+F145+F149+F153+F156+F76+F82+F93+F66</f>
        <v>160985.20000000001</v>
      </c>
      <c r="G57" s="2048">
        <f t="shared" si="14"/>
        <v>1249761.1000000001</v>
      </c>
      <c r="H57" s="2049">
        <f>H65+H70+H73+H79+H86+H90+H97+H101+H110+H113+H116+H120+H124+H126+H129+H132+H135+H140+H142+H145+H149+H153+H156+H76+H82+H93+H66</f>
        <v>1174647.3999999999</v>
      </c>
      <c r="I57" s="2049">
        <f>I65+I70+I73+I79+I86+I90+I97+I101+I110+I113+I116+I120+I124+I126+I129+I132+I135+I140+I142+I145+I149+I153+I156+I76+I82+I93+I66</f>
        <v>75113.7</v>
      </c>
      <c r="J57" s="1860"/>
      <c r="K57" s="1860"/>
      <c r="L57" s="1860"/>
      <c r="M57" s="1860"/>
      <c r="N57" s="1860"/>
      <c r="O57" s="1860"/>
      <c r="P57" s="1860"/>
      <c r="Q57" s="1860"/>
      <c r="R57" s="1423" t="e">
        <f>D57-#REF!</f>
        <v>#REF!</v>
      </c>
      <c r="S57" s="1423"/>
      <c r="T57" s="1423"/>
    </row>
    <row r="58" spans="1:20" ht="23.25">
      <c r="A58" s="2044"/>
      <c r="B58" s="2049" t="s">
        <v>1798</v>
      </c>
      <c r="C58" s="2047"/>
      <c r="D58" s="2048">
        <f>E58+F58</f>
        <v>452520.5</v>
      </c>
      <c r="E58" s="2049">
        <f>E83+E87+E94+E98+E117+E121+E136+E147</f>
        <v>425356.1</v>
      </c>
      <c r="F58" s="2049">
        <f>F83+F87+F94+F98+F117+F121+F136+F147</f>
        <v>27164.400000000001</v>
      </c>
      <c r="G58" s="2048">
        <f>H58+I58</f>
        <v>222096.2</v>
      </c>
      <c r="H58" s="2049">
        <f>H83+H87+H94+H98+H117+H121+H136+H147</f>
        <v>208768.1</v>
      </c>
      <c r="I58" s="2049">
        <f>I83+I87+I94+I98+I117+I121+I136+I147</f>
        <v>13328.1</v>
      </c>
      <c r="J58" s="1860"/>
      <c r="K58" s="1860"/>
      <c r="L58" s="1860"/>
      <c r="M58" s="1860"/>
      <c r="N58" s="1860"/>
      <c r="O58" s="1860"/>
      <c r="P58" s="1860"/>
      <c r="Q58" s="1860"/>
      <c r="R58" s="1423"/>
      <c r="S58" s="1423"/>
      <c r="T58" s="1423"/>
    </row>
    <row r="59" spans="1:20" ht="26.25" customHeight="1">
      <c r="A59" s="2044"/>
      <c r="B59" s="2049" t="s">
        <v>1770</v>
      </c>
      <c r="C59" s="2047"/>
      <c r="D59" s="2048">
        <f t="shared" si="13"/>
        <v>306117.59999999998</v>
      </c>
      <c r="E59" s="2049">
        <f>E62+E67+E71+E74+E77+E80+E84+E88+E91+E99+E102+E104+E111+E118+E122+E137+E143+E150+E154+E157+E107</f>
        <v>287387.09999999998</v>
      </c>
      <c r="F59" s="2049">
        <f>F62+F67+F71+F74+F77+F80+F84+F88+F91+F99+F102+F104+F111+F118+F122+F137+F143+F150+F154+F157+F107</f>
        <v>18730.5</v>
      </c>
      <c r="G59" s="2048">
        <f>SUM(H59:I59)</f>
        <v>181720</v>
      </c>
      <c r="H59" s="2049">
        <f>H62+H67+H71+H74+H77+H80+H84+H88+H91+H99+H102+H104+H111+H118+H122+H137+H143+H150+H154+H157+H107</f>
        <v>170613.2</v>
      </c>
      <c r="I59" s="2049">
        <f>I62+I67+I71+I74+I77+I80+I84+I88+I91+I99+I102+I104+I111+I118+I122+I137+I143+I150+I154+I157+I107</f>
        <v>11106.8</v>
      </c>
      <c r="J59" s="2181"/>
      <c r="K59" s="2181"/>
      <c r="L59" s="1600"/>
      <c r="M59" s="1619"/>
      <c r="N59" s="1619"/>
      <c r="O59" s="1600"/>
      <c r="P59" s="1619"/>
      <c r="Q59" s="1619"/>
      <c r="R59" s="1423" t="e">
        <f>D59-#REF!</f>
        <v>#REF!</v>
      </c>
      <c r="S59" s="1423"/>
      <c r="T59" s="1423"/>
    </row>
    <row r="60" spans="1:20" ht="23.25" hidden="1">
      <c r="A60" s="2044"/>
      <c r="B60" s="2049" t="s">
        <v>1833</v>
      </c>
      <c r="C60" s="2047"/>
      <c r="D60" s="2048">
        <f t="shared" ref="D60:I60" si="15">D63+D68+D95+D105+D114+D130+D151+D108+D133+D138</f>
        <v>0</v>
      </c>
      <c r="E60" s="2049">
        <f t="shared" si="15"/>
        <v>0</v>
      </c>
      <c r="F60" s="2049">
        <f t="shared" si="15"/>
        <v>0</v>
      </c>
      <c r="G60" s="2048">
        <f t="shared" si="15"/>
        <v>0</v>
      </c>
      <c r="H60" s="2049">
        <f t="shared" si="15"/>
        <v>0</v>
      </c>
      <c r="I60" s="2049">
        <f t="shared" si="15"/>
        <v>0</v>
      </c>
      <c r="J60" s="1860"/>
      <c r="K60" s="1860"/>
      <c r="L60" s="1860"/>
      <c r="M60" s="1860"/>
      <c r="N60" s="1860"/>
      <c r="O60" s="1860"/>
      <c r="P60" s="1860"/>
      <c r="Q60" s="1860"/>
      <c r="R60" s="1423" t="e">
        <f>D60-#REF!</f>
        <v>#REF!</v>
      </c>
      <c r="S60" s="1423"/>
      <c r="T60" s="1423"/>
    </row>
    <row r="61" spans="1:20" ht="67.5" customHeight="1">
      <c r="A61" s="2182">
        <f>A50+1</f>
        <v>7</v>
      </c>
      <c r="B61" s="1919" t="s">
        <v>1709</v>
      </c>
      <c r="C61" s="2183"/>
      <c r="D61" s="1602">
        <f>SUM(E61:F61)</f>
        <v>652.79999999999995</v>
      </c>
      <c r="E61" s="1609">
        <f>E62+E63</f>
        <v>612.20000000000005</v>
      </c>
      <c r="F61" s="1609">
        <f>F62+F63</f>
        <v>40.6</v>
      </c>
      <c r="G61" s="1602">
        <f>SUM(H61:I61)</f>
        <v>45.3</v>
      </c>
      <c r="H61" s="1619">
        <f>H62+H63</f>
        <v>42.5</v>
      </c>
      <c r="I61" s="1609">
        <f>I62+I63</f>
        <v>2.8</v>
      </c>
      <c r="J61" s="2181"/>
      <c r="K61" s="2181"/>
      <c r="L61" s="1600">
        <f>M61+N61</f>
        <v>0</v>
      </c>
      <c r="M61" s="1619">
        <v>0</v>
      </c>
      <c r="N61" s="1619">
        <v>0</v>
      </c>
      <c r="O61" s="1600">
        <f>P61+Q61</f>
        <v>0</v>
      </c>
      <c r="P61" s="1619">
        <v>0</v>
      </c>
      <c r="Q61" s="1619">
        <v>0</v>
      </c>
      <c r="R61" s="1423" t="e">
        <f>D61-#REF!</f>
        <v>#REF!</v>
      </c>
      <c r="S61" s="1423"/>
      <c r="T61" s="1423"/>
    </row>
    <row r="62" spans="1:20" ht="26.25" customHeight="1">
      <c r="A62" s="2182"/>
      <c r="B62" s="1609" t="s">
        <v>1770</v>
      </c>
      <c r="C62" s="2183"/>
      <c r="D62" s="1602">
        <f>SUM(E62:F62)</f>
        <v>652.79999999999995</v>
      </c>
      <c r="E62" s="1609">
        <v>612.20000000000005</v>
      </c>
      <c r="F62" s="1609">
        <v>40.6</v>
      </c>
      <c r="G62" s="1600">
        <f>SUM(H62:I62)</f>
        <v>45.3</v>
      </c>
      <c r="H62" s="1619">
        <v>42.5</v>
      </c>
      <c r="I62" s="1619">
        <v>2.8</v>
      </c>
      <c r="J62" s="2181"/>
      <c r="K62" s="2181"/>
      <c r="L62" s="1600"/>
      <c r="M62" s="1619"/>
      <c r="N62" s="1619"/>
      <c r="O62" s="1600"/>
      <c r="P62" s="1619"/>
      <c r="Q62" s="1619"/>
      <c r="R62" s="1423" t="e">
        <f>D62-#REF!</f>
        <v>#REF!</v>
      </c>
      <c r="S62" s="1423"/>
      <c r="T62" s="1423"/>
    </row>
    <row r="63" spans="1:20" ht="23.25" hidden="1">
      <c r="A63" s="2182"/>
      <c r="B63" s="1609" t="s">
        <v>1621</v>
      </c>
      <c r="C63" s="2183"/>
      <c r="D63" s="1602">
        <f>SUM(E63:F63)</f>
        <v>0</v>
      </c>
      <c r="E63" s="1609"/>
      <c r="F63" s="1609"/>
      <c r="G63" s="1600">
        <f>SUM(H63:I63)</f>
        <v>0</v>
      </c>
      <c r="H63" s="1619"/>
      <c r="I63" s="1619"/>
      <c r="J63" s="2181"/>
      <c r="K63" s="2181"/>
      <c r="L63" s="1600">
        <f>M63+N63</f>
        <v>0</v>
      </c>
      <c r="M63" s="1619">
        <v>0</v>
      </c>
      <c r="N63" s="1619">
        <v>0</v>
      </c>
      <c r="O63" s="1600">
        <f>P63+Q63</f>
        <v>0</v>
      </c>
      <c r="P63" s="1619">
        <v>0</v>
      </c>
      <c r="Q63" s="1619">
        <v>0</v>
      </c>
      <c r="R63" s="1423" t="e">
        <f>D63-#REF!</f>
        <v>#REF!</v>
      </c>
      <c r="S63" s="1423"/>
      <c r="T63" s="1423"/>
    </row>
    <row r="64" spans="1:20" ht="38.25" customHeight="1">
      <c r="A64" s="2182">
        <f>A61+1</f>
        <v>8</v>
      </c>
      <c r="B64" s="1919" t="s">
        <v>1702</v>
      </c>
      <c r="C64" s="2183"/>
      <c r="D64" s="1602">
        <f>SUM(E64:F64)</f>
        <v>125786.6</v>
      </c>
      <c r="E64" s="1609">
        <f>E65+E67+E68+E66</f>
        <v>117850.4</v>
      </c>
      <c r="F64" s="1609">
        <f>F65+F67+F68+F66</f>
        <v>7936.2</v>
      </c>
      <c r="G64" s="1602">
        <f>SUM(H64:I64)</f>
        <v>63596.800000000003</v>
      </c>
      <c r="H64" s="1609">
        <f>H65+H67+H68+H66</f>
        <v>59584.4</v>
      </c>
      <c r="I64" s="1609">
        <f>I65+I67+I68+I66</f>
        <v>4012.4</v>
      </c>
      <c r="J64" s="2181"/>
      <c r="K64" s="2181"/>
      <c r="L64" s="1600"/>
      <c r="M64" s="1619"/>
      <c r="N64" s="1619"/>
      <c r="O64" s="1600"/>
      <c r="P64" s="1619"/>
      <c r="Q64" s="1619"/>
      <c r="R64" s="1423" t="e">
        <f>D64-#REF!</f>
        <v>#REF!</v>
      </c>
      <c r="S64" s="1423"/>
      <c r="T64" s="1423"/>
    </row>
    <row r="65" spans="1:20" ht="19.5" hidden="1" customHeight="1">
      <c r="A65" s="2182"/>
      <c r="B65" s="1609"/>
      <c r="C65" s="2183"/>
      <c r="D65" s="1602"/>
      <c r="E65" s="1609"/>
      <c r="F65" s="1609"/>
      <c r="G65" s="1600"/>
      <c r="H65" s="1619"/>
      <c r="I65" s="1619"/>
      <c r="J65" s="2181"/>
      <c r="K65" s="2181"/>
      <c r="L65" s="1600"/>
      <c r="M65" s="1619"/>
      <c r="N65" s="1619"/>
      <c r="O65" s="1600"/>
      <c r="P65" s="1619"/>
      <c r="Q65" s="1619"/>
      <c r="R65" s="1423"/>
      <c r="S65" s="1423"/>
      <c r="T65" s="1423"/>
    </row>
    <row r="66" spans="1:20" ht="26.25" customHeight="1">
      <c r="A66" s="2182"/>
      <c r="B66" s="1609" t="s">
        <v>1821</v>
      </c>
      <c r="C66" s="2183"/>
      <c r="D66" s="1602">
        <f t="shared" ref="D66" si="16">SUM(E66:F66)</f>
        <v>4665.1000000000004</v>
      </c>
      <c r="E66" s="1609">
        <v>4370.7</v>
      </c>
      <c r="F66" s="1609">
        <v>294.39999999999998</v>
      </c>
      <c r="G66" s="1600">
        <f t="shared" ref="G66" si="17">SUM(H66:I66)</f>
        <v>0</v>
      </c>
      <c r="H66" s="1619"/>
      <c r="I66" s="1619"/>
      <c r="J66" s="2181"/>
      <c r="K66" s="2181"/>
      <c r="L66" s="1600"/>
      <c r="M66" s="1619"/>
      <c r="N66" s="1619"/>
      <c r="O66" s="1600"/>
      <c r="P66" s="1619"/>
      <c r="Q66" s="1619"/>
      <c r="R66" s="1423" t="e">
        <f>D66-#REF!</f>
        <v>#REF!</v>
      </c>
      <c r="S66" s="1423"/>
      <c r="T66" s="1423"/>
    </row>
    <row r="67" spans="1:20" ht="26.25" customHeight="1">
      <c r="A67" s="2182"/>
      <c r="B67" s="1609" t="s">
        <v>1770</v>
      </c>
      <c r="C67" s="2183"/>
      <c r="D67" s="1602">
        <f t="shared" ref="D67:D102" si="18">SUM(E67:F67)</f>
        <v>121121.5</v>
      </c>
      <c r="E67" s="1609">
        <f>117850.4-4370.7</f>
        <v>113479.7</v>
      </c>
      <c r="F67" s="1609">
        <f>7936.2-294.4</f>
        <v>7641.8</v>
      </c>
      <c r="G67" s="1600">
        <f t="shared" ref="G67:G130" si="19">SUM(H67:I67)</f>
        <v>63596.800000000003</v>
      </c>
      <c r="H67" s="1619">
        <f>58637.629+946.775</f>
        <v>59584.4</v>
      </c>
      <c r="I67" s="1619">
        <f>63.798+3948.6</f>
        <v>4012.4</v>
      </c>
      <c r="J67" s="2181"/>
      <c r="K67" s="2181"/>
      <c r="L67" s="1600"/>
      <c r="M67" s="1619"/>
      <c r="N67" s="1619"/>
      <c r="O67" s="1600"/>
      <c r="P67" s="1619"/>
      <c r="Q67" s="1619"/>
      <c r="R67" s="1423" t="e">
        <f>D67-#REF!</f>
        <v>#REF!</v>
      </c>
      <c r="S67" s="1423"/>
      <c r="T67" s="1423"/>
    </row>
    <row r="68" spans="1:20" ht="23.25" hidden="1">
      <c r="A68" s="2182"/>
      <c r="B68" s="1609" t="s">
        <v>1621</v>
      </c>
      <c r="C68" s="2183"/>
      <c r="D68" s="1602">
        <f t="shared" si="18"/>
        <v>0</v>
      </c>
      <c r="E68" s="1609"/>
      <c r="F68" s="1609"/>
      <c r="G68" s="1600">
        <f t="shared" si="19"/>
        <v>0</v>
      </c>
      <c r="H68" s="1619"/>
      <c r="I68" s="1619"/>
      <c r="J68" s="2181"/>
      <c r="K68" s="2181"/>
      <c r="L68" s="1600"/>
      <c r="M68" s="1619"/>
      <c r="N68" s="1619"/>
      <c r="O68" s="1600"/>
      <c r="P68" s="1619"/>
      <c r="Q68" s="1619"/>
      <c r="R68" s="1423" t="e">
        <f>D68-#REF!</f>
        <v>#REF!</v>
      </c>
      <c r="S68" s="1423"/>
      <c r="T68" s="1423"/>
    </row>
    <row r="69" spans="1:20" ht="40.5" customHeight="1">
      <c r="A69" s="2182">
        <f>A64+1</f>
        <v>9</v>
      </c>
      <c r="B69" s="1919" t="s">
        <v>1590</v>
      </c>
      <c r="C69" s="1906"/>
      <c r="D69" s="1600">
        <f>E69+F69</f>
        <v>20293.2</v>
      </c>
      <c r="E69" s="1619">
        <f>SUM(E70:E71)</f>
        <v>19075.7</v>
      </c>
      <c r="F69" s="1619">
        <f>F70+F71</f>
        <v>1217.5</v>
      </c>
      <c r="G69" s="1600">
        <f t="shared" si="19"/>
        <v>286.39999999999998</v>
      </c>
      <c r="H69" s="1619">
        <f>SUM(H70:H71)</f>
        <v>269.2</v>
      </c>
      <c r="I69" s="1619">
        <f>SUM(I70:I71)</f>
        <v>17.2</v>
      </c>
      <c r="J69" s="1619">
        <v>0</v>
      </c>
      <c r="K69" s="1619">
        <v>0</v>
      </c>
      <c r="L69" s="1600">
        <f>M69+N69</f>
        <v>0</v>
      </c>
      <c r="M69" s="1619">
        <v>0</v>
      </c>
      <c r="N69" s="1619">
        <v>0</v>
      </c>
      <c r="O69" s="1600">
        <f>P69+Q69</f>
        <v>0</v>
      </c>
      <c r="P69" s="1619">
        <v>0</v>
      </c>
      <c r="Q69" s="1619">
        <v>0</v>
      </c>
      <c r="R69" s="1423" t="e">
        <f>D69-#REF!</f>
        <v>#REF!</v>
      </c>
      <c r="S69" s="1423"/>
      <c r="T69" s="1423"/>
    </row>
    <row r="70" spans="1:20" ht="40.5" customHeight="1">
      <c r="A70" s="2182"/>
      <c r="B70" s="1609" t="s">
        <v>1620</v>
      </c>
      <c r="C70" s="2183"/>
      <c r="D70" s="1602">
        <f t="shared" si="18"/>
        <v>9341</v>
      </c>
      <c r="E70" s="1609">
        <v>8780.6</v>
      </c>
      <c r="F70" s="1609">
        <v>560.4</v>
      </c>
      <c r="G70" s="1600">
        <f t="shared" si="19"/>
        <v>64.400000000000006</v>
      </c>
      <c r="H70" s="1619">
        <v>60.5</v>
      </c>
      <c r="I70" s="1619">
        <v>3.9</v>
      </c>
      <c r="J70" s="1619"/>
      <c r="K70" s="1619"/>
      <c r="L70" s="1600"/>
      <c r="M70" s="1619"/>
      <c r="N70" s="1619"/>
      <c r="O70" s="1600"/>
      <c r="P70" s="1619"/>
      <c r="Q70" s="1619"/>
      <c r="R70" s="1423"/>
      <c r="S70" s="1423"/>
      <c r="T70" s="1423"/>
    </row>
    <row r="71" spans="1:20" ht="23.25">
      <c r="A71" s="2182"/>
      <c r="B71" s="1609" t="s">
        <v>1770</v>
      </c>
      <c r="C71" s="2183"/>
      <c r="D71" s="1602">
        <f t="shared" si="18"/>
        <v>10952.2</v>
      </c>
      <c r="E71" s="1609">
        <f>8974.9+1320.2</f>
        <v>10295.1</v>
      </c>
      <c r="F71" s="1609">
        <f>572.8+84.3</f>
        <v>657.1</v>
      </c>
      <c r="G71" s="1600">
        <f t="shared" si="19"/>
        <v>222</v>
      </c>
      <c r="H71" s="1619">
        <f>208.738</f>
        <v>208.7</v>
      </c>
      <c r="I71" s="1619">
        <v>13.3</v>
      </c>
      <c r="J71" s="1619"/>
      <c r="K71" s="1619"/>
      <c r="L71" s="1600"/>
      <c r="M71" s="1619"/>
      <c r="N71" s="1619"/>
      <c r="O71" s="1600"/>
      <c r="P71" s="1619"/>
      <c r="Q71" s="1619"/>
      <c r="R71" s="1423"/>
      <c r="S71" s="1423"/>
      <c r="T71" s="1423"/>
    </row>
    <row r="72" spans="1:20" ht="58.5" customHeight="1">
      <c r="A72" s="2182">
        <f>A69+1</f>
        <v>10</v>
      </c>
      <c r="B72" s="1915" t="s">
        <v>1655</v>
      </c>
      <c r="C72" s="1866" t="s">
        <v>1544</v>
      </c>
      <c r="D72" s="1600">
        <f t="shared" si="18"/>
        <v>20</v>
      </c>
      <c r="E72" s="1614">
        <f>E73+E74</f>
        <v>18.8</v>
      </c>
      <c r="F72" s="1614">
        <f>F73+F74</f>
        <v>1.2</v>
      </c>
      <c r="G72" s="1600">
        <f t="shared" si="19"/>
        <v>0</v>
      </c>
      <c r="H72" s="1614">
        <f>H73+H74</f>
        <v>0</v>
      </c>
      <c r="I72" s="1614">
        <f>I73+I74</f>
        <v>0</v>
      </c>
      <c r="J72" s="2181"/>
      <c r="K72" s="2181"/>
      <c r="L72" s="1600">
        <f>M72+N72</f>
        <v>0</v>
      </c>
      <c r="M72" s="1619">
        <v>0</v>
      </c>
      <c r="N72" s="1619">
        <v>0</v>
      </c>
      <c r="O72" s="1600">
        <f>P72+Q72</f>
        <v>0</v>
      </c>
      <c r="P72" s="1619">
        <v>0</v>
      </c>
      <c r="Q72" s="1619">
        <v>0</v>
      </c>
      <c r="R72" s="1423" t="e">
        <f>D72-#REF!</f>
        <v>#REF!</v>
      </c>
      <c r="S72" s="1423"/>
      <c r="T72" s="1423"/>
    </row>
    <row r="73" spans="1:20" ht="30.75" hidden="1" customHeight="1">
      <c r="A73" s="2182"/>
      <c r="B73" s="1609" t="s">
        <v>1620</v>
      </c>
      <c r="C73" s="2183"/>
      <c r="D73" s="1602">
        <f t="shared" si="18"/>
        <v>0</v>
      </c>
      <c r="E73" s="1609">
        <v>0</v>
      </c>
      <c r="F73" s="1609">
        <v>0</v>
      </c>
      <c r="G73" s="1600">
        <f t="shared" si="19"/>
        <v>0</v>
      </c>
      <c r="H73" s="1619"/>
      <c r="I73" s="1619"/>
      <c r="J73" s="1619"/>
      <c r="K73" s="1619"/>
      <c r="L73" s="1600"/>
      <c r="M73" s="1619"/>
      <c r="N73" s="1619"/>
      <c r="O73" s="1600"/>
      <c r="P73" s="1619"/>
      <c r="Q73" s="1619"/>
      <c r="R73" s="1423"/>
      <c r="S73" s="1423"/>
      <c r="T73" s="1423"/>
    </row>
    <row r="74" spans="1:20" ht="26.25" customHeight="1">
      <c r="A74" s="2182"/>
      <c r="B74" s="1609" t="s">
        <v>1770</v>
      </c>
      <c r="C74" s="2183"/>
      <c r="D74" s="1602">
        <f t="shared" si="18"/>
        <v>20</v>
      </c>
      <c r="E74" s="1609">
        <v>18.8</v>
      </c>
      <c r="F74" s="1609">
        <v>1.2</v>
      </c>
      <c r="G74" s="1600">
        <f t="shared" si="19"/>
        <v>0</v>
      </c>
      <c r="H74" s="1619"/>
      <c r="I74" s="1619"/>
      <c r="J74" s="1619"/>
      <c r="K74" s="1619"/>
      <c r="L74" s="1600"/>
      <c r="M74" s="1619"/>
      <c r="N74" s="1619"/>
      <c r="O74" s="1600"/>
      <c r="P74" s="1619"/>
      <c r="Q74" s="1619"/>
      <c r="R74" s="1423"/>
      <c r="S74" s="1423"/>
      <c r="T74" s="1423"/>
    </row>
    <row r="75" spans="1:20" ht="85.5" customHeight="1">
      <c r="A75" s="2182">
        <f>A72+1</f>
        <v>11</v>
      </c>
      <c r="B75" s="1919" t="s">
        <v>1656</v>
      </c>
      <c r="C75" s="2183"/>
      <c r="D75" s="1602">
        <f t="shared" si="18"/>
        <v>33251.9</v>
      </c>
      <c r="E75" s="1609">
        <f>E76+E77</f>
        <v>31256.5</v>
      </c>
      <c r="F75" s="1609">
        <f>F76+F77</f>
        <v>1995.4</v>
      </c>
      <c r="G75" s="1602">
        <f t="shared" si="19"/>
        <v>955.5</v>
      </c>
      <c r="H75" s="1609">
        <f>H76+H77</f>
        <v>898.2</v>
      </c>
      <c r="I75" s="1609">
        <f>I76+I77</f>
        <v>57.3</v>
      </c>
      <c r="J75" s="2181"/>
      <c r="K75" s="2181"/>
      <c r="L75" s="1600">
        <f>M75+N75</f>
        <v>0</v>
      </c>
      <c r="M75" s="1619">
        <v>0</v>
      </c>
      <c r="N75" s="1619">
        <v>0</v>
      </c>
      <c r="O75" s="1600">
        <f>P75+Q75</f>
        <v>0</v>
      </c>
      <c r="P75" s="1619">
        <v>0</v>
      </c>
      <c r="Q75" s="1619">
        <v>0</v>
      </c>
      <c r="R75" s="1423" t="e">
        <f>D75-#REF!</f>
        <v>#REF!</v>
      </c>
      <c r="S75" s="1423"/>
      <c r="T75" s="1423"/>
    </row>
    <row r="76" spans="1:20" ht="23.25">
      <c r="A76" s="2182"/>
      <c r="B76" s="1609" t="s">
        <v>1620</v>
      </c>
      <c r="C76" s="2183"/>
      <c r="D76" s="1602">
        <f t="shared" si="18"/>
        <v>15410.7</v>
      </c>
      <c r="E76" s="1609">
        <v>14485.9</v>
      </c>
      <c r="F76" s="1609">
        <v>924.8</v>
      </c>
      <c r="G76" s="1600">
        <f t="shared" si="19"/>
        <v>0</v>
      </c>
      <c r="H76" s="1619">
        <v>0</v>
      </c>
      <c r="I76" s="1619">
        <v>0</v>
      </c>
      <c r="J76" s="1619"/>
      <c r="K76" s="1619"/>
      <c r="L76" s="1600"/>
      <c r="M76" s="1619"/>
      <c r="N76" s="1619"/>
      <c r="O76" s="1600"/>
      <c r="P76" s="1619"/>
      <c r="Q76" s="1619"/>
      <c r="R76" s="1423"/>
      <c r="S76" s="1423"/>
      <c r="T76" s="1423"/>
    </row>
    <row r="77" spans="1:20" ht="23.25">
      <c r="A77" s="2182"/>
      <c r="B77" s="1609" t="s">
        <v>1770</v>
      </c>
      <c r="C77" s="2183"/>
      <c r="D77" s="1602">
        <f t="shared" si="18"/>
        <v>17841.2</v>
      </c>
      <c r="E77" s="1609">
        <f>16053.6+717</f>
        <v>16770.599999999999</v>
      </c>
      <c r="F77" s="1609">
        <f>1024.8+45.8</f>
        <v>1070.5999999999999</v>
      </c>
      <c r="G77" s="1600">
        <f t="shared" si="19"/>
        <v>955.5</v>
      </c>
      <c r="H77" s="1619">
        <f>678.269+219.898</f>
        <v>898.2</v>
      </c>
      <c r="I77" s="1619">
        <f>43.3+14</f>
        <v>57.3</v>
      </c>
      <c r="J77" s="1619"/>
      <c r="K77" s="1619"/>
      <c r="L77" s="1600"/>
      <c r="M77" s="1619"/>
      <c r="N77" s="1619"/>
      <c r="O77" s="1600"/>
      <c r="P77" s="1619"/>
      <c r="Q77" s="1619"/>
      <c r="R77" s="1423"/>
      <c r="S77" s="1423"/>
      <c r="T77" s="1423"/>
    </row>
    <row r="78" spans="1:20" ht="68.25" customHeight="1">
      <c r="A78" s="2182">
        <f>A75+1</f>
        <v>12</v>
      </c>
      <c r="B78" s="1919" t="s">
        <v>1583</v>
      </c>
      <c r="C78" s="2183"/>
      <c r="D78" s="1602">
        <f t="shared" si="18"/>
        <v>9677.2999999999993</v>
      </c>
      <c r="E78" s="1609">
        <f>E79+E80</f>
        <v>9096.6</v>
      </c>
      <c r="F78" s="1609">
        <f>F79+F80</f>
        <v>580.70000000000005</v>
      </c>
      <c r="G78" s="1602">
        <f t="shared" si="19"/>
        <v>376.2</v>
      </c>
      <c r="H78" s="1619">
        <f>H79+H80</f>
        <v>353.6</v>
      </c>
      <c r="I78" s="1609">
        <f>I79+I80</f>
        <v>22.6</v>
      </c>
      <c r="J78" s="2181"/>
      <c r="K78" s="2181"/>
      <c r="L78" s="1600">
        <f>M78+N78</f>
        <v>0</v>
      </c>
      <c r="M78" s="1619">
        <v>0</v>
      </c>
      <c r="N78" s="1619">
        <v>0</v>
      </c>
      <c r="O78" s="1600">
        <f>P78+Q78</f>
        <v>0</v>
      </c>
      <c r="P78" s="1619">
        <v>0</v>
      </c>
      <c r="Q78" s="1619">
        <v>0</v>
      </c>
      <c r="R78" s="1423" t="e">
        <f>D78-#REF!</f>
        <v>#REF!</v>
      </c>
      <c r="S78" s="1423"/>
      <c r="T78" s="1423"/>
    </row>
    <row r="79" spans="1:20" ht="23.25">
      <c r="A79" s="2182"/>
      <c r="B79" s="1609" t="s">
        <v>1620</v>
      </c>
      <c r="C79" s="2183"/>
      <c r="D79" s="1602">
        <f t="shared" si="18"/>
        <v>4597</v>
      </c>
      <c r="E79" s="1609">
        <v>4321.2</v>
      </c>
      <c r="F79" s="1609">
        <v>275.8</v>
      </c>
      <c r="G79" s="1600">
        <f t="shared" si="19"/>
        <v>0</v>
      </c>
      <c r="H79" s="1619">
        <v>0</v>
      </c>
      <c r="I79" s="1619">
        <v>0</v>
      </c>
      <c r="J79" s="1619"/>
      <c r="K79" s="1619"/>
      <c r="L79" s="1600"/>
      <c r="M79" s="1619"/>
      <c r="N79" s="1619"/>
      <c r="O79" s="1600"/>
      <c r="P79" s="1619"/>
      <c r="Q79" s="1619"/>
      <c r="R79" s="1423"/>
      <c r="S79" s="1423"/>
      <c r="T79" s="1423"/>
    </row>
    <row r="80" spans="1:20" ht="23.25">
      <c r="A80" s="2182"/>
      <c r="B80" s="1609" t="s">
        <v>1770</v>
      </c>
      <c r="C80" s="2183"/>
      <c r="D80" s="1602">
        <f t="shared" si="18"/>
        <v>5080.3</v>
      </c>
      <c r="E80" s="1609">
        <f>3503+1272.4</f>
        <v>4775.3999999999996</v>
      </c>
      <c r="F80" s="1609">
        <f>223.6+81.3</f>
        <v>304.89999999999998</v>
      </c>
      <c r="G80" s="1600">
        <f t="shared" si="19"/>
        <v>376.2</v>
      </c>
      <c r="H80" s="1619">
        <v>353.6</v>
      </c>
      <c r="I80" s="1619">
        <v>22.6</v>
      </c>
      <c r="J80" s="1619"/>
      <c r="K80" s="1619"/>
      <c r="L80" s="1600"/>
      <c r="M80" s="1619"/>
      <c r="N80" s="1619"/>
      <c r="O80" s="1600"/>
      <c r="P80" s="1619"/>
      <c r="Q80" s="1619"/>
      <c r="R80" s="1423"/>
      <c r="S80" s="1423"/>
      <c r="T80" s="1423"/>
    </row>
    <row r="81" spans="1:20" ht="66.75" customHeight="1">
      <c r="A81" s="2182">
        <f>A78+1</f>
        <v>13</v>
      </c>
      <c r="B81" s="1919" t="s">
        <v>1585</v>
      </c>
      <c r="C81" s="2183"/>
      <c r="D81" s="1602">
        <f t="shared" si="18"/>
        <v>16334.2</v>
      </c>
      <c r="E81" s="1609">
        <f>E82+E83+E84</f>
        <v>15354.2</v>
      </c>
      <c r="F81" s="1609">
        <f>F82+F83+F84</f>
        <v>980</v>
      </c>
      <c r="G81" s="1609">
        <f>G82+G83+G84</f>
        <v>4162.2</v>
      </c>
      <c r="H81" s="1609">
        <f>H82+H83+H84</f>
        <v>3912.4</v>
      </c>
      <c r="I81" s="1609">
        <f>I82+I83+I84</f>
        <v>249.8</v>
      </c>
      <c r="J81" s="2181"/>
      <c r="K81" s="2181"/>
      <c r="L81" s="1600">
        <f>M81+N81</f>
        <v>0</v>
      </c>
      <c r="M81" s="1619">
        <v>0</v>
      </c>
      <c r="N81" s="1619">
        <v>0</v>
      </c>
      <c r="O81" s="1600">
        <f>P81+Q81</f>
        <v>0</v>
      </c>
      <c r="P81" s="1619">
        <v>0</v>
      </c>
      <c r="Q81" s="1619">
        <v>0</v>
      </c>
      <c r="R81" s="1423" t="e">
        <f>D81-#REF!</f>
        <v>#REF!</v>
      </c>
      <c r="S81" s="1423"/>
      <c r="T81" s="1423"/>
    </row>
    <row r="82" spans="1:20" ht="23.25">
      <c r="A82" s="2182"/>
      <c r="B82" s="1609" t="s">
        <v>1620</v>
      </c>
      <c r="C82" s="2183"/>
      <c r="D82" s="1602">
        <f t="shared" si="18"/>
        <v>3935.3</v>
      </c>
      <c r="E82" s="1609">
        <v>3699.2</v>
      </c>
      <c r="F82" s="1609">
        <v>236.1</v>
      </c>
      <c r="G82" s="1600">
        <f t="shared" si="19"/>
        <v>0</v>
      </c>
      <c r="H82" s="1619">
        <v>0</v>
      </c>
      <c r="I82" s="1619">
        <v>0</v>
      </c>
      <c r="J82" s="1619"/>
      <c r="K82" s="1619"/>
      <c r="L82" s="1600"/>
      <c r="M82" s="1619"/>
      <c r="N82" s="1619"/>
      <c r="O82" s="1600"/>
      <c r="P82" s="1619"/>
      <c r="Q82" s="1619"/>
      <c r="R82" s="1423"/>
      <c r="S82" s="1423"/>
      <c r="T82" s="1423"/>
    </row>
    <row r="83" spans="1:20" ht="23.25">
      <c r="A83" s="2182"/>
      <c r="B83" s="1609" t="s">
        <v>1798</v>
      </c>
      <c r="C83" s="2183"/>
      <c r="D83" s="1602">
        <f>SUM(E83:F83)</f>
        <v>11307.5</v>
      </c>
      <c r="E83" s="1609">
        <v>10629.1</v>
      </c>
      <c r="F83" s="1609">
        <v>678.4</v>
      </c>
      <c r="G83" s="1600">
        <f>SUM(H83:I83)</f>
        <v>3222.8</v>
      </c>
      <c r="H83" s="1619">
        <v>3029.4</v>
      </c>
      <c r="I83" s="1619">
        <v>193.4</v>
      </c>
      <c r="J83" s="1619"/>
      <c r="K83" s="1619"/>
      <c r="L83" s="1600"/>
      <c r="M83" s="1619"/>
      <c r="N83" s="1619"/>
      <c r="O83" s="1600"/>
      <c r="P83" s="1619"/>
      <c r="Q83" s="1619"/>
      <c r="R83" s="1423"/>
      <c r="S83" s="1423"/>
      <c r="T83" s="1423"/>
    </row>
    <row r="84" spans="1:20" ht="23.25">
      <c r="A84" s="2182"/>
      <c r="B84" s="1609" t="s">
        <v>1770</v>
      </c>
      <c r="C84" s="2183"/>
      <c r="D84" s="1602">
        <f t="shared" si="18"/>
        <v>1091.4000000000001</v>
      </c>
      <c r="E84" s="1609">
        <v>1025.9000000000001</v>
      </c>
      <c r="F84" s="1609">
        <v>65.5</v>
      </c>
      <c r="G84" s="1600">
        <f t="shared" si="19"/>
        <v>939.4</v>
      </c>
      <c r="H84" s="1619">
        <v>883</v>
      </c>
      <c r="I84" s="1619">
        <v>56.4</v>
      </c>
      <c r="J84" s="1619"/>
      <c r="K84" s="1619"/>
      <c r="L84" s="1600"/>
      <c r="M84" s="1619"/>
      <c r="N84" s="1619"/>
      <c r="O84" s="1600"/>
      <c r="P84" s="1619"/>
      <c r="Q84" s="1619"/>
      <c r="R84" s="1423"/>
      <c r="S84" s="1423"/>
      <c r="T84" s="1423"/>
    </row>
    <row r="85" spans="1:20" ht="57.75" customHeight="1">
      <c r="A85" s="2182">
        <f>A81+1</f>
        <v>14</v>
      </c>
      <c r="B85" s="1919" t="s">
        <v>1586</v>
      </c>
      <c r="C85" s="2183"/>
      <c r="D85" s="1602">
        <f t="shared" si="18"/>
        <v>4789.7</v>
      </c>
      <c r="E85" s="1609">
        <f>E86+E87+E88</f>
        <v>4502.3</v>
      </c>
      <c r="F85" s="1609">
        <f>F86+F87+F88</f>
        <v>287.39999999999998</v>
      </c>
      <c r="G85" s="1602">
        <f t="shared" si="19"/>
        <v>34.700000000000003</v>
      </c>
      <c r="H85" s="1609">
        <f>H86+H87+H88</f>
        <v>32.6</v>
      </c>
      <c r="I85" s="1609">
        <f>I86+I87+I88</f>
        <v>2.1</v>
      </c>
      <c r="J85" s="2181"/>
      <c r="K85" s="2181"/>
      <c r="L85" s="1600">
        <f>M85+N85</f>
        <v>0</v>
      </c>
      <c r="M85" s="1619">
        <v>0</v>
      </c>
      <c r="N85" s="1619">
        <v>0</v>
      </c>
      <c r="O85" s="1600">
        <f>P85+Q85</f>
        <v>0</v>
      </c>
      <c r="P85" s="1619">
        <v>0</v>
      </c>
      <c r="Q85" s="1619">
        <v>0</v>
      </c>
      <c r="R85" s="1423" t="e">
        <f>D85-#REF!</f>
        <v>#REF!</v>
      </c>
      <c r="S85" s="1423"/>
      <c r="T85" s="1423"/>
    </row>
    <row r="86" spans="1:20" ht="23.25">
      <c r="A86" s="2182"/>
      <c r="B86" s="1609" t="s">
        <v>1620</v>
      </c>
      <c r="C86" s="2183"/>
      <c r="D86" s="1602">
        <f t="shared" si="18"/>
        <v>1226.9000000000001</v>
      </c>
      <c r="E86" s="1609">
        <v>1153.3</v>
      </c>
      <c r="F86" s="1609">
        <v>73.599999999999994</v>
      </c>
      <c r="G86" s="1600">
        <f t="shared" si="19"/>
        <v>0</v>
      </c>
      <c r="H86" s="1619">
        <v>0</v>
      </c>
      <c r="I86" s="1619">
        <v>0</v>
      </c>
      <c r="J86" s="1619"/>
      <c r="K86" s="1619"/>
      <c r="L86" s="1600"/>
      <c r="M86" s="1619"/>
      <c r="N86" s="1619"/>
      <c r="O86" s="1600"/>
      <c r="P86" s="1619"/>
      <c r="Q86" s="1619"/>
      <c r="R86" s="1423"/>
      <c r="S86" s="1423"/>
      <c r="T86" s="1423"/>
    </row>
    <row r="87" spans="1:20" ht="23.25">
      <c r="A87" s="2182"/>
      <c r="B87" s="1609" t="s">
        <v>1798</v>
      </c>
      <c r="C87" s="2183"/>
      <c r="D87" s="1602">
        <f>SUM(E87:F87)</f>
        <v>3542.8</v>
      </c>
      <c r="E87" s="1609">
        <v>3330.2</v>
      </c>
      <c r="F87" s="1609">
        <v>212.6</v>
      </c>
      <c r="G87" s="1600">
        <f>SUM(H87:I87)</f>
        <v>34.700000000000003</v>
      </c>
      <c r="H87" s="1619">
        <v>32.6</v>
      </c>
      <c r="I87" s="1619">
        <v>2.1</v>
      </c>
      <c r="J87" s="1619"/>
      <c r="K87" s="1619"/>
      <c r="L87" s="1600"/>
      <c r="M87" s="1619"/>
      <c r="N87" s="1619"/>
      <c r="O87" s="1600"/>
      <c r="P87" s="1619"/>
      <c r="Q87" s="1619"/>
      <c r="R87" s="1423"/>
      <c r="S87" s="1423"/>
      <c r="T87" s="1423"/>
    </row>
    <row r="88" spans="1:20" ht="23.25">
      <c r="A88" s="2182"/>
      <c r="B88" s="1609" t="s">
        <v>1770</v>
      </c>
      <c r="C88" s="2183"/>
      <c r="D88" s="1602">
        <f t="shared" si="18"/>
        <v>20</v>
      </c>
      <c r="E88" s="1609">
        <v>18.8</v>
      </c>
      <c r="F88" s="1609">
        <v>1.2</v>
      </c>
      <c r="G88" s="1600">
        <f t="shared" si="19"/>
        <v>0</v>
      </c>
      <c r="H88" s="1619"/>
      <c r="I88" s="1619"/>
      <c r="J88" s="1619"/>
      <c r="K88" s="1619"/>
      <c r="L88" s="1600"/>
      <c r="M88" s="1619"/>
      <c r="N88" s="1619"/>
      <c r="O88" s="1600"/>
      <c r="P88" s="1619"/>
      <c r="Q88" s="1619"/>
      <c r="R88" s="1423"/>
      <c r="S88" s="1423"/>
      <c r="T88" s="1423"/>
    </row>
    <row r="89" spans="1:20" ht="81" customHeight="1">
      <c r="A89" s="2182">
        <f>A85+1</f>
        <v>15</v>
      </c>
      <c r="B89" s="1912" t="s">
        <v>1662</v>
      </c>
      <c r="C89" s="1880"/>
      <c r="D89" s="1602">
        <f t="shared" si="18"/>
        <v>21566.9</v>
      </c>
      <c r="E89" s="1616">
        <f>E90+E91</f>
        <v>20272.7</v>
      </c>
      <c r="F89" s="1616">
        <f>F90+F91</f>
        <v>1294.2</v>
      </c>
      <c r="G89" s="1602">
        <f t="shared" si="19"/>
        <v>4497</v>
      </c>
      <c r="H89" s="1616">
        <f>H90+H91</f>
        <v>4227.2</v>
      </c>
      <c r="I89" s="1616">
        <f>I90+I91</f>
        <v>269.8</v>
      </c>
      <c r="J89" s="2181"/>
      <c r="K89" s="2181"/>
      <c r="L89" s="1600">
        <f>M89+N89</f>
        <v>0</v>
      </c>
      <c r="M89" s="1619">
        <v>0</v>
      </c>
      <c r="N89" s="1619">
        <v>0</v>
      </c>
      <c r="O89" s="1600">
        <f>P89+Q89</f>
        <v>0</v>
      </c>
      <c r="P89" s="1619">
        <v>0</v>
      </c>
      <c r="Q89" s="1619">
        <v>0</v>
      </c>
      <c r="R89" s="1423" t="e">
        <f>D89-#REF!</f>
        <v>#REF!</v>
      </c>
      <c r="S89" s="1423"/>
      <c r="T89" s="1423"/>
    </row>
    <row r="90" spans="1:20" ht="23.25">
      <c r="A90" s="2182"/>
      <c r="B90" s="1609" t="s">
        <v>1620</v>
      </c>
      <c r="C90" s="2183"/>
      <c r="D90" s="1602">
        <f t="shared" si="18"/>
        <v>14615.1</v>
      </c>
      <c r="E90" s="1609">
        <v>13738.1</v>
      </c>
      <c r="F90" s="1609">
        <v>877</v>
      </c>
      <c r="G90" s="1600">
        <f t="shared" si="19"/>
        <v>0</v>
      </c>
      <c r="H90" s="1619"/>
      <c r="I90" s="1619"/>
      <c r="J90" s="1619"/>
      <c r="K90" s="1619"/>
      <c r="L90" s="1600"/>
      <c r="M90" s="1619"/>
      <c r="N90" s="1619"/>
      <c r="O90" s="1600"/>
      <c r="P90" s="1619"/>
      <c r="Q90" s="1619"/>
      <c r="R90" s="1423"/>
      <c r="S90" s="1423"/>
      <c r="T90" s="1423"/>
    </row>
    <row r="91" spans="1:20" ht="23.25">
      <c r="A91" s="2182"/>
      <c r="B91" s="1609" t="s">
        <v>1770</v>
      </c>
      <c r="C91" s="2183"/>
      <c r="D91" s="1602">
        <f t="shared" si="18"/>
        <v>6951.8</v>
      </c>
      <c r="E91" s="1609">
        <f>5138.2+1396.4</f>
        <v>6534.6</v>
      </c>
      <c r="F91" s="1609">
        <f>328+89.2</f>
        <v>417.2</v>
      </c>
      <c r="G91" s="1600">
        <f t="shared" si="19"/>
        <v>4497</v>
      </c>
      <c r="H91" s="1619">
        <f>1090.159+3137.08</f>
        <v>4227.2</v>
      </c>
      <c r="I91" s="1619">
        <f>69.6+200.2</f>
        <v>269.8</v>
      </c>
      <c r="J91" s="1619"/>
      <c r="K91" s="1619"/>
      <c r="L91" s="1600"/>
      <c r="M91" s="1619"/>
      <c r="N91" s="1619"/>
      <c r="O91" s="1600"/>
      <c r="P91" s="1619"/>
      <c r="Q91" s="1619"/>
      <c r="R91" s="1423"/>
      <c r="S91" s="1423"/>
      <c r="T91" s="1423"/>
    </row>
    <row r="92" spans="1:20" s="484" customFormat="1" ht="65.25" customHeight="1">
      <c r="A92" s="2182">
        <f>A89+1</f>
        <v>16</v>
      </c>
      <c r="B92" s="1920" t="s">
        <v>1437</v>
      </c>
      <c r="C92" s="1880" t="s">
        <v>1544</v>
      </c>
      <c r="D92" s="1602">
        <f t="shared" si="18"/>
        <v>103050.2</v>
      </c>
      <c r="E92" s="1616">
        <f>SUM(E93:E95)</f>
        <v>96866.8</v>
      </c>
      <c r="F92" s="1616">
        <f>SUM(F93:F95)</f>
        <v>6183.4</v>
      </c>
      <c r="G92" s="1602">
        <f t="shared" si="19"/>
        <v>85101.6</v>
      </c>
      <c r="H92" s="1616">
        <f>SUM(H93:H95)</f>
        <v>79995.3</v>
      </c>
      <c r="I92" s="1616">
        <f>SUM(I93:I95)</f>
        <v>5106.3</v>
      </c>
      <c r="J92" s="2181" t="s">
        <v>1293</v>
      </c>
      <c r="K92" s="2181" t="s">
        <v>1101</v>
      </c>
      <c r="L92" s="1600">
        <f>M92+N92</f>
        <v>0</v>
      </c>
      <c r="M92" s="1608">
        <v>0</v>
      </c>
      <c r="N92" s="1608">
        <v>0</v>
      </c>
      <c r="O92" s="1600">
        <f>P92+Q92</f>
        <v>0</v>
      </c>
      <c r="P92" s="1608">
        <v>0</v>
      </c>
      <c r="Q92" s="1608">
        <v>0</v>
      </c>
      <c r="R92" s="1423" t="e">
        <f>D92-#REF!</f>
        <v>#REF!</v>
      </c>
      <c r="S92" s="1423"/>
      <c r="T92" s="1423"/>
    </row>
    <row r="93" spans="1:20" s="484" customFormat="1" ht="23.25">
      <c r="A93" s="2182"/>
      <c r="B93" s="1609" t="s">
        <v>1620</v>
      </c>
      <c r="C93" s="1880"/>
      <c r="D93" s="1602">
        <f t="shared" si="18"/>
        <v>74115.8</v>
      </c>
      <c r="E93" s="1616">
        <v>69668.800000000003</v>
      </c>
      <c r="F93" s="1616">
        <f>4447</f>
        <v>4447</v>
      </c>
      <c r="G93" s="1600">
        <f t="shared" si="19"/>
        <v>72236.100000000006</v>
      </c>
      <c r="H93" s="1608">
        <v>67901.899999999994</v>
      </c>
      <c r="I93" s="1608">
        <v>4334.2</v>
      </c>
      <c r="J93" s="2181"/>
      <c r="K93" s="2181"/>
      <c r="L93" s="1600">
        <f t="shared" ref="L93:L103" si="20">M93+N93</f>
        <v>0</v>
      </c>
      <c r="M93" s="1608">
        <v>0</v>
      </c>
      <c r="N93" s="1608">
        <v>0</v>
      </c>
      <c r="O93" s="1600">
        <f>P93+Q93</f>
        <v>0</v>
      </c>
      <c r="P93" s="1608">
        <v>0</v>
      </c>
      <c r="Q93" s="1608">
        <v>0</v>
      </c>
      <c r="R93" s="1423" t="e">
        <f>D93-#REF!</f>
        <v>#REF!</v>
      </c>
      <c r="S93" s="1423"/>
      <c r="T93" s="1423"/>
    </row>
    <row r="94" spans="1:20" s="484" customFormat="1" ht="23.25">
      <c r="A94" s="2182"/>
      <c r="B94" s="1609" t="s">
        <v>1798</v>
      </c>
      <c r="C94" s="1880"/>
      <c r="D94" s="1602">
        <f>SUM(E94:F94)</f>
        <v>28934.400000000001</v>
      </c>
      <c r="E94" s="1616">
        <v>27198</v>
      </c>
      <c r="F94" s="1616">
        <v>1736.4</v>
      </c>
      <c r="G94" s="1600">
        <f>SUM(H94:I94)</f>
        <v>12865.5</v>
      </c>
      <c r="H94" s="1608">
        <v>12093.4</v>
      </c>
      <c r="I94" s="1608">
        <v>772.1</v>
      </c>
      <c r="J94" s="2181"/>
      <c r="K94" s="2181"/>
      <c r="L94" s="1600"/>
      <c r="M94" s="1608"/>
      <c r="N94" s="1608"/>
      <c r="O94" s="1600"/>
      <c r="P94" s="1608"/>
      <c r="Q94" s="1608"/>
      <c r="R94" s="1423"/>
      <c r="S94" s="1423"/>
      <c r="T94" s="1423"/>
    </row>
    <row r="95" spans="1:20" s="484" customFormat="1" ht="23.25" hidden="1">
      <c r="A95" s="2182"/>
      <c r="B95" s="1609" t="s">
        <v>1621</v>
      </c>
      <c r="C95" s="1880"/>
      <c r="D95" s="1602">
        <f t="shared" si="18"/>
        <v>0</v>
      </c>
      <c r="E95" s="1616"/>
      <c r="F95" s="1616"/>
      <c r="G95" s="1600">
        <f t="shared" si="19"/>
        <v>0</v>
      </c>
      <c r="H95" s="1608"/>
      <c r="I95" s="1608"/>
      <c r="J95" s="2181"/>
      <c r="K95" s="2181"/>
      <c r="L95" s="1600">
        <f t="shared" si="20"/>
        <v>0</v>
      </c>
      <c r="M95" s="1608">
        <v>0</v>
      </c>
      <c r="N95" s="1608">
        <v>0</v>
      </c>
      <c r="O95" s="1600">
        <f>P95+Q95</f>
        <v>0</v>
      </c>
      <c r="P95" s="1608">
        <v>0</v>
      </c>
      <c r="Q95" s="1608">
        <v>0</v>
      </c>
      <c r="R95" s="1423" t="e">
        <f>D95-#REF!</f>
        <v>#REF!</v>
      </c>
      <c r="S95" s="1423"/>
      <c r="T95" s="1423"/>
    </row>
    <row r="96" spans="1:20" ht="63" customHeight="1">
      <c r="A96" s="2182">
        <f>A92+1</f>
        <v>17</v>
      </c>
      <c r="B96" s="1912" t="s">
        <v>1441</v>
      </c>
      <c r="C96" s="1880" t="s">
        <v>1544</v>
      </c>
      <c r="D96" s="1602">
        <f t="shared" si="18"/>
        <v>79786.100000000006</v>
      </c>
      <c r="E96" s="1616">
        <f>E97+E98+E99</f>
        <v>74998.3</v>
      </c>
      <c r="F96" s="1616">
        <f>F97+F98+F99</f>
        <v>4787.8</v>
      </c>
      <c r="G96" s="1602">
        <f t="shared" si="19"/>
        <v>20</v>
      </c>
      <c r="H96" s="1616">
        <f>H97+H98+H99</f>
        <v>18.8</v>
      </c>
      <c r="I96" s="1616">
        <f>I97+I98+I99</f>
        <v>1.2</v>
      </c>
      <c r="J96" s="2181" t="s">
        <v>1192</v>
      </c>
      <c r="K96" s="2181" t="s">
        <v>1663</v>
      </c>
      <c r="L96" s="1600">
        <f t="shared" si="20"/>
        <v>0</v>
      </c>
      <c r="M96" s="1614">
        <v>0</v>
      </c>
      <c r="N96" s="1614">
        <v>0</v>
      </c>
      <c r="O96" s="1600">
        <f>P96+Q96</f>
        <v>0</v>
      </c>
      <c r="P96" s="1614">
        <v>0</v>
      </c>
      <c r="Q96" s="1614">
        <v>0</v>
      </c>
      <c r="R96" s="1423" t="e">
        <f>D96-#REF!</f>
        <v>#REF!</v>
      </c>
      <c r="S96" s="1423"/>
      <c r="T96" s="1423"/>
    </row>
    <row r="97" spans="1:20" ht="23.25">
      <c r="A97" s="2182"/>
      <c r="B97" s="1609" t="s">
        <v>1620</v>
      </c>
      <c r="C97" s="2183"/>
      <c r="D97" s="1602">
        <f t="shared" si="18"/>
        <v>18682.400000000001</v>
      </c>
      <c r="E97" s="1609">
        <v>17561.3</v>
      </c>
      <c r="F97" s="1609">
        <v>1121.0999999999999</v>
      </c>
      <c r="G97" s="1600">
        <f t="shared" si="19"/>
        <v>0</v>
      </c>
      <c r="H97" s="1619"/>
      <c r="I97" s="1619"/>
      <c r="J97" s="1619"/>
      <c r="K97" s="1619"/>
      <c r="L97" s="1600"/>
      <c r="M97" s="1619"/>
      <c r="N97" s="1619"/>
      <c r="O97" s="1600"/>
      <c r="P97" s="1619"/>
      <c r="Q97" s="1619"/>
      <c r="R97" s="1423"/>
      <c r="S97" s="1423"/>
      <c r="T97" s="1423"/>
    </row>
    <row r="98" spans="1:20" ht="23.25">
      <c r="A98" s="2182"/>
      <c r="B98" s="1609" t="s">
        <v>1798</v>
      </c>
      <c r="C98" s="2183"/>
      <c r="D98" s="1602">
        <f>SUM(E98:F98)</f>
        <v>61083.7</v>
      </c>
      <c r="E98" s="1609">
        <v>57418.2</v>
      </c>
      <c r="F98" s="1609">
        <v>3665.5</v>
      </c>
      <c r="G98" s="1600">
        <f>SUM(H98:I98)</f>
        <v>0</v>
      </c>
      <c r="H98" s="1619"/>
      <c r="I98" s="1619"/>
      <c r="J98" s="1619"/>
      <c r="K98" s="1619"/>
      <c r="L98" s="1600"/>
      <c r="M98" s="1619"/>
      <c r="N98" s="1619"/>
      <c r="O98" s="1600"/>
      <c r="P98" s="1619"/>
      <c r="Q98" s="1619"/>
      <c r="R98" s="1423"/>
      <c r="S98" s="1423"/>
      <c r="T98" s="1423"/>
    </row>
    <row r="99" spans="1:20" ht="23.25">
      <c r="A99" s="2182"/>
      <c r="B99" s="1609" t="s">
        <v>1770</v>
      </c>
      <c r="C99" s="2183"/>
      <c r="D99" s="1602">
        <f t="shared" si="18"/>
        <v>20</v>
      </c>
      <c r="E99" s="1609">
        <v>18.8</v>
      </c>
      <c r="F99" s="1609">
        <v>1.2</v>
      </c>
      <c r="G99" s="1600">
        <f t="shared" si="19"/>
        <v>20</v>
      </c>
      <c r="H99" s="1619">
        <f t="shared" ref="H99" si="21">3.6+15.2</f>
        <v>18.8</v>
      </c>
      <c r="I99" s="1619">
        <v>1.2</v>
      </c>
      <c r="J99" s="1619"/>
      <c r="K99" s="1619"/>
      <c r="L99" s="1600"/>
      <c r="M99" s="1619"/>
      <c r="N99" s="1619"/>
      <c r="O99" s="1600"/>
      <c r="P99" s="1619"/>
      <c r="Q99" s="1619"/>
      <c r="R99" s="1423"/>
      <c r="S99" s="1423"/>
      <c r="T99" s="1423"/>
    </row>
    <row r="100" spans="1:20" ht="58.5" customHeight="1">
      <c r="A100" s="2182">
        <f>A96+1</f>
        <v>18</v>
      </c>
      <c r="B100" s="1912" t="s">
        <v>1442</v>
      </c>
      <c r="C100" s="1880" t="s">
        <v>1544</v>
      </c>
      <c r="D100" s="1602">
        <f t="shared" si="18"/>
        <v>14406.9</v>
      </c>
      <c r="E100" s="1616">
        <f>E101+E102</f>
        <v>13542.4</v>
      </c>
      <c r="F100" s="1616">
        <f>F101+F102</f>
        <v>864.5</v>
      </c>
      <c r="G100" s="1602">
        <f t="shared" si="19"/>
        <v>8267.5</v>
      </c>
      <c r="H100" s="1616">
        <f>H101+H102</f>
        <v>7771.4</v>
      </c>
      <c r="I100" s="1616">
        <f>I101+I102</f>
        <v>496.1</v>
      </c>
      <c r="J100" s="2181" t="s">
        <v>1285</v>
      </c>
      <c r="K100" s="2181" t="s">
        <v>1252</v>
      </c>
      <c r="L100" s="1600">
        <f t="shared" si="20"/>
        <v>0</v>
      </c>
      <c r="M100" s="1614">
        <v>0</v>
      </c>
      <c r="N100" s="1614">
        <v>0</v>
      </c>
      <c r="O100" s="1600">
        <f>P100+Q100</f>
        <v>0</v>
      </c>
      <c r="P100" s="1614">
        <v>0</v>
      </c>
      <c r="Q100" s="1614">
        <v>0</v>
      </c>
      <c r="R100" s="1423" t="e">
        <f>D100-#REF!</f>
        <v>#REF!</v>
      </c>
      <c r="S100" s="1423"/>
      <c r="T100" s="1423"/>
    </row>
    <row r="101" spans="1:20" ht="21.75" customHeight="1">
      <c r="A101" s="2182"/>
      <c r="B101" s="1609" t="s">
        <v>1620</v>
      </c>
      <c r="C101" s="2183"/>
      <c r="D101" s="1602">
        <f t="shared" si="18"/>
        <v>12956.3</v>
      </c>
      <c r="E101" s="1609">
        <v>12178.9</v>
      </c>
      <c r="F101" s="1609">
        <v>777.4</v>
      </c>
      <c r="G101" s="1600">
        <f t="shared" si="19"/>
        <v>7716.3</v>
      </c>
      <c r="H101" s="1619">
        <v>7253.3</v>
      </c>
      <c r="I101" s="1619">
        <v>463</v>
      </c>
      <c r="J101" s="2181"/>
      <c r="K101" s="2181"/>
      <c r="L101" s="1600"/>
      <c r="M101" s="1619"/>
      <c r="N101" s="1619"/>
      <c r="O101" s="1600"/>
      <c r="P101" s="1619"/>
      <c r="Q101" s="1619"/>
      <c r="R101" s="1423" t="e">
        <f>D101-#REF!</f>
        <v>#REF!</v>
      </c>
      <c r="S101" s="1423"/>
      <c r="T101" s="1423"/>
    </row>
    <row r="102" spans="1:20" ht="26.25" customHeight="1">
      <c r="A102" s="2182"/>
      <c r="B102" s="1609" t="s">
        <v>1770</v>
      </c>
      <c r="C102" s="2183"/>
      <c r="D102" s="1602">
        <f t="shared" si="18"/>
        <v>1450.6</v>
      </c>
      <c r="E102" s="1609">
        <v>1363.5</v>
      </c>
      <c r="F102" s="1609">
        <v>87.1</v>
      </c>
      <c r="G102" s="1600">
        <f t="shared" si="19"/>
        <v>551.20000000000005</v>
      </c>
      <c r="H102" s="1619">
        <v>518.1</v>
      </c>
      <c r="I102" s="1619">
        <v>33.1</v>
      </c>
      <c r="J102" s="2181"/>
      <c r="K102" s="2181"/>
      <c r="L102" s="1600"/>
      <c r="M102" s="1619"/>
      <c r="N102" s="1619"/>
      <c r="O102" s="1600"/>
      <c r="P102" s="1619"/>
      <c r="Q102" s="1619"/>
      <c r="R102" s="1423" t="e">
        <f>D102-#REF!</f>
        <v>#REF!</v>
      </c>
      <c r="S102" s="1423"/>
      <c r="T102" s="1423"/>
    </row>
    <row r="103" spans="1:20" ht="23.25" customHeight="1">
      <c r="A103" s="2182">
        <f>A100+1</f>
        <v>19</v>
      </c>
      <c r="B103" s="1883" t="s">
        <v>1587</v>
      </c>
      <c r="C103" s="1880"/>
      <c r="D103" s="1602">
        <f t="shared" ref="D103:D137" si="22">SUM(E103:F103)</f>
        <v>2557.4</v>
      </c>
      <c r="E103" s="1616">
        <f>E104+E105</f>
        <v>2403.9</v>
      </c>
      <c r="F103" s="1616">
        <f>F104+F105</f>
        <v>153.5</v>
      </c>
      <c r="G103" s="1602">
        <f t="shared" si="19"/>
        <v>40.5</v>
      </c>
      <c r="H103" s="1608">
        <f>H104+H105</f>
        <v>38.1</v>
      </c>
      <c r="I103" s="1616">
        <f>I104+I105</f>
        <v>2.4</v>
      </c>
      <c r="J103" s="2181"/>
      <c r="K103" s="2181"/>
      <c r="L103" s="1600">
        <f t="shared" si="20"/>
        <v>0</v>
      </c>
      <c r="M103" s="1614">
        <v>0</v>
      </c>
      <c r="N103" s="1614">
        <v>0</v>
      </c>
      <c r="O103" s="1600">
        <f>P103+Q103</f>
        <v>0</v>
      </c>
      <c r="P103" s="1614">
        <v>0</v>
      </c>
      <c r="Q103" s="1614">
        <v>0</v>
      </c>
      <c r="R103" s="1423" t="e">
        <f>D103-#REF!</f>
        <v>#REF!</v>
      </c>
      <c r="S103" s="1423"/>
      <c r="T103" s="1423"/>
    </row>
    <row r="104" spans="1:20" ht="26.25" customHeight="1">
      <c r="A104" s="2182"/>
      <c r="B104" s="1609" t="s">
        <v>1770</v>
      </c>
      <c r="C104" s="2183"/>
      <c r="D104" s="1602">
        <f t="shared" si="22"/>
        <v>2557.4</v>
      </c>
      <c r="E104" s="1609">
        <v>2403.9</v>
      </c>
      <c r="F104" s="1609">
        <v>153.5</v>
      </c>
      <c r="G104" s="1600">
        <f t="shared" si="19"/>
        <v>40.5</v>
      </c>
      <c r="H104" s="1619">
        <v>38.1</v>
      </c>
      <c r="I104" s="1619">
        <f>2.2+0.2</f>
        <v>2.4</v>
      </c>
      <c r="J104" s="2181"/>
      <c r="K104" s="2181"/>
      <c r="L104" s="1600"/>
      <c r="M104" s="1619"/>
      <c r="N104" s="1619"/>
      <c r="O104" s="1600"/>
      <c r="P104" s="1619"/>
      <c r="Q104" s="1619"/>
      <c r="R104" s="1423" t="e">
        <f>D104-#REF!</f>
        <v>#REF!</v>
      </c>
      <c r="S104" s="1423"/>
      <c r="T104" s="1423"/>
    </row>
    <row r="105" spans="1:20" s="484" customFormat="1" ht="23.25" hidden="1">
      <c r="A105" s="2182"/>
      <c r="B105" s="1609" t="s">
        <v>1621</v>
      </c>
      <c r="C105" s="2183"/>
      <c r="D105" s="1602">
        <f t="shared" si="22"/>
        <v>0</v>
      </c>
      <c r="E105" s="1616"/>
      <c r="F105" s="1616"/>
      <c r="G105" s="1600">
        <f t="shared" si="19"/>
        <v>0</v>
      </c>
      <c r="H105" s="1608"/>
      <c r="I105" s="1608"/>
      <c r="J105" s="2181"/>
      <c r="K105" s="2181"/>
      <c r="L105" s="1600">
        <f>M105+N105</f>
        <v>0</v>
      </c>
      <c r="M105" s="1608">
        <v>0</v>
      </c>
      <c r="N105" s="1608">
        <v>0</v>
      </c>
      <c r="O105" s="1600">
        <f>P105+Q105</f>
        <v>0</v>
      </c>
      <c r="P105" s="1608">
        <v>0</v>
      </c>
      <c r="Q105" s="1608">
        <v>0</v>
      </c>
      <c r="R105" s="1423" t="e">
        <f>D105-#REF!</f>
        <v>#REF!</v>
      </c>
      <c r="S105" s="1423"/>
      <c r="T105" s="1423"/>
    </row>
    <row r="106" spans="1:20" s="484" customFormat="1" ht="46.5" customHeight="1">
      <c r="A106" s="2182">
        <f>A103+1</f>
        <v>20</v>
      </c>
      <c r="B106" s="1919" t="s">
        <v>1591</v>
      </c>
      <c r="C106" s="1906"/>
      <c r="D106" s="1600">
        <f t="shared" si="22"/>
        <v>147.6</v>
      </c>
      <c r="E106" s="1608">
        <f>E107+E108</f>
        <v>147.6</v>
      </c>
      <c r="F106" s="1616">
        <f>F107+F108</f>
        <v>0</v>
      </c>
      <c r="G106" s="1600">
        <f t="shared" si="19"/>
        <v>0</v>
      </c>
      <c r="H106" s="1608">
        <f>H107+H108</f>
        <v>0</v>
      </c>
      <c r="I106" s="1608">
        <f>I107+I108</f>
        <v>0</v>
      </c>
      <c r="J106" s="2181"/>
      <c r="K106" s="2181"/>
      <c r="L106" s="1600"/>
      <c r="M106" s="1608"/>
      <c r="N106" s="1608"/>
      <c r="O106" s="1600"/>
      <c r="P106" s="1608"/>
      <c r="Q106" s="1608"/>
      <c r="R106" s="1423" t="e">
        <f>D106-#REF!</f>
        <v>#REF!</v>
      </c>
      <c r="S106" s="1423"/>
      <c r="T106" s="1423"/>
    </row>
    <row r="107" spans="1:20" s="484" customFormat="1" ht="24" customHeight="1">
      <c r="A107" s="2182"/>
      <c r="B107" s="1609" t="s">
        <v>1770</v>
      </c>
      <c r="C107" s="2183"/>
      <c r="D107" s="1602">
        <f t="shared" si="22"/>
        <v>147.6</v>
      </c>
      <c r="E107" s="1616">
        <v>147.6</v>
      </c>
      <c r="F107" s="1616"/>
      <c r="G107" s="1600">
        <f t="shared" si="19"/>
        <v>0</v>
      </c>
      <c r="H107" s="1608"/>
      <c r="I107" s="1608"/>
      <c r="J107" s="2181"/>
      <c r="K107" s="2181"/>
      <c r="L107" s="1600"/>
      <c r="M107" s="1608"/>
      <c r="N107" s="1608"/>
      <c r="O107" s="1600"/>
      <c r="P107" s="1608"/>
      <c r="Q107" s="1608"/>
      <c r="R107" s="1423" t="e">
        <f>D107-#REF!</f>
        <v>#REF!</v>
      </c>
      <c r="S107" s="1423"/>
      <c r="T107" s="1423"/>
    </row>
    <row r="108" spans="1:20" s="484" customFormat="1" ht="27" hidden="1" customHeight="1">
      <c r="A108" s="2182"/>
      <c r="B108" s="1609" t="s">
        <v>1621</v>
      </c>
      <c r="C108" s="2183"/>
      <c r="D108" s="1602">
        <f t="shared" si="22"/>
        <v>0</v>
      </c>
      <c r="E108" s="1616">
        <v>0</v>
      </c>
      <c r="F108" s="1616"/>
      <c r="G108" s="1600">
        <f t="shared" si="19"/>
        <v>0</v>
      </c>
      <c r="H108" s="1608"/>
      <c r="I108" s="1608"/>
      <c r="J108" s="2181"/>
      <c r="K108" s="2181"/>
      <c r="L108" s="1600"/>
      <c r="M108" s="1608"/>
      <c r="N108" s="1608"/>
      <c r="O108" s="1600"/>
      <c r="P108" s="1608"/>
      <c r="Q108" s="1608"/>
      <c r="R108" s="1423" t="e">
        <f>D108-#REF!</f>
        <v>#REF!</v>
      </c>
      <c r="S108" s="1423"/>
      <c r="T108" s="1423"/>
    </row>
    <row r="109" spans="1:20" s="1607" customFormat="1" ht="61.5" customHeight="1">
      <c r="A109" s="2182">
        <f>A106+1</f>
        <v>21</v>
      </c>
      <c r="B109" s="1914" t="s">
        <v>1600</v>
      </c>
      <c r="C109" s="2182"/>
      <c r="D109" s="1602">
        <f t="shared" si="22"/>
        <v>160.1</v>
      </c>
      <c r="E109" s="1616">
        <f>E110+E111</f>
        <v>150.4</v>
      </c>
      <c r="F109" s="1616">
        <f>F110+F111</f>
        <v>9.6999999999999993</v>
      </c>
      <c r="G109" s="1602">
        <f t="shared" si="19"/>
        <v>0</v>
      </c>
      <c r="H109" s="1616">
        <f>H110+H111</f>
        <v>0</v>
      </c>
      <c r="I109" s="1616">
        <f>I110+I111</f>
        <v>0</v>
      </c>
      <c r="J109" s="2181"/>
      <c r="K109" s="2181"/>
      <c r="L109" s="1600">
        <f>M109+N109</f>
        <v>0</v>
      </c>
      <c r="M109" s="1608">
        <v>0</v>
      </c>
      <c r="N109" s="1608">
        <v>0</v>
      </c>
      <c r="O109" s="1600">
        <f>P109+Q109</f>
        <v>0</v>
      </c>
      <c r="P109" s="1608">
        <v>0</v>
      </c>
      <c r="Q109" s="1608">
        <v>0</v>
      </c>
      <c r="R109" s="1423" t="e">
        <f>D109-#REF!</f>
        <v>#REF!</v>
      </c>
      <c r="S109" s="1423"/>
      <c r="T109" s="1423"/>
    </row>
    <row r="110" spans="1:20" ht="19.5" hidden="1" customHeight="1">
      <c r="A110" s="2182"/>
      <c r="B110" s="1609" t="s">
        <v>1620</v>
      </c>
      <c r="C110" s="2183"/>
      <c r="D110" s="1602">
        <f t="shared" si="22"/>
        <v>0</v>
      </c>
      <c r="E110" s="1609">
        <v>0</v>
      </c>
      <c r="F110" s="1609">
        <v>0</v>
      </c>
      <c r="G110" s="1600">
        <f t="shared" si="19"/>
        <v>0</v>
      </c>
      <c r="H110" s="1619"/>
      <c r="I110" s="1619"/>
      <c r="J110" s="2181"/>
      <c r="K110" s="2181"/>
      <c r="L110" s="1600"/>
      <c r="M110" s="1619"/>
      <c r="N110" s="1619"/>
      <c r="O110" s="1600"/>
      <c r="P110" s="1619"/>
      <c r="Q110" s="1619"/>
      <c r="R110" s="1423" t="e">
        <f>D110-#REF!</f>
        <v>#REF!</v>
      </c>
      <c r="S110" s="1423"/>
      <c r="T110" s="1423"/>
    </row>
    <row r="111" spans="1:20" ht="26.25" customHeight="1">
      <c r="A111" s="2182"/>
      <c r="B111" s="1609" t="s">
        <v>1770</v>
      </c>
      <c r="C111" s="2183"/>
      <c r="D111" s="1602">
        <f t="shared" si="22"/>
        <v>160.1</v>
      </c>
      <c r="E111" s="1609">
        <v>150.4</v>
      </c>
      <c r="F111" s="1609">
        <v>9.6999999999999993</v>
      </c>
      <c r="G111" s="1600">
        <f t="shared" si="19"/>
        <v>0</v>
      </c>
      <c r="H111" s="1619"/>
      <c r="I111" s="1619"/>
      <c r="J111" s="2181"/>
      <c r="K111" s="2181"/>
      <c r="L111" s="1600"/>
      <c r="M111" s="1619"/>
      <c r="N111" s="1619"/>
      <c r="O111" s="1600"/>
      <c r="P111" s="1619"/>
      <c r="Q111" s="1619"/>
      <c r="R111" s="1423" t="e">
        <f>D111-#REF!</f>
        <v>#REF!</v>
      </c>
      <c r="S111" s="1423"/>
      <c r="T111" s="1423"/>
    </row>
    <row r="112" spans="1:20" s="484" customFormat="1" ht="54" customHeight="1">
      <c r="A112" s="2182">
        <f>A109+1</f>
        <v>22</v>
      </c>
      <c r="B112" s="1914" t="s">
        <v>776</v>
      </c>
      <c r="C112" s="2182" t="s">
        <v>1545</v>
      </c>
      <c r="D112" s="1602">
        <f t="shared" si="22"/>
        <v>177040.7</v>
      </c>
      <c r="E112" s="1615">
        <f>E113+E114</f>
        <v>166418.20000000001</v>
      </c>
      <c r="F112" s="1615">
        <f>F113+F114</f>
        <v>10622.5</v>
      </c>
      <c r="G112" s="1602">
        <f t="shared" si="19"/>
        <v>81904.2</v>
      </c>
      <c r="H112" s="1614">
        <f>H113+H114</f>
        <v>76989.899999999994</v>
      </c>
      <c r="I112" s="1615">
        <f>I113+I114</f>
        <v>4914.3</v>
      </c>
      <c r="J112" s="2181" t="s">
        <v>1272</v>
      </c>
      <c r="K112" s="2181" t="s">
        <v>1273</v>
      </c>
      <c r="L112" s="1600">
        <f>M112+N112</f>
        <v>0</v>
      </c>
      <c r="M112" s="1608">
        <v>0</v>
      </c>
      <c r="N112" s="1608">
        <v>0</v>
      </c>
      <c r="O112" s="1600">
        <f>P112+Q112</f>
        <v>0</v>
      </c>
      <c r="P112" s="1608">
        <v>0</v>
      </c>
      <c r="Q112" s="1608">
        <v>0</v>
      </c>
      <c r="R112" s="1423" t="e">
        <f>D112-#REF!</f>
        <v>#REF!</v>
      </c>
      <c r="S112" s="1423"/>
      <c r="T112" s="1423"/>
    </row>
    <row r="113" spans="1:20" s="484" customFormat="1" ht="23.25">
      <c r="A113" s="2182"/>
      <c r="B113" s="1609" t="s">
        <v>1620</v>
      </c>
      <c r="C113" s="2182"/>
      <c r="D113" s="1602">
        <f t="shared" si="22"/>
        <v>177040.7</v>
      </c>
      <c r="E113" s="1615">
        <v>166418.20000000001</v>
      </c>
      <c r="F113" s="1615">
        <v>10622.5</v>
      </c>
      <c r="G113" s="1600">
        <f t="shared" si="19"/>
        <v>81904.2</v>
      </c>
      <c r="H113" s="1614">
        <v>76989.899999999994</v>
      </c>
      <c r="I113" s="1614">
        <v>4914.3</v>
      </c>
      <c r="J113" s="2181"/>
      <c r="K113" s="2181"/>
      <c r="L113" s="1600"/>
      <c r="M113" s="1608"/>
      <c r="N113" s="1608"/>
      <c r="O113" s="1600"/>
      <c r="P113" s="1608"/>
      <c r="Q113" s="1608"/>
      <c r="R113" s="1423" t="e">
        <f>D113-#REF!</f>
        <v>#REF!</v>
      </c>
      <c r="S113" s="1423"/>
      <c r="T113" s="1423"/>
    </row>
    <row r="114" spans="1:20" s="484" customFormat="1" ht="23.25" hidden="1">
      <c r="A114" s="2182"/>
      <c r="B114" s="1609" t="s">
        <v>1621</v>
      </c>
      <c r="C114" s="2182"/>
      <c r="D114" s="1602">
        <f t="shared" si="22"/>
        <v>0</v>
      </c>
      <c r="E114" s="1616">
        <v>0</v>
      </c>
      <c r="F114" s="1616"/>
      <c r="G114" s="1600">
        <f t="shared" si="19"/>
        <v>0</v>
      </c>
      <c r="H114" s="1608"/>
      <c r="I114" s="1608"/>
      <c r="J114" s="2181"/>
      <c r="K114" s="2181"/>
      <c r="L114" s="1600"/>
      <c r="M114" s="1608"/>
      <c r="N114" s="1608"/>
      <c r="O114" s="1600"/>
      <c r="P114" s="1608"/>
      <c r="Q114" s="1608"/>
      <c r="R114" s="1423" t="e">
        <f>D114-#REF!</f>
        <v>#REF!</v>
      </c>
      <c r="S114" s="1423"/>
      <c r="T114" s="1423"/>
    </row>
    <row r="115" spans="1:20" ht="50.25" customHeight="1">
      <c r="A115" s="2182">
        <f>A112+1</f>
        <v>23</v>
      </c>
      <c r="B115" s="1888" t="s">
        <v>1595</v>
      </c>
      <c r="C115" s="2182"/>
      <c r="D115" s="1602">
        <f t="shared" si="22"/>
        <v>104514.6</v>
      </c>
      <c r="E115" s="1615">
        <f>E116+E118+E117</f>
        <v>98242.7</v>
      </c>
      <c r="F115" s="1615">
        <f>F116+F118+F117</f>
        <v>6271.9</v>
      </c>
      <c r="G115" s="1602">
        <f t="shared" si="19"/>
        <v>99513.8</v>
      </c>
      <c r="H115" s="1615">
        <f>H116+H118+H117</f>
        <v>93542</v>
      </c>
      <c r="I115" s="1615">
        <f>I116+I118+I117</f>
        <v>5971.8</v>
      </c>
      <c r="J115" s="2181"/>
      <c r="K115" s="2181"/>
      <c r="L115" s="1600">
        <f>M115+N115</f>
        <v>0</v>
      </c>
      <c r="M115" s="1608">
        <v>0</v>
      </c>
      <c r="N115" s="1608">
        <v>0</v>
      </c>
      <c r="O115" s="1600">
        <f>P115+Q115</f>
        <v>0</v>
      </c>
      <c r="P115" s="1608">
        <v>0</v>
      </c>
      <c r="Q115" s="1608">
        <v>0</v>
      </c>
      <c r="R115" s="1423" t="e">
        <f>D115-#REF!</f>
        <v>#REF!</v>
      </c>
      <c r="S115" s="1423"/>
      <c r="T115" s="1423"/>
    </row>
    <row r="116" spans="1:20" ht="19.5" customHeight="1">
      <c r="A116" s="2182"/>
      <c r="B116" s="1609" t="s">
        <v>1620</v>
      </c>
      <c r="C116" s="2183"/>
      <c r="D116" s="1602">
        <f t="shared" si="22"/>
        <v>9921.2000000000007</v>
      </c>
      <c r="E116" s="1609">
        <v>9325.9</v>
      </c>
      <c r="F116" s="1609">
        <v>595.29999999999995</v>
      </c>
      <c r="G116" s="1600">
        <f t="shared" si="19"/>
        <v>9921.2000000000007</v>
      </c>
      <c r="H116" s="1619">
        <v>9325.9</v>
      </c>
      <c r="I116" s="1619">
        <v>595.29999999999995</v>
      </c>
      <c r="J116" s="2181"/>
      <c r="K116" s="2181"/>
      <c r="L116" s="1600"/>
      <c r="M116" s="1619"/>
      <c r="N116" s="1619"/>
      <c r="O116" s="1600"/>
      <c r="P116" s="1619"/>
      <c r="Q116" s="1619"/>
      <c r="R116" s="1423" t="e">
        <f>D116-#REF!</f>
        <v>#REF!</v>
      </c>
      <c r="S116" s="1423"/>
      <c r="T116" s="1423"/>
    </row>
    <row r="117" spans="1:20" ht="19.5" customHeight="1">
      <c r="A117" s="2182"/>
      <c r="B117" s="1609" t="s">
        <v>1798</v>
      </c>
      <c r="C117" s="2183"/>
      <c r="D117" s="1602">
        <f>SUM(E117:F117)</f>
        <v>94296.9</v>
      </c>
      <c r="E117" s="1609">
        <v>88638.1</v>
      </c>
      <c r="F117" s="1609">
        <v>5658.8</v>
      </c>
      <c r="G117" s="1600">
        <f>SUM(H117:I117)</f>
        <v>89592.6</v>
      </c>
      <c r="H117" s="1619">
        <v>84216.1</v>
      </c>
      <c r="I117" s="1619">
        <v>5376.5</v>
      </c>
      <c r="J117" s="2181"/>
      <c r="K117" s="2181"/>
      <c r="L117" s="1600"/>
      <c r="M117" s="1619"/>
      <c r="N117" s="1619"/>
      <c r="O117" s="1600"/>
      <c r="P117" s="1619"/>
      <c r="Q117" s="1619"/>
      <c r="R117" s="1423"/>
      <c r="S117" s="1423"/>
      <c r="T117" s="1423"/>
    </row>
    <row r="118" spans="1:20" ht="26.25" customHeight="1">
      <c r="A118" s="2182"/>
      <c r="B118" s="1609" t="s">
        <v>1770</v>
      </c>
      <c r="C118" s="2183"/>
      <c r="D118" s="1602">
        <f t="shared" si="22"/>
        <v>296.5</v>
      </c>
      <c r="E118" s="1609">
        <v>278.7</v>
      </c>
      <c r="F118" s="1609">
        <v>17.8</v>
      </c>
      <c r="G118" s="1600">
        <f t="shared" si="19"/>
        <v>0</v>
      </c>
      <c r="H118" s="1619"/>
      <c r="I118" s="1619"/>
      <c r="J118" s="2181"/>
      <c r="K118" s="2181"/>
      <c r="L118" s="1600"/>
      <c r="M118" s="1619"/>
      <c r="N118" s="1619"/>
      <c r="O118" s="1600"/>
      <c r="P118" s="1619"/>
      <c r="Q118" s="1619"/>
      <c r="R118" s="1423" t="e">
        <f>D118-#REF!</f>
        <v>#REF!</v>
      </c>
      <c r="S118" s="1423"/>
      <c r="T118" s="1423"/>
    </row>
    <row r="119" spans="1:20" ht="50.25" customHeight="1">
      <c r="A119" s="2182">
        <f>A115+1</f>
        <v>24</v>
      </c>
      <c r="B119" s="1888" t="s">
        <v>1596</v>
      </c>
      <c r="C119" s="2182"/>
      <c r="D119" s="1602">
        <f t="shared" si="22"/>
        <v>229155.8</v>
      </c>
      <c r="E119" s="1615">
        <f>E120+E122+E121</f>
        <v>215404.2</v>
      </c>
      <c r="F119" s="1615">
        <f>F120+F122+F121</f>
        <v>13751.6</v>
      </c>
      <c r="G119" s="1602">
        <f t="shared" si="19"/>
        <v>116380.6</v>
      </c>
      <c r="H119" s="1615">
        <f>H120+H122+H121</f>
        <v>109396.6</v>
      </c>
      <c r="I119" s="1615">
        <f>I120+I122+I121</f>
        <v>6984</v>
      </c>
      <c r="J119" s="2181"/>
      <c r="K119" s="2181"/>
      <c r="L119" s="1600">
        <f>M119+N119</f>
        <v>0</v>
      </c>
      <c r="M119" s="1608">
        <v>0</v>
      </c>
      <c r="N119" s="1608">
        <v>0</v>
      </c>
      <c r="O119" s="1600">
        <f>P119+Q119</f>
        <v>0</v>
      </c>
      <c r="P119" s="1608">
        <v>0</v>
      </c>
      <c r="Q119" s="1608">
        <v>0</v>
      </c>
      <c r="R119" s="1423" t="e">
        <f>D119-#REF!</f>
        <v>#REF!</v>
      </c>
      <c r="S119" s="1423"/>
      <c r="T119" s="1423"/>
    </row>
    <row r="120" spans="1:20" ht="19.5" customHeight="1">
      <c r="A120" s="2182"/>
      <c r="B120" s="1609" t="s">
        <v>1620</v>
      </c>
      <c r="C120" s="2183"/>
      <c r="D120" s="1602">
        <f t="shared" si="22"/>
        <v>6302.6</v>
      </c>
      <c r="E120" s="1609">
        <v>5924.4</v>
      </c>
      <c r="F120" s="1609">
        <v>378.2</v>
      </c>
      <c r="G120" s="1602">
        <f t="shared" si="19"/>
        <v>0</v>
      </c>
      <c r="H120" s="1609"/>
      <c r="I120" s="1609"/>
      <c r="J120" s="2181"/>
      <c r="K120" s="2181"/>
      <c r="L120" s="1600"/>
      <c r="M120" s="1619"/>
      <c r="N120" s="1619"/>
      <c r="O120" s="1600"/>
      <c r="P120" s="1619"/>
      <c r="Q120" s="1619"/>
      <c r="R120" s="1423" t="e">
        <f>D120-#REF!</f>
        <v>#REF!</v>
      </c>
      <c r="S120" s="1423"/>
      <c r="T120" s="1423"/>
    </row>
    <row r="121" spans="1:20" ht="19.5" customHeight="1">
      <c r="A121" s="2182"/>
      <c r="B121" s="1609" t="s">
        <v>1798</v>
      </c>
      <c r="C121" s="2183"/>
      <c r="D121" s="1602">
        <f>SUM(E121:F121)</f>
        <v>222529.1</v>
      </c>
      <c r="E121" s="1609">
        <v>209175.1</v>
      </c>
      <c r="F121" s="1609">
        <v>13354</v>
      </c>
      <c r="G121" s="1602">
        <f>SUM(H121:I121)</f>
        <v>116380.6</v>
      </c>
      <c r="H121" s="1609">
        <v>109396.6</v>
      </c>
      <c r="I121" s="1609">
        <v>6984</v>
      </c>
      <c r="J121" s="2181"/>
      <c r="K121" s="2181"/>
      <c r="L121" s="1600"/>
      <c r="M121" s="1619"/>
      <c r="N121" s="1619"/>
      <c r="O121" s="1600"/>
      <c r="P121" s="1619"/>
      <c r="Q121" s="1619"/>
      <c r="R121" s="1423"/>
      <c r="S121" s="1423"/>
      <c r="T121" s="1423"/>
    </row>
    <row r="122" spans="1:20" ht="26.25" customHeight="1">
      <c r="A122" s="2182"/>
      <c r="B122" s="1609" t="s">
        <v>1770</v>
      </c>
      <c r="C122" s="2183"/>
      <c r="D122" s="1602">
        <f t="shared" si="22"/>
        <v>324.10000000000002</v>
      </c>
      <c r="E122" s="1609">
        <v>304.7</v>
      </c>
      <c r="F122" s="1609">
        <v>19.399999999999999</v>
      </c>
      <c r="G122" s="1602">
        <f t="shared" si="19"/>
        <v>0</v>
      </c>
      <c r="H122" s="1609"/>
      <c r="I122" s="1609"/>
      <c r="J122" s="2181"/>
      <c r="K122" s="2181"/>
      <c r="L122" s="1600"/>
      <c r="M122" s="1619"/>
      <c r="N122" s="1619"/>
      <c r="O122" s="1600"/>
      <c r="P122" s="1619"/>
      <c r="Q122" s="1619"/>
      <c r="R122" s="1423" t="e">
        <f>D122-#REF!</f>
        <v>#REF!</v>
      </c>
      <c r="S122" s="1423"/>
      <c r="T122" s="1423"/>
    </row>
    <row r="123" spans="1:20" s="484" customFormat="1" ht="78.75" hidden="1" customHeight="1">
      <c r="A123" s="2182">
        <f>A119+1</f>
        <v>25</v>
      </c>
      <c r="B123" s="1914" t="s">
        <v>1599</v>
      </c>
      <c r="C123" s="1866" t="s">
        <v>1611</v>
      </c>
      <c r="D123" s="1600">
        <f t="shared" si="22"/>
        <v>0</v>
      </c>
      <c r="E123" s="1616">
        <f>E124</f>
        <v>0</v>
      </c>
      <c r="F123" s="1616">
        <f>F124</f>
        <v>0</v>
      </c>
      <c r="G123" s="1602">
        <f t="shared" si="19"/>
        <v>0</v>
      </c>
      <c r="H123" s="1616">
        <f>H124</f>
        <v>0</v>
      </c>
      <c r="I123" s="1616">
        <f>I124</f>
        <v>0</v>
      </c>
      <c r="J123" s="2181"/>
      <c r="K123" s="2181"/>
      <c r="L123" s="1600">
        <f>M123+N123</f>
        <v>0</v>
      </c>
      <c r="M123" s="1608">
        <v>0</v>
      </c>
      <c r="N123" s="1608">
        <v>0</v>
      </c>
      <c r="O123" s="1600">
        <f>P123+Q123</f>
        <v>0</v>
      </c>
      <c r="P123" s="1608">
        <v>0</v>
      </c>
      <c r="Q123" s="1608">
        <v>0</v>
      </c>
      <c r="R123" s="1423" t="e">
        <f>D123-#REF!</f>
        <v>#REF!</v>
      </c>
      <c r="S123" s="1423"/>
      <c r="T123" s="1423"/>
    </row>
    <row r="124" spans="1:20" s="484" customFormat="1" ht="23.25" hidden="1" customHeight="1">
      <c r="A124" s="2182"/>
      <c r="B124" s="1609" t="s">
        <v>1620</v>
      </c>
      <c r="C124" s="1924"/>
      <c r="D124" s="1600">
        <f t="shared" si="22"/>
        <v>0</v>
      </c>
      <c r="E124" s="1616"/>
      <c r="F124" s="1616"/>
      <c r="G124" s="1602">
        <f t="shared" si="19"/>
        <v>0</v>
      </c>
      <c r="H124" s="1616"/>
      <c r="I124" s="1616"/>
      <c r="J124" s="2181"/>
      <c r="K124" s="2181"/>
      <c r="L124" s="1600">
        <f>M124+N124</f>
        <v>0</v>
      </c>
      <c r="M124" s="1608">
        <v>0</v>
      </c>
      <c r="N124" s="1608">
        <v>0</v>
      </c>
      <c r="O124" s="1600">
        <f>P124+Q124</f>
        <v>0</v>
      </c>
      <c r="P124" s="1608">
        <v>0</v>
      </c>
      <c r="Q124" s="1624">
        <v>0</v>
      </c>
      <c r="R124" s="1423" t="e">
        <f>D124-#REF!</f>
        <v>#REF!</v>
      </c>
      <c r="S124" s="1423"/>
      <c r="T124" s="1423"/>
    </row>
    <row r="125" spans="1:20" s="484" customFormat="1" ht="30.75" customHeight="1">
      <c r="A125" s="2182">
        <f>A119+1</f>
        <v>25</v>
      </c>
      <c r="B125" s="2175" t="s">
        <v>763</v>
      </c>
      <c r="C125" s="2176" t="s">
        <v>1550</v>
      </c>
      <c r="D125" s="2177">
        <f t="shared" si="22"/>
        <v>236519.6</v>
      </c>
      <c r="E125" s="1617">
        <f>E126+E127</f>
        <v>222326</v>
      </c>
      <c r="F125" s="1617">
        <f>F126+F127</f>
        <v>14193.6</v>
      </c>
      <c r="G125" s="2177">
        <f t="shared" si="19"/>
        <v>108625.8</v>
      </c>
      <c r="H125" s="1617">
        <f>H126+H127</f>
        <v>102107.2</v>
      </c>
      <c r="I125" s="1617">
        <f>I126+I127</f>
        <v>6518.6</v>
      </c>
      <c r="J125" s="1608">
        <f t="shared" ref="J125:Q125" si="23">J126+J127</f>
        <v>0</v>
      </c>
      <c r="K125" s="1608">
        <f t="shared" si="23"/>
        <v>0</v>
      </c>
      <c r="L125" s="1941">
        <f t="shared" si="23"/>
        <v>109549.9</v>
      </c>
      <c r="M125" s="1608">
        <f t="shared" si="23"/>
        <v>0</v>
      </c>
      <c r="N125" s="1608">
        <f t="shared" si="23"/>
        <v>109549.9</v>
      </c>
      <c r="O125" s="1608">
        <f t="shared" si="23"/>
        <v>0</v>
      </c>
      <c r="P125" s="1608">
        <f t="shared" si="23"/>
        <v>0</v>
      </c>
      <c r="Q125" s="1608">
        <f t="shared" si="23"/>
        <v>0</v>
      </c>
      <c r="R125" s="1423" t="e">
        <f>D125-#REF!</f>
        <v>#REF!</v>
      </c>
      <c r="S125" s="1423"/>
      <c r="T125" s="1423"/>
    </row>
    <row r="126" spans="1:20" s="484" customFormat="1" ht="23.25">
      <c r="A126" s="2182"/>
      <c r="B126" s="1609" t="s">
        <v>1620</v>
      </c>
      <c r="C126" s="1924"/>
      <c r="D126" s="1600">
        <f t="shared" si="22"/>
        <v>236519.6</v>
      </c>
      <c r="E126" s="1616">
        <v>222326</v>
      </c>
      <c r="F126" s="1616">
        <v>14193.6</v>
      </c>
      <c r="G126" s="1602">
        <f t="shared" si="19"/>
        <v>108625.8</v>
      </c>
      <c r="H126" s="1616">
        <v>102107.2</v>
      </c>
      <c r="I126" s="1616">
        <v>6518.6</v>
      </c>
      <c r="J126" s="2181"/>
      <c r="K126" s="2181"/>
      <c r="L126" s="1600">
        <f t="shared" ref="L126:L148" si="24">M126+N126</f>
        <v>0</v>
      </c>
      <c r="M126" s="1608">
        <v>0</v>
      </c>
      <c r="N126" s="1608">
        <v>0</v>
      </c>
      <c r="O126" s="1600">
        <f t="shared" ref="O126:O148" si="25">P126+Q126</f>
        <v>0</v>
      </c>
      <c r="P126" s="1608">
        <v>0</v>
      </c>
      <c r="Q126" s="1624">
        <v>0</v>
      </c>
      <c r="R126" s="1423" t="e">
        <f>D126-#REF!</f>
        <v>#REF!</v>
      </c>
      <c r="S126" s="1423"/>
      <c r="T126" s="1423"/>
    </row>
    <row r="127" spans="1:20" s="484" customFormat="1" ht="19.5" hidden="1" customHeight="1">
      <c r="A127" s="2182"/>
      <c r="B127" s="1609" t="s">
        <v>1621</v>
      </c>
      <c r="C127" s="1924"/>
      <c r="D127" s="1600">
        <f t="shared" si="22"/>
        <v>0</v>
      </c>
      <c r="E127" s="1616"/>
      <c r="F127" s="2045">
        <v>0</v>
      </c>
      <c r="G127" s="1602">
        <f t="shared" si="19"/>
        <v>0</v>
      </c>
      <c r="H127" s="1616"/>
      <c r="I127" s="2045"/>
      <c r="J127" s="2181"/>
      <c r="K127" s="2181"/>
      <c r="L127" s="1600">
        <f t="shared" si="24"/>
        <v>109549.9</v>
      </c>
      <c r="M127" s="1608">
        <v>0</v>
      </c>
      <c r="N127" s="1608">
        <v>109549.9</v>
      </c>
      <c r="O127" s="1600">
        <f t="shared" si="25"/>
        <v>0</v>
      </c>
      <c r="P127" s="1608">
        <v>0</v>
      </c>
      <c r="Q127" s="1624">
        <v>0</v>
      </c>
      <c r="S127" s="1423"/>
      <c r="T127" s="1423"/>
    </row>
    <row r="128" spans="1:20" s="484" customFormat="1" ht="20.25" customHeight="1">
      <c r="A128" s="2182">
        <f>A125+1</f>
        <v>26</v>
      </c>
      <c r="B128" s="2175" t="s">
        <v>765</v>
      </c>
      <c r="C128" s="2176" t="s">
        <v>1550</v>
      </c>
      <c r="D128" s="2177">
        <f t="shared" si="22"/>
        <v>23370.1</v>
      </c>
      <c r="E128" s="1617">
        <f>SUM(E129:E130)</f>
        <v>21967.7</v>
      </c>
      <c r="F128" s="1617">
        <f>SUM(F129:F130)</f>
        <v>1402.4</v>
      </c>
      <c r="G128" s="2177">
        <f t="shared" si="19"/>
        <v>16050.4</v>
      </c>
      <c r="H128" s="1617">
        <f>SUM(H129:H130)</f>
        <v>15087.2</v>
      </c>
      <c r="I128" s="1617">
        <f>SUM(I129:I130)</f>
        <v>963.2</v>
      </c>
      <c r="J128" s="2181" t="s">
        <v>1267</v>
      </c>
      <c r="K128" s="2181" t="s">
        <v>1219</v>
      </c>
      <c r="L128" s="1600">
        <f t="shared" si="24"/>
        <v>0</v>
      </c>
      <c r="M128" s="1608">
        <v>0</v>
      </c>
      <c r="N128" s="1608">
        <v>0</v>
      </c>
      <c r="O128" s="1600">
        <f t="shared" si="25"/>
        <v>0</v>
      </c>
      <c r="P128" s="1608">
        <v>0</v>
      </c>
      <c r="Q128" s="1624">
        <v>0</v>
      </c>
      <c r="R128" s="1423" t="e">
        <f>D128-#REF!</f>
        <v>#REF!</v>
      </c>
      <c r="S128" s="1423"/>
      <c r="T128" s="1423"/>
    </row>
    <row r="129" spans="1:20" ht="23.25">
      <c r="A129" s="2182"/>
      <c r="B129" s="1609" t="s">
        <v>1620</v>
      </c>
      <c r="C129" s="1924"/>
      <c r="D129" s="1600">
        <f t="shared" si="22"/>
        <v>23370.1</v>
      </c>
      <c r="E129" s="1616">
        <v>21967.7</v>
      </c>
      <c r="F129" s="1616">
        <v>1402.4</v>
      </c>
      <c r="G129" s="1602">
        <f t="shared" si="19"/>
        <v>16050.4</v>
      </c>
      <c r="H129" s="1616">
        <v>15087.2</v>
      </c>
      <c r="I129" s="1616">
        <v>963.2</v>
      </c>
      <c r="J129" s="2181"/>
      <c r="K129" s="2181"/>
      <c r="L129" s="1600">
        <f t="shared" si="24"/>
        <v>0</v>
      </c>
      <c r="M129" s="1608">
        <v>0</v>
      </c>
      <c r="N129" s="1608">
        <v>0</v>
      </c>
      <c r="O129" s="1600">
        <f t="shared" si="25"/>
        <v>0</v>
      </c>
      <c r="P129" s="1608">
        <v>0</v>
      </c>
      <c r="Q129" s="1624">
        <v>0</v>
      </c>
      <c r="R129" s="1423" t="e">
        <f>D129-#REF!</f>
        <v>#REF!</v>
      </c>
      <c r="S129" s="1423"/>
      <c r="T129" s="1423"/>
    </row>
    <row r="130" spans="1:20" ht="23.25" hidden="1">
      <c r="A130" s="2182"/>
      <c r="B130" s="1609" t="s">
        <v>1621</v>
      </c>
      <c r="C130" s="1924"/>
      <c r="D130" s="1600">
        <f t="shared" si="22"/>
        <v>0</v>
      </c>
      <c r="E130" s="1616"/>
      <c r="F130" s="2045"/>
      <c r="G130" s="1602">
        <f t="shared" si="19"/>
        <v>0</v>
      </c>
      <c r="H130" s="1616"/>
      <c r="I130" s="2045"/>
      <c r="J130" s="2181"/>
      <c r="K130" s="2181"/>
      <c r="L130" s="1600">
        <f t="shared" si="24"/>
        <v>0</v>
      </c>
      <c r="M130" s="1608">
        <v>0</v>
      </c>
      <c r="N130" s="1608">
        <v>0</v>
      </c>
      <c r="O130" s="1600">
        <f t="shared" si="25"/>
        <v>0</v>
      </c>
      <c r="P130" s="1608">
        <v>0</v>
      </c>
      <c r="Q130" s="1624">
        <v>0</v>
      </c>
      <c r="R130" s="1423" t="e">
        <f>D130-#REF!</f>
        <v>#REF!</v>
      </c>
      <c r="S130" s="1423"/>
      <c r="T130" s="1423"/>
    </row>
    <row r="131" spans="1:20" s="484" customFormat="1" ht="24.75" customHeight="1">
      <c r="A131" s="2182">
        <f>A128+1</f>
        <v>27</v>
      </c>
      <c r="B131" s="2175" t="s">
        <v>766</v>
      </c>
      <c r="C131" s="2176" t="s">
        <v>1550</v>
      </c>
      <c r="D131" s="2177">
        <f t="shared" si="22"/>
        <v>14565.9</v>
      </c>
      <c r="E131" s="1617">
        <f>SUM(E132:E133)</f>
        <v>13691.8</v>
      </c>
      <c r="F131" s="1617">
        <f>SUM(F132:F133)</f>
        <v>874.1</v>
      </c>
      <c r="G131" s="2177">
        <f t="shared" ref="G131:G152" si="26">SUM(H131:I131)</f>
        <v>9980.2000000000007</v>
      </c>
      <c r="H131" s="1617">
        <f>SUM(H132:H133)</f>
        <v>9381.2999999999993</v>
      </c>
      <c r="I131" s="1617">
        <f>SUM(I132:I133)</f>
        <v>598.9</v>
      </c>
      <c r="J131" s="2181" t="s">
        <v>1303</v>
      </c>
      <c r="K131" s="2181" t="s">
        <v>1268</v>
      </c>
      <c r="L131" s="1600">
        <f t="shared" si="24"/>
        <v>0</v>
      </c>
      <c r="M131" s="1608">
        <v>0</v>
      </c>
      <c r="N131" s="1608">
        <v>0</v>
      </c>
      <c r="O131" s="1600">
        <f t="shared" si="25"/>
        <v>0</v>
      </c>
      <c r="P131" s="1608">
        <v>0</v>
      </c>
      <c r="Q131" s="1624">
        <v>0</v>
      </c>
      <c r="R131" s="1423" t="e">
        <f>D131-#REF!</f>
        <v>#REF!</v>
      </c>
      <c r="S131" s="1423"/>
      <c r="T131" s="1423"/>
    </row>
    <row r="132" spans="1:20" ht="23.25">
      <c r="A132" s="2182"/>
      <c r="B132" s="1609" t="s">
        <v>1620</v>
      </c>
      <c r="C132" s="1924"/>
      <c r="D132" s="1600">
        <f t="shared" si="22"/>
        <v>14565.9</v>
      </c>
      <c r="E132" s="1616">
        <v>13691.8</v>
      </c>
      <c r="F132" s="1616">
        <v>874.1</v>
      </c>
      <c r="G132" s="1602">
        <f t="shared" si="26"/>
        <v>9980.2000000000007</v>
      </c>
      <c r="H132" s="1616">
        <v>9381.2999999999993</v>
      </c>
      <c r="I132" s="1616">
        <v>598.9</v>
      </c>
      <c r="J132" s="2181"/>
      <c r="K132" s="2181"/>
      <c r="L132" s="1600">
        <f t="shared" si="24"/>
        <v>0</v>
      </c>
      <c r="M132" s="1608">
        <v>0</v>
      </c>
      <c r="N132" s="1608">
        <v>0</v>
      </c>
      <c r="O132" s="1600">
        <f t="shared" si="25"/>
        <v>0</v>
      </c>
      <c r="P132" s="1608">
        <v>0</v>
      </c>
      <c r="Q132" s="1624">
        <v>0</v>
      </c>
      <c r="R132" s="1423" t="e">
        <f>D132-#REF!</f>
        <v>#REF!</v>
      </c>
      <c r="S132" s="1423"/>
      <c r="T132" s="1423"/>
    </row>
    <row r="133" spans="1:20" ht="23.25" hidden="1">
      <c r="A133" s="2182"/>
      <c r="B133" s="1609" t="s">
        <v>1621</v>
      </c>
      <c r="C133" s="1924"/>
      <c r="D133" s="1600">
        <f t="shared" si="22"/>
        <v>0</v>
      </c>
      <c r="E133" s="1616"/>
      <c r="F133" s="2045"/>
      <c r="G133" s="1602">
        <f t="shared" si="26"/>
        <v>0</v>
      </c>
      <c r="H133" s="1616"/>
      <c r="I133" s="2045"/>
      <c r="J133" s="2181"/>
      <c r="K133" s="2181"/>
      <c r="L133" s="1600">
        <f t="shared" si="24"/>
        <v>0</v>
      </c>
      <c r="M133" s="1608">
        <v>0</v>
      </c>
      <c r="N133" s="1608">
        <v>0</v>
      </c>
      <c r="O133" s="1600">
        <f t="shared" si="25"/>
        <v>0</v>
      </c>
      <c r="P133" s="1608">
        <v>0</v>
      </c>
      <c r="Q133" s="1624">
        <v>0</v>
      </c>
      <c r="R133" s="1423" t="e">
        <f>D133-#REF!</f>
        <v>#REF!</v>
      </c>
      <c r="S133" s="1423"/>
      <c r="T133" s="1423"/>
    </row>
    <row r="134" spans="1:20" ht="39" customHeight="1">
      <c r="A134" s="2182">
        <f>A131+1</f>
        <v>28</v>
      </c>
      <c r="B134" s="521" t="s">
        <v>478</v>
      </c>
      <c r="C134" s="1924" t="s">
        <v>1610</v>
      </c>
      <c r="D134" s="1600">
        <f t="shared" si="22"/>
        <v>423675.6</v>
      </c>
      <c r="E134" s="1616">
        <f>E135+E137+E138+E136</f>
        <v>398273.9</v>
      </c>
      <c r="F134" s="1616">
        <f>F135+F137+F138+F136</f>
        <v>25401.7</v>
      </c>
      <c r="G134" s="1602">
        <f>SUM(H134:I134)</f>
        <v>421918.1</v>
      </c>
      <c r="H134" s="1616">
        <f>H135+H137+H138</f>
        <v>396602.9</v>
      </c>
      <c r="I134" s="1616">
        <f>I135+I137+I138</f>
        <v>25315.200000000001</v>
      </c>
      <c r="J134" s="2181" t="s">
        <v>1298</v>
      </c>
      <c r="K134" s="2181" t="s">
        <v>1261</v>
      </c>
      <c r="L134" s="1600">
        <f t="shared" si="24"/>
        <v>0</v>
      </c>
      <c r="M134" s="1608">
        <v>0</v>
      </c>
      <c r="N134" s="1608">
        <v>0</v>
      </c>
      <c r="O134" s="1600">
        <f t="shared" si="25"/>
        <v>0</v>
      </c>
      <c r="P134" s="1608">
        <v>0</v>
      </c>
      <c r="Q134" s="1624">
        <v>0</v>
      </c>
      <c r="R134" s="1423" t="e">
        <f>D134-#REF!</f>
        <v>#REF!</v>
      </c>
      <c r="S134" s="1423"/>
      <c r="T134" s="1423"/>
    </row>
    <row r="135" spans="1:20" ht="23.25">
      <c r="A135" s="2182"/>
      <c r="B135" s="1609" t="s">
        <v>1620</v>
      </c>
      <c r="C135" s="1924"/>
      <c r="D135" s="1600">
        <f t="shared" si="22"/>
        <v>422392.8</v>
      </c>
      <c r="E135" s="1616">
        <v>397049.2</v>
      </c>
      <c r="F135" s="2045">
        <v>25343.599999999999</v>
      </c>
      <c r="G135" s="1602">
        <f t="shared" si="26"/>
        <v>421310.9</v>
      </c>
      <c r="H135" s="1616">
        <v>396032.2</v>
      </c>
      <c r="I135" s="1616">
        <v>25278.7</v>
      </c>
      <c r="J135" s="2181"/>
      <c r="K135" s="2181"/>
      <c r="L135" s="1600">
        <f t="shared" si="24"/>
        <v>0</v>
      </c>
      <c r="M135" s="1608">
        <v>0</v>
      </c>
      <c r="N135" s="1608">
        <v>0</v>
      </c>
      <c r="O135" s="1600">
        <f t="shared" si="25"/>
        <v>0</v>
      </c>
      <c r="P135" s="1608">
        <v>0</v>
      </c>
      <c r="Q135" s="1624">
        <v>0</v>
      </c>
      <c r="R135" s="1423" t="e">
        <f>D135-#REF!</f>
        <v>#REF!</v>
      </c>
      <c r="S135" s="1423"/>
      <c r="T135" s="1423"/>
    </row>
    <row r="136" spans="1:20" ht="23.25">
      <c r="A136" s="2182"/>
      <c r="B136" s="1609" t="s">
        <v>1798</v>
      </c>
      <c r="C136" s="1924"/>
      <c r="D136" s="1600">
        <f>SUM(E136:F136)</f>
        <v>278.7</v>
      </c>
      <c r="E136" s="1616">
        <v>262</v>
      </c>
      <c r="F136" s="1616">
        <v>16.7</v>
      </c>
      <c r="G136" s="1602">
        <f>SUM(H136:I136)</f>
        <v>0</v>
      </c>
      <c r="H136" s="1616">
        <v>0</v>
      </c>
      <c r="I136" s="1616">
        <v>0</v>
      </c>
      <c r="J136" s="2181"/>
      <c r="K136" s="2181"/>
      <c r="L136" s="1600"/>
      <c r="M136" s="1608"/>
      <c r="N136" s="1608"/>
      <c r="O136" s="1600"/>
      <c r="P136" s="1608"/>
      <c r="Q136" s="1624"/>
      <c r="R136" s="1423"/>
      <c r="S136" s="1423"/>
      <c r="T136" s="1423"/>
    </row>
    <row r="137" spans="1:20" ht="23.25">
      <c r="A137" s="2182"/>
      <c r="B137" s="1609" t="s">
        <v>1770</v>
      </c>
      <c r="C137" s="1882"/>
      <c r="D137" s="1602">
        <f t="shared" si="22"/>
        <v>1004.1</v>
      </c>
      <c r="E137" s="1616">
        <f>256.6+706.1</f>
        <v>962.7</v>
      </c>
      <c r="F137" s="1616">
        <f>16.4+25</f>
        <v>41.4</v>
      </c>
      <c r="G137" s="1602">
        <f t="shared" si="26"/>
        <v>607.20000000000005</v>
      </c>
      <c r="H137" s="1616">
        <f>256.511+314.156</f>
        <v>570.70000000000005</v>
      </c>
      <c r="I137" s="1616">
        <f>16.4+20.06</f>
        <v>36.5</v>
      </c>
      <c r="J137" s="2181"/>
      <c r="K137" s="2181"/>
      <c r="L137" s="1600">
        <f t="shared" si="24"/>
        <v>0</v>
      </c>
      <c r="M137" s="1608">
        <v>0</v>
      </c>
      <c r="N137" s="1608">
        <v>0</v>
      </c>
      <c r="O137" s="1600">
        <f t="shared" si="25"/>
        <v>0</v>
      </c>
      <c r="P137" s="1614"/>
      <c r="Q137" s="1614"/>
      <c r="R137" s="1423" t="e">
        <f>D137-#REF!</f>
        <v>#REF!</v>
      </c>
      <c r="S137" s="1423"/>
      <c r="T137" s="1423"/>
    </row>
    <row r="138" spans="1:20" s="1654" customFormat="1" ht="23.25" hidden="1">
      <c r="A138" s="2133"/>
      <c r="B138" s="2134" t="s">
        <v>1621</v>
      </c>
      <c r="C138" s="2135"/>
      <c r="D138" s="2136">
        <f t="shared" ref="D138:D160" si="27">SUM(E138:F138)</f>
        <v>0</v>
      </c>
      <c r="E138" s="2137"/>
      <c r="F138" s="2137"/>
      <c r="G138" s="2136">
        <f t="shared" si="26"/>
        <v>0</v>
      </c>
      <c r="H138" s="2137"/>
      <c r="I138" s="2137"/>
      <c r="J138" s="2142"/>
      <c r="K138" s="2142"/>
      <c r="L138" s="2138">
        <f t="shared" si="24"/>
        <v>0</v>
      </c>
      <c r="M138" s="2139">
        <v>0</v>
      </c>
      <c r="N138" s="2139">
        <v>0</v>
      </c>
      <c r="O138" s="2138">
        <f t="shared" si="25"/>
        <v>0</v>
      </c>
      <c r="P138" s="2143"/>
      <c r="Q138" s="2143"/>
      <c r="R138" s="2144" t="e">
        <f>D138-#REF!</f>
        <v>#REF!</v>
      </c>
      <c r="S138" s="1423"/>
      <c r="T138" s="1423"/>
    </row>
    <row r="139" spans="1:20" s="484" customFormat="1" ht="39.75" hidden="1" customHeight="1">
      <c r="A139" s="2182">
        <f>A134+1</f>
        <v>29</v>
      </c>
      <c r="B139" s="1915" t="s">
        <v>694</v>
      </c>
      <c r="C139" s="2182" t="s">
        <v>1548</v>
      </c>
      <c r="D139" s="1602">
        <f t="shared" si="27"/>
        <v>0</v>
      </c>
      <c r="E139" s="1615">
        <f>E140</f>
        <v>0</v>
      </c>
      <c r="F139" s="1615">
        <f>F140</f>
        <v>0</v>
      </c>
      <c r="G139" s="1602">
        <f t="shared" si="26"/>
        <v>0</v>
      </c>
      <c r="H139" s="1615">
        <f>H140</f>
        <v>0</v>
      </c>
      <c r="I139" s="1615">
        <f>I140</f>
        <v>0</v>
      </c>
      <c r="J139" s="2181" t="s">
        <v>1272</v>
      </c>
      <c r="K139" s="2181" t="s">
        <v>1273</v>
      </c>
      <c r="L139" s="1600">
        <f t="shared" si="24"/>
        <v>0</v>
      </c>
      <c r="M139" s="1614">
        <v>0</v>
      </c>
      <c r="N139" s="1614">
        <v>0</v>
      </c>
      <c r="O139" s="1600">
        <f t="shared" si="25"/>
        <v>0</v>
      </c>
      <c r="P139" s="1614">
        <v>0</v>
      </c>
      <c r="Q139" s="1614">
        <v>0</v>
      </c>
      <c r="R139" s="1423" t="e">
        <f>D139-#REF!</f>
        <v>#REF!</v>
      </c>
      <c r="S139" s="1423"/>
      <c r="T139" s="1423"/>
    </row>
    <row r="140" spans="1:20" s="484" customFormat="1" ht="23.25" hidden="1" customHeight="1">
      <c r="A140" s="2182"/>
      <c r="B140" s="1609" t="s">
        <v>1620</v>
      </c>
      <c r="C140" s="1882"/>
      <c r="D140" s="1602">
        <f t="shared" si="27"/>
        <v>0</v>
      </c>
      <c r="E140" s="1615">
        <v>0</v>
      </c>
      <c r="F140" s="1615">
        <v>0</v>
      </c>
      <c r="G140" s="1602">
        <f t="shared" si="26"/>
        <v>0</v>
      </c>
      <c r="H140" s="1616"/>
      <c r="I140" s="1616"/>
      <c r="J140" s="2181"/>
      <c r="K140" s="2181"/>
      <c r="L140" s="1600">
        <f t="shared" si="24"/>
        <v>0</v>
      </c>
      <c r="M140" s="1608">
        <v>0</v>
      </c>
      <c r="N140" s="1608">
        <v>0</v>
      </c>
      <c r="O140" s="1600">
        <f t="shared" si="25"/>
        <v>0</v>
      </c>
      <c r="P140" s="1608">
        <v>0</v>
      </c>
      <c r="Q140" s="1624">
        <v>0</v>
      </c>
      <c r="R140" s="1423" t="e">
        <f>D140-#REF!</f>
        <v>#REF!</v>
      </c>
      <c r="S140" s="1423"/>
      <c r="T140" s="1423"/>
    </row>
    <row r="141" spans="1:20" s="484" customFormat="1" ht="42" customHeight="1">
      <c r="A141" s="2182">
        <f>A134+1</f>
        <v>29</v>
      </c>
      <c r="B141" s="1915" t="s">
        <v>695</v>
      </c>
      <c r="C141" s="2182"/>
      <c r="D141" s="1602">
        <f t="shared" si="27"/>
        <v>191951.9</v>
      </c>
      <c r="E141" s="1615">
        <f>E142+E143</f>
        <v>180434.8</v>
      </c>
      <c r="F141" s="1615">
        <f>F142+F143</f>
        <v>11517.1</v>
      </c>
      <c r="G141" s="1602">
        <f t="shared" si="26"/>
        <v>187084.3</v>
      </c>
      <c r="H141" s="1615">
        <f>H142+H143</f>
        <v>175859.20000000001</v>
      </c>
      <c r="I141" s="1615">
        <f>I142+I143</f>
        <v>11225.1</v>
      </c>
      <c r="J141" s="2181" t="s">
        <v>1272</v>
      </c>
      <c r="K141" s="2181" t="s">
        <v>1273</v>
      </c>
      <c r="L141" s="1600">
        <f t="shared" si="24"/>
        <v>0</v>
      </c>
      <c r="M141" s="1614">
        <v>0</v>
      </c>
      <c r="N141" s="1614">
        <v>0</v>
      </c>
      <c r="O141" s="1600">
        <f t="shared" si="25"/>
        <v>0</v>
      </c>
      <c r="P141" s="1614">
        <v>0</v>
      </c>
      <c r="Q141" s="1614">
        <v>0</v>
      </c>
      <c r="R141" s="1423" t="e">
        <f>D141-#REF!</f>
        <v>#REF!</v>
      </c>
      <c r="S141" s="1423"/>
      <c r="T141" s="1423"/>
    </row>
    <row r="142" spans="1:20" ht="23.25">
      <c r="A142" s="2182"/>
      <c r="B142" s="1609" t="s">
        <v>1620</v>
      </c>
      <c r="C142" s="1882"/>
      <c r="D142" s="1602">
        <f t="shared" si="27"/>
        <v>104813.3</v>
      </c>
      <c r="E142" s="1616">
        <v>98524.5</v>
      </c>
      <c r="F142" s="2045">
        <f>6288.8</f>
        <v>6288.8</v>
      </c>
      <c r="G142" s="1602">
        <f t="shared" si="26"/>
        <v>99946.1</v>
      </c>
      <c r="H142" s="1616">
        <v>93949.3</v>
      </c>
      <c r="I142" s="1616">
        <v>5996.8</v>
      </c>
      <c r="J142" s="2181"/>
      <c r="K142" s="2181"/>
      <c r="L142" s="1600">
        <f t="shared" si="24"/>
        <v>0</v>
      </c>
      <c r="M142" s="1608">
        <v>0</v>
      </c>
      <c r="N142" s="1608">
        <v>0</v>
      </c>
      <c r="O142" s="1600">
        <f t="shared" si="25"/>
        <v>0</v>
      </c>
      <c r="P142" s="1608">
        <v>0</v>
      </c>
      <c r="Q142" s="1624">
        <v>0</v>
      </c>
      <c r="R142" s="1423" t="e">
        <f>D142-#REF!</f>
        <v>#REF!</v>
      </c>
      <c r="S142" s="1423"/>
      <c r="T142" s="1423"/>
    </row>
    <row r="143" spans="1:20" ht="23.25">
      <c r="A143" s="2182"/>
      <c r="B143" s="1609" t="s">
        <v>1770</v>
      </c>
      <c r="C143" s="1882"/>
      <c r="D143" s="1602">
        <f t="shared" si="27"/>
        <v>87138.6</v>
      </c>
      <c r="E143" s="1616">
        <v>81910.3</v>
      </c>
      <c r="F143" s="2045">
        <v>5228.3</v>
      </c>
      <c r="G143" s="1600">
        <f t="shared" si="26"/>
        <v>87138.2</v>
      </c>
      <c r="H143" s="1608">
        <v>81909.899999999994</v>
      </c>
      <c r="I143" s="1608">
        <v>5228.3</v>
      </c>
      <c r="J143" s="2181"/>
      <c r="K143" s="2181"/>
      <c r="L143" s="1600">
        <f t="shared" si="24"/>
        <v>0</v>
      </c>
      <c r="M143" s="1608">
        <v>0</v>
      </c>
      <c r="N143" s="1608">
        <v>0</v>
      </c>
      <c r="O143" s="1600">
        <f t="shared" si="25"/>
        <v>0</v>
      </c>
      <c r="P143" s="1614"/>
      <c r="Q143" s="1614"/>
      <c r="R143" s="1423" t="e">
        <f>D143-#REF!</f>
        <v>#REF!</v>
      </c>
      <c r="S143" s="1423"/>
      <c r="T143" s="1423"/>
    </row>
    <row r="144" spans="1:20" s="484" customFormat="1" ht="42" customHeight="1">
      <c r="A144" s="2182">
        <f>A141+1</f>
        <v>30</v>
      </c>
      <c r="B144" s="1915" t="s">
        <v>698</v>
      </c>
      <c r="C144" s="2182"/>
      <c r="D144" s="1602">
        <f t="shared" si="27"/>
        <v>1250553.7</v>
      </c>
      <c r="E144" s="1614">
        <f>E145+E147</f>
        <v>1175145.3</v>
      </c>
      <c r="F144" s="1614">
        <f>F145+F147</f>
        <v>75408.399999999994</v>
      </c>
      <c r="G144" s="1602">
        <f t="shared" si="26"/>
        <v>143201.70000000001</v>
      </c>
      <c r="H144" s="1614">
        <f>H145+H147</f>
        <v>134566.6</v>
      </c>
      <c r="I144" s="1614">
        <f>I145+I147</f>
        <v>8635.1</v>
      </c>
      <c r="J144" s="2181" t="s">
        <v>1306</v>
      </c>
      <c r="K144" s="2181" t="s">
        <v>1277</v>
      </c>
      <c r="L144" s="1600">
        <f t="shared" si="24"/>
        <v>778086</v>
      </c>
      <c r="M144" s="1615">
        <v>0</v>
      </c>
      <c r="N144" s="1615">
        <v>778086</v>
      </c>
      <c r="O144" s="1600">
        <f t="shared" si="25"/>
        <v>0</v>
      </c>
      <c r="P144" s="1615">
        <v>0</v>
      </c>
      <c r="Q144" s="1615">
        <v>0</v>
      </c>
      <c r="R144" s="1423" t="e">
        <f>D144-#REF!</f>
        <v>#REF!</v>
      </c>
      <c r="S144" s="1423"/>
      <c r="T144" s="1423"/>
    </row>
    <row r="145" spans="1:21" s="484" customFormat="1" ht="24.75" customHeight="1">
      <c r="A145" s="2182"/>
      <c r="B145" s="1609" t="s">
        <v>1620</v>
      </c>
      <c r="C145" s="1882"/>
      <c r="D145" s="1602">
        <f t="shared" si="27"/>
        <v>1220006.3</v>
      </c>
      <c r="E145" s="1616">
        <v>1146439.8999999999</v>
      </c>
      <c r="F145" s="2045">
        <v>73566.399999999994</v>
      </c>
      <c r="G145" s="1600">
        <f t="shared" si="26"/>
        <v>143201.70000000001</v>
      </c>
      <c r="H145" s="1608">
        <v>134566.6</v>
      </c>
      <c r="I145" s="1608">
        <v>8635.1</v>
      </c>
      <c r="J145" s="2181"/>
      <c r="K145" s="2181"/>
      <c r="L145" s="1600">
        <f t="shared" si="24"/>
        <v>0</v>
      </c>
      <c r="M145" s="1608">
        <v>0</v>
      </c>
      <c r="N145" s="1608">
        <v>0</v>
      </c>
      <c r="O145" s="1600">
        <f t="shared" si="25"/>
        <v>0</v>
      </c>
      <c r="P145" s="1608">
        <v>0</v>
      </c>
      <c r="Q145" s="1624">
        <v>0</v>
      </c>
      <c r="R145" s="1423" t="e">
        <f>D145-#REF!</f>
        <v>#REF!</v>
      </c>
      <c r="S145" s="1423"/>
      <c r="T145" s="1423"/>
    </row>
    <row r="146" spans="1:21" s="484" customFormat="1" ht="18.75" hidden="1" customHeight="1">
      <c r="A146" s="2182"/>
      <c r="B146" s="1609" t="s">
        <v>1621</v>
      </c>
      <c r="C146" s="1882"/>
      <c r="D146" s="1602">
        <f t="shared" si="27"/>
        <v>0</v>
      </c>
      <c r="E146" s="1616"/>
      <c r="F146" s="2045">
        <v>0</v>
      </c>
      <c r="G146" s="1600">
        <f t="shared" si="26"/>
        <v>0</v>
      </c>
      <c r="H146" s="1608"/>
      <c r="I146" s="1624"/>
      <c r="J146" s="2181"/>
      <c r="K146" s="2181"/>
      <c r="L146" s="1600">
        <f t="shared" si="24"/>
        <v>778086</v>
      </c>
      <c r="M146" s="1608">
        <v>0</v>
      </c>
      <c r="N146" s="1608">
        <v>778086</v>
      </c>
      <c r="O146" s="1600">
        <f t="shared" si="25"/>
        <v>0</v>
      </c>
      <c r="P146" s="1614"/>
      <c r="Q146" s="1614"/>
      <c r="S146" s="1423"/>
      <c r="T146" s="1423"/>
    </row>
    <row r="147" spans="1:21" s="484" customFormat="1" ht="18.75" customHeight="1">
      <c r="A147" s="2182"/>
      <c r="B147" s="1609" t="s">
        <v>1798</v>
      </c>
      <c r="C147" s="1882"/>
      <c r="D147" s="1602">
        <f>SUM(E147:F147)</f>
        <v>30547.4</v>
      </c>
      <c r="E147" s="1616">
        <v>28705.4</v>
      </c>
      <c r="F147" s="2045">
        <v>1842</v>
      </c>
      <c r="G147" s="1600">
        <f>SUM(H147:I147)</f>
        <v>0</v>
      </c>
      <c r="H147" s="1608"/>
      <c r="I147" s="1624"/>
      <c r="J147" s="2181"/>
      <c r="K147" s="2181"/>
      <c r="L147" s="1600"/>
      <c r="M147" s="1608"/>
      <c r="N147" s="1608"/>
      <c r="O147" s="1600"/>
      <c r="P147" s="1614"/>
      <c r="Q147" s="1614"/>
      <c r="S147" s="1423"/>
      <c r="T147" s="1423"/>
    </row>
    <row r="148" spans="1:21" ht="49.5" customHeight="1">
      <c r="A148" s="2182">
        <f>A144+1</f>
        <v>31</v>
      </c>
      <c r="B148" s="1915" t="s">
        <v>697</v>
      </c>
      <c r="C148" s="2182"/>
      <c r="D148" s="1602">
        <f t="shared" si="27"/>
        <v>129890.7</v>
      </c>
      <c r="E148" s="1615">
        <f>E149+E150+E151</f>
        <v>122058.3</v>
      </c>
      <c r="F148" s="1615">
        <f>F149+F150+F151</f>
        <v>7832.4</v>
      </c>
      <c r="G148" s="1602">
        <f t="shared" si="26"/>
        <v>104625.2</v>
      </c>
      <c r="H148" s="1615">
        <f>H149+H150+H151</f>
        <v>98316.4</v>
      </c>
      <c r="I148" s="1615">
        <f>I149+I150+I151</f>
        <v>6308.8</v>
      </c>
      <c r="J148" s="2181" t="s">
        <v>1192</v>
      </c>
      <c r="K148" s="2181" t="s">
        <v>1658</v>
      </c>
      <c r="L148" s="1600">
        <f t="shared" si="24"/>
        <v>0</v>
      </c>
      <c r="M148" s="1614">
        <v>0</v>
      </c>
      <c r="N148" s="1614">
        <v>0</v>
      </c>
      <c r="O148" s="1600">
        <f t="shared" si="25"/>
        <v>0</v>
      </c>
      <c r="P148" s="1615">
        <v>0</v>
      </c>
      <c r="Q148" s="1615">
        <v>0</v>
      </c>
      <c r="R148" s="1423" t="e">
        <f>D148-#REF!</f>
        <v>#REF!</v>
      </c>
      <c r="S148" s="1423"/>
      <c r="T148" s="1423"/>
    </row>
    <row r="149" spans="1:21" ht="23.25">
      <c r="A149" s="2182"/>
      <c r="B149" s="1609" t="s">
        <v>1620</v>
      </c>
      <c r="C149" s="2182"/>
      <c r="D149" s="1602">
        <f t="shared" si="27"/>
        <v>98852.6</v>
      </c>
      <c r="E149" s="1615">
        <v>92891.8</v>
      </c>
      <c r="F149" s="1615">
        <v>5960.8</v>
      </c>
      <c r="G149" s="1600">
        <f t="shared" si="26"/>
        <v>88177.5</v>
      </c>
      <c r="H149" s="1614">
        <v>82860.5</v>
      </c>
      <c r="I149" s="1614">
        <v>5317</v>
      </c>
      <c r="J149" s="2181"/>
      <c r="K149" s="2181"/>
      <c r="L149" s="1600"/>
      <c r="M149" s="1614"/>
      <c r="N149" s="1614"/>
      <c r="O149" s="1600"/>
      <c r="P149" s="1615"/>
      <c r="Q149" s="1615"/>
      <c r="R149" s="1423" t="e">
        <f>D149-#REF!</f>
        <v>#REF!</v>
      </c>
      <c r="S149" s="1423"/>
      <c r="T149" s="1423"/>
    </row>
    <row r="150" spans="1:21" ht="23.25">
      <c r="A150" s="2182"/>
      <c r="B150" s="1609" t="s">
        <v>1770</v>
      </c>
      <c r="C150" s="1882"/>
      <c r="D150" s="1602">
        <f t="shared" si="27"/>
        <v>31038.1</v>
      </c>
      <c r="E150" s="1616">
        <v>29166.5</v>
      </c>
      <c r="F150" s="2045">
        <v>1871.6</v>
      </c>
      <c r="G150" s="1600">
        <f t="shared" si="26"/>
        <v>16447.7</v>
      </c>
      <c r="H150" s="1608">
        <v>15455.9</v>
      </c>
      <c r="I150" s="1608">
        <v>991.8</v>
      </c>
      <c r="J150" s="2181"/>
      <c r="K150" s="2181"/>
      <c r="L150" s="1600">
        <f>M150+N150</f>
        <v>0</v>
      </c>
      <c r="M150" s="1608">
        <v>0</v>
      </c>
      <c r="N150" s="1608">
        <v>0</v>
      </c>
      <c r="O150" s="1600">
        <f>P150+Q150</f>
        <v>0</v>
      </c>
      <c r="P150" s="1614"/>
      <c r="Q150" s="1614"/>
      <c r="R150" s="1423" t="e">
        <f>D150-#REF!</f>
        <v>#REF!</v>
      </c>
      <c r="S150" s="1423"/>
      <c r="T150" s="1423"/>
    </row>
    <row r="151" spans="1:21" ht="23.25" hidden="1">
      <c r="A151" s="2182"/>
      <c r="B151" s="1609" t="s">
        <v>1621</v>
      </c>
      <c r="C151" s="2182"/>
      <c r="D151" s="1602">
        <f t="shared" si="27"/>
        <v>0</v>
      </c>
      <c r="E151" s="1615">
        <v>0</v>
      </c>
      <c r="F151" s="1615"/>
      <c r="G151" s="1600">
        <f t="shared" si="26"/>
        <v>0</v>
      </c>
      <c r="H151" s="1614">
        <v>0</v>
      </c>
      <c r="I151" s="1614"/>
      <c r="J151" s="2181"/>
      <c r="K151" s="2181"/>
      <c r="L151" s="1600"/>
      <c r="M151" s="1614"/>
      <c r="N151" s="1614"/>
      <c r="O151" s="1600"/>
      <c r="P151" s="1615"/>
      <c r="Q151" s="1615"/>
      <c r="R151" s="1423" t="e">
        <f>D151-#REF!</f>
        <v>#REF!</v>
      </c>
      <c r="S151" s="1423"/>
      <c r="T151" s="1423"/>
    </row>
    <row r="152" spans="1:21" ht="78.75" customHeight="1">
      <c r="A152" s="2182">
        <f>A148+1</f>
        <v>32</v>
      </c>
      <c r="B152" s="1915" t="s">
        <v>942</v>
      </c>
      <c r="C152" s="2182"/>
      <c r="D152" s="1602">
        <f t="shared" si="27"/>
        <v>219861.4</v>
      </c>
      <c r="E152" s="1615">
        <f>E153+E154</f>
        <v>206603.8</v>
      </c>
      <c r="F152" s="1615">
        <f>F153+F154</f>
        <v>13257.6</v>
      </c>
      <c r="G152" s="1602">
        <f t="shared" si="26"/>
        <v>196909.3</v>
      </c>
      <c r="H152" s="1614">
        <f>H153+H154</f>
        <v>185035.7</v>
      </c>
      <c r="I152" s="1615">
        <f>I153+I154</f>
        <v>11873.6</v>
      </c>
      <c r="J152" s="2181" t="s">
        <v>1192</v>
      </c>
      <c r="K152" s="2181" t="s">
        <v>1279</v>
      </c>
      <c r="L152" s="1600">
        <f>M152+N152</f>
        <v>0</v>
      </c>
      <c r="M152" s="1614">
        <v>0</v>
      </c>
      <c r="N152" s="1614">
        <v>0</v>
      </c>
      <c r="O152" s="1600">
        <f>P152+Q152</f>
        <v>0</v>
      </c>
      <c r="P152" s="1615">
        <v>0</v>
      </c>
      <c r="Q152" s="1615">
        <v>0</v>
      </c>
      <c r="R152" s="1423" t="e">
        <f>D152-#REF!</f>
        <v>#REF!</v>
      </c>
      <c r="S152" s="1423"/>
      <c r="T152" s="1423"/>
    </row>
    <row r="153" spans="1:21" ht="23.25">
      <c r="A153" s="2182"/>
      <c r="B153" s="1609" t="s">
        <v>1620</v>
      </c>
      <c r="C153" s="2182"/>
      <c r="D153" s="1602">
        <f t="shared" si="27"/>
        <v>201856.9</v>
      </c>
      <c r="E153" s="1615">
        <v>189685</v>
      </c>
      <c r="F153" s="1615">
        <v>12171.9</v>
      </c>
      <c r="G153" s="1600">
        <f t="shared" ref="G153:G158" si="28">SUM(H153:I153)</f>
        <v>190626.3</v>
      </c>
      <c r="H153" s="1614">
        <v>179131.6</v>
      </c>
      <c r="I153" s="1614">
        <v>11494.7</v>
      </c>
      <c r="J153" s="2181"/>
      <c r="K153" s="2181"/>
      <c r="L153" s="1600"/>
      <c r="M153" s="1614"/>
      <c r="N153" s="1614"/>
      <c r="O153" s="1600"/>
      <c r="P153" s="1615"/>
      <c r="Q153" s="1615"/>
      <c r="R153" s="1423" t="e">
        <f>D153-#REF!</f>
        <v>#REF!</v>
      </c>
      <c r="S153" s="1423"/>
      <c r="T153" s="1423"/>
    </row>
    <row r="154" spans="1:21" ht="23.25">
      <c r="A154" s="2182"/>
      <c r="B154" s="1609" t="s">
        <v>1770</v>
      </c>
      <c r="C154" s="1882"/>
      <c r="D154" s="1602">
        <f t="shared" si="27"/>
        <v>18004.5</v>
      </c>
      <c r="E154" s="1616">
        <v>16918.8</v>
      </c>
      <c r="F154" s="2045">
        <v>1085.7</v>
      </c>
      <c r="G154" s="1600">
        <f t="shared" si="28"/>
        <v>6283</v>
      </c>
      <c r="H154" s="1608">
        <v>5904.1</v>
      </c>
      <c r="I154" s="1608">
        <v>378.9</v>
      </c>
      <c r="J154" s="2181"/>
      <c r="K154" s="2181"/>
      <c r="L154" s="1600">
        <f>M154+N154</f>
        <v>0</v>
      </c>
      <c r="M154" s="1608">
        <v>0</v>
      </c>
      <c r="N154" s="1608">
        <v>0</v>
      </c>
      <c r="O154" s="1600">
        <f>P154+Q154</f>
        <v>0</v>
      </c>
      <c r="P154" s="1614"/>
      <c r="Q154" s="1614"/>
      <c r="R154" s="1423" t="e">
        <f>D154-#REF!</f>
        <v>#REF!</v>
      </c>
      <c r="S154" s="1423"/>
      <c r="T154" s="1423"/>
    </row>
    <row r="155" spans="1:21" ht="82.5" customHeight="1">
      <c r="A155" s="2182">
        <f>A152+1</f>
        <v>33</v>
      </c>
      <c r="B155" s="1915" t="s">
        <v>1635</v>
      </c>
      <c r="C155" s="2182"/>
      <c r="D155" s="1602">
        <f t="shared" si="27"/>
        <v>244.8</v>
      </c>
      <c r="E155" s="1615">
        <f>E156+E157</f>
        <v>230.1</v>
      </c>
      <c r="F155" s="1615">
        <f>F156+F157</f>
        <v>14.7</v>
      </c>
      <c r="G155" s="1602">
        <f t="shared" si="28"/>
        <v>0</v>
      </c>
      <c r="H155" s="1615">
        <f>H156+H157</f>
        <v>0</v>
      </c>
      <c r="I155" s="1615">
        <f>I156+I157</f>
        <v>0</v>
      </c>
      <c r="J155" s="2181" t="s">
        <v>1192</v>
      </c>
      <c r="K155" s="2181" t="s">
        <v>1279</v>
      </c>
      <c r="L155" s="1600">
        <f>M155+N155</f>
        <v>0</v>
      </c>
      <c r="M155" s="1614">
        <v>0</v>
      </c>
      <c r="N155" s="1614">
        <v>0</v>
      </c>
      <c r="O155" s="1600">
        <f>P155+Q155</f>
        <v>0</v>
      </c>
      <c r="P155" s="1615">
        <v>0</v>
      </c>
      <c r="Q155" s="1615">
        <v>0</v>
      </c>
      <c r="R155" s="1423" t="e">
        <f>D155-#REF!</f>
        <v>#REF!</v>
      </c>
      <c r="S155" s="1423"/>
      <c r="T155" s="1423"/>
    </row>
    <row r="156" spans="1:21" ht="23.25" hidden="1">
      <c r="A156" s="2182"/>
      <c r="B156" s="1609" t="s">
        <v>1620</v>
      </c>
      <c r="C156" s="2182"/>
      <c r="D156" s="1602">
        <f t="shared" si="27"/>
        <v>0</v>
      </c>
      <c r="E156" s="1615">
        <v>0</v>
      </c>
      <c r="F156" s="1615">
        <v>0</v>
      </c>
      <c r="G156" s="1600">
        <f t="shared" si="28"/>
        <v>0</v>
      </c>
      <c r="H156" s="1614"/>
      <c r="I156" s="1614"/>
      <c r="J156" s="2181"/>
      <c r="K156" s="2181"/>
      <c r="L156" s="1600"/>
      <c r="M156" s="1614"/>
      <c r="N156" s="1614"/>
      <c r="O156" s="1600"/>
      <c r="P156" s="1615"/>
      <c r="Q156" s="1615"/>
      <c r="R156" s="1423" t="e">
        <f>D156-#REF!</f>
        <v>#REF!</v>
      </c>
      <c r="S156" s="1423"/>
      <c r="T156" s="1423"/>
    </row>
    <row r="157" spans="1:21" ht="23.25">
      <c r="A157" s="2182"/>
      <c r="B157" s="1609" t="s">
        <v>1770</v>
      </c>
      <c r="C157" s="1882"/>
      <c r="D157" s="1602">
        <f t="shared" si="27"/>
        <v>244.8</v>
      </c>
      <c r="E157" s="1616">
        <v>230.1</v>
      </c>
      <c r="F157" s="2045">
        <v>14.7</v>
      </c>
      <c r="G157" s="1600">
        <f t="shared" si="28"/>
        <v>0</v>
      </c>
      <c r="H157" s="1608"/>
      <c r="I157" s="1624"/>
      <c r="J157" s="2181"/>
      <c r="K157" s="2181"/>
      <c r="L157" s="1600">
        <f>M157+N157</f>
        <v>0</v>
      </c>
      <c r="M157" s="1608">
        <v>0</v>
      </c>
      <c r="N157" s="1608">
        <v>0</v>
      </c>
      <c r="O157" s="1600">
        <f>P157+Q157</f>
        <v>0</v>
      </c>
      <c r="P157" s="1614"/>
      <c r="Q157" s="1614"/>
      <c r="R157" s="1423" t="e">
        <f>D157-#REF!</f>
        <v>#REF!</v>
      </c>
      <c r="S157" s="1423"/>
      <c r="T157" s="1423"/>
    </row>
    <row r="158" spans="1:21" s="484" customFormat="1" ht="45.75" hidden="1" customHeight="1">
      <c r="A158" s="2182">
        <v>117</v>
      </c>
      <c r="B158" s="1912" t="s">
        <v>1712</v>
      </c>
      <c r="C158" s="1913" t="s">
        <v>1546</v>
      </c>
      <c r="D158" s="1600">
        <f t="shared" si="27"/>
        <v>0</v>
      </c>
      <c r="E158" s="1608"/>
      <c r="F158" s="1608">
        <v>0</v>
      </c>
      <c r="G158" s="1600">
        <f t="shared" si="28"/>
        <v>0</v>
      </c>
      <c r="H158" s="1608"/>
      <c r="I158" s="1608"/>
      <c r="J158" s="2181" t="s">
        <v>1291</v>
      </c>
      <c r="K158" s="2181" t="s">
        <v>1241</v>
      </c>
      <c r="L158" s="1600">
        <f t="shared" ref="L158" si="29">SUM(M158:N158)</f>
        <v>0</v>
      </c>
      <c r="M158" s="1608">
        <v>0</v>
      </c>
      <c r="N158" s="1608">
        <v>0</v>
      </c>
      <c r="O158" s="1600">
        <f t="shared" ref="O158" si="30">SUM(P158:Q158)</f>
        <v>0</v>
      </c>
      <c r="P158" s="1608">
        <v>0</v>
      </c>
      <c r="Q158" s="1608">
        <v>0</v>
      </c>
      <c r="S158" s="1423"/>
      <c r="T158" s="1423"/>
    </row>
    <row r="159" spans="1:21" ht="225" hidden="1" customHeight="1">
      <c r="A159" s="1946" t="s">
        <v>1671</v>
      </c>
      <c r="B159" s="1888" t="s">
        <v>1669</v>
      </c>
      <c r="C159" s="2182" t="s">
        <v>1549</v>
      </c>
      <c r="D159" s="1600">
        <f t="shared" si="27"/>
        <v>0</v>
      </c>
      <c r="E159" s="1614"/>
      <c r="F159" s="1614"/>
      <c r="G159" s="1600">
        <f>SUM(H159:I159)</f>
        <v>0</v>
      </c>
      <c r="H159" s="1614"/>
      <c r="I159" s="1614"/>
      <c r="J159" s="2181" t="s">
        <v>1192</v>
      </c>
      <c r="K159" s="2181" t="s">
        <v>1160</v>
      </c>
      <c r="L159" s="1600">
        <f>SUM(M159:N159)</f>
        <v>20985.5</v>
      </c>
      <c r="M159" s="1614">
        <v>0</v>
      </c>
      <c r="N159" s="1614">
        <v>20985.5</v>
      </c>
      <c r="O159" s="1600">
        <f>SUM(P159:Q159)</f>
        <v>0</v>
      </c>
      <c r="P159" s="1614">
        <v>0</v>
      </c>
      <c r="Q159" s="1614">
        <v>0</v>
      </c>
      <c r="S159" s="1423"/>
      <c r="T159" s="1423"/>
    </row>
    <row r="160" spans="1:21" s="791" customFormat="1" ht="46.5" customHeight="1">
      <c r="A160" s="2155" t="s">
        <v>3</v>
      </c>
      <c r="B160" s="2155" t="s">
        <v>1828</v>
      </c>
      <c r="C160" s="2151"/>
      <c r="D160" s="2152">
        <f t="shared" si="27"/>
        <v>822567.9</v>
      </c>
      <c r="E160" s="2152">
        <f>SUM(E161:E168)</f>
        <v>704256.2</v>
      </c>
      <c r="F160" s="2152">
        <f>SUM(F161:F168)</f>
        <v>118311.7</v>
      </c>
      <c r="G160" s="2152">
        <f t="shared" ref="G160" si="31">SUM(H160:I160)</f>
        <v>420570.3</v>
      </c>
      <c r="H160" s="2152">
        <f>SUM(H161:H168)</f>
        <v>395333</v>
      </c>
      <c r="I160" s="2152">
        <f>SUM(I161:I168)</f>
        <v>25237.3</v>
      </c>
      <c r="J160" s="1940"/>
      <c r="K160" s="2181" t="s">
        <v>1104</v>
      </c>
      <c r="L160" s="1594" t="e">
        <f t="shared" ref="L160" si="32">SUM(M160:N160)</f>
        <v>#REF!</v>
      </c>
      <c r="M160" s="1594" t="e">
        <f>SUM(#REF!,#REF!)</f>
        <v>#REF!</v>
      </c>
      <c r="N160" s="1594" t="e">
        <f>SUM(#REF!,#REF!)</f>
        <v>#REF!</v>
      </c>
      <c r="O160" s="1594" t="e">
        <f t="shared" ref="O160" si="33">SUM(P160:Q160)</f>
        <v>#REF!</v>
      </c>
      <c r="P160" s="1594" t="e">
        <f>SUM(#REF!,#REF!)</f>
        <v>#REF!</v>
      </c>
      <c r="Q160" s="1594" t="e">
        <f>SUM(#REF!,#REF!)</f>
        <v>#REF!</v>
      </c>
      <c r="R160" s="1423" t="e">
        <f>D160-#REF!</f>
        <v>#REF!</v>
      </c>
      <c r="S160" s="1423"/>
      <c r="T160" s="1423"/>
      <c r="U160" s="1423"/>
    </row>
    <row r="161" spans="1:20" s="1570" customFormat="1" ht="23.25">
      <c r="A161" s="2182"/>
      <c r="B161" s="1879" t="s">
        <v>1780</v>
      </c>
      <c r="C161" s="2053"/>
      <c r="D161" s="1600">
        <f>SUM(E161:F161)</f>
        <v>228787.5</v>
      </c>
      <c r="E161" s="1631">
        <f>146108.668</f>
        <v>146108.70000000001</v>
      </c>
      <c r="F161" s="1631">
        <f>82678.79</f>
        <v>82678.8</v>
      </c>
      <c r="G161" s="1602">
        <f>SUM(H161:I161)</f>
        <v>0</v>
      </c>
      <c r="H161" s="1629"/>
      <c r="I161" s="1629"/>
      <c r="J161" s="2054"/>
      <c r="K161" s="507"/>
      <c r="L161" s="1602"/>
      <c r="M161" s="2019"/>
      <c r="N161" s="2019"/>
      <c r="O161" s="1602"/>
      <c r="P161" s="2019"/>
      <c r="Q161" s="2019"/>
      <c r="R161" s="1423"/>
      <c r="S161" s="1423"/>
      <c r="T161" s="1423"/>
    </row>
    <row r="162" spans="1:20" ht="45" customHeight="1">
      <c r="A162" s="2182">
        <f>A155+1</f>
        <v>34</v>
      </c>
      <c r="B162" s="1879" t="s">
        <v>1497</v>
      </c>
      <c r="C162" s="1880" t="s">
        <v>1543</v>
      </c>
      <c r="D162" s="1600">
        <f t="shared" ref="D162:D168" si="34">SUM(E162:F162)</f>
        <v>10016.1</v>
      </c>
      <c r="E162" s="1631">
        <f>5203.864+4211.085</f>
        <v>9414.9</v>
      </c>
      <c r="F162" s="1629">
        <f>332.444+268.792</f>
        <v>601.20000000000005</v>
      </c>
      <c r="G162" s="1602">
        <f t="shared" ref="G162:G168" si="35">SUM(H162:I162)</f>
        <v>9151.1</v>
      </c>
      <c r="H162" s="1629">
        <f>4390.677+4211.085</f>
        <v>8601.7999999999993</v>
      </c>
      <c r="I162" s="1629">
        <f>280.494+268.792</f>
        <v>549.29999999999995</v>
      </c>
      <c r="J162" s="1940"/>
      <c r="K162" s="2181"/>
      <c r="L162" s="1600">
        <f t="shared" ref="L162:L168" si="36">SUM(M162:N162)</f>
        <v>0</v>
      </c>
      <c r="M162" s="1631">
        <v>0</v>
      </c>
      <c r="N162" s="1629">
        <v>0</v>
      </c>
      <c r="O162" s="1600">
        <f t="shared" ref="O162:O168" si="37">SUM(P162:Q162)</f>
        <v>0</v>
      </c>
      <c r="P162" s="1631">
        <v>0</v>
      </c>
      <c r="Q162" s="1629">
        <v>0</v>
      </c>
      <c r="R162" s="1423" t="e">
        <f>D162-#REF!</f>
        <v>#REF!</v>
      </c>
      <c r="S162" s="1423"/>
      <c r="T162" s="1423"/>
    </row>
    <row r="163" spans="1:20" ht="39.75" customHeight="1">
      <c r="A163" s="2182">
        <f t="shared" ref="A163:A168" si="38">A162+1</f>
        <v>35</v>
      </c>
      <c r="B163" s="1879" t="s">
        <v>1498</v>
      </c>
      <c r="C163" s="1880" t="s">
        <v>1543</v>
      </c>
      <c r="D163" s="1600">
        <f t="shared" si="34"/>
        <v>14296.6</v>
      </c>
      <c r="E163" s="1631">
        <f>9912.284+3525.973</f>
        <v>13438.3</v>
      </c>
      <c r="F163" s="1629">
        <f>633.238+225.062</f>
        <v>858.3</v>
      </c>
      <c r="G163" s="1602">
        <f t="shared" si="35"/>
        <v>12143.7</v>
      </c>
      <c r="H163" s="1629">
        <f>7888.74+3525.973</f>
        <v>11414.7</v>
      </c>
      <c r="I163" s="1629">
        <f>503.965+225.062</f>
        <v>729</v>
      </c>
      <c r="J163" s="1940"/>
      <c r="K163" s="2181"/>
      <c r="L163" s="1600">
        <f t="shared" si="36"/>
        <v>0</v>
      </c>
      <c r="M163" s="1631">
        <v>0</v>
      </c>
      <c r="N163" s="1629">
        <v>0</v>
      </c>
      <c r="O163" s="1600">
        <f t="shared" si="37"/>
        <v>0</v>
      </c>
      <c r="P163" s="1631">
        <v>0</v>
      </c>
      <c r="Q163" s="1629">
        <v>0</v>
      </c>
      <c r="R163" s="1423" t="e">
        <f>D163-#REF!</f>
        <v>#REF!</v>
      </c>
      <c r="S163" s="1423"/>
      <c r="T163" s="1423"/>
    </row>
    <row r="164" spans="1:20" ht="57" customHeight="1">
      <c r="A164" s="2182">
        <f t="shared" si="38"/>
        <v>36</v>
      </c>
      <c r="B164" s="1879" t="s">
        <v>1499</v>
      </c>
      <c r="C164" s="1880" t="s">
        <v>1543</v>
      </c>
      <c r="D164" s="1600">
        <f t="shared" si="34"/>
        <v>50668.2</v>
      </c>
      <c r="E164" s="1629">
        <v>47625.599999999999</v>
      </c>
      <c r="F164" s="1629">
        <v>3042.6</v>
      </c>
      <c r="G164" s="1602">
        <f t="shared" si="35"/>
        <v>20460.099999999999</v>
      </c>
      <c r="H164" s="1629">
        <v>19231.599999999999</v>
      </c>
      <c r="I164" s="1629">
        <v>1228.5</v>
      </c>
      <c r="J164" s="1940"/>
      <c r="K164" s="2181"/>
      <c r="L164" s="1600">
        <f t="shared" si="36"/>
        <v>0</v>
      </c>
      <c r="M164" s="1631">
        <v>0</v>
      </c>
      <c r="N164" s="1629">
        <v>0</v>
      </c>
      <c r="O164" s="1600">
        <f t="shared" si="37"/>
        <v>0</v>
      </c>
      <c r="P164" s="1631">
        <v>0</v>
      </c>
      <c r="Q164" s="1629">
        <v>0</v>
      </c>
      <c r="R164" s="1423" t="e">
        <f>D164-#REF!</f>
        <v>#REF!</v>
      </c>
      <c r="S164" s="1423"/>
      <c r="T164" s="1423"/>
    </row>
    <row r="165" spans="1:20" ht="58.5" customHeight="1">
      <c r="A165" s="2182">
        <f t="shared" si="38"/>
        <v>37</v>
      </c>
      <c r="B165" s="1879" t="s">
        <v>1500</v>
      </c>
      <c r="C165" s="1880" t="s">
        <v>1543</v>
      </c>
      <c r="D165" s="1600">
        <f t="shared" si="34"/>
        <v>21886.1</v>
      </c>
      <c r="E165" s="1629">
        <f>18629.848+1942.2</f>
        <v>20572</v>
      </c>
      <c r="F165" s="1629">
        <f>1190.152+123.97</f>
        <v>1314.1</v>
      </c>
      <c r="G165" s="1602">
        <f t="shared" si="35"/>
        <v>17416.099999999999</v>
      </c>
      <c r="H165" s="1629">
        <f>14428.18+1942.2</f>
        <v>16370.4</v>
      </c>
      <c r="I165" s="1629">
        <f>921.732+123.97</f>
        <v>1045.7</v>
      </c>
      <c r="J165" s="1940"/>
      <c r="K165" s="2181"/>
      <c r="L165" s="1600">
        <f t="shared" si="36"/>
        <v>0</v>
      </c>
      <c r="M165" s="1631">
        <v>0</v>
      </c>
      <c r="N165" s="1629">
        <v>0</v>
      </c>
      <c r="O165" s="1600">
        <f t="shared" si="37"/>
        <v>0</v>
      </c>
      <c r="P165" s="1631">
        <v>0</v>
      </c>
      <c r="Q165" s="1629">
        <v>0</v>
      </c>
      <c r="R165" s="1423" t="e">
        <f>D165-#REF!</f>
        <v>#REF!</v>
      </c>
      <c r="S165" s="1423"/>
      <c r="T165" s="1423"/>
    </row>
    <row r="166" spans="1:20" ht="63.75" customHeight="1">
      <c r="A166" s="2182">
        <f t="shared" si="38"/>
        <v>38</v>
      </c>
      <c r="B166" s="1879" t="s">
        <v>1501</v>
      </c>
      <c r="C166" s="1880" t="s">
        <v>1505</v>
      </c>
      <c r="D166" s="1600">
        <f t="shared" si="34"/>
        <v>38330.1</v>
      </c>
      <c r="E166" s="1629">
        <v>36028.400000000001</v>
      </c>
      <c r="F166" s="1629">
        <v>2301.6999999999998</v>
      </c>
      <c r="G166" s="1602">
        <f t="shared" si="35"/>
        <v>17290.8</v>
      </c>
      <c r="H166" s="1629">
        <v>16252.5</v>
      </c>
      <c r="I166" s="1629">
        <v>1038.3</v>
      </c>
      <c r="J166" s="1940"/>
      <c r="K166" s="2181"/>
      <c r="L166" s="1600">
        <f t="shared" si="36"/>
        <v>0</v>
      </c>
      <c r="M166" s="1631">
        <v>0</v>
      </c>
      <c r="N166" s="1629">
        <v>0</v>
      </c>
      <c r="O166" s="1600">
        <f t="shared" si="37"/>
        <v>0</v>
      </c>
      <c r="P166" s="1631">
        <v>0</v>
      </c>
      <c r="Q166" s="1629">
        <v>0</v>
      </c>
      <c r="R166" s="1423" t="e">
        <f>D166-#REF!</f>
        <v>#REF!</v>
      </c>
      <c r="S166" s="1423"/>
      <c r="T166" s="1423"/>
    </row>
    <row r="167" spans="1:20" ht="48" customHeight="1">
      <c r="A167" s="2182">
        <f t="shared" si="38"/>
        <v>39</v>
      </c>
      <c r="B167" s="1879" t="s">
        <v>1502</v>
      </c>
      <c r="C167" s="1880" t="s">
        <v>1542</v>
      </c>
      <c r="D167" s="1600">
        <f t="shared" si="34"/>
        <v>98583.3</v>
      </c>
      <c r="E167" s="1629">
        <f>74778.815+17889.455</f>
        <v>92668.3</v>
      </c>
      <c r="F167" s="1629">
        <f>4773.164+1141.88</f>
        <v>5915</v>
      </c>
      <c r="G167" s="1602">
        <f t="shared" si="35"/>
        <v>93523.4</v>
      </c>
      <c r="H167" s="1629">
        <f>70022.512+17889.455</f>
        <v>87912</v>
      </c>
      <c r="I167" s="1629">
        <f>4469.522+1141.88</f>
        <v>5611.4</v>
      </c>
      <c r="J167" s="1940"/>
      <c r="K167" s="2181"/>
      <c r="L167" s="1600">
        <f t="shared" si="36"/>
        <v>0</v>
      </c>
      <c r="M167" s="1631">
        <v>0</v>
      </c>
      <c r="N167" s="1629">
        <v>0</v>
      </c>
      <c r="O167" s="1600">
        <f t="shared" si="37"/>
        <v>0</v>
      </c>
      <c r="P167" s="1631">
        <v>0</v>
      </c>
      <c r="Q167" s="1629">
        <v>0</v>
      </c>
      <c r="R167" s="1423" t="e">
        <f>D167-#REF!</f>
        <v>#REF!</v>
      </c>
      <c r="S167" s="1423"/>
      <c r="T167" s="1423"/>
    </row>
    <row r="168" spans="1:20" ht="39" customHeight="1">
      <c r="A168" s="2182">
        <f t="shared" si="38"/>
        <v>40</v>
      </c>
      <c r="B168" s="1932" t="s">
        <v>1503</v>
      </c>
      <c r="C168" s="1913" t="s">
        <v>1542</v>
      </c>
      <c r="D168" s="1600">
        <f t="shared" si="34"/>
        <v>360000</v>
      </c>
      <c r="E168" s="1629">
        <f>245721.185+92678.815</f>
        <v>338400</v>
      </c>
      <c r="F168" s="1629">
        <f>15684.34+5915.67</f>
        <v>21600</v>
      </c>
      <c r="G168" s="1602">
        <f t="shared" si="35"/>
        <v>250585.1</v>
      </c>
      <c r="H168" s="1629">
        <f>142871.242+92678.815-0.1</f>
        <v>235550</v>
      </c>
      <c r="I168" s="1629">
        <f>9119.441+5915.669</f>
        <v>15035.1</v>
      </c>
      <c r="J168" s="1940"/>
      <c r="K168" s="2181"/>
      <c r="L168" s="1600">
        <f t="shared" si="36"/>
        <v>0</v>
      </c>
      <c r="M168" s="1631">
        <v>0</v>
      </c>
      <c r="N168" s="1629">
        <v>0</v>
      </c>
      <c r="O168" s="1600">
        <f t="shared" si="37"/>
        <v>0</v>
      </c>
      <c r="P168" s="1631">
        <v>0</v>
      </c>
      <c r="Q168" s="1629">
        <v>0</v>
      </c>
      <c r="R168" s="1423" t="e">
        <f>D168-#REF!</f>
        <v>#REF!</v>
      </c>
      <c r="S168" s="1423"/>
      <c r="T168" s="1423"/>
    </row>
  </sheetData>
  <autoFilter ref="A11:I168"/>
  <mergeCells count="19">
    <mergeCell ref="O9:O10"/>
    <mergeCell ref="P9:Q9"/>
    <mergeCell ref="A12:B12"/>
    <mergeCell ref="J9:J10"/>
    <mergeCell ref="K9:K10"/>
    <mergeCell ref="L9:L10"/>
    <mergeCell ref="M9:N9"/>
    <mergeCell ref="A9:A10"/>
    <mergeCell ref="B9:B10"/>
    <mergeCell ref="C9:C10"/>
    <mergeCell ref="D9:D10"/>
    <mergeCell ref="E9:F9"/>
    <mergeCell ref="G9:G10"/>
    <mergeCell ref="H9:I9"/>
    <mergeCell ref="A1:B1"/>
    <mergeCell ref="G3:I3"/>
    <mergeCell ref="A5:Q5"/>
    <mergeCell ref="A6:Q6"/>
    <mergeCell ref="A7:Q7"/>
  </mergeCells>
  <pageMargins left="0.47244094488188981" right="0.11811023622047245" top="0.55118110236220474" bottom="0.35433070866141736" header="0.31496062992125984" footer="0.15748031496062992"/>
  <pageSetup paperSize="9" scale="50" fitToHeight="17"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sheetPr>
    <pageSetUpPr fitToPage="1"/>
  </sheetPr>
  <dimension ref="A1:L168"/>
  <sheetViews>
    <sheetView view="pageBreakPreview" topLeftCell="A6" zoomScale="70" zoomScaleNormal="80" zoomScaleSheetLayoutView="70" workbookViewId="0">
      <selection activeCell="A7" sqref="A7:W7"/>
    </sheetView>
  </sheetViews>
  <sheetFormatPr defaultColWidth="9.140625" defaultRowHeight="18.75"/>
  <cols>
    <col min="1" max="1" width="7.28515625" style="1942" customWidth="1"/>
    <col min="2" max="2" width="82.5703125" style="712" customWidth="1"/>
    <col min="3" max="3" width="13.42578125" style="1834" hidden="1" customWidth="1"/>
    <col min="4" max="4" width="16.7109375" style="1570" customWidth="1"/>
    <col min="5" max="5" width="17.140625" style="712" customWidth="1"/>
    <col min="6" max="6" width="12.140625" style="712" customWidth="1"/>
    <col min="7" max="7" width="17.7109375" style="1569" customWidth="1"/>
    <col min="8" max="8" width="16.42578125" style="712" customWidth="1"/>
    <col min="9" max="9" width="14.85546875" style="712" customWidth="1"/>
    <col min="10" max="10" width="9.5703125" style="1567" customWidth="1"/>
    <col min="11" max="11" width="23.5703125" style="712" customWidth="1"/>
    <col min="12" max="12" width="14.5703125" style="712" bestFit="1" customWidth="1"/>
    <col min="13" max="13" width="12.5703125" style="712" bestFit="1" customWidth="1"/>
    <col min="14" max="14" width="14.5703125" style="712" bestFit="1" customWidth="1"/>
    <col min="15" max="15" width="21.140625" style="712" bestFit="1" customWidth="1"/>
    <col min="16" max="16" width="14.5703125" style="712" bestFit="1" customWidth="1"/>
    <col min="17" max="17" width="12.85546875" style="712" bestFit="1" customWidth="1"/>
    <col min="18" max="16384" width="9.140625" style="712"/>
  </cols>
  <sheetData>
    <row r="1" spans="1:12" ht="20.25" hidden="1" customHeight="1">
      <c r="A1" s="2537"/>
      <c r="B1" s="2537"/>
      <c r="D1" s="1563"/>
      <c r="E1" s="1563"/>
      <c r="F1" s="1563"/>
      <c r="G1" s="1563"/>
      <c r="I1" s="2187"/>
    </row>
    <row r="2" spans="1:12" ht="18.75" hidden="1" customHeight="1">
      <c r="B2" s="2188"/>
      <c r="D2" s="1569"/>
      <c r="E2" s="2188"/>
      <c r="F2" s="2188"/>
    </row>
    <row r="3" spans="1:12" s="1575" customFormat="1" ht="18.75" hidden="1" customHeight="1">
      <c r="A3" s="1943"/>
      <c r="B3" s="1572"/>
      <c r="C3" s="1835"/>
      <c r="D3" s="1573"/>
      <c r="E3" s="1574"/>
      <c r="F3" s="1574"/>
      <c r="G3" s="2538"/>
      <c r="H3" s="2538"/>
      <c r="I3" s="2538"/>
      <c r="J3" s="1588"/>
    </row>
    <row r="4" spans="1:12" s="1575" customFormat="1" ht="43.5" hidden="1" customHeight="1">
      <c r="A4" s="1943"/>
      <c r="B4" s="1572"/>
      <c r="C4" s="1835"/>
      <c r="D4" s="1581"/>
      <c r="E4" s="1574"/>
      <c r="F4" s="1574"/>
      <c r="G4" s="1583"/>
      <c r="H4" s="1582"/>
      <c r="I4" s="1582"/>
      <c r="J4" s="1588"/>
    </row>
    <row r="5" spans="1:12" s="1575" customFormat="1" ht="23.25" customHeight="1">
      <c r="A5" s="2361" t="s">
        <v>1693</v>
      </c>
      <c r="B5" s="2361"/>
      <c r="C5" s="2562"/>
      <c r="D5" s="2361"/>
      <c r="E5" s="2361"/>
      <c r="F5" s="2361"/>
      <c r="G5" s="2361"/>
      <c r="H5" s="2361"/>
      <c r="I5" s="2361"/>
      <c r="J5" s="1588"/>
    </row>
    <row r="6" spans="1:12" s="1575" customFormat="1" ht="65.25" customHeight="1">
      <c r="A6" s="2591" t="s">
        <v>1841</v>
      </c>
      <c r="B6" s="2591"/>
      <c r="C6" s="2592"/>
      <c r="D6" s="2591"/>
      <c r="E6" s="2591"/>
      <c r="F6" s="2591"/>
      <c r="G6" s="2591"/>
      <c r="H6" s="2591"/>
      <c r="I6" s="2591"/>
      <c r="J6" s="1588"/>
    </row>
    <row r="7" spans="1:12" s="1575" customFormat="1" ht="27">
      <c r="A7" s="2361" t="s">
        <v>1853</v>
      </c>
      <c r="B7" s="2361"/>
      <c r="C7" s="2562"/>
      <c r="D7" s="2361"/>
      <c r="E7" s="2361"/>
      <c r="F7" s="2361"/>
      <c r="G7" s="2361"/>
      <c r="H7" s="2361"/>
      <c r="I7" s="2361"/>
      <c r="J7" s="1588"/>
    </row>
    <row r="8" spans="1:12" s="1575" customFormat="1">
      <c r="A8" s="1943"/>
      <c r="B8" s="1571"/>
      <c r="C8" s="1835"/>
      <c r="D8" s="1587"/>
      <c r="E8" s="1660"/>
      <c r="F8" s="1661"/>
      <c r="G8" s="1587"/>
      <c r="H8" s="2195"/>
      <c r="I8" s="2195"/>
      <c r="J8" s="1588"/>
    </row>
    <row r="9" spans="1:12" ht="42.75" customHeight="1">
      <c r="A9" s="2563" t="s">
        <v>18</v>
      </c>
      <c r="B9" s="2380" t="s">
        <v>0</v>
      </c>
      <c r="C9" s="2564" t="s">
        <v>1535</v>
      </c>
      <c r="D9" s="2594" t="s">
        <v>1384</v>
      </c>
      <c r="E9" s="2542" t="s">
        <v>257</v>
      </c>
      <c r="F9" s="2542"/>
      <c r="G9" s="2593" t="s">
        <v>237</v>
      </c>
      <c r="H9" s="2542" t="s">
        <v>257</v>
      </c>
      <c r="I9" s="2542"/>
      <c r="J9" s="2374" t="s">
        <v>1839</v>
      </c>
    </row>
    <row r="10" spans="1:12" ht="93.75" customHeight="1">
      <c r="A10" s="2563"/>
      <c r="B10" s="2380"/>
      <c r="C10" s="2564"/>
      <c r="D10" s="2595"/>
      <c r="E10" s="2194" t="s">
        <v>1844</v>
      </c>
      <c r="F10" s="2194" t="s">
        <v>258</v>
      </c>
      <c r="G10" s="2593"/>
      <c r="H10" s="2194" t="s">
        <v>1844</v>
      </c>
      <c r="I10" s="2194" t="s">
        <v>258</v>
      </c>
      <c r="J10" s="2374"/>
    </row>
    <row r="11" spans="1:12" s="1567" customFormat="1">
      <c r="A11" s="2189">
        <v>1</v>
      </c>
      <c r="B11" s="507">
        <v>2</v>
      </c>
      <c r="C11" s="2189"/>
      <c r="D11" s="507">
        <v>3</v>
      </c>
      <c r="E11" s="507">
        <v>4</v>
      </c>
      <c r="F11" s="507">
        <v>5</v>
      </c>
      <c r="G11" s="1868">
        <v>6</v>
      </c>
      <c r="H11" s="1868">
        <v>7</v>
      </c>
      <c r="I11" s="1868">
        <v>8</v>
      </c>
      <c r="J11" s="1868">
        <v>9</v>
      </c>
    </row>
    <row r="12" spans="1:12" s="1420" customFormat="1" ht="40.5" customHeight="1">
      <c r="A12" s="2192"/>
      <c r="B12" s="2192" t="s">
        <v>373</v>
      </c>
      <c r="C12" s="2190"/>
      <c r="D12" s="1602">
        <f>SUM(E12:F12)</f>
        <v>4422928.9000000004</v>
      </c>
      <c r="E12" s="1602">
        <f>SUM(E13:E17)</f>
        <v>4087743.6</v>
      </c>
      <c r="F12" s="1602">
        <f>SUM(F13:F17)</f>
        <v>335185.3</v>
      </c>
      <c r="G12" s="1602">
        <f>SUM(H12:I12)</f>
        <v>2147278.4</v>
      </c>
      <c r="H12" s="1602">
        <f>SUM(H13:H17)</f>
        <v>2018103.8</v>
      </c>
      <c r="I12" s="1602">
        <f>SUM(I13:I17)</f>
        <v>129174.6</v>
      </c>
      <c r="J12" s="2201">
        <f>G12/D12</f>
        <v>0.49</v>
      </c>
      <c r="K12" s="1419"/>
      <c r="L12" s="1419"/>
    </row>
    <row r="13" spans="1:12" s="484" customFormat="1" ht="23.25" hidden="1">
      <c r="A13" s="2189"/>
      <c r="B13" s="2001" t="s">
        <v>1831</v>
      </c>
      <c r="C13" s="1877"/>
      <c r="D13" s="1598">
        <f t="shared" ref="D13:I16" si="0">D19+D57</f>
        <v>2726142.7</v>
      </c>
      <c r="E13" s="2001">
        <f t="shared" si="0"/>
        <v>2562100</v>
      </c>
      <c r="F13" s="2001">
        <f t="shared" si="0"/>
        <v>164042.70000000001</v>
      </c>
      <c r="G13" s="1598">
        <f t="shared" si="0"/>
        <v>1260175.1000000001</v>
      </c>
      <c r="H13" s="2001">
        <f t="shared" si="0"/>
        <v>1184436.3999999999</v>
      </c>
      <c r="I13" s="2001">
        <f t="shared" si="0"/>
        <v>75738.7</v>
      </c>
      <c r="J13" s="2199">
        <f t="shared" ref="J13:J76" si="1">G13/D13</f>
        <v>0.46</v>
      </c>
      <c r="K13" s="1423"/>
    </row>
    <row r="14" spans="1:12" s="484" customFormat="1" ht="23.25" hidden="1">
      <c r="A14" s="2189"/>
      <c r="B14" s="2001" t="s">
        <v>1798</v>
      </c>
      <c r="C14" s="1877"/>
      <c r="D14" s="1598">
        <f t="shared" si="0"/>
        <v>556398.1</v>
      </c>
      <c r="E14" s="2001">
        <f t="shared" si="0"/>
        <v>523000</v>
      </c>
      <c r="F14" s="2001">
        <f t="shared" si="0"/>
        <v>33398.1</v>
      </c>
      <c r="G14" s="1598">
        <f t="shared" si="0"/>
        <v>279514</v>
      </c>
      <c r="H14" s="2001">
        <f t="shared" si="0"/>
        <v>262740.3</v>
      </c>
      <c r="I14" s="2001">
        <f t="shared" si="0"/>
        <v>16773.7</v>
      </c>
      <c r="J14" s="2199">
        <f t="shared" si="1"/>
        <v>0.5</v>
      </c>
      <c r="K14" s="1423"/>
    </row>
    <row r="15" spans="1:12" s="484" customFormat="1" ht="23.25" hidden="1">
      <c r="A15" s="2189"/>
      <c r="B15" s="2001" t="s">
        <v>1770</v>
      </c>
      <c r="C15" s="1877"/>
      <c r="D15" s="1598">
        <f t="shared" si="0"/>
        <v>317820.2</v>
      </c>
      <c r="E15" s="2001">
        <f t="shared" si="0"/>
        <v>298387.40000000002</v>
      </c>
      <c r="F15" s="2001">
        <f t="shared" si="0"/>
        <v>19432.8</v>
      </c>
      <c r="G15" s="1598">
        <f t="shared" si="0"/>
        <v>187019</v>
      </c>
      <c r="H15" s="2001">
        <f t="shared" si="0"/>
        <v>175594.1</v>
      </c>
      <c r="I15" s="2001">
        <f t="shared" si="0"/>
        <v>11424.9</v>
      </c>
      <c r="J15" s="2199">
        <f t="shared" si="1"/>
        <v>0.59</v>
      </c>
      <c r="K15" s="1423"/>
    </row>
    <row r="16" spans="1:12" s="484" customFormat="1" ht="23.25" hidden="1">
      <c r="A16" s="2189"/>
      <c r="B16" s="2001" t="s">
        <v>1832</v>
      </c>
      <c r="C16" s="1877"/>
      <c r="D16" s="1598">
        <f t="shared" si="0"/>
        <v>0</v>
      </c>
      <c r="E16" s="2001">
        <f t="shared" si="0"/>
        <v>0</v>
      </c>
      <c r="F16" s="2001">
        <f t="shared" si="0"/>
        <v>0</v>
      </c>
      <c r="G16" s="1598">
        <f t="shared" si="0"/>
        <v>0</v>
      </c>
      <c r="H16" s="2001">
        <f t="shared" si="0"/>
        <v>0</v>
      </c>
      <c r="I16" s="2001">
        <f t="shared" si="0"/>
        <v>0</v>
      </c>
      <c r="J16" s="2199" t="e">
        <f t="shared" si="1"/>
        <v>#DIV/0!</v>
      </c>
      <c r="K16" s="1423"/>
    </row>
    <row r="17" spans="1:11" s="484" customFormat="1" ht="23.25" hidden="1">
      <c r="A17" s="2189"/>
      <c r="B17" s="2001" t="s">
        <v>1830</v>
      </c>
      <c r="C17" s="1877"/>
      <c r="D17" s="1598">
        <f>SUM(E17:F17)</f>
        <v>822567.9</v>
      </c>
      <c r="E17" s="2001">
        <f>E160</f>
        <v>704256.2</v>
      </c>
      <c r="F17" s="2001">
        <f>F160</f>
        <v>118311.7</v>
      </c>
      <c r="G17" s="1598">
        <f>SUM(H17:I17)</f>
        <v>420570.3</v>
      </c>
      <c r="H17" s="2001">
        <f>H160</f>
        <v>395333</v>
      </c>
      <c r="I17" s="2001">
        <f>I160</f>
        <v>25237.3</v>
      </c>
      <c r="J17" s="2199">
        <f t="shared" si="1"/>
        <v>0.51</v>
      </c>
      <c r="K17" s="1423"/>
    </row>
    <row r="18" spans="1:11" ht="42.75" hidden="1" customHeight="1">
      <c r="A18" s="2149" t="s">
        <v>6</v>
      </c>
      <c r="B18" s="2150" t="s">
        <v>1829</v>
      </c>
      <c r="C18" s="2151"/>
      <c r="D18" s="2152">
        <f>SUM(E18:F18)</f>
        <v>166535.29999999999</v>
      </c>
      <c r="E18" s="2198">
        <f>SUM(E19:E22)</f>
        <v>156541.79999999999</v>
      </c>
      <c r="F18" s="2198">
        <f>SUM(F19:F22)</f>
        <v>9993.5</v>
      </c>
      <c r="G18" s="2152">
        <f>SUM(H18:I18)</f>
        <v>73130.8</v>
      </c>
      <c r="H18" s="2198">
        <f>SUM(H19:H22)</f>
        <v>68742.100000000006</v>
      </c>
      <c r="I18" s="2198">
        <f>SUM(I19:I22)</f>
        <v>4388.7</v>
      </c>
      <c r="J18" s="2199">
        <f t="shared" si="1"/>
        <v>0.44</v>
      </c>
      <c r="K18" s="1423"/>
    </row>
    <row r="19" spans="1:11" s="484" customFormat="1" ht="23.25" hidden="1">
      <c r="A19" s="2189"/>
      <c r="B19" s="2001" t="s">
        <v>1699</v>
      </c>
      <c r="C19" s="1877"/>
      <c r="D19" s="1598">
        <f>SUM(E19:F19)</f>
        <v>50955.1</v>
      </c>
      <c r="E19" s="2197">
        <f>E25+E37+E40+E29</f>
        <v>47897.599999999999</v>
      </c>
      <c r="F19" s="2197">
        <f>F25+F37+F40+F29</f>
        <v>3057.5</v>
      </c>
      <c r="G19" s="1598">
        <f>SUM(H19:I19)</f>
        <v>10414</v>
      </c>
      <c r="H19" s="2197">
        <f>H25+H37+H40</f>
        <v>9789</v>
      </c>
      <c r="I19" s="2197">
        <f>I25+I37+I40</f>
        <v>625</v>
      </c>
      <c r="J19" s="2199">
        <f t="shared" si="1"/>
        <v>0.2</v>
      </c>
      <c r="K19" s="1423"/>
    </row>
    <row r="20" spans="1:11" s="484" customFormat="1" ht="23.25" hidden="1">
      <c r="A20" s="2189"/>
      <c r="B20" s="2001" t="s">
        <v>1798</v>
      </c>
      <c r="C20" s="1877"/>
      <c r="D20" s="1598">
        <f>E20+F20</f>
        <v>103877.6</v>
      </c>
      <c r="E20" s="2197">
        <f>E41+E43+E51</f>
        <v>97643.9</v>
      </c>
      <c r="F20" s="2197">
        <f>F41+F43+F51</f>
        <v>6233.7</v>
      </c>
      <c r="G20" s="1598">
        <f>H20+I20</f>
        <v>57417.8</v>
      </c>
      <c r="H20" s="2197">
        <f>H41+H43+H51</f>
        <v>53972.2</v>
      </c>
      <c r="I20" s="2197">
        <f>I41+I43+I51</f>
        <v>3445.6</v>
      </c>
      <c r="J20" s="2199">
        <f t="shared" si="1"/>
        <v>0.55000000000000004</v>
      </c>
      <c r="K20" s="1423"/>
    </row>
    <row r="21" spans="1:11" s="484" customFormat="1" ht="23.25" hidden="1">
      <c r="A21" s="2189"/>
      <c r="B21" s="2001" t="s">
        <v>1770</v>
      </c>
      <c r="C21" s="1877"/>
      <c r="D21" s="1598">
        <f>SUM(E21:F21)</f>
        <v>11702.6</v>
      </c>
      <c r="E21" s="2197">
        <f>E30+E34</f>
        <v>11000.3</v>
      </c>
      <c r="F21" s="2197">
        <f>F30+F34</f>
        <v>702.3</v>
      </c>
      <c r="G21" s="1598">
        <f>SUM(H21:I21)</f>
        <v>5299</v>
      </c>
      <c r="H21" s="2197">
        <f>H30+H34</f>
        <v>4980.8999999999996</v>
      </c>
      <c r="I21" s="2197">
        <f>I30+I34</f>
        <v>318.10000000000002</v>
      </c>
      <c r="J21" s="2199">
        <f t="shared" si="1"/>
        <v>0.45</v>
      </c>
      <c r="K21" s="1423"/>
    </row>
    <row r="22" spans="1:11" s="484" customFormat="1" ht="23.25" hidden="1">
      <c r="A22" s="2189"/>
      <c r="B22" s="2001" t="s">
        <v>1700</v>
      </c>
      <c r="C22" s="1877"/>
      <c r="D22" s="1598">
        <f t="shared" ref="D22:D53" si="2">SUM(E22:F22)</f>
        <v>0</v>
      </c>
      <c r="E22" s="2197">
        <f>E26+E31+E35+E44+E48+E52</f>
        <v>0</v>
      </c>
      <c r="F22" s="2197">
        <f>F26+F31+F35+F44+F48+F52</f>
        <v>0</v>
      </c>
      <c r="G22" s="1598">
        <f>SUM(H22:I22)</f>
        <v>0</v>
      </c>
      <c r="H22" s="2197">
        <f>H26+H31+H35+H44+H48+H52</f>
        <v>0</v>
      </c>
      <c r="I22" s="2197">
        <f>I26+I31+I35+I44+I48+I52</f>
        <v>0</v>
      </c>
      <c r="J22" s="2199" t="e">
        <f t="shared" si="1"/>
        <v>#DIV/0!</v>
      </c>
      <c r="K22" s="1423"/>
    </row>
    <row r="23" spans="1:11" s="484" customFormat="1" ht="23.25" hidden="1">
      <c r="A23" s="2189"/>
      <c r="B23" s="2191" t="s">
        <v>433</v>
      </c>
      <c r="C23" s="1882"/>
      <c r="D23" s="1602">
        <f t="shared" si="2"/>
        <v>10186.5</v>
      </c>
      <c r="E23" s="1864">
        <f>E24</f>
        <v>9575.2000000000007</v>
      </c>
      <c r="F23" s="1864">
        <f>F24</f>
        <v>611.29999999999995</v>
      </c>
      <c r="G23" s="1602">
        <f t="shared" ref="G23:G36" si="3">SUM(H23:I23)</f>
        <v>10186.5</v>
      </c>
      <c r="H23" s="1864">
        <f>H24</f>
        <v>9575.2000000000007</v>
      </c>
      <c r="I23" s="1864">
        <f>I24</f>
        <v>611.29999999999995</v>
      </c>
      <c r="J23" s="2199">
        <f t="shared" si="1"/>
        <v>1</v>
      </c>
      <c r="K23" s="1423"/>
    </row>
    <row r="24" spans="1:11" s="484" customFormat="1" ht="40.5" customHeight="1">
      <c r="A24" s="2189">
        <v>1</v>
      </c>
      <c r="B24" s="1905" t="s">
        <v>1563</v>
      </c>
      <c r="C24" s="1906"/>
      <c r="D24" s="1602">
        <f t="shared" si="2"/>
        <v>10186.5</v>
      </c>
      <c r="E24" s="1864">
        <f>E25+E26</f>
        <v>9575.2000000000007</v>
      </c>
      <c r="F24" s="1864">
        <f>F25+F26</f>
        <v>611.29999999999995</v>
      </c>
      <c r="G24" s="1602">
        <f t="shared" si="3"/>
        <v>10186.5</v>
      </c>
      <c r="H24" s="1864">
        <f>H25+H26</f>
        <v>9575.2000000000007</v>
      </c>
      <c r="I24" s="1864">
        <f>I25+I26</f>
        <v>611.29999999999995</v>
      </c>
      <c r="J24" s="2199">
        <f t="shared" si="1"/>
        <v>1</v>
      </c>
      <c r="K24" s="1423"/>
    </row>
    <row r="25" spans="1:11" s="484" customFormat="1" ht="23.25" hidden="1">
      <c r="A25" s="2189"/>
      <c r="B25" s="1619" t="s">
        <v>1620</v>
      </c>
      <c r="C25" s="1906" t="s">
        <v>1630</v>
      </c>
      <c r="D25" s="1602">
        <f t="shared" si="2"/>
        <v>10186.5</v>
      </c>
      <c r="E25" s="1864">
        <v>9575.2000000000007</v>
      </c>
      <c r="F25" s="1864">
        <f>611.3</f>
        <v>611.29999999999995</v>
      </c>
      <c r="G25" s="1602">
        <f t="shared" si="3"/>
        <v>10186.5</v>
      </c>
      <c r="H25" s="1864">
        <v>9575.2000000000007</v>
      </c>
      <c r="I25" s="1864">
        <v>611.29999999999995</v>
      </c>
      <c r="J25" s="2199">
        <f t="shared" si="1"/>
        <v>1</v>
      </c>
      <c r="K25" s="1423"/>
    </row>
    <row r="26" spans="1:11" s="484" customFormat="1" ht="23.25" hidden="1">
      <c r="A26" s="2189"/>
      <c r="B26" s="1619" t="s">
        <v>1621</v>
      </c>
      <c r="C26" s="1906" t="s">
        <v>1631</v>
      </c>
      <c r="D26" s="1602">
        <f t="shared" si="2"/>
        <v>0</v>
      </c>
      <c r="E26" s="1864"/>
      <c r="F26" s="1864"/>
      <c r="G26" s="1602">
        <f t="shared" si="3"/>
        <v>0</v>
      </c>
      <c r="H26" s="1864"/>
      <c r="I26" s="1864"/>
      <c r="J26" s="2199" t="e">
        <f t="shared" si="1"/>
        <v>#DIV/0!</v>
      </c>
      <c r="K26" s="1423"/>
    </row>
    <row r="27" spans="1:11" s="484" customFormat="1" ht="23.25" hidden="1">
      <c r="A27" s="2189"/>
      <c r="B27" s="2191" t="s">
        <v>583</v>
      </c>
      <c r="C27" s="1882"/>
      <c r="D27" s="1602">
        <f t="shared" si="2"/>
        <v>9803.1</v>
      </c>
      <c r="E27" s="1865">
        <f t="shared" ref="E27:I27" si="4">E28</f>
        <v>9214.7999999999993</v>
      </c>
      <c r="F27" s="1865">
        <f t="shared" si="4"/>
        <v>588.29999999999995</v>
      </c>
      <c r="G27" s="1600">
        <f t="shared" si="3"/>
        <v>4687.5</v>
      </c>
      <c r="H27" s="1864">
        <f t="shared" si="4"/>
        <v>4406.1000000000004</v>
      </c>
      <c r="I27" s="1864">
        <f t="shared" si="4"/>
        <v>281.39999999999998</v>
      </c>
      <c r="J27" s="2199">
        <f t="shared" si="1"/>
        <v>0.48</v>
      </c>
      <c r="K27" s="1423"/>
    </row>
    <row r="28" spans="1:11" s="484" customFormat="1" ht="27.75" customHeight="1">
      <c r="A28" s="2189">
        <f>A24+1</f>
        <v>2</v>
      </c>
      <c r="B28" s="1889" t="s">
        <v>1629</v>
      </c>
      <c r="C28" s="1882"/>
      <c r="D28" s="1602">
        <f>SUM(E28:F28)</f>
        <v>9803.1</v>
      </c>
      <c r="E28" s="1608">
        <f>E31+E30+E29</f>
        <v>9214.7999999999993</v>
      </c>
      <c r="F28" s="1608">
        <f>F31+F30+F29</f>
        <v>588.29999999999995</v>
      </c>
      <c r="G28" s="1602">
        <f>SUM(H28:I28)</f>
        <v>4687.5</v>
      </c>
      <c r="H28" s="1608">
        <f>H31+H30+H29</f>
        <v>4406.1000000000004</v>
      </c>
      <c r="I28" s="1608">
        <f>I31+I30+I29</f>
        <v>281.39999999999998</v>
      </c>
      <c r="J28" s="2199">
        <f t="shared" si="1"/>
        <v>0.48</v>
      </c>
      <c r="K28" s="1423"/>
    </row>
    <row r="29" spans="1:11" s="484" customFormat="1" ht="27" hidden="1" customHeight="1">
      <c r="A29" s="2189"/>
      <c r="B29" s="1619" t="s">
        <v>1620</v>
      </c>
      <c r="C29" s="1882"/>
      <c r="D29" s="1602">
        <f>SUM(E29:F29)</f>
        <v>803</v>
      </c>
      <c r="E29" s="1865">
        <f>9214.8-8460</f>
        <v>754.8</v>
      </c>
      <c r="F29" s="1865">
        <f>588.3-540.1</f>
        <v>48.2</v>
      </c>
      <c r="G29" s="1600">
        <f>SUM(H29:I29)</f>
        <v>0</v>
      </c>
      <c r="H29" s="1864"/>
      <c r="I29" s="1864"/>
      <c r="J29" s="2199">
        <f t="shared" si="1"/>
        <v>0</v>
      </c>
      <c r="K29" s="1423"/>
    </row>
    <row r="30" spans="1:11" s="484" customFormat="1" ht="27" hidden="1" customHeight="1">
      <c r="A30" s="2189"/>
      <c r="B30" s="1619" t="s">
        <v>1770</v>
      </c>
      <c r="C30" s="1882"/>
      <c r="D30" s="1602">
        <f>SUM(E30:F30)</f>
        <v>9000.1</v>
      </c>
      <c r="E30" s="1865">
        <f>8460</f>
        <v>8460</v>
      </c>
      <c r="F30" s="1865">
        <v>540.1</v>
      </c>
      <c r="G30" s="1600">
        <f>SUM(H30:I30)</f>
        <v>4687.5</v>
      </c>
      <c r="H30" s="1864">
        <f>4075.9+330.24</f>
        <v>4406.1000000000004</v>
      </c>
      <c r="I30" s="1864">
        <f>21.1+260.3</f>
        <v>281.39999999999998</v>
      </c>
      <c r="J30" s="2199">
        <f t="shared" si="1"/>
        <v>0.52</v>
      </c>
      <c r="K30" s="1423"/>
    </row>
    <row r="31" spans="1:11" s="484" customFormat="1" ht="23.25" hidden="1">
      <c r="A31" s="2189"/>
      <c r="B31" s="1619" t="s">
        <v>1621</v>
      </c>
      <c r="C31" s="1906"/>
      <c r="D31" s="1602">
        <f t="shared" si="2"/>
        <v>0</v>
      </c>
      <c r="E31" s="1865">
        <v>0</v>
      </c>
      <c r="F31" s="1865"/>
      <c r="G31" s="1600">
        <f t="shared" si="3"/>
        <v>0</v>
      </c>
      <c r="H31" s="1864"/>
      <c r="I31" s="1864"/>
      <c r="J31" s="2199" t="e">
        <f t="shared" si="1"/>
        <v>#DIV/0!</v>
      </c>
      <c r="K31" s="1423"/>
    </row>
    <row r="32" spans="1:11" s="484" customFormat="1" ht="25.5" hidden="1" customHeight="1">
      <c r="A32" s="2189"/>
      <c r="B32" s="2191" t="s">
        <v>1624</v>
      </c>
      <c r="C32" s="1882"/>
      <c r="D32" s="1602">
        <f t="shared" si="2"/>
        <v>2702.5</v>
      </c>
      <c r="E32" s="1865">
        <f>E33</f>
        <v>2540.3000000000002</v>
      </c>
      <c r="F32" s="1865">
        <f>F33</f>
        <v>162.19999999999999</v>
      </c>
      <c r="G32" s="1600">
        <f t="shared" si="3"/>
        <v>611.5</v>
      </c>
      <c r="H32" s="1864">
        <f>H33</f>
        <v>574.79999999999995</v>
      </c>
      <c r="I32" s="1864">
        <f>I33</f>
        <v>36.700000000000003</v>
      </c>
      <c r="J32" s="2199">
        <f t="shared" si="1"/>
        <v>0.23</v>
      </c>
      <c r="K32" s="1423"/>
    </row>
    <row r="33" spans="1:11" s="484" customFormat="1" ht="45.75" customHeight="1">
      <c r="A33" s="2189">
        <f>A28+1</f>
        <v>3</v>
      </c>
      <c r="B33" s="1889" t="s">
        <v>1625</v>
      </c>
      <c r="C33" s="1882"/>
      <c r="D33" s="1602">
        <f t="shared" si="2"/>
        <v>2702.5</v>
      </c>
      <c r="E33" s="1616">
        <f>E34+E35</f>
        <v>2540.3000000000002</v>
      </c>
      <c r="F33" s="1616">
        <f>F34+F35</f>
        <v>162.19999999999999</v>
      </c>
      <c r="G33" s="1602">
        <f t="shared" si="3"/>
        <v>611.5</v>
      </c>
      <c r="H33" s="1616">
        <f>H34+H35</f>
        <v>574.79999999999995</v>
      </c>
      <c r="I33" s="1616">
        <f>I34+I35</f>
        <v>36.700000000000003</v>
      </c>
      <c r="J33" s="2199">
        <f t="shared" si="1"/>
        <v>0.23</v>
      </c>
      <c r="K33" s="1423"/>
    </row>
    <row r="34" spans="1:11" s="484" customFormat="1" ht="28.5" hidden="1" customHeight="1">
      <c r="A34" s="2189"/>
      <c r="B34" s="1619" t="s">
        <v>1770</v>
      </c>
      <c r="C34" s="1882"/>
      <c r="D34" s="1602">
        <f>SUM(E34:F34)</f>
        <v>2702.5</v>
      </c>
      <c r="E34" s="1864">
        <v>2540.3000000000002</v>
      </c>
      <c r="F34" s="1864">
        <v>162.19999999999999</v>
      </c>
      <c r="G34" s="1602">
        <f>SUM(H34:I34)</f>
        <v>611.5</v>
      </c>
      <c r="H34" s="1864">
        <v>574.79999999999995</v>
      </c>
      <c r="I34" s="1864">
        <v>36.700000000000003</v>
      </c>
      <c r="J34" s="2199">
        <f t="shared" si="1"/>
        <v>0.23</v>
      </c>
      <c r="K34" s="1423"/>
    </row>
    <row r="35" spans="1:11" s="484" customFormat="1" ht="23.25" hidden="1">
      <c r="A35" s="2189"/>
      <c r="B35" s="1619" t="s">
        <v>1621</v>
      </c>
      <c r="C35" s="1906"/>
      <c r="D35" s="1602">
        <f t="shared" si="2"/>
        <v>0</v>
      </c>
      <c r="E35" s="1864"/>
      <c r="F35" s="1616"/>
      <c r="G35" s="1602">
        <f t="shared" si="3"/>
        <v>0</v>
      </c>
      <c r="H35" s="1864"/>
      <c r="I35" s="1864"/>
      <c r="J35" s="2199" t="e">
        <f t="shared" si="1"/>
        <v>#DIV/0!</v>
      </c>
      <c r="K35" s="1423"/>
    </row>
    <row r="36" spans="1:11" s="484" customFormat="1" ht="19.5" hidden="1" customHeight="1">
      <c r="A36" s="2189"/>
      <c r="B36" s="2191" t="s">
        <v>1401</v>
      </c>
      <c r="C36" s="1882"/>
      <c r="D36" s="1600">
        <f t="shared" si="2"/>
        <v>0</v>
      </c>
      <c r="E36" s="1865">
        <f>E37</f>
        <v>0</v>
      </c>
      <c r="F36" s="1865">
        <f>F37</f>
        <v>0</v>
      </c>
      <c r="G36" s="1600">
        <f t="shared" si="3"/>
        <v>0</v>
      </c>
      <c r="H36" s="1864">
        <f>H37</f>
        <v>0</v>
      </c>
      <c r="I36" s="1864">
        <f>I37</f>
        <v>0</v>
      </c>
      <c r="J36" s="2199" t="e">
        <f t="shared" si="1"/>
        <v>#DIV/0!</v>
      </c>
      <c r="K36" s="1423"/>
    </row>
    <row r="37" spans="1:11" s="484" customFormat="1" ht="40.5" hidden="1" customHeight="1">
      <c r="A37" s="2189">
        <f>A33+1</f>
        <v>4</v>
      </c>
      <c r="B37" s="1889" t="s">
        <v>681</v>
      </c>
      <c r="C37" s="1882"/>
      <c r="D37" s="1600">
        <f t="shared" si="2"/>
        <v>0</v>
      </c>
      <c r="E37" s="1608">
        <v>0</v>
      </c>
      <c r="F37" s="1608">
        <v>0</v>
      </c>
      <c r="G37" s="1600">
        <f t="shared" ref="G37:G52" si="5">SUM(H37:I37)</f>
        <v>0</v>
      </c>
      <c r="H37" s="1616"/>
      <c r="I37" s="1616"/>
      <c r="J37" s="2199" t="e">
        <f t="shared" si="1"/>
        <v>#DIV/0!</v>
      </c>
      <c r="K37" s="1423"/>
    </row>
    <row r="38" spans="1:11" s="484" customFormat="1" ht="27" hidden="1" customHeight="1">
      <c r="A38" s="2189"/>
      <c r="B38" s="2191" t="s">
        <v>1554</v>
      </c>
      <c r="C38" s="1882"/>
      <c r="D38" s="1600">
        <f t="shared" si="2"/>
        <v>148579</v>
      </c>
      <c r="E38" s="1865">
        <f>E39+E42</f>
        <v>133221.5</v>
      </c>
      <c r="F38" s="1865">
        <f>SUM(F39:F42)</f>
        <v>15357.5</v>
      </c>
      <c r="G38" s="1600">
        <f t="shared" si="5"/>
        <v>57273.7</v>
      </c>
      <c r="H38" s="1865">
        <f>H39+H42</f>
        <v>52253.599999999999</v>
      </c>
      <c r="I38" s="1865">
        <f>SUM(I39:I42)</f>
        <v>5020.1000000000004</v>
      </c>
      <c r="J38" s="2199">
        <f t="shared" si="1"/>
        <v>0.39</v>
      </c>
      <c r="K38" s="1423"/>
    </row>
    <row r="39" spans="1:11" s="484" customFormat="1" ht="42.75" customHeight="1">
      <c r="A39" s="2189">
        <f>A33+1</f>
        <v>4</v>
      </c>
      <c r="B39" s="1889" t="s">
        <v>1623</v>
      </c>
      <c r="C39" s="1882"/>
      <c r="D39" s="1600">
        <f t="shared" si="2"/>
        <v>114201.7</v>
      </c>
      <c r="E39" s="1608">
        <f>E40+E41</f>
        <v>107348.8</v>
      </c>
      <c r="F39" s="1608">
        <f>F40+F41</f>
        <v>6852.9</v>
      </c>
      <c r="G39" s="1600">
        <f t="shared" si="5"/>
        <v>28065.1</v>
      </c>
      <c r="H39" s="1616">
        <f>H40+H41</f>
        <v>26380.9</v>
      </c>
      <c r="I39" s="1616">
        <f>I40+I41</f>
        <v>1684.2</v>
      </c>
      <c r="J39" s="2199">
        <f t="shared" si="1"/>
        <v>0.25</v>
      </c>
      <c r="K39" s="1423"/>
    </row>
    <row r="40" spans="1:11" s="484" customFormat="1" ht="27.75" hidden="1" customHeight="1">
      <c r="A40" s="2189"/>
      <c r="B40" s="1619" t="s">
        <v>1620</v>
      </c>
      <c r="C40" s="1882"/>
      <c r="D40" s="1600">
        <f>SUM(E40:F40)</f>
        <v>39965.599999999999</v>
      </c>
      <c r="E40" s="1608">
        <v>37567.599999999999</v>
      </c>
      <c r="F40" s="1608">
        <v>2398</v>
      </c>
      <c r="G40" s="1600">
        <f>SUM(H40:I40)</f>
        <v>227.5</v>
      </c>
      <c r="H40" s="1616">
        <v>213.8</v>
      </c>
      <c r="I40" s="1616">
        <v>13.7</v>
      </c>
      <c r="J40" s="2199">
        <f t="shared" si="1"/>
        <v>0.01</v>
      </c>
      <c r="K40" s="1423"/>
    </row>
    <row r="41" spans="1:11" s="484" customFormat="1" ht="26.25" hidden="1" customHeight="1">
      <c r="A41" s="2189"/>
      <c r="B41" s="1619" t="s">
        <v>1798</v>
      </c>
      <c r="C41" s="1882"/>
      <c r="D41" s="1602">
        <f>SUM(E41:F41)</f>
        <v>74236.100000000006</v>
      </c>
      <c r="E41" s="1616">
        <v>69781.2</v>
      </c>
      <c r="F41" s="1616">
        <v>4454.8999999999996</v>
      </c>
      <c r="G41" s="1602">
        <f>SUM(H41:I41)</f>
        <v>27837.599999999999</v>
      </c>
      <c r="H41" s="1616">
        <v>26167.1</v>
      </c>
      <c r="I41" s="1616">
        <v>1670.5</v>
      </c>
      <c r="J41" s="2199">
        <f t="shared" si="1"/>
        <v>0.37</v>
      </c>
      <c r="K41" s="1423"/>
    </row>
    <row r="42" spans="1:11" s="484" customFormat="1" ht="44.25" customHeight="1">
      <c r="A42" s="2189">
        <f>A39+1</f>
        <v>5</v>
      </c>
      <c r="B42" s="1889" t="s">
        <v>1660</v>
      </c>
      <c r="C42" s="1882"/>
      <c r="D42" s="2200">
        <f t="shared" si="2"/>
        <v>27524.400000000001</v>
      </c>
      <c r="E42" s="1616">
        <f>E43+E44</f>
        <v>25872.7</v>
      </c>
      <c r="F42" s="1616">
        <f>F43+F44</f>
        <v>1651.7</v>
      </c>
      <c r="G42" s="2200">
        <f t="shared" si="5"/>
        <v>27524.400000000001</v>
      </c>
      <c r="H42" s="1616">
        <f>H43+H44</f>
        <v>25872.7</v>
      </c>
      <c r="I42" s="1616">
        <f>I43+I44</f>
        <v>1651.7</v>
      </c>
      <c r="J42" s="2199">
        <f t="shared" si="1"/>
        <v>1</v>
      </c>
      <c r="K42" s="1423"/>
    </row>
    <row r="43" spans="1:11" s="484" customFormat="1" ht="30.75" hidden="1" customHeight="1">
      <c r="A43" s="2189"/>
      <c r="B43" s="1619" t="s">
        <v>1798</v>
      </c>
      <c r="C43" s="1882"/>
      <c r="D43" s="1600">
        <f>SUM(E43:F43)</f>
        <v>27524.400000000001</v>
      </c>
      <c r="E43" s="1865">
        <v>25872.7</v>
      </c>
      <c r="F43" s="1865">
        <v>1651.7</v>
      </c>
      <c r="G43" s="1600">
        <f>SUM(H43:I43)</f>
        <v>27524.400000000001</v>
      </c>
      <c r="H43" s="1864">
        <v>25872.7</v>
      </c>
      <c r="I43" s="1864">
        <v>1651.7</v>
      </c>
      <c r="J43" s="2199">
        <f t="shared" si="1"/>
        <v>1</v>
      </c>
      <c r="K43" s="1423"/>
    </row>
    <row r="44" spans="1:11" s="484" customFormat="1" ht="23.25" hidden="1">
      <c r="A44" s="2189"/>
      <c r="B44" s="1619" t="s">
        <v>1621</v>
      </c>
      <c r="C44" s="1906"/>
      <c r="D44" s="1600">
        <f t="shared" si="2"/>
        <v>0</v>
      </c>
      <c r="E44" s="1865"/>
      <c r="F44" s="1865"/>
      <c r="G44" s="1600">
        <f t="shared" si="5"/>
        <v>0</v>
      </c>
      <c r="H44" s="1864"/>
      <c r="I44" s="1864"/>
      <c r="J44" s="2199" t="e">
        <f t="shared" si="1"/>
        <v>#DIV/0!</v>
      </c>
      <c r="K44" s="1423"/>
    </row>
    <row r="45" spans="1:11" s="484" customFormat="1" ht="23.25" hidden="1" customHeight="1">
      <c r="A45" s="2189"/>
      <c r="B45" s="1935" t="s">
        <v>712</v>
      </c>
      <c r="C45" s="1906"/>
      <c r="D45" s="1600" t="s">
        <v>332</v>
      </c>
      <c r="E45" s="1865"/>
      <c r="F45" s="1865"/>
      <c r="G45" s="1600"/>
      <c r="H45" s="1864"/>
      <c r="I45" s="1864"/>
      <c r="J45" s="2199" t="e">
        <f t="shared" si="1"/>
        <v>#VALUE!</v>
      </c>
      <c r="K45" s="1423"/>
    </row>
    <row r="46" spans="1:11" s="484" customFormat="1" ht="23.25" hidden="1">
      <c r="A46" s="2189">
        <f>A42+1</f>
        <v>6</v>
      </c>
      <c r="B46" s="2191" t="s">
        <v>1803</v>
      </c>
      <c r="C46" s="1906"/>
      <c r="D46" s="1600">
        <f>E46+F46</f>
        <v>0</v>
      </c>
      <c r="E46" s="1865">
        <f>E47</f>
        <v>0</v>
      </c>
      <c r="F46" s="1865">
        <f>F47</f>
        <v>0</v>
      </c>
      <c r="G46" s="1600">
        <f>H46+I46</f>
        <v>0</v>
      </c>
      <c r="H46" s="1864">
        <f>H47</f>
        <v>0</v>
      </c>
      <c r="I46" s="1864">
        <f>I47</f>
        <v>0</v>
      </c>
      <c r="J46" s="2199" t="e">
        <f t="shared" si="1"/>
        <v>#DIV/0!</v>
      </c>
      <c r="K46" s="1423"/>
    </row>
    <row r="47" spans="1:11" s="484" customFormat="1" ht="66" hidden="1" customHeight="1">
      <c r="A47" s="2189"/>
      <c r="B47" s="1905" t="s">
        <v>1802</v>
      </c>
      <c r="C47" s="1906"/>
      <c r="D47" s="1600">
        <f>E47+F47</f>
        <v>0</v>
      </c>
      <c r="E47" s="1865">
        <f>E48</f>
        <v>0</v>
      </c>
      <c r="F47" s="1865">
        <f>F48</f>
        <v>0</v>
      </c>
      <c r="G47" s="1600">
        <f>H47+I47</f>
        <v>0</v>
      </c>
      <c r="H47" s="1864">
        <f>H48</f>
        <v>0</v>
      </c>
      <c r="I47" s="1864">
        <f>I48</f>
        <v>0</v>
      </c>
      <c r="J47" s="2199" t="e">
        <f t="shared" si="1"/>
        <v>#DIV/0!</v>
      </c>
      <c r="K47" s="1423"/>
    </row>
    <row r="48" spans="1:11" s="484" customFormat="1" ht="23.25" hidden="1">
      <c r="A48" s="2189"/>
      <c r="B48" s="1619" t="s">
        <v>1621</v>
      </c>
      <c r="C48" s="1906"/>
      <c r="D48" s="1600">
        <f>SUM(E48:F48)</f>
        <v>0</v>
      </c>
      <c r="E48" s="1865"/>
      <c r="F48" s="1865"/>
      <c r="G48" s="1600">
        <f>SUM(H48:I48)</f>
        <v>0</v>
      </c>
      <c r="H48" s="1864"/>
      <c r="I48" s="1864"/>
      <c r="J48" s="2199" t="e">
        <f t="shared" si="1"/>
        <v>#DIV/0!</v>
      </c>
      <c r="K48" s="1423"/>
    </row>
    <row r="49" spans="1:11" s="484" customFormat="1" ht="23.25" hidden="1">
      <c r="A49" s="2189"/>
      <c r="B49" s="2191" t="s">
        <v>1626</v>
      </c>
      <c r="C49" s="1882"/>
      <c r="D49" s="1602">
        <f t="shared" si="2"/>
        <v>2117.1</v>
      </c>
      <c r="E49" s="1864">
        <f>E50</f>
        <v>1990</v>
      </c>
      <c r="F49" s="1864">
        <f>F50</f>
        <v>127.1</v>
      </c>
      <c r="G49" s="1602">
        <f t="shared" si="5"/>
        <v>2055.8000000000002</v>
      </c>
      <c r="H49" s="1864">
        <f>H50</f>
        <v>1932.4</v>
      </c>
      <c r="I49" s="1864">
        <f>I50</f>
        <v>123.4</v>
      </c>
      <c r="J49" s="2199">
        <f t="shared" si="1"/>
        <v>0.97</v>
      </c>
      <c r="K49" s="1423"/>
    </row>
    <row r="50" spans="1:11" s="484" customFormat="1" ht="37.5">
      <c r="A50" s="2189">
        <f>A42+1</f>
        <v>6</v>
      </c>
      <c r="B50" s="1889" t="s">
        <v>1627</v>
      </c>
      <c r="C50" s="1882"/>
      <c r="D50" s="1600">
        <f t="shared" si="2"/>
        <v>2117.1</v>
      </c>
      <c r="E50" s="1616">
        <f>SUBTOTAL(9,E51:E52)</f>
        <v>1990</v>
      </c>
      <c r="F50" s="1616">
        <f>SUBTOTAL(9,F51:F52)</f>
        <v>127.1</v>
      </c>
      <c r="G50" s="1600">
        <f>SUM(H50:I50)</f>
        <v>2055.8000000000002</v>
      </c>
      <c r="H50" s="1608">
        <f>H51+H52</f>
        <v>1932.4</v>
      </c>
      <c r="I50" s="1608">
        <f>I51+I52</f>
        <v>123.4</v>
      </c>
      <c r="J50" s="2199">
        <f t="shared" si="1"/>
        <v>0.97</v>
      </c>
      <c r="K50" s="1423"/>
    </row>
    <row r="51" spans="1:11" s="484" customFormat="1" ht="23.25" hidden="1">
      <c r="A51" s="2189"/>
      <c r="B51" s="1619" t="s">
        <v>1798</v>
      </c>
      <c r="C51" s="1882"/>
      <c r="D51" s="1600">
        <f>SUM(E51:F51)</f>
        <v>2117.1</v>
      </c>
      <c r="E51" s="1865">
        <v>1990</v>
      </c>
      <c r="F51" s="1865">
        <v>127.1</v>
      </c>
      <c r="G51" s="1600">
        <f>SUM(H51:I51)</f>
        <v>2055.8000000000002</v>
      </c>
      <c r="H51" s="1865">
        <v>1932.4</v>
      </c>
      <c r="I51" s="1865">
        <v>123.4</v>
      </c>
      <c r="J51" s="2199">
        <f t="shared" si="1"/>
        <v>0.97</v>
      </c>
      <c r="K51" s="1423"/>
    </row>
    <row r="52" spans="1:11" s="484" customFormat="1" ht="23.25" hidden="1">
      <c r="A52" s="2189"/>
      <c r="B52" s="1619" t="s">
        <v>1621</v>
      </c>
      <c r="C52" s="1906"/>
      <c r="D52" s="1600">
        <f t="shared" si="2"/>
        <v>0</v>
      </c>
      <c r="E52" s="1865"/>
      <c r="F52" s="1616"/>
      <c r="G52" s="1600">
        <f t="shared" si="5"/>
        <v>0</v>
      </c>
      <c r="H52" s="1865"/>
      <c r="I52" s="1865"/>
      <c r="J52" s="2199" t="e">
        <f t="shared" si="1"/>
        <v>#DIV/0!</v>
      </c>
      <c r="K52" s="1423"/>
    </row>
    <row r="53" spans="1:11" ht="46.5" hidden="1" customHeight="1">
      <c r="A53" s="2149" t="s">
        <v>2</v>
      </c>
      <c r="B53" s="2150" t="s">
        <v>1695</v>
      </c>
      <c r="C53" s="2151"/>
      <c r="D53" s="2152">
        <f t="shared" si="2"/>
        <v>3433825.7</v>
      </c>
      <c r="E53" s="2198">
        <f>SUM(E57:E60)</f>
        <v>3226945.6</v>
      </c>
      <c r="F53" s="2198">
        <f>SUM(F57:F60)</f>
        <v>206880.1</v>
      </c>
      <c r="G53" s="2152">
        <f t="shared" ref="G53" si="6">SUM(H53:I53)</f>
        <v>1653577.3</v>
      </c>
      <c r="H53" s="2198">
        <f>SUM(H57:H60)</f>
        <v>1554028.7</v>
      </c>
      <c r="I53" s="2198">
        <f>SUM(I57:I60)</f>
        <v>99548.6</v>
      </c>
      <c r="J53" s="2199">
        <f t="shared" si="1"/>
        <v>0.48</v>
      </c>
      <c r="K53" s="1423"/>
    </row>
    <row r="54" spans="1:11" ht="27" hidden="1" customHeight="1">
      <c r="A54" s="2189"/>
      <c r="B54" s="1897" t="s">
        <v>1650</v>
      </c>
      <c r="C54" s="1898"/>
      <c r="D54" s="1899">
        <f t="shared" ref="D54:D59" si="7">SUM(E54:F54)</f>
        <v>0</v>
      </c>
      <c r="E54" s="2033">
        <f>SUM(E55)</f>
        <v>0</v>
      </c>
      <c r="F54" s="2033">
        <f>SUM(F55)</f>
        <v>0</v>
      </c>
      <c r="G54" s="1899">
        <f t="shared" ref="G54:G57" si="8">SUM(H54:I54)</f>
        <v>0</v>
      </c>
      <c r="H54" s="2033">
        <f>SUM(H55)</f>
        <v>0</v>
      </c>
      <c r="I54" s="2033">
        <f>SUM(I55)</f>
        <v>0</v>
      </c>
      <c r="J54" s="2199" t="e">
        <f t="shared" si="1"/>
        <v>#DIV/0!</v>
      </c>
      <c r="K54" s="1423"/>
    </row>
    <row r="55" spans="1:11" s="1607" customFormat="1" ht="44.25" hidden="1" customHeight="1">
      <c r="A55" s="2189" t="e">
        <f>#REF!+1</f>
        <v>#REF!</v>
      </c>
      <c r="B55" s="1890" t="s">
        <v>455</v>
      </c>
      <c r="C55" s="1880">
        <v>14057</v>
      </c>
      <c r="D55" s="1600">
        <f t="shared" si="7"/>
        <v>0</v>
      </c>
      <c r="E55" s="1614"/>
      <c r="F55" s="1614"/>
      <c r="G55" s="1600">
        <f t="shared" si="8"/>
        <v>0</v>
      </c>
      <c r="H55" s="1614"/>
      <c r="I55" s="1614"/>
      <c r="J55" s="2199" t="e">
        <f t="shared" si="1"/>
        <v>#DIV/0!</v>
      </c>
      <c r="K55" s="1423"/>
    </row>
    <row r="56" spans="1:11" s="1607" customFormat="1" ht="44.25" hidden="1" customHeight="1">
      <c r="A56" s="2189"/>
      <c r="B56" s="1890"/>
      <c r="C56" s="1880"/>
      <c r="D56" s="1600"/>
      <c r="E56" s="1614"/>
      <c r="F56" s="1614"/>
      <c r="G56" s="1600"/>
      <c r="H56" s="1619"/>
      <c r="I56" s="1619"/>
      <c r="J56" s="2199" t="e">
        <f t="shared" si="1"/>
        <v>#DIV/0!</v>
      </c>
      <c r="K56" s="1423"/>
    </row>
    <row r="57" spans="1:11" ht="23.25" hidden="1">
      <c r="A57" s="2044"/>
      <c r="B57" s="2049" t="s">
        <v>1834</v>
      </c>
      <c r="C57" s="2047"/>
      <c r="D57" s="2048">
        <f>SUM(E57:F57)</f>
        <v>2675187.6</v>
      </c>
      <c r="E57" s="2049">
        <f>E65+E70+E73+E79+E86+E90+E97+E101+E110+E113+E116+E120+E124+E126+E129+E132+E135+E140+E142+E145+E149+E153+E156+E76+E82+E93+E66</f>
        <v>2514202.4</v>
      </c>
      <c r="F57" s="2049">
        <f>F65+F70+F73+F79+F86+F90+F97+F101+F110+F113+F116+F120+F124+F126+F129+F132+F135+F140+F142+F145+F149+F153+F156+F76+F82+F93+F66</f>
        <v>160985.20000000001</v>
      </c>
      <c r="G57" s="2048">
        <f t="shared" si="8"/>
        <v>1249761.1000000001</v>
      </c>
      <c r="H57" s="2049">
        <f>H65+H70+H73+H79+H86+H90+H97+H101+H110+H113+H116+H120+H124+H126+H129+H132+H135+H140+H142+H145+H149+H153+H156+H76+H82+H93+H66</f>
        <v>1174647.3999999999</v>
      </c>
      <c r="I57" s="2049">
        <f>I65+I70+I73+I79+I86+I90+I97+I101+I110+I113+I116+I120+I124+I126+I129+I132+I135+I140+I142+I145+I149+I153+I156+I76+I82+I93+I66</f>
        <v>75113.7</v>
      </c>
      <c r="J57" s="2199">
        <f t="shared" si="1"/>
        <v>0.47</v>
      </c>
      <c r="K57" s="1423"/>
    </row>
    <row r="58" spans="1:11" ht="23.25" hidden="1">
      <c r="A58" s="2044"/>
      <c r="B58" s="2049" t="s">
        <v>1798</v>
      </c>
      <c r="C58" s="2047"/>
      <c r="D58" s="2048">
        <f>E58+F58</f>
        <v>452520.5</v>
      </c>
      <c r="E58" s="2049">
        <f>E83+E87+E94+E98+E117+E121+E136+E147</f>
        <v>425356.1</v>
      </c>
      <c r="F58" s="2049">
        <f>F83+F87+F94+F98+F117+F121+F136+F147</f>
        <v>27164.400000000001</v>
      </c>
      <c r="G58" s="2048">
        <f>H58+I58</f>
        <v>222096.2</v>
      </c>
      <c r="H58" s="2049">
        <f>H83+H87+H94+H98+H117+H121+H136+H147</f>
        <v>208768.1</v>
      </c>
      <c r="I58" s="2049">
        <f>I83+I87+I94+I98+I117+I121+I136+I147</f>
        <v>13328.1</v>
      </c>
      <c r="J58" s="2199">
        <f t="shared" si="1"/>
        <v>0.49</v>
      </c>
      <c r="K58" s="1423"/>
    </row>
    <row r="59" spans="1:11" ht="26.25" hidden="1" customHeight="1">
      <c r="A59" s="2044"/>
      <c r="B59" s="2049" t="s">
        <v>1770</v>
      </c>
      <c r="C59" s="2047"/>
      <c r="D59" s="2048">
        <f t="shared" si="7"/>
        <v>306117.59999999998</v>
      </c>
      <c r="E59" s="2049">
        <f>E62+E67+E71+E74+E77+E80+E84+E88+E91+E99+E102+E104+E111+E118+E122+E137+E143+E150+E154+E157+E107</f>
        <v>287387.09999999998</v>
      </c>
      <c r="F59" s="2049">
        <f>F62+F67+F71+F74+F77+F80+F84+F88+F91+F99+F102+F104+F111+F118+F122+F137+F143+F150+F154+F157+F107</f>
        <v>18730.5</v>
      </c>
      <c r="G59" s="2048">
        <f>SUM(H59:I59)</f>
        <v>181720</v>
      </c>
      <c r="H59" s="2049">
        <f>H62+H67+H71+H74+H77+H80+H84+H88+H91+H99+H102+H104+H111+H118+H122+H137+H143+H150+H154+H157+H107</f>
        <v>170613.2</v>
      </c>
      <c r="I59" s="2049">
        <f>I62+I67+I71+I74+I77+I80+I84+I88+I91+I99+I102+I104+I111+I118+I122+I137+I143+I150+I154+I157+I107</f>
        <v>11106.8</v>
      </c>
      <c r="J59" s="2199">
        <f t="shared" si="1"/>
        <v>0.59</v>
      </c>
      <c r="K59" s="1423"/>
    </row>
    <row r="60" spans="1:11" ht="23.25" hidden="1">
      <c r="A60" s="2044"/>
      <c r="B60" s="2049" t="s">
        <v>1833</v>
      </c>
      <c r="C60" s="2047"/>
      <c r="D60" s="2048">
        <f t="shared" ref="D60:I60" si="9">D63+D68+D95+D105+D114+D130+D151+D108+D133+D138</f>
        <v>0</v>
      </c>
      <c r="E60" s="2049">
        <f t="shared" si="9"/>
        <v>0</v>
      </c>
      <c r="F60" s="2049">
        <f t="shared" si="9"/>
        <v>0</v>
      </c>
      <c r="G60" s="2048">
        <f t="shared" si="9"/>
        <v>0</v>
      </c>
      <c r="H60" s="2049">
        <f t="shared" si="9"/>
        <v>0</v>
      </c>
      <c r="I60" s="2049">
        <f t="shared" si="9"/>
        <v>0</v>
      </c>
      <c r="J60" s="2199" t="e">
        <f t="shared" si="1"/>
        <v>#DIV/0!</v>
      </c>
      <c r="K60" s="1423"/>
    </row>
    <row r="61" spans="1:11" ht="67.5" customHeight="1">
      <c r="A61" s="2189">
        <f>A50+1</f>
        <v>7</v>
      </c>
      <c r="B61" s="1919" t="s">
        <v>1709</v>
      </c>
      <c r="C61" s="2190"/>
      <c r="D61" s="1602">
        <f>SUM(E61:F61)</f>
        <v>652.79999999999995</v>
      </c>
      <c r="E61" s="1609">
        <f>E62+E63</f>
        <v>612.20000000000005</v>
      </c>
      <c r="F61" s="1609">
        <f>F62+F63</f>
        <v>40.6</v>
      </c>
      <c r="G61" s="1602">
        <f>SUM(H61:I61)</f>
        <v>45.3</v>
      </c>
      <c r="H61" s="1619">
        <f>H62+H63</f>
        <v>42.5</v>
      </c>
      <c r="I61" s="1609">
        <f>I62+I63</f>
        <v>2.8</v>
      </c>
      <c r="J61" s="2199">
        <f t="shared" si="1"/>
        <v>7.0000000000000007E-2</v>
      </c>
      <c r="K61" s="1423"/>
    </row>
    <row r="62" spans="1:11" ht="26.25" hidden="1" customHeight="1">
      <c r="A62" s="2189"/>
      <c r="B62" s="1609" t="s">
        <v>1770</v>
      </c>
      <c r="C62" s="2190"/>
      <c r="D62" s="1602">
        <f>SUM(E62:F62)</f>
        <v>652.79999999999995</v>
      </c>
      <c r="E62" s="1609">
        <v>612.20000000000005</v>
      </c>
      <c r="F62" s="1609">
        <v>40.6</v>
      </c>
      <c r="G62" s="1600">
        <f>SUM(H62:I62)</f>
        <v>45.3</v>
      </c>
      <c r="H62" s="1619">
        <v>42.5</v>
      </c>
      <c r="I62" s="1619">
        <v>2.8</v>
      </c>
      <c r="J62" s="2199">
        <f t="shared" si="1"/>
        <v>7.0000000000000007E-2</v>
      </c>
      <c r="K62" s="1423"/>
    </row>
    <row r="63" spans="1:11" ht="23.25" hidden="1">
      <c r="A63" s="2189"/>
      <c r="B63" s="1609" t="s">
        <v>1621</v>
      </c>
      <c r="C63" s="2190"/>
      <c r="D63" s="1602">
        <f>SUM(E63:F63)</f>
        <v>0</v>
      </c>
      <c r="E63" s="1609"/>
      <c r="F63" s="1609"/>
      <c r="G63" s="1600">
        <f>SUM(H63:I63)</f>
        <v>0</v>
      </c>
      <c r="H63" s="1619"/>
      <c r="I63" s="1619"/>
      <c r="J63" s="2199" t="e">
        <f t="shared" si="1"/>
        <v>#DIV/0!</v>
      </c>
      <c r="K63" s="1423"/>
    </row>
    <row r="64" spans="1:11" ht="38.25" customHeight="1">
      <c r="A64" s="2189">
        <f>A61+1</f>
        <v>8</v>
      </c>
      <c r="B64" s="1919" t="s">
        <v>1702</v>
      </c>
      <c r="C64" s="2190"/>
      <c r="D64" s="1602">
        <f>SUM(E64:F64)</f>
        <v>125786.6</v>
      </c>
      <c r="E64" s="1609">
        <f>E65+E67+E68+E66</f>
        <v>117850.4</v>
      </c>
      <c r="F64" s="1609">
        <f>F65+F67+F68+F66</f>
        <v>7936.2</v>
      </c>
      <c r="G64" s="1602">
        <f>SUM(H64:I64)</f>
        <v>63596.800000000003</v>
      </c>
      <c r="H64" s="1609">
        <f>H65+H67+H68+H66</f>
        <v>59584.4</v>
      </c>
      <c r="I64" s="1609">
        <f>I65+I67+I68+I66</f>
        <v>4012.4</v>
      </c>
      <c r="J64" s="2199">
        <f t="shared" si="1"/>
        <v>0.51</v>
      </c>
      <c r="K64" s="1423"/>
    </row>
    <row r="65" spans="1:11" ht="19.5" hidden="1" customHeight="1">
      <c r="A65" s="2189"/>
      <c r="B65" s="1609"/>
      <c r="C65" s="2190"/>
      <c r="D65" s="1602"/>
      <c r="E65" s="1609"/>
      <c r="F65" s="1609"/>
      <c r="G65" s="1600"/>
      <c r="H65" s="1619"/>
      <c r="I65" s="1619"/>
      <c r="J65" s="2199" t="e">
        <f t="shared" si="1"/>
        <v>#DIV/0!</v>
      </c>
      <c r="K65" s="1423"/>
    </row>
    <row r="66" spans="1:11" ht="26.25" hidden="1" customHeight="1">
      <c r="A66" s="2189"/>
      <c r="B66" s="1609" t="s">
        <v>1821</v>
      </c>
      <c r="C66" s="2190"/>
      <c r="D66" s="1602">
        <f t="shared" ref="D66" si="10">SUM(E66:F66)</f>
        <v>4665.1000000000004</v>
      </c>
      <c r="E66" s="1609">
        <v>4370.7</v>
      </c>
      <c r="F66" s="1609">
        <v>294.39999999999998</v>
      </c>
      <c r="G66" s="1600">
        <f t="shared" ref="G66" si="11">SUM(H66:I66)</f>
        <v>0</v>
      </c>
      <c r="H66" s="1619"/>
      <c r="I66" s="1619"/>
      <c r="J66" s="2199">
        <f t="shared" si="1"/>
        <v>0</v>
      </c>
      <c r="K66" s="1423"/>
    </row>
    <row r="67" spans="1:11" ht="26.25" hidden="1" customHeight="1">
      <c r="A67" s="2189"/>
      <c r="B67" s="1609" t="s">
        <v>1770</v>
      </c>
      <c r="C67" s="2190"/>
      <c r="D67" s="1602">
        <f t="shared" ref="D67:D102" si="12">SUM(E67:F67)</f>
        <v>121121.5</v>
      </c>
      <c r="E67" s="1609">
        <f>117850.4-4370.7</f>
        <v>113479.7</v>
      </c>
      <c r="F67" s="1609">
        <f>7936.2-294.4</f>
        <v>7641.8</v>
      </c>
      <c r="G67" s="1600">
        <f t="shared" ref="G67:G130" si="13">SUM(H67:I67)</f>
        <v>63596.800000000003</v>
      </c>
      <c r="H67" s="1619">
        <f>58637.629+946.775</f>
        <v>59584.4</v>
      </c>
      <c r="I67" s="1619">
        <f>63.798+3948.6</f>
        <v>4012.4</v>
      </c>
      <c r="J67" s="2199">
        <f t="shared" si="1"/>
        <v>0.53</v>
      </c>
      <c r="K67" s="1423"/>
    </row>
    <row r="68" spans="1:11" ht="23.25" hidden="1">
      <c r="A68" s="2189"/>
      <c r="B68" s="1609" t="s">
        <v>1621</v>
      </c>
      <c r="C68" s="2190"/>
      <c r="D68" s="1602">
        <f t="shared" si="12"/>
        <v>0</v>
      </c>
      <c r="E68" s="1609"/>
      <c r="F68" s="1609"/>
      <c r="G68" s="1600">
        <f t="shared" si="13"/>
        <v>0</v>
      </c>
      <c r="H68" s="1619"/>
      <c r="I68" s="1619"/>
      <c r="J68" s="2199" t="e">
        <f t="shared" si="1"/>
        <v>#DIV/0!</v>
      </c>
      <c r="K68" s="1423"/>
    </row>
    <row r="69" spans="1:11" ht="40.5" customHeight="1">
      <c r="A69" s="2189">
        <f>A64+1</f>
        <v>9</v>
      </c>
      <c r="B69" s="1919" t="s">
        <v>1590</v>
      </c>
      <c r="C69" s="1906"/>
      <c r="D69" s="1600">
        <f>E69+F69</f>
        <v>20293.2</v>
      </c>
      <c r="E69" s="1619">
        <f>SUM(E70:E71)</f>
        <v>19075.7</v>
      </c>
      <c r="F69" s="1619">
        <f>F70+F71</f>
        <v>1217.5</v>
      </c>
      <c r="G69" s="1600">
        <f t="shared" si="13"/>
        <v>286.39999999999998</v>
      </c>
      <c r="H69" s="1619">
        <f>SUM(H70:H71)</f>
        <v>269.2</v>
      </c>
      <c r="I69" s="1619">
        <f>SUM(I70:I71)</f>
        <v>17.2</v>
      </c>
      <c r="J69" s="2199">
        <f t="shared" si="1"/>
        <v>0.01</v>
      </c>
      <c r="K69" s="1423"/>
    </row>
    <row r="70" spans="1:11" ht="40.5" hidden="1" customHeight="1">
      <c r="A70" s="2189"/>
      <c r="B70" s="1609" t="s">
        <v>1620</v>
      </c>
      <c r="C70" s="2190"/>
      <c r="D70" s="1602">
        <f t="shared" si="12"/>
        <v>9341</v>
      </c>
      <c r="E70" s="1609">
        <v>8780.6</v>
      </c>
      <c r="F70" s="1609">
        <v>560.4</v>
      </c>
      <c r="G70" s="1600">
        <f t="shared" si="13"/>
        <v>64.400000000000006</v>
      </c>
      <c r="H70" s="1619">
        <v>60.5</v>
      </c>
      <c r="I70" s="1619">
        <v>3.9</v>
      </c>
      <c r="J70" s="2199">
        <f t="shared" si="1"/>
        <v>0.01</v>
      </c>
      <c r="K70" s="1423"/>
    </row>
    <row r="71" spans="1:11" ht="23.25" hidden="1">
      <c r="A71" s="2189"/>
      <c r="B71" s="1609" t="s">
        <v>1770</v>
      </c>
      <c r="C71" s="2190"/>
      <c r="D71" s="1602">
        <f t="shared" si="12"/>
        <v>10952.2</v>
      </c>
      <c r="E71" s="1609">
        <f>8974.9+1320.2</f>
        <v>10295.1</v>
      </c>
      <c r="F71" s="1609">
        <f>572.8+84.3</f>
        <v>657.1</v>
      </c>
      <c r="G71" s="1600">
        <f t="shared" si="13"/>
        <v>222</v>
      </c>
      <c r="H71" s="1619">
        <f>208.738</f>
        <v>208.7</v>
      </c>
      <c r="I71" s="1619">
        <v>13.3</v>
      </c>
      <c r="J71" s="2199">
        <f t="shared" si="1"/>
        <v>0.02</v>
      </c>
      <c r="K71" s="1423"/>
    </row>
    <row r="72" spans="1:11" ht="58.5" customHeight="1">
      <c r="A72" s="2189">
        <f>A69+1</f>
        <v>10</v>
      </c>
      <c r="B72" s="1915" t="s">
        <v>1655</v>
      </c>
      <c r="C72" s="1866" t="s">
        <v>1544</v>
      </c>
      <c r="D72" s="1600">
        <f t="shared" si="12"/>
        <v>20</v>
      </c>
      <c r="E72" s="1614">
        <f>E73+E74</f>
        <v>18.8</v>
      </c>
      <c r="F72" s="1614">
        <f>F73+F74</f>
        <v>1.2</v>
      </c>
      <c r="G72" s="1600">
        <f t="shared" si="13"/>
        <v>0</v>
      </c>
      <c r="H72" s="1614">
        <f>H73+H74</f>
        <v>0</v>
      </c>
      <c r="I72" s="1614">
        <f>I73+I74</f>
        <v>0</v>
      </c>
      <c r="J72" s="2199">
        <f t="shared" si="1"/>
        <v>0</v>
      </c>
      <c r="K72" s="1423"/>
    </row>
    <row r="73" spans="1:11" ht="30.75" hidden="1" customHeight="1">
      <c r="A73" s="2189"/>
      <c r="B73" s="1609" t="s">
        <v>1620</v>
      </c>
      <c r="C73" s="2190"/>
      <c r="D73" s="1602">
        <f t="shared" si="12"/>
        <v>0</v>
      </c>
      <c r="E73" s="1609">
        <v>0</v>
      </c>
      <c r="F73" s="1609">
        <v>0</v>
      </c>
      <c r="G73" s="1600">
        <f t="shared" si="13"/>
        <v>0</v>
      </c>
      <c r="H73" s="1619"/>
      <c r="I73" s="1619"/>
      <c r="J73" s="2199" t="e">
        <f t="shared" si="1"/>
        <v>#DIV/0!</v>
      </c>
      <c r="K73" s="1423"/>
    </row>
    <row r="74" spans="1:11" ht="26.25" hidden="1" customHeight="1">
      <c r="A74" s="2189"/>
      <c r="B74" s="1609" t="s">
        <v>1770</v>
      </c>
      <c r="C74" s="2190"/>
      <c r="D74" s="1602">
        <f t="shared" si="12"/>
        <v>20</v>
      </c>
      <c r="E74" s="1609">
        <v>18.8</v>
      </c>
      <c r="F74" s="1609">
        <v>1.2</v>
      </c>
      <c r="G74" s="1600">
        <f t="shared" si="13"/>
        <v>0</v>
      </c>
      <c r="H74" s="1619"/>
      <c r="I74" s="1619"/>
      <c r="J74" s="2199">
        <f t="shared" si="1"/>
        <v>0</v>
      </c>
      <c r="K74" s="1423"/>
    </row>
    <row r="75" spans="1:11" ht="85.5" customHeight="1">
      <c r="A75" s="2189">
        <f>A72+1</f>
        <v>11</v>
      </c>
      <c r="B75" s="1919" t="s">
        <v>1656</v>
      </c>
      <c r="C75" s="2190"/>
      <c r="D75" s="1602">
        <f t="shared" si="12"/>
        <v>33251.9</v>
      </c>
      <c r="E75" s="1609">
        <f>E76+E77</f>
        <v>31256.5</v>
      </c>
      <c r="F75" s="1609">
        <f>F76+F77</f>
        <v>1995.4</v>
      </c>
      <c r="G75" s="1602">
        <f t="shared" si="13"/>
        <v>955.5</v>
      </c>
      <c r="H75" s="1609">
        <f>H76+H77</f>
        <v>898.2</v>
      </c>
      <c r="I75" s="1609">
        <f>I76+I77</f>
        <v>57.3</v>
      </c>
      <c r="J75" s="2199">
        <f t="shared" si="1"/>
        <v>0.03</v>
      </c>
      <c r="K75" s="1423"/>
    </row>
    <row r="76" spans="1:11" ht="23.25" hidden="1">
      <c r="A76" s="2189"/>
      <c r="B76" s="1609" t="s">
        <v>1620</v>
      </c>
      <c r="C76" s="2190"/>
      <c r="D76" s="1602">
        <f t="shared" si="12"/>
        <v>15410.7</v>
      </c>
      <c r="E76" s="1609">
        <v>14485.9</v>
      </c>
      <c r="F76" s="1609">
        <v>924.8</v>
      </c>
      <c r="G76" s="1600">
        <f t="shared" si="13"/>
        <v>0</v>
      </c>
      <c r="H76" s="1619">
        <v>0</v>
      </c>
      <c r="I76" s="1619">
        <v>0</v>
      </c>
      <c r="J76" s="2199">
        <f t="shared" si="1"/>
        <v>0</v>
      </c>
      <c r="K76" s="1423"/>
    </row>
    <row r="77" spans="1:11" ht="23.25" hidden="1">
      <c r="A77" s="2189"/>
      <c r="B77" s="1609" t="s">
        <v>1770</v>
      </c>
      <c r="C77" s="2190"/>
      <c r="D77" s="1602">
        <f t="shared" si="12"/>
        <v>17841.2</v>
      </c>
      <c r="E77" s="1609">
        <f>16053.6+717</f>
        <v>16770.599999999999</v>
      </c>
      <c r="F77" s="1609">
        <f>1024.8+45.8</f>
        <v>1070.5999999999999</v>
      </c>
      <c r="G77" s="1600">
        <f t="shared" si="13"/>
        <v>955.5</v>
      </c>
      <c r="H77" s="1619">
        <f>678.269+219.898</f>
        <v>898.2</v>
      </c>
      <c r="I77" s="1619">
        <f>43.3+14</f>
        <v>57.3</v>
      </c>
      <c r="J77" s="2199">
        <f t="shared" ref="J77:J140" si="14">G77/D77</f>
        <v>0.05</v>
      </c>
      <c r="K77" s="1423"/>
    </row>
    <row r="78" spans="1:11" ht="68.25" customHeight="1">
      <c r="A78" s="2189">
        <f>A75+1</f>
        <v>12</v>
      </c>
      <c r="B78" s="1919" t="s">
        <v>1583</v>
      </c>
      <c r="C78" s="2190"/>
      <c r="D78" s="1602">
        <f t="shared" si="12"/>
        <v>9677.2999999999993</v>
      </c>
      <c r="E78" s="1609">
        <f>E79+E80</f>
        <v>9096.6</v>
      </c>
      <c r="F78" s="1609">
        <f>F79+F80</f>
        <v>580.70000000000005</v>
      </c>
      <c r="G78" s="1602">
        <f t="shared" si="13"/>
        <v>376.2</v>
      </c>
      <c r="H78" s="1619">
        <f>H79+H80</f>
        <v>353.6</v>
      </c>
      <c r="I78" s="1609">
        <f>I79+I80</f>
        <v>22.6</v>
      </c>
      <c r="J78" s="2199">
        <f t="shared" si="14"/>
        <v>0.04</v>
      </c>
      <c r="K78" s="1423"/>
    </row>
    <row r="79" spans="1:11" ht="23.25" hidden="1">
      <c r="A79" s="2189"/>
      <c r="B79" s="1609" t="s">
        <v>1620</v>
      </c>
      <c r="C79" s="2190"/>
      <c r="D79" s="1602">
        <f t="shared" si="12"/>
        <v>4597</v>
      </c>
      <c r="E79" s="1609">
        <v>4321.2</v>
      </c>
      <c r="F79" s="1609">
        <v>275.8</v>
      </c>
      <c r="G79" s="1600">
        <f t="shared" si="13"/>
        <v>0</v>
      </c>
      <c r="H79" s="1619">
        <v>0</v>
      </c>
      <c r="I79" s="1619">
        <v>0</v>
      </c>
      <c r="J79" s="2199">
        <f t="shared" si="14"/>
        <v>0</v>
      </c>
      <c r="K79" s="1423"/>
    </row>
    <row r="80" spans="1:11" ht="23.25" hidden="1">
      <c r="A80" s="2189"/>
      <c r="B80" s="1609" t="s">
        <v>1770</v>
      </c>
      <c r="C80" s="2190"/>
      <c r="D80" s="1602">
        <f t="shared" si="12"/>
        <v>5080.3</v>
      </c>
      <c r="E80" s="1609">
        <f>3503+1272.4</f>
        <v>4775.3999999999996</v>
      </c>
      <c r="F80" s="1609">
        <f>223.6+81.3</f>
        <v>304.89999999999998</v>
      </c>
      <c r="G80" s="1600">
        <f t="shared" si="13"/>
        <v>376.2</v>
      </c>
      <c r="H80" s="1619">
        <v>353.6</v>
      </c>
      <c r="I80" s="1619">
        <v>22.6</v>
      </c>
      <c r="J80" s="2199">
        <f t="shared" si="14"/>
        <v>7.0000000000000007E-2</v>
      </c>
      <c r="K80" s="1423"/>
    </row>
    <row r="81" spans="1:11" ht="66.75" customHeight="1">
      <c r="A81" s="2189">
        <f>A78+1</f>
        <v>13</v>
      </c>
      <c r="B81" s="1919" t="s">
        <v>1585</v>
      </c>
      <c r="C81" s="2190"/>
      <c r="D81" s="1602">
        <f t="shared" si="12"/>
        <v>16334.2</v>
      </c>
      <c r="E81" s="1609">
        <f>E82+E83+E84</f>
        <v>15354.2</v>
      </c>
      <c r="F81" s="1609">
        <f>F82+F83+F84</f>
        <v>980</v>
      </c>
      <c r="G81" s="1602">
        <f>G82+G83+G84</f>
        <v>4162.2</v>
      </c>
      <c r="H81" s="1609">
        <f>H82+H83+H84</f>
        <v>3912.4</v>
      </c>
      <c r="I81" s="1609">
        <f>I82+I83+I84</f>
        <v>249.8</v>
      </c>
      <c r="J81" s="2199">
        <f t="shared" si="14"/>
        <v>0.25</v>
      </c>
      <c r="K81" s="1423"/>
    </row>
    <row r="82" spans="1:11" ht="23.25" hidden="1">
      <c r="A82" s="2189"/>
      <c r="B82" s="1609" t="s">
        <v>1620</v>
      </c>
      <c r="C82" s="2190"/>
      <c r="D82" s="1602">
        <f t="shared" si="12"/>
        <v>3935.3</v>
      </c>
      <c r="E82" s="1609">
        <v>3699.2</v>
      </c>
      <c r="F82" s="1609">
        <v>236.1</v>
      </c>
      <c r="G82" s="1600">
        <f t="shared" si="13"/>
        <v>0</v>
      </c>
      <c r="H82" s="1619">
        <v>0</v>
      </c>
      <c r="I82" s="1619">
        <v>0</v>
      </c>
      <c r="J82" s="2199">
        <f t="shared" si="14"/>
        <v>0</v>
      </c>
      <c r="K82" s="1423"/>
    </row>
    <row r="83" spans="1:11" ht="23.25" hidden="1">
      <c r="A83" s="2189"/>
      <c r="B83" s="1609" t="s">
        <v>1798</v>
      </c>
      <c r="C83" s="2190"/>
      <c r="D83" s="1602">
        <f>SUM(E83:F83)</f>
        <v>11307.5</v>
      </c>
      <c r="E83" s="1609">
        <v>10629.1</v>
      </c>
      <c r="F83" s="1609">
        <v>678.4</v>
      </c>
      <c r="G83" s="1600">
        <f>SUM(H83:I83)</f>
        <v>3222.8</v>
      </c>
      <c r="H83" s="1619">
        <v>3029.4</v>
      </c>
      <c r="I83" s="1619">
        <v>193.4</v>
      </c>
      <c r="J83" s="2199">
        <f t="shared" si="14"/>
        <v>0.28999999999999998</v>
      </c>
      <c r="K83" s="1423"/>
    </row>
    <row r="84" spans="1:11" ht="23.25" hidden="1">
      <c r="A84" s="2189"/>
      <c r="B84" s="1609" t="s">
        <v>1770</v>
      </c>
      <c r="C84" s="2190"/>
      <c r="D84" s="1602">
        <f t="shared" si="12"/>
        <v>1091.4000000000001</v>
      </c>
      <c r="E84" s="1609">
        <v>1025.9000000000001</v>
      </c>
      <c r="F84" s="1609">
        <v>65.5</v>
      </c>
      <c r="G84" s="1600">
        <f t="shared" si="13"/>
        <v>939.4</v>
      </c>
      <c r="H84" s="1619">
        <v>883</v>
      </c>
      <c r="I84" s="1619">
        <v>56.4</v>
      </c>
      <c r="J84" s="2199">
        <f t="shared" si="14"/>
        <v>0.86</v>
      </c>
      <c r="K84" s="1423"/>
    </row>
    <row r="85" spans="1:11" ht="57.75" customHeight="1">
      <c r="A85" s="2189">
        <f>A81+1</f>
        <v>14</v>
      </c>
      <c r="B85" s="1919" t="s">
        <v>1586</v>
      </c>
      <c r="C85" s="2190"/>
      <c r="D85" s="1602">
        <f t="shared" si="12"/>
        <v>4789.7</v>
      </c>
      <c r="E85" s="1609">
        <f>E86+E87+E88</f>
        <v>4502.3</v>
      </c>
      <c r="F85" s="1609">
        <f>F86+F87+F88</f>
        <v>287.39999999999998</v>
      </c>
      <c r="G85" s="1602">
        <f t="shared" si="13"/>
        <v>34.700000000000003</v>
      </c>
      <c r="H85" s="1609">
        <f>H86+H87+H88</f>
        <v>32.6</v>
      </c>
      <c r="I85" s="1609">
        <f>I86+I87+I88</f>
        <v>2.1</v>
      </c>
      <c r="J85" s="2199">
        <f t="shared" si="14"/>
        <v>0.01</v>
      </c>
      <c r="K85" s="1423"/>
    </row>
    <row r="86" spans="1:11" ht="23.25" hidden="1">
      <c r="A86" s="2189"/>
      <c r="B86" s="1609" t="s">
        <v>1620</v>
      </c>
      <c r="C86" s="2190"/>
      <c r="D86" s="1602">
        <f t="shared" si="12"/>
        <v>1226.9000000000001</v>
      </c>
      <c r="E86" s="1609">
        <v>1153.3</v>
      </c>
      <c r="F86" s="1609">
        <v>73.599999999999994</v>
      </c>
      <c r="G86" s="1600">
        <f t="shared" si="13"/>
        <v>0</v>
      </c>
      <c r="H86" s="1619">
        <v>0</v>
      </c>
      <c r="I86" s="1619">
        <v>0</v>
      </c>
      <c r="J86" s="2199">
        <f t="shared" si="14"/>
        <v>0</v>
      </c>
      <c r="K86" s="1423"/>
    </row>
    <row r="87" spans="1:11" ht="23.25" hidden="1">
      <c r="A87" s="2189"/>
      <c r="B87" s="1609" t="s">
        <v>1798</v>
      </c>
      <c r="C87" s="2190"/>
      <c r="D87" s="1602">
        <f>SUM(E87:F87)</f>
        <v>3542.8</v>
      </c>
      <c r="E87" s="1609">
        <v>3330.2</v>
      </c>
      <c r="F87" s="1609">
        <v>212.6</v>
      </c>
      <c r="G87" s="1600">
        <f>SUM(H87:I87)</f>
        <v>34.700000000000003</v>
      </c>
      <c r="H87" s="1619">
        <v>32.6</v>
      </c>
      <c r="I87" s="1619">
        <v>2.1</v>
      </c>
      <c r="J87" s="2199">
        <f t="shared" si="14"/>
        <v>0.01</v>
      </c>
      <c r="K87" s="1423"/>
    </row>
    <row r="88" spans="1:11" ht="23.25" hidden="1">
      <c r="A88" s="2189"/>
      <c r="B88" s="1609" t="s">
        <v>1770</v>
      </c>
      <c r="C88" s="2190"/>
      <c r="D88" s="1602">
        <f t="shared" si="12"/>
        <v>20</v>
      </c>
      <c r="E88" s="1609">
        <v>18.8</v>
      </c>
      <c r="F88" s="1609">
        <v>1.2</v>
      </c>
      <c r="G88" s="1600">
        <f t="shared" si="13"/>
        <v>0</v>
      </c>
      <c r="H88" s="1619"/>
      <c r="I88" s="1619"/>
      <c r="J88" s="2199">
        <f t="shared" si="14"/>
        <v>0</v>
      </c>
      <c r="K88" s="1423"/>
    </row>
    <row r="89" spans="1:11" ht="81" customHeight="1">
      <c r="A89" s="2189">
        <f>A85+1</f>
        <v>15</v>
      </c>
      <c r="B89" s="1912" t="s">
        <v>1662</v>
      </c>
      <c r="C89" s="1880"/>
      <c r="D89" s="1602">
        <f t="shared" si="12"/>
        <v>21566.9</v>
      </c>
      <c r="E89" s="1616">
        <f>E90+E91</f>
        <v>20272.7</v>
      </c>
      <c r="F89" s="1616">
        <f>F90+F91</f>
        <v>1294.2</v>
      </c>
      <c r="G89" s="1602">
        <f t="shared" si="13"/>
        <v>4497</v>
      </c>
      <c r="H89" s="1616">
        <f>H90+H91</f>
        <v>4227.2</v>
      </c>
      <c r="I89" s="1616">
        <f>I90+I91</f>
        <v>269.8</v>
      </c>
      <c r="J89" s="2199">
        <f t="shared" si="14"/>
        <v>0.21</v>
      </c>
      <c r="K89" s="1423"/>
    </row>
    <row r="90" spans="1:11" ht="23.25" hidden="1">
      <c r="A90" s="2189"/>
      <c r="B90" s="1609" t="s">
        <v>1620</v>
      </c>
      <c r="C90" s="2190"/>
      <c r="D90" s="1602">
        <f t="shared" si="12"/>
        <v>14615.1</v>
      </c>
      <c r="E90" s="1609">
        <v>13738.1</v>
      </c>
      <c r="F90" s="1609">
        <v>877</v>
      </c>
      <c r="G90" s="1600">
        <f t="shared" si="13"/>
        <v>0</v>
      </c>
      <c r="H90" s="1619"/>
      <c r="I90" s="1619"/>
      <c r="J90" s="2199">
        <f t="shared" si="14"/>
        <v>0</v>
      </c>
      <c r="K90" s="1423"/>
    </row>
    <row r="91" spans="1:11" ht="23.25" hidden="1">
      <c r="A91" s="2189"/>
      <c r="B91" s="1609" t="s">
        <v>1770</v>
      </c>
      <c r="C91" s="2190"/>
      <c r="D91" s="1602">
        <f t="shared" si="12"/>
        <v>6951.8</v>
      </c>
      <c r="E91" s="1609">
        <f>5138.2+1396.4</f>
        <v>6534.6</v>
      </c>
      <c r="F91" s="1609">
        <f>328+89.2</f>
        <v>417.2</v>
      </c>
      <c r="G91" s="1600">
        <f t="shared" si="13"/>
        <v>4497</v>
      </c>
      <c r="H91" s="1619">
        <f>1090.159+3137.08</f>
        <v>4227.2</v>
      </c>
      <c r="I91" s="1619">
        <f>69.6+200.2</f>
        <v>269.8</v>
      </c>
      <c r="J91" s="2199">
        <f t="shared" si="14"/>
        <v>0.65</v>
      </c>
      <c r="K91" s="1423"/>
    </row>
    <row r="92" spans="1:11" s="484" customFormat="1" ht="65.25" customHeight="1">
      <c r="A92" s="2189">
        <f>A89+1</f>
        <v>16</v>
      </c>
      <c r="B92" s="1920" t="s">
        <v>1437</v>
      </c>
      <c r="C92" s="1880" t="s">
        <v>1544</v>
      </c>
      <c r="D92" s="1602">
        <f t="shared" si="12"/>
        <v>103050.2</v>
      </c>
      <c r="E92" s="1616">
        <f>SUM(E93:E95)</f>
        <v>96866.8</v>
      </c>
      <c r="F92" s="1616">
        <f>SUM(F93:F95)</f>
        <v>6183.4</v>
      </c>
      <c r="G92" s="1602">
        <f t="shared" si="13"/>
        <v>85101.6</v>
      </c>
      <c r="H92" s="1616">
        <f>SUM(H93:H95)</f>
        <v>79995.3</v>
      </c>
      <c r="I92" s="1616">
        <f>SUM(I93:I95)</f>
        <v>5106.3</v>
      </c>
      <c r="J92" s="2199">
        <f t="shared" si="14"/>
        <v>0.83</v>
      </c>
      <c r="K92" s="1423"/>
    </row>
    <row r="93" spans="1:11" s="484" customFormat="1" ht="23.25" hidden="1">
      <c r="A93" s="2189"/>
      <c r="B93" s="1609" t="s">
        <v>1620</v>
      </c>
      <c r="C93" s="1880"/>
      <c r="D93" s="1602">
        <f t="shared" si="12"/>
        <v>74115.8</v>
      </c>
      <c r="E93" s="1616">
        <v>69668.800000000003</v>
      </c>
      <c r="F93" s="1616">
        <f>4447</f>
        <v>4447</v>
      </c>
      <c r="G93" s="1600">
        <f t="shared" si="13"/>
        <v>72236.100000000006</v>
      </c>
      <c r="H93" s="1608">
        <v>67901.899999999994</v>
      </c>
      <c r="I93" s="1608">
        <v>4334.2</v>
      </c>
      <c r="J93" s="2199">
        <f t="shared" si="14"/>
        <v>0.97</v>
      </c>
      <c r="K93" s="1423"/>
    </row>
    <row r="94" spans="1:11" s="484" customFormat="1" ht="23.25" hidden="1">
      <c r="A94" s="2189"/>
      <c r="B94" s="1609" t="s">
        <v>1798</v>
      </c>
      <c r="C94" s="1880"/>
      <c r="D94" s="1602">
        <f>SUM(E94:F94)</f>
        <v>28934.400000000001</v>
      </c>
      <c r="E94" s="1616">
        <v>27198</v>
      </c>
      <c r="F94" s="1616">
        <v>1736.4</v>
      </c>
      <c r="G94" s="1600">
        <f>SUM(H94:I94)</f>
        <v>12865.5</v>
      </c>
      <c r="H94" s="1608">
        <v>12093.4</v>
      </c>
      <c r="I94" s="1608">
        <v>772.1</v>
      </c>
      <c r="J94" s="2199">
        <f t="shared" si="14"/>
        <v>0.44</v>
      </c>
      <c r="K94" s="1423"/>
    </row>
    <row r="95" spans="1:11" s="484" customFormat="1" ht="23.25" hidden="1">
      <c r="A95" s="2189"/>
      <c r="B95" s="1609" t="s">
        <v>1621</v>
      </c>
      <c r="C95" s="1880"/>
      <c r="D95" s="1602">
        <f t="shared" si="12"/>
        <v>0</v>
      </c>
      <c r="E95" s="1616"/>
      <c r="F95" s="1616"/>
      <c r="G95" s="1600">
        <f t="shared" si="13"/>
        <v>0</v>
      </c>
      <c r="H95" s="1608"/>
      <c r="I95" s="1608"/>
      <c r="J95" s="2199" t="e">
        <f t="shared" si="14"/>
        <v>#DIV/0!</v>
      </c>
      <c r="K95" s="1423"/>
    </row>
    <row r="96" spans="1:11" ht="63" customHeight="1">
      <c r="A96" s="2189">
        <f>A92+1</f>
        <v>17</v>
      </c>
      <c r="B96" s="1912" t="s">
        <v>1441</v>
      </c>
      <c r="C96" s="1880" t="s">
        <v>1544</v>
      </c>
      <c r="D96" s="1602">
        <f t="shared" si="12"/>
        <v>79786.100000000006</v>
      </c>
      <c r="E96" s="1616">
        <f>E97+E98+E99</f>
        <v>74998.3</v>
      </c>
      <c r="F96" s="1616">
        <f>F97+F98+F99</f>
        <v>4787.8</v>
      </c>
      <c r="G96" s="1602">
        <f t="shared" si="13"/>
        <v>20</v>
      </c>
      <c r="H96" s="1616">
        <f>H97+H98+H99</f>
        <v>18.8</v>
      </c>
      <c r="I96" s="1616">
        <f>I97+I98+I99</f>
        <v>1.2</v>
      </c>
      <c r="J96" s="2199">
        <f t="shared" si="14"/>
        <v>0</v>
      </c>
      <c r="K96" s="1423"/>
    </row>
    <row r="97" spans="1:11" ht="23.25" hidden="1">
      <c r="A97" s="2189"/>
      <c r="B97" s="1609" t="s">
        <v>1620</v>
      </c>
      <c r="C97" s="2190"/>
      <c r="D97" s="1602">
        <f t="shared" si="12"/>
        <v>18682.400000000001</v>
      </c>
      <c r="E97" s="1609">
        <v>17561.3</v>
      </c>
      <c r="F97" s="1609">
        <v>1121.0999999999999</v>
      </c>
      <c r="G97" s="1600">
        <f t="shared" si="13"/>
        <v>0</v>
      </c>
      <c r="H97" s="1619"/>
      <c r="I97" s="1619"/>
      <c r="J97" s="2199">
        <f t="shared" si="14"/>
        <v>0</v>
      </c>
      <c r="K97" s="1423"/>
    </row>
    <row r="98" spans="1:11" ht="23.25" hidden="1">
      <c r="A98" s="2189"/>
      <c r="B98" s="1609" t="s">
        <v>1798</v>
      </c>
      <c r="C98" s="2190"/>
      <c r="D98" s="1602">
        <f>SUM(E98:F98)</f>
        <v>61083.7</v>
      </c>
      <c r="E98" s="1609">
        <v>57418.2</v>
      </c>
      <c r="F98" s="1609">
        <v>3665.5</v>
      </c>
      <c r="G98" s="1600">
        <f>SUM(H98:I98)</f>
        <v>0</v>
      </c>
      <c r="H98" s="1619"/>
      <c r="I98" s="1619"/>
      <c r="J98" s="2199">
        <f t="shared" si="14"/>
        <v>0</v>
      </c>
      <c r="K98" s="1423"/>
    </row>
    <row r="99" spans="1:11" ht="23.25" hidden="1">
      <c r="A99" s="2189"/>
      <c r="B99" s="1609" t="s">
        <v>1770</v>
      </c>
      <c r="C99" s="2190"/>
      <c r="D99" s="1602">
        <f t="shared" si="12"/>
        <v>20</v>
      </c>
      <c r="E99" s="1609">
        <v>18.8</v>
      </c>
      <c r="F99" s="1609">
        <v>1.2</v>
      </c>
      <c r="G99" s="1600">
        <f t="shared" si="13"/>
        <v>20</v>
      </c>
      <c r="H99" s="1619">
        <f t="shared" ref="H99" si="15">3.6+15.2</f>
        <v>18.8</v>
      </c>
      <c r="I99" s="1619">
        <v>1.2</v>
      </c>
      <c r="J99" s="2199">
        <f t="shared" si="14"/>
        <v>1</v>
      </c>
      <c r="K99" s="1423"/>
    </row>
    <row r="100" spans="1:11" ht="58.5" customHeight="1">
      <c r="A100" s="2189">
        <f>A96+1</f>
        <v>18</v>
      </c>
      <c r="B100" s="1912" t="s">
        <v>1442</v>
      </c>
      <c r="C100" s="1880" t="s">
        <v>1544</v>
      </c>
      <c r="D100" s="1602">
        <f t="shared" si="12"/>
        <v>14406.9</v>
      </c>
      <c r="E100" s="1616">
        <f>E101+E102</f>
        <v>13542.4</v>
      </c>
      <c r="F100" s="1616">
        <f>F101+F102</f>
        <v>864.5</v>
      </c>
      <c r="G100" s="1602">
        <f t="shared" si="13"/>
        <v>8267.5</v>
      </c>
      <c r="H100" s="1616">
        <f>H101+H102</f>
        <v>7771.4</v>
      </c>
      <c r="I100" s="1616">
        <f>I101+I102</f>
        <v>496.1</v>
      </c>
      <c r="J100" s="2199">
        <f t="shared" si="14"/>
        <v>0.56999999999999995</v>
      </c>
      <c r="K100" s="1423"/>
    </row>
    <row r="101" spans="1:11" ht="21.75" hidden="1" customHeight="1">
      <c r="A101" s="2189"/>
      <c r="B101" s="1609" t="s">
        <v>1620</v>
      </c>
      <c r="C101" s="2190"/>
      <c r="D101" s="1602">
        <f t="shared" si="12"/>
        <v>12956.3</v>
      </c>
      <c r="E101" s="1609">
        <v>12178.9</v>
      </c>
      <c r="F101" s="1609">
        <v>777.4</v>
      </c>
      <c r="G101" s="1600">
        <f t="shared" si="13"/>
        <v>7716.3</v>
      </c>
      <c r="H101" s="1619">
        <v>7253.3</v>
      </c>
      <c r="I101" s="1619">
        <v>463</v>
      </c>
      <c r="J101" s="2199">
        <f t="shared" si="14"/>
        <v>0.6</v>
      </c>
      <c r="K101" s="1423"/>
    </row>
    <row r="102" spans="1:11" ht="26.25" hidden="1" customHeight="1">
      <c r="A102" s="2189"/>
      <c r="B102" s="1609" t="s">
        <v>1770</v>
      </c>
      <c r="C102" s="2190"/>
      <c r="D102" s="1602">
        <f t="shared" si="12"/>
        <v>1450.6</v>
      </c>
      <c r="E102" s="1609">
        <v>1363.5</v>
      </c>
      <c r="F102" s="1609">
        <v>87.1</v>
      </c>
      <c r="G102" s="1600">
        <f t="shared" si="13"/>
        <v>551.20000000000005</v>
      </c>
      <c r="H102" s="1619">
        <v>518.1</v>
      </c>
      <c r="I102" s="1619">
        <v>33.1</v>
      </c>
      <c r="J102" s="2199">
        <f t="shared" si="14"/>
        <v>0.38</v>
      </c>
      <c r="K102" s="1423"/>
    </row>
    <row r="103" spans="1:11" ht="23.25" customHeight="1">
      <c r="A103" s="2189">
        <f>A100+1</f>
        <v>19</v>
      </c>
      <c r="B103" s="1883" t="s">
        <v>1587</v>
      </c>
      <c r="C103" s="1880"/>
      <c r="D103" s="1602">
        <f t="shared" ref="D103:D137" si="16">SUM(E103:F103)</f>
        <v>2557.4</v>
      </c>
      <c r="E103" s="1616">
        <f>E104+E105</f>
        <v>2403.9</v>
      </c>
      <c r="F103" s="1616">
        <f>F104+F105</f>
        <v>153.5</v>
      </c>
      <c r="G103" s="1602">
        <f t="shared" si="13"/>
        <v>40.5</v>
      </c>
      <c r="H103" s="1608">
        <f>H104+H105</f>
        <v>38.1</v>
      </c>
      <c r="I103" s="1616">
        <f>I104+I105</f>
        <v>2.4</v>
      </c>
      <c r="J103" s="2199">
        <f t="shared" si="14"/>
        <v>0.02</v>
      </c>
      <c r="K103" s="1423"/>
    </row>
    <row r="104" spans="1:11" ht="26.25" hidden="1" customHeight="1">
      <c r="A104" s="2189"/>
      <c r="B104" s="1609" t="s">
        <v>1770</v>
      </c>
      <c r="C104" s="2190"/>
      <c r="D104" s="1602">
        <f t="shared" si="16"/>
        <v>2557.4</v>
      </c>
      <c r="E104" s="1609">
        <v>2403.9</v>
      </c>
      <c r="F104" s="1609">
        <v>153.5</v>
      </c>
      <c r="G104" s="1600">
        <f t="shared" si="13"/>
        <v>40.5</v>
      </c>
      <c r="H104" s="1619">
        <v>38.1</v>
      </c>
      <c r="I104" s="1619">
        <f>2.2+0.2</f>
        <v>2.4</v>
      </c>
      <c r="J104" s="2199">
        <f t="shared" si="14"/>
        <v>0.02</v>
      </c>
      <c r="K104" s="1423"/>
    </row>
    <row r="105" spans="1:11" s="484" customFormat="1" ht="23.25" hidden="1">
      <c r="A105" s="2189"/>
      <c r="B105" s="1609" t="s">
        <v>1621</v>
      </c>
      <c r="C105" s="2190"/>
      <c r="D105" s="1602">
        <f t="shared" si="16"/>
        <v>0</v>
      </c>
      <c r="E105" s="1616"/>
      <c r="F105" s="1616"/>
      <c r="G105" s="1600">
        <f t="shared" si="13"/>
        <v>0</v>
      </c>
      <c r="H105" s="1608"/>
      <c r="I105" s="1608"/>
      <c r="J105" s="2199" t="e">
        <f t="shared" si="14"/>
        <v>#DIV/0!</v>
      </c>
      <c r="K105" s="1423"/>
    </row>
    <row r="106" spans="1:11" s="484" customFormat="1" ht="46.5" customHeight="1">
      <c r="A106" s="2189">
        <f>A103+1</f>
        <v>20</v>
      </c>
      <c r="B106" s="1919" t="s">
        <v>1591</v>
      </c>
      <c r="C106" s="1906"/>
      <c r="D106" s="1600">
        <f t="shared" si="16"/>
        <v>147.6</v>
      </c>
      <c r="E106" s="1608">
        <f>E107+E108</f>
        <v>147.6</v>
      </c>
      <c r="F106" s="1616">
        <f>F107+F108</f>
        <v>0</v>
      </c>
      <c r="G106" s="1600">
        <f t="shared" si="13"/>
        <v>0</v>
      </c>
      <c r="H106" s="1608">
        <f>H107+H108</f>
        <v>0</v>
      </c>
      <c r="I106" s="1608">
        <f>I107+I108</f>
        <v>0</v>
      </c>
      <c r="J106" s="2199">
        <f t="shared" si="14"/>
        <v>0</v>
      </c>
      <c r="K106" s="1423"/>
    </row>
    <row r="107" spans="1:11" s="484" customFormat="1" ht="24" hidden="1" customHeight="1">
      <c r="A107" s="2189"/>
      <c r="B107" s="1609" t="s">
        <v>1770</v>
      </c>
      <c r="C107" s="2190"/>
      <c r="D107" s="1602">
        <f t="shared" si="16"/>
        <v>147.6</v>
      </c>
      <c r="E107" s="1616">
        <v>147.6</v>
      </c>
      <c r="F107" s="1616"/>
      <c r="G107" s="1600">
        <f t="shared" si="13"/>
        <v>0</v>
      </c>
      <c r="H107" s="1608"/>
      <c r="I107" s="1608"/>
      <c r="J107" s="2199">
        <f t="shared" si="14"/>
        <v>0</v>
      </c>
      <c r="K107" s="1423"/>
    </row>
    <row r="108" spans="1:11" s="484" customFormat="1" ht="27" hidden="1" customHeight="1">
      <c r="A108" s="2189"/>
      <c r="B108" s="1609" t="s">
        <v>1621</v>
      </c>
      <c r="C108" s="2190"/>
      <c r="D108" s="1602">
        <f t="shared" si="16"/>
        <v>0</v>
      </c>
      <c r="E108" s="1616">
        <v>0</v>
      </c>
      <c r="F108" s="1616"/>
      <c r="G108" s="1600">
        <f t="shared" si="13"/>
        <v>0</v>
      </c>
      <c r="H108" s="1608"/>
      <c r="I108" s="1608"/>
      <c r="J108" s="2199" t="e">
        <f t="shared" si="14"/>
        <v>#DIV/0!</v>
      </c>
      <c r="K108" s="1423"/>
    </row>
    <row r="109" spans="1:11" s="1607" customFormat="1" ht="54.75" customHeight="1">
      <c r="A109" s="2189">
        <f>A106+1</f>
        <v>21</v>
      </c>
      <c r="B109" s="1914" t="s">
        <v>1600</v>
      </c>
      <c r="C109" s="2189"/>
      <c r="D109" s="1602">
        <f t="shared" si="16"/>
        <v>160.1</v>
      </c>
      <c r="E109" s="1616">
        <f>E110+E111</f>
        <v>150.4</v>
      </c>
      <c r="F109" s="1616">
        <f>F110+F111</f>
        <v>9.6999999999999993</v>
      </c>
      <c r="G109" s="1602">
        <f t="shared" si="13"/>
        <v>0</v>
      </c>
      <c r="H109" s="1616">
        <f>H110+H111</f>
        <v>0</v>
      </c>
      <c r="I109" s="1616">
        <f>I110+I111</f>
        <v>0</v>
      </c>
      <c r="J109" s="2199">
        <f t="shared" si="14"/>
        <v>0</v>
      </c>
      <c r="K109" s="1423"/>
    </row>
    <row r="110" spans="1:11" ht="19.5" hidden="1" customHeight="1">
      <c r="A110" s="2189"/>
      <c r="B110" s="1609" t="s">
        <v>1620</v>
      </c>
      <c r="C110" s="2190"/>
      <c r="D110" s="1602">
        <f t="shared" si="16"/>
        <v>0</v>
      </c>
      <c r="E110" s="1609">
        <v>0</v>
      </c>
      <c r="F110" s="1609">
        <v>0</v>
      </c>
      <c r="G110" s="1600">
        <f t="shared" si="13"/>
        <v>0</v>
      </c>
      <c r="H110" s="1619"/>
      <c r="I110" s="1619"/>
      <c r="J110" s="2199" t="e">
        <f t="shared" si="14"/>
        <v>#DIV/0!</v>
      </c>
      <c r="K110" s="1423"/>
    </row>
    <row r="111" spans="1:11" ht="26.25" hidden="1" customHeight="1">
      <c r="A111" s="2189"/>
      <c r="B111" s="1609" t="s">
        <v>1770</v>
      </c>
      <c r="C111" s="2190"/>
      <c r="D111" s="1602">
        <f t="shared" si="16"/>
        <v>160.1</v>
      </c>
      <c r="E111" s="1609">
        <v>150.4</v>
      </c>
      <c r="F111" s="1609">
        <v>9.6999999999999993</v>
      </c>
      <c r="G111" s="1600">
        <f t="shared" si="13"/>
        <v>0</v>
      </c>
      <c r="H111" s="1619"/>
      <c r="I111" s="1619"/>
      <c r="J111" s="2199">
        <f t="shared" si="14"/>
        <v>0</v>
      </c>
      <c r="K111" s="1423"/>
    </row>
    <row r="112" spans="1:11" s="484" customFormat="1" ht="47.25" customHeight="1">
      <c r="A112" s="2189">
        <f>A109+1</f>
        <v>22</v>
      </c>
      <c r="B112" s="1914" t="s">
        <v>776</v>
      </c>
      <c r="C112" s="2189" t="s">
        <v>1545</v>
      </c>
      <c r="D112" s="1602">
        <f t="shared" si="16"/>
        <v>177040.7</v>
      </c>
      <c r="E112" s="1615">
        <f>E113+E114</f>
        <v>166418.20000000001</v>
      </c>
      <c r="F112" s="1615">
        <f>F113+F114</f>
        <v>10622.5</v>
      </c>
      <c r="G112" s="1602">
        <f t="shared" si="13"/>
        <v>81904.2</v>
      </c>
      <c r="H112" s="1614">
        <f>H113+H114</f>
        <v>76989.899999999994</v>
      </c>
      <c r="I112" s="1615">
        <f>I113+I114</f>
        <v>4914.3</v>
      </c>
      <c r="J112" s="2199">
        <f t="shared" si="14"/>
        <v>0.46</v>
      </c>
      <c r="K112" s="1423"/>
    </row>
    <row r="113" spans="1:11" s="484" customFormat="1" ht="23.25" hidden="1">
      <c r="A113" s="2189"/>
      <c r="B113" s="1609" t="s">
        <v>1620</v>
      </c>
      <c r="C113" s="2189"/>
      <c r="D113" s="1602">
        <f t="shared" si="16"/>
        <v>177040.7</v>
      </c>
      <c r="E113" s="1615">
        <v>166418.20000000001</v>
      </c>
      <c r="F113" s="1615">
        <v>10622.5</v>
      </c>
      <c r="G113" s="1600">
        <f t="shared" si="13"/>
        <v>81904.2</v>
      </c>
      <c r="H113" s="1614">
        <v>76989.899999999994</v>
      </c>
      <c r="I113" s="1614">
        <v>4914.3</v>
      </c>
      <c r="J113" s="2199">
        <f t="shared" si="14"/>
        <v>0.46</v>
      </c>
      <c r="K113" s="1423"/>
    </row>
    <row r="114" spans="1:11" s="484" customFormat="1" ht="23.25" hidden="1">
      <c r="A114" s="2189"/>
      <c r="B114" s="1609" t="s">
        <v>1621</v>
      </c>
      <c r="C114" s="2189"/>
      <c r="D114" s="1602">
        <f t="shared" si="16"/>
        <v>0</v>
      </c>
      <c r="E114" s="1616">
        <v>0</v>
      </c>
      <c r="F114" s="1616"/>
      <c r="G114" s="1600">
        <f t="shared" si="13"/>
        <v>0</v>
      </c>
      <c r="H114" s="1608"/>
      <c r="I114" s="1608"/>
      <c r="J114" s="2199" t="e">
        <f t="shared" si="14"/>
        <v>#DIV/0!</v>
      </c>
      <c r="K114" s="1423"/>
    </row>
    <row r="115" spans="1:11" ht="42" customHeight="1">
      <c r="A115" s="2189">
        <f>A112+1</f>
        <v>23</v>
      </c>
      <c r="B115" s="1888" t="s">
        <v>1595</v>
      </c>
      <c r="C115" s="2189"/>
      <c r="D115" s="1602">
        <f t="shared" si="16"/>
        <v>104514.6</v>
      </c>
      <c r="E115" s="1615">
        <f>E116+E118+E117</f>
        <v>98242.7</v>
      </c>
      <c r="F115" s="1615">
        <f>F116+F118+F117</f>
        <v>6271.9</v>
      </c>
      <c r="G115" s="1602">
        <f t="shared" si="13"/>
        <v>99513.8</v>
      </c>
      <c r="H115" s="1615">
        <f>H116+H118+H117</f>
        <v>93542</v>
      </c>
      <c r="I115" s="1615">
        <f>I116+I118+I117</f>
        <v>5971.8</v>
      </c>
      <c r="J115" s="2199">
        <f t="shared" si="14"/>
        <v>0.95</v>
      </c>
      <c r="K115" s="1423"/>
    </row>
    <row r="116" spans="1:11" ht="19.5" hidden="1" customHeight="1">
      <c r="A116" s="2189"/>
      <c r="B116" s="1609" t="s">
        <v>1620</v>
      </c>
      <c r="C116" s="2190"/>
      <c r="D116" s="1602">
        <f t="shared" si="16"/>
        <v>9921.2000000000007</v>
      </c>
      <c r="E116" s="1609">
        <v>9325.9</v>
      </c>
      <c r="F116" s="1609">
        <v>595.29999999999995</v>
      </c>
      <c r="G116" s="1600">
        <f t="shared" si="13"/>
        <v>9921.2000000000007</v>
      </c>
      <c r="H116" s="1619">
        <v>9325.9</v>
      </c>
      <c r="I116" s="1619">
        <v>595.29999999999995</v>
      </c>
      <c r="J116" s="2199">
        <f t="shared" si="14"/>
        <v>1</v>
      </c>
      <c r="K116" s="1423"/>
    </row>
    <row r="117" spans="1:11" ht="19.5" hidden="1" customHeight="1">
      <c r="A117" s="2189"/>
      <c r="B117" s="1609" t="s">
        <v>1798</v>
      </c>
      <c r="C117" s="2190"/>
      <c r="D117" s="1602">
        <f>SUM(E117:F117)</f>
        <v>94296.9</v>
      </c>
      <c r="E117" s="1609">
        <v>88638.1</v>
      </c>
      <c r="F117" s="1609">
        <v>5658.8</v>
      </c>
      <c r="G117" s="1600">
        <f>SUM(H117:I117)</f>
        <v>89592.6</v>
      </c>
      <c r="H117" s="1619">
        <v>84216.1</v>
      </c>
      <c r="I117" s="1619">
        <v>5376.5</v>
      </c>
      <c r="J117" s="2199">
        <f t="shared" si="14"/>
        <v>0.95</v>
      </c>
      <c r="K117" s="1423"/>
    </row>
    <row r="118" spans="1:11" ht="26.25" hidden="1" customHeight="1">
      <c r="A118" s="2189"/>
      <c r="B118" s="1609" t="s">
        <v>1770</v>
      </c>
      <c r="C118" s="2190"/>
      <c r="D118" s="1602">
        <f t="shared" si="16"/>
        <v>296.5</v>
      </c>
      <c r="E118" s="1609">
        <v>278.7</v>
      </c>
      <c r="F118" s="1609">
        <v>17.8</v>
      </c>
      <c r="G118" s="1600">
        <f t="shared" si="13"/>
        <v>0</v>
      </c>
      <c r="H118" s="1619"/>
      <c r="I118" s="1619"/>
      <c r="J118" s="2199">
        <f t="shared" si="14"/>
        <v>0</v>
      </c>
      <c r="K118" s="1423"/>
    </row>
    <row r="119" spans="1:11" ht="38.25" customHeight="1">
      <c r="A119" s="2189">
        <f>A115+1</f>
        <v>24</v>
      </c>
      <c r="B119" s="1888" t="s">
        <v>1596</v>
      </c>
      <c r="C119" s="2189"/>
      <c r="D119" s="1602">
        <f t="shared" si="16"/>
        <v>229155.8</v>
      </c>
      <c r="E119" s="1615">
        <f>E120+E122+E121</f>
        <v>215404.2</v>
      </c>
      <c r="F119" s="1615">
        <f>F120+F122+F121</f>
        <v>13751.6</v>
      </c>
      <c r="G119" s="1602">
        <f t="shared" si="13"/>
        <v>116380.6</v>
      </c>
      <c r="H119" s="1615">
        <f>H120+H122+H121</f>
        <v>109396.6</v>
      </c>
      <c r="I119" s="1615">
        <f>I120+I122+I121</f>
        <v>6984</v>
      </c>
      <c r="J119" s="2199">
        <f t="shared" si="14"/>
        <v>0.51</v>
      </c>
      <c r="K119" s="1423"/>
    </row>
    <row r="120" spans="1:11" ht="19.5" hidden="1" customHeight="1">
      <c r="A120" s="2189"/>
      <c r="B120" s="1609" t="s">
        <v>1620</v>
      </c>
      <c r="C120" s="2190"/>
      <c r="D120" s="1602">
        <f t="shared" si="16"/>
        <v>6302.6</v>
      </c>
      <c r="E120" s="1609">
        <v>5924.4</v>
      </c>
      <c r="F120" s="1609">
        <v>378.2</v>
      </c>
      <c r="G120" s="1602">
        <f t="shared" si="13"/>
        <v>0</v>
      </c>
      <c r="H120" s="1609"/>
      <c r="I120" s="1609"/>
      <c r="J120" s="2199">
        <f t="shared" si="14"/>
        <v>0</v>
      </c>
      <c r="K120" s="1423"/>
    </row>
    <row r="121" spans="1:11" ht="19.5" hidden="1" customHeight="1">
      <c r="A121" s="2189"/>
      <c r="B121" s="1609" t="s">
        <v>1798</v>
      </c>
      <c r="C121" s="2190"/>
      <c r="D121" s="1602">
        <f>SUM(E121:F121)</f>
        <v>222529.1</v>
      </c>
      <c r="E121" s="1609">
        <v>209175.1</v>
      </c>
      <c r="F121" s="1609">
        <v>13354</v>
      </c>
      <c r="G121" s="1602">
        <f>SUM(H121:I121)</f>
        <v>116380.6</v>
      </c>
      <c r="H121" s="1609">
        <v>109396.6</v>
      </c>
      <c r="I121" s="1609">
        <v>6984</v>
      </c>
      <c r="J121" s="2199">
        <f t="shared" si="14"/>
        <v>0.52</v>
      </c>
      <c r="K121" s="1423"/>
    </row>
    <row r="122" spans="1:11" ht="26.25" hidden="1" customHeight="1">
      <c r="A122" s="2189"/>
      <c r="B122" s="1609" t="s">
        <v>1770</v>
      </c>
      <c r="C122" s="2190"/>
      <c r="D122" s="1602">
        <f t="shared" si="16"/>
        <v>324.10000000000002</v>
      </c>
      <c r="E122" s="1609">
        <v>304.7</v>
      </c>
      <c r="F122" s="1609">
        <v>19.399999999999999</v>
      </c>
      <c r="G122" s="1602">
        <f t="shared" si="13"/>
        <v>0</v>
      </c>
      <c r="H122" s="1609"/>
      <c r="I122" s="1609"/>
      <c r="J122" s="2199">
        <f t="shared" si="14"/>
        <v>0</v>
      </c>
      <c r="K122" s="1423"/>
    </row>
    <row r="123" spans="1:11" s="484" customFormat="1" ht="78.75" hidden="1" customHeight="1">
      <c r="A123" s="2189">
        <f>A119+1</f>
        <v>25</v>
      </c>
      <c r="B123" s="1914" t="s">
        <v>1599</v>
      </c>
      <c r="C123" s="1866" t="s">
        <v>1611</v>
      </c>
      <c r="D123" s="1600">
        <f t="shared" si="16"/>
        <v>0</v>
      </c>
      <c r="E123" s="1616">
        <f>E124</f>
        <v>0</v>
      </c>
      <c r="F123" s="1616">
        <f>F124</f>
        <v>0</v>
      </c>
      <c r="G123" s="1602">
        <f t="shared" si="13"/>
        <v>0</v>
      </c>
      <c r="H123" s="1616">
        <f>H124</f>
        <v>0</v>
      </c>
      <c r="I123" s="1616">
        <f>I124</f>
        <v>0</v>
      </c>
      <c r="J123" s="2199" t="e">
        <f t="shared" si="14"/>
        <v>#DIV/0!</v>
      </c>
      <c r="K123" s="1423"/>
    </row>
    <row r="124" spans="1:11" s="484" customFormat="1" ht="23.25" hidden="1" customHeight="1">
      <c r="A124" s="2189"/>
      <c r="B124" s="1609" t="s">
        <v>1620</v>
      </c>
      <c r="C124" s="1924"/>
      <c r="D124" s="1600">
        <f t="shared" si="16"/>
        <v>0</v>
      </c>
      <c r="E124" s="1616"/>
      <c r="F124" s="1616"/>
      <c r="G124" s="1602">
        <f t="shared" si="13"/>
        <v>0</v>
      </c>
      <c r="H124" s="1616"/>
      <c r="I124" s="1616"/>
      <c r="J124" s="2199" t="e">
        <f t="shared" si="14"/>
        <v>#DIV/0!</v>
      </c>
      <c r="K124" s="1423"/>
    </row>
    <row r="125" spans="1:11" s="484" customFormat="1" ht="30.75" customHeight="1">
      <c r="A125" s="2189">
        <f>A119+1</f>
        <v>25</v>
      </c>
      <c r="B125" s="516" t="s">
        <v>763</v>
      </c>
      <c r="C125" s="2050" t="s">
        <v>1550</v>
      </c>
      <c r="D125" s="1602">
        <f t="shared" si="16"/>
        <v>236519.6</v>
      </c>
      <c r="E125" s="1616">
        <f>E126+E127</f>
        <v>222326</v>
      </c>
      <c r="F125" s="1616">
        <f>F126+F127</f>
        <v>14193.6</v>
      </c>
      <c r="G125" s="1602">
        <f t="shared" si="13"/>
        <v>108625.8</v>
      </c>
      <c r="H125" s="1616">
        <f>H126+H127</f>
        <v>102107.2</v>
      </c>
      <c r="I125" s="1616">
        <f>I126+I127</f>
        <v>6518.6</v>
      </c>
      <c r="J125" s="2199">
        <f t="shared" si="14"/>
        <v>0.46</v>
      </c>
      <c r="K125" s="1423"/>
    </row>
    <row r="126" spans="1:11" s="484" customFormat="1" ht="23.25" hidden="1">
      <c r="A126" s="2189"/>
      <c r="B126" s="1609" t="s">
        <v>1620</v>
      </c>
      <c r="C126" s="1882"/>
      <c r="D126" s="1602">
        <f t="shared" si="16"/>
        <v>236519.6</v>
      </c>
      <c r="E126" s="1616">
        <v>222326</v>
      </c>
      <c r="F126" s="1616">
        <v>14193.6</v>
      </c>
      <c r="G126" s="1602">
        <f t="shared" si="13"/>
        <v>108625.8</v>
      </c>
      <c r="H126" s="1616">
        <v>102107.2</v>
      </c>
      <c r="I126" s="1616">
        <v>6518.6</v>
      </c>
      <c r="J126" s="2199">
        <f t="shared" si="14"/>
        <v>0.46</v>
      </c>
      <c r="K126" s="1423"/>
    </row>
    <row r="127" spans="1:11" s="484" customFormat="1" ht="19.5" hidden="1" customHeight="1">
      <c r="A127" s="2189"/>
      <c r="B127" s="1609" t="s">
        <v>1621</v>
      </c>
      <c r="C127" s="1882"/>
      <c r="D127" s="1602">
        <f t="shared" si="16"/>
        <v>0</v>
      </c>
      <c r="E127" s="1616"/>
      <c r="F127" s="2045">
        <v>0</v>
      </c>
      <c r="G127" s="1602">
        <f t="shared" si="13"/>
        <v>0</v>
      </c>
      <c r="H127" s="1616"/>
      <c r="I127" s="2045"/>
      <c r="J127" s="2199" t="e">
        <f t="shared" si="14"/>
        <v>#DIV/0!</v>
      </c>
      <c r="K127" s="1423"/>
    </row>
    <row r="128" spans="1:11" s="484" customFormat="1" ht="20.25" customHeight="1">
      <c r="A128" s="2189">
        <f>A125+1</f>
        <v>26</v>
      </c>
      <c r="B128" s="516" t="s">
        <v>765</v>
      </c>
      <c r="C128" s="2050" t="s">
        <v>1550</v>
      </c>
      <c r="D128" s="1602">
        <f t="shared" si="16"/>
        <v>23370.1</v>
      </c>
      <c r="E128" s="1616">
        <f>SUM(E129:E130)</f>
        <v>21967.7</v>
      </c>
      <c r="F128" s="1616">
        <f>SUM(F129:F130)</f>
        <v>1402.4</v>
      </c>
      <c r="G128" s="1602">
        <f t="shared" si="13"/>
        <v>16050.4</v>
      </c>
      <c r="H128" s="1616">
        <f>SUM(H129:H130)</f>
        <v>15087.2</v>
      </c>
      <c r="I128" s="1616">
        <f>SUM(I129:I130)</f>
        <v>963.2</v>
      </c>
      <c r="J128" s="2199">
        <f t="shared" si="14"/>
        <v>0.69</v>
      </c>
      <c r="K128" s="1423"/>
    </row>
    <row r="129" spans="1:11" ht="23.25" hidden="1">
      <c r="A129" s="2189"/>
      <c r="B129" s="1609" t="s">
        <v>1620</v>
      </c>
      <c r="C129" s="1882"/>
      <c r="D129" s="1602">
        <f t="shared" si="16"/>
        <v>23370.1</v>
      </c>
      <c r="E129" s="1616">
        <v>21967.7</v>
      </c>
      <c r="F129" s="1616">
        <v>1402.4</v>
      </c>
      <c r="G129" s="1602">
        <f t="shared" si="13"/>
        <v>16050.4</v>
      </c>
      <c r="H129" s="1616">
        <v>15087.2</v>
      </c>
      <c r="I129" s="1616">
        <v>963.2</v>
      </c>
      <c r="J129" s="2199">
        <f t="shared" si="14"/>
        <v>0.69</v>
      </c>
      <c r="K129" s="1423"/>
    </row>
    <row r="130" spans="1:11" ht="23.25" hidden="1">
      <c r="A130" s="2189"/>
      <c r="B130" s="1609" t="s">
        <v>1621</v>
      </c>
      <c r="C130" s="1882"/>
      <c r="D130" s="1602">
        <f t="shared" si="16"/>
        <v>0</v>
      </c>
      <c r="E130" s="1616"/>
      <c r="F130" s="2045"/>
      <c r="G130" s="1602">
        <f t="shared" si="13"/>
        <v>0</v>
      </c>
      <c r="H130" s="1616"/>
      <c r="I130" s="2045"/>
      <c r="J130" s="2199" t="e">
        <f t="shared" si="14"/>
        <v>#DIV/0!</v>
      </c>
      <c r="K130" s="1423"/>
    </row>
    <row r="131" spans="1:11" s="484" customFormat="1" ht="24.75" customHeight="1">
      <c r="A131" s="2189">
        <f>A128+1</f>
        <v>27</v>
      </c>
      <c r="B131" s="516" t="s">
        <v>766</v>
      </c>
      <c r="C131" s="2050" t="s">
        <v>1550</v>
      </c>
      <c r="D131" s="1602">
        <f t="shared" si="16"/>
        <v>14565.9</v>
      </c>
      <c r="E131" s="1616">
        <f>SUM(E132:E133)</f>
        <v>13691.8</v>
      </c>
      <c r="F131" s="1616">
        <f>SUM(F132:F133)</f>
        <v>874.1</v>
      </c>
      <c r="G131" s="1602">
        <f t="shared" ref="G131:G152" si="17">SUM(H131:I131)</f>
        <v>9980.2000000000007</v>
      </c>
      <c r="H131" s="1616">
        <f>SUM(H132:H133)</f>
        <v>9381.2999999999993</v>
      </c>
      <c r="I131" s="1616">
        <f>SUM(I132:I133)</f>
        <v>598.9</v>
      </c>
      <c r="J131" s="2199">
        <f t="shared" si="14"/>
        <v>0.69</v>
      </c>
      <c r="K131" s="1423"/>
    </row>
    <row r="132" spans="1:11" ht="23.25" hidden="1">
      <c r="A132" s="2189"/>
      <c r="B132" s="1609" t="s">
        <v>1620</v>
      </c>
      <c r="C132" s="1924"/>
      <c r="D132" s="1600">
        <f t="shared" si="16"/>
        <v>14565.9</v>
      </c>
      <c r="E132" s="1616">
        <v>13691.8</v>
      </c>
      <c r="F132" s="1616">
        <v>874.1</v>
      </c>
      <c r="G132" s="1602">
        <f t="shared" si="17"/>
        <v>9980.2000000000007</v>
      </c>
      <c r="H132" s="1616">
        <v>9381.2999999999993</v>
      </c>
      <c r="I132" s="1616">
        <v>598.9</v>
      </c>
      <c r="J132" s="2199">
        <f t="shared" si="14"/>
        <v>0.69</v>
      </c>
      <c r="K132" s="1423"/>
    </row>
    <row r="133" spans="1:11" ht="23.25" hidden="1">
      <c r="A133" s="2189"/>
      <c r="B133" s="1609" t="s">
        <v>1621</v>
      </c>
      <c r="C133" s="1924"/>
      <c r="D133" s="1600">
        <f t="shared" si="16"/>
        <v>0</v>
      </c>
      <c r="E133" s="1616"/>
      <c r="F133" s="2045"/>
      <c r="G133" s="1602">
        <f t="shared" si="17"/>
        <v>0</v>
      </c>
      <c r="H133" s="1616"/>
      <c r="I133" s="2045"/>
      <c r="J133" s="2199" t="e">
        <f t="shared" si="14"/>
        <v>#DIV/0!</v>
      </c>
      <c r="K133" s="1423"/>
    </row>
    <row r="134" spans="1:11" ht="39" customHeight="1">
      <c r="A134" s="2189">
        <f>A131+1</f>
        <v>28</v>
      </c>
      <c r="B134" s="521" t="s">
        <v>478</v>
      </c>
      <c r="C134" s="1924" t="s">
        <v>1610</v>
      </c>
      <c r="D134" s="1600">
        <f t="shared" si="16"/>
        <v>423675.6</v>
      </c>
      <c r="E134" s="1616">
        <f>E135+E137+E138+E136</f>
        <v>398273.9</v>
      </c>
      <c r="F134" s="1616">
        <f>F135+F137+F138+F136</f>
        <v>25401.7</v>
      </c>
      <c r="G134" s="1602">
        <f>SUM(H134:I134)</f>
        <v>421918.1</v>
      </c>
      <c r="H134" s="1616">
        <f>H135+H137+H138</f>
        <v>396602.9</v>
      </c>
      <c r="I134" s="1616">
        <f>I135+I137+I138</f>
        <v>25315.200000000001</v>
      </c>
      <c r="J134" s="2199">
        <f t="shared" si="14"/>
        <v>1</v>
      </c>
      <c r="K134" s="1423"/>
    </row>
    <row r="135" spans="1:11" ht="23.25" hidden="1">
      <c r="A135" s="2189"/>
      <c r="B135" s="1609" t="s">
        <v>1620</v>
      </c>
      <c r="C135" s="1924"/>
      <c r="D135" s="1600">
        <f t="shared" si="16"/>
        <v>422392.8</v>
      </c>
      <c r="E135" s="1616">
        <v>397049.2</v>
      </c>
      <c r="F135" s="2045">
        <v>25343.599999999999</v>
      </c>
      <c r="G135" s="1602">
        <f t="shared" si="17"/>
        <v>421310.9</v>
      </c>
      <c r="H135" s="1616">
        <v>396032.2</v>
      </c>
      <c r="I135" s="1616">
        <v>25278.7</v>
      </c>
      <c r="J135" s="2199">
        <f t="shared" si="14"/>
        <v>1</v>
      </c>
      <c r="K135" s="1423"/>
    </row>
    <row r="136" spans="1:11" ht="23.25" hidden="1">
      <c r="A136" s="2189"/>
      <c r="B136" s="1609" t="s">
        <v>1798</v>
      </c>
      <c r="C136" s="1924"/>
      <c r="D136" s="1600">
        <f>SUM(E136:F136)</f>
        <v>278.7</v>
      </c>
      <c r="E136" s="1616">
        <v>262</v>
      </c>
      <c r="F136" s="1616">
        <v>16.7</v>
      </c>
      <c r="G136" s="1602">
        <f>SUM(H136:I136)</f>
        <v>0</v>
      </c>
      <c r="H136" s="1616">
        <v>0</v>
      </c>
      <c r="I136" s="1616">
        <v>0</v>
      </c>
      <c r="J136" s="2199">
        <f t="shared" si="14"/>
        <v>0</v>
      </c>
      <c r="K136" s="1423"/>
    </row>
    <row r="137" spans="1:11" ht="23.25" hidden="1">
      <c r="A137" s="2189"/>
      <c r="B137" s="1609" t="s">
        <v>1770</v>
      </c>
      <c r="C137" s="1882"/>
      <c r="D137" s="1602">
        <f t="shared" si="16"/>
        <v>1004.1</v>
      </c>
      <c r="E137" s="1616">
        <f>256.6+706.1</f>
        <v>962.7</v>
      </c>
      <c r="F137" s="1616">
        <f>16.4+25</f>
        <v>41.4</v>
      </c>
      <c r="G137" s="1602">
        <f t="shared" si="17"/>
        <v>607.20000000000005</v>
      </c>
      <c r="H137" s="1616">
        <f>256.511+314.156</f>
        <v>570.70000000000005</v>
      </c>
      <c r="I137" s="1616">
        <f>16.4+20.06</f>
        <v>36.5</v>
      </c>
      <c r="J137" s="2199">
        <f t="shared" si="14"/>
        <v>0.6</v>
      </c>
      <c r="K137" s="1423"/>
    </row>
    <row r="138" spans="1:11" s="1654" customFormat="1" ht="23.25" hidden="1">
      <c r="A138" s="2133"/>
      <c r="B138" s="2134" t="s">
        <v>1621</v>
      </c>
      <c r="C138" s="2135"/>
      <c r="D138" s="2136">
        <f t="shared" ref="D138:D160" si="18">SUM(E138:F138)</f>
        <v>0</v>
      </c>
      <c r="E138" s="2137"/>
      <c r="F138" s="2137"/>
      <c r="G138" s="2136">
        <f t="shared" si="17"/>
        <v>0</v>
      </c>
      <c r="H138" s="2137"/>
      <c r="I138" s="2137"/>
      <c r="J138" s="2199" t="e">
        <f t="shared" si="14"/>
        <v>#DIV/0!</v>
      </c>
      <c r="K138" s="1423"/>
    </row>
    <row r="139" spans="1:11" s="484" customFormat="1" ht="39.75" hidden="1" customHeight="1">
      <c r="A139" s="2189">
        <f>A134+1</f>
        <v>29</v>
      </c>
      <c r="B139" s="1915" t="s">
        <v>694</v>
      </c>
      <c r="C139" s="2189" t="s">
        <v>1548</v>
      </c>
      <c r="D139" s="1602">
        <f t="shared" si="18"/>
        <v>0</v>
      </c>
      <c r="E139" s="1615">
        <f>E140</f>
        <v>0</v>
      </c>
      <c r="F139" s="1615">
        <f>F140</f>
        <v>0</v>
      </c>
      <c r="G139" s="1602">
        <f t="shared" si="17"/>
        <v>0</v>
      </c>
      <c r="H139" s="1615">
        <f>H140</f>
        <v>0</v>
      </c>
      <c r="I139" s="1615">
        <f>I140</f>
        <v>0</v>
      </c>
      <c r="J139" s="2199" t="e">
        <f t="shared" si="14"/>
        <v>#DIV/0!</v>
      </c>
      <c r="K139" s="1423"/>
    </row>
    <row r="140" spans="1:11" s="484" customFormat="1" ht="23.25" hidden="1" customHeight="1">
      <c r="A140" s="2189"/>
      <c r="B140" s="1609" t="s">
        <v>1620</v>
      </c>
      <c r="C140" s="1882"/>
      <c r="D140" s="1602">
        <f t="shared" si="18"/>
        <v>0</v>
      </c>
      <c r="E140" s="1615">
        <v>0</v>
      </c>
      <c r="F140" s="1615">
        <v>0</v>
      </c>
      <c r="G140" s="1602">
        <f t="shared" si="17"/>
        <v>0</v>
      </c>
      <c r="H140" s="1616"/>
      <c r="I140" s="1616"/>
      <c r="J140" s="2199" t="e">
        <f t="shared" si="14"/>
        <v>#DIV/0!</v>
      </c>
      <c r="K140" s="1423"/>
    </row>
    <row r="141" spans="1:11" s="484" customFormat="1" ht="42" customHeight="1">
      <c r="A141" s="2189">
        <f>A134+1</f>
        <v>29</v>
      </c>
      <c r="B141" s="1915" t="s">
        <v>695</v>
      </c>
      <c r="C141" s="2189"/>
      <c r="D141" s="1602">
        <f t="shared" si="18"/>
        <v>191951.9</v>
      </c>
      <c r="E141" s="1615">
        <f>E142+E143</f>
        <v>180434.8</v>
      </c>
      <c r="F141" s="1615">
        <f>F142+F143</f>
        <v>11517.1</v>
      </c>
      <c r="G141" s="1602">
        <f t="shared" si="17"/>
        <v>187084.3</v>
      </c>
      <c r="H141" s="1615">
        <f>H142+H143</f>
        <v>175859.20000000001</v>
      </c>
      <c r="I141" s="1615">
        <f>I142+I143</f>
        <v>11225.1</v>
      </c>
      <c r="J141" s="2199">
        <f t="shared" ref="J141:J168" si="19">G141/D141</f>
        <v>0.97</v>
      </c>
      <c r="K141" s="1423"/>
    </row>
    <row r="142" spans="1:11" ht="23.25" hidden="1">
      <c r="A142" s="2189"/>
      <c r="B142" s="1609" t="s">
        <v>1620</v>
      </c>
      <c r="C142" s="1882"/>
      <c r="D142" s="1602">
        <f t="shared" si="18"/>
        <v>104813.3</v>
      </c>
      <c r="E142" s="1616">
        <v>98524.5</v>
      </c>
      <c r="F142" s="2045">
        <f>6288.8</f>
        <v>6288.8</v>
      </c>
      <c r="G142" s="1602">
        <f t="shared" si="17"/>
        <v>99946.1</v>
      </c>
      <c r="H142" s="1616">
        <v>93949.3</v>
      </c>
      <c r="I142" s="1616">
        <v>5996.8</v>
      </c>
      <c r="J142" s="2199">
        <f t="shared" si="19"/>
        <v>0.95</v>
      </c>
      <c r="K142" s="1423"/>
    </row>
    <row r="143" spans="1:11" ht="23.25" hidden="1">
      <c r="A143" s="2189"/>
      <c r="B143" s="1609" t="s">
        <v>1770</v>
      </c>
      <c r="C143" s="1882"/>
      <c r="D143" s="1602">
        <f t="shared" si="18"/>
        <v>87138.6</v>
      </c>
      <c r="E143" s="1616">
        <v>81910.3</v>
      </c>
      <c r="F143" s="2045">
        <v>5228.3</v>
      </c>
      <c r="G143" s="1600">
        <f t="shared" si="17"/>
        <v>87138.2</v>
      </c>
      <c r="H143" s="1608">
        <v>81909.899999999994</v>
      </c>
      <c r="I143" s="1608">
        <v>5228.3</v>
      </c>
      <c r="J143" s="2199">
        <f t="shared" si="19"/>
        <v>1</v>
      </c>
      <c r="K143" s="1423"/>
    </row>
    <row r="144" spans="1:11" s="484" customFormat="1" ht="42" customHeight="1">
      <c r="A144" s="2189">
        <f>A141+1</f>
        <v>30</v>
      </c>
      <c r="B144" s="1915" t="s">
        <v>698</v>
      </c>
      <c r="C144" s="2189"/>
      <c r="D144" s="1602">
        <f t="shared" si="18"/>
        <v>1250553.7</v>
      </c>
      <c r="E144" s="1614">
        <f>E145+E147</f>
        <v>1175145.3</v>
      </c>
      <c r="F144" s="1614">
        <f>F145+F147</f>
        <v>75408.399999999994</v>
      </c>
      <c r="G144" s="1602">
        <f t="shared" si="17"/>
        <v>143201.70000000001</v>
      </c>
      <c r="H144" s="1614">
        <f>H145+H147</f>
        <v>134566.6</v>
      </c>
      <c r="I144" s="1614">
        <f>I145+I147</f>
        <v>8635.1</v>
      </c>
      <c r="J144" s="2199">
        <f t="shared" si="19"/>
        <v>0.11</v>
      </c>
      <c r="K144" s="1423"/>
    </row>
    <row r="145" spans="1:12" s="484" customFormat="1" ht="24.75" hidden="1" customHeight="1">
      <c r="A145" s="2189"/>
      <c r="B145" s="1609" t="s">
        <v>1620</v>
      </c>
      <c r="C145" s="1882"/>
      <c r="D145" s="1602">
        <f t="shared" si="18"/>
        <v>1220006.3</v>
      </c>
      <c r="E145" s="1616">
        <v>1146439.8999999999</v>
      </c>
      <c r="F145" s="2045">
        <v>73566.399999999994</v>
      </c>
      <c r="G145" s="1600">
        <f t="shared" si="17"/>
        <v>143201.70000000001</v>
      </c>
      <c r="H145" s="1608">
        <v>134566.6</v>
      </c>
      <c r="I145" s="1608">
        <v>8635.1</v>
      </c>
      <c r="J145" s="2199">
        <f t="shared" si="19"/>
        <v>0.12</v>
      </c>
      <c r="K145" s="1423"/>
    </row>
    <row r="146" spans="1:12" s="484" customFormat="1" ht="18.75" hidden="1" customHeight="1">
      <c r="A146" s="2189"/>
      <c r="B146" s="1609" t="s">
        <v>1621</v>
      </c>
      <c r="C146" s="1882"/>
      <c r="D146" s="1602">
        <f t="shared" si="18"/>
        <v>0</v>
      </c>
      <c r="E146" s="1616"/>
      <c r="F146" s="2045">
        <v>0</v>
      </c>
      <c r="G146" s="1600">
        <f t="shared" si="17"/>
        <v>0</v>
      </c>
      <c r="H146" s="1608"/>
      <c r="I146" s="1624"/>
      <c r="J146" s="2199" t="e">
        <f t="shared" si="19"/>
        <v>#DIV/0!</v>
      </c>
      <c r="K146" s="1423"/>
    </row>
    <row r="147" spans="1:12" s="484" customFormat="1" ht="18.75" hidden="1" customHeight="1">
      <c r="A147" s="2189"/>
      <c r="B147" s="1609" t="s">
        <v>1798</v>
      </c>
      <c r="C147" s="1882"/>
      <c r="D147" s="1602">
        <f>SUM(E147:F147)</f>
        <v>30547.4</v>
      </c>
      <c r="E147" s="1616">
        <v>28705.4</v>
      </c>
      <c r="F147" s="2045">
        <v>1842</v>
      </c>
      <c r="G147" s="1600">
        <f>SUM(H147:I147)</f>
        <v>0</v>
      </c>
      <c r="H147" s="1608"/>
      <c r="I147" s="1624"/>
      <c r="J147" s="2199">
        <f t="shared" si="19"/>
        <v>0</v>
      </c>
      <c r="K147" s="1423"/>
    </row>
    <row r="148" spans="1:12" ht="49.5" customHeight="1">
      <c r="A148" s="2189">
        <f>A144+1</f>
        <v>31</v>
      </c>
      <c r="B148" s="1915" t="s">
        <v>697</v>
      </c>
      <c r="C148" s="2189"/>
      <c r="D148" s="1602">
        <f t="shared" si="18"/>
        <v>129890.7</v>
      </c>
      <c r="E148" s="1615">
        <f>E149+E150+E151</f>
        <v>122058.3</v>
      </c>
      <c r="F148" s="1615">
        <f>F149+F150+F151</f>
        <v>7832.4</v>
      </c>
      <c r="G148" s="1602">
        <f t="shared" si="17"/>
        <v>104625.2</v>
      </c>
      <c r="H148" s="1615">
        <f>H149+H150+H151</f>
        <v>98316.4</v>
      </c>
      <c r="I148" s="1615">
        <f>I149+I150+I151</f>
        <v>6308.8</v>
      </c>
      <c r="J148" s="2199">
        <f t="shared" si="19"/>
        <v>0.81</v>
      </c>
      <c r="K148" s="1423"/>
    </row>
    <row r="149" spans="1:12" ht="23.25" hidden="1">
      <c r="A149" s="2189"/>
      <c r="B149" s="1609" t="s">
        <v>1620</v>
      </c>
      <c r="C149" s="2189"/>
      <c r="D149" s="1602">
        <f t="shared" si="18"/>
        <v>98852.6</v>
      </c>
      <c r="E149" s="1615">
        <v>92891.8</v>
      </c>
      <c r="F149" s="1615">
        <v>5960.8</v>
      </c>
      <c r="G149" s="1600">
        <f t="shared" si="17"/>
        <v>88177.5</v>
      </c>
      <c r="H149" s="1614">
        <v>82860.5</v>
      </c>
      <c r="I149" s="1614">
        <v>5317</v>
      </c>
      <c r="J149" s="2199">
        <f t="shared" si="19"/>
        <v>0.89</v>
      </c>
      <c r="K149" s="1423"/>
    </row>
    <row r="150" spans="1:12" ht="23.25" hidden="1">
      <c r="A150" s="2189"/>
      <c r="B150" s="1609" t="s">
        <v>1770</v>
      </c>
      <c r="C150" s="1882"/>
      <c r="D150" s="1602">
        <f t="shared" si="18"/>
        <v>31038.1</v>
      </c>
      <c r="E150" s="1616">
        <v>29166.5</v>
      </c>
      <c r="F150" s="2045">
        <v>1871.6</v>
      </c>
      <c r="G150" s="1600">
        <f t="shared" si="17"/>
        <v>16447.7</v>
      </c>
      <c r="H150" s="1608">
        <v>15455.9</v>
      </c>
      <c r="I150" s="1608">
        <v>991.8</v>
      </c>
      <c r="J150" s="2199">
        <f t="shared" si="19"/>
        <v>0.53</v>
      </c>
      <c r="K150" s="1423"/>
    </row>
    <row r="151" spans="1:12" ht="23.25" hidden="1">
      <c r="A151" s="2189"/>
      <c r="B151" s="1609" t="s">
        <v>1621</v>
      </c>
      <c r="C151" s="2189"/>
      <c r="D151" s="1602">
        <f t="shared" si="18"/>
        <v>0</v>
      </c>
      <c r="E151" s="1615">
        <v>0</v>
      </c>
      <c r="F151" s="1615"/>
      <c r="G151" s="1600">
        <f t="shared" si="17"/>
        <v>0</v>
      </c>
      <c r="H151" s="1614">
        <v>0</v>
      </c>
      <c r="I151" s="1614"/>
      <c r="J151" s="2199" t="e">
        <f t="shared" si="19"/>
        <v>#DIV/0!</v>
      </c>
      <c r="K151" s="1423"/>
    </row>
    <row r="152" spans="1:12" ht="70.5" customHeight="1">
      <c r="A152" s="2189">
        <f>A148+1</f>
        <v>32</v>
      </c>
      <c r="B152" s="1915" t="s">
        <v>942</v>
      </c>
      <c r="C152" s="2189"/>
      <c r="D152" s="1602">
        <f t="shared" si="18"/>
        <v>219861.4</v>
      </c>
      <c r="E152" s="1615">
        <f>E153+E154</f>
        <v>206603.8</v>
      </c>
      <c r="F152" s="1615">
        <f>F153+F154</f>
        <v>13257.6</v>
      </c>
      <c r="G152" s="1602">
        <f t="shared" si="17"/>
        <v>196909.3</v>
      </c>
      <c r="H152" s="1614">
        <f>H153+H154</f>
        <v>185035.7</v>
      </c>
      <c r="I152" s="1615">
        <f>I153+I154</f>
        <v>11873.6</v>
      </c>
      <c r="J152" s="2199">
        <f t="shared" si="19"/>
        <v>0.9</v>
      </c>
      <c r="K152" s="1423"/>
    </row>
    <row r="153" spans="1:12" ht="23.25" hidden="1">
      <c r="A153" s="2189"/>
      <c r="B153" s="1609" t="s">
        <v>1620</v>
      </c>
      <c r="C153" s="2189"/>
      <c r="D153" s="1602">
        <f t="shared" si="18"/>
        <v>201856.9</v>
      </c>
      <c r="E153" s="1615">
        <v>189685</v>
      </c>
      <c r="F153" s="1615">
        <v>12171.9</v>
      </c>
      <c r="G153" s="1600">
        <f t="shared" ref="G153:G158" si="20">SUM(H153:I153)</f>
        <v>190626.3</v>
      </c>
      <c r="H153" s="1614">
        <v>179131.6</v>
      </c>
      <c r="I153" s="1614">
        <v>11494.7</v>
      </c>
      <c r="J153" s="2199">
        <f t="shared" si="19"/>
        <v>0.94</v>
      </c>
      <c r="K153" s="1423"/>
    </row>
    <row r="154" spans="1:12" ht="23.25" hidden="1">
      <c r="A154" s="2189"/>
      <c r="B154" s="1609" t="s">
        <v>1770</v>
      </c>
      <c r="C154" s="1882"/>
      <c r="D154" s="1602">
        <f t="shared" si="18"/>
        <v>18004.5</v>
      </c>
      <c r="E154" s="1616">
        <v>16918.8</v>
      </c>
      <c r="F154" s="2045">
        <v>1085.7</v>
      </c>
      <c r="G154" s="1600">
        <f t="shared" si="20"/>
        <v>6283</v>
      </c>
      <c r="H154" s="1608">
        <v>5904.1</v>
      </c>
      <c r="I154" s="1608">
        <v>378.9</v>
      </c>
      <c r="J154" s="2199">
        <f t="shared" si="19"/>
        <v>0.35</v>
      </c>
      <c r="K154" s="1423"/>
    </row>
    <row r="155" spans="1:12" ht="82.5" customHeight="1">
      <c r="A155" s="2189">
        <f>A152+1</f>
        <v>33</v>
      </c>
      <c r="B155" s="1915" t="s">
        <v>1635</v>
      </c>
      <c r="C155" s="2189"/>
      <c r="D155" s="1602">
        <f t="shared" si="18"/>
        <v>244.8</v>
      </c>
      <c r="E155" s="1615">
        <f>E156+E157</f>
        <v>230.1</v>
      </c>
      <c r="F155" s="1615">
        <f>F156+F157</f>
        <v>14.7</v>
      </c>
      <c r="G155" s="1602">
        <f t="shared" si="20"/>
        <v>0</v>
      </c>
      <c r="H155" s="1615">
        <f>H156+H157</f>
        <v>0</v>
      </c>
      <c r="I155" s="1615">
        <f>I156+I157</f>
        <v>0</v>
      </c>
      <c r="J155" s="2199">
        <f t="shared" si="19"/>
        <v>0</v>
      </c>
      <c r="K155" s="1423"/>
    </row>
    <row r="156" spans="1:12" ht="23.25" hidden="1">
      <c r="A156" s="2189"/>
      <c r="B156" s="1609" t="s">
        <v>1620</v>
      </c>
      <c r="C156" s="2189"/>
      <c r="D156" s="1602">
        <f t="shared" si="18"/>
        <v>0</v>
      </c>
      <c r="E156" s="1615">
        <v>0</v>
      </c>
      <c r="F156" s="1615">
        <v>0</v>
      </c>
      <c r="G156" s="1600">
        <f t="shared" si="20"/>
        <v>0</v>
      </c>
      <c r="H156" s="1614"/>
      <c r="I156" s="1614"/>
      <c r="J156" s="2199" t="e">
        <f t="shared" si="19"/>
        <v>#DIV/0!</v>
      </c>
      <c r="K156" s="1423"/>
    </row>
    <row r="157" spans="1:12" ht="23.25" hidden="1">
      <c r="A157" s="2189"/>
      <c r="B157" s="1609" t="s">
        <v>1770</v>
      </c>
      <c r="C157" s="1882"/>
      <c r="D157" s="1602">
        <f t="shared" si="18"/>
        <v>244.8</v>
      </c>
      <c r="E157" s="1616">
        <v>230.1</v>
      </c>
      <c r="F157" s="2045">
        <v>14.7</v>
      </c>
      <c r="G157" s="1600">
        <f t="shared" si="20"/>
        <v>0</v>
      </c>
      <c r="H157" s="1608"/>
      <c r="I157" s="1624"/>
      <c r="J157" s="2199">
        <f t="shared" si="19"/>
        <v>0</v>
      </c>
      <c r="K157" s="1423"/>
    </row>
    <row r="158" spans="1:12" s="484" customFormat="1" ht="45.75" hidden="1" customHeight="1">
      <c r="A158" s="2189">
        <v>117</v>
      </c>
      <c r="B158" s="1912" t="s">
        <v>1712</v>
      </c>
      <c r="C158" s="1913" t="s">
        <v>1546</v>
      </c>
      <c r="D158" s="1600">
        <f t="shared" si="18"/>
        <v>0</v>
      </c>
      <c r="E158" s="1608"/>
      <c r="F158" s="1608">
        <v>0</v>
      </c>
      <c r="G158" s="1600">
        <f t="shared" si="20"/>
        <v>0</v>
      </c>
      <c r="H158" s="1608"/>
      <c r="I158" s="1608"/>
      <c r="J158" s="2199" t="e">
        <f t="shared" si="19"/>
        <v>#DIV/0!</v>
      </c>
      <c r="K158" s="1423"/>
    </row>
    <row r="159" spans="1:12" ht="225" hidden="1" customHeight="1">
      <c r="A159" s="1946" t="s">
        <v>1671</v>
      </c>
      <c r="B159" s="1888" t="s">
        <v>1669</v>
      </c>
      <c r="C159" s="2189" t="s">
        <v>1549</v>
      </c>
      <c r="D159" s="1600">
        <f t="shared" si="18"/>
        <v>0</v>
      </c>
      <c r="E159" s="1614"/>
      <c r="F159" s="1614"/>
      <c r="G159" s="1600">
        <f>SUM(H159:I159)</f>
        <v>0</v>
      </c>
      <c r="H159" s="1614"/>
      <c r="I159" s="1614"/>
      <c r="J159" s="2199" t="e">
        <f t="shared" si="19"/>
        <v>#DIV/0!</v>
      </c>
      <c r="K159" s="1423"/>
    </row>
    <row r="160" spans="1:12" s="791" customFormat="1" ht="46.5" hidden="1" customHeight="1">
      <c r="A160" s="2196" t="s">
        <v>3</v>
      </c>
      <c r="B160" s="2196" t="s">
        <v>1828</v>
      </c>
      <c r="C160" s="2151"/>
      <c r="D160" s="2152">
        <f t="shared" si="18"/>
        <v>822567.9</v>
      </c>
      <c r="E160" s="2198">
        <f>SUM(E161:E168)</f>
        <v>704256.2</v>
      </c>
      <c r="F160" s="2198">
        <f>SUM(F161:F168)</f>
        <v>118311.7</v>
      </c>
      <c r="G160" s="2152">
        <f t="shared" ref="G160" si="21">SUM(H160:I160)</f>
        <v>420570.3</v>
      </c>
      <c r="H160" s="2198">
        <f>SUM(H161:H168)</f>
        <v>395333</v>
      </c>
      <c r="I160" s="2198">
        <f>SUM(I161:I168)</f>
        <v>25237.3</v>
      </c>
      <c r="J160" s="2199">
        <f t="shared" si="19"/>
        <v>0.51</v>
      </c>
      <c r="K160" s="1423"/>
      <c r="L160" s="1423"/>
    </row>
    <row r="161" spans="1:11" s="1570" customFormat="1" ht="23.25">
      <c r="A161" s="2189"/>
      <c r="B161" s="1879" t="s">
        <v>1840</v>
      </c>
      <c r="C161" s="2053"/>
      <c r="D161" s="1600">
        <f>SUM(E161:F161)</f>
        <v>228787.5</v>
      </c>
      <c r="E161" s="1631">
        <f>146108.668</f>
        <v>146108.70000000001</v>
      </c>
      <c r="F161" s="1631">
        <f>82678.79</f>
        <v>82678.8</v>
      </c>
      <c r="G161" s="1602">
        <f>SUM(H161:I161)</f>
        <v>0</v>
      </c>
      <c r="H161" s="1629"/>
      <c r="I161" s="1629"/>
      <c r="J161" s="2199">
        <f t="shared" si="19"/>
        <v>0</v>
      </c>
      <c r="K161" s="1423"/>
    </row>
    <row r="162" spans="1:11" ht="45" customHeight="1">
      <c r="A162" s="2189">
        <f>A155+1</f>
        <v>34</v>
      </c>
      <c r="B162" s="1879" t="s">
        <v>1497</v>
      </c>
      <c r="C162" s="1880" t="s">
        <v>1543</v>
      </c>
      <c r="D162" s="1600">
        <f t="shared" ref="D162:D168" si="22">SUM(E162:F162)</f>
        <v>10016.1</v>
      </c>
      <c r="E162" s="1631">
        <f>5203.864+4211.085</f>
        <v>9414.9</v>
      </c>
      <c r="F162" s="1629">
        <f>332.444+268.792</f>
        <v>601.20000000000005</v>
      </c>
      <c r="G162" s="1602">
        <f t="shared" ref="G162:G168" si="23">SUM(H162:I162)</f>
        <v>9151.1</v>
      </c>
      <c r="H162" s="1629">
        <f>4390.677+4211.085</f>
        <v>8601.7999999999993</v>
      </c>
      <c r="I162" s="1629">
        <f>280.494+268.792</f>
        <v>549.29999999999995</v>
      </c>
      <c r="J162" s="2199">
        <f t="shared" si="19"/>
        <v>0.91</v>
      </c>
      <c r="K162" s="1423"/>
    </row>
    <row r="163" spans="1:11" ht="39.75" customHeight="1">
      <c r="A163" s="2189">
        <f t="shared" ref="A163:A168" si="24">A162+1</f>
        <v>35</v>
      </c>
      <c r="B163" s="1879" t="s">
        <v>1498</v>
      </c>
      <c r="C163" s="1880" t="s">
        <v>1543</v>
      </c>
      <c r="D163" s="1600">
        <f t="shared" si="22"/>
        <v>14296.6</v>
      </c>
      <c r="E163" s="1631">
        <f>9912.284+3525.973</f>
        <v>13438.3</v>
      </c>
      <c r="F163" s="1629">
        <f>633.238+225.062</f>
        <v>858.3</v>
      </c>
      <c r="G163" s="1602">
        <f t="shared" si="23"/>
        <v>12143.7</v>
      </c>
      <c r="H163" s="1629">
        <f>7888.74+3525.973</f>
        <v>11414.7</v>
      </c>
      <c r="I163" s="1629">
        <f>503.965+225.062</f>
        <v>729</v>
      </c>
      <c r="J163" s="2199">
        <f t="shared" si="19"/>
        <v>0.85</v>
      </c>
      <c r="K163" s="1423"/>
    </row>
    <row r="164" spans="1:11" ht="57" customHeight="1">
      <c r="A164" s="2189">
        <f t="shared" si="24"/>
        <v>36</v>
      </c>
      <c r="B164" s="1879" t="s">
        <v>1499</v>
      </c>
      <c r="C164" s="1880" t="s">
        <v>1543</v>
      </c>
      <c r="D164" s="1600">
        <f t="shared" si="22"/>
        <v>50668.2</v>
      </c>
      <c r="E164" s="1629">
        <v>47625.599999999999</v>
      </c>
      <c r="F164" s="1629">
        <v>3042.6</v>
      </c>
      <c r="G164" s="1602">
        <f t="shared" si="23"/>
        <v>20460.099999999999</v>
      </c>
      <c r="H164" s="1629">
        <v>19231.599999999999</v>
      </c>
      <c r="I164" s="1629">
        <v>1228.5</v>
      </c>
      <c r="J164" s="2199">
        <f t="shared" si="19"/>
        <v>0.4</v>
      </c>
      <c r="K164" s="1423"/>
    </row>
    <row r="165" spans="1:11" ht="58.5" customHeight="1">
      <c r="A165" s="2189">
        <f t="shared" si="24"/>
        <v>37</v>
      </c>
      <c r="B165" s="1879" t="s">
        <v>1500</v>
      </c>
      <c r="C165" s="1880" t="s">
        <v>1543</v>
      </c>
      <c r="D165" s="1600">
        <f t="shared" si="22"/>
        <v>21886.1</v>
      </c>
      <c r="E165" s="1629">
        <f>18629.848+1942.2</f>
        <v>20572</v>
      </c>
      <c r="F165" s="1629">
        <f>1190.152+123.97</f>
        <v>1314.1</v>
      </c>
      <c r="G165" s="1602">
        <f t="shared" si="23"/>
        <v>17416.099999999999</v>
      </c>
      <c r="H165" s="1629">
        <f>14428.18+1942.2</f>
        <v>16370.4</v>
      </c>
      <c r="I165" s="1629">
        <f>921.732+123.97</f>
        <v>1045.7</v>
      </c>
      <c r="J165" s="2199">
        <f t="shared" si="19"/>
        <v>0.8</v>
      </c>
      <c r="K165" s="1423"/>
    </row>
    <row r="166" spans="1:11" ht="63.75" customHeight="1">
      <c r="A166" s="2189">
        <f t="shared" si="24"/>
        <v>38</v>
      </c>
      <c r="B166" s="1879" t="s">
        <v>1501</v>
      </c>
      <c r="C166" s="1880" t="s">
        <v>1505</v>
      </c>
      <c r="D166" s="1600">
        <f t="shared" si="22"/>
        <v>38330.1</v>
      </c>
      <c r="E166" s="1629">
        <v>36028.400000000001</v>
      </c>
      <c r="F166" s="1629">
        <v>2301.6999999999998</v>
      </c>
      <c r="G166" s="1602">
        <f t="shared" si="23"/>
        <v>17290.8</v>
      </c>
      <c r="H166" s="1629">
        <v>16252.5</v>
      </c>
      <c r="I166" s="1629">
        <v>1038.3</v>
      </c>
      <c r="J166" s="2199">
        <f t="shared" si="19"/>
        <v>0.45</v>
      </c>
      <c r="K166" s="1423"/>
    </row>
    <row r="167" spans="1:11" ht="48" customHeight="1">
      <c r="A167" s="2189">
        <f t="shared" si="24"/>
        <v>39</v>
      </c>
      <c r="B167" s="1879" t="s">
        <v>1502</v>
      </c>
      <c r="C167" s="1880" t="s">
        <v>1542</v>
      </c>
      <c r="D167" s="1600">
        <f t="shared" si="22"/>
        <v>98583.3</v>
      </c>
      <c r="E167" s="1629">
        <f>74778.815+17889.455</f>
        <v>92668.3</v>
      </c>
      <c r="F167" s="1629">
        <f>4773.164+1141.88</f>
        <v>5915</v>
      </c>
      <c r="G167" s="1602">
        <f t="shared" si="23"/>
        <v>93523.4</v>
      </c>
      <c r="H167" s="1629">
        <f>70022.512+17889.455</f>
        <v>87912</v>
      </c>
      <c r="I167" s="1629">
        <f>4469.522+1141.88</f>
        <v>5611.4</v>
      </c>
      <c r="J167" s="2199">
        <f t="shared" si="19"/>
        <v>0.95</v>
      </c>
      <c r="K167" s="1423"/>
    </row>
    <row r="168" spans="1:11" ht="39" customHeight="1">
      <c r="A168" s="2189">
        <f t="shared" si="24"/>
        <v>40</v>
      </c>
      <c r="B168" s="1932" t="s">
        <v>1503</v>
      </c>
      <c r="C168" s="1913" t="s">
        <v>1542</v>
      </c>
      <c r="D168" s="1600">
        <f t="shared" si="22"/>
        <v>360000</v>
      </c>
      <c r="E168" s="1629">
        <f>245721.185+92678.815</f>
        <v>338400</v>
      </c>
      <c r="F168" s="1629">
        <f>15684.34+5915.67</f>
        <v>21600</v>
      </c>
      <c r="G168" s="1602">
        <f t="shared" si="23"/>
        <v>250585.1</v>
      </c>
      <c r="H168" s="1629">
        <f>142871.242+92678.815-0.1</f>
        <v>235550</v>
      </c>
      <c r="I168" s="1629">
        <f>9119.441+5915.669</f>
        <v>15035.1</v>
      </c>
      <c r="J168" s="2199">
        <f t="shared" si="19"/>
        <v>0.7</v>
      </c>
      <c r="K168" s="1423"/>
    </row>
  </sheetData>
  <autoFilter ref="A11:I168"/>
  <mergeCells count="13">
    <mergeCell ref="J9:J10"/>
    <mergeCell ref="G9:G10"/>
    <mergeCell ref="H9:I9"/>
    <mergeCell ref="A1:B1"/>
    <mergeCell ref="G3:I3"/>
    <mergeCell ref="A5:I5"/>
    <mergeCell ref="A6:I6"/>
    <mergeCell ref="A7:I7"/>
    <mergeCell ref="A9:A10"/>
    <mergeCell ref="B9:B10"/>
    <mergeCell ref="C9:C10"/>
    <mergeCell ref="D9:D10"/>
    <mergeCell ref="E9:F9"/>
  </mergeCells>
  <pageMargins left="0.47244094488188981" right="0.11811023622047245" top="0.55118110236220474" bottom="0.35433070866141736" header="0.31496062992125984" footer="0.15748031496062992"/>
  <pageSetup paperSize="9" scale="51" fitToHeight="17"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sheetPr>
    <pageSetUpPr fitToPage="1"/>
  </sheetPr>
  <dimension ref="A1:AJ415"/>
  <sheetViews>
    <sheetView view="pageBreakPreview" topLeftCell="A5" zoomScale="70" zoomScaleNormal="72" zoomScaleSheetLayoutView="70" workbookViewId="0">
      <selection activeCell="A7" sqref="A7:W7"/>
    </sheetView>
  </sheetViews>
  <sheetFormatPr defaultColWidth="9.140625" defaultRowHeight="18.75"/>
  <cols>
    <col min="1" max="1" width="6.5703125" style="1942" customWidth="1"/>
    <col min="2" max="2" width="56.42578125" style="712" customWidth="1"/>
    <col min="3" max="3" width="13.42578125" style="1834" hidden="1" customWidth="1"/>
    <col min="4" max="4" width="13.42578125" style="1570" customWidth="1"/>
    <col min="5" max="6" width="14.85546875" style="712" customWidth="1"/>
    <col min="7" max="7" width="16.85546875" style="1570" hidden="1" customWidth="1"/>
    <col min="8" max="8" width="15.42578125" style="712" hidden="1" customWidth="1"/>
    <col min="9" max="9" width="14.85546875" style="712" hidden="1" customWidth="1"/>
    <col min="10" max="10" width="15.85546875" style="1569" customWidth="1"/>
    <col min="11" max="12" width="14.85546875" style="712" customWidth="1"/>
    <col min="13" max="13" width="11.42578125" style="1570" customWidth="1"/>
    <col min="14" max="15" width="11.425781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9.5703125" style="712" hidden="1" customWidth="1"/>
    <col min="25" max="27" width="13.85546875" style="712" customWidth="1"/>
    <col min="28" max="28" width="14.5703125" style="712" bestFit="1" customWidth="1"/>
    <col min="29" max="29" width="12.5703125" style="712" bestFit="1" customWidth="1"/>
    <col min="30" max="30" width="14.5703125" style="712" bestFit="1" customWidth="1"/>
    <col min="31" max="31" width="21.140625" style="712" bestFit="1" customWidth="1"/>
    <col min="32" max="32" width="14.5703125" style="712" bestFit="1" customWidth="1"/>
    <col min="33" max="33" width="12.85546875" style="712" bestFit="1" customWidth="1"/>
    <col min="34" max="16384" width="9.140625" style="712"/>
  </cols>
  <sheetData>
    <row r="1" spans="1:36" ht="20.25" hidden="1" customHeight="1">
      <c r="A1" s="2537"/>
      <c r="B1" s="2537"/>
      <c r="D1" s="1563"/>
      <c r="E1" s="1563"/>
      <c r="F1" s="1563"/>
      <c r="G1" s="1563"/>
      <c r="H1" s="1563"/>
      <c r="I1" s="1563"/>
      <c r="J1" s="1563"/>
      <c r="L1" s="2384"/>
      <c r="M1" s="2384"/>
      <c r="N1" s="2384"/>
      <c r="O1" s="2384"/>
    </row>
    <row r="2" spans="1:36" ht="18.75" hidden="1" customHeight="1">
      <c r="B2" s="2202"/>
      <c r="D2" s="1569"/>
      <c r="E2" s="2202"/>
      <c r="F2" s="2202"/>
      <c r="M2" s="1569"/>
    </row>
    <row r="3" spans="1:36" s="1575" customFormat="1" ht="18.75" hidden="1" customHeight="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36"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36" s="1575" customFormat="1" ht="28.5" customHeight="1">
      <c r="A5" s="2361" t="s">
        <v>5</v>
      </c>
      <c r="B5" s="2361"/>
      <c r="C5" s="2361"/>
      <c r="D5" s="2361"/>
      <c r="E5" s="2361"/>
      <c r="F5" s="2361"/>
      <c r="G5" s="2361"/>
      <c r="H5" s="2361"/>
      <c r="I5" s="2361"/>
      <c r="J5" s="2361"/>
      <c r="K5" s="2361"/>
      <c r="L5" s="2361"/>
      <c r="M5" s="2361"/>
      <c r="N5" s="2361"/>
      <c r="O5" s="2361"/>
      <c r="P5" s="2361"/>
      <c r="Q5" s="2361"/>
      <c r="R5" s="2361"/>
      <c r="S5" s="2361"/>
      <c r="T5" s="2361"/>
      <c r="U5" s="2361"/>
      <c r="V5" s="2361"/>
      <c r="W5" s="2361"/>
      <c r="X5" s="2361"/>
      <c r="Y5" s="2361"/>
      <c r="Z5" s="2361"/>
      <c r="AA5" s="2361"/>
    </row>
    <row r="6" spans="1:36" s="1575" customFormat="1" ht="33" customHeight="1">
      <c r="A6" s="2361" t="s">
        <v>236</v>
      </c>
      <c r="B6" s="2361"/>
      <c r="C6" s="2361"/>
      <c r="D6" s="2361"/>
      <c r="E6" s="2361"/>
      <c r="F6" s="2361"/>
      <c r="G6" s="2361"/>
      <c r="H6" s="2361"/>
      <c r="I6" s="2361"/>
      <c r="J6" s="2361"/>
      <c r="K6" s="2361"/>
      <c r="L6" s="2361"/>
      <c r="M6" s="2361"/>
      <c r="N6" s="2361"/>
      <c r="O6" s="2361"/>
      <c r="P6" s="2361"/>
      <c r="Q6" s="2361"/>
      <c r="R6" s="2361"/>
      <c r="S6" s="2361"/>
      <c r="T6" s="2361"/>
      <c r="U6" s="2361"/>
      <c r="V6" s="2361"/>
      <c r="W6" s="2361"/>
      <c r="X6" s="2361"/>
      <c r="Y6" s="2361"/>
      <c r="Z6" s="2361"/>
      <c r="AA6" s="2361"/>
    </row>
    <row r="7" spans="1:36" s="1575" customFormat="1" ht="32.25" customHeight="1">
      <c r="A7" s="2361" t="s">
        <v>1854</v>
      </c>
      <c r="B7" s="2361"/>
      <c r="C7" s="2361"/>
      <c r="D7" s="2361"/>
      <c r="E7" s="2361"/>
      <c r="F7" s="2361"/>
      <c r="G7" s="2361"/>
      <c r="H7" s="2361"/>
      <c r="I7" s="2361"/>
      <c r="J7" s="2361"/>
      <c r="K7" s="2361"/>
      <c r="L7" s="2361"/>
      <c r="M7" s="2361"/>
      <c r="N7" s="2361"/>
      <c r="O7" s="2361"/>
      <c r="P7" s="2361"/>
      <c r="Q7" s="2361"/>
      <c r="R7" s="2361"/>
      <c r="S7" s="2361"/>
      <c r="T7" s="2361"/>
      <c r="U7" s="2361"/>
      <c r="V7" s="2361"/>
      <c r="W7" s="2361"/>
      <c r="X7" s="2361"/>
      <c r="Y7" s="2361"/>
      <c r="Z7" s="2361"/>
      <c r="AA7" s="2361"/>
    </row>
    <row r="8" spans="1:36" s="1575" customFormat="1">
      <c r="A8" s="1943"/>
      <c r="B8" s="1571"/>
      <c r="C8" s="1835"/>
      <c r="D8" s="1587"/>
      <c r="E8" s="1660"/>
      <c r="F8" s="1661"/>
      <c r="H8" s="1661"/>
      <c r="I8" s="1589"/>
      <c r="J8" s="1587"/>
      <c r="K8" s="1591"/>
      <c r="L8" s="1591"/>
      <c r="M8" s="1585"/>
      <c r="N8" s="2533" t="s">
        <v>377</v>
      </c>
      <c r="O8" s="2533"/>
      <c r="P8" s="1577"/>
      <c r="Q8" s="1863"/>
      <c r="R8" s="1591"/>
      <c r="S8" s="1591"/>
      <c r="T8" s="1591"/>
      <c r="U8" s="1661"/>
      <c r="V8" s="1661"/>
      <c r="W8" s="1661" t="s">
        <v>1314</v>
      </c>
    </row>
    <row r="9" spans="1:36" ht="42.75" customHeight="1">
      <c r="A9" s="2563" t="s">
        <v>18</v>
      </c>
      <c r="B9" s="2380" t="s">
        <v>0</v>
      </c>
      <c r="C9" s="2564" t="s">
        <v>1535</v>
      </c>
      <c r="D9" s="2596" t="s">
        <v>1846</v>
      </c>
      <c r="E9" s="2542" t="s">
        <v>257</v>
      </c>
      <c r="F9" s="2542"/>
      <c r="G9" s="2374" t="s">
        <v>442</v>
      </c>
      <c r="H9" s="2542" t="s">
        <v>257</v>
      </c>
      <c r="I9" s="2542"/>
      <c r="J9" s="2593" t="s">
        <v>1672</v>
      </c>
      <c r="K9" s="2542" t="s">
        <v>257</v>
      </c>
      <c r="L9" s="2542"/>
      <c r="M9" s="2374" t="s">
        <v>1313</v>
      </c>
      <c r="N9" s="2542" t="s">
        <v>257</v>
      </c>
      <c r="O9" s="2542"/>
      <c r="P9" s="2550" t="s">
        <v>1110</v>
      </c>
      <c r="Q9" s="2550" t="s">
        <v>1106</v>
      </c>
      <c r="R9" s="2374" t="s">
        <v>1643</v>
      </c>
      <c r="S9" s="2542" t="s">
        <v>257</v>
      </c>
      <c r="T9" s="2542"/>
      <c r="U9" s="2374" t="s">
        <v>1644</v>
      </c>
      <c r="V9" s="2542" t="s">
        <v>257</v>
      </c>
      <c r="W9" s="2542"/>
      <c r="Y9" s="2596" t="s">
        <v>1845</v>
      </c>
      <c r="Z9" s="2542" t="s">
        <v>257</v>
      </c>
      <c r="AA9" s="2542"/>
    </row>
    <row r="10" spans="1:36" ht="96" customHeight="1">
      <c r="A10" s="2563"/>
      <c r="B10" s="2380"/>
      <c r="C10" s="2564"/>
      <c r="D10" s="2575"/>
      <c r="E10" s="709" t="s">
        <v>1814</v>
      </c>
      <c r="F10" s="709" t="s">
        <v>258</v>
      </c>
      <c r="G10" s="2374"/>
      <c r="H10" s="709" t="s">
        <v>1815</v>
      </c>
      <c r="I10" s="709" t="s">
        <v>258</v>
      </c>
      <c r="J10" s="2593"/>
      <c r="K10" s="709" t="s">
        <v>1074</v>
      </c>
      <c r="L10" s="709" t="s">
        <v>258</v>
      </c>
      <c r="M10" s="2374"/>
      <c r="N10" s="709" t="s">
        <v>1816</v>
      </c>
      <c r="O10" s="709" t="s">
        <v>258</v>
      </c>
      <c r="P10" s="2550"/>
      <c r="Q10" s="2550"/>
      <c r="R10" s="2374"/>
      <c r="S10" s="709" t="s">
        <v>1074</v>
      </c>
      <c r="T10" s="709" t="s">
        <v>258</v>
      </c>
      <c r="U10" s="2374"/>
      <c r="V10" s="709" t="s">
        <v>1074</v>
      </c>
      <c r="W10" s="709" t="s">
        <v>258</v>
      </c>
      <c r="Y10" s="2575"/>
      <c r="Z10" s="709" t="s">
        <v>1814</v>
      </c>
      <c r="AA10" s="709" t="s">
        <v>258</v>
      </c>
    </row>
    <row r="11" spans="1:36">
      <c r="A11" s="2204">
        <v>1</v>
      </c>
      <c r="B11" s="507">
        <v>2</v>
      </c>
      <c r="C11" s="2204"/>
      <c r="D11" s="507">
        <v>3</v>
      </c>
      <c r="E11" s="507">
        <v>4</v>
      </c>
      <c r="F11" s="507">
        <v>5</v>
      </c>
      <c r="G11" s="1868">
        <v>7</v>
      </c>
      <c r="H11" s="1868">
        <v>8</v>
      </c>
      <c r="I11" s="1868">
        <v>9</v>
      </c>
      <c r="J11" s="1868">
        <v>10</v>
      </c>
      <c r="K11" s="1868">
        <v>11</v>
      </c>
      <c r="L11" s="1868">
        <v>12</v>
      </c>
      <c r="M11" s="1868">
        <v>13</v>
      </c>
      <c r="N11" s="1868">
        <v>14</v>
      </c>
      <c r="O11" s="1868">
        <v>15</v>
      </c>
      <c r="P11" s="2203">
        <v>10</v>
      </c>
      <c r="Q11" s="2203">
        <v>11</v>
      </c>
      <c r="R11" s="2203">
        <v>9</v>
      </c>
      <c r="S11" s="2203">
        <v>10</v>
      </c>
      <c r="T11" s="2203">
        <v>11</v>
      </c>
      <c r="U11" s="2203">
        <v>12</v>
      </c>
      <c r="V11" s="2203">
        <v>13</v>
      </c>
      <c r="W11" s="2203">
        <v>14</v>
      </c>
      <c r="Y11" s="507">
        <v>3</v>
      </c>
      <c r="Z11" s="507">
        <v>4</v>
      </c>
      <c r="AA11" s="507">
        <v>5</v>
      </c>
    </row>
    <row r="12" spans="1:36" s="791" customFormat="1" ht="23.25" hidden="1">
      <c r="A12" s="2204"/>
      <c r="B12" s="487" t="s">
        <v>10</v>
      </c>
      <c r="C12" s="1869"/>
      <c r="D12" s="1594">
        <f>SUM(E12:F12)</f>
        <v>10441754</v>
      </c>
      <c r="E12" s="1594">
        <f>E13+E315+E367+E389</f>
        <v>8423826.0999999996</v>
      </c>
      <c r="F12" s="1594">
        <f>F13+F315+F367+F389</f>
        <v>2017927.9</v>
      </c>
      <c r="G12" s="1594">
        <f>SUM(H12:I12)</f>
        <v>10212163.5</v>
      </c>
      <c r="H12" s="1594">
        <f>H13+H315+H367+H389</f>
        <v>8276962.5999999996</v>
      </c>
      <c r="I12" s="1594">
        <f>I13+I315+I367+I389</f>
        <v>1935200.9</v>
      </c>
      <c r="J12" s="1594">
        <f>SUM(K12:L12)</f>
        <v>6264313.2000000002</v>
      </c>
      <c r="K12" s="1594">
        <f>K13+K315+K367+K389</f>
        <v>5162043.3</v>
      </c>
      <c r="L12" s="1594">
        <f>L13+L315+L367+L389</f>
        <v>1102269.8999999999</v>
      </c>
      <c r="M12" s="1870">
        <f>IF(J12=0,0,J12/G12*100)</f>
        <v>61.3</v>
      </c>
      <c r="N12" s="1870">
        <f>IF(K12=0,0,K12/H12*100)</f>
        <v>62.4</v>
      </c>
      <c r="O12" s="1870">
        <f>IF(L12=0,0,L12/I12*100)</f>
        <v>57</v>
      </c>
      <c r="P12" s="643" t="s">
        <v>353</v>
      </c>
      <c r="Q12" s="643"/>
      <c r="R12" s="1594" t="e">
        <f t="shared" ref="R12:R61" si="0">SUM(S12:T12)</f>
        <v>#REF!</v>
      </c>
      <c r="S12" s="1594" t="e">
        <f>SUM(S13,S315,S367)</f>
        <v>#REF!</v>
      </c>
      <c r="T12" s="1594" t="e">
        <f>SUM(T13,T315,T367)</f>
        <v>#REF!</v>
      </c>
      <c r="U12" s="1594" t="e">
        <f t="shared" ref="U12:U22" si="1">SUM(V12:W12)</f>
        <v>#REF!</v>
      </c>
      <c r="V12" s="1594" t="e">
        <f>SUM(V13,V315,V367)</f>
        <v>#REF!</v>
      </c>
      <c r="W12" s="1594" t="e">
        <f>SUM(W13,W315,W367)</f>
        <v>#REF!</v>
      </c>
      <c r="X12" s="1423">
        <f>D12-G12</f>
        <v>229590.5</v>
      </c>
      <c r="Y12" s="1594">
        <f>SUM(Z12:AA12)</f>
        <v>1533952.2</v>
      </c>
      <c r="Z12" s="1594">
        <f>Z13+Z315+Z367+Z389</f>
        <v>1357239.8</v>
      </c>
      <c r="AA12" s="1594">
        <f>AA13+AA315+AA367+AA389</f>
        <v>176712.4</v>
      </c>
      <c r="AB12" s="1423"/>
      <c r="AC12" s="1423"/>
      <c r="AD12" s="1423"/>
      <c r="AE12" s="1423"/>
    </row>
    <row r="13" spans="1:36" s="791" customFormat="1" ht="44.25" hidden="1" customHeight="1">
      <c r="A13" s="2565" t="s">
        <v>453</v>
      </c>
      <c r="B13" s="2565"/>
      <c r="C13" s="1869"/>
      <c r="D13" s="1594">
        <f>SUM(E13:F13)</f>
        <v>8002797.0999999996</v>
      </c>
      <c r="E13" s="1594">
        <f>SUM(E14,E127)</f>
        <v>6500062.7999999998</v>
      </c>
      <c r="F13" s="1594">
        <f>SUM(F14,F127)</f>
        <v>1502734.3</v>
      </c>
      <c r="G13" s="1594">
        <f>SUM(H13:I13)</f>
        <v>8001994.0999999996</v>
      </c>
      <c r="H13" s="1594">
        <f>SUM(H14,H127)</f>
        <v>6499308</v>
      </c>
      <c r="I13" s="1594">
        <f>SUM(I14,I127)</f>
        <v>1502686.1</v>
      </c>
      <c r="J13" s="1594">
        <f>SUM(K13:L13)</f>
        <v>4317261.5999999996</v>
      </c>
      <c r="K13" s="1594">
        <f>SUM(K14,K127)</f>
        <v>3551338</v>
      </c>
      <c r="L13" s="1594">
        <f>SUM(L14,L127)</f>
        <v>765923.6</v>
      </c>
      <c r="M13" s="1870">
        <f t="shared" ref="M13:O78" si="2">IF(J13=0,0,J13/G13*100)</f>
        <v>54</v>
      </c>
      <c r="N13" s="1871">
        <f t="shared" si="2"/>
        <v>54.6</v>
      </c>
      <c r="O13" s="1871">
        <f t="shared" si="2"/>
        <v>51</v>
      </c>
      <c r="P13" s="643" t="s">
        <v>353</v>
      </c>
      <c r="Q13" s="643" t="s">
        <v>353</v>
      </c>
      <c r="R13" s="1594" t="e">
        <f t="shared" si="0"/>
        <v>#REF!</v>
      </c>
      <c r="S13" s="1594" t="e">
        <f>SUM(S14,S127)</f>
        <v>#REF!</v>
      </c>
      <c r="T13" s="1594" t="e">
        <f>SUM(T14,T127)</f>
        <v>#REF!</v>
      </c>
      <c r="U13" s="1594" t="e">
        <f t="shared" si="1"/>
        <v>#REF!</v>
      </c>
      <c r="V13" s="1594" t="e">
        <f>SUM(V14,V127)</f>
        <v>#REF!</v>
      </c>
      <c r="W13" s="1594" t="e">
        <f>SUM(W14,W127)</f>
        <v>#REF!</v>
      </c>
      <c r="X13" s="1423">
        <f t="shared" ref="X13:X76" si="3">D13-G13</f>
        <v>803</v>
      </c>
      <c r="Y13" s="1594">
        <f>SUM(Z13:AA13)</f>
        <v>1533952.2</v>
      </c>
      <c r="Z13" s="1594">
        <f>SUM(Z14,Z127)</f>
        <v>1357239.8</v>
      </c>
      <c r="AA13" s="1594">
        <f>SUM(AA14,AA127)</f>
        <v>176712.4</v>
      </c>
      <c r="AB13" s="1423"/>
      <c r="AC13" s="1423"/>
      <c r="AD13" s="1423"/>
      <c r="AE13" s="1423"/>
      <c r="AF13" s="1423"/>
      <c r="AG13" s="1423"/>
      <c r="AH13" s="1423"/>
      <c r="AI13" s="1423"/>
      <c r="AJ13" s="1423"/>
    </row>
    <row r="14" spans="1:36" ht="87.75" hidden="1" customHeight="1">
      <c r="A14" s="2204" t="s">
        <v>6</v>
      </c>
      <c r="B14" s="2007" t="s">
        <v>439</v>
      </c>
      <c r="C14" s="1873"/>
      <c r="D14" s="1596">
        <f>SUM(E14:F14)</f>
        <v>1476531</v>
      </c>
      <c r="E14" s="1596">
        <f>SUM(E15,E80)</f>
        <v>1357239.8</v>
      </c>
      <c r="F14" s="1596">
        <f>SUM(F15,F80)</f>
        <v>119291.2</v>
      </c>
      <c r="G14" s="1596">
        <f>SUM(H14:I14)</f>
        <v>1475728</v>
      </c>
      <c r="H14" s="1596">
        <f>SUM(H15,H80)</f>
        <v>1356485</v>
      </c>
      <c r="I14" s="1596">
        <f>SUM(I15,I80)</f>
        <v>119243</v>
      </c>
      <c r="J14" s="1596">
        <f>SUM(K14:L14)</f>
        <v>1233147.3</v>
      </c>
      <c r="K14" s="1596">
        <f>SUM(K15,K80)</f>
        <v>1151607.2</v>
      </c>
      <c r="L14" s="1596">
        <f>SUM(L15,L80)</f>
        <v>81540.100000000006</v>
      </c>
      <c r="M14" s="2008">
        <f t="shared" si="2"/>
        <v>83.6</v>
      </c>
      <c r="N14" s="2009">
        <f t="shared" si="2"/>
        <v>84.9</v>
      </c>
      <c r="O14" s="2009">
        <f t="shared" si="2"/>
        <v>68.400000000000006</v>
      </c>
      <c r="P14" s="1597" t="s">
        <v>353</v>
      </c>
      <c r="Q14" s="1597" t="s">
        <v>353</v>
      </c>
      <c r="R14" s="1861" t="e">
        <f t="shared" si="0"/>
        <v>#REF!</v>
      </c>
      <c r="S14" s="1861" t="e">
        <f>SUM(S15,S80)</f>
        <v>#REF!</v>
      </c>
      <c r="T14" s="1861" t="e">
        <f>SUM(T15,T80)</f>
        <v>#REF!</v>
      </c>
      <c r="U14" s="1861" t="e">
        <f t="shared" si="1"/>
        <v>#REF!</v>
      </c>
      <c r="V14" s="1861" t="e">
        <f>SUM(V15,V80)</f>
        <v>#REF!</v>
      </c>
      <c r="W14" s="1861" t="e">
        <f>SUM(W15,W80)</f>
        <v>#REF!</v>
      </c>
      <c r="X14" s="1423">
        <f t="shared" si="3"/>
        <v>803</v>
      </c>
      <c r="Y14" s="1596">
        <f>SUM(Z14:AA14)</f>
        <v>1476531</v>
      </c>
      <c r="Z14" s="1596">
        <f>SUM(Z15,Z80)</f>
        <v>1357239.8</v>
      </c>
      <c r="AA14" s="1596">
        <f>SUM(AA15,AA80)</f>
        <v>119291.2</v>
      </c>
      <c r="AB14" s="1423"/>
      <c r="AC14" s="1423"/>
      <c r="AD14" s="1423"/>
    </row>
    <row r="15" spans="1:36" ht="36.75" hidden="1" customHeight="1">
      <c r="A15" s="2204" t="s">
        <v>253</v>
      </c>
      <c r="B15" s="1876" t="s">
        <v>1393</v>
      </c>
      <c r="C15" s="1877"/>
      <c r="D15" s="1598">
        <f t="shared" ref="D15:D86" si="4">SUM(E15:F15)</f>
        <v>71639.100000000006</v>
      </c>
      <c r="E15" s="1598">
        <f>SUM(E16,E24,E29,E33,E36,E41,E43,E50,E58,E64,E70,E75)</f>
        <v>964.8</v>
      </c>
      <c r="F15" s="1598">
        <f>SUM(F16,F24,F29,F33,F36,F41,F43,F50,F58,F64,F70,F75)</f>
        <v>70674.3</v>
      </c>
      <c r="G15" s="1598">
        <f t="shared" ref="G15:G47" si="5">SUM(H15:I15)</f>
        <v>71639.100000000006</v>
      </c>
      <c r="H15" s="1598">
        <f>SUM(H16,H24,H29,H33,H36,H41,H43,H50,H58,H64,H70,H75)</f>
        <v>964.8</v>
      </c>
      <c r="I15" s="1598">
        <f>SUM(I16,I24,I29,I33,I36,I41,I43,I50,I58,I64,I70,I75)</f>
        <v>70674.3</v>
      </c>
      <c r="J15" s="1598">
        <f t="shared" ref="J15:J46" si="6">SUM(K15:L15)</f>
        <v>43890.8</v>
      </c>
      <c r="K15" s="1598">
        <f>SUM(K16,K24,K29,K33,K36,K41,K43,K50,K58,K64,K70,K75)</f>
        <v>539.20000000000005</v>
      </c>
      <c r="L15" s="1598">
        <f>SUM(L16,L24,L29,L33,L36,L41,L43,L50,L58,L64,L70,L75)</f>
        <v>43351.6</v>
      </c>
      <c r="M15" s="1598">
        <f t="shared" si="2"/>
        <v>61.3</v>
      </c>
      <c r="N15" s="1598">
        <f t="shared" si="2"/>
        <v>55.9</v>
      </c>
      <c r="O15" s="1598">
        <f t="shared" si="2"/>
        <v>61.3</v>
      </c>
      <c r="P15" s="1599" t="s">
        <v>353</v>
      </c>
      <c r="Q15" s="1599" t="s">
        <v>353</v>
      </c>
      <c r="R15" s="1598">
        <f>SUM(S15:T15)</f>
        <v>31834.5</v>
      </c>
      <c r="S15" s="1598">
        <f>SUM(S16,S19,S21,S24,S29,S31,S33,S36,S41,S43,S47,S50,S56,S58,S61,S64,S70,S75)</f>
        <v>0</v>
      </c>
      <c r="T15" s="1598">
        <f>SUM(T16,T19,T21,T24,T29,T31,T33,T36,T41,T43,T47,T50,T56,T58,T61,T64,T70,T75)</f>
        <v>31834.5</v>
      </c>
      <c r="U15" s="1598">
        <f>SUM(V15:W15)</f>
        <v>0</v>
      </c>
      <c r="V15" s="1598">
        <f>SUM(V16,V19,V21,V24,V29,V31,V33,V36,V41,V43,V47,V50,V56,V58,V61,V64,V70,V75)</f>
        <v>0</v>
      </c>
      <c r="W15" s="1598">
        <f>SUM(W16,W19,W21,W24,W29,W31,W33,W36,W41,W43,W47,W50,W56,W58,W61,W64,W70,W75)</f>
        <v>0</v>
      </c>
      <c r="X15" s="1423">
        <f t="shared" si="3"/>
        <v>0</v>
      </c>
      <c r="Y15" s="1598">
        <f t="shared" ref="Y15:Y17" si="7">SUM(Z15:AA15)</f>
        <v>71639.100000000006</v>
      </c>
      <c r="Z15" s="1598">
        <f>SUM(Z16,Z24,Z29,Z33,Z36,Z41,Z43,Z50,Z58,Z64,Z70,Z75)</f>
        <v>964.8</v>
      </c>
      <c r="AA15" s="1598">
        <f>SUM(AA16,AA24,AA29,AA33,AA36,AA41,AA43,AA50,AA58,AA64,AA70,AA75)</f>
        <v>70674.3</v>
      </c>
      <c r="AB15" s="1423"/>
      <c r="AC15" s="1423"/>
      <c r="AD15" s="1423"/>
    </row>
    <row r="16" spans="1:36" ht="26.25" hidden="1" customHeight="1">
      <c r="A16" s="2204"/>
      <c r="B16" s="2206" t="s">
        <v>283</v>
      </c>
      <c r="C16" s="2205"/>
      <c r="D16" s="1600">
        <f t="shared" si="4"/>
        <v>3514.8</v>
      </c>
      <c r="E16" s="1600">
        <f>E17+E18</f>
        <v>964.8</v>
      </c>
      <c r="F16" s="1600">
        <f>F17+F18</f>
        <v>2550</v>
      </c>
      <c r="G16" s="1600">
        <f t="shared" si="5"/>
        <v>3514.8</v>
      </c>
      <c r="H16" s="1600">
        <f>H17+H18</f>
        <v>964.8</v>
      </c>
      <c r="I16" s="1600">
        <f>I17+I18</f>
        <v>2550</v>
      </c>
      <c r="J16" s="1600">
        <f t="shared" si="6"/>
        <v>3089.2</v>
      </c>
      <c r="K16" s="1600">
        <f>K17+K18</f>
        <v>539.20000000000005</v>
      </c>
      <c r="L16" s="1600">
        <f>L17+L18</f>
        <v>2550</v>
      </c>
      <c r="M16" s="1600">
        <f t="shared" si="2"/>
        <v>87.9</v>
      </c>
      <c r="N16" s="1600">
        <f t="shared" si="2"/>
        <v>55.9</v>
      </c>
      <c r="O16" s="1600">
        <f t="shared" si="2"/>
        <v>100</v>
      </c>
      <c r="P16" s="1599"/>
      <c r="Q16" s="1599"/>
      <c r="R16" s="1600">
        <f>SUM(S16:T16)</f>
        <v>0</v>
      </c>
      <c r="S16" s="1600">
        <f>S17</f>
        <v>0</v>
      </c>
      <c r="T16" s="1600">
        <f>T17</f>
        <v>0</v>
      </c>
      <c r="U16" s="1600">
        <f>SUM(V16:W16)</f>
        <v>0</v>
      </c>
      <c r="V16" s="1600">
        <f>V17</f>
        <v>0</v>
      </c>
      <c r="W16" s="1600">
        <f>W17</f>
        <v>0</v>
      </c>
      <c r="X16" s="1423">
        <f t="shared" si="3"/>
        <v>0</v>
      </c>
      <c r="Y16" s="1600">
        <f t="shared" si="7"/>
        <v>3514.8</v>
      </c>
      <c r="Z16" s="1600">
        <f>Z17+Z18</f>
        <v>964.8</v>
      </c>
      <c r="AA16" s="1600">
        <f>AA17+AA18</f>
        <v>2550</v>
      </c>
      <c r="AB16" s="1423"/>
      <c r="AC16" s="1423"/>
      <c r="AD16" s="1423"/>
    </row>
    <row r="17" spans="1:30" ht="64.5" hidden="1" customHeight="1">
      <c r="A17" s="2204">
        <v>1</v>
      </c>
      <c r="B17" s="1879" t="s">
        <v>1565</v>
      </c>
      <c r="C17" s="1880"/>
      <c r="D17" s="1602">
        <f t="shared" si="4"/>
        <v>2550</v>
      </c>
      <c r="E17" s="1616">
        <v>0</v>
      </c>
      <c r="F17" s="1616">
        <v>2550</v>
      </c>
      <c r="G17" s="1602">
        <f t="shared" si="5"/>
        <v>2550</v>
      </c>
      <c r="H17" s="1616">
        <f>E17</f>
        <v>0</v>
      </c>
      <c r="I17" s="1616">
        <f>F17</f>
        <v>2550</v>
      </c>
      <c r="J17" s="1602">
        <f t="shared" si="6"/>
        <v>2550</v>
      </c>
      <c r="K17" s="1616">
        <v>0</v>
      </c>
      <c r="L17" s="1616">
        <v>2550</v>
      </c>
      <c r="M17" s="1604">
        <f t="shared" si="2"/>
        <v>100</v>
      </c>
      <c r="N17" s="1881">
        <f t="shared" si="2"/>
        <v>0</v>
      </c>
      <c r="O17" s="1881">
        <f t="shared" si="2"/>
        <v>100</v>
      </c>
      <c r="P17" s="1599"/>
      <c r="Q17" s="1599"/>
      <c r="R17" s="1602">
        <f t="shared" si="0"/>
        <v>0</v>
      </c>
      <c r="S17" s="1619">
        <v>0</v>
      </c>
      <c r="T17" s="1619">
        <v>0</v>
      </c>
      <c r="U17" s="1602">
        <f t="shared" si="1"/>
        <v>0</v>
      </c>
      <c r="V17" s="1619">
        <v>0</v>
      </c>
      <c r="W17" s="1619">
        <v>0</v>
      </c>
      <c r="X17" s="1423">
        <f t="shared" si="3"/>
        <v>0</v>
      </c>
      <c r="Y17" s="1602">
        <f t="shared" si="7"/>
        <v>2550</v>
      </c>
      <c r="Z17" s="1616">
        <v>0</v>
      </c>
      <c r="AA17" s="1616">
        <v>2550</v>
      </c>
      <c r="AB17" s="1423"/>
      <c r="AC17" s="1423"/>
      <c r="AD17" s="1423"/>
    </row>
    <row r="18" spans="1:30" ht="119.25" hidden="1" customHeight="1">
      <c r="A18" s="2204">
        <f>A17+1</f>
        <v>2</v>
      </c>
      <c r="B18" s="1885" t="s">
        <v>1412</v>
      </c>
      <c r="C18" s="1880"/>
      <c r="D18" s="1602">
        <f>SUM(E18:F18)</f>
        <v>964.8</v>
      </c>
      <c r="E18" s="1616">
        <v>964.8</v>
      </c>
      <c r="F18" s="1616">
        <v>0</v>
      </c>
      <c r="G18" s="1602">
        <f>SUM(H18:I18)</f>
        <v>964.8</v>
      </c>
      <c r="H18" s="1616">
        <f>E18</f>
        <v>964.8</v>
      </c>
      <c r="I18" s="1616">
        <f>F18</f>
        <v>0</v>
      </c>
      <c r="J18" s="1602">
        <f>SUM(K18:L18)</f>
        <v>539.20000000000005</v>
      </c>
      <c r="K18" s="1616">
        <v>539.20000000000005</v>
      </c>
      <c r="L18" s="1616">
        <v>0</v>
      </c>
      <c r="M18" s="1604">
        <f t="shared" si="2"/>
        <v>55.9</v>
      </c>
      <c r="N18" s="1881">
        <f t="shared" si="2"/>
        <v>55.9</v>
      </c>
      <c r="O18" s="1881">
        <f t="shared" si="2"/>
        <v>0</v>
      </c>
      <c r="P18" s="1599"/>
      <c r="Q18" s="1599"/>
      <c r="R18" s="1602"/>
      <c r="S18" s="1619"/>
      <c r="T18" s="1619"/>
      <c r="U18" s="1602"/>
      <c r="V18" s="1619"/>
      <c r="W18" s="1619"/>
      <c r="X18" s="1423"/>
      <c r="Y18" s="1602">
        <f>SUM(Z18:AA18)</f>
        <v>964.8</v>
      </c>
      <c r="Z18" s="1616">
        <v>964.8</v>
      </c>
      <c r="AA18" s="1616">
        <v>0</v>
      </c>
      <c r="AB18" s="1423"/>
      <c r="AC18" s="1423"/>
      <c r="AD18" s="1423"/>
    </row>
    <row r="19" spans="1:30" s="1607" customFormat="1" ht="25.5" hidden="1" customHeight="1">
      <c r="A19" s="2204"/>
      <c r="B19" s="2206" t="s">
        <v>433</v>
      </c>
      <c r="C19" s="2205"/>
      <c r="D19" s="1602">
        <f t="shared" si="4"/>
        <v>0</v>
      </c>
      <c r="E19" s="1602">
        <f t="shared" ref="E19:L19" si="8">E20</f>
        <v>0</v>
      </c>
      <c r="F19" s="1602">
        <f t="shared" si="8"/>
        <v>0</v>
      </c>
      <c r="G19" s="1602">
        <f>SUM(H19:I19)</f>
        <v>0</v>
      </c>
      <c r="H19" s="1602">
        <f t="shared" si="8"/>
        <v>0</v>
      </c>
      <c r="I19" s="1602">
        <f t="shared" si="8"/>
        <v>0</v>
      </c>
      <c r="J19" s="1602">
        <f t="shared" si="6"/>
        <v>0</v>
      </c>
      <c r="K19" s="1602">
        <f t="shared" si="8"/>
        <v>0</v>
      </c>
      <c r="L19" s="1602">
        <f t="shared" si="8"/>
        <v>0</v>
      </c>
      <c r="M19" s="2208">
        <f t="shared" si="2"/>
        <v>0</v>
      </c>
      <c r="N19" s="2208">
        <f t="shared" si="2"/>
        <v>0</v>
      </c>
      <c r="O19" s="2208">
        <f t="shared" si="2"/>
        <v>0</v>
      </c>
      <c r="P19" s="2203" t="s">
        <v>353</v>
      </c>
      <c r="Q19" s="2203" t="s">
        <v>353</v>
      </c>
      <c r="R19" s="1602">
        <f t="shared" si="0"/>
        <v>0</v>
      </c>
      <c r="S19" s="1602">
        <f>S20</f>
        <v>0</v>
      </c>
      <c r="T19" s="1602">
        <f>T20</f>
        <v>0</v>
      </c>
      <c r="U19" s="1602">
        <f t="shared" si="1"/>
        <v>0</v>
      </c>
      <c r="V19" s="1602">
        <f>V20</f>
        <v>0</v>
      </c>
      <c r="W19" s="1602">
        <f>W20</f>
        <v>0</v>
      </c>
      <c r="X19" s="1423">
        <f t="shared" si="3"/>
        <v>0</v>
      </c>
      <c r="Y19" s="1602">
        <f t="shared" ref="Y19:Y23" si="9">SUM(Z19:AA19)</f>
        <v>0</v>
      </c>
      <c r="Z19" s="1602">
        <f t="shared" ref="Z19:AA19" si="10">Z20</f>
        <v>0</v>
      </c>
      <c r="AA19" s="1602">
        <f t="shared" si="10"/>
        <v>0</v>
      </c>
      <c r="AB19" s="1423"/>
      <c r="AC19" s="1423"/>
      <c r="AD19" s="1423"/>
    </row>
    <row r="20" spans="1:30" s="1607" customFormat="1" ht="120.75" hidden="1" customHeight="1">
      <c r="A20" s="2204">
        <f>A18+1</f>
        <v>3</v>
      </c>
      <c r="B20" s="521" t="s">
        <v>1674</v>
      </c>
      <c r="C20" s="1882"/>
      <c r="D20" s="1602">
        <f t="shared" si="4"/>
        <v>0</v>
      </c>
      <c r="E20" s="1616"/>
      <c r="F20" s="1616">
        <v>0</v>
      </c>
      <c r="G20" s="1602">
        <f t="shared" si="5"/>
        <v>0</v>
      </c>
      <c r="H20" s="1616">
        <f>E20</f>
        <v>0</v>
      </c>
      <c r="I20" s="1616">
        <v>0</v>
      </c>
      <c r="J20" s="1602">
        <f t="shared" si="6"/>
        <v>0</v>
      </c>
      <c r="K20" s="1616"/>
      <c r="L20" s="1616"/>
      <c r="M20" s="1604">
        <f t="shared" si="2"/>
        <v>0</v>
      </c>
      <c r="N20" s="1881">
        <f t="shared" si="2"/>
        <v>0</v>
      </c>
      <c r="O20" s="1881">
        <f t="shared" si="2"/>
        <v>0</v>
      </c>
      <c r="P20" s="2203"/>
      <c r="Q20" s="2203"/>
      <c r="R20" s="1602">
        <f t="shared" si="0"/>
        <v>0</v>
      </c>
      <c r="S20" s="1616">
        <v>0</v>
      </c>
      <c r="T20" s="1616">
        <v>0</v>
      </c>
      <c r="U20" s="1602">
        <f t="shared" si="1"/>
        <v>0</v>
      </c>
      <c r="V20" s="1616">
        <v>0</v>
      </c>
      <c r="W20" s="1616">
        <v>0</v>
      </c>
      <c r="X20" s="1423">
        <f t="shared" si="3"/>
        <v>0</v>
      </c>
      <c r="Y20" s="1602">
        <f t="shared" si="9"/>
        <v>0</v>
      </c>
      <c r="Z20" s="1616"/>
      <c r="AA20" s="1616">
        <v>0</v>
      </c>
      <c r="AB20" s="1423"/>
      <c r="AC20" s="1423"/>
      <c r="AD20" s="1423"/>
    </row>
    <row r="21" spans="1:30" s="1607" customFormat="1" ht="19.5" hidden="1" customHeight="1">
      <c r="A21" s="2204"/>
      <c r="B21" s="2206" t="s">
        <v>709</v>
      </c>
      <c r="C21" s="2205"/>
      <c r="D21" s="1602">
        <f t="shared" si="4"/>
        <v>0</v>
      </c>
      <c r="E21" s="1603">
        <f>SUM(E22:E23)</f>
        <v>0</v>
      </c>
      <c r="F21" s="1603">
        <f>SUM(F22:F23)</f>
        <v>0</v>
      </c>
      <c r="G21" s="1602">
        <f t="shared" si="5"/>
        <v>0</v>
      </c>
      <c r="H21" s="1603">
        <f t="shared" ref="H21:I78" si="11">E21</f>
        <v>0</v>
      </c>
      <c r="I21" s="1603">
        <f t="shared" si="11"/>
        <v>0</v>
      </c>
      <c r="J21" s="1602">
        <f t="shared" si="6"/>
        <v>0</v>
      </c>
      <c r="K21" s="1603">
        <f>SUM(K22:K23)</f>
        <v>0</v>
      </c>
      <c r="L21" s="1603">
        <f>SUM(L22:L23)</f>
        <v>0</v>
      </c>
      <c r="M21" s="2208">
        <f t="shared" si="2"/>
        <v>0</v>
      </c>
      <c r="N21" s="2208">
        <f t="shared" si="2"/>
        <v>0</v>
      </c>
      <c r="O21" s="2208">
        <f t="shared" si="2"/>
        <v>0</v>
      </c>
      <c r="P21" s="2203" t="s">
        <v>353</v>
      </c>
      <c r="Q21" s="2203" t="s">
        <v>353</v>
      </c>
      <c r="R21" s="1602">
        <f t="shared" si="0"/>
        <v>0</v>
      </c>
      <c r="S21" s="1603">
        <f>SUM(S22:S23)</f>
        <v>0</v>
      </c>
      <c r="T21" s="1603">
        <f>SUM(T22:T23)</f>
        <v>0</v>
      </c>
      <c r="U21" s="1602">
        <f t="shared" si="1"/>
        <v>0</v>
      </c>
      <c r="V21" s="1603">
        <f>SUM(V22:V23)</f>
        <v>0</v>
      </c>
      <c r="W21" s="1603">
        <f>SUM(W22:W23)</f>
        <v>0</v>
      </c>
      <c r="X21" s="1423">
        <f t="shared" si="3"/>
        <v>0</v>
      </c>
      <c r="Y21" s="1602">
        <f t="shared" si="9"/>
        <v>0</v>
      </c>
      <c r="Z21" s="1603">
        <f>SUM(Z22:Z23)</f>
        <v>0</v>
      </c>
      <c r="AA21" s="1603">
        <f>SUM(AA22:AA23)</f>
        <v>0</v>
      </c>
      <c r="AB21" s="1423"/>
      <c r="AC21" s="1423"/>
      <c r="AD21" s="1423"/>
    </row>
    <row r="22" spans="1:30" s="1607" customFormat="1" ht="60" hidden="1" customHeight="1">
      <c r="A22" s="2204">
        <f>A20+1</f>
        <v>4</v>
      </c>
      <c r="B22" s="521" t="s">
        <v>1397</v>
      </c>
      <c r="C22" s="1882">
        <v>24368</v>
      </c>
      <c r="D22" s="1602">
        <f t="shared" si="4"/>
        <v>0</v>
      </c>
      <c r="E22" s="1616"/>
      <c r="F22" s="1616">
        <v>0</v>
      </c>
      <c r="G22" s="1602">
        <f t="shared" si="5"/>
        <v>0</v>
      </c>
      <c r="H22" s="1616">
        <f>E22</f>
        <v>0</v>
      </c>
      <c r="I22" s="1616">
        <f>F22</f>
        <v>0</v>
      </c>
      <c r="J22" s="1602">
        <f t="shared" si="6"/>
        <v>0</v>
      </c>
      <c r="K22" s="1616"/>
      <c r="L22" s="1616"/>
      <c r="M22" s="1604">
        <f t="shared" si="2"/>
        <v>0</v>
      </c>
      <c r="N22" s="1881">
        <f t="shared" si="2"/>
        <v>0</v>
      </c>
      <c r="O22" s="1881">
        <f t="shared" si="2"/>
        <v>0</v>
      </c>
      <c r="P22" s="2203" t="s">
        <v>1171</v>
      </c>
      <c r="Q22" s="2203" t="s">
        <v>1116</v>
      </c>
      <c r="R22" s="1600">
        <f t="shared" si="0"/>
        <v>0</v>
      </c>
      <c r="S22" s="1608">
        <v>0</v>
      </c>
      <c r="T22" s="1608">
        <v>0</v>
      </c>
      <c r="U22" s="1600">
        <f t="shared" si="1"/>
        <v>0</v>
      </c>
      <c r="V22" s="1608">
        <v>0</v>
      </c>
      <c r="W22" s="1608">
        <v>0</v>
      </c>
      <c r="X22" s="1423">
        <f t="shared" si="3"/>
        <v>0</v>
      </c>
      <c r="Y22" s="1602">
        <f t="shared" si="9"/>
        <v>0</v>
      </c>
      <c r="Z22" s="1616"/>
      <c r="AA22" s="1616">
        <v>0</v>
      </c>
      <c r="AB22" s="1423"/>
      <c r="AC22" s="1423"/>
      <c r="AD22" s="1423"/>
    </row>
    <row r="23" spans="1:30" s="1607" customFormat="1" ht="42" hidden="1" customHeight="1">
      <c r="A23" s="2204">
        <f>A22+1</f>
        <v>5</v>
      </c>
      <c r="B23" s="1883" t="s">
        <v>1399</v>
      </c>
      <c r="C23" s="1882">
        <v>24368</v>
      </c>
      <c r="D23" s="1602">
        <f t="shared" si="4"/>
        <v>0</v>
      </c>
      <c r="E23" s="1616"/>
      <c r="F23" s="1616">
        <v>0</v>
      </c>
      <c r="G23" s="1602">
        <f t="shared" si="5"/>
        <v>0</v>
      </c>
      <c r="H23" s="1616">
        <f>E23</f>
        <v>0</v>
      </c>
      <c r="I23" s="1616">
        <f>F23</f>
        <v>0</v>
      </c>
      <c r="J23" s="1602">
        <f t="shared" si="6"/>
        <v>0</v>
      </c>
      <c r="K23" s="1616"/>
      <c r="L23" s="1616"/>
      <c r="M23" s="1604">
        <f t="shared" si="2"/>
        <v>0</v>
      </c>
      <c r="N23" s="1881">
        <f t="shared" si="2"/>
        <v>0</v>
      </c>
      <c r="O23" s="1881">
        <f t="shared" si="2"/>
        <v>0</v>
      </c>
      <c r="P23" s="2203" t="s">
        <v>1171</v>
      </c>
      <c r="Q23" s="2203" t="s">
        <v>1116</v>
      </c>
      <c r="R23" s="1600">
        <f t="shared" si="0"/>
        <v>0</v>
      </c>
      <c r="S23" s="1608">
        <v>0</v>
      </c>
      <c r="T23" s="1608">
        <v>0</v>
      </c>
      <c r="U23" s="1600">
        <v>0</v>
      </c>
      <c r="V23" s="1608">
        <v>0</v>
      </c>
      <c r="W23" s="1608">
        <v>0</v>
      </c>
      <c r="X23" s="1423">
        <f t="shared" si="3"/>
        <v>0</v>
      </c>
      <c r="Y23" s="1602">
        <f t="shared" si="9"/>
        <v>0</v>
      </c>
      <c r="Z23" s="1616"/>
      <c r="AA23" s="1616">
        <v>0</v>
      </c>
      <c r="AB23" s="1423"/>
      <c r="AC23" s="1423"/>
      <c r="AD23" s="1423"/>
    </row>
    <row r="24" spans="1:30" s="1570" customFormat="1" ht="21" hidden="1" customHeight="1">
      <c r="A24" s="2204"/>
      <c r="B24" s="1884" t="s">
        <v>712</v>
      </c>
      <c r="C24" s="1880">
        <v>24366</v>
      </c>
      <c r="D24" s="1602">
        <f>SUM(E24:F24)</f>
        <v>168.1</v>
      </c>
      <c r="E24" s="1603">
        <f>SUM(E25:E28)</f>
        <v>0</v>
      </c>
      <c r="F24" s="1603">
        <f>SUM(F25:F28)</f>
        <v>168.1</v>
      </c>
      <c r="G24" s="1602">
        <f>SUM(H24:I24)</f>
        <v>168.1</v>
      </c>
      <c r="H24" s="1603">
        <f>SUM(H25:H28)</f>
        <v>0</v>
      </c>
      <c r="I24" s="1603">
        <f>SUM(I25:I28)</f>
        <v>168.1</v>
      </c>
      <c r="J24" s="1602">
        <f>SUM(K24:L24)</f>
        <v>167.4</v>
      </c>
      <c r="K24" s="1603">
        <f>SUM(K25:K28)</f>
        <v>0</v>
      </c>
      <c r="L24" s="1603">
        <f>SUM(L25:L28)</f>
        <v>167.4</v>
      </c>
      <c r="M24" s="2208">
        <f t="shared" si="2"/>
        <v>99.6</v>
      </c>
      <c r="N24" s="2208">
        <f t="shared" si="2"/>
        <v>0</v>
      </c>
      <c r="O24" s="2208">
        <f t="shared" si="2"/>
        <v>99.6</v>
      </c>
      <c r="P24" s="2203" t="s">
        <v>353</v>
      </c>
      <c r="Q24" s="1612" t="s">
        <v>353</v>
      </c>
      <c r="R24" s="1602">
        <f t="shared" si="0"/>
        <v>0</v>
      </c>
      <c r="S24" s="1603">
        <f>SUM(S25:S27)</f>
        <v>0</v>
      </c>
      <c r="T24" s="1603">
        <f>SUM(T25:T27)</f>
        <v>0</v>
      </c>
      <c r="U24" s="1602">
        <f t="shared" ref="U24:U61" si="12">SUM(V24:W24)</f>
        <v>0</v>
      </c>
      <c r="V24" s="1603">
        <f>SUM(V25:V27)</f>
        <v>0</v>
      </c>
      <c r="W24" s="1603">
        <f>SUM(W25:W27)</f>
        <v>0</v>
      </c>
      <c r="X24" s="1423">
        <f t="shared" si="3"/>
        <v>0</v>
      </c>
      <c r="Y24" s="1602">
        <f>SUM(Z24:AA24)</f>
        <v>168.1</v>
      </c>
      <c r="Z24" s="1603">
        <f>SUM(Z25:Z28)</f>
        <v>0</v>
      </c>
      <c r="AA24" s="1603">
        <f>SUM(AA25:AA28)</f>
        <v>168.1</v>
      </c>
      <c r="AB24" s="1423"/>
      <c r="AC24" s="1423"/>
      <c r="AD24" s="1423"/>
    </row>
    <row r="25" spans="1:30" s="1570" customFormat="1" ht="43.5" hidden="1" customHeight="1">
      <c r="A25" s="2204">
        <f>A18+1</f>
        <v>3</v>
      </c>
      <c r="B25" s="1885" t="s">
        <v>1568</v>
      </c>
      <c r="C25" s="1880"/>
      <c r="D25" s="1600">
        <f t="shared" si="4"/>
        <v>168.1</v>
      </c>
      <c r="E25" s="1614"/>
      <c r="F25" s="1614">
        <f>283.1-115</f>
        <v>168.1</v>
      </c>
      <c r="G25" s="1600">
        <f t="shared" si="5"/>
        <v>168.1</v>
      </c>
      <c r="H25" s="1608">
        <f t="shared" si="11"/>
        <v>0</v>
      </c>
      <c r="I25" s="1614">
        <f>283.1-115</f>
        <v>168.1</v>
      </c>
      <c r="J25" s="1600">
        <f t="shared" si="6"/>
        <v>167.4</v>
      </c>
      <c r="K25" s="1615"/>
      <c r="L25" s="1615">
        <v>167.4</v>
      </c>
      <c r="M25" s="1604">
        <f t="shared" si="2"/>
        <v>99.6</v>
      </c>
      <c r="N25" s="1881">
        <f t="shared" si="2"/>
        <v>0</v>
      </c>
      <c r="O25" s="1881">
        <f t="shared" si="2"/>
        <v>99.6</v>
      </c>
      <c r="P25" s="2203"/>
      <c r="Q25" s="1612"/>
      <c r="R25" s="1602">
        <f t="shared" si="0"/>
        <v>0</v>
      </c>
      <c r="S25" s="1615">
        <v>0</v>
      </c>
      <c r="T25" s="1615">
        <v>0</v>
      </c>
      <c r="U25" s="1602">
        <f t="shared" si="12"/>
        <v>0</v>
      </c>
      <c r="V25" s="1615">
        <v>0</v>
      </c>
      <c r="W25" s="1615">
        <v>0</v>
      </c>
      <c r="X25" s="1423">
        <f t="shared" si="3"/>
        <v>0</v>
      </c>
      <c r="Y25" s="1600">
        <f t="shared" ref="Y25" si="13">SUM(Z25:AA25)</f>
        <v>168.1</v>
      </c>
      <c r="Z25" s="1614"/>
      <c r="AA25" s="1614">
        <f>283.1-115</f>
        <v>168.1</v>
      </c>
      <c r="AB25" s="1423"/>
      <c r="AC25" s="1423"/>
      <c r="AD25" s="1423"/>
    </row>
    <row r="26" spans="1:30" s="1570" customFormat="1" ht="33.75" hidden="1" customHeight="1">
      <c r="A26" s="2204">
        <f>A25+1</f>
        <v>4</v>
      </c>
      <c r="B26" s="1885" t="s">
        <v>1801</v>
      </c>
      <c r="C26" s="1880"/>
      <c r="D26" s="1600">
        <f>SUM(E26:F26)</f>
        <v>0</v>
      </c>
      <c r="E26" s="1614"/>
      <c r="F26" s="1614">
        <v>0</v>
      </c>
      <c r="G26" s="1600">
        <f>SUM(H26:I26)</f>
        <v>0</v>
      </c>
      <c r="H26" s="1608">
        <f>E26</f>
        <v>0</v>
      </c>
      <c r="I26" s="1608">
        <v>0</v>
      </c>
      <c r="J26" s="1600">
        <f>SUM(K26:L26)</f>
        <v>0</v>
      </c>
      <c r="K26" s="1615"/>
      <c r="L26" s="1615"/>
      <c r="M26" s="1604">
        <f t="shared" si="2"/>
        <v>0</v>
      </c>
      <c r="N26" s="1881">
        <f>IF(K26=0,0,K26/H26*100)</f>
        <v>0</v>
      </c>
      <c r="O26" s="1881">
        <f>IF(L26=0,0,L26/I26*100)</f>
        <v>0</v>
      </c>
      <c r="P26" s="2203"/>
      <c r="Q26" s="1612"/>
      <c r="R26" s="1602"/>
      <c r="S26" s="1615"/>
      <c r="T26" s="1615"/>
      <c r="U26" s="1602"/>
      <c r="V26" s="1615"/>
      <c r="W26" s="1615"/>
      <c r="X26" s="1423"/>
      <c r="Y26" s="1600">
        <f>SUM(Z26:AA26)</f>
        <v>0</v>
      </c>
      <c r="Z26" s="1614"/>
      <c r="AA26" s="1614">
        <v>0</v>
      </c>
      <c r="AB26" s="1423"/>
      <c r="AC26" s="1423"/>
      <c r="AD26" s="1423"/>
    </row>
    <row r="27" spans="1:30" ht="59.25" hidden="1" customHeight="1">
      <c r="A27" s="2204"/>
      <c r="B27" s="1885" t="s">
        <v>1713</v>
      </c>
      <c r="C27" s="2016">
        <v>1500</v>
      </c>
      <c r="D27" s="1600">
        <f>SUM(E27:F27)</f>
        <v>0</v>
      </c>
      <c r="E27" s="1614"/>
      <c r="F27" s="1614">
        <v>0</v>
      </c>
      <c r="G27" s="1600">
        <f>SUM(H27:I27)</f>
        <v>0</v>
      </c>
      <c r="H27" s="1608">
        <f t="shared" si="11"/>
        <v>0</v>
      </c>
      <c r="I27" s="1608">
        <f t="shared" si="11"/>
        <v>0</v>
      </c>
      <c r="J27" s="1600">
        <f t="shared" si="6"/>
        <v>0</v>
      </c>
      <c r="K27" s="1615"/>
      <c r="L27" s="1615"/>
      <c r="M27" s="1604">
        <f t="shared" si="2"/>
        <v>0</v>
      </c>
      <c r="N27" s="1881">
        <f t="shared" si="2"/>
        <v>0</v>
      </c>
      <c r="O27" s="1881">
        <f t="shared" si="2"/>
        <v>0</v>
      </c>
      <c r="P27" s="2203" t="s">
        <v>1171</v>
      </c>
      <c r="Q27" s="2203" t="s">
        <v>1111</v>
      </c>
      <c r="R27" s="1600">
        <f t="shared" si="0"/>
        <v>0</v>
      </c>
      <c r="S27" s="1614">
        <v>0</v>
      </c>
      <c r="T27" s="1614">
        <v>0</v>
      </c>
      <c r="U27" s="1600">
        <f t="shared" si="12"/>
        <v>0</v>
      </c>
      <c r="V27" s="1614">
        <v>0</v>
      </c>
      <c r="W27" s="1614">
        <v>0</v>
      </c>
      <c r="X27" s="1423">
        <f t="shared" si="3"/>
        <v>0</v>
      </c>
      <c r="Y27" s="1600">
        <f>SUM(Z27:AA27)</f>
        <v>0</v>
      </c>
      <c r="Z27" s="1614"/>
      <c r="AA27" s="1614">
        <v>0</v>
      </c>
      <c r="AB27" s="1423"/>
      <c r="AC27" s="1423"/>
      <c r="AD27" s="1423"/>
    </row>
    <row r="28" spans="1:30" ht="63.75" hidden="1" customHeight="1">
      <c r="A28" s="2204"/>
      <c r="B28" s="1879" t="s">
        <v>1714</v>
      </c>
      <c r="C28" s="2016">
        <v>4200</v>
      </c>
      <c r="D28" s="1600">
        <f>SUM(E28:F28)</f>
        <v>0</v>
      </c>
      <c r="E28" s="1614"/>
      <c r="F28" s="1614">
        <v>0</v>
      </c>
      <c r="G28" s="1600">
        <f>SUM(H28:I28)</f>
        <v>0</v>
      </c>
      <c r="H28" s="1608">
        <f t="shared" si="11"/>
        <v>0</v>
      </c>
      <c r="I28" s="1608">
        <f t="shared" si="11"/>
        <v>0</v>
      </c>
      <c r="J28" s="1600"/>
      <c r="K28" s="1615"/>
      <c r="L28" s="1615"/>
      <c r="M28" s="1604">
        <f t="shared" si="2"/>
        <v>0</v>
      </c>
      <c r="N28" s="1881">
        <f t="shared" si="2"/>
        <v>0</v>
      </c>
      <c r="O28" s="1881">
        <f t="shared" si="2"/>
        <v>0</v>
      </c>
      <c r="P28" s="2203"/>
      <c r="Q28" s="2203"/>
      <c r="R28" s="1600"/>
      <c r="S28" s="1614"/>
      <c r="T28" s="1614"/>
      <c r="U28" s="1600"/>
      <c r="V28" s="1614"/>
      <c r="W28" s="1614"/>
      <c r="X28" s="1423">
        <f t="shared" si="3"/>
        <v>0</v>
      </c>
      <c r="Y28" s="1600">
        <f>SUM(Z28:AA28)</f>
        <v>0</v>
      </c>
      <c r="Z28" s="1614"/>
      <c r="AA28" s="1614">
        <v>0</v>
      </c>
      <c r="AB28" s="1423"/>
      <c r="AC28" s="1423"/>
      <c r="AD28" s="1423"/>
    </row>
    <row r="29" spans="1:30" s="1570" customFormat="1" ht="23.25" hidden="1">
      <c r="A29" s="2204"/>
      <c r="B29" s="1884" t="s">
        <v>1406</v>
      </c>
      <c r="C29" s="2204" t="s">
        <v>1538</v>
      </c>
      <c r="D29" s="1602">
        <f t="shared" si="4"/>
        <v>5580.7</v>
      </c>
      <c r="E29" s="1603">
        <f>E30</f>
        <v>0</v>
      </c>
      <c r="F29" s="1603">
        <f>F30</f>
        <v>5580.7</v>
      </c>
      <c r="G29" s="1602">
        <f t="shared" si="5"/>
        <v>5580.7</v>
      </c>
      <c r="H29" s="1603">
        <f t="shared" si="11"/>
        <v>0</v>
      </c>
      <c r="I29" s="1603">
        <f t="shared" si="11"/>
        <v>5580.7</v>
      </c>
      <c r="J29" s="1602">
        <f t="shared" si="6"/>
        <v>0</v>
      </c>
      <c r="K29" s="1603">
        <f>K30</f>
        <v>0</v>
      </c>
      <c r="L29" s="1603">
        <f>L30</f>
        <v>0</v>
      </c>
      <c r="M29" s="2208">
        <f t="shared" si="2"/>
        <v>0</v>
      </c>
      <c r="N29" s="2208">
        <f t="shared" si="2"/>
        <v>0</v>
      </c>
      <c r="O29" s="2208">
        <f t="shared" si="2"/>
        <v>0</v>
      </c>
      <c r="P29" s="2203" t="s">
        <v>353</v>
      </c>
      <c r="Q29" s="1612" t="s">
        <v>353</v>
      </c>
      <c r="R29" s="1602">
        <f t="shared" si="0"/>
        <v>0</v>
      </c>
      <c r="S29" s="1603">
        <f>S30</f>
        <v>0</v>
      </c>
      <c r="T29" s="1603">
        <f>T30</f>
        <v>0</v>
      </c>
      <c r="U29" s="1602">
        <f t="shared" si="12"/>
        <v>0</v>
      </c>
      <c r="V29" s="1603">
        <f>V30</f>
        <v>0</v>
      </c>
      <c r="W29" s="1603">
        <f>W30</f>
        <v>0</v>
      </c>
      <c r="X29" s="1423">
        <f t="shared" si="3"/>
        <v>0</v>
      </c>
      <c r="Y29" s="1602">
        <f t="shared" ref="Y29:Y34" si="14">SUM(Z29:AA29)</f>
        <v>5580.7</v>
      </c>
      <c r="Z29" s="1603">
        <f>Z30</f>
        <v>0</v>
      </c>
      <c r="AA29" s="1603">
        <f>AA30</f>
        <v>5580.7</v>
      </c>
      <c r="AB29" s="1423"/>
      <c r="AC29" s="1423"/>
      <c r="AD29" s="1423"/>
    </row>
    <row r="30" spans="1:30" ht="38.25" hidden="1" customHeight="1">
      <c r="A30" s="2204">
        <f>A25+1</f>
        <v>4</v>
      </c>
      <c r="B30" s="1886" t="s">
        <v>1407</v>
      </c>
      <c r="C30" s="2204" t="s">
        <v>1538</v>
      </c>
      <c r="D30" s="1602">
        <f t="shared" si="4"/>
        <v>5580.7</v>
      </c>
      <c r="E30" s="1615"/>
      <c r="F30" s="1615">
        <f>18602.2-13021.5</f>
        <v>5580.7</v>
      </c>
      <c r="G30" s="1602">
        <f t="shared" si="5"/>
        <v>5580.7</v>
      </c>
      <c r="H30" s="1616">
        <f>E30</f>
        <v>0</v>
      </c>
      <c r="I30" s="1616">
        <f>F30</f>
        <v>5580.7</v>
      </c>
      <c r="J30" s="1602">
        <f t="shared" si="6"/>
        <v>0</v>
      </c>
      <c r="K30" s="1615"/>
      <c r="L30" s="1615"/>
      <c r="M30" s="1604">
        <f t="shared" si="2"/>
        <v>0</v>
      </c>
      <c r="N30" s="1881">
        <f t="shared" si="2"/>
        <v>0</v>
      </c>
      <c r="O30" s="1881">
        <f t="shared" si="2"/>
        <v>0</v>
      </c>
      <c r="P30" s="2203" t="s">
        <v>1171</v>
      </c>
      <c r="Q30" s="2203" t="s">
        <v>1111</v>
      </c>
      <c r="R30" s="1600">
        <f t="shared" si="0"/>
        <v>0</v>
      </c>
      <c r="S30" s="1614">
        <v>0</v>
      </c>
      <c r="T30" s="1614">
        <v>0</v>
      </c>
      <c r="U30" s="1600">
        <f t="shared" si="12"/>
        <v>0</v>
      </c>
      <c r="V30" s="1614">
        <v>0</v>
      </c>
      <c r="W30" s="1614">
        <v>0</v>
      </c>
      <c r="X30" s="1423">
        <f t="shared" si="3"/>
        <v>0</v>
      </c>
      <c r="Y30" s="1602">
        <f t="shared" si="14"/>
        <v>5580.7</v>
      </c>
      <c r="Z30" s="1615"/>
      <c r="AA30" s="1615">
        <f>18602.2-13021.5</f>
        <v>5580.7</v>
      </c>
      <c r="AB30" s="1423"/>
      <c r="AC30" s="1423"/>
      <c r="AD30" s="1423"/>
    </row>
    <row r="31" spans="1:30" s="1607" customFormat="1" ht="23.25" hidden="1" customHeight="1">
      <c r="A31" s="2204"/>
      <c r="B31" s="2206" t="s">
        <v>46</v>
      </c>
      <c r="C31" s="1882">
        <v>24347</v>
      </c>
      <c r="D31" s="1602">
        <f t="shared" si="4"/>
        <v>0</v>
      </c>
      <c r="E31" s="1603">
        <f>E32</f>
        <v>0</v>
      </c>
      <c r="F31" s="1603">
        <f>F32</f>
        <v>0</v>
      </c>
      <c r="G31" s="1602">
        <f t="shared" si="5"/>
        <v>0</v>
      </c>
      <c r="H31" s="1603">
        <f t="shared" si="11"/>
        <v>0</v>
      </c>
      <c r="I31" s="1603">
        <f t="shared" si="11"/>
        <v>0</v>
      </c>
      <c r="J31" s="1602">
        <f t="shared" si="6"/>
        <v>0</v>
      </c>
      <c r="K31" s="1603">
        <f>K32</f>
        <v>0</v>
      </c>
      <c r="L31" s="1603">
        <f>L32</f>
        <v>0</v>
      </c>
      <c r="M31" s="1604">
        <f t="shared" si="2"/>
        <v>0</v>
      </c>
      <c r="N31" s="1881">
        <f t="shared" si="2"/>
        <v>0</v>
      </c>
      <c r="O31" s="1881">
        <f t="shared" si="2"/>
        <v>0</v>
      </c>
      <c r="P31" s="2203" t="s">
        <v>353</v>
      </c>
      <c r="Q31" s="2203" t="s">
        <v>353</v>
      </c>
      <c r="R31" s="1602">
        <f t="shared" si="0"/>
        <v>0</v>
      </c>
      <c r="S31" s="1603">
        <f>S32</f>
        <v>0</v>
      </c>
      <c r="T31" s="1603">
        <f>T32</f>
        <v>0</v>
      </c>
      <c r="U31" s="1602">
        <f t="shared" si="12"/>
        <v>0</v>
      </c>
      <c r="V31" s="1603">
        <f>V32</f>
        <v>0</v>
      </c>
      <c r="W31" s="1603">
        <f>W32</f>
        <v>0</v>
      </c>
      <c r="X31" s="1423">
        <f t="shared" si="3"/>
        <v>0</v>
      </c>
      <c r="Y31" s="1602">
        <f t="shared" si="14"/>
        <v>0</v>
      </c>
      <c r="Z31" s="1603">
        <f>Z32</f>
        <v>0</v>
      </c>
      <c r="AA31" s="1603">
        <f>AA32</f>
        <v>0</v>
      </c>
      <c r="AB31" s="1423"/>
      <c r="AC31" s="1423"/>
      <c r="AD31" s="1423"/>
    </row>
    <row r="32" spans="1:30" s="1607" customFormat="1" ht="81.75" hidden="1" customHeight="1">
      <c r="A32" s="2204">
        <f>A30+1</f>
        <v>5</v>
      </c>
      <c r="B32" s="521" t="s">
        <v>1517</v>
      </c>
      <c r="C32" s="1882">
        <v>24347</v>
      </c>
      <c r="D32" s="1602">
        <f t="shared" si="4"/>
        <v>0</v>
      </c>
      <c r="E32" s="1616"/>
      <c r="F32" s="1616">
        <v>0</v>
      </c>
      <c r="G32" s="1602">
        <f t="shared" si="5"/>
        <v>0</v>
      </c>
      <c r="H32" s="1616">
        <f>E32</f>
        <v>0</v>
      </c>
      <c r="I32" s="1616">
        <v>0</v>
      </c>
      <c r="J32" s="1602">
        <f t="shared" si="6"/>
        <v>0</v>
      </c>
      <c r="K32" s="1616"/>
      <c r="L32" s="1616"/>
      <c r="M32" s="1604">
        <f t="shared" si="2"/>
        <v>0</v>
      </c>
      <c r="N32" s="1881">
        <f t="shared" si="2"/>
        <v>0</v>
      </c>
      <c r="O32" s="1881">
        <f t="shared" si="2"/>
        <v>0</v>
      </c>
      <c r="P32" s="2203" t="s">
        <v>1184</v>
      </c>
      <c r="Q32" s="2203" t="s">
        <v>1136</v>
      </c>
      <c r="R32" s="1600">
        <f t="shared" si="0"/>
        <v>0</v>
      </c>
      <c r="S32" s="1608">
        <v>0</v>
      </c>
      <c r="T32" s="1608">
        <v>0</v>
      </c>
      <c r="U32" s="1600">
        <f t="shared" si="12"/>
        <v>0</v>
      </c>
      <c r="V32" s="1608">
        <v>0</v>
      </c>
      <c r="W32" s="1608">
        <v>0</v>
      </c>
      <c r="X32" s="1423">
        <f t="shared" si="3"/>
        <v>0</v>
      </c>
      <c r="Y32" s="1602">
        <f t="shared" si="14"/>
        <v>0</v>
      </c>
      <c r="Z32" s="1616"/>
      <c r="AA32" s="1616">
        <v>0</v>
      </c>
      <c r="AB32" s="1423"/>
      <c r="AC32" s="1423"/>
      <c r="AD32" s="1423"/>
    </row>
    <row r="33" spans="1:30" s="1570" customFormat="1" ht="24.75" hidden="1" customHeight="1">
      <c r="A33" s="2204"/>
      <c r="B33" s="1884" t="s">
        <v>583</v>
      </c>
      <c r="C33" s="2204">
        <v>24366</v>
      </c>
      <c r="D33" s="1602">
        <f t="shared" si="4"/>
        <v>8774</v>
      </c>
      <c r="E33" s="1603">
        <f>E34+E35</f>
        <v>0</v>
      </c>
      <c r="F33" s="1603">
        <f>F34+F35</f>
        <v>8774</v>
      </c>
      <c r="G33" s="1602">
        <f t="shared" si="5"/>
        <v>8774</v>
      </c>
      <c r="H33" s="1603">
        <f t="shared" si="11"/>
        <v>0</v>
      </c>
      <c r="I33" s="1603">
        <f t="shared" si="11"/>
        <v>8774</v>
      </c>
      <c r="J33" s="1602">
        <f>SUM(K33:L33)</f>
        <v>7497.1</v>
      </c>
      <c r="K33" s="1603">
        <f>K34+K35</f>
        <v>0</v>
      </c>
      <c r="L33" s="1603">
        <f>L34+L35</f>
        <v>7497.1</v>
      </c>
      <c r="M33" s="1604">
        <f t="shared" si="2"/>
        <v>85.4</v>
      </c>
      <c r="N33" s="1604">
        <f t="shared" si="2"/>
        <v>0</v>
      </c>
      <c r="O33" s="1604">
        <f t="shared" si="2"/>
        <v>85.4</v>
      </c>
      <c r="P33" s="2203" t="s">
        <v>353</v>
      </c>
      <c r="Q33" s="1612" t="s">
        <v>353</v>
      </c>
      <c r="R33" s="1602">
        <f t="shared" si="0"/>
        <v>0</v>
      </c>
      <c r="S33" s="1603">
        <f>S34</f>
        <v>0</v>
      </c>
      <c r="T33" s="1603">
        <f>T34</f>
        <v>0</v>
      </c>
      <c r="U33" s="1602">
        <f t="shared" si="12"/>
        <v>0</v>
      </c>
      <c r="V33" s="1603">
        <f>V34</f>
        <v>0</v>
      </c>
      <c r="W33" s="1603">
        <f>W34</f>
        <v>0</v>
      </c>
      <c r="X33" s="1423">
        <f t="shared" si="3"/>
        <v>0</v>
      </c>
      <c r="Y33" s="1602">
        <f t="shared" si="14"/>
        <v>8774</v>
      </c>
      <c r="Z33" s="1603">
        <f>Z34+Z35</f>
        <v>0</v>
      </c>
      <c r="AA33" s="1603">
        <f>AA34+AA35</f>
        <v>8774</v>
      </c>
      <c r="AB33" s="1423"/>
      <c r="AC33" s="1423"/>
      <c r="AD33" s="1423"/>
    </row>
    <row r="34" spans="1:30" ht="42.75" hidden="1" customHeight="1">
      <c r="A34" s="2204">
        <f>A30+1</f>
        <v>5</v>
      </c>
      <c r="B34" s="1887" t="s">
        <v>1403</v>
      </c>
      <c r="C34" s="2204">
        <v>24366</v>
      </c>
      <c r="D34" s="1602">
        <f t="shared" si="4"/>
        <v>0</v>
      </c>
      <c r="E34" s="1615"/>
      <c r="F34" s="1615">
        <v>0</v>
      </c>
      <c r="G34" s="1602">
        <f t="shared" si="5"/>
        <v>0</v>
      </c>
      <c r="H34" s="1616">
        <f t="shared" si="11"/>
        <v>0</v>
      </c>
      <c r="I34" s="1616">
        <f t="shared" si="11"/>
        <v>0</v>
      </c>
      <c r="J34" s="1602">
        <f t="shared" si="6"/>
        <v>0</v>
      </c>
      <c r="K34" s="1615"/>
      <c r="L34" s="1615"/>
      <c r="M34" s="1604">
        <f t="shared" si="2"/>
        <v>0</v>
      </c>
      <c r="N34" s="1881">
        <f t="shared" si="2"/>
        <v>0</v>
      </c>
      <c r="O34" s="1881">
        <f t="shared" si="2"/>
        <v>0</v>
      </c>
      <c r="P34" s="2203" t="s">
        <v>1171</v>
      </c>
      <c r="Q34" s="2203" t="s">
        <v>1111</v>
      </c>
      <c r="R34" s="1600">
        <f t="shared" si="0"/>
        <v>0</v>
      </c>
      <c r="S34" s="1614">
        <v>0</v>
      </c>
      <c r="T34" s="1614">
        <v>0</v>
      </c>
      <c r="U34" s="1600">
        <f t="shared" si="12"/>
        <v>0</v>
      </c>
      <c r="V34" s="1614">
        <v>0</v>
      </c>
      <c r="W34" s="1614">
        <v>0</v>
      </c>
      <c r="X34" s="1423">
        <f t="shared" si="3"/>
        <v>0</v>
      </c>
      <c r="Y34" s="1602">
        <f t="shared" si="14"/>
        <v>0</v>
      </c>
      <c r="Z34" s="1615"/>
      <c r="AA34" s="1615">
        <v>0</v>
      </c>
      <c r="AB34" s="1423"/>
      <c r="AC34" s="1423"/>
      <c r="AD34" s="1423"/>
    </row>
    <row r="35" spans="1:30" ht="77.25" hidden="1" customHeight="1">
      <c r="A35" s="2204">
        <f>A30+1</f>
        <v>5</v>
      </c>
      <c r="B35" s="1919" t="s">
        <v>434</v>
      </c>
      <c r="C35" s="1877"/>
      <c r="D35" s="1602">
        <f>SUM(E35:F35)</f>
        <v>8774</v>
      </c>
      <c r="E35" s="1616"/>
      <c r="F35" s="1616">
        <v>8774</v>
      </c>
      <c r="G35" s="1602">
        <f>SUM(H35:I35)</f>
        <v>8774</v>
      </c>
      <c r="H35" s="1616">
        <f t="shared" si="11"/>
        <v>0</v>
      </c>
      <c r="I35" s="1616">
        <f t="shared" si="11"/>
        <v>8774</v>
      </c>
      <c r="J35" s="1602">
        <f>SUM(K35:L35)</f>
        <v>7497.1</v>
      </c>
      <c r="K35" s="1616"/>
      <c r="L35" s="1616">
        <v>7497.1</v>
      </c>
      <c r="M35" s="1604">
        <f t="shared" si="2"/>
        <v>85.4</v>
      </c>
      <c r="N35" s="1881">
        <f t="shared" si="2"/>
        <v>0</v>
      </c>
      <c r="O35" s="1881">
        <f t="shared" si="2"/>
        <v>85.4</v>
      </c>
      <c r="P35" s="2203"/>
      <c r="Q35" s="2203"/>
      <c r="R35" s="1600"/>
      <c r="S35" s="1614"/>
      <c r="T35" s="1614"/>
      <c r="U35" s="1600"/>
      <c r="V35" s="1614"/>
      <c r="W35" s="1614"/>
      <c r="X35" s="1423"/>
      <c r="Y35" s="1602">
        <f>SUM(Z35:AA35)</f>
        <v>8774</v>
      </c>
      <c r="Z35" s="1616"/>
      <c r="AA35" s="1616">
        <v>8774</v>
      </c>
      <c r="AB35" s="1423"/>
      <c r="AC35" s="1423"/>
      <c r="AD35" s="1423"/>
    </row>
    <row r="36" spans="1:30" ht="21.75" hidden="1" customHeight="1">
      <c r="A36" s="2204"/>
      <c r="B36" s="2206" t="s">
        <v>68</v>
      </c>
      <c r="C36" s="2204">
        <v>24366</v>
      </c>
      <c r="D36" s="1602">
        <f t="shared" si="4"/>
        <v>9964.2000000000007</v>
      </c>
      <c r="E36" s="1603">
        <f>SUM(E37:E40)</f>
        <v>0</v>
      </c>
      <c r="F36" s="1603">
        <f>SUM(F37:F40)</f>
        <v>9964.2000000000007</v>
      </c>
      <c r="G36" s="1602">
        <f>SUM(H36:I36)</f>
        <v>9964.2000000000007</v>
      </c>
      <c r="H36" s="1603">
        <f>SUM(H37:H40)</f>
        <v>0</v>
      </c>
      <c r="I36" s="1603">
        <f>SUM(I37:I40)</f>
        <v>9964.2000000000007</v>
      </c>
      <c r="J36" s="1602">
        <f t="shared" si="6"/>
        <v>9964.2000000000007</v>
      </c>
      <c r="K36" s="1603">
        <f>SUM(K37:K40)</f>
        <v>0</v>
      </c>
      <c r="L36" s="1603">
        <f>SUM(L37:L40)</f>
        <v>9964.2000000000007</v>
      </c>
      <c r="M36" s="2208">
        <f t="shared" si="2"/>
        <v>100</v>
      </c>
      <c r="N36" s="2208">
        <f t="shared" si="2"/>
        <v>0</v>
      </c>
      <c r="O36" s="2208">
        <f t="shared" si="2"/>
        <v>100</v>
      </c>
      <c r="P36" s="2208">
        <f>SUM(P37:P40)</f>
        <v>0</v>
      </c>
      <c r="Q36" s="2208">
        <f>SUM(Q37:Q40)</f>
        <v>0</v>
      </c>
      <c r="R36" s="1602">
        <f t="shared" si="0"/>
        <v>8734.5</v>
      </c>
      <c r="S36" s="1603">
        <f>SUM(S37:S40)</f>
        <v>0</v>
      </c>
      <c r="T36" s="1603">
        <f>SUM(T37:T40)</f>
        <v>8734.5</v>
      </c>
      <c r="U36" s="1602">
        <f t="shared" si="12"/>
        <v>0</v>
      </c>
      <c r="V36" s="1603">
        <f>SUM(V37:V40)</f>
        <v>0</v>
      </c>
      <c r="W36" s="1603">
        <f>SUM(W37:W40)</f>
        <v>0</v>
      </c>
      <c r="X36" s="1423">
        <f t="shared" si="3"/>
        <v>0</v>
      </c>
      <c r="Y36" s="1602">
        <f t="shared" ref="Y36:Y42" si="15">SUM(Z36:AA36)</f>
        <v>9964.2000000000007</v>
      </c>
      <c r="Z36" s="1603">
        <f>SUM(Z37:Z40)</f>
        <v>0</v>
      </c>
      <c r="AA36" s="1603">
        <f>SUM(AA37:AA40)</f>
        <v>9964.2000000000007</v>
      </c>
      <c r="AB36" s="1423"/>
      <c r="AC36" s="1423"/>
      <c r="AD36" s="1423"/>
    </row>
    <row r="37" spans="1:30" ht="137.25" hidden="1" customHeight="1">
      <c r="A37" s="2204">
        <f>A35+1</f>
        <v>6</v>
      </c>
      <c r="B37" s="1888" t="s">
        <v>1553</v>
      </c>
      <c r="C37" s="2204"/>
      <c r="D37" s="1602">
        <f t="shared" si="4"/>
        <v>4000</v>
      </c>
      <c r="E37" s="1616"/>
      <c r="F37" s="1616">
        <v>4000</v>
      </c>
      <c r="G37" s="1602">
        <f t="shared" si="5"/>
        <v>4000</v>
      </c>
      <c r="H37" s="1616">
        <f t="shared" si="11"/>
        <v>0</v>
      </c>
      <c r="I37" s="1616">
        <f t="shared" si="11"/>
        <v>4000</v>
      </c>
      <c r="J37" s="1602">
        <f t="shared" si="6"/>
        <v>4000</v>
      </c>
      <c r="K37" s="1616"/>
      <c r="L37" s="1616">
        <v>4000</v>
      </c>
      <c r="M37" s="1604">
        <f t="shared" si="2"/>
        <v>100</v>
      </c>
      <c r="N37" s="1881">
        <f t="shared" si="2"/>
        <v>0</v>
      </c>
      <c r="O37" s="1881">
        <f t="shared" si="2"/>
        <v>100</v>
      </c>
      <c r="P37" s="2203"/>
      <c r="Q37" s="2203"/>
      <c r="R37" s="1600">
        <f t="shared" si="0"/>
        <v>0</v>
      </c>
      <c r="S37" s="1865">
        <v>0</v>
      </c>
      <c r="T37" s="1865">
        <v>0</v>
      </c>
      <c r="U37" s="1600">
        <f t="shared" si="12"/>
        <v>0</v>
      </c>
      <c r="V37" s="1865">
        <v>0</v>
      </c>
      <c r="W37" s="1865">
        <v>0</v>
      </c>
      <c r="X37" s="1423">
        <f t="shared" si="3"/>
        <v>0</v>
      </c>
      <c r="Y37" s="1602">
        <f t="shared" si="15"/>
        <v>4000</v>
      </c>
      <c r="Z37" s="1616"/>
      <c r="AA37" s="1616">
        <v>4000</v>
      </c>
      <c r="AB37" s="1423"/>
      <c r="AC37" s="1423"/>
      <c r="AD37" s="1423"/>
    </row>
    <row r="38" spans="1:30" ht="118.5" hidden="1" customHeight="1">
      <c r="A38" s="2204">
        <f>A37+1</f>
        <v>7</v>
      </c>
      <c r="B38" s="1889" t="s">
        <v>1552</v>
      </c>
      <c r="C38" s="2204"/>
      <c r="D38" s="1602">
        <f t="shared" si="4"/>
        <v>2400</v>
      </c>
      <c r="E38" s="1616"/>
      <c r="F38" s="1616">
        <v>2400</v>
      </c>
      <c r="G38" s="1602">
        <f t="shared" si="5"/>
        <v>2400</v>
      </c>
      <c r="H38" s="1616">
        <f t="shared" si="11"/>
        <v>0</v>
      </c>
      <c r="I38" s="1616">
        <f t="shared" si="11"/>
        <v>2400</v>
      </c>
      <c r="J38" s="1602">
        <f t="shared" si="6"/>
        <v>2400</v>
      </c>
      <c r="K38" s="1616"/>
      <c r="L38" s="1616">
        <v>2400</v>
      </c>
      <c r="M38" s="1604">
        <f t="shared" si="2"/>
        <v>100</v>
      </c>
      <c r="N38" s="1881">
        <f t="shared" si="2"/>
        <v>0</v>
      </c>
      <c r="O38" s="1881">
        <f t="shared" si="2"/>
        <v>100</v>
      </c>
      <c r="P38" s="2203"/>
      <c r="Q38" s="2203"/>
      <c r="R38" s="1600">
        <f t="shared" si="0"/>
        <v>0</v>
      </c>
      <c r="S38" s="1865">
        <v>0</v>
      </c>
      <c r="T38" s="1865">
        <v>0</v>
      </c>
      <c r="U38" s="1600">
        <f t="shared" si="12"/>
        <v>0</v>
      </c>
      <c r="V38" s="1865">
        <v>0</v>
      </c>
      <c r="W38" s="1865">
        <v>0</v>
      </c>
      <c r="X38" s="1423">
        <f t="shared" si="3"/>
        <v>0</v>
      </c>
      <c r="Y38" s="1602">
        <f t="shared" si="15"/>
        <v>2400</v>
      </c>
      <c r="Z38" s="1616"/>
      <c r="AA38" s="1616">
        <v>2400</v>
      </c>
      <c r="AB38" s="1423"/>
      <c r="AC38" s="1423"/>
      <c r="AD38" s="1423"/>
    </row>
    <row r="39" spans="1:30" ht="60.75" hidden="1" customHeight="1">
      <c r="A39" s="2204">
        <f>A38+1</f>
        <v>8</v>
      </c>
      <c r="B39" s="1888" t="s">
        <v>1561</v>
      </c>
      <c r="C39" s="2204"/>
      <c r="D39" s="1602">
        <f t="shared" si="4"/>
        <v>3564.2</v>
      </c>
      <c r="E39" s="1616"/>
      <c r="F39" s="1616">
        <v>3564.2</v>
      </c>
      <c r="G39" s="1602">
        <f t="shared" si="5"/>
        <v>3564.2</v>
      </c>
      <c r="H39" s="1616">
        <f t="shared" si="11"/>
        <v>0</v>
      </c>
      <c r="I39" s="1616">
        <f t="shared" si="11"/>
        <v>3564.2</v>
      </c>
      <c r="J39" s="1602">
        <f t="shared" si="6"/>
        <v>3564.2</v>
      </c>
      <c r="K39" s="1616"/>
      <c r="L39" s="1616">
        <v>3564.2</v>
      </c>
      <c r="M39" s="1604">
        <f t="shared" si="2"/>
        <v>100</v>
      </c>
      <c r="N39" s="1881">
        <f t="shared" si="2"/>
        <v>0</v>
      </c>
      <c r="O39" s="1881">
        <f t="shared" si="2"/>
        <v>100</v>
      </c>
      <c r="P39" s="2203"/>
      <c r="Q39" s="2203"/>
      <c r="R39" s="1600">
        <f t="shared" si="0"/>
        <v>0</v>
      </c>
      <c r="S39" s="1865">
        <v>0</v>
      </c>
      <c r="T39" s="1865">
        <v>0</v>
      </c>
      <c r="U39" s="1600">
        <f t="shared" si="12"/>
        <v>0</v>
      </c>
      <c r="V39" s="1865">
        <v>0</v>
      </c>
      <c r="W39" s="1865">
        <v>0</v>
      </c>
      <c r="X39" s="1423">
        <f t="shared" si="3"/>
        <v>0</v>
      </c>
      <c r="Y39" s="1602">
        <f t="shared" si="15"/>
        <v>3564.2</v>
      </c>
      <c r="Z39" s="1616"/>
      <c r="AA39" s="1616">
        <v>3564.2</v>
      </c>
      <c r="AB39" s="1423"/>
      <c r="AC39" s="1423"/>
      <c r="AD39" s="1423"/>
    </row>
    <row r="40" spans="1:30" ht="47.25" hidden="1" customHeight="1">
      <c r="A40" s="2204">
        <f>A39+1</f>
        <v>9</v>
      </c>
      <c r="B40" s="1890" t="s">
        <v>1651</v>
      </c>
      <c r="C40" s="2204">
        <v>24366</v>
      </c>
      <c r="D40" s="1602">
        <f t="shared" si="4"/>
        <v>0</v>
      </c>
      <c r="E40" s="1616"/>
      <c r="F40" s="1616">
        <v>0</v>
      </c>
      <c r="G40" s="1602">
        <f t="shared" si="5"/>
        <v>0</v>
      </c>
      <c r="H40" s="1616">
        <f t="shared" si="11"/>
        <v>0</v>
      </c>
      <c r="I40" s="1616">
        <f t="shared" si="11"/>
        <v>0</v>
      </c>
      <c r="J40" s="1602">
        <f t="shared" si="6"/>
        <v>0</v>
      </c>
      <c r="K40" s="1616"/>
      <c r="L40" s="1616"/>
      <c r="M40" s="1604">
        <f t="shared" si="2"/>
        <v>0</v>
      </c>
      <c r="N40" s="1881">
        <f t="shared" si="2"/>
        <v>0</v>
      </c>
      <c r="O40" s="1881">
        <f t="shared" si="2"/>
        <v>0</v>
      </c>
      <c r="P40" s="2203" t="s">
        <v>1176</v>
      </c>
      <c r="Q40" s="2203" t="s">
        <v>1125</v>
      </c>
      <c r="R40" s="1600">
        <f t="shared" si="0"/>
        <v>8734.5</v>
      </c>
      <c r="S40" s="1608">
        <v>0</v>
      </c>
      <c r="T40" s="1608">
        <v>8734.5</v>
      </c>
      <c r="U40" s="1600">
        <f t="shared" si="12"/>
        <v>0</v>
      </c>
      <c r="V40" s="1608">
        <v>0</v>
      </c>
      <c r="W40" s="1608">
        <v>0</v>
      </c>
      <c r="X40" s="1423">
        <f t="shared" si="3"/>
        <v>0</v>
      </c>
      <c r="Y40" s="1602">
        <f t="shared" si="15"/>
        <v>0</v>
      </c>
      <c r="Z40" s="1616"/>
      <c r="AA40" s="1616">
        <v>0</v>
      </c>
      <c r="AB40" s="1423"/>
      <c r="AC40" s="1423"/>
      <c r="AD40" s="1423"/>
    </row>
    <row r="41" spans="1:30" s="1570" customFormat="1" ht="24.75" hidden="1" customHeight="1">
      <c r="A41" s="2204"/>
      <c r="B41" s="1884" t="s">
        <v>1408</v>
      </c>
      <c r="C41" s="1880" t="s">
        <v>1538</v>
      </c>
      <c r="D41" s="1602">
        <f t="shared" si="4"/>
        <v>1620.2</v>
      </c>
      <c r="E41" s="1603">
        <f>SUM(E42)</f>
        <v>0</v>
      </c>
      <c r="F41" s="2208">
        <f>SUM(F42)</f>
        <v>1620.2</v>
      </c>
      <c r="G41" s="1600">
        <f t="shared" si="5"/>
        <v>1620.2</v>
      </c>
      <c r="H41" s="2208">
        <f t="shared" si="11"/>
        <v>0</v>
      </c>
      <c r="I41" s="2208">
        <f t="shared" si="11"/>
        <v>1620.2</v>
      </c>
      <c r="J41" s="1600">
        <f t="shared" si="6"/>
        <v>1620.2</v>
      </c>
      <c r="K41" s="1603">
        <f>SUM(K42)</f>
        <v>0</v>
      </c>
      <c r="L41" s="1603">
        <f>SUM(L42)</f>
        <v>1620.2</v>
      </c>
      <c r="M41" s="1604">
        <f t="shared" si="2"/>
        <v>100</v>
      </c>
      <c r="N41" s="1604">
        <f t="shared" si="2"/>
        <v>0</v>
      </c>
      <c r="O41" s="1604">
        <f t="shared" si="2"/>
        <v>100</v>
      </c>
      <c r="P41" s="2203" t="s">
        <v>353</v>
      </c>
      <c r="Q41" s="1612" t="s">
        <v>353</v>
      </c>
      <c r="R41" s="1602">
        <f t="shared" si="0"/>
        <v>0</v>
      </c>
      <c r="S41" s="1603">
        <f>SUM(S42)</f>
        <v>0</v>
      </c>
      <c r="T41" s="1603">
        <f>SUM(T42)</f>
        <v>0</v>
      </c>
      <c r="U41" s="1602">
        <f t="shared" si="12"/>
        <v>0</v>
      </c>
      <c r="V41" s="1603">
        <f>SUM(V42)</f>
        <v>0</v>
      </c>
      <c r="W41" s="1603">
        <f>SUM(W42)</f>
        <v>0</v>
      </c>
      <c r="X41" s="1423">
        <f t="shared" si="3"/>
        <v>0</v>
      </c>
      <c r="Y41" s="1602">
        <f t="shared" si="15"/>
        <v>1620.2</v>
      </c>
      <c r="Z41" s="1603">
        <f>SUM(Z42)</f>
        <v>0</v>
      </c>
      <c r="AA41" s="2208">
        <f>SUM(AA42)</f>
        <v>1620.2</v>
      </c>
      <c r="AB41" s="1423"/>
      <c r="AC41" s="1423"/>
      <c r="AD41" s="1423"/>
    </row>
    <row r="42" spans="1:30" ht="45" hidden="1" customHeight="1">
      <c r="A42" s="2204">
        <f>A39+1</f>
        <v>9</v>
      </c>
      <c r="B42" s="1886" t="s">
        <v>1409</v>
      </c>
      <c r="C42" s="1880" t="s">
        <v>1538</v>
      </c>
      <c r="D42" s="1602">
        <f t="shared" si="4"/>
        <v>1620.2</v>
      </c>
      <c r="E42" s="1615"/>
      <c r="F42" s="1614">
        <f>11495-8046.5-1828.3</f>
        <v>1620.2</v>
      </c>
      <c r="G42" s="1600">
        <f t="shared" si="5"/>
        <v>1620.2</v>
      </c>
      <c r="H42" s="1608">
        <f>E42</f>
        <v>0</v>
      </c>
      <c r="I42" s="1608">
        <f>F42</f>
        <v>1620.2</v>
      </c>
      <c r="J42" s="1600">
        <f t="shared" si="6"/>
        <v>1620.2</v>
      </c>
      <c r="K42" s="1615"/>
      <c r="L42" s="1615">
        <v>1620.2</v>
      </c>
      <c r="M42" s="1604">
        <f t="shared" si="2"/>
        <v>100</v>
      </c>
      <c r="N42" s="1881">
        <f t="shared" si="2"/>
        <v>0</v>
      </c>
      <c r="O42" s="1881">
        <f t="shared" si="2"/>
        <v>100</v>
      </c>
      <c r="P42" s="2203" t="s">
        <v>1171</v>
      </c>
      <c r="Q42" s="2203" t="s">
        <v>1111</v>
      </c>
      <c r="R42" s="1600">
        <f t="shared" si="0"/>
        <v>0</v>
      </c>
      <c r="S42" s="1614">
        <v>0</v>
      </c>
      <c r="T42" s="1614">
        <v>0</v>
      </c>
      <c r="U42" s="1600">
        <f t="shared" si="12"/>
        <v>0</v>
      </c>
      <c r="V42" s="1614">
        <v>0</v>
      </c>
      <c r="W42" s="1614">
        <v>0</v>
      </c>
      <c r="X42" s="1423">
        <f t="shared" si="3"/>
        <v>0</v>
      </c>
      <c r="Y42" s="1602">
        <f t="shared" si="15"/>
        <v>1620.2</v>
      </c>
      <c r="Z42" s="1615"/>
      <c r="AA42" s="1614">
        <f>11495-8046.5-1828.3</f>
        <v>1620.2</v>
      </c>
      <c r="AB42" s="1423"/>
      <c r="AC42" s="1423"/>
      <c r="AD42" s="1423"/>
    </row>
    <row r="43" spans="1:30" ht="27" hidden="1" customHeight="1">
      <c r="A43" s="2204"/>
      <c r="B43" s="1891" t="s">
        <v>431</v>
      </c>
      <c r="C43" s="1880"/>
      <c r="D43" s="1602">
        <f>SUM(E43:F43)</f>
        <v>10633.3</v>
      </c>
      <c r="E43" s="1603">
        <f>SUM(E44:E46)</f>
        <v>0</v>
      </c>
      <c r="F43" s="2208">
        <f>SUM(F44:F46)</f>
        <v>10633.3</v>
      </c>
      <c r="G43" s="1600">
        <f t="shared" si="5"/>
        <v>10633.3</v>
      </c>
      <c r="H43" s="2208">
        <f t="shared" si="11"/>
        <v>0</v>
      </c>
      <c r="I43" s="2208">
        <f t="shared" si="11"/>
        <v>10633.3</v>
      </c>
      <c r="J43" s="1600">
        <f t="shared" si="6"/>
        <v>10633.3</v>
      </c>
      <c r="K43" s="1603">
        <f>SUM(K44:K46)</f>
        <v>0</v>
      </c>
      <c r="L43" s="1603">
        <f>SUM(L44:L46)</f>
        <v>10633.3</v>
      </c>
      <c r="M43" s="2208">
        <f t="shared" si="2"/>
        <v>100</v>
      </c>
      <c r="N43" s="2208">
        <f t="shared" si="2"/>
        <v>0</v>
      </c>
      <c r="O43" s="2208">
        <f t="shared" si="2"/>
        <v>100</v>
      </c>
      <c r="P43" s="2203"/>
      <c r="Q43" s="2203"/>
      <c r="R43" s="1602">
        <f t="shared" si="0"/>
        <v>12400</v>
      </c>
      <c r="S43" s="1603">
        <f>SUM(S44:S46)</f>
        <v>0</v>
      </c>
      <c r="T43" s="1603">
        <f>SUM(T44:T46)</f>
        <v>12400</v>
      </c>
      <c r="U43" s="1602">
        <f t="shared" si="12"/>
        <v>0</v>
      </c>
      <c r="V43" s="1603">
        <f>SUM(V44:V46)</f>
        <v>0</v>
      </c>
      <c r="W43" s="1603">
        <f>SUM(W44:W46)</f>
        <v>0</v>
      </c>
      <c r="X43" s="1423">
        <f t="shared" si="3"/>
        <v>0</v>
      </c>
      <c r="Y43" s="1602">
        <f>SUM(Z43:AA43)</f>
        <v>10633.3</v>
      </c>
      <c r="Z43" s="1603">
        <f>SUM(Z44:Z46)</f>
        <v>0</v>
      </c>
      <c r="AA43" s="2208">
        <f>SUM(AA44:AA46)</f>
        <v>10633.3</v>
      </c>
      <c r="AB43" s="1423"/>
      <c r="AC43" s="1423"/>
      <c r="AD43" s="1423"/>
    </row>
    <row r="44" spans="1:30" ht="38.25" hidden="1" customHeight="1">
      <c r="A44" s="2204">
        <f>A42+1</f>
        <v>10</v>
      </c>
      <c r="B44" s="1886" t="s">
        <v>1715</v>
      </c>
      <c r="C44" s="1880"/>
      <c r="D44" s="1602">
        <f>SUM(E44:F44)</f>
        <v>0</v>
      </c>
      <c r="E44" s="1603"/>
      <c r="F44" s="1865">
        <v>0</v>
      </c>
      <c r="G44" s="1600">
        <f>SUM(H44:I44)</f>
        <v>0</v>
      </c>
      <c r="H44" s="1608">
        <f t="shared" si="11"/>
        <v>0</v>
      </c>
      <c r="I44" s="1608">
        <v>0</v>
      </c>
      <c r="J44" s="1600">
        <f t="shared" si="6"/>
        <v>0</v>
      </c>
      <c r="K44" s="1615"/>
      <c r="L44" s="1615"/>
      <c r="M44" s="1604">
        <f t="shared" si="2"/>
        <v>0</v>
      </c>
      <c r="N44" s="1881">
        <f t="shared" si="2"/>
        <v>0</v>
      </c>
      <c r="O44" s="1881">
        <f t="shared" si="2"/>
        <v>0</v>
      </c>
      <c r="P44" s="2203"/>
      <c r="Q44" s="2203"/>
      <c r="R44" s="1602">
        <f t="shared" si="0"/>
        <v>12400</v>
      </c>
      <c r="S44" s="1614">
        <v>0</v>
      </c>
      <c r="T44" s="1614">
        <v>12400</v>
      </c>
      <c r="U44" s="1602">
        <f t="shared" si="12"/>
        <v>0</v>
      </c>
      <c r="V44" s="1614">
        <v>0</v>
      </c>
      <c r="W44" s="1614">
        <v>0</v>
      </c>
      <c r="X44" s="1423">
        <f t="shared" si="3"/>
        <v>0</v>
      </c>
      <c r="Y44" s="1602">
        <f>SUM(Z44:AA44)</f>
        <v>0</v>
      </c>
      <c r="Z44" s="1603"/>
      <c r="AA44" s="1865">
        <v>0</v>
      </c>
      <c r="AB44" s="1423"/>
      <c r="AC44" s="1423"/>
      <c r="AD44" s="1423"/>
    </row>
    <row r="45" spans="1:30" ht="46.5" hidden="1" customHeight="1">
      <c r="A45" s="2204">
        <f>A42+1</f>
        <v>10</v>
      </c>
      <c r="B45" s="1886" t="s">
        <v>1716</v>
      </c>
      <c r="C45" s="1880"/>
      <c r="D45" s="1602">
        <f>SUM(E45:F45)</f>
        <v>4133.3</v>
      </c>
      <c r="E45" s="1615"/>
      <c r="F45" s="1615">
        <v>4133.3</v>
      </c>
      <c r="G45" s="1602">
        <f>SUM(H45:I45)</f>
        <v>4133.3</v>
      </c>
      <c r="H45" s="1616">
        <f t="shared" si="11"/>
        <v>0</v>
      </c>
      <c r="I45" s="1616">
        <f t="shared" si="11"/>
        <v>4133.3</v>
      </c>
      <c r="J45" s="1602">
        <f t="shared" si="6"/>
        <v>4133.3</v>
      </c>
      <c r="K45" s="1615"/>
      <c r="L45" s="1615">
        <v>4133.3</v>
      </c>
      <c r="M45" s="1604">
        <f t="shared" si="2"/>
        <v>100</v>
      </c>
      <c r="N45" s="1881">
        <f t="shared" si="2"/>
        <v>0</v>
      </c>
      <c r="O45" s="1881">
        <f t="shared" si="2"/>
        <v>100</v>
      </c>
      <c r="P45" s="2203"/>
      <c r="Q45" s="2203"/>
      <c r="R45" s="1602">
        <f t="shared" si="0"/>
        <v>0</v>
      </c>
      <c r="S45" s="1614">
        <v>0</v>
      </c>
      <c r="T45" s="1614">
        <v>0</v>
      </c>
      <c r="U45" s="1602">
        <f t="shared" si="12"/>
        <v>0</v>
      </c>
      <c r="V45" s="1614">
        <v>0</v>
      </c>
      <c r="W45" s="1614">
        <v>0</v>
      </c>
      <c r="X45" s="1423">
        <f t="shared" si="3"/>
        <v>0</v>
      </c>
      <c r="Y45" s="1602">
        <f>SUM(Z45:AA45)</f>
        <v>4133.3</v>
      </c>
      <c r="Z45" s="1615"/>
      <c r="AA45" s="1615">
        <v>4133.3</v>
      </c>
      <c r="AB45" s="1423"/>
      <c r="AC45" s="1423"/>
      <c r="AD45" s="1423"/>
    </row>
    <row r="46" spans="1:30" ht="63.75" hidden="1" customHeight="1">
      <c r="A46" s="2204">
        <f>A45+1</f>
        <v>11</v>
      </c>
      <c r="B46" s="1886" t="s">
        <v>1562</v>
      </c>
      <c r="C46" s="1880"/>
      <c r="D46" s="1602">
        <f t="shared" si="4"/>
        <v>6500</v>
      </c>
      <c r="E46" s="1615"/>
      <c r="F46" s="1615">
        <v>6500</v>
      </c>
      <c r="G46" s="1602">
        <f t="shared" si="5"/>
        <v>6500</v>
      </c>
      <c r="H46" s="1616">
        <f t="shared" si="11"/>
        <v>0</v>
      </c>
      <c r="I46" s="1616">
        <f t="shared" si="11"/>
        <v>6500</v>
      </c>
      <c r="J46" s="1602">
        <f t="shared" si="6"/>
        <v>6500</v>
      </c>
      <c r="K46" s="1615"/>
      <c r="L46" s="1615">
        <v>6500</v>
      </c>
      <c r="M46" s="1604">
        <f t="shared" si="2"/>
        <v>100</v>
      </c>
      <c r="N46" s="1881">
        <f t="shared" si="2"/>
        <v>0</v>
      </c>
      <c r="O46" s="1881">
        <f t="shared" si="2"/>
        <v>100</v>
      </c>
      <c r="P46" s="2203"/>
      <c r="Q46" s="2203"/>
      <c r="R46" s="1602">
        <f t="shared" si="0"/>
        <v>0</v>
      </c>
      <c r="S46" s="1614">
        <v>0</v>
      </c>
      <c r="T46" s="1614">
        <v>0</v>
      </c>
      <c r="U46" s="1602">
        <f t="shared" si="12"/>
        <v>0</v>
      </c>
      <c r="V46" s="1614">
        <v>0</v>
      </c>
      <c r="W46" s="1614">
        <v>0</v>
      </c>
      <c r="X46" s="1423">
        <f t="shared" si="3"/>
        <v>0</v>
      </c>
      <c r="Y46" s="1602">
        <f t="shared" ref="Y46:Y50" si="16">SUM(Z46:AA46)</f>
        <v>6500</v>
      </c>
      <c r="Z46" s="1615"/>
      <c r="AA46" s="1615">
        <v>6500</v>
      </c>
      <c r="AB46" s="1423"/>
      <c r="AC46" s="1423"/>
      <c r="AD46" s="1423"/>
    </row>
    <row r="47" spans="1:30" s="1570" customFormat="1" ht="22.5" hidden="1" customHeight="1">
      <c r="A47" s="2204"/>
      <c r="B47" s="1884" t="s">
        <v>729</v>
      </c>
      <c r="C47" s="1880">
        <v>24366</v>
      </c>
      <c r="D47" s="1603">
        <f t="shared" si="4"/>
        <v>0</v>
      </c>
      <c r="E47" s="1603">
        <f>SUM(E48:E49)</f>
        <v>0</v>
      </c>
      <c r="F47" s="1603">
        <f>SUM(F48:F49)</f>
        <v>0</v>
      </c>
      <c r="G47" s="1603">
        <f t="shared" si="5"/>
        <v>0</v>
      </c>
      <c r="H47" s="1603">
        <f t="shared" si="11"/>
        <v>0</v>
      </c>
      <c r="I47" s="1603">
        <f t="shared" si="11"/>
        <v>0</v>
      </c>
      <c r="J47" s="1603">
        <f t="shared" ref="J47:J90" si="17">SUM(K47:L47)</f>
        <v>0</v>
      </c>
      <c r="K47" s="1603">
        <f>SUM(K48:K49)</f>
        <v>0</v>
      </c>
      <c r="L47" s="1603">
        <f>SUM(L48:L49)</f>
        <v>0</v>
      </c>
      <c r="M47" s="2208">
        <f t="shared" si="2"/>
        <v>0</v>
      </c>
      <c r="N47" s="2208">
        <f t="shared" si="2"/>
        <v>0</v>
      </c>
      <c r="O47" s="2208">
        <f t="shared" si="2"/>
        <v>0</v>
      </c>
      <c r="P47" s="2203" t="s">
        <v>353</v>
      </c>
      <c r="Q47" s="1612" t="s">
        <v>353</v>
      </c>
      <c r="R47" s="1600">
        <f t="shared" si="0"/>
        <v>0</v>
      </c>
      <c r="S47" s="1610">
        <f>SUM(S48:S48)</f>
        <v>0</v>
      </c>
      <c r="T47" s="1610">
        <f>SUM(T48:T48)</f>
        <v>0</v>
      </c>
      <c r="U47" s="1600">
        <f t="shared" si="12"/>
        <v>0</v>
      </c>
      <c r="V47" s="1610">
        <f>SUM(V48:V48)</f>
        <v>0</v>
      </c>
      <c r="W47" s="1610">
        <f>SUM(W48:W48)</f>
        <v>0</v>
      </c>
      <c r="X47" s="1423">
        <f t="shared" si="3"/>
        <v>0</v>
      </c>
      <c r="Y47" s="1603">
        <f t="shared" si="16"/>
        <v>0</v>
      </c>
      <c r="Z47" s="1603">
        <f>SUM(Z48:Z49)</f>
        <v>0</v>
      </c>
      <c r="AA47" s="1603">
        <f>SUM(AA48:AA49)</f>
        <v>0</v>
      </c>
      <c r="AB47" s="1423"/>
      <c r="AC47" s="1423"/>
      <c r="AD47" s="1423"/>
    </row>
    <row r="48" spans="1:30" ht="28.5" hidden="1" customHeight="1">
      <c r="A48" s="2204">
        <f>A46+1</f>
        <v>12</v>
      </c>
      <c r="B48" s="1883" t="s">
        <v>1405</v>
      </c>
      <c r="C48" s="1880">
        <v>24366</v>
      </c>
      <c r="D48" s="1602">
        <f t="shared" si="4"/>
        <v>0</v>
      </c>
      <c r="E48" s="1615"/>
      <c r="F48" s="1615">
        <v>0</v>
      </c>
      <c r="G48" s="1602">
        <f t="shared" ref="G48:G112" si="18">SUM(H48:I48)</f>
        <v>0</v>
      </c>
      <c r="H48" s="1616">
        <f t="shared" si="11"/>
        <v>0</v>
      </c>
      <c r="I48" s="1616">
        <f t="shared" si="11"/>
        <v>0</v>
      </c>
      <c r="J48" s="1602">
        <f t="shared" si="17"/>
        <v>0</v>
      </c>
      <c r="K48" s="1615"/>
      <c r="L48" s="1615"/>
      <c r="M48" s="1604">
        <f t="shared" si="2"/>
        <v>0</v>
      </c>
      <c r="N48" s="1881">
        <f t="shared" si="2"/>
        <v>0</v>
      </c>
      <c r="O48" s="1881">
        <f t="shared" si="2"/>
        <v>0</v>
      </c>
      <c r="P48" s="2203" t="s">
        <v>1171</v>
      </c>
      <c r="Q48" s="2203" t="s">
        <v>1111</v>
      </c>
      <c r="R48" s="1600">
        <f t="shared" si="0"/>
        <v>0</v>
      </c>
      <c r="S48" s="1614">
        <v>0</v>
      </c>
      <c r="T48" s="1614">
        <v>0</v>
      </c>
      <c r="U48" s="1600">
        <f t="shared" si="12"/>
        <v>0</v>
      </c>
      <c r="V48" s="1614">
        <v>0</v>
      </c>
      <c r="W48" s="1614">
        <v>0</v>
      </c>
      <c r="X48" s="1423">
        <f t="shared" si="3"/>
        <v>0</v>
      </c>
      <c r="Y48" s="1602">
        <f t="shared" si="16"/>
        <v>0</v>
      </c>
      <c r="Z48" s="1615"/>
      <c r="AA48" s="1615">
        <v>0</v>
      </c>
      <c r="AB48" s="1423"/>
      <c r="AC48" s="1423"/>
      <c r="AD48" s="1423"/>
    </row>
    <row r="49" spans="1:30" s="484" customFormat="1" ht="45" hidden="1" customHeight="1">
      <c r="A49" s="2204">
        <f>A48+1</f>
        <v>13</v>
      </c>
      <c r="B49" s="1888" t="s">
        <v>1675</v>
      </c>
      <c r="C49" s="1866"/>
      <c r="D49" s="1602">
        <f t="shared" si="4"/>
        <v>0</v>
      </c>
      <c r="E49" s="1615"/>
      <c r="F49" s="1615">
        <v>0</v>
      </c>
      <c r="G49" s="1602">
        <f t="shared" si="18"/>
        <v>0</v>
      </c>
      <c r="H49" s="1616">
        <f t="shared" si="11"/>
        <v>0</v>
      </c>
      <c r="I49" s="1616">
        <f t="shared" si="11"/>
        <v>0</v>
      </c>
      <c r="J49" s="1602">
        <f t="shared" si="17"/>
        <v>0</v>
      </c>
      <c r="K49" s="1615"/>
      <c r="L49" s="1615"/>
      <c r="M49" s="1893">
        <f t="shared" si="2"/>
        <v>0</v>
      </c>
      <c r="N49" s="1894">
        <f t="shared" si="2"/>
        <v>0</v>
      </c>
      <c r="O49" s="1894">
        <f t="shared" si="2"/>
        <v>0</v>
      </c>
      <c r="P49" s="2203"/>
      <c r="Q49" s="2203"/>
      <c r="R49" s="1600">
        <f t="shared" si="0"/>
        <v>0</v>
      </c>
      <c r="S49" s="1615">
        <v>0</v>
      </c>
      <c r="T49" s="1615">
        <v>0</v>
      </c>
      <c r="U49" s="1600">
        <f t="shared" si="12"/>
        <v>0</v>
      </c>
      <c r="V49" s="1615">
        <v>0</v>
      </c>
      <c r="W49" s="1615">
        <v>0</v>
      </c>
      <c r="X49" s="1423">
        <f t="shared" si="3"/>
        <v>0</v>
      </c>
      <c r="Y49" s="1602">
        <f t="shared" si="16"/>
        <v>0</v>
      </c>
      <c r="Z49" s="1615"/>
      <c r="AA49" s="1615">
        <v>0</v>
      </c>
      <c r="AB49" s="1423"/>
      <c r="AC49" s="1423"/>
      <c r="AD49" s="1423"/>
    </row>
    <row r="50" spans="1:30" s="1570" customFormat="1" ht="30" hidden="1" customHeight="1">
      <c r="A50" s="2204"/>
      <c r="B50" s="1884" t="s">
        <v>12</v>
      </c>
      <c r="C50" s="1880">
        <v>24366</v>
      </c>
      <c r="D50" s="1603">
        <f t="shared" si="4"/>
        <v>3675.7</v>
      </c>
      <c r="E50" s="1603">
        <f>SUM(E51:E55)</f>
        <v>0</v>
      </c>
      <c r="F50" s="1603">
        <f>SUM(F51:F55)</f>
        <v>3675.7</v>
      </c>
      <c r="G50" s="1603">
        <f t="shared" si="18"/>
        <v>3675.7</v>
      </c>
      <c r="H50" s="1603">
        <f t="shared" si="11"/>
        <v>0</v>
      </c>
      <c r="I50" s="1603">
        <f>SUBTOTAL(9,I51:I55)</f>
        <v>3675.7</v>
      </c>
      <c r="J50" s="1603">
        <f t="shared" si="17"/>
        <v>3675.7</v>
      </c>
      <c r="K50" s="1603">
        <f>SUM(K51:K55)</f>
        <v>0</v>
      </c>
      <c r="L50" s="1603">
        <f>SUM(L51:L55)</f>
        <v>3675.7</v>
      </c>
      <c r="M50" s="1604">
        <f t="shared" si="2"/>
        <v>100</v>
      </c>
      <c r="N50" s="1604">
        <f t="shared" si="2"/>
        <v>0</v>
      </c>
      <c r="O50" s="1604">
        <f t="shared" si="2"/>
        <v>100</v>
      </c>
      <c r="P50" s="2203" t="s">
        <v>353</v>
      </c>
      <c r="Q50" s="1612" t="s">
        <v>353</v>
      </c>
      <c r="R50" s="1603">
        <f t="shared" si="0"/>
        <v>0</v>
      </c>
      <c r="S50" s="1603">
        <f>SUM(S51:S55)</f>
        <v>0</v>
      </c>
      <c r="T50" s="1603">
        <f>SUM(T51:T55)</f>
        <v>0</v>
      </c>
      <c r="U50" s="1603">
        <f t="shared" si="12"/>
        <v>0</v>
      </c>
      <c r="V50" s="1603">
        <f>SUM(V51:V55)</f>
        <v>0</v>
      </c>
      <c r="W50" s="1603">
        <f>SUM(W51:W55)</f>
        <v>0</v>
      </c>
      <c r="X50" s="1423">
        <f t="shared" si="3"/>
        <v>0</v>
      </c>
      <c r="Y50" s="1603">
        <f t="shared" si="16"/>
        <v>3675.7</v>
      </c>
      <c r="Z50" s="1603">
        <f>SUM(Z51:Z55)</f>
        <v>0</v>
      </c>
      <c r="AA50" s="1603">
        <f>SUM(AA51:AA55)</f>
        <v>3675.7</v>
      </c>
      <c r="AB50" s="1423"/>
      <c r="AC50" s="1423"/>
      <c r="AD50" s="1423"/>
    </row>
    <row r="51" spans="1:30" ht="43.5" hidden="1" customHeight="1">
      <c r="A51" s="2204">
        <f>A49+1</f>
        <v>14</v>
      </c>
      <c r="B51" s="1883" t="s">
        <v>1717</v>
      </c>
      <c r="C51" s="1880">
        <v>24366</v>
      </c>
      <c r="D51" s="1602">
        <f>SUM(E51:F51)</f>
        <v>0</v>
      </c>
      <c r="E51" s="1615"/>
      <c r="F51" s="1615">
        <v>0</v>
      </c>
      <c r="G51" s="1602">
        <f>SUM(H51:I51)</f>
        <v>0</v>
      </c>
      <c r="H51" s="1616">
        <f t="shared" si="11"/>
        <v>0</v>
      </c>
      <c r="I51" s="1615">
        <v>0</v>
      </c>
      <c r="J51" s="1602">
        <f t="shared" si="17"/>
        <v>0</v>
      </c>
      <c r="K51" s="1615"/>
      <c r="L51" s="1615"/>
      <c r="M51" s="1604">
        <f t="shared" si="2"/>
        <v>0</v>
      </c>
      <c r="N51" s="1881">
        <f t="shared" si="2"/>
        <v>0</v>
      </c>
      <c r="O51" s="1881">
        <f t="shared" si="2"/>
        <v>0</v>
      </c>
      <c r="P51" s="2203" t="s">
        <v>1171</v>
      </c>
      <c r="Q51" s="2203" t="s">
        <v>1111</v>
      </c>
      <c r="R51" s="1600">
        <f t="shared" si="0"/>
        <v>0</v>
      </c>
      <c r="S51" s="1614">
        <v>0</v>
      </c>
      <c r="T51" s="1614">
        <v>0</v>
      </c>
      <c r="U51" s="1600">
        <f t="shared" si="12"/>
        <v>0</v>
      </c>
      <c r="V51" s="1614">
        <v>0</v>
      </c>
      <c r="W51" s="1614">
        <v>0</v>
      </c>
      <c r="X51" s="1423">
        <f t="shared" si="3"/>
        <v>0</v>
      </c>
      <c r="Y51" s="1602">
        <f>SUM(Z51:AA51)</f>
        <v>0</v>
      </c>
      <c r="Z51" s="1615"/>
      <c r="AA51" s="1615">
        <v>0</v>
      </c>
      <c r="AB51" s="1423"/>
      <c r="AC51" s="1423"/>
      <c r="AD51" s="1423"/>
    </row>
    <row r="52" spans="1:30" ht="43.5" hidden="1" customHeight="1">
      <c r="A52" s="2204">
        <f>A51+1</f>
        <v>15</v>
      </c>
      <c r="B52" s="1883" t="s">
        <v>1718</v>
      </c>
      <c r="C52" s="1880"/>
      <c r="D52" s="1602">
        <f>SUM(E52:F52)</f>
        <v>0</v>
      </c>
      <c r="E52" s="1615"/>
      <c r="F52" s="1615">
        <v>0</v>
      </c>
      <c r="G52" s="1602">
        <f>SUM(H52:I52)</f>
        <v>0</v>
      </c>
      <c r="H52" s="1616">
        <f t="shared" si="11"/>
        <v>0</v>
      </c>
      <c r="I52" s="1615">
        <v>0</v>
      </c>
      <c r="J52" s="1602">
        <f t="shared" si="17"/>
        <v>0</v>
      </c>
      <c r="K52" s="1615"/>
      <c r="L52" s="1615"/>
      <c r="M52" s="1604">
        <f t="shared" si="2"/>
        <v>0</v>
      </c>
      <c r="N52" s="1881">
        <f t="shared" si="2"/>
        <v>0</v>
      </c>
      <c r="O52" s="1881">
        <f t="shared" si="2"/>
        <v>0</v>
      </c>
      <c r="P52" s="2203"/>
      <c r="Q52" s="2203"/>
      <c r="R52" s="1600"/>
      <c r="S52" s="1614"/>
      <c r="T52" s="1614"/>
      <c r="U52" s="1600"/>
      <c r="V52" s="1614"/>
      <c r="W52" s="1614"/>
      <c r="X52" s="1423">
        <f t="shared" si="3"/>
        <v>0</v>
      </c>
      <c r="Y52" s="1602">
        <f>SUM(Z52:AA52)</f>
        <v>0</v>
      </c>
      <c r="Z52" s="1615"/>
      <c r="AA52" s="1615">
        <v>0</v>
      </c>
      <c r="AB52" s="1423"/>
      <c r="AC52" s="1423"/>
      <c r="AD52" s="1423"/>
    </row>
    <row r="53" spans="1:30" ht="43.5" hidden="1" customHeight="1">
      <c r="A53" s="2204">
        <f>A52+1</f>
        <v>16</v>
      </c>
      <c r="B53" s="1883" t="s">
        <v>1719</v>
      </c>
      <c r="C53" s="1880"/>
      <c r="D53" s="1602">
        <f>SUM(E53:F53)</f>
        <v>0</v>
      </c>
      <c r="E53" s="1615"/>
      <c r="F53" s="1615">
        <v>0</v>
      </c>
      <c r="G53" s="1602">
        <f>SUM(H53:I53)</f>
        <v>0</v>
      </c>
      <c r="H53" s="1616">
        <f t="shared" si="11"/>
        <v>0</v>
      </c>
      <c r="I53" s="1615">
        <v>0</v>
      </c>
      <c r="J53" s="1602">
        <f t="shared" si="17"/>
        <v>0</v>
      </c>
      <c r="K53" s="1615"/>
      <c r="L53" s="1615"/>
      <c r="M53" s="1604">
        <f t="shared" si="2"/>
        <v>0</v>
      </c>
      <c r="N53" s="1881">
        <f t="shared" si="2"/>
        <v>0</v>
      </c>
      <c r="O53" s="1881">
        <f t="shared" si="2"/>
        <v>0</v>
      </c>
      <c r="P53" s="2203"/>
      <c r="Q53" s="2203"/>
      <c r="R53" s="1600"/>
      <c r="S53" s="1614"/>
      <c r="T53" s="1614"/>
      <c r="U53" s="1600"/>
      <c r="V53" s="1614"/>
      <c r="W53" s="1614"/>
      <c r="X53" s="1423">
        <f t="shared" si="3"/>
        <v>0</v>
      </c>
      <c r="Y53" s="1602">
        <f>SUM(Z53:AA53)</f>
        <v>0</v>
      </c>
      <c r="Z53" s="1615"/>
      <c r="AA53" s="1615">
        <v>0</v>
      </c>
      <c r="AB53" s="1423"/>
      <c r="AC53" s="1423"/>
      <c r="AD53" s="1423"/>
    </row>
    <row r="54" spans="1:30" ht="43.5" hidden="1" customHeight="1">
      <c r="A54" s="2204">
        <f>A53+1</f>
        <v>17</v>
      </c>
      <c r="B54" s="1883" t="s">
        <v>1720</v>
      </c>
      <c r="C54" s="1880"/>
      <c r="D54" s="1602">
        <f>SUM(E54:F54)</f>
        <v>0</v>
      </c>
      <c r="E54" s="1615"/>
      <c r="F54" s="1615">
        <v>0</v>
      </c>
      <c r="G54" s="1602">
        <f>SUM(H54:I54)</f>
        <v>0</v>
      </c>
      <c r="H54" s="1616">
        <f t="shared" si="11"/>
        <v>0</v>
      </c>
      <c r="I54" s="1615">
        <v>0</v>
      </c>
      <c r="J54" s="1602">
        <f t="shared" si="17"/>
        <v>0</v>
      </c>
      <c r="K54" s="1615"/>
      <c r="L54" s="1615"/>
      <c r="M54" s="1604">
        <f t="shared" si="2"/>
        <v>0</v>
      </c>
      <c r="N54" s="1881">
        <f t="shared" si="2"/>
        <v>0</v>
      </c>
      <c r="O54" s="1881">
        <f t="shared" si="2"/>
        <v>0</v>
      </c>
      <c r="P54" s="2203"/>
      <c r="Q54" s="2203"/>
      <c r="R54" s="1600"/>
      <c r="S54" s="1614"/>
      <c r="T54" s="1614"/>
      <c r="U54" s="1600"/>
      <c r="V54" s="1614"/>
      <c r="W54" s="1614"/>
      <c r="X54" s="1423">
        <f t="shared" si="3"/>
        <v>0</v>
      </c>
      <c r="Y54" s="1602">
        <f>SUM(Z54:AA54)</f>
        <v>0</v>
      </c>
      <c r="Z54" s="1615"/>
      <c r="AA54" s="1615">
        <v>0</v>
      </c>
      <c r="AB54" s="1423"/>
      <c r="AC54" s="1423"/>
      <c r="AD54" s="1423"/>
    </row>
    <row r="55" spans="1:30" ht="54" hidden="1" customHeight="1">
      <c r="A55" s="2204">
        <f>A46+1</f>
        <v>12</v>
      </c>
      <c r="B55" s="1888" t="s">
        <v>1567</v>
      </c>
      <c r="C55" s="1866"/>
      <c r="D55" s="1602">
        <f t="shared" si="4"/>
        <v>3675.7</v>
      </c>
      <c r="E55" s="1615">
        <v>0</v>
      </c>
      <c r="F55" s="1615">
        <f>4725.9-1050.2</f>
        <v>3675.7</v>
      </c>
      <c r="G55" s="1602">
        <f t="shared" si="18"/>
        <v>3675.7</v>
      </c>
      <c r="H55" s="1616">
        <f t="shared" si="11"/>
        <v>0</v>
      </c>
      <c r="I55" s="1615">
        <f>4725.9-1050.2</f>
        <v>3675.7</v>
      </c>
      <c r="J55" s="1602">
        <f t="shared" si="17"/>
        <v>3675.7</v>
      </c>
      <c r="K55" s="1615">
        <v>0</v>
      </c>
      <c r="L55" s="1615">
        <v>3675.7</v>
      </c>
      <c r="M55" s="1604">
        <f t="shared" si="2"/>
        <v>100</v>
      </c>
      <c r="N55" s="1881">
        <f t="shared" si="2"/>
        <v>0</v>
      </c>
      <c r="O55" s="1881">
        <f t="shared" si="2"/>
        <v>100</v>
      </c>
      <c r="P55" s="2203"/>
      <c r="Q55" s="2203"/>
      <c r="R55" s="1600">
        <f t="shared" si="0"/>
        <v>0</v>
      </c>
      <c r="S55" s="1614">
        <v>0</v>
      </c>
      <c r="T55" s="1614">
        <v>0</v>
      </c>
      <c r="U55" s="1600">
        <f t="shared" si="12"/>
        <v>0</v>
      </c>
      <c r="V55" s="1614">
        <v>0</v>
      </c>
      <c r="W55" s="1614">
        <v>0</v>
      </c>
      <c r="X55" s="1423">
        <f t="shared" si="3"/>
        <v>0</v>
      </c>
      <c r="Y55" s="1602">
        <f t="shared" ref="Y55:Y70" si="19">SUM(Z55:AA55)</f>
        <v>3675.7</v>
      </c>
      <c r="Z55" s="1615">
        <v>0</v>
      </c>
      <c r="AA55" s="1615">
        <f>4725.9-1050.2</f>
        <v>3675.7</v>
      </c>
      <c r="AB55" s="1423"/>
      <c r="AC55" s="1423"/>
      <c r="AD55" s="1423"/>
    </row>
    <row r="56" spans="1:30" s="1570" customFormat="1" ht="25.5" hidden="1" customHeight="1">
      <c r="A56" s="2204"/>
      <c r="B56" s="1884" t="s">
        <v>90</v>
      </c>
      <c r="C56" s="1880">
        <v>24366</v>
      </c>
      <c r="D56" s="1602">
        <f t="shared" si="4"/>
        <v>0</v>
      </c>
      <c r="E56" s="1603">
        <f>SUM(E57)</f>
        <v>0</v>
      </c>
      <c r="F56" s="2208">
        <f>SUM(F57)</f>
        <v>0</v>
      </c>
      <c r="G56" s="1600">
        <f t="shared" si="18"/>
        <v>0</v>
      </c>
      <c r="H56" s="2208">
        <f t="shared" si="11"/>
        <v>0</v>
      </c>
      <c r="I56" s="2208">
        <f t="shared" si="11"/>
        <v>0</v>
      </c>
      <c r="J56" s="1600">
        <f t="shared" si="17"/>
        <v>0</v>
      </c>
      <c r="K56" s="1603">
        <f>SUM(K57)</f>
        <v>0</v>
      </c>
      <c r="L56" s="1603">
        <f>SUM(L57)</f>
        <v>0</v>
      </c>
      <c r="M56" s="1604">
        <f t="shared" si="2"/>
        <v>0</v>
      </c>
      <c r="N56" s="1604">
        <f t="shared" si="2"/>
        <v>0</v>
      </c>
      <c r="O56" s="1604">
        <f t="shared" si="2"/>
        <v>0</v>
      </c>
      <c r="P56" s="2203" t="s">
        <v>353</v>
      </c>
      <c r="Q56" s="1612" t="s">
        <v>353</v>
      </c>
      <c r="R56" s="1600">
        <f t="shared" si="0"/>
        <v>0</v>
      </c>
      <c r="S56" s="1610">
        <f>SUM(S57:S57)</f>
        <v>0</v>
      </c>
      <c r="T56" s="1610">
        <f>SUM(T57:T57)</f>
        <v>0</v>
      </c>
      <c r="U56" s="1600">
        <f t="shared" si="12"/>
        <v>0</v>
      </c>
      <c r="V56" s="1610">
        <f>SUM(V57:V57)</f>
        <v>0</v>
      </c>
      <c r="W56" s="1610">
        <f>SUM(W57:W57)</f>
        <v>0</v>
      </c>
      <c r="X56" s="1423">
        <f t="shared" si="3"/>
        <v>0</v>
      </c>
      <c r="Y56" s="1602">
        <f t="shared" si="19"/>
        <v>0</v>
      </c>
      <c r="Z56" s="1603">
        <f>SUM(Z57)</f>
        <v>0</v>
      </c>
      <c r="AA56" s="2208">
        <f>SUM(AA57)</f>
        <v>0</v>
      </c>
      <c r="AB56" s="1423"/>
      <c r="AC56" s="1423"/>
      <c r="AD56" s="1423"/>
    </row>
    <row r="57" spans="1:30" ht="47.25" hidden="1" customHeight="1">
      <c r="A57" s="2204">
        <f>A55+1</f>
        <v>13</v>
      </c>
      <c r="B57" s="1879" t="s">
        <v>1404</v>
      </c>
      <c r="C57" s="1880">
        <v>24366</v>
      </c>
      <c r="D57" s="1602">
        <f t="shared" si="4"/>
        <v>0</v>
      </c>
      <c r="E57" s="1615"/>
      <c r="F57" s="1614">
        <v>0</v>
      </c>
      <c r="G57" s="1600">
        <f t="shared" si="18"/>
        <v>0</v>
      </c>
      <c r="H57" s="1608">
        <f>E57</f>
        <v>0</v>
      </c>
      <c r="I57" s="1608">
        <f>F57</f>
        <v>0</v>
      </c>
      <c r="J57" s="1600">
        <f t="shared" si="17"/>
        <v>0</v>
      </c>
      <c r="K57" s="1615"/>
      <c r="L57" s="1615">
        <v>0</v>
      </c>
      <c r="M57" s="1604">
        <f t="shared" si="2"/>
        <v>0</v>
      </c>
      <c r="N57" s="1881">
        <f t="shared" si="2"/>
        <v>0</v>
      </c>
      <c r="O57" s="1881">
        <f t="shared" si="2"/>
        <v>0</v>
      </c>
      <c r="P57" s="2203" t="s">
        <v>1171</v>
      </c>
      <c r="Q57" s="2203" t="s">
        <v>1111</v>
      </c>
      <c r="R57" s="1600">
        <f t="shared" si="0"/>
        <v>0</v>
      </c>
      <c r="S57" s="1614">
        <v>0</v>
      </c>
      <c r="T57" s="1614">
        <v>0</v>
      </c>
      <c r="U57" s="1600">
        <f t="shared" si="12"/>
        <v>0</v>
      </c>
      <c r="V57" s="1614">
        <v>0</v>
      </c>
      <c r="W57" s="1614">
        <v>0</v>
      </c>
      <c r="X57" s="1423">
        <f t="shared" si="3"/>
        <v>0</v>
      </c>
      <c r="Y57" s="1602">
        <f t="shared" si="19"/>
        <v>0</v>
      </c>
      <c r="Z57" s="1615"/>
      <c r="AA57" s="1614">
        <v>0</v>
      </c>
      <c r="AB57" s="1423"/>
      <c r="AC57" s="1423"/>
      <c r="AD57" s="1423"/>
    </row>
    <row r="58" spans="1:30" s="1607" customFormat="1" ht="18.75" hidden="1" customHeight="1">
      <c r="A58" s="2204"/>
      <c r="B58" s="2206" t="s">
        <v>1401</v>
      </c>
      <c r="C58" s="1882">
        <v>24366</v>
      </c>
      <c r="D58" s="1603">
        <f t="shared" si="4"/>
        <v>772.5</v>
      </c>
      <c r="E58" s="1603">
        <f>SUM(E59:E60)</f>
        <v>0</v>
      </c>
      <c r="F58" s="2208">
        <f>SUM(F59:F60)</f>
        <v>772.5</v>
      </c>
      <c r="G58" s="2208">
        <f t="shared" si="18"/>
        <v>772.5</v>
      </c>
      <c r="H58" s="2208">
        <f t="shared" si="11"/>
        <v>0</v>
      </c>
      <c r="I58" s="2208">
        <f t="shared" si="11"/>
        <v>772.5</v>
      </c>
      <c r="J58" s="2208">
        <f t="shared" si="17"/>
        <v>772.5</v>
      </c>
      <c r="K58" s="1603">
        <f>SUM(K59:K60)</f>
        <v>0</v>
      </c>
      <c r="L58" s="1603">
        <f>SUM(L59:L60)</f>
        <v>772.5</v>
      </c>
      <c r="M58" s="2208">
        <f t="shared" si="2"/>
        <v>100</v>
      </c>
      <c r="N58" s="2208">
        <f t="shared" si="2"/>
        <v>0</v>
      </c>
      <c r="O58" s="2208">
        <f t="shared" si="2"/>
        <v>100</v>
      </c>
      <c r="P58" s="2203" t="s">
        <v>353</v>
      </c>
      <c r="Q58" s="2203" t="s">
        <v>353</v>
      </c>
      <c r="R58" s="1603">
        <f t="shared" si="0"/>
        <v>0</v>
      </c>
      <c r="S58" s="1603">
        <f>SUM(S59:S60)</f>
        <v>0</v>
      </c>
      <c r="T58" s="1603">
        <f>SUM(T59:T60)</f>
        <v>0</v>
      </c>
      <c r="U58" s="1603">
        <f t="shared" si="12"/>
        <v>0</v>
      </c>
      <c r="V58" s="1603">
        <f>SUM(V59:V60)</f>
        <v>0</v>
      </c>
      <c r="W58" s="1603">
        <f>SUM(W59:W60)</f>
        <v>0</v>
      </c>
      <c r="X58" s="1423">
        <f t="shared" si="3"/>
        <v>0</v>
      </c>
      <c r="Y58" s="1603">
        <f t="shared" si="19"/>
        <v>772.5</v>
      </c>
      <c r="Z58" s="1603">
        <f>SUM(Z59:Z60)</f>
        <v>0</v>
      </c>
      <c r="AA58" s="2208">
        <f>SUM(AA59:AA60)</f>
        <v>772.5</v>
      </c>
      <c r="AB58" s="1423"/>
      <c r="AC58" s="1423"/>
      <c r="AD58" s="1423"/>
    </row>
    <row r="59" spans="1:30" s="1607" customFormat="1" ht="23.25" hidden="1" customHeight="1">
      <c r="A59" s="2204">
        <f>A57+1</f>
        <v>14</v>
      </c>
      <c r="B59" s="521" t="s">
        <v>1518</v>
      </c>
      <c r="C59" s="1882">
        <v>24366</v>
      </c>
      <c r="D59" s="1602">
        <f t="shared" si="4"/>
        <v>0</v>
      </c>
      <c r="E59" s="1616"/>
      <c r="F59" s="1608">
        <v>0</v>
      </c>
      <c r="G59" s="1600">
        <f t="shared" si="18"/>
        <v>0</v>
      </c>
      <c r="H59" s="1608">
        <f>E59</f>
        <v>0</v>
      </c>
      <c r="I59" s="1608">
        <v>0</v>
      </c>
      <c r="J59" s="1600">
        <f t="shared" si="17"/>
        <v>0</v>
      </c>
      <c r="K59" s="1616"/>
      <c r="L59" s="1616"/>
      <c r="M59" s="1604">
        <f t="shared" si="2"/>
        <v>0</v>
      </c>
      <c r="N59" s="1881">
        <f t="shared" si="2"/>
        <v>0</v>
      </c>
      <c r="O59" s="1881">
        <f t="shared" si="2"/>
        <v>0</v>
      </c>
      <c r="P59" s="2203" t="s">
        <v>1171</v>
      </c>
      <c r="Q59" s="2203" t="s">
        <v>1116</v>
      </c>
      <c r="R59" s="1600">
        <f t="shared" si="0"/>
        <v>0</v>
      </c>
      <c r="S59" s="1608">
        <v>0</v>
      </c>
      <c r="T59" s="1608">
        <v>0</v>
      </c>
      <c r="U59" s="1600">
        <f t="shared" si="12"/>
        <v>0</v>
      </c>
      <c r="V59" s="1608">
        <v>0</v>
      </c>
      <c r="W59" s="1608">
        <v>0</v>
      </c>
      <c r="X59" s="1423">
        <f t="shared" si="3"/>
        <v>0</v>
      </c>
      <c r="Y59" s="1602">
        <f t="shared" si="19"/>
        <v>0</v>
      </c>
      <c r="Z59" s="1616"/>
      <c r="AA59" s="1608">
        <v>0</v>
      </c>
      <c r="AB59" s="1423"/>
      <c r="AC59" s="1423"/>
      <c r="AD59" s="1423"/>
    </row>
    <row r="60" spans="1:30" ht="78" hidden="1" customHeight="1">
      <c r="A60" s="2204">
        <f>A55+1</f>
        <v>13</v>
      </c>
      <c r="B60" s="1879" t="s">
        <v>434</v>
      </c>
      <c r="C60" s="1880"/>
      <c r="D60" s="1602">
        <f t="shared" si="4"/>
        <v>772.5</v>
      </c>
      <c r="E60" s="1616">
        <v>0</v>
      </c>
      <c r="F60" s="1616">
        <f>845-72.5</f>
        <v>772.5</v>
      </c>
      <c r="G60" s="1602">
        <f t="shared" si="18"/>
        <v>772.5</v>
      </c>
      <c r="H60" s="1616">
        <f>E60</f>
        <v>0</v>
      </c>
      <c r="I60" s="1616">
        <f>F60</f>
        <v>772.5</v>
      </c>
      <c r="J60" s="1602">
        <f t="shared" si="17"/>
        <v>772.5</v>
      </c>
      <c r="K60" s="1616">
        <v>0</v>
      </c>
      <c r="L60" s="1616">
        <v>772.5</v>
      </c>
      <c r="M60" s="1604">
        <f t="shared" si="2"/>
        <v>100</v>
      </c>
      <c r="N60" s="1881">
        <f t="shared" si="2"/>
        <v>0</v>
      </c>
      <c r="O60" s="1881">
        <f t="shared" si="2"/>
        <v>100</v>
      </c>
      <c r="P60" s="1599"/>
      <c r="Q60" s="1599"/>
      <c r="R60" s="1600">
        <f t="shared" si="0"/>
        <v>0</v>
      </c>
      <c r="S60" s="1619">
        <v>0</v>
      </c>
      <c r="T60" s="1619">
        <v>0</v>
      </c>
      <c r="U60" s="1600">
        <f t="shared" si="12"/>
        <v>0</v>
      </c>
      <c r="V60" s="1619">
        <v>0</v>
      </c>
      <c r="W60" s="1619">
        <v>0</v>
      </c>
      <c r="X60" s="1423">
        <f t="shared" si="3"/>
        <v>0</v>
      </c>
      <c r="Y60" s="1602">
        <f t="shared" si="19"/>
        <v>772.5</v>
      </c>
      <c r="Z60" s="1616">
        <v>0</v>
      </c>
      <c r="AA60" s="1616">
        <f>845-72.5</f>
        <v>772.5</v>
      </c>
      <c r="AB60" s="1423"/>
      <c r="AC60" s="1423"/>
      <c r="AD60" s="1423"/>
    </row>
    <row r="61" spans="1:30" s="1607" customFormat="1" ht="23.25" hidden="1" customHeight="1">
      <c r="A61" s="2204"/>
      <c r="B61" s="2206" t="s">
        <v>1554</v>
      </c>
      <c r="C61" s="1882"/>
      <c r="D61" s="1602">
        <f t="shared" si="4"/>
        <v>0</v>
      </c>
      <c r="E61" s="1603">
        <f>SUM(E62:E63)</f>
        <v>0</v>
      </c>
      <c r="F61" s="1603">
        <f>SUM(F62:F63)</f>
        <v>0</v>
      </c>
      <c r="G61" s="1602">
        <f t="shared" si="18"/>
        <v>0</v>
      </c>
      <c r="H61" s="1603">
        <f t="shared" si="11"/>
        <v>0</v>
      </c>
      <c r="I61" s="1603">
        <f t="shared" si="11"/>
        <v>0</v>
      </c>
      <c r="J61" s="1602">
        <f t="shared" si="17"/>
        <v>0</v>
      </c>
      <c r="K61" s="1603">
        <f>SUM(K62:K63)</f>
        <v>0</v>
      </c>
      <c r="L61" s="1603">
        <f>SUM(L62:L63)</f>
        <v>0</v>
      </c>
      <c r="M61" s="2208">
        <f t="shared" si="2"/>
        <v>0</v>
      </c>
      <c r="N61" s="2208">
        <f t="shared" si="2"/>
        <v>0</v>
      </c>
      <c r="O61" s="2208">
        <f t="shared" si="2"/>
        <v>0</v>
      </c>
      <c r="P61" s="2203"/>
      <c r="Q61" s="2203"/>
      <c r="R61" s="1602">
        <f t="shared" si="0"/>
        <v>0</v>
      </c>
      <c r="S61" s="1603">
        <f>SUM(S62:S63)</f>
        <v>0</v>
      </c>
      <c r="T61" s="1603">
        <f>SUM(T62:T63)</f>
        <v>0</v>
      </c>
      <c r="U61" s="1602">
        <f t="shared" si="12"/>
        <v>0</v>
      </c>
      <c r="V61" s="1603">
        <f>SUM(V62:V63)</f>
        <v>0</v>
      </c>
      <c r="W61" s="1603">
        <f>SUM(W62:W63)</f>
        <v>0</v>
      </c>
      <c r="X61" s="1423">
        <f t="shared" si="3"/>
        <v>0</v>
      </c>
      <c r="Y61" s="1602">
        <f t="shared" si="19"/>
        <v>0</v>
      </c>
      <c r="Z61" s="1603">
        <f>SUM(Z62:Z63)</f>
        <v>0</v>
      </c>
      <c r="AA61" s="1603">
        <f>SUM(AA62:AA63)</f>
        <v>0</v>
      </c>
      <c r="AB61" s="1423"/>
      <c r="AC61" s="1423"/>
      <c r="AD61" s="1423"/>
    </row>
    <row r="62" spans="1:30" s="1607" customFormat="1" ht="84.75" hidden="1" customHeight="1">
      <c r="A62" s="2204">
        <f>A60+1</f>
        <v>14</v>
      </c>
      <c r="B62" s="521" t="s">
        <v>1555</v>
      </c>
      <c r="C62" s="1882"/>
      <c r="D62" s="1602">
        <f t="shared" si="4"/>
        <v>0</v>
      </c>
      <c r="E62" s="1616"/>
      <c r="F62" s="1616">
        <v>0</v>
      </c>
      <c r="G62" s="1602">
        <f t="shared" si="18"/>
        <v>0</v>
      </c>
      <c r="H62" s="1616">
        <f t="shared" si="11"/>
        <v>0</v>
      </c>
      <c r="I62" s="1616">
        <f t="shared" si="11"/>
        <v>0</v>
      </c>
      <c r="J62" s="1602">
        <f t="shared" si="17"/>
        <v>0</v>
      </c>
      <c r="K62" s="1616"/>
      <c r="L62" s="1616"/>
      <c r="M62" s="1604">
        <f t="shared" si="2"/>
        <v>0</v>
      </c>
      <c r="N62" s="1881">
        <f t="shared" si="2"/>
        <v>0</v>
      </c>
      <c r="O62" s="1881">
        <f t="shared" si="2"/>
        <v>0</v>
      </c>
      <c r="P62" s="2203"/>
      <c r="Q62" s="2203"/>
      <c r="R62" s="1600">
        <f>S62+T62</f>
        <v>0</v>
      </c>
      <c r="S62" s="1608">
        <v>0</v>
      </c>
      <c r="T62" s="1608">
        <v>0</v>
      </c>
      <c r="U62" s="1600">
        <f>V62+W62</f>
        <v>0</v>
      </c>
      <c r="V62" s="1608">
        <v>0</v>
      </c>
      <c r="W62" s="1608">
        <v>0</v>
      </c>
      <c r="X62" s="1423">
        <f t="shared" si="3"/>
        <v>0</v>
      </c>
      <c r="Y62" s="1602">
        <f t="shared" si="19"/>
        <v>0</v>
      </c>
      <c r="Z62" s="1616"/>
      <c r="AA62" s="1616">
        <v>0</v>
      </c>
      <c r="AB62" s="1423"/>
      <c r="AC62" s="1423"/>
      <c r="AD62" s="1423"/>
    </row>
    <row r="63" spans="1:30" s="1607" customFormat="1" ht="41.25" hidden="1" customHeight="1">
      <c r="A63" s="2204">
        <f>A62+1</f>
        <v>15</v>
      </c>
      <c r="B63" s="521" t="s">
        <v>1556</v>
      </c>
      <c r="C63" s="1882"/>
      <c r="D63" s="1602">
        <f t="shared" si="4"/>
        <v>0</v>
      </c>
      <c r="E63" s="1616"/>
      <c r="F63" s="1616">
        <v>0</v>
      </c>
      <c r="G63" s="1602">
        <f t="shared" si="18"/>
        <v>0</v>
      </c>
      <c r="H63" s="1616">
        <f t="shared" si="11"/>
        <v>0</v>
      </c>
      <c r="I63" s="1616">
        <f t="shared" si="11"/>
        <v>0</v>
      </c>
      <c r="J63" s="1602">
        <f t="shared" si="17"/>
        <v>0</v>
      </c>
      <c r="K63" s="1616"/>
      <c r="L63" s="1616"/>
      <c r="M63" s="1604">
        <f t="shared" si="2"/>
        <v>0</v>
      </c>
      <c r="N63" s="1881">
        <f t="shared" si="2"/>
        <v>0</v>
      </c>
      <c r="O63" s="1881">
        <f t="shared" si="2"/>
        <v>0</v>
      </c>
      <c r="P63" s="2203"/>
      <c r="Q63" s="2203"/>
      <c r="R63" s="1600">
        <f>S63+T63</f>
        <v>0</v>
      </c>
      <c r="S63" s="1608">
        <v>0</v>
      </c>
      <c r="T63" s="1608">
        <v>0</v>
      </c>
      <c r="U63" s="1600">
        <f>V63+W63</f>
        <v>0</v>
      </c>
      <c r="V63" s="1608">
        <v>0</v>
      </c>
      <c r="W63" s="1608">
        <v>0</v>
      </c>
      <c r="X63" s="1423">
        <f t="shared" si="3"/>
        <v>0</v>
      </c>
      <c r="Y63" s="1602">
        <f t="shared" si="19"/>
        <v>0</v>
      </c>
      <c r="Z63" s="1616"/>
      <c r="AA63" s="1616">
        <v>0</v>
      </c>
      <c r="AB63" s="1423"/>
      <c r="AC63" s="1423"/>
      <c r="AD63" s="1423"/>
    </row>
    <row r="64" spans="1:30" ht="27" hidden="1" customHeight="1">
      <c r="A64" s="2204"/>
      <c r="B64" s="2206" t="s">
        <v>457</v>
      </c>
      <c r="C64" s="2205"/>
      <c r="D64" s="1602">
        <f t="shared" si="4"/>
        <v>3942</v>
      </c>
      <c r="E64" s="1603">
        <f>SUM(E65:E69)</f>
        <v>0</v>
      </c>
      <c r="F64" s="1603">
        <f>SUM(F65:F69)</f>
        <v>3942</v>
      </c>
      <c r="G64" s="1602">
        <f t="shared" si="18"/>
        <v>3942</v>
      </c>
      <c r="H64" s="1603">
        <f t="shared" si="11"/>
        <v>0</v>
      </c>
      <c r="I64" s="1603">
        <f>SUBTOTAL(9,I65:I67)</f>
        <v>3942</v>
      </c>
      <c r="J64" s="1602">
        <f t="shared" si="17"/>
        <v>3942</v>
      </c>
      <c r="K64" s="1603">
        <f>SUM(K65:K69)</f>
        <v>0</v>
      </c>
      <c r="L64" s="1603">
        <f>SUM(L65:L69)</f>
        <v>3942</v>
      </c>
      <c r="M64" s="1604">
        <f t="shared" si="2"/>
        <v>100</v>
      </c>
      <c r="N64" s="1881">
        <f t="shared" si="2"/>
        <v>0</v>
      </c>
      <c r="O64" s="1881">
        <f t="shared" si="2"/>
        <v>100</v>
      </c>
      <c r="P64" s="2203" t="s">
        <v>353</v>
      </c>
      <c r="Q64" s="2203" t="s">
        <v>353</v>
      </c>
      <c r="R64" s="1602">
        <f t="shared" ref="R64:R75" si="20">SUM(S64:T64)</f>
        <v>10700</v>
      </c>
      <c r="S64" s="1603">
        <f>SUM(S65:S69)</f>
        <v>0</v>
      </c>
      <c r="T64" s="1603">
        <f>SUM(T65:T69)</f>
        <v>10700</v>
      </c>
      <c r="U64" s="1602">
        <f t="shared" ref="U64:U75" si="21">SUM(V64:W64)</f>
        <v>0</v>
      </c>
      <c r="V64" s="1603">
        <f>SUM(V65:V69)</f>
        <v>0</v>
      </c>
      <c r="W64" s="1603">
        <f>SUM(W65:W69)</f>
        <v>0</v>
      </c>
      <c r="X64" s="1423">
        <f t="shared" si="3"/>
        <v>0</v>
      </c>
      <c r="Y64" s="1602">
        <f t="shared" si="19"/>
        <v>3942</v>
      </c>
      <c r="Z64" s="1603">
        <f>SUM(Z65:Z69)</f>
        <v>0</v>
      </c>
      <c r="AA64" s="1603">
        <f>SUM(AA65:AA69)</f>
        <v>3942</v>
      </c>
      <c r="AB64" s="1423"/>
      <c r="AC64" s="1423"/>
      <c r="AD64" s="1423"/>
    </row>
    <row r="65" spans="1:30" ht="89.25" hidden="1" customHeight="1">
      <c r="A65" s="2204">
        <f>A63+1</f>
        <v>16</v>
      </c>
      <c r="B65" s="1879" t="s">
        <v>1419</v>
      </c>
      <c r="C65" s="1880">
        <v>24347</v>
      </c>
      <c r="D65" s="1602">
        <f t="shared" si="4"/>
        <v>0</v>
      </c>
      <c r="E65" s="1616"/>
      <c r="F65" s="1616">
        <v>0</v>
      </c>
      <c r="G65" s="1602">
        <f t="shared" si="18"/>
        <v>0</v>
      </c>
      <c r="H65" s="1616">
        <f t="shared" si="11"/>
        <v>0</v>
      </c>
      <c r="I65" s="1616">
        <v>0</v>
      </c>
      <c r="J65" s="1602">
        <f t="shared" si="17"/>
        <v>0</v>
      </c>
      <c r="K65" s="1616"/>
      <c r="L65" s="1616"/>
      <c r="M65" s="1604">
        <f t="shared" si="2"/>
        <v>0</v>
      </c>
      <c r="N65" s="1881">
        <f t="shared" si="2"/>
        <v>0</v>
      </c>
      <c r="O65" s="1881">
        <f t="shared" si="2"/>
        <v>0</v>
      </c>
      <c r="P65" s="2203" t="s">
        <v>1171</v>
      </c>
      <c r="Q65" s="2203" t="s">
        <v>1137</v>
      </c>
      <c r="R65" s="1600">
        <f t="shared" si="20"/>
        <v>0</v>
      </c>
      <c r="S65" s="1608">
        <v>0</v>
      </c>
      <c r="T65" s="1608">
        <v>0</v>
      </c>
      <c r="U65" s="1600">
        <f t="shared" si="21"/>
        <v>0</v>
      </c>
      <c r="V65" s="1608">
        <v>0</v>
      </c>
      <c r="W65" s="1608">
        <v>0</v>
      </c>
      <c r="X65" s="1423">
        <f t="shared" si="3"/>
        <v>0</v>
      </c>
      <c r="Y65" s="1602">
        <f t="shared" si="19"/>
        <v>0</v>
      </c>
      <c r="Z65" s="1616"/>
      <c r="AA65" s="1616">
        <v>0</v>
      </c>
      <c r="AB65" s="1423"/>
      <c r="AC65" s="1423"/>
      <c r="AD65" s="1423"/>
    </row>
    <row r="66" spans="1:30" ht="82.5" hidden="1" customHeight="1">
      <c r="A66" s="2204">
        <f>A60+1</f>
        <v>14</v>
      </c>
      <c r="B66" s="1879" t="s">
        <v>1417</v>
      </c>
      <c r="C66" s="1880">
        <v>24347</v>
      </c>
      <c r="D66" s="1602">
        <f t="shared" si="4"/>
        <v>3942</v>
      </c>
      <c r="E66" s="1616"/>
      <c r="F66" s="1616">
        <f>7000-3058</f>
        <v>3942</v>
      </c>
      <c r="G66" s="1602">
        <f t="shared" si="18"/>
        <v>3942</v>
      </c>
      <c r="H66" s="1616">
        <f t="shared" si="11"/>
        <v>0</v>
      </c>
      <c r="I66" s="1616">
        <f t="shared" si="11"/>
        <v>3942</v>
      </c>
      <c r="J66" s="1602">
        <f t="shared" si="17"/>
        <v>3942</v>
      </c>
      <c r="K66" s="1616"/>
      <c r="L66" s="1616">
        <v>3942</v>
      </c>
      <c r="M66" s="1604">
        <f t="shared" si="2"/>
        <v>100</v>
      </c>
      <c r="N66" s="1881">
        <f t="shared" si="2"/>
        <v>0</v>
      </c>
      <c r="O66" s="1881">
        <f t="shared" si="2"/>
        <v>100</v>
      </c>
      <c r="P66" s="2203" t="s">
        <v>1171</v>
      </c>
      <c r="Q66" s="2203" t="s">
        <v>1137</v>
      </c>
      <c r="R66" s="1600">
        <f t="shared" si="20"/>
        <v>0</v>
      </c>
      <c r="S66" s="1608">
        <v>0</v>
      </c>
      <c r="T66" s="1608">
        <v>0</v>
      </c>
      <c r="U66" s="1600">
        <f t="shared" si="21"/>
        <v>0</v>
      </c>
      <c r="V66" s="1608">
        <v>0</v>
      </c>
      <c r="W66" s="1608">
        <v>0</v>
      </c>
      <c r="X66" s="1423">
        <f t="shared" si="3"/>
        <v>0</v>
      </c>
      <c r="Y66" s="1602">
        <f t="shared" si="19"/>
        <v>3942</v>
      </c>
      <c r="Z66" s="1616"/>
      <c r="AA66" s="1616">
        <f>7000-3058</f>
        <v>3942</v>
      </c>
      <c r="AB66" s="1423"/>
      <c r="AC66" s="1423"/>
      <c r="AD66" s="1423"/>
    </row>
    <row r="67" spans="1:30" ht="99.75" hidden="1" customHeight="1">
      <c r="A67" s="2204">
        <f>A66+1</f>
        <v>15</v>
      </c>
      <c r="B67" s="1879" t="s">
        <v>1418</v>
      </c>
      <c r="C67" s="1880">
        <v>24347</v>
      </c>
      <c r="D67" s="1602">
        <f t="shared" si="4"/>
        <v>0</v>
      </c>
      <c r="E67" s="1616"/>
      <c r="F67" s="1616">
        <v>0</v>
      </c>
      <c r="G67" s="1602">
        <f t="shared" si="18"/>
        <v>0</v>
      </c>
      <c r="H67" s="1616">
        <f t="shared" si="11"/>
        <v>0</v>
      </c>
      <c r="I67" s="1616">
        <v>0</v>
      </c>
      <c r="J67" s="1602">
        <f t="shared" si="17"/>
        <v>0</v>
      </c>
      <c r="K67" s="1616"/>
      <c r="L67" s="1616"/>
      <c r="M67" s="1604">
        <f t="shared" si="2"/>
        <v>0</v>
      </c>
      <c r="N67" s="1881">
        <f t="shared" si="2"/>
        <v>0</v>
      </c>
      <c r="O67" s="1881">
        <f t="shared" si="2"/>
        <v>0</v>
      </c>
      <c r="P67" s="2203" t="s">
        <v>1171</v>
      </c>
      <c r="Q67" s="2203" t="s">
        <v>1137</v>
      </c>
      <c r="R67" s="1600">
        <f t="shared" si="20"/>
        <v>0</v>
      </c>
      <c r="S67" s="1608">
        <v>0</v>
      </c>
      <c r="T67" s="1608">
        <v>0</v>
      </c>
      <c r="U67" s="1600">
        <f t="shared" si="21"/>
        <v>0</v>
      </c>
      <c r="V67" s="1608">
        <v>0</v>
      </c>
      <c r="W67" s="1608">
        <v>0</v>
      </c>
      <c r="X67" s="1423">
        <f t="shared" si="3"/>
        <v>0</v>
      </c>
      <c r="Y67" s="1602">
        <f t="shared" si="19"/>
        <v>0</v>
      </c>
      <c r="Z67" s="1616"/>
      <c r="AA67" s="1616">
        <v>0</v>
      </c>
      <c r="AB67" s="1423"/>
      <c r="AC67" s="1423"/>
      <c r="AD67" s="1423"/>
    </row>
    <row r="68" spans="1:30" ht="97.5" hidden="1" customHeight="1">
      <c r="A68" s="2204"/>
      <c r="B68" s="1895" t="s">
        <v>1415</v>
      </c>
      <c r="C68" s="1882">
        <v>24355</v>
      </c>
      <c r="D68" s="1602">
        <f t="shared" si="4"/>
        <v>0</v>
      </c>
      <c r="E68" s="1616"/>
      <c r="F68" s="1616">
        <v>0</v>
      </c>
      <c r="G68" s="1602">
        <f t="shared" si="18"/>
        <v>0</v>
      </c>
      <c r="H68" s="1616">
        <f t="shared" si="11"/>
        <v>0</v>
      </c>
      <c r="I68" s="1616">
        <f t="shared" si="11"/>
        <v>0</v>
      </c>
      <c r="J68" s="1602">
        <f t="shared" si="17"/>
        <v>0</v>
      </c>
      <c r="K68" s="1616"/>
      <c r="L68" s="1616"/>
      <c r="M68" s="1604">
        <f t="shared" si="2"/>
        <v>0</v>
      </c>
      <c r="N68" s="1881">
        <f t="shared" si="2"/>
        <v>0</v>
      </c>
      <c r="O68" s="1881">
        <f t="shared" si="2"/>
        <v>0</v>
      </c>
      <c r="P68" s="2203" t="s">
        <v>1171</v>
      </c>
      <c r="Q68" s="2550" t="s">
        <v>1138</v>
      </c>
      <c r="R68" s="1600">
        <f t="shared" si="20"/>
        <v>4720</v>
      </c>
      <c r="S68" s="1608">
        <v>0</v>
      </c>
      <c r="T68" s="1608">
        <v>4720</v>
      </c>
      <c r="U68" s="1600">
        <f t="shared" si="21"/>
        <v>0</v>
      </c>
      <c r="V68" s="1608">
        <v>0</v>
      </c>
      <c r="W68" s="1608">
        <v>0</v>
      </c>
      <c r="X68" s="1423">
        <f t="shared" si="3"/>
        <v>0</v>
      </c>
      <c r="Y68" s="1602">
        <f t="shared" si="19"/>
        <v>0</v>
      </c>
      <c r="Z68" s="1616"/>
      <c r="AA68" s="1616">
        <v>0</v>
      </c>
      <c r="AB68" s="1423"/>
      <c r="AC68" s="1423"/>
      <c r="AD68" s="1423"/>
    </row>
    <row r="69" spans="1:30" ht="98.25" hidden="1" customHeight="1">
      <c r="A69" s="2204"/>
      <c r="B69" s="1895" t="s">
        <v>1416</v>
      </c>
      <c r="C69" s="1882">
        <v>24355</v>
      </c>
      <c r="D69" s="1602">
        <f t="shared" si="4"/>
        <v>0</v>
      </c>
      <c r="E69" s="1616"/>
      <c r="F69" s="1616">
        <v>0</v>
      </c>
      <c r="G69" s="1602">
        <f t="shared" si="18"/>
        <v>0</v>
      </c>
      <c r="H69" s="1616">
        <f t="shared" si="11"/>
        <v>0</v>
      </c>
      <c r="I69" s="1616">
        <f t="shared" si="11"/>
        <v>0</v>
      </c>
      <c r="J69" s="1602">
        <f t="shared" si="17"/>
        <v>0</v>
      </c>
      <c r="K69" s="1616"/>
      <c r="L69" s="1616"/>
      <c r="M69" s="1604">
        <f t="shared" si="2"/>
        <v>0</v>
      </c>
      <c r="N69" s="1881">
        <f t="shared" si="2"/>
        <v>0</v>
      </c>
      <c r="O69" s="1881">
        <f t="shared" si="2"/>
        <v>0</v>
      </c>
      <c r="P69" s="2203" t="s">
        <v>1171</v>
      </c>
      <c r="Q69" s="2550"/>
      <c r="R69" s="1600">
        <f t="shared" si="20"/>
        <v>5980</v>
      </c>
      <c r="S69" s="1608">
        <v>0</v>
      </c>
      <c r="T69" s="1608">
        <v>5980</v>
      </c>
      <c r="U69" s="1600">
        <f t="shared" si="21"/>
        <v>0</v>
      </c>
      <c r="V69" s="1608">
        <v>0</v>
      </c>
      <c r="W69" s="1608">
        <v>0</v>
      </c>
      <c r="X69" s="1423">
        <f t="shared" si="3"/>
        <v>0</v>
      </c>
      <c r="Y69" s="1602">
        <f t="shared" si="19"/>
        <v>0</v>
      </c>
      <c r="Z69" s="1616"/>
      <c r="AA69" s="1616">
        <v>0</v>
      </c>
      <c r="AB69" s="1423"/>
      <c r="AC69" s="1423"/>
      <c r="AD69" s="1423"/>
    </row>
    <row r="70" spans="1:30" s="1607" customFormat="1" ht="24" hidden="1" customHeight="1">
      <c r="A70" s="2204"/>
      <c r="B70" s="2206" t="s">
        <v>1400</v>
      </c>
      <c r="C70" s="2205"/>
      <c r="D70" s="1602">
        <f t="shared" si="4"/>
        <v>20093.599999999999</v>
      </c>
      <c r="E70" s="1603">
        <f>SUM(E72:E74)</f>
        <v>0</v>
      </c>
      <c r="F70" s="1603">
        <f>SUM(F71:F74)</f>
        <v>20093.599999999999</v>
      </c>
      <c r="G70" s="1602">
        <f t="shared" si="18"/>
        <v>20093.599999999999</v>
      </c>
      <c r="H70" s="1603">
        <f t="shared" si="11"/>
        <v>0</v>
      </c>
      <c r="I70" s="1603">
        <f t="shared" si="11"/>
        <v>20093.599999999999</v>
      </c>
      <c r="J70" s="1602">
        <f t="shared" si="17"/>
        <v>0</v>
      </c>
      <c r="K70" s="1603">
        <f>SUM(K72:K74)</f>
        <v>0</v>
      </c>
      <c r="L70" s="1603">
        <f>SUM(L72:L74)</f>
        <v>0</v>
      </c>
      <c r="M70" s="1604">
        <f t="shared" si="2"/>
        <v>0</v>
      </c>
      <c r="N70" s="1881">
        <f t="shared" si="2"/>
        <v>0</v>
      </c>
      <c r="O70" s="1881">
        <f t="shared" si="2"/>
        <v>0</v>
      </c>
      <c r="P70" s="2203" t="s">
        <v>353</v>
      </c>
      <c r="Q70" s="2203" t="s">
        <v>353</v>
      </c>
      <c r="R70" s="1602">
        <f t="shared" si="20"/>
        <v>0</v>
      </c>
      <c r="S70" s="1603">
        <f>SUM(S72:S74)</f>
        <v>0</v>
      </c>
      <c r="T70" s="1603">
        <f>SUM(T72:T74)</f>
        <v>0</v>
      </c>
      <c r="U70" s="1602">
        <f t="shared" si="21"/>
        <v>0</v>
      </c>
      <c r="V70" s="1603">
        <f>SUM(V72:V74)</f>
        <v>0</v>
      </c>
      <c r="W70" s="1603">
        <f>SUM(W72:W74)</f>
        <v>0</v>
      </c>
      <c r="X70" s="1423">
        <f t="shared" si="3"/>
        <v>0</v>
      </c>
      <c r="Y70" s="1602">
        <f t="shared" si="19"/>
        <v>20093.599999999999</v>
      </c>
      <c r="Z70" s="1603">
        <f>SUM(Z72:Z74)</f>
        <v>0</v>
      </c>
      <c r="AA70" s="1603">
        <f>SUM(AA71:AA74)</f>
        <v>20093.599999999999</v>
      </c>
      <c r="AB70" s="1423"/>
      <c r="AC70" s="1423"/>
      <c r="AD70" s="1423"/>
    </row>
    <row r="71" spans="1:30" s="1607" customFormat="1" ht="42.75" hidden="1" customHeight="1">
      <c r="A71" s="2204">
        <f>A67+1</f>
        <v>16</v>
      </c>
      <c r="B71" s="1889" t="s">
        <v>1706</v>
      </c>
      <c r="C71" s="2205"/>
      <c r="D71" s="1600">
        <f>SUM(E71:F71)</f>
        <v>0</v>
      </c>
      <c r="E71" s="1608"/>
      <c r="F71" s="1608">
        <v>0</v>
      </c>
      <c r="G71" s="1600">
        <f>SUM(H71:I71)</f>
        <v>0</v>
      </c>
      <c r="H71" s="1608">
        <f t="shared" si="11"/>
        <v>0</v>
      </c>
      <c r="I71" s="1608">
        <f t="shared" si="11"/>
        <v>0</v>
      </c>
      <c r="J71" s="1600">
        <f>SUM(K71:L71)</f>
        <v>0</v>
      </c>
      <c r="K71" s="1616"/>
      <c r="L71" s="1616"/>
      <c r="M71" s="1604">
        <f t="shared" si="2"/>
        <v>0</v>
      </c>
      <c r="N71" s="1881">
        <f t="shared" si="2"/>
        <v>0</v>
      </c>
      <c r="O71" s="1881">
        <f t="shared" si="2"/>
        <v>0</v>
      </c>
      <c r="P71" s="2203"/>
      <c r="Q71" s="2203"/>
      <c r="R71" s="1602"/>
      <c r="S71" s="1603"/>
      <c r="T71" s="1603"/>
      <c r="U71" s="1602"/>
      <c r="V71" s="1603"/>
      <c r="W71" s="1603"/>
      <c r="X71" s="1423">
        <f t="shared" si="3"/>
        <v>0</v>
      </c>
      <c r="Y71" s="1600">
        <f>SUM(Z71:AA71)</f>
        <v>0</v>
      </c>
      <c r="Z71" s="1608"/>
      <c r="AA71" s="1608">
        <v>0</v>
      </c>
      <c r="AB71" s="1423"/>
      <c r="AC71" s="1423"/>
      <c r="AD71" s="1423"/>
    </row>
    <row r="72" spans="1:30" s="1607" customFormat="1" ht="42" hidden="1" customHeight="1">
      <c r="A72" s="2204">
        <f>A71+1</f>
        <v>17</v>
      </c>
      <c r="B72" s="521" t="s">
        <v>1398</v>
      </c>
      <c r="C72" s="1882">
        <v>24366</v>
      </c>
      <c r="D72" s="1600">
        <f t="shared" si="4"/>
        <v>0</v>
      </c>
      <c r="E72" s="1608"/>
      <c r="F72" s="1608">
        <v>0</v>
      </c>
      <c r="G72" s="1600">
        <f t="shared" si="18"/>
        <v>0</v>
      </c>
      <c r="H72" s="1608">
        <f t="shared" si="11"/>
        <v>0</v>
      </c>
      <c r="I72" s="1608">
        <f t="shared" si="11"/>
        <v>0</v>
      </c>
      <c r="J72" s="1600">
        <f t="shared" si="17"/>
        <v>0</v>
      </c>
      <c r="K72" s="1616"/>
      <c r="L72" s="1616"/>
      <c r="M72" s="1604">
        <f t="shared" si="2"/>
        <v>0</v>
      </c>
      <c r="N72" s="1881">
        <f t="shared" si="2"/>
        <v>0</v>
      </c>
      <c r="O72" s="1881">
        <f t="shared" si="2"/>
        <v>0</v>
      </c>
      <c r="P72" s="2203" t="s">
        <v>1171</v>
      </c>
      <c r="Q72" s="2203" t="s">
        <v>1116</v>
      </c>
      <c r="R72" s="1600">
        <f t="shared" si="20"/>
        <v>0</v>
      </c>
      <c r="S72" s="1608">
        <v>0</v>
      </c>
      <c r="T72" s="1608">
        <v>0</v>
      </c>
      <c r="U72" s="1600">
        <f t="shared" si="21"/>
        <v>0</v>
      </c>
      <c r="V72" s="1608">
        <v>0</v>
      </c>
      <c r="W72" s="1608">
        <v>0</v>
      </c>
      <c r="X72" s="1423">
        <f t="shared" si="3"/>
        <v>0</v>
      </c>
      <c r="Y72" s="1600">
        <f t="shared" ref="Y72:Y80" si="22">SUM(Z72:AA72)</f>
        <v>0</v>
      </c>
      <c r="Z72" s="1608"/>
      <c r="AA72" s="1608">
        <v>0</v>
      </c>
      <c r="AB72" s="1423"/>
      <c r="AC72" s="1423"/>
      <c r="AD72" s="1423"/>
    </row>
    <row r="73" spans="1:30" s="1607" customFormat="1" ht="30.75" hidden="1" customHeight="1">
      <c r="A73" s="2204">
        <f>A66+1</f>
        <v>15</v>
      </c>
      <c r="B73" s="521" t="s">
        <v>1413</v>
      </c>
      <c r="C73" s="1882">
        <v>24366</v>
      </c>
      <c r="D73" s="1602">
        <f t="shared" si="4"/>
        <v>6338.1</v>
      </c>
      <c r="E73" s="1616"/>
      <c r="F73" s="1616">
        <v>6338.1</v>
      </c>
      <c r="G73" s="1602">
        <f t="shared" si="18"/>
        <v>6338.1</v>
      </c>
      <c r="H73" s="1616">
        <f t="shared" si="11"/>
        <v>0</v>
      </c>
      <c r="I73" s="1616">
        <f t="shared" si="11"/>
        <v>6338.1</v>
      </c>
      <c r="J73" s="1602">
        <f t="shared" si="17"/>
        <v>0</v>
      </c>
      <c r="K73" s="1616"/>
      <c r="L73" s="1616"/>
      <c r="M73" s="1604">
        <f t="shared" si="2"/>
        <v>0</v>
      </c>
      <c r="N73" s="1881">
        <f t="shared" si="2"/>
        <v>0</v>
      </c>
      <c r="O73" s="1881">
        <f t="shared" si="2"/>
        <v>0</v>
      </c>
      <c r="P73" s="2203" t="s">
        <v>1171</v>
      </c>
      <c r="Q73" s="2203" t="s">
        <v>1116</v>
      </c>
      <c r="R73" s="1600">
        <f t="shared" si="20"/>
        <v>0</v>
      </c>
      <c r="S73" s="1608">
        <v>0</v>
      </c>
      <c r="T73" s="1608">
        <v>0</v>
      </c>
      <c r="U73" s="1600">
        <f t="shared" si="21"/>
        <v>0</v>
      </c>
      <c r="V73" s="1608">
        <v>0</v>
      </c>
      <c r="W73" s="1608">
        <v>0</v>
      </c>
      <c r="X73" s="1423">
        <f t="shared" si="3"/>
        <v>0</v>
      </c>
      <c r="Y73" s="1602">
        <f t="shared" si="22"/>
        <v>6338.1</v>
      </c>
      <c r="Z73" s="1616"/>
      <c r="AA73" s="1616">
        <v>6338.1</v>
      </c>
      <c r="AB73" s="1423"/>
      <c r="AC73" s="1423"/>
      <c r="AD73" s="1423"/>
    </row>
    <row r="74" spans="1:30" s="1607" customFormat="1" ht="46.5" hidden="1" customHeight="1">
      <c r="A74" s="2204">
        <f>A73+1</f>
        <v>16</v>
      </c>
      <c r="B74" s="1883" t="s">
        <v>1414</v>
      </c>
      <c r="C74" s="1880">
        <v>24366</v>
      </c>
      <c r="D74" s="1602">
        <f t="shared" si="4"/>
        <v>13755.5</v>
      </c>
      <c r="E74" s="1616"/>
      <c r="F74" s="1616">
        <v>13755.5</v>
      </c>
      <c r="G74" s="1602">
        <f t="shared" si="18"/>
        <v>13755.5</v>
      </c>
      <c r="H74" s="1616">
        <f t="shared" si="11"/>
        <v>0</v>
      </c>
      <c r="I74" s="1616">
        <f t="shared" si="11"/>
        <v>13755.5</v>
      </c>
      <c r="J74" s="1602">
        <f t="shared" si="17"/>
        <v>0</v>
      </c>
      <c r="K74" s="1616"/>
      <c r="L74" s="1616"/>
      <c r="M74" s="1604">
        <f t="shared" si="2"/>
        <v>0</v>
      </c>
      <c r="N74" s="1881">
        <f t="shared" si="2"/>
        <v>0</v>
      </c>
      <c r="O74" s="1881">
        <f t="shared" si="2"/>
        <v>0</v>
      </c>
      <c r="P74" s="2203" t="s">
        <v>1171</v>
      </c>
      <c r="Q74" s="2203" t="s">
        <v>1116</v>
      </c>
      <c r="R74" s="1600">
        <f t="shared" si="20"/>
        <v>0</v>
      </c>
      <c r="S74" s="1608">
        <v>0</v>
      </c>
      <c r="T74" s="1608">
        <v>0</v>
      </c>
      <c r="U74" s="1600">
        <f t="shared" si="21"/>
        <v>0</v>
      </c>
      <c r="V74" s="1608">
        <v>0</v>
      </c>
      <c r="W74" s="1608">
        <v>0</v>
      </c>
      <c r="X74" s="1423">
        <f t="shared" si="3"/>
        <v>0</v>
      </c>
      <c r="Y74" s="1602">
        <f t="shared" si="22"/>
        <v>13755.5</v>
      </c>
      <c r="Z74" s="1616"/>
      <c r="AA74" s="1616">
        <v>13755.5</v>
      </c>
      <c r="AB74" s="1423"/>
      <c r="AC74" s="1423"/>
      <c r="AD74" s="1423"/>
    </row>
    <row r="75" spans="1:30" s="484" customFormat="1" ht="57.75" hidden="1" customHeight="1">
      <c r="A75" s="2204"/>
      <c r="B75" s="1897" t="s">
        <v>1628</v>
      </c>
      <c r="C75" s="1898"/>
      <c r="D75" s="1899">
        <f t="shared" si="4"/>
        <v>2900</v>
      </c>
      <c r="E75" s="1899">
        <f>SUM(E76,E78)</f>
        <v>0</v>
      </c>
      <c r="F75" s="1899">
        <f>SUM(F76,F78)</f>
        <v>2900</v>
      </c>
      <c r="G75" s="1899">
        <f>SUM(H75:I75)</f>
        <v>2900</v>
      </c>
      <c r="H75" s="1899">
        <f>SUM(H76,H78)</f>
        <v>0</v>
      </c>
      <c r="I75" s="1899">
        <f>SUM(I76,I78)</f>
        <v>2900</v>
      </c>
      <c r="J75" s="1899">
        <f>SUM(K75:L75)</f>
        <v>2529.1999999999998</v>
      </c>
      <c r="K75" s="1899">
        <f>SUM(K76,K78)</f>
        <v>0</v>
      </c>
      <c r="L75" s="1899">
        <f>SUM(L76,L78)</f>
        <v>2529.1999999999998</v>
      </c>
      <c r="M75" s="1900">
        <f t="shared" si="2"/>
        <v>87.2</v>
      </c>
      <c r="N75" s="1901">
        <f t="shared" si="2"/>
        <v>0</v>
      </c>
      <c r="O75" s="1901">
        <f t="shared" si="2"/>
        <v>87.2</v>
      </c>
      <c r="P75" s="2207" t="e">
        <f>SUM(P92+P80+P98)</f>
        <v>#VALUE!</v>
      </c>
      <c r="Q75" s="2207" t="e">
        <f>SUM(Q92+Q80+Q98)</f>
        <v>#VALUE!</v>
      </c>
      <c r="R75" s="1899">
        <f t="shared" si="20"/>
        <v>0</v>
      </c>
      <c r="S75" s="1899">
        <f>SUM(S76,S78)</f>
        <v>0</v>
      </c>
      <c r="T75" s="1899">
        <f>SUM(T76,T78)</f>
        <v>0</v>
      </c>
      <c r="U75" s="1899">
        <f t="shared" si="21"/>
        <v>0</v>
      </c>
      <c r="V75" s="1899">
        <f>SUM(V76,V78)</f>
        <v>0</v>
      </c>
      <c r="W75" s="1899">
        <f>SUM(W76,W78)</f>
        <v>0</v>
      </c>
      <c r="X75" s="1423">
        <f t="shared" si="3"/>
        <v>0</v>
      </c>
      <c r="Y75" s="1899">
        <f t="shared" si="22"/>
        <v>2900</v>
      </c>
      <c r="Z75" s="1899">
        <f>SUM(Z76,Z78)</f>
        <v>0</v>
      </c>
      <c r="AA75" s="1899">
        <f>SUM(AA76,AA78)</f>
        <v>2900</v>
      </c>
      <c r="AB75" s="1423"/>
      <c r="AC75" s="1423"/>
      <c r="AD75" s="1423"/>
    </row>
    <row r="76" spans="1:30" s="484" customFormat="1" ht="27" hidden="1" customHeight="1">
      <c r="A76" s="2204"/>
      <c r="B76" s="2206" t="s">
        <v>1401</v>
      </c>
      <c r="C76" s="1882"/>
      <c r="D76" s="1600">
        <f t="shared" si="4"/>
        <v>1400</v>
      </c>
      <c r="E76" s="2208">
        <f>E77</f>
        <v>0</v>
      </c>
      <c r="F76" s="2208">
        <f>F77</f>
        <v>1400</v>
      </c>
      <c r="G76" s="1600">
        <f t="shared" si="18"/>
        <v>1400</v>
      </c>
      <c r="H76" s="2208">
        <f t="shared" si="11"/>
        <v>0</v>
      </c>
      <c r="I76" s="2208">
        <f t="shared" si="11"/>
        <v>1400</v>
      </c>
      <c r="J76" s="1600">
        <f t="shared" si="17"/>
        <v>1400</v>
      </c>
      <c r="K76" s="1603">
        <f>K77</f>
        <v>0</v>
      </c>
      <c r="L76" s="1603">
        <f>L77</f>
        <v>1400</v>
      </c>
      <c r="M76" s="1604">
        <f t="shared" si="2"/>
        <v>100</v>
      </c>
      <c r="N76" s="1881">
        <f t="shared" si="2"/>
        <v>0</v>
      </c>
      <c r="O76" s="1881">
        <f t="shared" si="2"/>
        <v>100</v>
      </c>
      <c r="P76" s="2208">
        <f t="shared" ref="P76:W76" si="23">P77</f>
        <v>0</v>
      </c>
      <c r="Q76" s="2208">
        <f t="shared" si="23"/>
        <v>0</v>
      </c>
      <c r="R76" s="2208">
        <f t="shared" si="23"/>
        <v>0</v>
      </c>
      <c r="S76" s="2208">
        <f t="shared" si="23"/>
        <v>0</v>
      </c>
      <c r="T76" s="2208">
        <f t="shared" si="23"/>
        <v>0</v>
      </c>
      <c r="U76" s="2208">
        <f t="shared" si="23"/>
        <v>0</v>
      </c>
      <c r="V76" s="2208">
        <f t="shared" si="23"/>
        <v>0</v>
      </c>
      <c r="W76" s="2208">
        <f t="shared" si="23"/>
        <v>0</v>
      </c>
      <c r="X76" s="1423">
        <f t="shared" si="3"/>
        <v>0</v>
      </c>
      <c r="Y76" s="1600">
        <f t="shared" si="22"/>
        <v>1400</v>
      </c>
      <c r="Z76" s="2208">
        <f>Z77</f>
        <v>0</v>
      </c>
      <c r="AA76" s="2208">
        <f>AA77</f>
        <v>1400</v>
      </c>
      <c r="AB76" s="1423"/>
      <c r="AC76" s="1423"/>
      <c r="AD76" s="1423"/>
    </row>
    <row r="77" spans="1:30" s="484" customFormat="1" ht="39.75" hidden="1" customHeight="1">
      <c r="A77" s="2204" t="s">
        <v>119</v>
      </c>
      <c r="B77" s="1889" t="s">
        <v>681</v>
      </c>
      <c r="C77" s="1882">
        <v>90420</v>
      </c>
      <c r="D77" s="1600">
        <f t="shared" si="4"/>
        <v>1400</v>
      </c>
      <c r="E77" s="1608"/>
      <c r="F77" s="1608">
        <v>1400</v>
      </c>
      <c r="G77" s="1600">
        <f t="shared" si="18"/>
        <v>1400</v>
      </c>
      <c r="H77" s="1608">
        <f>E77</f>
        <v>0</v>
      </c>
      <c r="I77" s="1608">
        <f>F77</f>
        <v>1400</v>
      </c>
      <c r="J77" s="1600">
        <f t="shared" si="17"/>
        <v>1400</v>
      </c>
      <c r="K77" s="1616"/>
      <c r="L77" s="1616">
        <v>1400</v>
      </c>
      <c r="M77" s="1604">
        <f t="shared" si="2"/>
        <v>100</v>
      </c>
      <c r="N77" s="1881">
        <f t="shared" si="2"/>
        <v>0</v>
      </c>
      <c r="O77" s="1881">
        <f t="shared" si="2"/>
        <v>100</v>
      </c>
      <c r="P77" s="2203"/>
      <c r="Q77" s="2203"/>
      <c r="R77" s="1600">
        <f>S77+T77</f>
        <v>0</v>
      </c>
      <c r="S77" s="1614"/>
      <c r="T77" s="1614"/>
      <c r="U77" s="1600">
        <f>V77+W77</f>
        <v>0</v>
      </c>
      <c r="V77" s="1614"/>
      <c r="W77" s="1614"/>
      <c r="X77" s="1423">
        <f t="shared" ref="X77:X82" si="24">D77-G77</f>
        <v>0</v>
      </c>
      <c r="Y77" s="1600">
        <f t="shared" si="22"/>
        <v>1400</v>
      </c>
      <c r="Z77" s="1608"/>
      <c r="AA77" s="1608">
        <v>1400</v>
      </c>
      <c r="AB77" s="1423"/>
      <c r="AC77" s="1423"/>
      <c r="AD77" s="1423"/>
    </row>
    <row r="78" spans="1:30" s="484" customFormat="1" ht="23.25" hidden="1" customHeight="1">
      <c r="A78" s="2204"/>
      <c r="B78" s="2206" t="s">
        <v>1554</v>
      </c>
      <c r="C78" s="1882"/>
      <c r="D78" s="1600">
        <f t="shared" si="4"/>
        <v>1500</v>
      </c>
      <c r="E78" s="2208">
        <f>E79</f>
        <v>0</v>
      </c>
      <c r="F78" s="2208">
        <f>F79</f>
        <v>1500</v>
      </c>
      <c r="G78" s="1600">
        <f t="shared" si="18"/>
        <v>1500</v>
      </c>
      <c r="H78" s="2208">
        <f t="shared" si="11"/>
        <v>0</v>
      </c>
      <c r="I78" s="2208">
        <f t="shared" si="11"/>
        <v>1500</v>
      </c>
      <c r="J78" s="1600">
        <f t="shared" si="17"/>
        <v>1129.2</v>
      </c>
      <c r="K78" s="1603">
        <f>K79</f>
        <v>0</v>
      </c>
      <c r="L78" s="1603">
        <f>L79</f>
        <v>1129.2</v>
      </c>
      <c r="M78" s="1604">
        <f t="shared" si="2"/>
        <v>75.3</v>
      </c>
      <c r="N78" s="1881">
        <f t="shared" si="2"/>
        <v>0</v>
      </c>
      <c r="O78" s="1881">
        <f t="shared" si="2"/>
        <v>75.3</v>
      </c>
      <c r="P78" s="2203"/>
      <c r="Q78" s="2203"/>
      <c r="R78" s="1602">
        <f>SUM(S78:T78)</f>
        <v>0</v>
      </c>
      <c r="S78" s="1603">
        <f>S79</f>
        <v>0</v>
      </c>
      <c r="T78" s="1603">
        <f>T79</f>
        <v>0</v>
      </c>
      <c r="U78" s="1602">
        <f>SUM(V78:W78)</f>
        <v>0</v>
      </c>
      <c r="V78" s="1603">
        <f>V79</f>
        <v>0</v>
      </c>
      <c r="W78" s="1603">
        <f>W79</f>
        <v>0</v>
      </c>
      <c r="X78" s="1423">
        <f t="shared" si="24"/>
        <v>0</v>
      </c>
      <c r="Y78" s="1600">
        <f t="shared" si="22"/>
        <v>1500</v>
      </c>
      <c r="Z78" s="2208">
        <f>Z79</f>
        <v>0</v>
      </c>
      <c r="AA78" s="2208">
        <f>AA79</f>
        <v>1500</v>
      </c>
      <c r="AB78" s="1423"/>
      <c r="AC78" s="1423"/>
      <c r="AD78" s="1423"/>
    </row>
    <row r="79" spans="1:30" s="484" customFormat="1" ht="39.75" hidden="1" customHeight="1">
      <c r="A79" s="2204" t="s">
        <v>120</v>
      </c>
      <c r="B79" s="1889" t="s">
        <v>1623</v>
      </c>
      <c r="C79" s="1882">
        <v>90420</v>
      </c>
      <c r="D79" s="1602">
        <f t="shared" si="4"/>
        <v>1500</v>
      </c>
      <c r="E79" s="1616"/>
      <c r="F79" s="1616">
        <v>1500</v>
      </c>
      <c r="G79" s="1602">
        <f t="shared" si="18"/>
        <v>1500</v>
      </c>
      <c r="H79" s="1616">
        <f>E79</f>
        <v>0</v>
      </c>
      <c r="I79" s="1616">
        <f>F79</f>
        <v>1500</v>
      </c>
      <c r="J79" s="1602">
        <f t="shared" si="17"/>
        <v>1129.2</v>
      </c>
      <c r="K79" s="1616"/>
      <c r="L79" s="1616">
        <v>1129.2</v>
      </c>
      <c r="M79" s="1604">
        <f t="shared" ref="M79:O150" si="25">IF(J79=0,0,J79/G79*100)</f>
        <v>75.3</v>
      </c>
      <c r="N79" s="1881">
        <f t="shared" si="25"/>
        <v>0</v>
      </c>
      <c r="O79" s="1881">
        <f t="shared" si="25"/>
        <v>75.3</v>
      </c>
      <c r="P79" s="2203"/>
      <c r="Q79" s="2203"/>
      <c r="R79" s="1600">
        <f>S79+T79</f>
        <v>0</v>
      </c>
      <c r="S79" s="1614"/>
      <c r="T79" s="1614"/>
      <c r="U79" s="1600">
        <f>V79+W79</f>
        <v>0</v>
      </c>
      <c r="V79" s="1614"/>
      <c r="W79" s="1614"/>
      <c r="X79" s="1423">
        <f t="shared" si="24"/>
        <v>0</v>
      </c>
      <c r="Y79" s="1602">
        <f t="shared" si="22"/>
        <v>1500</v>
      </c>
      <c r="Z79" s="1616"/>
      <c r="AA79" s="1616">
        <v>1500</v>
      </c>
      <c r="AB79" s="1423"/>
      <c r="AC79" s="1423"/>
      <c r="AD79" s="1423"/>
    </row>
    <row r="80" spans="1:30" ht="25.5" hidden="1" customHeight="1">
      <c r="A80" s="2204" t="s">
        <v>254</v>
      </c>
      <c r="B80" s="1876" t="s">
        <v>1394</v>
      </c>
      <c r="C80" s="1877"/>
      <c r="D80" s="1598">
        <f t="shared" si="4"/>
        <v>1404891.9</v>
      </c>
      <c r="E80" s="1903">
        <f>E81+E92</f>
        <v>1356275</v>
      </c>
      <c r="F80" s="1903">
        <f>F81+F92</f>
        <v>48616.9</v>
      </c>
      <c r="G80" s="1598">
        <f>SUM(H80:I80)</f>
        <v>1404088.9</v>
      </c>
      <c r="H80" s="1903">
        <f>H81+H92</f>
        <v>1355520.2</v>
      </c>
      <c r="I80" s="1903">
        <f>I81+I92</f>
        <v>48568.7</v>
      </c>
      <c r="J80" s="1598">
        <f>SUM(K80:L80)</f>
        <v>1189256.5</v>
      </c>
      <c r="K80" s="1903">
        <f>K81+K92</f>
        <v>1151068</v>
      </c>
      <c r="L80" s="1903">
        <f>L81+L92</f>
        <v>38188.5</v>
      </c>
      <c r="M80" s="1903">
        <f t="shared" si="25"/>
        <v>84.7</v>
      </c>
      <c r="N80" s="1903">
        <f t="shared" si="25"/>
        <v>84.9</v>
      </c>
      <c r="O80" s="1903">
        <f t="shared" si="25"/>
        <v>78.599999999999994</v>
      </c>
      <c r="P80" s="1599" t="s">
        <v>353</v>
      </c>
      <c r="Q80" s="1599" t="s">
        <v>353</v>
      </c>
      <c r="R80" s="1598" t="e">
        <f>SUM(S80:T80)</f>
        <v>#REF!</v>
      </c>
      <c r="S80" s="1903" t="e">
        <f>SUM(S81+S92+#REF!)</f>
        <v>#REF!</v>
      </c>
      <c r="T80" s="1903" t="e">
        <f>SUM(T81+T92+#REF!)</f>
        <v>#REF!</v>
      </c>
      <c r="U80" s="1598" t="e">
        <f>SUM(V80:W80)</f>
        <v>#REF!</v>
      </c>
      <c r="V80" s="1903" t="e">
        <f>SUM(V81+V92+#REF!)</f>
        <v>#REF!</v>
      </c>
      <c r="W80" s="1903" t="e">
        <f>SUM(W81+W92+#REF!)</f>
        <v>#REF!</v>
      </c>
      <c r="X80" s="1423">
        <f t="shared" si="24"/>
        <v>803</v>
      </c>
      <c r="Y80" s="1598">
        <f t="shared" si="22"/>
        <v>1404891.9</v>
      </c>
      <c r="Z80" s="1903">
        <f>Z81+Z92</f>
        <v>1356275</v>
      </c>
      <c r="AA80" s="1903">
        <f>AA81+AA92</f>
        <v>48616.9</v>
      </c>
      <c r="AB80" s="1423"/>
      <c r="AC80" s="1423"/>
      <c r="AD80" s="1423"/>
    </row>
    <row r="81" spans="1:30" ht="30.75" hidden="1" customHeight="1">
      <c r="A81" s="2204" t="s">
        <v>1519</v>
      </c>
      <c r="B81" s="1897" t="s">
        <v>1395</v>
      </c>
      <c r="C81" s="1898"/>
      <c r="D81" s="1899">
        <f>SUM(E81:F81)</f>
        <v>1227331.5</v>
      </c>
      <c r="E81" s="1899">
        <f>E82+E89+E87</f>
        <v>1199733.2</v>
      </c>
      <c r="F81" s="1899">
        <f>F82+F89</f>
        <v>27598.3</v>
      </c>
      <c r="G81" s="1899">
        <f>SUM(H81:I81)</f>
        <v>1227331.5</v>
      </c>
      <c r="H81" s="1899">
        <f>H82+H89+H87</f>
        <v>1199733.2</v>
      </c>
      <c r="I81" s="1899">
        <f>I82+I89</f>
        <v>27598.3</v>
      </c>
      <c r="J81" s="1899">
        <f>SUM(K81:L81)</f>
        <v>1107645.6000000001</v>
      </c>
      <c r="K81" s="1899">
        <f>K82+K89+K87</f>
        <v>1082325.8</v>
      </c>
      <c r="L81" s="1899">
        <f>L82+L89</f>
        <v>25319.8</v>
      </c>
      <c r="M81" s="1899">
        <f t="shared" si="25"/>
        <v>90.2</v>
      </c>
      <c r="N81" s="1899">
        <f t="shared" si="25"/>
        <v>90.2</v>
      </c>
      <c r="O81" s="1899">
        <f t="shared" si="25"/>
        <v>91.7</v>
      </c>
      <c r="P81" s="1899" t="e">
        <f t="shared" ref="P81:W81" si="26">P82+P89+P87</f>
        <v>#VALUE!</v>
      </c>
      <c r="Q81" s="1899" t="e">
        <f t="shared" si="26"/>
        <v>#VALUE!</v>
      </c>
      <c r="R81" s="1899">
        <f t="shared" si="26"/>
        <v>702732.2</v>
      </c>
      <c r="S81" s="1899">
        <f t="shared" si="26"/>
        <v>695705</v>
      </c>
      <c r="T81" s="1899">
        <f t="shared" si="26"/>
        <v>7027.2</v>
      </c>
      <c r="U81" s="1899">
        <f t="shared" si="26"/>
        <v>2102737.1</v>
      </c>
      <c r="V81" s="1899">
        <f t="shared" si="26"/>
        <v>2081709.6</v>
      </c>
      <c r="W81" s="1899">
        <f t="shared" si="26"/>
        <v>21027.5</v>
      </c>
      <c r="X81" s="1423">
        <f t="shared" si="24"/>
        <v>0</v>
      </c>
      <c r="Y81" s="1899">
        <f>SUM(Z81:AA81)</f>
        <v>1227331.5</v>
      </c>
      <c r="Z81" s="1899">
        <f>Z82+Z89+Z87</f>
        <v>1199733.2</v>
      </c>
      <c r="AA81" s="1899">
        <f>AA82+AA89</f>
        <v>27598.3</v>
      </c>
      <c r="AB81" s="1423"/>
      <c r="AC81" s="1423"/>
      <c r="AD81" s="1423"/>
    </row>
    <row r="82" spans="1:30" ht="24.75" hidden="1" customHeight="1">
      <c r="A82" s="2204"/>
      <c r="B82" s="1897" t="s">
        <v>1396</v>
      </c>
      <c r="C82" s="1898"/>
      <c r="D82" s="1899">
        <f>SUM(E82:F82)</f>
        <v>936.1</v>
      </c>
      <c r="E82" s="1899">
        <f>E85+E83</f>
        <v>856.5</v>
      </c>
      <c r="F82" s="1899">
        <f t="shared" ref="F82:W82" si="27">F85+F83</f>
        <v>79.599999999999994</v>
      </c>
      <c r="G82" s="1899">
        <f>SUM(H82:I82)</f>
        <v>936.1</v>
      </c>
      <c r="H82" s="1899">
        <f>H85+H83</f>
        <v>856.5</v>
      </c>
      <c r="I82" s="1899">
        <f>I85+I83</f>
        <v>79.599999999999994</v>
      </c>
      <c r="J82" s="1899">
        <f>SUM(K82:L82)</f>
        <v>936.1</v>
      </c>
      <c r="K82" s="1899">
        <f>K85+K83</f>
        <v>925.7</v>
      </c>
      <c r="L82" s="1899">
        <f>L85+L83</f>
        <v>10.4</v>
      </c>
      <c r="M82" s="1899">
        <f t="shared" si="25"/>
        <v>100</v>
      </c>
      <c r="N82" s="1899">
        <f t="shared" si="25"/>
        <v>108.1</v>
      </c>
      <c r="O82" s="1899">
        <f t="shared" si="25"/>
        <v>13.1</v>
      </c>
      <c r="P82" s="1899" t="e">
        <f t="shared" si="27"/>
        <v>#VALUE!</v>
      </c>
      <c r="Q82" s="1899" t="e">
        <f t="shared" si="27"/>
        <v>#VALUE!</v>
      </c>
      <c r="R82" s="1899">
        <f t="shared" si="27"/>
        <v>216010.9</v>
      </c>
      <c r="S82" s="1899">
        <f t="shared" si="27"/>
        <v>213850.8</v>
      </c>
      <c r="T82" s="1899">
        <f t="shared" si="27"/>
        <v>2160.1</v>
      </c>
      <c r="U82" s="1899">
        <f t="shared" si="27"/>
        <v>327265.90000000002</v>
      </c>
      <c r="V82" s="1899">
        <f t="shared" si="27"/>
        <v>323993.2</v>
      </c>
      <c r="W82" s="1899">
        <f t="shared" si="27"/>
        <v>3272.7</v>
      </c>
      <c r="X82" s="1423">
        <f t="shared" si="24"/>
        <v>0</v>
      </c>
      <c r="Y82" s="1899">
        <f>SUM(Z82:AA82)</f>
        <v>936.1</v>
      </c>
      <c r="Z82" s="1899">
        <f>Z85+Z83</f>
        <v>856.5</v>
      </c>
      <c r="AA82" s="1899">
        <f t="shared" ref="AA82" si="28">AA85+AA83</f>
        <v>79.599999999999994</v>
      </c>
      <c r="AB82" s="1423"/>
      <c r="AC82" s="1423"/>
      <c r="AD82" s="1423"/>
    </row>
    <row r="83" spans="1:30" ht="37.5" hidden="1" customHeight="1">
      <c r="A83" s="2204"/>
      <c r="B83" s="2206" t="s">
        <v>1667</v>
      </c>
      <c r="C83" s="2205"/>
      <c r="D83" s="1602">
        <f>SUM(E83:F83)</f>
        <v>0</v>
      </c>
      <c r="E83" s="1603">
        <f>SUM(E84)</f>
        <v>0</v>
      </c>
      <c r="F83" s="1603">
        <f>SUM(F84)</f>
        <v>0</v>
      </c>
      <c r="G83" s="1602">
        <f t="shared" si="18"/>
        <v>0</v>
      </c>
      <c r="H83" s="1603">
        <f t="shared" ref="H83:I156" si="29">E83</f>
        <v>0</v>
      </c>
      <c r="I83" s="1603">
        <f t="shared" si="29"/>
        <v>0</v>
      </c>
      <c r="J83" s="1602">
        <f t="shared" si="17"/>
        <v>0</v>
      </c>
      <c r="K83" s="1603">
        <f>SUM(K84)</f>
        <v>0</v>
      </c>
      <c r="L83" s="1603">
        <f>SUM(L84)</f>
        <v>0</v>
      </c>
      <c r="M83" s="1604">
        <f t="shared" si="25"/>
        <v>0</v>
      </c>
      <c r="N83" s="1881">
        <f t="shared" si="25"/>
        <v>0</v>
      </c>
      <c r="O83" s="1881">
        <f t="shared" si="25"/>
        <v>0</v>
      </c>
      <c r="P83" s="2203" t="s">
        <v>353</v>
      </c>
      <c r="Q83" s="2203" t="s">
        <v>353</v>
      </c>
      <c r="R83" s="1602">
        <f>SUM(S83:T83)</f>
        <v>216010.9</v>
      </c>
      <c r="S83" s="1603">
        <f>SUM(S84)</f>
        <v>213850.8</v>
      </c>
      <c r="T83" s="1603">
        <f>SUM(T84)</f>
        <v>2160.1</v>
      </c>
      <c r="U83" s="1602">
        <f>SUM(V83:W83)</f>
        <v>327265.90000000002</v>
      </c>
      <c r="V83" s="1603">
        <f>SUM(V84)</f>
        <v>323993.2</v>
      </c>
      <c r="W83" s="1603">
        <f>SUM(W84)</f>
        <v>3272.7</v>
      </c>
      <c r="Y83" s="1602">
        <f>SUM(Z83:AA83)</f>
        <v>0</v>
      </c>
      <c r="Z83" s="1603">
        <f>SUM(Z84)</f>
        <v>0</v>
      </c>
      <c r="AA83" s="1603">
        <f>SUM(AA84)</f>
        <v>0</v>
      </c>
      <c r="AB83" s="1423"/>
      <c r="AC83" s="1423"/>
      <c r="AD83" s="1423"/>
    </row>
    <row r="84" spans="1:30" ht="59.25" hidden="1" customHeight="1">
      <c r="A84" s="2204"/>
      <c r="B84" s="1885" t="s">
        <v>672</v>
      </c>
      <c r="C84" s="1904" t="s">
        <v>1539</v>
      </c>
      <c r="D84" s="1602">
        <f>SUM(E84:F84)</f>
        <v>0</v>
      </c>
      <c r="E84" s="1615">
        <v>0</v>
      </c>
      <c r="F84" s="1615">
        <v>0</v>
      </c>
      <c r="G84" s="1602">
        <f t="shared" si="18"/>
        <v>0</v>
      </c>
      <c r="H84" s="1615">
        <f t="shared" si="29"/>
        <v>0</v>
      </c>
      <c r="I84" s="1615">
        <f t="shared" si="29"/>
        <v>0</v>
      </c>
      <c r="J84" s="1602">
        <f t="shared" si="17"/>
        <v>0</v>
      </c>
      <c r="K84" s="1615">
        <v>0</v>
      </c>
      <c r="L84" s="1615">
        <v>0</v>
      </c>
      <c r="M84" s="1893">
        <f t="shared" si="25"/>
        <v>0</v>
      </c>
      <c r="N84" s="1894">
        <f t="shared" si="25"/>
        <v>0</v>
      </c>
      <c r="O84" s="1894">
        <f t="shared" si="25"/>
        <v>0</v>
      </c>
      <c r="P84" s="2203" t="s">
        <v>1171</v>
      </c>
      <c r="Q84" s="2203" t="s">
        <v>1659</v>
      </c>
      <c r="R84" s="1600">
        <f>SUM(S84:T84)</f>
        <v>216010.9</v>
      </c>
      <c r="S84" s="1614">
        <v>213850.8</v>
      </c>
      <c r="T84" s="1614">
        <v>2160.1</v>
      </c>
      <c r="U84" s="1600">
        <f>SUM(V84:W84)</f>
        <v>327265.90000000002</v>
      </c>
      <c r="V84" s="1614">
        <v>323993.2</v>
      </c>
      <c r="W84" s="1614">
        <v>3272.7</v>
      </c>
      <c r="Y84" s="1602">
        <f>SUM(Z84:AA84)</f>
        <v>0</v>
      </c>
      <c r="Z84" s="1615">
        <v>0</v>
      </c>
      <c r="AA84" s="1615">
        <v>0</v>
      </c>
      <c r="AB84" s="1423"/>
      <c r="AC84" s="1423"/>
      <c r="AD84" s="1423"/>
    </row>
    <row r="85" spans="1:30" ht="29.25" hidden="1" customHeight="1">
      <c r="A85" s="2204"/>
      <c r="B85" s="2206" t="s">
        <v>457</v>
      </c>
      <c r="C85" s="2205"/>
      <c r="D85" s="1602">
        <f t="shared" si="4"/>
        <v>936.1</v>
      </c>
      <c r="E85" s="1603">
        <f>SUM(E86)</f>
        <v>856.5</v>
      </c>
      <c r="F85" s="1603">
        <f>SUM(F86)</f>
        <v>79.599999999999994</v>
      </c>
      <c r="G85" s="1602">
        <f t="shared" si="18"/>
        <v>936.1</v>
      </c>
      <c r="H85" s="1603">
        <f t="shared" si="29"/>
        <v>856.5</v>
      </c>
      <c r="I85" s="1603">
        <f t="shared" si="29"/>
        <v>79.599999999999994</v>
      </c>
      <c r="J85" s="1602">
        <f t="shared" si="17"/>
        <v>936.1</v>
      </c>
      <c r="K85" s="1603">
        <f>SUM(K86)</f>
        <v>925.7</v>
      </c>
      <c r="L85" s="1603">
        <f>SUM(L86)</f>
        <v>10.4</v>
      </c>
      <c r="M85" s="1604">
        <f t="shared" si="25"/>
        <v>100</v>
      </c>
      <c r="N85" s="1881">
        <f t="shared" si="25"/>
        <v>108.1</v>
      </c>
      <c r="O85" s="1881">
        <f t="shared" si="25"/>
        <v>13.1</v>
      </c>
      <c r="P85" s="2203" t="s">
        <v>353</v>
      </c>
      <c r="Q85" s="2203" t="s">
        <v>353</v>
      </c>
      <c r="R85" s="1602">
        <f>SUM(S85:T85)</f>
        <v>0</v>
      </c>
      <c r="S85" s="1603">
        <f>SUM(S86)</f>
        <v>0</v>
      </c>
      <c r="T85" s="1603">
        <f>SUM(T86)</f>
        <v>0</v>
      </c>
      <c r="U85" s="1602">
        <f>SUM(V85:W85)</f>
        <v>0</v>
      </c>
      <c r="V85" s="1603">
        <f>SUM(V86)</f>
        <v>0</v>
      </c>
      <c r="W85" s="1603">
        <f>SUM(W86)</f>
        <v>0</v>
      </c>
      <c r="X85" s="1423">
        <f>D85-G85</f>
        <v>0</v>
      </c>
      <c r="Y85" s="1602">
        <f t="shared" ref="Y85:Y86" si="30">SUM(Z85:AA85)</f>
        <v>936.1</v>
      </c>
      <c r="Z85" s="1603">
        <f>SUM(Z86)</f>
        <v>856.5</v>
      </c>
      <c r="AA85" s="1603">
        <f>SUM(AA86)</f>
        <v>79.599999999999994</v>
      </c>
      <c r="AB85" s="1423"/>
      <c r="AC85" s="1423"/>
      <c r="AD85" s="1423"/>
    </row>
    <row r="86" spans="1:30" s="484" customFormat="1" ht="46.5" hidden="1" customHeight="1">
      <c r="A86" s="2204">
        <f>A74+1</f>
        <v>17</v>
      </c>
      <c r="B86" s="1885" t="s">
        <v>1392</v>
      </c>
      <c r="C86" s="1904" t="s">
        <v>1539</v>
      </c>
      <c r="D86" s="1602">
        <f t="shared" si="4"/>
        <v>936.1</v>
      </c>
      <c r="E86" s="1615">
        <v>856.5</v>
      </c>
      <c r="F86" s="1615">
        <v>79.599999999999994</v>
      </c>
      <c r="G86" s="1600">
        <f t="shared" si="18"/>
        <v>936.1</v>
      </c>
      <c r="H86" s="1608">
        <f>E86</f>
        <v>856.5</v>
      </c>
      <c r="I86" s="1608">
        <f>F86</f>
        <v>79.599999999999994</v>
      </c>
      <c r="J86" s="1600">
        <f t="shared" si="17"/>
        <v>936.1</v>
      </c>
      <c r="K86" s="1615">
        <v>925.7</v>
      </c>
      <c r="L86" s="1615">
        <v>10.4</v>
      </c>
      <c r="M86" s="1893">
        <f t="shared" si="25"/>
        <v>100</v>
      </c>
      <c r="N86" s="1894">
        <f t="shared" si="25"/>
        <v>108.1</v>
      </c>
      <c r="O86" s="1894">
        <f t="shared" si="25"/>
        <v>13.1</v>
      </c>
      <c r="P86" s="2203" t="s">
        <v>1171</v>
      </c>
      <c r="Q86" s="2203" t="s">
        <v>1659</v>
      </c>
      <c r="R86" s="1600">
        <f>SUM(S86:T86)</f>
        <v>0</v>
      </c>
      <c r="S86" s="1614">
        <v>0</v>
      </c>
      <c r="T86" s="1614">
        <v>0</v>
      </c>
      <c r="U86" s="1600">
        <f>SUM(V86:W86)</f>
        <v>0</v>
      </c>
      <c r="V86" s="1614">
        <v>0</v>
      </c>
      <c r="W86" s="1614">
        <v>0</v>
      </c>
      <c r="X86" s="1423">
        <f>D86-G86</f>
        <v>0</v>
      </c>
      <c r="Y86" s="1602">
        <f t="shared" si="30"/>
        <v>936.1</v>
      </c>
      <c r="Z86" s="1615">
        <v>856.5</v>
      </c>
      <c r="AA86" s="1615">
        <v>79.599999999999994</v>
      </c>
      <c r="AB86" s="2193"/>
      <c r="AC86" s="1423"/>
      <c r="AD86" s="1423"/>
    </row>
    <row r="87" spans="1:30" s="484" customFormat="1" ht="25.5" hidden="1" customHeight="1">
      <c r="A87" s="2204"/>
      <c r="B87" s="1897" t="s">
        <v>1650</v>
      </c>
      <c r="C87" s="1898"/>
      <c r="D87" s="1899">
        <f>SUM(E87:F87)</f>
        <v>0</v>
      </c>
      <c r="E87" s="2207">
        <f t="shared" ref="E87:W87" si="31">SUM(E88)</f>
        <v>0</v>
      </c>
      <c r="F87" s="2207">
        <f t="shared" si="31"/>
        <v>0</v>
      </c>
      <c r="G87" s="1899">
        <f t="shared" si="18"/>
        <v>0</v>
      </c>
      <c r="H87" s="2207">
        <f t="shared" si="29"/>
        <v>0</v>
      </c>
      <c r="I87" s="2207">
        <f t="shared" si="29"/>
        <v>0</v>
      </c>
      <c r="J87" s="1899">
        <f t="shared" si="17"/>
        <v>0</v>
      </c>
      <c r="K87" s="2207">
        <f t="shared" si="31"/>
        <v>0</v>
      </c>
      <c r="L87" s="2207">
        <f t="shared" si="31"/>
        <v>0</v>
      </c>
      <c r="M87" s="2207">
        <f t="shared" si="25"/>
        <v>0</v>
      </c>
      <c r="N87" s="2207">
        <f t="shared" si="25"/>
        <v>0</v>
      </c>
      <c r="O87" s="2207">
        <f t="shared" si="25"/>
        <v>0</v>
      </c>
      <c r="P87" s="2207">
        <f t="shared" si="31"/>
        <v>0</v>
      </c>
      <c r="Q87" s="2207">
        <f t="shared" si="31"/>
        <v>0</v>
      </c>
      <c r="R87" s="2207">
        <f t="shared" si="31"/>
        <v>0</v>
      </c>
      <c r="S87" s="2207">
        <f t="shared" si="31"/>
        <v>0</v>
      </c>
      <c r="T87" s="2207">
        <f t="shared" si="31"/>
        <v>0</v>
      </c>
      <c r="U87" s="2207">
        <f t="shared" si="31"/>
        <v>0</v>
      </c>
      <c r="V87" s="2207">
        <f t="shared" si="31"/>
        <v>0</v>
      </c>
      <c r="W87" s="2207">
        <f t="shared" si="31"/>
        <v>0</v>
      </c>
      <c r="Y87" s="1899">
        <f>SUM(Z87:AA87)</f>
        <v>0</v>
      </c>
      <c r="Z87" s="2207">
        <f t="shared" ref="Z87:AA87" si="32">SUM(Z88)</f>
        <v>0</v>
      </c>
      <c r="AA87" s="2207">
        <f t="shared" si="32"/>
        <v>0</v>
      </c>
      <c r="AB87" s="1423"/>
      <c r="AC87" s="1423"/>
      <c r="AD87" s="1423"/>
    </row>
    <row r="88" spans="1:30" s="484" customFormat="1" ht="88.5" hidden="1" customHeight="1">
      <c r="A88" s="2204"/>
      <c r="B88" s="1885" t="s">
        <v>455</v>
      </c>
      <c r="C88" s="1904"/>
      <c r="D88" s="1602">
        <f>SUM(E88:F88)</f>
        <v>0</v>
      </c>
      <c r="E88" s="1615">
        <v>0</v>
      </c>
      <c r="F88" s="1615">
        <v>0</v>
      </c>
      <c r="G88" s="1602">
        <f t="shared" si="18"/>
        <v>0</v>
      </c>
      <c r="H88" s="1615">
        <f t="shared" si="29"/>
        <v>0</v>
      </c>
      <c r="I88" s="1615">
        <f t="shared" si="29"/>
        <v>0</v>
      </c>
      <c r="J88" s="1602">
        <f t="shared" si="17"/>
        <v>0</v>
      </c>
      <c r="K88" s="1615">
        <v>0</v>
      </c>
      <c r="L88" s="1615">
        <v>0</v>
      </c>
      <c r="M88" s="1893">
        <f t="shared" si="25"/>
        <v>0</v>
      </c>
      <c r="N88" s="1894">
        <f t="shared" si="25"/>
        <v>0</v>
      </c>
      <c r="O88" s="1894">
        <f t="shared" si="25"/>
        <v>0</v>
      </c>
      <c r="P88" s="2203" t="s">
        <v>1171</v>
      </c>
      <c r="Q88" s="2203" t="s">
        <v>1659</v>
      </c>
      <c r="R88" s="1602">
        <f>SUM(S88:T88)</f>
        <v>0</v>
      </c>
      <c r="S88" s="1615">
        <v>0</v>
      </c>
      <c r="T88" s="1615">
        <v>0</v>
      </c>
      <c r="U88" s="1602">
        <f>SUM(V88:W88)</f>
        <v>0</v>
      </c>
      <c r="V88" s="1615">
        <v>0</v>
      </c>
      <c r="W88" s="1615">
        <v>0</v>
      </c>
      <c r="Y88" s="1602">
        <f>SUM(Z88:AA88)</f>
        <v>0</v>
      </c>
      <c r="Z88" s="1615">
        <v>0</v>
      </c>
      <c r="AA88" s="1615">
        <v>0</v>
      </c>
      <c r="AB88" s="1423"/>
      <c r="AC88" s="1423"/>
      <c r="AD88" s="1423"/>
    </row>
    <row r="89" spans="1:30" ht="33" hidden="1" customHeight="1">
      <c r="A89" s="2204"/>
      <c r="B89" s="1897" t="s">
        <v>1410</v>
      </c>
      <c r="C89" s="1898"/>
      <c r="D89" s="1899">
        <f t="shared" ref="D89:D175" si="33">SUM(E89:F89)</f>
        <v>1226395.3999999999</v>
      </c>
      <c r="E89" s="2207">
        <f>SUM(E90)</f>
        <v>1198876.7</v>
      </c>
      <c r="F89" s="2207">
        <f t="shared" ref="F89:W89" si="34">SUM(F90)</f>
        <v>27518.7</v>
      </c>
      <c r="G89" s="1899">
        <f t="shared" si="18"/>
        <v>1226395.3999999999</v>
      </c>
      <c r="H89" s="2207">
        <f>SUM(H90)</f>
        <v>1198876.7</v>
      </c>
      <c r="I89" s="2207">
        <f t="shared" si="34"/>
        <v>27518.7</v>
      </c>
      <c r="J89" s="1899">
        <f t="shared" si="17"/>
        <v>1106709.5</v>
      </c>
      <c r="K89" s="2207">
        <f>SUM(K90)</f>
        <v>1081400.1000000001</v>
      </c>
      <c r="L89" s="2207">
        <f t="shared" si="34"/>
        <v>25309.4</v>
      </c>
      <c r="M89" s="2207">
        <f t="shared" si="25"/>
        <v>90.2</v>
      </c>
      <c r="N89" s="2207">
        <f t="shared" si="25"/>
        <v>90.2</v>
      </c>
      <c r="O89" s="2207">
        <f t="shared" si="25"/>
        <v>92</v>
      </c>
      <c r="P89" s="2207">
        <f t="shared" si="34"/>
        <v>0</v>
      </c>
      <c r="Q89" s="2207">
        <f t="shared" si="34"/>
        <v>0</v>
      </c>
      <c r="R89" s="2207">
        <f t="shared" si="34"/>
        <v>486721.3</v>
      </c>
      <c r="S89" s="2207">
        <f t="shared" si="34"/>
        <v>481854.2</v>
      </c>
      <c r="T89" s="2207">
        <f t="shared" si="34"/>
        <v>4867.1000000000004</v>
      </c>
      <c r="U89" s="2207">
        <f t="shared" si="34"/>
        <v>1775471.2</v>
      </c>
      <c r="V89" s="2207">
        <f t="shared" si="34"/>
        <v>1757716.4</v>
      </c>
      <c r="W89" s="2207">
        <f t="shared" si="34"/>
        <v>17754.8</v>
      </c>
      <c r="X89" s="1423">
        <f>D89-G89</f>
        <v>0</v>
      </c>
      <c r="Y89" s="1899">
        <f t="shared" ref="Y89:Y90" si="35">SUM(Z89:AA89)</f>
        <v>1226395.3999999999</v>
      </c>
      <c r="Z89" s="2207">
        <f>SUM(Z90)</f>
        <v>1198876.7</v>
      </c>
      <c r="AA89" s="2207">
        <f t="shared" ref="AA89" si="36">SUM(AA90)</f>
        <v>27518.7</v>
      </c>
      <c r="AB89" s="1423"/>
      <c r="AC89" s="1423"/>
      <c r="AD89" s="1423"/>
    </row>
    <row r="90" spans="1:30" s="484" customFormat="1" ht="121.5" hidden="1" customHeight="1">
      <c r="A90" s="2204">
        <f>A86+1</f>
        <v>18</v>
      </c>
      <c r="B90" s="1885" t="s">
        <v>1412</v>
      </c>
      <c r="C90" s="1904" t="s">
        <v>1632</v>
      </c>
      <c r="D90" s="1602">
        <f t="shared" si="33"/>
        <v>1226395.3999999999</v>
      </c>
      <c r="E90" s="1615">
        <v>1198876.7</v>
      </c>
      <c r="F90" s="1615">
        <v>27518.7</v>
      </c>
      <c r="G90" s="1602">
        <f t="shared" si="18"/>
        <v>1226395.3999999999</v>
      </c>
      <c r="H90" s="1615">
        <v>1198876.7</v>
      </c>
      <c r="I90" s="1615">
        <v>27518.7</v>
      </c>
      <c r="J90" s="1602">
        <f t="shared" si="17"/>
        <v>1106709.5</v>
      </c>
      <c r="K90" s="1614">
        <v>1081400.1000000001</v>
      </c>
      <c r="L90" s="1614">
        <v>25309.4</v>
      </c>
      <c r="M90" s="1893">
        <f t="shared" si="25"/>
        <v>90.2</v>
      </c>
      <c r="N90" s="1894">
        <f t="shared" si="25"/>
        <v>90.2</v>
      </c>
      <c r="O90" s="1894">
        <f t="shared" si="25"/>
        <v>92</v>
      </c>
      <c r="P90" s="2203" t="s">
        <v>1171</v>
      </c>
      <c r="Q90" s="2203" t="s">
        <v>1659</v>
      </c>
      <c r="R90" s="1602">
        <f t="shared" ref="R90:R100" si="37">SUM(S90:T90)</f>
        <v>486721.3</v>
      </c>
      <c r="S90" s="1615">
        <v>481854.2</v>
      </c>
      <c r="T90" s="1615">
        <v>4867.1000000000004</v>
      </c>
      <c r="U90" s="1602">
        <f t="shared" ref="U90:U100" si="38">SUM(V90:W90)</f>
        <v>1775471.2</v>
      </c>
      <c r="V90" s="1615">
        <v>1757716.4</v>
      </c>
      <c r="W90" s="1615">
        <v>17754.8</v>
      </c>
      <c r="X90" s="1423">
        <f>D90-G90</f>
        <v>0</v>
      </c>
      <c r="Y90" s="1602">
        <f t="shared" si="35"/>
        <v>1226395.3999999999</v>
      </c>
      <c r="Z90" s="1615">
        <v>1198876.7</v>
      </c>
      <c r="AA90" s="1615">
        <v>27518.7</v>
      </c>
      <c r="AB90" s="1423"/>
      <c r="AC90" s="1423"/>
      <c r="AD90" s="1423"/>
    </row>
    <row r="91" spans="1:30" ht="75.75" hidden="1" customHeight="1">
      <c r="A91" s="2204"/>
      <c r="B91" s="1879" t="s">
        <v>1668</v>
      </c>
      <c r="C91" s="1880"/>
      <c r="D91" s="1602">
        <f>SUM(E91:F91)</f>
        <v>0</v>
      </c>
      <c r="E91" s="1616">
        <v>0</v>
      </c>
      <c r="F91" s="1616">
        <v>0</v>
      </c>
      <c r="G91" s="1602">
        <f t="shared" si="18"/>
        <v>0</v>
      </c>
      <c r="H91" s="1616">
        <f t="shared" si="29"/>
        <v>0</v>
      </c>
      <c r="I91" s="1616">
        <f t="shared" si="29"/>
        <v>0</v>
      </c>
      <c r="J91" s="1602">
        <f>SUM(K91:L91)</f>
        <v>0</v>
      </c>
      <c r="K91" s="1616">
        <v>0</v>
      </c>
      <c r="L91" s="1616">
        <v>0</v>
      </c>
      <c r="M91" s="1604">
        <f t="shared" si="25"/>
        <v>0</v>
      </c>
      <c r="N91" s="1881">
        <f t="shared" si="25"/>
        <v>0</v>
      </c>
      <c r="O91" s="1881">
        <f t="shared" si="25"/>
        <v>0</v>
      </c>
      <c r="P91" s="1599"/>
      <c r="Q91" s="1599"/>
      <c r="R91" s="1602">
        <f>SUM(S91:T91)</f>
        <v>0</v>
      </c>
      <c r="S91" s="1619">
        <v>0</v>
      </c>
      <c r="T91" s="1619">
        <v>0</v>
      </c>
      <c r="U91" s="1602">
        <f>SUM(V91:W91)</f>
        <v>30453.8</v>
      </c>
      <c r="V91" s="1619">
        <v>30149.3</v>
      </c>
      <c r="W91" s="1619">
        <v>304.5</v>
      </c>
      <c r="Y91" s="1602">
        <f>SUM(Z91:AA91)</f>
        <v>0</v>
      </c>
      <c r="Z91" s="1616">
        <v>0</v>
      </c>
      <c r="AA91" s="1616">
        <v>0</v>
      </c>
      <c r="AB91" s="1423"/>
      <c r="AC91" s="1423"/>
      <c r="AD91" s="1423"/>
    </row>
    <row r="92" spans="1:30" s="484" customFormat="1" ht="73.5" hidden="1" customHeight="1">
      <c r="A92" s="2204" t="s">
        <v>1639</v>
      </c>
      <c r="B92" s="1876" t="s">
        <v>1435</v>
      </c>
      <c r="C92" s="1877"/>
      <c r="D92" s="1598">
        <f t="shared" si="33"/>
        <v>177560.4</v>
      </c>
      <c r="E92" s="1903">
        <f>SUBTOTAL(9,E93:E96)</f>
        <v>156541.79999999999</v>
      </c>
      <c r="F92" s="1903">
        <f>SUBTOTAL(9,F93:F96)</f>
        <v>21018.6</v>
      </c>
      <c r="G92" s="1598">
        <f t="shared" ref="G92" si="39">SUM(H92:I92)</f>
        <v>176757.4</v>
      </c>
      <c r="H92" s="1903">
        <f>SUBTOTAL(9,H93:H96)</f>
        <v>155787</v>
      </c>
      <c r="I92" s="1903">
        <f>SUBTOTAL(9,I93:I96)</f>
        <v>20970.400000000001</v>
      </c>
      <c r="J92" s="1598">
        <f t="shared" ref="J92" si="40">SUM(K92:L92)</f>
        <v>81610.899999999994</v>
      </c>
      <c r="K92" s="1903">
        <f>SUBTOTAL(9,K93:K96)</f>
        <v>68742.2</v>
      </c>
      <c r="L92" s="1903">
        <f>SUBTOTAL(9,L93:L96)</f>
        <v>12868.7</v>
      </c>
      <c r="M92" s="1903">
        <f t="shared" si="25"/>
        <v>46.2</v>
      </c>
      <c r="N92" s="1903">
        <f t="shared" si="25"/>
        <v>44.1</v>
      </c>
      <c r="O92" s="1903">
        <f t="shared" si="25"/>
        <v>61.4</v>
      </c>
      <c r="P92" s="2207">
        <f>SUM(P110+P97+P112)</f>
        <v>0</v>
      </c>
      <c r="Q92" s="2207">
        <f>SUM(Q110+Q97+Q112)</f>
        <v>0</v>
      </c>
      <c r="R92" s="1598">
        <f t="shared" si="37"/>
        <v>0</v>
      </c>
      <c r="S92" s="1903">
        <f>SUM(S97,S101,S106,S110,S112,S123)</f>
        <v>0</v>
      </c>
      <c r="T92" s="1903">
        <f>SUM(T97,T101,T106,T110,T112,T123)</f>
        <v>0</v>
      </c>
      <c r="U92" s="1598">
        <f t="shared" si="38"/>
        <v>0</v>
      </c>
      <c r="V92" s="1903">
        <f>SUM(V97,V101,V106,V110,V112,V123)</f>
        <v>0</v>
      </c>
      <c r="W92" s="1903">
        <f>SUM(W97,W101,W106,W110,W112,W123)</f>
        <v>0</v>
      </c>
      <c r="X92" s="1423">
        <f t="shared" ref="X92:X129" si="41">D92-G92</f>
        <v>803</v>
      </c>
      <c r="Y92" s="1598">
        <f t="shared" ref="Y92" si="42">SUM(Z92:AA92)</f>
        <v>177560.4</v>
      </c>
      <c r="Z92" s="1903">
        <f>SUBTOTAL(9,Z93:Z96)</f>
        <v>156541.79999999999</v>
      </c>
      <c r="AA92" s="1903">
        <f>SUBTOTAL(9,AA93:AA96)</f>
        <v>21018.6</v>
      </c>
      <c r="AB92" s="1423"/>
      <c r="AC92" s="1423"/>
      <c r="AD92" s="1423"/>
    </row>
    <row r="93" spans="1:30" s="484" customFormat="1" ht="23.25" hidden="1">
      <c r="A93" s="2204"/>
      <c r="B93" s="2001" t="s">
        <v>1699</v>
      </c>
      <c r="C93" s="1877"/>
      <c r="D93" s="1598">
        <f>SUM(E93:F93)</f>
        <v>50955.1</v>
      </c>
      <c r="E93" s="1903">
        <f>E99+E111+E114+E103</f>
        <v>47897.599999999999</v>
      </c>
      <c r="F93" s="1903">
        <f>F99+F111+F114+F103</f>
        <v>3057.5</v>
      </c>
      <c r="G93" s="1598">
        <f>SUM(H93:I93)</f>
        <v>50152.1</v>
      </c>
      <c r="H93" s="1903">
        <f>H99+H111+H114</f>
        <v>47142.8</v>
      </c>
      <c r="I93" s="1903">
        <f>I99+I111+I114</f>
        <v>3009.3</v>
      </c>
      <c r="J93" s="1598">
        <f>SUM(K93:L93)</f>
        <v>10413.9</v>
      </c>
      <c r="K93" s="1903">
        <f>K99+K111+K114</f>
        <v>9789</v>
      </c>
      <c r="L93" s="1903">
        <f>L99+L111+L114</f>
        <v>624.9</v>
      </c>
      <c r="M93" s="1903">
        <f t="shared" si="25"/>
        <v>20.8</v>
      </c>
      <c r="N93" s="1903">
        <f t="shared" si="25"/>
        <v>20.8</v>
      </c>
      <c r="O93" s="1903">
        <f t="shared" si="25"/>
        <v>20.8</v>
      </c>
      <c r="P93" s="2207"/>
      <c r="Q93" s="2207"/>
      <c r="R93" s="1598"/>
      <c r="S93" s="1903"/>
      <c r="T93" s="1903"/>
      <c r="U93" s="1598"/>
      <c r="V93" s="1903"/>
      <c r="W93" s="1903"/>
      <c r="X93" s="1423">
        <f t="shared" si="41"/>
        <v>803</v>
      </c>
      <c r="Y93" s="1598">
        <f>SUM(Z93:AA93)</f>
        <v>50955.1</v>
      </c>
      <c r="Z93" s="1903">
        <f>Z99+Z111+Z114+Z103</f>
        <v>47897.599999999999</v>
      </c>
      <c r="AA93" s="1903">
        <f>AA99+AA111+AA114+AA103</f>
        <v>3057.5</v>
      </c>
      <c r="AB93" s="1423"/>
      <c r="AC93" s="1423"/>
      <c r="AD93" s="1423"/>
    </row>
    <row r="94" spans="1:30" s="484" customFormat="1" ht="37.5" hidden="1">
      <c r="A94" s="2204"/>
      <c r="B94" s="2001" t="s">
        <v>1798</v>
      </c>
      <c r="C94" s="1877"/>
      <c r="D94" s="1598">
        <f>E94+F94</f>
        <v>103877.6</v>
      </c>
      <c r="E94" s="1903">
        <f>E115+E117+E125</f>
        <v>97643.9</v>
      </c>
      <c r="F94" s="1903">
        <f>F115+F117+F125</f>
        <v>6233.7</v>
      </c>
      <c r="G94" s="1598">
        <f>H94+I94</f>
        <v>103877.6</v>
      </c>
      <c r="H94" s="1903">
        <f>H115+H117+H125</f>
        <v>97643.9</v>
      </c>
      <c r="I94" s="1903">
        <f>I115+I117+I125</f>
        <v>6233.7</v>
      </c>
      <c r="J94" s="1598">
        <f>K94+L94</f>
        <v>57417.8</v>
      </c>
      <c r="K94" s="1903">
        <f>K115+K117+K125</f>
        <v>53972.2</v>
      </c>
      <c r="L94" s="1903">
        <f>L115+L117+L125</f>
        <v>3445.6</v>
      </c>
      <c r="M94" s="1903">
        <f t="shared" si="25"/>
        <v>55.3</v>
      </c>
      <c r="N94" s="1903">
        <f t="shared" si="25"/>
        <v>55.3</v>
      </c>
      <c r="O94" s="1903">
        <f t="shared" si="25"/>
        <v>55.3</v>
      </c>
      <c r="P94" s="2207"/>
      <c r="Q94" s="2207"/>
      <c r="R94" s="1598"/>
      <c r="S94" s="1903"/>
      <c r="T94" s="1903"/>
      <c r="U94" s="1598"/>
      <c r="V94" s="1903"/>
      <c r="W94" s="1903"/>
      <c r="X94" s="1423"/>
      <c r="Y94" s="1598">
        <f>Z94+AA94</f>
        <v>103877.6</v>
      </c>
      <c r="Z94" s="1903">
        <f>Z115+Z117+Z125</f>
        <v>97643.9</v>
      </c>
      <c r="AA94" s="1903">
        <f>AA115+AA117+AA125</f>
        <v>6233.7</v>
      </c>
      <c r="AB94" s="1423"/>
      <c r="AC94" s="1423"/>
      <c r="AD94" s="1423"/>
    </row>
    <row r="95" spans="1:30" s="484" customFormat="1" ht="23.25" hidden="1">
      <c r="A95" s="2204"/>
      <c r="B95" s="2001" t="s">
        <v>1770</v>
      </c>
      <c r="C95" s="1877"/>
      <c r="D95" s="1598">
        <f>SUM(E95:F95)</f>
        <v>11702.6</v>
      </c>
      <c r="E95" s="1903">
        <f>E104+E108</f>
        <v>11000.3</v>
      </c>
      <c r="F95" s="1903">
        <f>F104+F108</f>
        <v>702.3</v>
      </c>
      <c r="G95" s="1598">
        <f>SUM(H95:I95)</f>
        <v>11702.6</v>
      </c>
      <c r="H95" s="1903">
        <f>H104+H108</f>
        <v>11000.3</v>
      </c>
      <c r="I95" s="1903">
        <f>I104+I108</f>
        <v>702.3</v>
      </c>
      <c r="J95" s="1598">
        <f>SUM(K95:L95)</f>
        <v>5299</v>
      </c>
      <c r="K95" s="1903">
        <f>K104+K108</f>
        <v>4981</v>
      </c>
      <c r="L95" s="1903">
        <f>L104+L108</f>
        <v>318</v>
      </c>
      <c r="M95" s="1903">
        <f t="shared" si="25"/>
        <v>45.3</v>
      </c>
      <c r="N95" s="1903">
        <f t="shared" si="25"/>
        <v>45.3</v>
      </c>
      <c r="O95" s="1903">
        <f t="shared" si="25"/>
        <v>45.3</v>
      </c>
      <c r="P95" s="2207"/>
      <c r="Q95" s="2207"/>
      <c r="R95" s="1598"/>
      <c r="S95" s="1903"/>
      <c r="T95" s="1903"/>
      <c r="U95" s="1598"/>
      <c r="V95" s="1903"/>
      <c r="W95" s="1903"/>
      <c r="X95" s="1423"/>
      <c r="Y95" s="1598">
        <f>SUM(Z95:AA95)</f>
        <v>11702.6</v>
      </c>
      <c r="Z95" s="1903">
        <f>Z104+Z108</f>
        <v>11000.3</v>
      </c>
      <c r="AA95" s="1903">
        <f>AA104+AA108</f>
        <v>702.3</v>
      </c>
      <c r="AB95" s="1423"/>
      <c r="AC95" s="1423"/>
      <c r="AD95" s="1423"/>
    </row>
    <row r="96" spans="1:30" s="484" customFormat="1" ht="23.25" hidden="1">
      <c r="A96" s="2204"/>
      <c r="B96" s="2001" t="s">
        <v>1700</v>
      </c>
      <c r="C96" s="1877"/>
      <c r="D96" s="1598">
        <f t="shared" si="33"/>
        <v>11025.1</v>
      </c>
      <c r="E96" s="1903">
        <f>E100+E105+E109+E118+E122+E126</f>
        <v>0</v>
      </c>
      <c r="F96" s="1903">
        <f>F100+F105+F109+F118+F122+F126</f>
        <v>11025.1</v>
      </c>
      <c r="G96" s="1598">
        <f>SUM(H96:I96)</f>
        <v>11025.1</v>
      </c>
      <c r="H96" s="1903">
        <f>H100+H105+H109+H118+H122+H126</f>
        <v>0</v>
      </c>
      <c r="I96" s="1903">
        <f>I100+I105+I109+I118+I122+I126</f>
        <v>11025.1</v>
      </c>
      <c r="J96" s="1598">
        <f>SUM(K96:L96)</f>
        <v>8480.2000000000007</v>
      </c>
      <c r="K96" s="1903">
        <f>K100+K105+K109+K118+K122+K126</f>
        <v>0</v>
      </c>
      <c r="L96" s="1903">
        <f>L100+L105+L109+L118+L122+L126</f>
        <v>8480.2000000000007</v>
      </c>
      <c r="M96" s="1903">
        <f t="shared" si="25"/>
        <v>76.900000000000006</v>
      </c>
      <c r="N96" s="1903">
        <f t="shared" si="25"/>
        <v>0</v>
      </c>
      <c r="O96" s="1903">
        <f t="shared" si="25"/>
        <v>76.900000000000006</v>
      </c>
      <c r="P96" s="2207"/>
      <c r="Q96" s="2207"/>
      <c r="R96" s="1598"/>
      <c r="S96" s="1903"/>
      <c r="T96" s="1903"/>
      <c r="U96" s="1598"/>
      <c r="V96" s="1903"/>
      <c r="W96" s="1903"/>
      <c r="X96" s="1423">
        <f t="shared" si="41"/>
        <v>0</v>
      </c>
      <c r="Y96" s="1598">
        <f t="shared" ref="Y96:Y101" si="43">SUM(Z96:AA96)</f>
        <v>11025.1</v>
      </c>
      <c r="Z96" s="1903">
        <f>Z100+Z105+Z109+Z118+Z122+Z126</f>
        <v>0</v>
      </c>
      <c r="AA96" s="1903">
        <f>AA100+AA105+AA109+AA118+AA122+AA126</f>
        <v>11025.1</v>
      </c>
      <c r="AB96" s="1423"/>
      <c r="AC96" s="1423"/>
      <c r="AD96" s="1423"/>
    </row>
    <row r="97" spans="1:30" s="484" customFormat="1" ht="23.25" hidden="1">
      <c r="A97" s="2204"/>
      <c r="B97" s="2206" t="s">
        <v>433</v>
      </c>
      <c r="C97" s="1882"/>
      <c r="D97" s="1602">
        <f t="shared" si="33"/>
        <v>12906.9</v>
      </c>
      <c r="E97" s="1603">
        <f>E98</f>
        <v>9575.2000000000007</v>
      </c>
      <c r="F97" s="1603">
        <f>F98</f>
        <v>3331.7</v>
      </c>
      <c r="G97" s="1602">
        <f t="shared" si="18"/>
        <v>12906.9</v>
      </c>
      <c r="H97" s="1603">
        <f t="shared" si="29"/>
        <v>9575.2000000000007</v>
      </c>
      <c r="I97" s="1603">
        <f t="shared" si="29"/>
        <v>3331.7</v>
      </c>
      <c r="J97" s="1602">
        <f t="shared" ref="J97:J110" si="44">SUM(K97:L97)</f>
        <v>12308.9</v>
      </c>
      <c r="K97" s="1603">
        <f>K98</f>
        <v>9575.2000000000007</v>
      </c>
      <c r="L97" s="1603">
        <f>L98</f>
        <v>2733.7</v>
      </c>
      <c r="M97" s="2208">
        <f t="shared" si="25"/>
        <v>95.4</v>
      </c>
      <c r="N97" s="2208">
        <f t="shared" si="25"/>
        <v>100</v>
      </c>
      <c r="O97" s="2208">
        <f t="shared" si="25"/>
        <v>82.1</v>
      </c>
      <c r="P97" s="2208">
        <f>SUM(P98)</f>
        <v>0</v>
      </c>
      <c r="Q97" s="2208">
        <f>SUM(Q98)</f>
        <v>0</v>
      </c>
      <c r="R97" s="1602">
        <f t="shared" si="37"/>
        <v>0</v>
      </c>
      <c r="S97" s="1603">
        <f>S98</f>
        <v>0</v>
      </c>
      <c r="T97" s="1603">
        <f>T98</f>
        <v>0</v>
      </c>
      <c r="U97" s="1602">
        <f t="shared" si="38"/>
        <v>0</v>
      </c>
      <c r="V97" s="1603">
        <f>V98</f>
        <v>0</v>
      </c>
      <c r="W97" s="1603">
        <f>W98</f>
        <v>0</v>
      </c>
      <c r="X97" s="1423">
        <f t="shared" si="41"/>
        <v>0</v>
      </c>
      <c r="Y97" s="1602">
        <f t="shared" si="43"/>
        <v>12906.9</v>
      </c>
      <c r="Z97" s="1603">
        <f>Z98</f>
        <v>9575.2000000000007</v>
      </c>
      <c r="AA97" s="1603">
        <f>AA98</f>
        <v>3331.7</v>
      </c>
      <c r="AB97" s="1423"/>
      <c r="AC97" s="1423"/>
      <c r="AD97" s="1423"/>
    </row>
    <row r="98" spans="1:30" s="484" customFormat="1" ht="40.5" hidden="1" customHeight="1">
      <c r="A98" s="2204">
        <f>A90+1</f>
        <v>19</v>
      </c>
      <c r="B98" s="1905" t="s">
        <v>1563</v>
      </c>
      <c r="C98" s="1906"/>
      <c r="D98" s="1602">
        <f t="shared" si="33"/>
        <v>12906.9</v>
      </c>
      <c r="E98" s="1864">
        <f>E99+E100</f>
        <v>9575.2000000000007</v>
      </c>
      <c r="F98" s="1864">
        <f>F99+F100</f>
        <v>3331.7</v>
      </c>
      <c r="G98" s="1602">
        <f t="shared" si="18"/>
        <v>12906.9</v>
      </c>
      <c r="H98" s="1616">
        <f t="shared" si="29"/>
        <v>9575.2000000000007</v>
      </c>
      <c r="I98" s="1616">
        <f t="shared" si="29"/>
        <v>3331.7</v>
      </c>
      <c r="J98" s="1602">
        <f t="shared" si="44"/>
        <v>12308.9</v>
      </c>
      <c r="K98" s="1864">
        <f>K99+K100</f>
        <v>9575.2000000000007</v>
      </c>
      <c r="L98" s="1864">
        <f>L99+L100</f>
        <v>2733.7</v>
      </c>
      <c r="M98" s="1600">
        <f t="shared" si="25"/>
        <v>95.4</v>
      </c>
      <c r="N98" s="1907">
        <f t="shared" si="25"/>
        <v>100</v>
      </c>
      <c r="O98" s="1907">
        <f t="shared" si="25"/>
        <v>82.1</v>
      </c>
      <c r="P98" s="2203"/>
      <c r="Q98" s="2203"/>
      <c r="R98" s="1602">
        <f t="shared" si="37"/>
        <v>0</v>
      </c>
      <c r="S98" s="1864">
        <f>S99+S100</f>
        <v>0</v>
      </c>
      <c r="T98" s="1864">
        <f>T99+T100</f>
        <v>0</v>
      </c>
      <c r="U98" s="1602">
        <f t="shared" si="38"/>
        <v>0</v>
      </c>
      <c r="V98" s="1864">
        <f>V99+V100</f>
        <v>0</v>
      </c>
      <c r="W98" s="1864">
        <f>W99+W100</f>
        <v>0</v>
      </c>
      <c r="X98" s="1423">
        <f t="shared" si="41"/>
        <v>0</v>
      </c>
      <c r="Y98" s="1602">
        <f t="shared" si="43"/>
        <v>12906.9</v>
      </c>
      <c r="Z98" s="1864">
        <f>Z99+Z100</f>
        <v>9575.2000000000007</v>
      </c>
      <c r="AA98" s="1864">
        <f>AA99+AA100</f>
        <v>3331.7</v>
      </c>
      <c r="AB98" s="1423"/>
      <c r="AC98" s="1423"/>
      <c r="AD98" s="1423"/>
    </row>
    <row r="99" spans="1:30" s="484" customFormat="1" ht="23.25" hidden="1">
      <c r="A99" s="2204"/>
      <c r="B99" s="1619" t="s">
        <v>1620</v>
      </c>
      <c r="C99" s="1906" t="s">
        <v>1630</v>
      </c>
      <c r="D99" s="1602">
        <f t="shared" si="33"/>
        <v>10186.5</v>
      </c>
      <c r="E99" s="1864">
        <v>9575.2000000000007</v>
      </c>
      <c r="F99" s="1864">
        <f>611.3</f>
        <v>611.29999999999995</v>
      </c>
      <c r="G99" s="1609">
        <f t="shared" si="18"/>
        <v>10186.5</v>
      </c>
      <c r="H99" s="1616">
        <f t="shared" si="29"/>
        <v>9575.2000000000007</v>
      </c>
      <c r="I99" s="1616">
        <f t="shared" si="29"/>
        <v>611.29999999999995</v>
      </c>
      <c r="J99" s="1602">
        <f t="shared" si="44"/>
        <v>10186.5</v>
      </c>
      <c r="K99" s="1864">
        <v>9575.2000000000007</v>
      </c>
      <c r="L99" s="1864">
        <v>611.29999999999995</v>
      </c>
      <c r="M99" s="1600">
        <f t="shared" si="25"/>
        <v>100</v>
      </c>
      <c r="N99" s="1907">
        <f t="shared" si="25"/>
        <v>100</v>
      </c>
      <c r="O99" s="1907">
        <f t="shared" si="25"/>
        <v>100</v>
      </c>
      <c r="P99" s="2203"/>
      <c r="Q99" s="2203"/>
      <c r="R99" s="1602">
        <f t="shared" si="37"/>
        <v>0</v>
      </c>
      <c r="S99" s="1614">
        <v>0</v>
      </c>
      <c r="T99" s="1614">
        <v>0</v>
      </c>
      <c r="U99" s="1602">
        <f t="shared" si="38"/>
        <v>0</v>
      </c>
      <c r="V99" s="1614">
        <v>0</v>
      </c>
      <c r="W99" s="1614">
        <v>0</v>
      </c>
      <c r="X99" s="1423">
        <f t="shared" si="41"/>
        <v>0</v>
      </c>
      <c r="Y99" s="1602">
        <f t="shared" si="43"/>
        <v>10186.5</v>
      </c>
      <c r="Z99" s="1864">
        <v>9575.2000000000007</v>
      </c>
      <c r="AA99" s="1864">
        <f>611.3</f>
        <v>611.29999999999995</v>
      </c>
      <c r="AB99" s="1423"/>
      <c r="AC99" s="1423"/>
      <c r="AD99" s="1423"/>
    </row>
    <row r="100" spans="1:30" s="484" customFormat="1" ht="23.25" hidden="1">
      <c r="A100" s="2204"/>
      <c r="B100" s="1619" t="s">
        <v>1621</v>
      </c>
      <c r="C100" s="1906" t="s">
        <v>1631</v>
      </c>
      <c r="D100" s="1602">
        <f t="shared" si="33"/>
        <v>2720.4</v>
      </c>
      <c r="E100" s="1864"/>
      <c r="F100" s="1864">
        <f>5553.2-2832.8</f>
        <v>2720.4</v>
      </c>
      <c r="G100" s="1609">
        <f t="shared" si="18"/>
        <v>2720.4</v>
      </c>
      <c r="H100" s="1616">
        <f t="shared" si="29"/>
        <v>0</v>
      </c>
      <c r="I100" s="1864">
        <f>5553.2-2832.8</f>
        <v>2720.4</v>
      </c>
      <c r="J100" s="1602">
        <f t="shared" si="44"/>
        <v>2122.4</v>
      </c>
      <c r="K100" s="1864"/>
      <c r="L100" s="1864">
        <v>2122.4</v>
      </c>
      <c r="M100" s="1600">
        <f t="shared" si="25"/>
        <v>78</v>
      </c>
      <c r="N100" s="1907">
        <f t="shared" si="25"/>
        <v>0</v>
      </c>
      <c r="O100" s="1907">
        <f t="shared" si="25"/>
        <v>78</v>
      </c>
      <c r="P100" s="2203"/>
      <c r="Q100" s="2203"/>
      <c r="R100" s="1602">
        <f t="shared" si="37"/>
        <v>0</v>
      </c>
      <c r="S100" s="1614">
        <v>0</v>
      </c>
      <c r="T100" s="1614">
        <v>0</v>
      </c>
      <c r="U100" s="1602">
        <f t="shared" si="38"/>
        <v>0</v>
      </c>
      <c r="V100" s="1614">
        <v>0</v>
      </c>
      <c r="W100" s="1614">
        <v>0</v>
      </c>
      <c r="X100" s="1423">
        <f t="shared" si="41"/>
        <v>0</v>
      </c>
      <c r="Y100" s="1602">
        <f t="shared" si="43"/>
        <v>2720.4</v>
      </c>
      <c r="Z100" s="1864"/>
      <c r="AA100" s="1864">
        <f>5553.2-2832.8</f>
        <v>2720.4</v>
      </c>
      <c r="AB100" s="1423"/>
      <c r="AC100" s="1423"/>
      <c r="AD100" s="1423"/>
    </row>
    <row r="101" spans="1:30" s="484" customFormat="1" ht="23.25" hidden="1">
      <c r="A101" s="2204"/>
      <c r="B101" s="2206" t="s">
        <v>583</v>
      </c>
      <c r="C101" s="1882"/>
      <c r="D101" s="1602">
        <f t="shared" si="33"/>
        <v>13521.5</v>
      </c>
      <c r="E101" s="2208">
        <f t="shared" ref="E101:W101" si="45">E102</f>
        <v>9214.7999999999993</v>
      </c>
      <c r="F101" s="2208">
        <f t="shared" si="45"/>
        <v>4306.7</v>
      </c>
      <c r="G101" s="1600">
        <f t="shared" si="18"/>
        <v>13521.5</v>
      </c>
      <c r="H101" s="2208">
        <f t="shared" si="29"/>
        <v>9214.7999999999993</v>
      </c>
      <c r="I101" s="2208">
        <f t="shared" si="29"/>
        <v>4306.7</v>
      </c>
      <c r="J101" s="1600">
        <f t="shared" si="44"/>
        <v>8405.7999999999993</v>
      </c>
      <c r="K101" s="1603">
        <f t="shared" ref="K101:L101" si="46">K102</f>
        <v>4406.2</v>
      </c>
      <c r="L101" s="1603">
        <f t="shared" si="46"/>
        <v>3999.6</v>
      </c>
      <c r="M101" s="2208">
        <f t="shared" si="25"/>
        <v>62.2</v>
      </c>
      <c r="N101" s="2208">
        <f t="shared" si="25"/>
        <v>47.8</v>
      </c>
      <c r="O101" s="2208">
        <f t="shared" si="25"/>
        <v>92.9</v>
      </c>
      <c r="P101" s="2208">
        <f t="shared" si="45"/>
        <v>0</v>
      </c>
      <c r="Q101" s="2208">
        <f t="shared" si="45"/>
        <v>0</v>
      </c>
      <c r="R101" s="2208">
        <f t="shared" si="45"/>
        <v>0</v>
      </c>
      <c r="S101" s="2208">
        <f t="shared" si="45"/>
        <v>0</v>
      </c>
      <c r="T101" s="2208">
        <f t="shared" si="45"/>
        <v>0</v>
      </c>
      <c r="U101" s="2208">
        <f t="shared" si="45"/>
        <v>0</v>
      </c>
      <c r="V101" s="2208">
        <f t="shared" si="45"/>
        <v>0</v>
      </c>
      <c r="W101" s="2208">
        <f t="shared" si="45"/>
        <v>0</v>
      </c>
      <c r="X101" s="1423">
        <f t="shared" si="41"/>
        <v>0</v>
      </c>
      <c r="Y101" s="1602">
        <f t="shared" si="43"/>
        <v>13521.5</v>
      </c>
      <c r="Z101" s="2208">
        <f t="shared" ref="Z101:AA101" si="47">Z102</f>
        <v>9214.7999999999993</v>
      </c>
      <c r="AA101" s="2208">
        <f t="shared" si="47"/>
        <v>4306.7</v>
      </c>
      <c r="AB101" s="1423"/>
      <c r="AC101" s="1423"/>
      <c r="AD101" s="1423"/>
    </row>
    <row r="102" spans="1:30" s="484" customFormat="1" ht="27.75" hidden="1" customHeight="1">
      <c r="A102" s="2204">
        <f>A98+1</f>
        <v>20</v>
      </c>
      <c r="B102" s="1889" t="s">
        <v>1629</v>
      </c>
      <c r="C102" s="1882"/>
      <c r="D102" s="1602">
        <f>SUM(E102:F102)</f>
        <v>13521.5</v>
      </c>
      <c r="E102" s="1608">
        <f>E105+E104+E103</f>
        <v>9214.7999999999993</v>
      </c>
      <c r="F102" s="1608">
        <f>F105+F104+F103</f>
        <v>4306.7</v>
      </c>
      <c r="G102" s="1602">
        <f>SUM(H102:I102)</f>
        <v>12718.5</v>
      </c>
      <c r="H102" s="1608">
        <f>H105+H104+H103</f>
        <v>8460</v>
      </c>
      <c r="I102" s="1608">
        <f>I105+I104+I103</f>
        <v>4258.5</v>
      </c>
      <c r="J102" s="1602">
        <f>SUM(K102:L102)</f>
        <v>8405.7999999999993</v>
      </c>
      <c r="K102" s="1608">
        <f>K105+K104+K103</f>
        <v>4406.2</v>
      </c>
      <c r="L102" s="1608">
        <f>L105+L104+L103</f>
        <v>3999.6</v>
      </c>
      <c r="M102" s="1604">
        <f t="shared" si="25"/>
        <v>66.099999999999994</v>
      </c>
      <c r="N102" s="1881">
        <f t="shared" si="25"/>
        <v>52.1</v>
      </c>
      <c r="O102" s="1881">
        <f t="shared" si="25"/>
        <v>93.9</v>
      </c>
      <c r="P102" s="2203"/>
      <c r="Q102" s="2203"/>
      <c r="R102" s="1602">
        <f t="shared" ref="R102:R194" si="48">SUM(S102:T102)</f>
        <v>0</v>
      </c>
      <c r="S102" s="1616">
        <f>S105</f>
        <v>0</v>
      </c>
      <c r="T102" s="1616">
        <f>T105</f>
        <v>0</v>
      </c>
      <c r="U102" s="1602">
        <f t="shared" ref="U102:U194" si="49">SUM(V102:W102)</f>
        <v>0</v>
      </c>
      <c r="V102" s="1616">
        <f>V105</f>
        <v>0</v>
      </c>
      <c r="W102" s="1616">
        <f>W105</f>
        <v>0</v>
      </c>
      <c r="X102" s="1423">
        <f t="shared" si="41"/>
        <v>803</v>
      </c>
      <c r="Y102" s="1602">
        <f>SUM(Z102:AA102)</f>
        <v>13521.5</v>
      </c>
      <c r="Z102" s="1608">
        <f>Z105+Z104+Z103</f>
        <v>9214.7999999999993</v>
      </c>
      <c r="AA102" s="1608">
        <f>AA105+AA104+AA103</f>
        <v>4306.7</v>
      </c>
      <c r="AB102" s="1423"/>
      <c r="AC102" s="1423"/>
      <c r="AD102" s="1423"/>
    </row>
    <row r="103" spans="1:30" s="484" customFormat="1" ht="27" hidden="1" customHeight="1">
      <c r="A103" s="2204"/>
      <c r="B103" s="1619" t="s">
        <v>1620</v>
      </c>
      <c r="C103" s="1882"/>
      <c r="D103" s="1602">
        <f>SUM(E103:F103)</f>
        <v>803</v>
      </c>
      <c r="E103" s="1865">
        <f>9214.8-8460</f>
        <v>754.8</v>
      </c>
      <c r="F103" s="1865">
        <f>588.3-540.1</f>
        <v>48.2</v>
      </c>
      <c r="G103" s="1619">
        <f>SUM(H103:I103)</f>
        <v>0</v>
      </c>
      <c r="H103" s="1608"/>
      <c r="I103" s="1608"/>
      <c r="J103" s="1600">
        <f>SUM(K103:L103)</f>
        <v>0</v>
      </c>
      <c r="K103" s="1864"/>
      <c r="L103" s="1864"/>
      <c r="M103" s="1600"/>
      <c r="N103" s="1907"/>
      <c r="O103" s="1907">
        <f t="shared" si="25"/>
        <v>0</v>
      </c>
      <c r="P103" s="2203"/>
      <c r="Q103" s="2203"/>
      <c r="R103" s="1602"/>
      <c r="S103" s="1616"/>
      <c r="T103" s="1616"/>
      <c r="U103" s="1602"/>
      <c r="V103" s="1616"/>
      <c r="W103" s="1616"/>
      <c r="X103" s="1423"/>
      <c r="Y103" s="1602">
        <f>SUM(Z103:AA103)</f>
        <v>803</v>
      </c>
      <c r="Z103" s="1865">
        <f>9214.8-8460</f>
        <v>754.8</v>
      </c>
      <c r="AA103" s="1865">
        <f>588.3-540.1</f>
        <v>48.2</v>
      </c>
      <c r="AB103" s="1423"/>
      <c r="AC103" s="1423"/>
      <c r="AD103" s="1423"/>
    </row>
    <row r="104" spans="1:30" s="484" customFormat="1" ht="27" hidden="1" customHeight="1">
      <c r="A104" s="2204"/>
      <c r="B104" s="1619" t="s">
        <v>1770</v>
      </c>
      <c r="C104" s="1882"/>
      <c r="D104" s="1602">
        <f>SUM(E104:F104)</f>
        <v>9000.1</v>
      </c>
      <c r="E104" s="1865">
        <v>8460</v>
      </c>
      <c r="F104" s="1865">
        <v>540.1</v>
      </c>
      <c r="G104" s="1619">
        <f>SUM(H104:I104)</f>
        <v>9000.1</v>
      </c>
      <c r="H104" s="1608">
        <f>9214.8-754.8</f>
        <v>8460</v>
      </c>
      <c r="I104" s="1608">
        <f>588.3-48.2</f>
        <v>540.1</v>
      </c>
      <c r="J104" s="1600">
        <f>SUM(K104:L104)</f>
        <v>4687.5</v>
      </c>
      <c r="K104" s="1864">
        <f>4075.938+330.24</f>
        <v>4406.2</v>
      </c>
      <c r="L104" s="1864">
        <f>21.081+260.233</f>
        <v>281.3</v>
      </c>
      <c r="M104" s="1600"/>
      <c r="N104" s="1907"/>
      <c r="O104" s="1907">
        <f t="shared" si="25"/>
        <v>52.1</v>
      </c>
      <c r="P104" s="2203"/>
      <c r="Q104" s="2203"/>
      <c r="R104" s="1602"/>
      <c r="S104" s="1616"/>
      <c r="T104" s="1616"/>
      <c r="U104" s="1602"/>
      <c r="V104" s="1616"/>
      <c r="W104" s="1616"/>
      <c r="X104" s="1423"/>
      <c r="Y104" s="1602">
        <f>SUM(Z104:AA104)</f>
        <v>9000.1</v>
      </c>
      <c r="Z104" s="1865">
        <v>8460</v>
      </c>
      <c r="AA104" s="1865">
        <v>540.1</v>
      </c>
      <c r="AB104" s="1423"/>
      <c r="AC104" s="1423"/>
      <c r="AD104" s="1423"/>
    </row>
    <row r="105" spans="1:30" s="484" customFormat="1" ht="23.25" hidden="1">
      <c r="A105" s="2204"/>
      <c r="B105" s="1619" t="s">
        <v>1621</v>
      </c>
      <c r="C105" s="1906"/>
      <c r="D105" s="1602">
        <f t="shared" si="33"/>
        <v>3718.4</v>
      </c>
      <c r="E105" s="1865">
        <v>0</v>
      </c>
      <c r="F105" s="1865">
        <f>8870-5151.6</f>
        <v>3718.4</v>
      </c>
      <c r="G105" s="1619">
        <f t="shared" si="18"/>
        <v>3718.4</v>
      </c>
      <c r="H105" s="1608">
        <f t="shared" si="29"/>
        <v>0</v>
      </c>
      <c r="I105" s="1608">
        <f t="shared" si="29"/>
        <v>3718.4</v>
      </c>
      <c r="J105" s="1600">
        <f t="shared" si="44"/>
        <v>3718.3</v>
      </c>
      <c r="K105" s="1864"/>
      <c r="L105" s="1864">
        <v>3718.3</v>
      </c>
      <c r="M105" s="1600">
        <f t="shared" si="25"/>
        <v>100</v>
      </c>
      <c r="N105" s="1907">
        <f t="shared" si="25"/>
        <v>0</v>
      </c>
      <c r="O105" s="1907">
        <f t="shared" si="25"/>
        <v>100</v>
      </c>
      <c r="P105" s="2203"/>
      <c r="Q105" s="2203"/>
      <c r="R105" s="1602">
        <f t="shared" si="48"/>
        <v>0</v>
      </c>
      <c r="S105" s="1865">
        <v>0</v>
      </c>
      <c r="T105" s="1865">
        <v>0</v>
      </c>
      <c r="U105" s="1602">
        <f t="shared" si="49"/>
        <v>0</v>
      </c>
      <c r="V105" s="1865">
        <v>0</v>
      </c>
      <c r="W105" s="1865">
        <v>0</v>
      </c>
      <c r="X105" s="1423">
        <f t="shared" si="41"/>
        <v>0</v>
      </c>
      <c r="Y105" s="1602">
        <f t="shared" ref="Y105:Y107" si="50">SUM(Z105:AA105)</f>
        <v>3718.4</v>
      </c>
      <c r="Z105" s="1865">
        <v>0</v>
      </c>
      <c r="AA105" s="1865">
        <f>8870-5151.6</f>
        <v>3718.4</v>
      </c>
      <c r="AB105" s="1423"/>
      <c r="AC105" s="1423"/>
      <c r="AD105" s="1423"/>
    </row>
    <row r="106" spans="1:30" s="484" customFormat="1" ht="25.5" hidden="1" customHeight="1">
      <c r="A106" s="2204"/>
      <c r="B106" s="2206" t="s">
        <v>1624</v>
      </c>
      <c r="C106" s="1882"/>
      <c r="D106" s="1602">
        <f t="shared" si="33"/>
        <v>2906.6</v>
      </c>
      <c r="E106" s="2208">
        <f>E107</f>
        <v>2540.3000000000002</v>
      </c>
      <c r="F106" s="2208">
        <f>F107</f>
        <v>366.3</v>
      </c>
      <c r="G106" s="1600">
        <f t="shared" si="18"/>
        <v>2906.6</v>
      </c>
      <c r="H106" s="2208">
        <f t="shared" si="29"/>
        <v>2540.3000000000002</v>
      </c>
      <c r="I106" s="2208">
        <f t="shared" si="29"/>
        <v>366.3</v>
      </c>
      <c r="J106" s="1600">
        <f t="shared" si="44"/>
        <v>815.5</v>
      </c>
      <c r="K106" s="1603">
        <f>K107</f>
        <v>574.79999999999995</v>
      </c>
      <c r="L106" s="1603">
        <f>L107</f>
        <v>240.7</v>
      </c>
      <c r="M106" s="2208">
        <f t="shared" si="25"/>
        <v>28.1</v>
      </c>
      <c r="N106" s="2208">
        <f t="shared" si="25"/>
        <v>22.6</v>
      </c>
      <c r="O106" s="2208">
        <f t="shared" si="25"/>
        <v>65.7</v>
      </c>
      <c r="P106" s="2208">
        <f>P107</f>
        <v>0</v>
      </c>
      <c r="Q106" s="2208">
        <f>Q107</f>
        <v>0</v>
      </c>
      <c r="R106" s="1602">
        <f t="shared" si="48"/>
        <v>0</v>
      </c>
      <c r="S106" s="1603">
        <f>S107</f>
        <v>0</v>
      </c>
      <c r="T106" s="1603">
        <f>T107</f>
        <v>0</v>
      </c>
      <c r="U106" s="1602">
        <f t="shared" si="49"/>
        <v>0</v>
      </c>
      <c r="V106" s="1603">
        <f>V107</f>
        <v>0</v>
      </c>
      <c r="W106" s="1603">
        <f>W107</f>
        <v>0</v>
      </c>
      <c r="X106" s="1423">
        <f t="shared" si="41"/>
        <v>0</v>
      </c>
      <c r="Y106" s="1602">
        <f t="shared" si="50"/>
        <v>2906.6</v>
      </c>
      <c r="Z106" s="2208">
        <f>Z107</f>
        <v>2540.3000000000002</v>
      </c>
      <c r="AA106" s="2208">
        <f>AA107</f>
        <v>366.3</v>
      </c>
      <c r="AB106" s="1423"/>
      <c r="AC106" s="1423"/>
      <c r="AD106" s="1423"/>
    </row>
    <row r="107" spans="1:30" s="484" customFormat="1" ht="45.75" hidden="1" customHeight="1">
      <c r="A107" s="2204">
        <f>A102+1</f>
        <v>21</v>
      </c>
      <c r="B107" s="1889" t="s">
        <v>1625</v>
      </c>
      <c r="C107" s="1882"/>
      <c r="D107" s="1602">
        <f t="shared" si="33"/>
        <v>2906.6</v>
      </c>
      <c r="E107" s="1616">
        <f>E108+E109</f>
        <v>2540.3000000000002</v>
      </c>
      <c r="F107" s="1616">
        <f>F108+F109</f>
        <v>366.3</v>
      </c>
      <c r="G107" s="1602">
        <f t="shared" si="18"/>
        <v>2906.6</v>
      </c>
      <c r="H107" s="1616">
        <f t="shared" si="29"/>
        <v>2540.3000000000002</v>
      </c>
      <c r="I107" s="1616">
        <f t="shared" si="29"/>
        <v>366.3</v>
      </c>
      <c r="J107" s="1602">
        <f t="shared" si="44"/>
        <v>815.5</v>
      </c>
      <c r="K107" s="1616">
        <f>K108+K109</f>
        <v>574.79999999999995</v>
      </c>
      <c r="L107" s="1616">
        <f>L108+L109</f>
        <v>240.7</v>
      </c>
      <c r="M107" s="1604">
        <f t="shared" si="25"/>
        <v>28.1</v>
      </c>
      <c r="N107" s="1881">
        <f t="shared" si="25"/>
        <v>22.6</v>
      </c>
      <c r="O107" s="1881">
        <f t="shared" si="25"/>
        <v>65.7</v>
      </c>
      <c r="P107" s="2203"/>
      <c r="Q107" s="2203"/>
      <c r="R107" s="1602">
        <f t="shared" si="48"/>
        <v>0</v>
      </c>
      <c r="S107" s="1616">
        <f>S109</f>
        <v>0</v>
      </c>
      <c r="T107" s="1616">
        <f>T109</f>
        <v>0</v>
      </c>
      <c r="U107" s="1602">
        <f t="shared" si="49"/>
        <v>0</v>
      </c>
      <c r="V107" s="1616">
        <f>V109</f>
        <v>0</v>
      </c>
      <c r="W107" s="1616">
        <f>W109</f>
        <v>0</v>
      </c>
      <c r="X107" s="1423">
        <f t="shared" si="41"/>
        <v>0</v>
      </c>
      <c r="Y107" s="1602">
        <f t="shared" si="50"/>
        <v>2906.6</v>
      </c>
      <c r="Z107" s="1616">
        <f>Z108+Z109</f>
        <v>2540.3000000000002</v>
      </c>
      <c r="AA107" s="1616">
        <f>AA108+AA109</f>
        <v>366.3</v>
      </c>
      <c r="AB107" s="1423"/>
      <c r="AC107" s="1423"/>
      <c r="AD107" s="1423"/>
    </row>
    <row r="108" spans="1:30" s="484" customFormat="1" ht="28.5" hidden="1" customHeight="1">
      <c r="A108" s="2204"/>
      <c r="B108" s="1619" t="s">
        <v>1770</v>
      </c>
      <c r="C108" s="1882"/>
      <c r="D108" s="1602">
        <f>SUM(E108:F108)</f>
        <v>2702.5</v>
      </c>
      <c r="E108" s="1864">
        <v>2540.3000000000002</v>
      </c>
      <c r="F108" s="1864">
        <v>162.19999999999999</v>
      </c>
      <c r="G108" s="1609">
        <f>SUM(H108:I108)</f>
        <v>2702.5</v>
      </c>
      <c r="H108" s="1616">
        <f t="shared" si="29"/>
        <v>2540.3000000000002</v>
      </c>
      <c r="I108" s="1616">
        <f t="shared" si="29"/>
        <v>162.19999999999999</v>
      </c>
      <c r="J108" s="1602">
        <f>SUM(K108:L108)</f>
        <v>611.5</v>
      </c>
      <c r="K108" s="1864">
        <v>574.79999999999995</v>
      </c>
      <c r="L108" s="1864">
        <v>36.700000000000003</v>
      </c>
      <c r="M108" s="1600"/>
      <c r="N108" s="1907"/>
      <c r="O108" s="1907"/>
      <c r="P108" s="2203"/>
      <c r="Q108" s="2203"/>
      <c r="R108" s="1602"/>
      <c r="S108" s="1616"/>
      <c r="T108" s="1616"/>
      <c r="U108" s="1602"/>
      <c r="V108" s="1616"/>
      <c r="W108" s="1616"/>
      <c r="X108" s="1423"/>
      <c r="Y108" s="1602">
        <f>SUM(Z108:AA108)</f>
        <v>2702.5</v>
      </c>
      <c r="Z108" s="1864">
        <v>2540.3000000000002</v>
      </c>
      <c r="AA108" s="1864">
        <v>162.19999999999999</v>
      </c>
      <c r="AB108" s="1423"/>
      <c r="AC108" s="1423"/>
      <c r="AD108" s="1423"/>
    </row>
    <row r="109" spans="1:30" s="484" customFormat="1" ht="23.25" hidden="1">
      <c r="A109" s="2204"/>
      <c r="B109" s="1619" t="s">
        <v>1621</v>
      </c>
      <c r="C109" s="1906"/>
      <c r="D109" s="1602">
        <f t="shared" si="33"/>
        <v>204.1</v>
      </c>
      <c r="E109" s="1864"/>
      <c r="F109" s="1616">
        <f>2745.5-2541.4</f>
        <v>204.1</v>
      </c>
      <c r="G109" s="1609">
        <f t="shared" si="18"/>
        <v>204.1</v>
      </c>
      <c r="H109" s="1616">
        <f t="shared" si="29"/>
        <v>0</v>
      </c>
      <c r="I109" s="1616">
        <f>2745.5-2541.4</f>
        <v>204.1</v>
      </c>
      <c r="J109" s="1602">
        <f t="shared" si="44"/>
        <v>204</v>
      </c>
      <c r="K109" s="1864"/>
      <c r="L109" s="1864">
        <v>204</v>
      </c>
      <c r="M109" s="1600">
        <f t="shared" si="25"/>
        <v>100</v>
      </c>
      <c r="N109" s="1907">
        <f t="shared" si="25"/>
        <v>0</v>
      </c>
      <c r="O109" s="1907">
        <f t="shared" si="25"/>
        <v>100</v>
      </c>
      <c r="P109" s="2203"/>
      <c r="Q109" s="2203"/>
      <c r="R109" s="1602">
        <f t="shared" si="48"/>
        <v>0</v>
      </c>
      <c r="S109" s="1614">
        <v>0</v>
      </c>
      <c r="T109" s="1614">
        <v>0</v>
      </c>
      <c r="U109" s="1602">
        <f t="shared" si="49"/>
        <v>0</v>
      </c>
      <c r="V109" s="1614">
        <v>0</v>
      </c>
      <c r="W109" s="1614">
        <v>0</v>
      </c>
      <c r="X109" s="1423">
        <f t="shared" si="41"/>
        <v>0</v>
      </c>
      <c r="Y109" s="1602">
        <f t="shared" ref="Y109:Y113" si="51">SUM(Z109:AA109)</f>
        <v>204.1</v>
      </c>
      <c r="Z109" s="1864"/>
      <c r="AA109" s="1616">
        <f>2745.5-2541.4</f>
        <v>204.1</v>
      </c>
      <c r="AB109" s="1423"/>
      <c r="AC109" s="1423"/>
      <c r="AD109" s="1423"/>
    </row>
    <row r="110" spans="1:30" s="484" customFormat="1" ht="19.5" hidden="1" customHeight="1">
      <c r="A110" s="2204"/>
      <c r="B110" s="2206" t="s">
        <v>1401</v>
      </c>
      <c r="C110" s="1882"/>
      <c r="D110" s="1600">
        <f t="shared" si="33"/>
        <v>0</v>
      </c>
      <c r="E110" s="2208">
        <f>E111</f>
        <v>0</v>
      </c>
      <c r="F110" s="2208">
        <f>F111</f>
        <v>0</v>
      </c>
      <c r="G110" s="1600">
        <f t="shared" si="18"/>
        <v>0</v>
      </c>
      <c r="H110" s="2208">
        <f t="shared" si="29"/>
        <v>0</v>
      </c>
      <c r="I110" s="2208">
        <f t="shared" si="29"/>
        <v>0</v>
      </c>
      <c r="J110" s="1600">
        <f t="shared" si="44"/>
        <v>0</v>
      </c>
      <c r="K110" s="1603">
        <f>K111</f>
        <v>0</v>
      </c>
      <c r="L110" s="1603">
        <f>L111</f>
        <v>0</v>
      </c>
      <c r="M110" s="2208">
        <f t="shared" si="25"/>
        <v>0</v>
      </c>
      <c r="N110" s="2208">
        <f t="shared" si="25"/>
        <v>0</v>
      </c>
      <c r="O110" s="2208">
        <f t="shared" si="25"/>
        <v>0</v>
      </c>
      <c r="P110" s="2208">
        <f>P111</f>
        <v>0</v>
      </c>
      <c r="Q110" s="2208">
        <f>Q111</f>
        <v>0</v>
      </c>
      <c r="R110" s="1602">
        <f t="shared" si="48"/>
        <v>0</v>
      </c>
      <c r="S110" s="1603">
        <f>S111</f>
        <v>0</v>
      </c>
      <c r="T110" s="1603">
        <f>T111</f>
        <v>0</v>
      </c>
      <c r="U110" s="1602">
        <f t="shared" si="49"/>
        <v>0</v>
      </c>
      <c r="V110" s="1603">
        <f>V111</f>
        <v>0</v>
      </c>
      <c r="W110" s="1603">
        <f>W111</f>
        <v>0</v>
      </c>
      <c r="X110" s="1423">
        <f t="shared" si="41"/>
        <v>0</v>
      </c>
      <c r="Y110" s="1600">
        <f t="shared" si="51"/>
        <v>0</v>
      </c>
      <c r="Z110" s="2208">
        <f>Z111</f>
        <v>0</v>
      </c>
      <c r="AA110" s="2208">
        <f>AA111</f>
        <v>0</v>
      </c>
      <c r="AB110" s="1423"/>
      <c r="AC110" s="1423"/>
      <c r="AD110" s="1423"/>
    </row>
    <row r="111" spans="1:30" s="484" customFormat="1" ht="40.5" hidden="1" customHeight="1">
      <c r="A111" s="2204">
        <f>A107+1</f>
        <v>22</v>
      </c>
      <c r="B111" s="1889" t="s">
        <v>681</v>
      </c>
      <c r="C111" s="1882"/>
      <c r="D111" s="1600">
        <f t="shared" si="33"/>
        <v>0</v>
      </c>
      <c r="E111" s="1608">
        <v>0</v>
      </c>
      <c r="F111" s="1608">
        <v>0</v>
      </c>
      <c r="G111" s="1619">
        <f t="shared" si="18"/>
        <v>0</v>
      </c>
      <c r="H111" s="1608">
        <f>E111</f>
        <v>0</v>
      </c>
      <c r="I111" s="1608">
        <f>F111</f>
        <v>0</v>
      </c>
      <c r="J111" s="1600">
        <f t="shared" ref="J111:J126" si="52">SUM(K111:L111)</f>
        <v>0</v>
      </c>
      <c r="K111" s="1616"/>
      <c r="L111" s="1616"/>
      <c r="M111" s="1604">
        <f t="shared" si="25"/>
        <v>0</v>
      </c>
      <c r="N111" s="1881">
        <f t="shared" si="25"/>
        <v>0</v>
      </c>
      <c r="O111" s="1881">
        <f t="shared" si="25"/>
        <v>0</v>
      </c>
      <c r="P111" s="2203"/>
      <c r="Q111" s="2203"/>
      <c r="R111" s="1602">
        <f t="shared" si="48"/>
        <v>0</v>
      </c>
      <c r="S111" s="1614">
        <v>0</v>
      </c>
      <c r="T111" s="1614">
        <v>0</v>
      </c>
      <c r="U111" s="1602">
        <f t="shared" si="49"/>
        <v>0</v>
      </c>
      <c r="V111" s="1614">
        <v>0</v>
      </c>
      <c r="W111" s="1614">
        <v>0</v>
      </c>
      <c r="X111" s="1423">
        <f t="shared" si="41"/>
        <v>0</v>
      </c>
      <c r="Y111" s="1600">
        <f t="shared" si="51"/>
        <v>0</v>
      </c>
      <c r="Z111" s="1608">
        <v>0</v>
      </c>
      <c r="AA111" s="1608">
        <v>0</v>
      </c>
      <c r="AB111" s="1423"/>
      <c r="AC111" s="1423"/>
      <c r="AD111" s="1423"/>
    </row>
    <row r="112" spans="1:30" s="484" customFormat="1" ht="27" hidden="1" customHeight="1">
      <c r="A112" s="2204"/>
      <c r="B112" s="2206" t="s">
        <v>1554</v>
      </c>
      <c r="C112" s="1882"/>
      <c r="D112" s="1600">
        <f t="shared" si="33"/>
        <v>150684.79999999999</v>
      </c>
      <c r="E112" s="2208">
        <f>E113+E116</f>
        <v>133221.5</v>
      </c>
      <c r="F112" s="2208">
        <f>SUM(F113:F116)</f>
        <v>17463.3</v>
      </c>
      <c r="G112" s="1600">
        <f t="shared" si="18"/>
        <v>150684.79999999999</v>
      </c>
      <c r="H112" s="2208">
        <f>H113+H116</f>
        <v>133221.5</v>
      </c>
      <c r="I112" s="2208">
        <f>SUM(I113:I116)</f>
        <v>17463.3</v>
      </c>
      <c r="J112" s="1600">
        <f t="shared" ref="J112" si="53">SUM(K112:L112)</f>
        <v>57432.6</v>
      </c>
      <c r="K112" s="2208">
        <f>K113+K116</f>
        <v>52253.599999999999</v>
      </c>
      <c r="L112" s="2208">
        <f>SUM(L113:L116)</f>
        <v>5179</v>
      </c>
      <c r="M112" s="2208">
        <f t="shared" si="25"/>
        <v>38.1</v>
      </c>
      <c r="N112" s="2208">
        <f t="shared" si="25"/>
        <v>39.200000000000003</v>
      </c>
      <c r="O112" s="2208">
        <f t="shared" si="25"/>
        <v>29.7</v>
      </c>
      <c r="P112" s="2203"/>
      <c r="Q112" s="2203"/>
      <c r="R112" s="1602">
        <f t="shared" si="48"/>
        <v>0</v>
      </c>
      <c r="S112" s="1603">
        <f>SUM(S113:S116)</f>
        <v>0</v>
      </c>
      <c r="T112" s="1603">
        <f>SUM(T113:T116)</f>
        <v>0</v>
      </c>
      <c r="U112" s="1602">
        <f t="shared" si="49"/>
        <v>0</v>
      </c>
      <c r="V112" s="1603">
        <f>SUM(V113:V116)</f>
        <v>0</v>
      </c>
      <c r="W112" s="1603">
        <f>SUM(W113:W116)</f>
        <v>0</v>
      </c>
      <c r="X112" s="1423">
        <f t="shared" si="41"/>
        <v>0</v>
      </c>
      <c r="Y112" s="1600">
        <f t="shared" si="51"/>
        <v>150684.79999999999</v>
      </c>
      <c r="Z112" s="2208">
        <f>Z113+Z116</f>
        <v>133221.5</v>
      </c>
      <c r="AA112" s="2208">
        <f>SUM(AA113:AA116)</f>
        <v>17463.3</v>
      </c>
      <c r="AB112" s="1423"/>
      <c r="AC112" s="1423"/>
      <c r="AD112" s="1423"/>
    </row>
    <row r="113" spans="1:30" s="484" customFormat="1" ht="42.75" hidden="1" customHeight="1">
      <c r="A113" s="2204">
        <f>A111+1</f>
        <v>23</v>
      </c>
      <c r="B113" s="1889" t="s">
        <v>1623</v>
      </c>
      <c r="C113" s="1882"/>
      <c r="D113" s="1600">
        <f t="shared" si="33"/>
        <v>114201.7</v>
      </c>
      <c r="E113" s="1608">
        <f>E114+E115</f>
        <v>107348.8</v>
      </c>
      <c r="F113" s="1608">
        <f>F114+F115</f>
        <v>6852.9</v>
      </c>
      <c r="G113" s="1600">
        <f t="shared" ref="G113:G184" si="54">SUM(H113:I113)</f>
        <v>114201.7</v>
      </c>
      <c r="H113" s="1608">
        <f>H114+H115</f>
        <v>107348.8</v>
      </c>
      <c r="I113" s="1608">
        <f>I114+I115</f>
        <v>6852.9</v>
      </c>
      <c r="J113" s="1600">
        <f t="shared" si="52"/>
        <v>28065</v>
      </c>
      <c r="K113" s="1616">
        <f>K114+K115</f>
        <v>26380.9</v>
      </c>
      <c r="L113" s="1616">
        <f>L114+L115</f>
        <v>1684.1</v>
      </c>
      <c r="M113" s="1604">
        <f t="shared" si="25"/>
        <v>24.6</v>
      </c>
      <c r="N113" s="1881">
        <f t="shared" si="25"/>
        <v>24.6</v>
      </c>
      <c r="O113" s="1881">
        <f t="shared" si="25"/>
        <v>24.6</v>
      </c>
      <c r="P113" s="2203"/>
      <c r="Q113" s="2203"/>
      <c r="R113" s="1602">
        <f t="shared" si="48"/>
        <v>0</v>
      </c>
      <c r="S113" s="1614">
        <v>0</v>
      </c>
      <c r="T113" s="1614">
        <v>0</v>
      </c>
      <c r="U113" s="1602">
        <f t="shared" si="49"/>
        <v>0</v>
      </c>
      <c r="V113" s="1614">
        <v>0</v>
      </c>
      <c r="W113" s="1614">
        <v>0</v>
      </c>
      <c r="X113" s="1423">
        <f t="shared" si="41"/>
        <v>0</v>
      </c>
      <c r="Y113" s="1600">
        <f t="shared" si="51"/>
        <v>114201.7</v>
      </c>
      <c r="Z113" s="1608">
        <f>Z114+Z115</f>
        <v>107348.8</v>
      </c>
      <c r="AA113" s="1608">
        <f>AA114+AA115</f>
        <v>6852.9</v>
      </c>
      <c r="AB113" s="1423"/>
      <c r="AC113" s="1423"/>
      <c r="AD113" s="1423"/>
    </row>
    <row r="114" spans="1:30" s="484" customFormat="1" ht="27.75" hidden="1" customHeight="1">
      <c r="A114" s="2204"/>
      <c r="B114" s="1619" t="s">
        <v>1620</v>
      </c>
      <c r="C114" s="1882"/>
      <c r="D114" s="1600">
        <f>SUM(E114:F114)</f>
        <v>39965.599999999999</v>
      </c>
      <c r="E114" s="1608">
        <v>37567.599999999999</v>
      </c>
      <c r="F114" s="1608">
        <v>2398</v>
      </c>
      <c r="G114" s="1619">
        <f>SUM(H114:I114)</f>
        <v>39965.599999999999</v>
      </c>
      <c r="H114" s="1608">
        <f>E114</f>
        <v>37567.599999999999</v>
      </c>
      <c r="I114" s="1608">
        <f>F114</f>
        <v>2398</v>
      </c>
      <c r="J114" s="1600">
        <f>SUM(K114:L114)</f>
        <v>227.4</v>
      </c>
      <c r="K114" s="1616">
        <v>213.8</v>
      </c>
      <c r="L114" s="1616">
        <v>13.6</v>
      </c>
      <c r="M114" s="1604">
        <f t="shared" si="25"/>
        <v>0.6</v>
      </c>
      <c r="N114" s="1881">
        <f t="shared" si="25"/>
        <v>0.6</v>
      </c>
      <c r="O114" s="1881">
        <f t="shared" si="25"/>
        <v>0.6</v>
      </c>
      <c r="P114" s="2203"/>
      <c r="Q114" s="2203"/>
      <c r="R114" s="1602"/>
      <c r="S114" s="1614"/>
      <c r="T114" s="1614"/>
      <c r="U114" s="1602"/>
      <c r="V114" s="1614"/>
      <c r="W114" s="1614"/>
      <c r="X114" s="1423"/>
      <c r="Y114" s="1600">
        <f>SUM(Z114:AA114)</f>
        <v>39965.599999999999</v>
      </c>
      <c r="Z114" s="1608">
        <v>37567.599999999999</v>
      </c>
      <c r="AA114" s="1608">
        <v>2398</v>
      </c>
      <c r="AB114" s="1423"/>
      <c r="AC114" s="1423"/>
      <c r="AD114" s="1423"/>
    </row>
    <row r="115" spans="1:30" s="484" customFormat="1" ht="26.25" hidden="1" customHeight="1">
      <c r="A115" s="2204"/>
      <c r="B115" s="1619" t="s">
        <v>1798</v>
      </c>
      <c r="C115" s="1882"/>
      <c r="D115" s="1602">
        <f>SUM(E115:F115)</f>
        <v>74236.100000000006</v>
      </c>
      <c r="E115" s="1616">
        <v>69781.2</v>
      </c>
      <c r="F115" s="1616">
        <v>4454.8999999999996</v>
      </c>
      <c r="G115" s="1609">
        <f>SUM(H115:I115)</f>
        <v>74236.100000000006</v>
      </c>
      <c r="H115" s="1616">
        <v>69781.2</v>
      </c>
      <c r="I115" s="1616">
        <v>4454.8999999999996</v>
      </c>
      <c r="J115" s="1602">
        <f>SUM(K115:L115)</f>
        <v>27837.599999999999</v>
      </c>
      <c r="K115" s="1616">
        <v>26167.1</v>
      </c>
      <c r="L115" s="1616">
        <v>1670.5</v>
      </c>
      <c r="M115" s="1604">
        <f t="shared" si="25"/>
        <v>37.5</v>
      </c>
      <c r="N115" s="1881">
        <f t="shared" si="25"/>
        <v>37.5</v>
      </c>
      <c r="O115" s="1881">
        <f t="shared" si="25"/>
        <v>37.5</v>
      </c>
      <c r="P115" s="2203"/>
      <c r="Q115" s="2203"/>
      <c r="R115" s="1602"/>
      <c r="S115" s="1614"/>
      <c r="T115" s="1614"/>
      <c r="U115" s="1602"/>
      <c r="V115" s="1614"/>
      <c r="W115" s="1614"/>
      <c r="X115" s="1423"/>
      <c r="Y115" s="1602">
        <f>SUM(Z115:AA115)</f>
        <v>74236.100000000006</v>
      </c>
      <c r="Z115" s="1616">
        <v>69781.2</v>
      </c>
      <c r="AA115" s="1616">
        <v>4454.8999999999996</v>
      </c>
      <c r="AB115" s="1423"/>
      <c r="AC115" s="1423"/>
      <c r="AD115" s="1423"/>
    </row>
    <row r="116" spans="1:30" s="484" customFormat="1" ht="44.25" hidden="1" customHeight="1">
      <c r="A116" s="2204">
        <f>A113+1</f>
        <v>24</v>
      </c>
      <c r="B116" s="1889" t="s">
        <v>1660</v>
      </c>
      <c r="C116" s="1882"/>
      <c r="D116" s="1616">
        <f t="shared" si="33"/>
        <v>29630.2</v>
      </c>
      <c r="E116" s="1616">
        <f>E117+E118</f>
        <v>25872.7</v>
      </c>
      <c r="F116" s="1616">
        <f>F117+F118</f>
        <v>3757.5</v>
      </c>
      <c r="G116" s="1616">
        <f t="shared" si="54"/>
        <v>29630.2</v>
      </c>
      <c r="H116" s="1616">
        <f>H117+H118</f>
        <v>25872.7</v>
      </c>
      <c r="I116" s="1616">
        <f>I117+I118</f>
        <v>3757.5</v>
      </c>
      <c r="J116" s="1616">
        <f t="shared" si="52"/>
        <v>27683.5</v>
      </c>
      <c r="K116" s="1616">
        <f>K117+K118</f>
        <v>25872.7</v>
      </c>
      <c r="L116" s="1616">
        <f>L117+L118</f>
        <v>1810.8</v>
      </c>
      <c r="M116" s="1604">
        <f t="shared" si="25"/>
        <v>93.4</v>
      </c>
      <c r="N116" s="1881">
        <f t="shared" si="25"/>
        <v>100</v>
      </c>
      <c r="O116" s="1881">
        <f t="shared" si="25"/>
        <v>48.2</v>
      </c>
      <c r="P116" s="2203"/>
      <c r="Q116" s="2203"/>
      <c r="R116" s="1616">
        <f t="shared" si="48"/>
        <v>0</v>
      </c>
      <c r="S116" s="1616">
        <f>S118</f>
        <v>0</v>
      </c>
      <c r="T116" s="1616">
        <f>T118</f>
        <v>0</v>
      </c>
      <c r="U116" s="1616">
        <f t="shared" si="49"/>
        <v>0</v>
      </c>
      <c r="V116" s="1616">
        <f>V118</f>
        <v>0</v>
      </c>
      <c r="W116" s="1616">
        <f>W118</f>
        <v>0</v>
      </c>
      <c r="X116" s="1423">
        <f t="shared" si="41"/>
        <v>0</v>
      </c>
      <c r="Y116" s="1616">
        <f t="shared" ref="Y116" si="55">SUM(Z116:AA116)</f>
        <v>29630.2</v>
      </c>
      <c r="Z116" s="1616">
        <f>Z117+Z118</f>
        <v>25872.7</v>
      </c>
      <c r="AA116" s="1616">
        <f>AA117+AA118</f>
        <v>3757.5</v>
      </c>
      <c r="AB116" s="1423"/>
      <c r="AC116" s="1423"/>
      <c r="AD116" s="1423"/>
    </row>
    <row r="117" spans="1:30" s="484" customFormat="1" ht="30.75" hidden="1" customHeight="1">
      <c r="A117" s="2204"/>
      <c r="B117" s="1619" t="s">
        <v>1798</v>
      </c>
      <c r="C117" s="1882"/>
      <c r="D117" s="1600">
        <f>SUM(E117:F117)</f>
        <v>27524.400000000001</v>
      </c>
      <c r="E117" s="1865">
        <v>25872.7</v>
      </c>
      <c r="F117" s="1865">
        <v>1651.7</v>
      </c>
      <c r="G117" s="1600">
        <f>SUM(H117:I117)</f>
        <v>27524.400000000001</v>
      </c>
      <c r="H117" s="1608">
        <v>25872.7</v>
      </c>
      <c r="I117" s="1608">
        <v>1651.7</v>
      </c>
      <c r="J117" s="1600">
        <f>SUM(K117:L117)</f>
        <v>27524.400000000001</v>
      </c>
      <c r="K117" s="1864">
        <v>25872.7</v>
      </c>
      <c r="L117" s="1864">
        <v>1651.7</v>
      </c>
      <c r="M117" s="1600">
        <f>IF(J117=0,0,J117/G117*100)</f>
        <v>100</v>
      </c>
      <c r="N117" s="1907">
        <f>IF(K117=0,0,K117/H117*100)</f>
        <v>100</v>
      </c>
      <c r="O117" s="1907">
        <f>IF(L117=0,0,L117/I117*100)</f>
        <v>100</v>
      </c>
      <c r="P117" s="2203"/>
      <c r="Q117" s="2203"/>
      <c r="R117" s="1616"/>
      <c r="S117" s="1616"/>
      <c r="T117" s="1616"/>
      <c r="U117" s="1616"/>
      <c r="V117" s="1616"/>
      <c r="W117" s="1616"/>
      <c r="X117" s="1423"/>
      <c r="Y117" s="1600">
        <f>SUM(Z117:AA117)</f>
        <v>27524.400000000001</v>
      </c>
      <c r="Z117" s="1865">
        <v>25872.7</v>
      </c>
      <c r="AA117" s="1865">
        <v>1651.7</v>
      </c>
      <c r="AB117" s="1423"/>
      <c r="AC117" s="1423"/>
      <c r="AD117" s="1423"/>
    </row>
    <row r="118" spans="1:30" s="484" customFormat="1" ht="23.25" hidden="1">
      <c r="A118" s="2204"/>
      <c r="B118" s="1619" t="s">
        <v>1621</v>
      </c>
      <c r="C118" s="1906"/>
      <c r="D118" s="1600">
        <f t="shared" si="33"/>
        <v>2105.8000000000002</v>
      </c>
      <c r="E118" s="1865"/>
      <c r="F118" s="1865">
        <f>35698.6-33592.8</f>
        <v>2105.8000000000002</v>
      </c>
      <c r="G118" s="1600">
        <f t="shared" si="54"/>
        <v>2105.8000000000002</v>
      </c>
      <c r="H118" s="1608">
        <f t="shared" si="29"/>
        <v>0</v>
      </c>
      <c r="I118" s="1608">
        <f t="shared" si="29"/>
        <v>2105.8000000000002</v>
      </c>
      <c r="J118" s="1600">
        <f t="shared" si="52"/>
        <v>159.1</v>
      </c>
      <c r="K118" s="1864"/>
      <c r="L118" s="1864">
        <v>159.1</v>
      </c>
      <c r="M118" s="1600">
        <f t="shared" si="25"/>
        <v>7.6</v>
      </c>
      <c r="N118" s="1907">
        <f t="shared" si="25"/>
        <v>0</v>
      </c>
      <c r="O118" s="1907">
        <f t="shared" si="25"/>
        <v>7.6</v>
      </c>
      <c r="P118" s="2203"/>
      <c r="Q118" s="2203"/>
      <c r="R118" s="1609">
        <f t="shared" si="48"/>
        <v>0</v>
      </c>
      <c r="S118" s="1614">
        <v>0</v>
      </c>
      <c r="T118" s="1614">
        <v>0</v>
      </c>
      <c r="U118" s="1602">
        <f t="shared" si="49"/>
        <v>0</v>
      </c>
      <c r="V118" s="1614">
        <v>0</v>
      </c>
      <c r="W118" s="1614">
        <v>0</v>
      </c>
      <c r="X118" s="1423">
        <f t="shared" si="41"/>
        <v>0</v>
      </c>
      <c r="Y118" s="1600">
        <f t="shared" ref="Y118" si="56">SUM(Z118:AA118)</f>
        <v>2105.8000000000002</v>
      </c>
      <c r="Z118" s="1865"/>
      <c r="AA118" s="1865">
        <f>35698.6-33592.8</f>
        <v>2105.8000000000002</v>
      </c>
      <c r="AB118" s="1423"/>
      <c r="AC118" s="1423"/>
      <c r="AD118" s="1423"/>
    </row>
    <row r="119" spans="1:30" s="484" customFormat="1" ht="23.25" hidden="1" customHeight="1">
      <c r="A119" s="2204"/>
      <c r="B119" s="1935" t="s">
        <v>712</v>
      </c>
      <c r="C119" s="1906"/>
      <c r="D119" s="1600" t="s">
        <v>332</v>
      </c>
      <c r="E119" s="1865"/>
      <c r="F119" s="1865"/>
      <c r="G119" s="1600"/>
      <c r="H119" s="1608"/>
      <c r="I119" s="1608"/>
      <c r="J119" s="1600"/>
      <c r="K119" s="1864"/>
      <c r="L119" s="1864"/>
      <c r="M119" s="1600"/>
      <c r="N119" s="1907"/>
      <c r="O119" s="1907"/>
      <c r="P119" s="2203"/>
      <c r="Q119" s="2203"/>
      <c r="R119" s="1609"/>
      <c r="S119" s="1614"/>
      <c r="T119" s="1614"/>
      <c r="U119" s="1602"/>
      <c r="V119" s="1614"/>
      <c r="W119" s="1614"/>
      <c r="X119" s="1423"/>
      <c r="Y119" s="1600" t="s">
        <v>332</v>
      </c>
      <c r="Z119" s="1865"/>
      <c r="AA119" s="1865"/>
      <c r="AB119" s="1423"/>
      <c r="AC119" s="1423"/>
      <c r="AD119" s="1423"/>
    </row>
    <row r="120" spans="1:30" s="484" customFormat="1" ht="23.25" hidden="1">
      <c r="A120" s="2204">
        <f>A116+1</f>
        <v>25</v>
      </c>
      <c r="B120" s="2206" t="s">
        <v>1803</v>
      </c>
      <c r="C120" s="1906"/>
      <c r="D120" s="1600">
        <f>E120+F120</f>
        <v>2229.1999999999998</v>
      </c>
      <c r="E120" s="1865">
        <f>E121</f>
        <v>0</v>
      </c>
      <c r="F120" s="2208">
        <f>F121</f>
        <v>2229.1999999999998</v>
      </c>
      <c r="G120" s="1600">
        <f>H120+I120</f>
        <v>2229.1999999999998</v>
      </c>
      <c r="H120" s="1865">
        <f>H121</f>
        <v>0</v>
      </c>
      <c r="I120" s="1865">
        <f>I121</f>
        <v>2229.1999999999998</v>
      </c>
      <c r="J120" s="1600">
        <f>K120+L120</f>
        <v>2229.1999999999998</v>
      </c>
      <c r="K120" s="1864">
        <f>K121</f>
        <v>0</v>
      </c>
      <c r="L120" s="1864">
        <f>L121</f>
        <v>2229.1999999999998</v>
      </c>
      <c r="M120" s="1600"/>
      <c r="N120" s="1907"/>
      <c r="O120" s="1907"/>
      <c r="P120" s="2203"/>
      <c r="Q120" s="2203"/>
      <c r="R120" s="1609"/>
      <c r="S120" s="1614"/>
      <c r="T120" s="1614"/>
      <c r="U120" s="1602"/>
      <c r="V120" s="1614"/>
      <c r="W120" s="1614"/>
      <c r="X120" s="1423"/>
      <c r="Y120" s="1600">
        <f>Z120+AA120</f>
        <v>2229.1999999999998</v>
      </c>
      <c r="Z120" s="1865">
        <f>Z121</f>
        <v>0</v>
      </c>
      <c r="AA120" s="2208">
        <f>AA121</f>
        <v>2229.1999999999998</v>
      </c>
      <c r="AB120" s="1423"/>
      <c r="AC120" s="1423"/>
      <c r="AD120" s="1423"/>
    </row>
    <row r="121" spans="1:30" s="484" customFormat="1" ht="66" hidden="1" customHeight="1">
      <c r="A121" s="2204"/>
      <c r="B121" s="1905" t="s">
        <v>1802</v>
      </c>
      <c r="C121" s="1906"/>
      <c r="D121" s="1600">
        <f>E121+F121</f>
        <v>2229.1999999999998</v>
      </c>
      <c r="E121" s="1865">
        <f>E122</f>
        <v>0</v>
      </c>
      <c r="F121" s="1865">
        <f>F122</f>
        <v>2229.1999999999998</v>
      </c>
      <c r="G121" s="1619">
        <f>H121+I121</f>
        <v>2229.1999999999998</v>
      </c>
      <c r="H121" s="1865">
        <f>H122</f>
        <v>0</v>
      </c>
      <c r="I121" s="1865">
        <f>I122</f>
        <v>2229.1999999999998</v>
      </c>
      <c r="J121" s="1600">
        <f>K121+L121</f>
        <v>2229.1999999999998</v>
      </c>
      <c r="K121" s="1864">
        <f>K122</f>
        <v>0</v>
      </c>
      <c r="L121" s="1864">
        <f>L122</f>
        <v>2229.1999999999998</v>
      </c>
      <c r="M121" s="1600"/>
      <c r="N121" s="1907"/>
      <c r="O121" s="1907"/>
      <c r="P121" s="2203"/>
      <c r="Q121" s="2203"/>
      <c r="R121" s="1609"/>
      <c r="S121" s="1614"/>
      <c r="T121" s="1614"/>
      <c r="U121" s="1602"/>
      <c r="V121" s="1614"/>
      <c r="W121" s="1614"/>
      <c r="X121" s="1423"/>
      <c r="Y121" s="1600">
        <f>Z121+AA121</f>
        <v>2229.1999999999998</v>
      </c>
      <c r="Z121" s="1865">
        <f>Z122</f>
        <v>0</v>
      </c>
      <c r="AA121" s="1865">
        <f>AA122</f>
        <v>2229.1999999999998</v>
      </c>
      <c r="AB121" s="1423"/>
      <c r="AC121" s="1423"/>
      <c r="AD121" s="1423"/>
    </row>
    <row r="122" spans="1:30" s="484" customFormat="1" ht="23.25" hidden="1">
      <c r="A122" s="2204"/>
      <c r="B122" s="1619" t="s">
        <v>1621</v>
      </c>
      <c r="C122" s="1906"/>
      <c r="D122" s="1600">
        <f>SUM(E122:F122)</f>
        <v>2229.1999999999998</v>
      </c>
      <c r="E122" s="1865"/>
      <c r="F122" s="1865">
        <v>2229.1999999999998</v>
      </c>
      <c r="G122" s="1619">
        <f>SUM(H122:I122)</f>
        <v>2229.1999999999998</v>
      </c>
      <c r="H122" s="1608">
        <f>E122</f>
        <v>0</v>
      </c>
      <c r="I122" s="1608">
        <v>2229.1999999999998</v>
      </c>
      <c r="J122" s="1600">
        <f>SUM(K122:L122)</f>
        <v>2229.1999999999998</v>
      </c>
      <c r="K122" s="1864"/>
      <c r="L122" s="1864">
        <v>2229.1999999999998</v>
      </c>
      <c r="M122" s="1600">
        <f>IF(J122=0,0,J122/G122*100)</f>
        <v>100</v>
      </c>
      <c r="N122" s="1907">
        <f>IF(K122=0,0,K122/H122*100)</f>
        <v>0</v>
      </c>
      <c r="O122" s="1907">
        <f>IF(L122=0,0,L122/I122*100)</f>
        <v>100</v>
      </c>
      <c r="P122" s="2203"/>
      <c r="Q122" s="2203"/>
      <c r="R122" s="1609"/>
      <c r="S122" s="1614"/>
      <c r="T122" s="1614"/>
      <c r="U122" s="1602"/>
      <c r="V122" s="1614"/>
      <c r="W122" s="1614"/>
      <c r="X122" s="1423"/>
      <c r="Y122" s="1600">
        <f>SUM(Z122:AA122)</f>
        <v>2229.1999999999998</v>
      </c>
      <c r="Z122" s="1865"/>
      <c r="AA122" s="1865">
        <v>2229.1999999999998</v>
      </c>
      <c r="AB122" s="1423"/>
      <c r="AC122" s="1423"/>
      <c r="AD122" s="1423"/>
    </row>
    <row r="123" spans="1:30" s="484" customFormat="1" ht="23.25" hidden="1">
      <c r="A123" s="2204"/>
      <c r="B123" s="2206" t="s">
        <v>1626</v>
      </c>
      <c r="C123" s="1882"/>
      <c r="D123" s="1602">
        <f t="shared" si="33"/>
        <v>2164.3000000000002</v>
      </c>
      <c r="E123" s="1603">
        <f>E124</f>
        <v>1990</v>
      </c>
      <c r="F123" s="1603">
        <f>F124</f>
        <v>174.3</v>
      </c>
      <c r="G123" s="1602">
        <f>G124</f>
        <v>2164.3000000000002</v>
      </c>
      <c r="H123" s="1603">
        <f t="shared" si="29"/>
        <v>1990</v>
      </c>
      <c r="I123" s="1603">
        <f>I124</f>
        <v>174.3</v>
      </c>
      <c r="J123" s="1602">
        <f t="shared" si="52"/>
        <v>2103</v>
      </c>
      <c r="K123" s="1603">
        <f>K124</f>
        <v>1932.4</v>
      </c>
      <c r="L123" s="1603">
        <f>L124</f>
        <v>170.6</v>
      </c>
      <c r="M123" s="2208">
        <f t="shared" si="25"/>
        <v>97.2</v>
      </c>
      <c r="N123" s="2208">
        <f t="shared" si="25"/>
        <v>97.1</v>
      </c>
      <c r="O123" s="2208">
        <f t="shared" si="25"/>
        <v>97.9</v>
      </c>
      <c r="P123" s="2203"/>
      <c r="Q123" s="2203"/>
      <c r="R123" s="1602">
        <f t="shared" si="48"/>
        <v>0</v>
      </c>
      <c r="S123" s="1603">
        <f>S124</f>
        <v>0</v>
      </c>
      <c r="T123" s="1603">
        <f>T124</f>
        <v>0</v>
      </c>
      <c r="U123" s="1602">
        <f t="shared" si="49"/>
        <v>0</v>
      </c>
      <c r="V123" s="1603">
        <f>V124</f>
        <v>0</v>
      </c>
      <c r="W123" s="1603">
        <f>W124</f>
        <v>0</v>
      </c>
      <c r="X123" s="1423">
        <f t="shared" si="41"/>
        <v>0</v>
      </c>
      <c r="Y123" s="1602">
        <f t="shared" ref="Y123:Y124" si="57">SUM(Z123:AA123)</f>
        <v>2164.3000000000002</v>
      </c>
      <c r="Z123" s="1603">
        <f>Z124</f>
        <v>1990</v>
      </c>
      <c r="AA123" s="1603">
        <f>AA124</f>
        <v>174.3</v>
      </c>
      <c r="AB123" s="1423"/>
      <c r="AC123" s="1423"/>
      <c r="AD123" s="1423"/>
    </row>
    <row r="124" spans="1:30" s="484" customFormat="1" ht="37.5" hidden="1">
      <c r="A124" s="2204">
        <f>A120+1</f>
        <v>26</v>
      </c>
      <c r="B124" s="1889" t="s">
        <v>1627</v>
      </c>
      <c r="C124" s="1882"/>
      <c r="D124" s="1600">
        <f t="shared" si="33"/>
        <v>2164.3000000000002</v>
      </c>
      <c r="E124" s="1616">
        <f>SUBTOTAL(9,E125:E126)</f>
        <v>1990</v>
      </c>
      <c r="F124" s="1616">
        <f>SUBTOTAL(9,F125:F126)</f>
        <v>174.3</v>
      </c>
      <c r="G124" s="1600">
        <f t="shared" si="54"/>
        <v>2164.3000000000002</v>
      </c>
      <c r="H124" s="1616">
        <f>SUBTOTAL(9,H125:H126)</f>
        <v>1990</v>
      </c>
      <c r="I124" s="1616">
        <f>SUBTOTAL(9,I125:I126)</f>
        <v>174.3</v>
      </c>
      <c r="J124" s="1600">
        <f t="shared" si="52"/>
        <v>2103</v>
      </c>
      <c r="K124" s="1608">
        <f>K125+K126</f>
        <v>1932.4</v>
      </c>
      <c r="L124" s="1608">
        <f>L125+L126</f>
        <v>170.6</v>
      </c>
      <c r="M124" s="1604">
        <f t="shared" si="25"/>
        <v>97.2</v>
      </c>
      <c r="N124" s="1881">
        <f t="shared" si="25"/>
        <v>97.1</v>
      </c>
      <c r="O124" s="1881">
        <f t="shared" si="25"/>
        <v>97.9</v>
      </c>
      <c r="P124" s="2203"/>
      <c r="Q124" s="2203"/>
      <c r="R124" s="1600">
        <f t="shared" si="48"/>
        <v>0</v>
      </c>
      <c r="S124" s="1608">
        <f>S126</f>
        <v>0</v>
      </c>
      <c r="T124" s="1608">
        <f>T126</f>
        <v>0</v>
      </c>
      <c r="U124" s="1600">
        <f t="shared" si="49"/>
        <v>0</v>
      </c>
      <c r="V124" s="1608">
        <f>V126</f>
        <v>0</v>
      </c>
      <c r="W124" s="1608">
        <f>W126</f>
        <v>0</v>
      </c>
      <c r="X124" s="1423">
        <f t="shared" si="41"/>
        <v>0</v>
      </c>
      <c r="Y124" s="1600">
        <f t="shared" si="57"/>
        <v>2164.3000000000002</v>
      </c>
      <c r="Z124" s="1616">
        <f>SUBTOTAL(9,Z125:Z126)</f>
        <v>1990</v>
      </c>
      <c r="AA124" s="1616">
        <f>SUBTOTAL(9,AA125:AA126)</f>
        <v>174.3</v>
      </c>
      <c r="AB124" s="1423"/>
      <c r="AC124" s="1423"/>
      <c r="AD124" s="1423"/>
    </row>
    <row r="125" spans="1:30" s="484" customFormat="1" ht="37.5" hidden="1">
      <c r="A125" s="2204"/>
      <c r="B125" s="1619" t="s">
        <v>1798</v>
      </c>
      <c r="C125" s="1882"/>
      <c r="D125" s="1600">
        <f>SUM(E125:F125)</f>
        <v>2117.1</v>
      </c>
      <c r="E125" s="1865">
        <v>1990</v>
      </c>
      <c r="F125" s="1865">
        <v>127.1</v>
      </c>
      <c r="G125" s="1619">
        <f>SUM(H125:I125)</f>
        <v>2117.1</v>
      </c>
      <c r="H125" s="1865">
        <v>1990</v>
      </c>
      <c r="I125" s="1865">
        <v>127.1</v>
      </c>
      <c r="J125" s="1600">
        <f>SUM(K125:L125)</f>
        <v>2055.8000000000002</v>
      </c>
      <c r="K125" s="1865">
        <v>1932.4</v>
      </c>
      <c r="L125" s="1865">
        <v>123.4</v>
      </c>
      <c r="M125" s="1600">
        <f>IF(J125=0,0,J125/G125*100)</f>
        <v>97.1</v>
      </c>
      <c r="N125" s="1907">
        <f>IF(K125=0,0,K125/H125*100)</f>
        <v>97.1</v>
      </c>
      <c r="O125" s="1907">
        <f>IF(L125=0,0,L125/I125*100)</f>
        <v>97.1</v>
      </c>
      <c r="P125" s="2203"/>
      <c r="Q125" s="2203"/>
      <c r="R125" s="1600"/>
      <c r="S125" s="1608"/>
      <c r="T125" s="1608"/>
      <c r="U125" s="1600"/>
      <c r="V125" s="1608"/>
      <c r="W125" s="1608"/>
      <c r="X125" s="1423"/>
      <c r="Y125" s="1600">
        <f>SUM(Z125:AA125)</f>
        <v>2117.1</v>
      </c>
      <c r="Z125" s="1865">
        <v>1990</v>
      </c>
      <c r="AA125" s="1865">
        <v>127.1</v>
      </c>
      <c r="AB125" s="1423"/>
      <c r="AC125" s="1423"/>
      <c r="AD125" s="1423"/>
    </row>
    <row r="126" spans="1:30" s="484" customFormat="1" ht="23.25" hidden="1">
      <c r="A126" s="2204"/>
      <c r="B126" s="1619" t="s">
        <v>1621</v>
      </c>
      <c r="C126" s="1906"/>
      <c r="D126" s="1600">
        <f t="shared" si="33"/>
        <v>47.2</v>
      </c>
      <c r="E126" s="1865"/>
      <c r="F126" s="1616">
        <f>2446-2398.8</f>
        <v>47.2</v>
      </c>
      <c r="G126" s="1619">
        <f t="shared" si="54"/>
        <v>47.2</v>
      </c>
      <c r="H126" s="1616">
        <f t="shared" si="29"/>
        <v>0</v>
      </c>
      <c r="I126" s="1616">
        <f>2446-2398.8</f>
        <v>47.2</v>
      </c>
      <c r="J126" s="1600">
        <f t="shared" si="52"/>
        <v>47.2</v>
      </c>
      <c r="K126" s="1865"/>
      <c r="L126" s="1865">
        <v>47.2</v>
      </c>
      <c r="M126" s="1600">
        <f t="shared" si="25"/>
        <v>100</v>
      </c>
      <c r="N126" s="1907">
        <f t="shared" si="25"/>
        <v>0</v>
      </c>
      <c r="O126" s="1907">
        <f t="shared" si="25"/>
        <v>100</v>
      </c>
      <c r="P126" s="2203"/>
      <c r="Q126" s="2203"/>
      <c r="R126" s="1600">
        <f t="shared" si="48"/>
        <v>0</v>
      </c>
      <c r="S126" s="1614">
        <v>0</v>
      </c>
      <c r="T126" s="1614">
        <v>0</v>
      </c>
      <c r="U126" s="1600">
        <f t="shared" si="49"/>
        <v>0</v>
      </c>
      <c r="V126" s="1614">
        <v>0</v>
      </c>
      <c r="W126" s="1614">
        <v>0</v>
      </c>
      <c r="X126" s="1423">
        <f t="shared" si="41"/>
        <v>0</v>
      </c>
      <c r="Y126" s="1600">
        <f t="shared" ref="Y126:Y128" si="58">SUM(Z126:AA126)</f>
        <v>47.2</v>
      </c>
      <c r="Z126" s="1865"/>
      <c r="AA126" s="1616">
        <f>2446-2398.8</f>
        <v>47.2</v>
      </c>
      <c r="AB126" s="1423"/>
      <c r="AC126" s="1423"/>
      <c r="AD126" s="1423"/>
    </row>
    <row r="127" spans="1:30" ht="131.25" hidden="1">
      <c r="A127" s="2070" t="s">
        <v>2</v>
      </c>
      <c r="B127" s="1876" t="s">
        <v>1434</v>
      </c>
      <c r="C127" s="1877"/>
      <c r="D127" s="1598">
        <f t="shared" si="33"/>
        <v>6526266.0999999996</v>
      </c>
      <c r="E127" s="1598">
        <f>SUM(E128,E177)</f>
        <v>5142823</v>
      </c>
      <c r="F127" s="1598">
        <f>SUM(F128,F177)</f>
        <v>1383443.1</v>
      </c>
      <c r="G127" s="1598">
        <f t="shared" si="54"/>
        <v>6526266.0999999996</v>
      </c>
      <c r="H127" s="1598">
        <f>SUM(H128,H177)</f>
        <v>5142823</v>
      </c>
      <c r="I127" s="1598">
        <f>SUM(I128,I177)</f>
        <v>1383443.1</v>
      </c>
      <c r="J127" s="1598">
        <f t="shared" ref="J127:J175" si="59">SUM(K127:L127)</f>
        <v>3084114.3</v>
      </c>
      <c r="K127" s="1598">
        <f>SUM(K128,K177)</f>
        <v>2399730.7999999998</v>
      </c>
      <c r="L127" s="1598">
        <f>SUM(L128,L177)</f>
        <v>684383.5</v>
      </c>
      <c r="M127" s="1908">
        <f t="shared" si="25"/>
        <v>47.3</v>
      </c>
      <c r="N127" s="1909">
        <f t="shared" si="25"/>
        <v>46.7</v>
      </c>
      <c r="O127" s="1909">
        <f t="shared" si="25"/>
        <v>49.5</v>
      </c>
      <c r="P127" s="1622" t="s">
        <v>353</v>
      </c>
      <c r="Q127" s="1622" t="s">
        <v>353</v>
      </c>
      <c r="R127" s="1861" t="e">
        <f t="shared" si="48"/>
        <v>#REF!</v>
      </c>
      <c r="S127" s="1861" t="e">
        <f>SUM(S128,S177)</f>
        <v>#REF!</v>
      </c>
      <c r="T127" s="1861" t="e">
        <f>SUM(T128,T177)</f>
        <v>#REF!</v>
      </c>
      <c r="U127" s="1861" t="e">
        <f t="shared" si="49"/>
        <v>#REF!</v>
      </c>
      <c r="V127" s="1861" t="e">
        <f>SUM(V128,V177)</f>
        <v>#REF!</v>
      </c>
      <c r="W127" s="1861" t="e">
        <f>SUM(W128,W177)</f>
        <v>#REF!</v>
      </c>
      <c r="X127" s="1423">
        <f t="shared" si="41"/>
        <v>0</v>
      </c>
      <c r="Y127" s="1598">
        <f t="shared" si="58"/>
        <v>57421.2</v>
      </c>
      <c r="Z127" s="1598">
        <f>SUM(Z128,Z177)</f>
        <v>0</v>
      </c>
      <c r="AA127" s="1598">
        <f>SUM(AA128,AA177)</f>
        <v>57421.2</v>
      </c>
      <c r="AB127" s="1423"/>
      <c r="AC127" s="1423"/>
      <c r="AD127" s="1423"/>
    </row>
    <row r="128" spans="1:30" ht="37.5" hidden="1">
      <c r="A128" s="2070" t="s">
        <v>246</v>
      </c>
      <c r="B128" s="1876" t="s">
        <v>1393</v>
      </c>
      <c r="C128" s="1877"/>
      <c r="D128" s="1598">
        <f t="shared" si="33"/>
        <v>159513.70000000001</v>
      </c>
      <c r="E128" s="1598">
        <f>SUM(E129,E166)</f>
        <v>0</v>
      </c>
      <c r="F128" s="1598">
        <f>SUM(F129,F166)</f>
        <v>159513.70000000001</v>
      </c>
      <c r="G128" s="1598">
        <f t="shared" si="54"/>
        <v>159513.70000000001</v>
      </c>
      <c r="H128" s="1598">
        <f>SUM(H129,H166)</f>
        <v>0</v>
      </c>
      <c r="I128" s="1598">
        <f>SUM(I129,I166)</f>
        <v>159513.70000000001</v>
      </c>
      <c r="J128" s="1598">
        <f t="shared" si="59"/>
        <v>109180.9</v>
      </c>
      <c r="K128" s="1598">
        <f>SUM(K129,K166)</f>
        <v>0</v>
      </c>
      <c r="L128" s="1598">
        <f>SUM(L129,L166)</f>
        <v>109180.9</v>
      </c>
      <c r="M128" s="1908">
        <f t="shared" si="25"/>
        <v>68.400000000000006</v>
      </c>
      <c r="N128" s="1909">
        <f t="shared" si="25"/>
        <v>0</v>
      </c>
      <c r="O128" s="1909">
        <f t="shared" si="25"/>
        <v>68.400000000000006</v>
      </c>
      <c r="P128" s="1599" t="s">
        <v>353</v>
      </c>
      <c r="Q128" s="1599" t="s">
        <v>353</v>
      </c>
      <c r="R128" s="1598">
        <f t="shared" si="48"/>
        <v>39180</v>
      </c>
      <c r="S128" s="1598">
        <f>SUM(S129,S166)</f>
        <v>0</v>
      </c>
      <c r="T128" s="1598">
        <f>SUM(T129,T166)</f>
        <v>39180</v>
      </c>
      <c r="U128" s="1598">
        <f>SUM(V128:W128)</f>
        <v>0</v>
      </c>
      <c r="V128" s="1598">
        <f>SUM(V129,V166)</f>
        <v>0</v>
      </c>
      <c r="W128" s="1598">
        <f>SUM(W129,W166)</f>
        <v>0</v>
      </c>
      <c r="X128" s="1423">
        <f t="shared" si="41"/>
        <v>0</v>
      </c>
      <c r="Y128" s="1598">
        <f t="shared" si="58"/>
        <v>57421.2</v>
      </c>
      <c r="Z128" s="1598">
        <f>SUM(Z129,Z166)</f>
        <v>0</v>
      </c>
      <c r="AA128" s="1598">
        <f>SUM(AA129,AA166)</f>
        <v>57421.2</v>
      </c>
      <c r="AB128" s="1423"/>
      <c r="AC128" s="1423"/>
      <c r="AD128" s="1423"/>
    </row>
    <row r="129" spans="1:30" ht="37.5" hidden="1">
      <c r="A129" s="2204" t="s">
        <v>247</v>
      </c>
      <c r="B129" s="1935" t="s">
        <v>529</v>
      </c>
      <c r="C129" s="1906"/>
      <c r="D129" s="1600">
        <f>SUM(E129:F129)</f>
        <v>118896.8</v>
      </c>
      <c r="E129" s="1600">
        <f>E132+E134+E147+E149+E151+E154+E156+E157+E158+E159+E162+E163+E164+E165</f>
        <v>0</v>
      </c>
      <c r="F129" s="1600">
        <f>F132+F134+F147+F149+F151+F154+F156+F157+F158+F159+F162+F163+F164+F165</f>
        <v>118896.8</v>
      </c>
      <c r="G129" s="1600">
        <f>SUM(H129:I129)</f>
        <v>118896.8</v>
      </c>
      <c r="H129" s="1600">
        <f>H132+H134+H147+H149+H151+H154+H156+H157+H158+H159+H162+H163+H164+H165</f>
        <v>0</v>
      </c>
      <c r="I129" s="1600">
        <f>I132+I134+I147+I149+I151+I154+I156+I157+I158+I159+I162+I163+I164+I165</f>
        <v>118896.8</v>
      </c>
      <c r="J129" s="1600">
        <f>SUM(K129:L129)</f>
        <v>97150.399999999994</v>
      </c>
      <c r="K129" s="1600">
        <f>K132+K134+K147+K149+K151+K154+K156+K157+K158+K159+K162+K163+K164+K165</f>
        <v>0</v>
      </c>
      <c r="L129" s="1600">
        <f>L132+L134+L147+L149+L151+L154+L156+L157+L158+L159+L162+L163+L164+L165</f>
        <v>97150.399999999994</v>
      </c>
      <c r="M129" s="1620">
        <f t="shared" si="25"/>
        <v>81.7</v>
      </c>
      <c r="N129" s="1907">
        <f t="shared" si="25"/>
        <v>0</v>
      </c>
      <c r="O129" s="1907">
        <f t="shared" si="25"/>
        <v>81.7</v>
      </c>
      <c r="P129" s="1599"/>
      <c r="Q129" s="1599"/>
      <c r="R129" s="1899">
        <f t="shared" si="48"/>
        <v>38180</v>
      </c>
      <c r="S129" s="1899">
        <f>SUM(S130:S159)</f>
        <v>0</v>
      </c>
      <c r="T129" s="1899">
        <f>SUM(T130:T159)</f>
        <v>38180</v>
      </c>
      <c r="U129" s="1899">
        <f t="shared" si="49"/>
        <v>0</v>
      </c>
      <c r="V129" s="1899">
        <f>SUM(V130:V159)</f>
        <v>0</v>
      </c>
      <c r="W129" s="1899">
        <f>SUM(W130:W159)</f>
        <v>0</v>
      </c>
      <c r="X129" s="1423">
        <f t="shared" si="41"/>
        <v>0</v>
      </c>
      <c r="Y129" s="1600">
        <f>SUM(Z129:AA129)</f>
        <v>57421.2</v>
      </c>
      <c r="Z129" s="1600">
        <f>Z132+Z134+Z147+Z149+Z151+Z154+Z156+Z157+Z158+Z159+Z162+Z163+Z164+Z165</f>
        <v>0</v>
      </c>
      <c r="AA129" s="1600">
        <f>AA132+AA134+AA147+AA149+AA151+AA154+AA156+AA157+AA158+AA159+AA162+AA163+AA164+AA165</f>
        <v>57421.2</v>
      </c>
      <c r="AB129" s="1423"/>
      <c r="AC129" s="1423"/>
      <c r="AD129" s="1423"/>
    </row>
    <row r="130" spans="1:30" s="1570" customFormat="1" ht="24.75" hidden="1" customHeight="1">
      <c r="A130" s="2204"/>
      <c r="B130" s="1885" t="s">
        <v>1588</v>
      </c>
      <c r="C130" s="2204" t="s">
        <v>1612</v>
      </c>
      <c r="D130" s="1600">
        <f t="shared" si="33"/>
        <v>106323.6</v>
      </c>
      <c r="E130" s="1614"/>
      <c r="F130" s="1600">
        <f>F133+F135+F148+F150+F152+F155+F157+F158+F159+F160+F162+F163+F164+F165+F166</f>
        <v>106323.6</v>
      </c>
      <c r="G130" s="1600">
        <f t="shared" si="54"/>
        <v>106323.6</v>
      </c>
      <c r="H130" s="1614">
        <f t="shared" si="29"/>
        <v>0</v>
      </c>
      <c r="I130" s="1614">
        <f t="shared" si="29"/>
        <v>106323.6</v>
      </c>
      <c r="J130" s="1600">
        <f t="shared" si="59"/>
        <v>0</v>
      </c>
      <c r="K130" s="1614"/>
      <c r="L130" s="1614"/>
      <c r="M130" s="1604">
        <f t="shared" si="25"/>
        <v>0</v>
      </c>
      <c r="N130" s="1881">
        <f t="shared" si="25"/>
        <v>0</v>
      </c>
      <c r="O130" s="1881">
        <f t="shared" si="25"/>
        <v>0</v>
      </c>
      <c r="P130" s="2203"/>
      <c r="Q130" s="1612"/>
      <c r="R130" s="1600">
        <f t="shared" si="48"/>
        <v>0</v>
      </c>
      <c r="S130" s="1614">
        <v>0</v>
      </c>
      <c r="T130" s="1614">
        <v>0</v>
      </c>
      <c r="U130" s="1600">
        <f t="shared" si="49"/>
        <v>0</v>
      </c>
      <c r="V130" s="1614">
        <v>0</v>
      </c>
      <c r="W130" s="1614">
        <v>0</v>
      </c>
      <c r="Y130" s="1600">
        <f t="shared" ref="Y130:Y151" si="60">SUM(Z130:AA130)</f>
        <v>0</v>
      </c>
      <c r="Z130" s="1614"/>
      <c r="AA130" s="1600">
        <f>AA133+AA135+AA148+AA150+AA152+AA155+AA157+AA158+AA159+AA160+AA162+AA163+AA164+AA165+AA166</f>
        <v>0</v>
      </c>
      <c r="AB130" s="1423"/>
      <c r="AC130" s="1423"/>
      <c r="AD130" s="1423"/>
    </row>
    <row r="131" spans="1:30" ht="23.25" hidden="1" customHeight="1">
      <c r="A131" s="1866"/>
      <c r="B131" s="2071" t="s">
        <v>1592</v>
      </c>
      <c r="C131" s="1913">
        <v>14038</v>
      </c>
      <c r="D131" s="1600">
        <f t="shared" si="33"/>
        <v>136694.9</v>
      </c>
      <c r="E131" s="1608"/>
      <c r="F131" s="1600">
        <f>F134+F136+F149+F151+F153+F156+F158+F159+F160+F161+F163+F164+F165+F166+F167</f>
        <v>136694.9</v>
      </c>
      <c r="G131" s="1600">
        <f t="shared" si="54"/>
        <v>136694.9</v>
      </c>
      <c r="H131" s="1616">
        <f t="shared" si="29"/>
        <v>0</v>
      </c>
      <c r="I131" s="1616">
        <f t="shared" si="29"/>
        <v>136694.9</v>
      </c>
      <c r="J131" s="1600">
        <f t="shared" si="59"/>
        <v>0</v>
      </c>
      <c r="K131" s="1608"/>
      <c r="L131" s="1608"/>
      <c r="M131" s="1893">
        <f t="shared" si="25"/>
        <v>0</v>
      </c>
      <c r="N131" s="1894">
        <f t="shared" si="25"/>
        <v>0</v>
      </c>
      <c r="O131" s="1894">
        <f t="shared" si="25"/>
        <v>0</v>
      </c>
      <c r="P131" s="2203"/>
      <c r="Q131" s="2203"/>
      <c r="R131" s="1600">
        <f t="shared" si="48"/>
        <v>0</v>
      </c>
      <c r="S131" s="1614">
        <v>0</v>
      </c>
      <c r="T131" s="1614">
        <v>0</v>
      </c>
      <c r="U131" s="1600">
        <f t="shared" si="49"/>
        <v>0</v>
      </c>
      <c r="V131" s="1614">
        <v>0</v>
      </c>
      <c r="W131" s="1614">
        <v>0</v>
      </c>
      <c r="X131" s="1423">
        <f>D131-G131</f>
        <v>0</v>
      </c>
      <c r="Y131" s="1600">
        <f t="shared" si="60"/>
        <v>56821.2</v>
      </c>
      <c r="Z131" s="1608"/>
      <c r="AA131" s="1600">
        <f>AA134+AA136+AA149+AA151+AA153+AA156+AA158+AA159+AA160+AA161+AA163+AA164+AA165+AA166+AA167</f>
        <v>56821.2</v>
      </c>
      <c r="AB131" s="1423"/>
      <c r="AC131" s="1423"/>
      <c r="AD131" s="1423"/>
    </row>
    <row r="132" spans="1:30" ht="56.25" hidden="1">
      <c r="A132" s="2204">
        <f>A124+1</f>
        <v>27</v>
      </c>
      <c r="B132" s="1889" t="s">
        <v>1657</v>
      </c>
      <c r="C132" s="2205"/>
      <c r="D132" s="1600">
        <f t="shared" si="33"/>
        <v>600</v>
      </c>
      <c r="E132" s="1616"/>
      <c r="F132" s="1616">
        <f>2000+85.3-1485.3</f>
        <v>600</v>
      </c>
      <c r="G132" s="1600">
        <f t="shared" si="54"/>
        <v>600</v>
      </c>
      <c r="H132" s="1616">
        <f t="shared" si="29"/>
        <v>0</v>
      </c>
      <c r="I132" s="1616">
        <f t="shared" si="29"/>
        <v>600</v>
      </c>
      <c r="J132" s="1600">
        <f t="shared" si="59"/>
        <v>0</v>
      </c>
      <c r="K132" s="1616"/>
      <c r="L132" s="1616"/>
      <c r="M132" s="1604">
        <f t="shared" si="25"/>
        <v>0</v>
      </c>
      <c r="N132" s="1881">
        <f t="shared" si="25"/>
        <v>0</v>
      </c>
      <c r="O132" s="1881">
        <f t="shared" si="25"/>
        <v>0</v>
      </c>
      <c r="P132" s="1599"/>
      <c r="Q132" s="1599"/>
      <c r="R132" s="1600">
        <f t="shared" si="48"/>
        <v>0</v>
      </c>
      <c r="S132" s="1614">
        <v>0</v>
      </c>
      <c r="T132" s="1614">
        <v>0</v>
      </c>
      <c r="U132" s="1600">
        <f t="shared" si="49"/>
        <v>0</v>
      </c>
      <c r="V132" s="1614">
        <v>0</v>
      </c>
      <c r="W132" s="1614">
        <v>0</v>
      </c>
      <c r="X132" s="1423">
        <f>D132-G132</f>
        <v>0</v>
      </c>
      <c r="Y132" s="1600">
        <f t="shared" si="60"/>
        <v>600</v>
      </c>
      <c r="Z132" s="1616"/>
      <c r="AA132" s="1616">
        <f>2000+85.3-1485.3</f>
        <v>600</v>
      </c>
      <c r="AB132" s="1423"/>
      <c r="AC132" s="1423"/>
      <c r="AD132" s="1423"/>
    </row>
    <row r="133" spans="1:30" ht="45" hidden="1" customHeight="1">
      <c r="A133" s="2204"/>
      <c r="B133" s="1883" t="s">
        <v>1443</v>
      </c>
      <c r="C133" s="2204">
        <v>14065</v>
      </c>
      <c r="D133" s="1600">
        <f t="shared" si="33"/>
        <v>0</v>
      </c>
      <c r="E133" s="1608"/>
      <c r="F133" s="1616">
        <v>0</v>
      </c>
      <c r="G133" s="1600">
        <f t="shared" si="54"/>
        <v>0</v>
      </c>
      <c r="H133" s="1608">
        <f t="shared" si="29"/>
        <v>0</v>
      </c>
      <c r="I133" s="1608">
        <f t="shared" si="29"/>
        <v>0</v>
      </c>
      <c r="J133" s="1600">
        <f t="shared" si="59"/>
        <v>0</v>
      </c>
      <c r="K133" s="1608"/>
      <c r="L133" s="1608"/>
      <c r="M133" s="1604">
        <f t="shared" si="25"/>
        <v>0</v>
      </c>
      <c r="N133" s="1881">
        <f t="shared" si="25"/>
        <v>0</v>
      </c>
      <c r="O133" s="1881">
        <f t="shared" si="25"/>
        <v>0</v>
      </c>
      <c r="P133" s="2203" t="s">
        <v>1290</v>
      </c>
      <c r="Q133" s="2203" t="s">
        <v>1240</v>
      </c>
      <c r="R133" s="1600">
        <f t="shared" si="48"/>
        <v>0</v>
      </c>
      <c r="S133" s="1614">
        <v>0</v>
      </c>
      <c r="T133" s="1614">
        <v>0</v>
      </c>
      <c r="U133" s="1600">
        <f t="shared" si="49"/>
        <v>0</v>
      </c>
      <c r="V133" s="1614">
        <v>0</v>
      </c>
      <c r="W133" s="1614">
        <v>0</v>
      </c>
      <c r="Y133" s="1600">
        <f t="shared" si="60"/>
        <v>0</v>
      </c>
      <c r="Z133" s="1608"/>
      <c r="AA133" s="1616">
        <v>0</v>
      </c>
      <c r="AB133" s="1423"/>
      <c r="AC133" s="1423"/>
      <c r="AD133" s="1423"/>
    </row>
    <row r="134" spans="1:30" ht="77.25" hidden="1" customHeight="1">
      <c r="A134" s="2204">
        <f>A132+1</f>
        <v>28</v>
      </c>
      <c r="B134" s="1883" t="s">
        <v>1444</v>
      </c>
      <c r="C134" s="2204">
        <v>14066</v>
      </c>
      <c r="D134" s="1600">
        <f t="shared" si="33"/>
        <v>1191.2</v>
      </c>
      <c r="E134" s="1608"/>
      <c r="F134" s="1616">
        <v>1191.2</v>
      </c>
      <c r="G134" s="1600">
        <f t="shared" si="54"/>
        <v>1191.2</v>
      </c>
      <c r="H134" s="1616">
        <f t="shared" si="29"/>
        <v>0</v>
      </c>
      <c r="I134" s="1616">
        <f t="shared" si="29"/>
        <v>1191.2</v>
      </c>
      <c r="J134" s="1600">
        <f t="shared" si="59"/>
        <v>92.1</v>
      </c>
      <c r="K134" s="1608"/>
      <c r="L134" s="1608">
        <v>92.1</v>
      </c>
      <c r="M134" s="1604">
        <f t="shared" si="25"/>
        <v>7.7</v>
      </c>
      <c r="N134" s="1881">
        <f t="shared" si="25"/>
        <v>0</v>
      </c>
      <c r="O134" s="1881">
        <f t="shared" si="25"/>
        <v>7.7</v>
      </c>
      <c r="P134" s="2203" t="s">
        <v>1290</v>
      </c>
      <c r="Q134" s="2203" t="s">
        <v>1240</v>
      </c>
      <c r="R134" s="1600">
        <f t="shared" si="48"/>
        <v>0</v>
      </c>
      <c r="S134" s="1614">
        <v>0</v>
      </c>
      <c r="T134" s="1614">
        <v>0</v>
      </c>
      <c r="U134" s="1600">
        <f t="shared" si="49"/>
        <v>0</v>
      </c>
      <c r="V134" s="1614">
        <v>0</v>
      </c>
      <c r="W134" s="1614">
        <v>0</v>
      </c>
      <c r="X134" s="1423">
        <f t="shared" ref="X134:X139" si="61">D134-G134</f>
        <v>0</v>
      </c>
      <c r="Y134" s="1600">
        <f t="shared" si="60"/>
        <v>1191.2</v>
      </c>
      <c r="Z134" s="1608"/>
      <c r="AA134" s="1616">
        <v>1191.2</v>
      </c>
      <c r="AB134" s="1423"/>
      <c r="AC134" s="1423"/>
      <c r="AD134" s="1423"/>
    </row>
    <row r="135" spans="1:30" ht="38.25" hidden="1" customHeight="1">
      <c r="A135" s="1866">
        <f>A134+1</f>
        <v>29</v>
      </c>
      <c r="B135" s="1916" t="s">
        <v>1446</v>
      </c>
      <c r="C135" s="1913">
        <v>14076</v>
      </c>
      <c r="D135" s="1600">
        <f t="shared" si="33"/>
        <v>0</v>
      </c>
      <c r="E135" s="1608"/>
      <c r="F135" s="1608">
        <v>0</v>
      </c>
      <c r="G135" s="1600">
        <f t="shared" si="54"/>
        <v>0</v>
      </c>
      <c r="H135" s="1616">
        <f t="shared" si="29"/>
        <v>0</v>
      </c>
      <c r="I135" s="1616">
        <v>0</v>
      </c>
      <c r="J135" s="1600">
        <f t="shared" si="59"/>
        <v>0</v>
      </c>
      <c r="K135" s="1608"/>
      <c r="L135" s="1608"/>
      <c r="M135" s="1893">
        <f t="shared" si="25"/>
        <v>0</v>
      </c>
      <c r="N135" s="1894">
        <f t="shared" si="25"/>
        <v>0</v>
      </c>
      <c r="O135" s="1894">
        <f t="shared" si="25"/>
        <v>0</v>
      </c>
      <c r="P135" s="2203" t="s">
        <v>1290</v>
      </c>
      <c r="Q135" s="2203" t="s">
        <v>1240</v>
      </c>
      <c r="R135" s="1600">
        <f t="shared" si="48"/>
        <v>0</v>
      </c>
      <c r="S135" s="1614">
        <v>0</v>
      </c>
      <c r="T135" s="1614">
        <v>0</v>
      </c>
      <c r="U135" s="1600">
        <f t="shared" si="49"/>
        <v>0</v>
      </c>
      <c r="V135" s="1614">
        <v>0</v>
      </c>
      <c r="W135" s="1614">
        <v>0</v>
      </c>
      <c r="X135" s="1423">
        <f t="shared" si="61"/>
        <v>0</v>
      </c>
      <c r="Y135" s="1600">
        <f t="shared" si="60"/>
        <v>0</v>
      </c>
      <c r="Z135" s="1608"/>
      <c r="AA135" s="1608">
        <v>0</v>
      </c>
      <c r="AB135" s="1423"/>
      <c r="AC135" s="1423"/>
      <c r="AD135" s="1423"/>
    </row>
    <row r="136" spans="1:30" ht="41.25" hidden="1" customHeight="1">
      <c r="A136" s="1866">
        <f>A135+1</f>
        <v>30</v>
      </c>
      <c r="B136" s="1916" t="s">
        <v>1447</v>
      </c>
      <c r="C136" s="1913">
        <v>14077</v>
      </c>
      <c r="D136" s="1600">
        <f t="shared" si="33"/>
        <v>0</v>
      </c>
      <c r="E136" s="1608"/>
      <c r="F136" s="1608">
        <v>0</v>
      </c>
      <c r="G136" s="1600">
        <f t="shared" si="54"/>
        <v>0</v>
      </c>
      <c r="H136" s="1616">
        <f t="shared" si="29"/>
        <v>0</v>
      </c>
      <c r="I136" s="1616">
        <v>0</v>
      </c>
      <c r="J136" s="1600">
        <f t="shared" si="59"/>
        <v>0</v>
      </c>
      <c r="K136" s="1608"/>
      <c r="L136" s="1608"/>
      <c r="M136" s="1893">
        <f t="shared" si="25"/>
        <v>0</v>
      </c>
      <c r="N136" s="1894">
        <f t="shared" si="25"/>
        <v>0</v>
      </c>
      <c r="O136" s="1894">
        <f t="shared" si="25"/>
        <v>0</v>
      </c>
      <c r="P136" s="2203" t="s">
        <v>1290</v>
      </c>
      <c r="Q136" s="2203" t="s">
        <v>1240</v>
      </c>
      <c r="R136" s="1600">
        <f t="shared" si="48"/>
        <v>0</v>
      </c>
      <c r="S136" s="1614">
        <v>0</v>
      </c>
      <c r="T136" s="1614">
        <v>0</v>
      </c>
      <c r="U136" s="1600">
        <f t="shared" si="49"/>
        <v>0</v>
      </c>
      <c r="V136" s="1614">
        <v>0</v>
      </c>
      <c r="W136" s="1614">
        <v>0</v>
      </c>
      <c r="X136" s="1423">
        <f t="shared" si="61"/>
        <v>0</v>
      </c>
      <c r="Y136" s="1600">
        <f t="shared" si="60"/>
        <v>0</v>
      </c>
      <c r="Z136" s="1608"/>
      <c r="AA136" s="1608">
        <v>0</v>
      </c>
      <c r="AB136" s="1423"/>
      <c r="AC136" s="1423"/>
      <c r="AD136" s="1423"/>
    </row>
    <row r="137" spans="1:30" ht="38.25" hidden="1" customHeight="1">
      <c r="A137" s="1866">
        <f>A136+1</f>
        <v>31</v>
      </c>
      <c r="B137" s="1916" t="s">
        <v>1448</v>
      </c>
      <c r="C137" s="1880">
        <v>14079</v>
      </c>
      <c r="D137" s="1600">
        <f t="shared" si="33"/>
        <v>0</v>
      </c>
      <c r="E137" s="1608"/>
      <c r="F137" s="1608">
        <v>0</v>
      </c>
      <c r="G137" s="1600">
        <f t="shared" si="54"/>
        <v>0</v>
      </c>
      <c r="H137" s="1616">
        <f t="shared" si="29"/>
        <v>0</v>
      </c>
      <c r="I137" s="1616">
        <v>0</v>
      </c>
      <c r="J137" s="1600">
        <f t="shared" si="59"/>
        <v>0</v>
      </c>
      <c r="K137" s="1608"/>
      <c r="L137" s="1608"/>
      <c r="M137" s="1893">
        <f t="shared" si="25"/>
        <v>0</v>
      </c>
      <c r="N137" s="1894">
        <f t="shared" si="25"/>
        <v>0</v>
      </c>
      <c r="O137" s="1894">
        <f t="shared" si="25"/>
        <v>0</v>
      </c>
      <c r="P137" s="2203" t="s">
        <v>1290</v>
      </c>
      <c r="Q137" s="2203" t="s">
        <v>1240</v>
      </c>
      <c r="R137" s="1600">
        <f t="shared" si="48"/>
        <v>0</v>
      </c>
      <c r="S137" s="1614">
        <v>0</v>
      </c>
      <c r="T137" s="1614">
        <v>0</v>
      </c>
      <c r="U137" s="1600">
        <f t="shared" si="49"/>
        <v>0</v>
      </c>
      <c r="V137" s="1614">
        <v>0</v>
      </c>
      <c r="W137" s="1614">
        <v>0</v>
      </c>
      <c r="X137" s="1423">
        <f t="shared" si="61"/>
        <v>0</v>
      </c>
      <c r="Y137" s="1600">
        <f t="shared" si="60"/>
        <v>0</v>
      </c>
      <c r="Z137" s="1608"/>
      <c r="AA137" s="1608">
        <v>0</v>
      </c>
      <c r="AB137" s="1423"/>
      <c r="AC137" s="1423"/>
      <c r="AD137" s="1423"/>
    </row>
    <row r="138" spans="1:30" ht="37.5" hidden="1" customHeight="1">
      <c r="A138" s="1866">
        <f>A137+1</f>
        <v>32</v>
      </c>
      <c r="B138" s="1916" t="s">
        <v>1449</v>
      </c>
      <c r="C138" s="1913">
        <v>14080</v>
      </c>
      <c r="D138" s="1600">
        <f t="shared" si="33"/>
        <v>0</v>
      </c>
      <c r="E138" s="1608"/>
      <c r="F138" s="1608">
        <v>0</v>
      </c>
      <c r="G138" s="1600">
        <f t="shared" si="54"/>
        <v>0</v>
      </c>
      <c r="H138" s="1616">
        <f t="shared" si="29"/>
        <v>0</v>
      </c>
      <c r="I138" s="1616">
        <v>0</v>
      </c>
      <c r="J138" s="1600">
        <f t="shared" si="59"/>
        <v>0</v>
      </c>
      <c r="K138" s="1608"/>
      <c r="L138" s="1608"/>
      <c r="M138" s="1893">
        <f t="shared" si="25"/>
        <v>0</v>
      </c>
      <c r="N138" s="1894">
        <f t="shared" si="25"/>
        <v>0</v>
      </c>
      <c r="O138" s="1894">
        <f t="shared" si="25"/>
        <v>0</v>
      </c>
      <c r="P138" s="2203" t="s">
        <v>1290</v>
      </c>
      <c r="Q138" s="2203" t="s">
        <v>1240</v>
      </c>
      <c r="R138" s="1600">
        <f t="shared" si="48"/>
        <v>0</v>
      </c>
      <c r="S138" s="1614">
        <v>0</v>
      </c>
      <c r="T138" s="1614">
        <v>0</v>
      </c>
      <c r="U138" s="1600">
        <f t="shared" si="49"/>
        <v>0</v>
      </c>
      <c r="V138" s="1614">
        <v>0</v>
      </c>
      <c r="W138" s="1614">
        <v>0</v>
      </c>
      <c r="X138" s="1423">
        <f t="shared" si="61"/>
        <v>0</v>
      </c>
      <c r="Y138" s="1600">
        <f t="shared" si="60"/>
        <v>0</v>
      </c>
      <c r="Z138" s="1608"/>
      <c r="AA138" s="1608">
        <v>0</v>
      </c>
      <c r="AB138" s="1423"/>
      <c r="AC138" s="1423"/>
      <c r="AD138" s="1423"/>
    </row>
    <row r="139" spans="1:30" ht="22.5" hidden="1" customHeight="1">
      <c r="A139" s="1866"/>
      <c r="B139" s="1916" t="s">
        <v>1450</v>
      </c>
      <c r="C139" s="1913">
        <v>14081</v>
      </c>
      <c r="D139" s="1600">
        <f t="shared" si="33"/>
        <v>0</v>
      </c>
      <c r="E139" s="1608"/>
      <c r="F139" s="1608">
        <v>0</v>
      </c>
      <c r="G139" s="1600">
        <f t="shared" si="54"/>
        <v>0</v>
      </c>
      <c r="H139" s="1616">
        <f t="shared" si="29"/>
        <v>0</v>
      </c>
      <c r="I139" s="1616">
        <f t="shared" si="29"/>
        <v>0</v>
      </c>
      <c r="J139" s="1600">
        <f t="shared" si="59"/>
        <v>0</v>
      </c>
      <c r="K139" s="1608"/>
      <c r="L139" s="1608"/>
      <c r="M139" s="1893">
        <f t="shared" si="25"/>
        <v>0</v>
      </c>
      <c r="N139" s="1894">
        <f t="shared" si="25"/>
        <v>0</v>
      </c>
      <c r="O139" s="1894">
        <f t="shared" si="25"/>
        <v>0</v>
      </c>
      <c r="P139" s="2203" t="s">
        <v>1290</v>
      </c>
      <c r="Q139" s="2203" t="s">
        <v>1240</v>
      </c>
      <c r="R139" s="1600">
        <f t="shared" si="48"/>
        <v>0</v>
      </c>
      <c r="S139" s="1614">
        <v>0</v>
      </c>
      <c r="T139" s="1614">
        <v>0</v>
      </c>
      <c r="U139" s="1600">
        <f t="shared" si="49"/>
        <v>0</v>
      </c>
      <c r="V139" s="1614">
        <v>0</v>
      </c>
      <c r="W139" s="1614">
        <v>0</v>
      </c>
      <c r="X139" s="1423">
        <f t="shared" si="61"/>
        <v>0</v>
      </c>
      <c r="Y139" s="1600">
        <f t="shared" si="60"/>
        <v>0</v>
      </c>
      <c r="Z139" s="1608"/>
      <c r="AA139" s="1608">
        <v>0</v>
      </c>
      <c r="AB139" s="1423"/>
      <c r="AC139" s="1423"/>
      <c r="AD139" s="1423"/>
    </row>
    <row r="140" spans="1:30" ht="36" hidden="1" customHeight="1">
      <c r="A140" s="1866"/>
      <c r="B140" s="1916" t="s">
        <v>1451</v>
      </c>
      <c r="C140" s="1913">
        <v>14082</v>
      </c>
      <c r="D140" s="1600">
        <f t="shared" si="33"/>
        <v>0</v>
      </c>
      <c r="E140" s="1608"/>
      <c r="F140" s="1608">
        <v>0</v>
      </c>
      <c r="G140" s="1600">
        <f t="shared" si="54"/>
        <v>0</v>
      </c>
      <c r="H140" s="1608">
        <f t="shared" si="29"/>
        <v>0</v>
      </c>
      <c r="I140" s="1608">
        <f t="shared" si="29"/>
        <v>0</v>
      </c>
      <c r="J140" s="1600">
        <f t="shared" si="59"/>
        <v>0</v>
      </c>
      <c r="K140" s="1608"/>
      <c r="L140" s="1608"/>
      <c r="M140" s="1893">
        <f t="shared" si="25"/>
        <v>0</v>
      </c>
      <c r="N140" s="1894">
        <f t="shared" si="25"/>
        <v>0</v>
      </c>
      <c r="O140" s="1894">
        <f t="shared" si="25"/>
        <v>0</v>
      </c>
      <c r="P140" s="2203" t="s">
        <v>1290</v>
      </c>
      <c r="Q140" s="2203" t="s">
        <v>1240</v>
      </c>
      <c r="R140" s="1600">
        <f t="shared" si="48"/>
        <v>0</v>
      </c>
      <c r="S140" s="1614">
        <v>0</v>
      </c>
      <c r="T140" s="1614">
        <v>0</v>
      </c>
      <c r="U140" s="1600">
        <f t="shared" si="49"/>
        <v>0</v>
      </c>
      <c r="V140" s="1614">
        <v>0</v>
      </c>
      <c r="W140" s="1614">
        <v>0</v>
      </c>
      <c r="Y140" s="1600">
        <f t="shared" si="60"/>
        <v>0</v>
      </c>
      <c r="Z140" s="1608"/>
      <c r="AA140" s="1608">
        <v>0</v>
      </c>
      <c r="AB140" s="1423"/>
      <c r="AC140" s="1423"/>
      <c r="AD140" s="1423"/>
    </row>
    <row r="141" spans="1:30" ht="37.5" hidden="1" customHeight="1">
      <c r="A141" s="1866">
        <v>53</v>
      </c>
      <c r="B141" s="1916" t="s">
        <v>1452</v>
      </c>
      <c r="C141" s="1913">
        <v>14083</v>
      </c>
      <c r="D141" s="1600">
        <f t="shared" si="33"/>
        <v>0</v>
      </c>
      <c r="E141" s="1608"/>
      <c r="F141" s="1608">
        <v>0</v>
      </c>
      <c r="G141" s="1600">
        <f t="shared" si="54"/>
        <v>0</v>
      </c>
      <c r="H141" s="1616">
        <f>E141</f>
        <v>0</v>
      </c>
      <c r="I141" s="1616">
        <v>0</v>
      </c>
      <c r="J141" s="1600">
        <f t="shared" si="59"/>
        <v>0</v>
      </c>
      <c r="K141" s="1608"/>
      <c r="L141" s="1608"/>
      <c r="M141" s="1893">
        <f t="shared" si="25"/>
        <v>0</v>
      </c>
      <c r="N141" s="1894">
        <f t="shared" si="25"/>
        <v>0</v>
      </c>
      <c r="O141" s="1894">
        <f t="shared" si="25"/>
        <v>0</v>
      </c>
      <c r="P141" s="2203" t="s">
        <v>1290</v>
      </c>
      <c r="Q141" s="2203" t="s">
        <v>1240</v>
      </c>
      <c r="R141" s="1600">
        <f t="shared" si="48"/>
        <v>0</v>
      </c>
      <c r="S141" s="1614">
        <v>0</v>
      </c>
      <c r="T141" s="1614">
        <v>0</v>
      </c>
      <c r="U141" s="1600">
        <f t="shared" si="49"/>
        <v>0</v>
      </c>
      <c r="V141" s="1614">
        <v>0</v>
      </c>
      <c r="W141" s="1614">
        <v>0</v>
      </c>
      <c r="X141" s="1423">
        <f>D141-G141</f>
        <v>0</v>
      </c>
      <c r="Y141" s="1600">
        <f t="shared" si="60"/>
        <v>0</v>
      </c>
      <c r="Z141" s="1608"/>
      <c r="AA141" s="1608">
        <v>0</v>
      </c>
      <c r="AB141" s="1423"/>
      <c r="AC141" s="1423"/>
      <c r="AD141" s="1423"/>
    </row>
    <row r="142" spans="1:30" ht="40.5" hidden="1" customHeight="1">
      <c r="A142" s="1866"/>
      <c r="B142" s="1916" t="s">
        <v>1453</v>
      </c>
      <c r="C142" s="1913">
        <v>14084</v>
      </c>
      <c r="D142" s="1600">
        <f t="shared" si="33"/>
        <v>0</v>
      </c>
      <c r="E142" s="1608"/>
      <c r="F142" s="1608">
        <v>0</v>
      </c>
      <c r="G142" s="1600">
        <f t="shared" si="54"/>
        <v>0</v>
      </c>
      <c r="H142" s="1608">
        <f t="shared" si="29"/>
        <v>0</v>
      </c>
      <c r="I142" s="1608">
        <f t="shared" si="29"/>
        <v>0</v>
      </c>
      <c r="J142" s="1600">
        <f t="shared" si="59"/>
        <v>0</v>
      </c>
      <c r="K142" s="1608"/>
      <c r="L142" s="1608"/>
      <c r="M142" s="1893">
        <f t="shared" si="25"/>
        <v>0</v>
      </c>
      <c r="N142" s="1894">
        <f t="shared" si="25"/>
        <v>0</v>
      </c>
      <c r="O142" s="1894">
        <f t="shared" si="25"/>
        <v>0</v>
      </c>
      <c r="P142" s="2203" t="s">
        <v>1290</v>
      </c>
      <c r="Q142" s="2203" t="s">
        <v>1240</v>
      </c>
      <c r="R142" s="1600">
        <f t="shared" si="48"/>
        <v>0</v>
      </c>
      <c r="S142" s="1614">
        <v>0</v>
      </c>
      <c r="T142" s="1614">
        <v>0</v>
      </c>
      <c r="U142" s="1600">
        <f t="shared" si="49"/>
        <v>0</v>
      </c>
      <c r="V142" s="1614">
        <v>0</v>
      </c>
      <c r="W142" s="1614">
        <v>0</v>
      </c>
      <c r="Y142" s="1600">
        <f t="shared" si="60"/>
        <v>0</v>
      </c>
      <c r="Z142" s="1608"/>
      <c r="AA142" s="1608">
        <v>0</v>
      </c>
      <c r="AB142" s="1423"/>
      <c r="AC142" s="1423"/>
      <c r="AD142" s="1423"/>
    </row>
    <row r="143" spans="1:30" ht="38.25" hidden="1" customHeight="1">
      <c r="A143" s="1866"/>
      <c r="B143" s="1916" t="s">
        <v>1454</v>
      </c>
      <c r="C143" s="1913">
        <v>14088</v>
      </c>
      <c r="D143" s="1600">
        <f t="shared" si="33"/>
        <v>0</v>
      </c>
      <c r="E143" s="1608"/>
      <c r="F143" s="1608">
        <v>0</v>
      </c>
      <c r="G143" s="1600">
        <f t="shared" si="54"/>
        <v>0</v>
      </c>
      <c r="H143" s="1608">
        <f t="shared" si="29"/>
        <v>0</v>
      </c>
      <c r="I143" s="1608">
        <f t="shared" si="29"/>
        <v>0</v>
      </c>
      <c r="J143" s="1600">
        <f t="shared" si="59"/>
        <v>0</v>
      </c>
      <c r="K143" s="1608"/>
      <c r="L143" s="1608"/>
      <c r="M143" s="1893">
        <f t="shared" si="25"/>
        <v>0</v>
      </c>
      <c r="N143" s="1894">
        <f t="shared" si="25"/>
        <v>0</v>
      </c>
      <c r="O143" s="1894">
        <f t="shared" si="25"/>
        <v>0</v>
      </c>
      <c r="P143" s="2203" t="s">
        <v>1290</v>
      </c>
      <c r="Q143" s="2203" t="s">
        <v>1240</v>
      </c>
      <c r="R143" s="1600">
        <f t="shared" si="48"/>
        <v>0</v>
      </c>
      <c r="S143" s="1614">
        <v>0</v>
      </c>
      <c r="T143" s="1614">
        <v>0</v>
      </c>
      <c r="U143" s="1600">
        <f t="shared" si="49"/>
        <v>0</v>
      </c>
      <c r="V143" s="1614">
        <v>0</v>
      </c>
      <c r="W143" s="1614">
        <v>0</v>
      </c>
      <c r="Y143" s="1600">
        <f t="shared" si="60"/>
        <v>0</v>
      </c>
      <c r="Z143" s="1608"/>
      <c r="AA143" s="1608">
        <v>0</v>
      </c>
      <c r="AB143" s="1423"/>
      <c r="AC143" s="1423"/>
      <c r="AD143" s="1423"/>
    </row>
    <row r="144" spans="1:30" ht="61.5" hidden="1" customHeight="1">
      <c r="A144" s="1866"/>
      <c r="B144" s="2071" t="s">
        <v>1593</v>
      </c>
      <c r="C144" s="1913"/>
      <c r="D144" s="1600">
        <f t="shared" si="33"/>
        <v>0</v>
      </c>
      <c r="E144" s="1608"/>
      <c r="F144" s="1608">
        <v>0</v>
      </c>
      <c r="G144" s="1600">
        <f t="shared" si="54"/>
        <v>0</v>
      </c>
      <c r="H144" s="1616">
        <f>E144</f>
        <v>0</v>
      </c>
      <c r="I144" s="1616">
        <f>F144</f>
        <v>0</v>
      </c>
      <c r="J144" s="1600">
        <f t="shared" si="59"/>
        <v>0</v>
      </c>
      <c r="K144" s="1608"/>
      <c r="L144" s="1608"/>
      <c r="M144" s="1893">
        <f t="shared" si="25"/>
        <v>0</v>
      </c>
      <c r="N144" s="1894">
        <f t="shared" si="25"/>
        <v>0</v>
      </c>
      <c r="O144" s="1894">
        <f t="shared" si="25"/>
        <v>0</v>
      </c>
      <c r="P144" s="2203"/>
      <c r="Q144" s="2203"/>
      <c r="R144" s="1600">
        <f t="shared" si="48"/>
        <v>0</v>
      </c>
      <c r="S144" s="1614">
        <v>0</v>
      </c>
      <c r="T144" s="1614">
        <v>0</v>
      </c>
      <c r="U144" s="1600">
        <f t="shared" si="49"/>
        <v>0</v>
      </c>
      <c r="V144" s="1614">
        <v>0</v>
      </c>
      <c r="W144" s="1614">
        <v>0</v>
      </c>
      <c r="X144" s="1423">
        <f>D144-G144</f>
        <v>0</v>
      </c>
      <c r="Y144" s="1600">
        <f t="shared" si="60"/>
        <v>0</v>
      </c>
      <c r="Z144" s="1608"/>
      <c r="AA144" s="1608">
        <v>0</v>
      </c>
      <c r="AB144" s="1423"/>
      <c r="AC144" s="1423"/>
      <c r="AD144" s="1423"/>
    </row>
    <row r="145" spans="1:30" ht="58.5" hidden="1" customHeight="1">
      <c r="A145" s="2204"/>
      <c r="B145" s="1912" t="s">
        <v>1608</v>
      </c>
      <c r="C145" s="1913"/>
      <c r="D145" s="1600">
        <f t="shared" si="33"/>
        <v>0</v>
      </c>
      <c r="E145" s="1608"/>
      <c r="F145" s="1616">
        <v>0</v>
      </c>
      <c r="G145" s="1600">
        <f t="shared" si="54"/>
        <v>0</v>
      </c>
      <c r="H145" s="1608">
        <f t="shared" si="29"/>
        <v>0</v>
      </c>
      <c r="I145" s="1608">
        <f t="shared" si="29"/>
        <v>0</v>
      </c>
      <c r="J145" s="1600">
        <f t="shared" si="59"/>
        <v>0</v>
      </c>
      <c r="K145" s="1608"/>
      <c r="L145" s="1608"/>
      <c r="M145" s="1893">
        <f t="shared" si="25"/>
        <v>0</v>
      </c>
      <c r="N145" s="1894">
        <f t="shared" si="25"/>
        <v>0</v>
      </c>
      <c r="O145" s="1894">
        <f t="shared" si="25"/>
        <v>0</v>
      </c>
      <c r="P145" s="2203"/>
      <c r="Q145" s="2203"/>
      <c r="R145" s="1600">
        <f t="shared" si="48"/>
        <v>0</v>
      </c>
      <c r="S145" s="1614">
        <v>0</v>
      </c>
      <c r="T145" s="1614">
        <v>0</v>
      </c>
      <c r="U145" s="1600">
        <f t="shared" si="49"/>
        <v>0</v>
      </c>
      <c r="V145" s="1614">
        <v>0</v>
      </c>
      <c r="W145" s="1614">
        <v>0</v>
      </c>
      <c r="Y145" s="1600">
        <f t="shared" si="60"/>
        <v>0</v>
      </c>
      <c r="Z145" s="1608"/>
      <c r="AA145" s="1616">
        <v>0</v>
      </c>
      <c r="AB145" s="1423"/>
      <c r="AC145" s="1423"/>
      <c r="AD145" s="1423"/>
    </row>
    <row r="146" spans="1:30" ht="59.25" hidden="1" customHeight="1">
      <c r="A146" s="2204"/>
      <c r="B146" s="1912" t="s">
        <v>1594</v>
      </c>
      <c r="C146" s="1913"/>
      <c r="D146" s="1600">
        <f t="shared" si="33"/>
        <v>0</v>
      </c>
      <c r="E146" s="1608"/>
      <c r="F146" s="1616">
        <v>0</v>
      </c>
      <c r="G146" s="1600">
        <f t="shared" si="54"/>
        <v>0</v>
      </c>
      <c r="H146" s="1608">
        <f t="shared" si="29"/>
        <v>0</v>
      </c>
      <c r="I146" s="1608">
        <f t="shared" si="29"/>
        <v>0</v>
      </c>
      <c r="J146" s="1600">
        <f t="shared" si="59"/>
        <v>0</v>
      </c>
      <c r="K146" s="1608"/>
      <c r="L146" s="1608"/>
      <c r="M146" s="1893">
        <f t="shared" si="25"/>
        <v>0</v>
      </c>
      <c r="N146" s="1894">
        <f t="shared" si="25"/>
        <v>0</v>
      </c>
      <c r="O146" s="1894">
        <f t="shared" si="25"/>
        <v>0</v>
      </c>
      <c r="P146" s="2203"/>
      <c r="Q146" s="2203"/>
      <c r="R146" s="1600">
        <f t="shared" si="48"/>
        <v>0</v>
      </c>
      <c r="S146" s="1614">
        <v>0</v>
      </c>
      <c r="T146" s="1614">
        <v>0</v>
      </c>
      <c r="U146" s="1600">
        <f t="shared" si="49"/>
        <v>0</v>
      </c>
      <c r="V146" s="1614">
        <v>0</v>
      </c>
      <c r="W146" s="1614">
        <v>0</v>
      </c>
      <c r="Y146" s="1600">
        <f t="shared" si="60"/>
        <v>0</v>
      </c>
      <c r="Z146" s="1608"/>
      <c r="AA146" s="1616">
        <v>0</v>
      </c>
      <c r="AB146" s="1423"/>
      <c r="AC146" s="1423"/>
      <c r="AD146" s="1423"/>
    </row>
    <row r="147" spans="1:30" s="1607" customFormat="1" ht="154.5" customHeight="1">
      <c r="A147" s="2204" t="s">
        <v>50</v>
      </c>
      <c r="B147" s="1914" t="s">
        <v>1601</v>
      </c>
      <c r="C147" s="2204" t="s">
        <v>332</v>
      </c>
      <c r="D147" s="1600">
        <f t="shared" si="33"/>
        <v>8850</v>
      </c>
      <c r="E147" s="1608"/>
      <c r="F147" s="1616">
        <v>8850</v>
      </c>
      <c r="G147" s="1600">
        <f t="shared" si="54"/>
        <v>8850</v>
      </c>
      <c r="H147" s="1616">
        <f t="shared" si="29"/>
        <v>0</v>
      </c>
      <c r="I147" s="1616">
        <f t="shared" si="29"/>
        <v>8850</v>
      </c>
      <c r="J147" s="1600">
        <f t="shared" si="59"/>
        <v>8850</v>
      </c>
      <c r="K147" s="1608"/>
      <c r="L147" s="1608">
        <v>8850</v>
      </c>
      <c r="M147" s="1604">
        <f t="shared" si="25"/>
        <v>100</v>
      </c>
      <c r="N147" s="1881">
        <f t="shared" si="25"/>
        <v>0</v>
      </c>
      <c r="O147" s="1881">
        <f t="shared" si="25"/>
        <v>100</v>
      </c>
      <c r="P147" s="2203"/>
      <c r="Q147" s="2203"/>
      <c r="R147" s="1600">
        <f t="shared" si="48"/>
        <v>0</v>
      </c>
      <c r="S147" s="1614">
        <v>0</v>
      </c>
      <c r="T147" s="1614">
        <v>0</v>
      </c>
      <c r="U147" s="1600">
        <f t="shared" si="49"/>
        <v>0</v>
      </c>
      <c r="V147" s="1614">
        <v>0</v>
      </c>
      <c r="W147" s="1614">
        <v>0</v>
      </c>
      <c r="X147" s="1423">
        <f t="shared" ref="X147:X152" si="62">D147-G147</f>
        <v>0</v>
      </c>
      <c r="Y147" s="1600">
        <f t="shared" si="60"/>
        <v>0</v>
      </c>
      <c r="Z147" s="1608"/>
      <c r="AA147" s="1616"/>
      <c r="AB147" s="1423"/>
      <c r="AC147" s="1423"/>
      <c r="AD147" s="1423"/>
    </row>
    <row r="148" spans="1:30" s="1607" customFormat="1" ht="76.5" hidden="1" customHeight="1">
      <c r="A148" s="2204"/>
      <c r="B148" s="1914" t="s">
        <v>1523</v>
      </c>
      <c r="C148" s="2204" t="s">
        <v>1536</v>
      </c>
      <c r="D148" s="1600">
        <f t="shared" si="33"/>
        <v>0</v>
      </c>
      <c r="E148" s="1608"/>
      <c r="F148" s="1616">
        <v>0</v>
      </c>
      <c r="G148" s="1600">
        <f t="shared" si="54"/>
        <v>0</v>
      </c>
      <c r="H148" s="1616">
        <f t="shared" si="29"/>
        <v>0</v>
      </c>
      <c r="I148" s="1616">
        <f t="shared" si="29"/>
        <v>0</v>
      </c>
      <c r="J148" s="1600">
        <f t="shared" si="59"/>
        <v>0</v>
      </c>
      <c r="K148" s="1608"/>
      <c r="L148" s="1608"/>
      <c r="M148" s="1604">
        <f t="shared" si="25"/>
        <v>0</v>
      </c>
      <c r="N148" s="1881">
        <f t="shared" si="25"/>
        <v>0</v>
      </c>
      <c r="O148" s="1881">
        <f t="shared" si="25"/>
        <v>0</v>
      </c>
      <c r="P148" s="2203" t="s">
        <v>1192</v>
      </c>
      <c r="Q148" s="2203" t="s">
        <v>1203</v>
      </c>
      <c r="R148" s="1600">
        <f t="shared" si="48"/>
        <v>0</v>
      </c>
      <c r="S148" s="1614">
        <v>0</v>
      </c>
      <c r="T148" s="1614">
        <v>0</v>
      </c>
      <c r="U148" s="1600">
        <f t="shared" si="49"/>
        <v>0</v>
      </c>
      <c r="V148" s="1614">
        <v>0</v>
      </c>
      <c r="W148" s="1614">
        <v>0</v>
      </c>
      <c r="X148" s="1423">
        <f t="shared" si="62"/>
        <v>0</v>
      </c>
      <c r="Y148" s="1600">
        <f t="shared" si="60"/>
        <v>0</v>
      </c>
      <c r="Z148" s="1608"/>
      <c r="AA148" s="1616">
        <v>0</v>
      </c>
      <c r="AB148" s="1423"/>
      <c r="AC148" s="1423"/>
      <c r="AD148" s="1423"/>
    </row>
    <row r="149" spans="1:30" s="1607" customFormat="1" ht="48" hidden="1" customHeight="1">
      <c r="A149" s="2204" t="e">
        <f>A147+1</f>
        <v>#VALUE!</v>
      </c>
      <c r="B149" s="1914" t="s">
        <v>1602</v>
      </c>
      <c r="C149" s="2204"/>
      <c r="D149" s="1600">
        <f t="shared" si="33"/>
        <v>17550</v>
      </c>
      <c r="E149" s="1608"/>
      <c r="F149" s="1616">
        <v>17550</v>
      </c>
      <c r="G149" s="1600">
        <f t="shared" si="54"/>
        <v>17550</v>
      </c>
      <c r="H149" s="1616">
        <f t="shared" si="29"/>
        <v>0</v>
      </c>
      <c r="I149" s="1616">
        <f t="shared" si="29"/>
        <v>17550</v>
      </c>
      <c r="J149" s="1600">
        <f t="shared" si="59"/>
        <v>17550</v>
      </c>
      <c r="K149" s="1608"/>
      <c r="L149" s="1608">
        <v>17550</v>
      </c>
      <c r="M149" s="1604">
        <f t="shared" si="25"/>
        <v>100</v>
      </c>
      <c r="N149" s="1881">
        <f t="shared" si="25"/>
        <v>0</v>
      </c>
      <c r="O149" s="1881">
        <f t="shared" si="25"/>
        <v>100</v>
      </c>
      <c r="P149" s="2203"/>
      <c r="Q149" s="2203"/>
      <c r="R149" s="1600">
        <f t="shared" si="48"/>
        <v>0</v>
      </c>
      <c r="S149" s="1614">
        <v>0</v>
      </c>
      <c r="T149" s="1614">
        <v>0</v>
      </c>
      <c r="U149" s="1600">
        <f t="shared" si="49"/>
        <v>0</v>
      </c>
      <c r="V149" s="1614">
        <v>0</v>
      </c>
      <c r="W149" s="1614">
        <v>0</v>
      </c>
      <c r="X149" s="1423">
        <f t="shared" si="62"/>
        <v>0</v>
      </c>
      <c r="Y149" s="1600">
        <f t="shared" si="60"/>
        <v>17550</v>
      </c>
      <c r="Z149" s="1608"/>
      <c r="AA149" s="1616">
        <v>17550</v>
      </c>
      <c r="AB149" s="1423"/>
      <c r="AC149" s="1423"/>
      <c r="AD149" s="1423"/>
    </row>
    <row r="150" spans="1:30" s="1607" customFormat="1" ht="60" hidden="1" customHeight="1">
      <c r="A150" s="2204"/>
      <c r="B150" s="1914" t="s">
        <v>1485</v>
      </c>
      <c r="C150" s="2204" t="s">
        <v>1537</v>
      </c>
      <c r="D150" s="1600">
        <f t="shared" si="33"/>
        <v>0</v>
      </c>
      <c r="E150" s="1608"/>
      <c r="F150" s="1616">
        <v>0</v>
      </c>
      <c r="G150" s="1600">
        <f t="shared" si="54"/>
        <v>0</v>
      </c>
      <c r="H150" s="1616">
        <f t="shared" si="29"/>
        <v>0</v>
      </c>
      <c r="I150" s="1616">
        <f t="shared" si="29"/>
        <v>0</v>
      </c>
      <c r="J150" s="1600">
        <f t="shared" si="59"/>
        <v>0</v>
      </c>
      <c r="K150" s="1608"/>
      <c r="L150" s="1608"/>
      <c r="M150" s="1604">
        <f t="shared" si="25"/>
        <v>0</v>
      </c>
      <c r="N150" s="1881">
        <f t="shared" si="25"/>
        <v>0</v>
      </c>
      <c r="O150" s="1881">
        <f t="shared" si="25"/>
        <v>0</v>
      </c>
      <c r="P150" s="2203" t="s">
        <v>1192</v>
      </c>
      <c r="Q150" s="2203" t="s">
        <v>1203</v>
      </c>
      <c r="R150" s="1600">
        <f t="shared" si="48"/>
        <v>0</v>
      </c>
      <c r="S150" s="1614">
        <v>0</v>
      </c>
      <c r="T150" s="1614">
        <v>0</v>
      </c>
      <c r="U150" s="1600">
        <f t="shared" si="49"/>
        <v>0</v>
      </c>
      <c r="V150" s="1614">
        <v>0</v>
      </c>
      <c r="W150" s="1614">
        <v>0</v>
      </c>
      <c r="X150" s="1423">
        <f t="shared" si="62"/>
        <v>0</v>
      </c>
      <c r="Y150" s="1600">
        <f t="shared" si="60"/>
        <v>0</v>
      </c>
      <c r="Z150" s="1608"/>
      <c r="AA150" s="1616">
        <v>0</v>
      </c>
      <c r="AB150" s="1423"/>
      <c r="AC150" s="1423"/>
      <c r="AD150" s="1423"/>
    </row>
    <row r="151" spans="1:30" s="1607" customFormat="1" ht="156.75" customHeight="1">
      <c r="A151" s="2204" t="s">
        <v>4</v>
      </c>
      <c r="B151" s="1915" t="s">
        <v>1486</v>
      </c>
      <c r="C151" s="2204">
        <v>14059</v>
      </c>
      <c r="D151" s="1600">
        <f t="shared" si="33"/>
        <v>16320</v>
      </c>
      <c r="E151" s="1608"/>
      <c r="F151" s="1616">
        <v>16320</v>
      </c>
      <c r="G151" s="1600">
        <f t="shared" si="54"/>
        <v>16320</v>
      </c>
      <c r="H151" s="1616">
        <f t="shared" si="29"/>
        <v>0</v>
      </c>
      <c r="I151" s="1616">
        <f t="shared" si="29"/>
        <v>16320</v>
      </c>
      <c r="J151" s="1600">
        <f t="shared" si="59"/>
        <v>15900</v>
      </c>
      <c r="K151" s="1608"/>
      <c r="L151" s="1608">
        <v>15900</v>
      </c>
      <c r="M151" s="1604">
        <f t="shared" ref="M151:O225" si="63">IF(J151=0,0,J151/G151*100)</f>
        <v>97.4</v>
      </c>
      <c r="N151" s="1881">
        <f t="shared" si="63"/>
        <v>0</v>
      </c>
      <c r="O151" s="1881">
        <f t="shared" si="63"/>
        <v>97.4</v>
      </c>
      <c r="P151" s="2203" t="s">
        <v>1192</v>
      </c>
      <c r="Q151" s="2203" t="s">
        <v>1204</v>
      </c>
      <c r="R151" s="1600">
        <f t="shared" si="48"/>
        <v>38080</v>
      </c>
      <c r="S151" s="1608">
        <v>0</v>
      </c>
      <c r="T151" s="1608">
        <v>38080</v>
      </c>
      <c r="U151" s="1600">
        <f t="shared" si="49"/>
        <v>0</v>
      </c>
      <c r="V151" s="1608">
        <v>0</v>
      </c>
      <c r="W151" s="1608">
        <v>0</v>
      </c>
      <c r="X151" s="1423">
        <f t="shared" si="62"/>
        <v>0</v>
      </c>
      <c r="Y151" s="1600">
        <f t="shared" si="60"/>
        <v>38080</v>
      </c>
      <c r="Z151" s="1608"/>
      <c r="AA151" s="1616">
        <v>38080</v>
      </c>
      <c r="AB151" s="1423"/>
      <c r="AC151" s="1423"/>
      <c r="AD151" s="1423"/>
    </row>
    <row r="152" spans="1:30" s="1607" customFormat="1" ht="39" hidden="1" customHeight="1">
      <c r="A152" s="2204"/>
      <c r="B152" s="1912" t="s">
        <v>1491</v>
      </c>
      <c r="C152" s="1880">
        <v>14089</v>
      </c>
      <c r="D152" s="1600">
        <f t="shared" si="33"/>
        <v>0</v>
      </c>
      <c r="E152" s="1614"/>
      <c r="F152" s="1615">
        <v>0</v>
      </c>
      <c r="G152" s="1600">
        <f t="shared" si="54"/>
        <v>0</v>
      </c>
      <c r="H152" s="1616">
        <f t="shared" si="29"/>
        <v>0</v>
      </c>
      <c r="I152" s="1616">
        <f t="shared" si="29"/>
        <v>0</v>
      </c>
      <c r="J152" s="1600">
        <f t="shared" si="59"/>
        <v>0</v>
      </c>
      <c r="K152" s="1614"/>
      <c r="L152" s="1614"/>
      <c r="M152" s="1604">
        <f t="shared" si="63"/>
        <v>0</v>
      </c>
      <c r="N152" s="1881">
        <f t="shared" si="63"/>
        <v>0</v>
      </c>
      <c r="O152" s="1881">
        <f t="shared" si="63"/>
        <v>0</v>
      </c>
      <c r="P152" s="2203" t="s">
        <v>1192</v>
      </c>
      <c r="Q152" s="2203" t="s">
        <v>1206</v>
      </c>
      <c r="R152" s="1600">
        <f t="shared" si="48"/>
        <v>0</v>
      </c>
      <c r="S152" s="1614">
        <v>0</v>
      </c>
      <c r="T152" s="1614">
        <v>0</v>
      </c>
      <c r="U152" s="1600">
        <f t="shared" si="49"/>
        <v>0</v>
      </c>
      <c r="V152" s="1608">
        <v>0</v>
      </c>
      <c r="W152" s="1608">
        <v>0</v>
      </c>
      <c r="X152" s="1423">
        <f t="shared" si="62"/>
        <v>0</v>
      </c>
      <c r="Y152" s="1423"/>
      <c r="Z152" s="1423"/>
      <c r="AA152" s="1423"/>
    </row>
    <row r="153" spans="1:30" s="1607" customFormat="1" ht="60" hidden="1" customHeight="1">
      <c r="A153" s="2204"/>
      <c r="B153" s="493" t="s">
        <v>1492</v>
      </c>
      <c r="C153" s="2204">
        <v>14091</v>
      </c>
      <c r="D153" s="1600">
        <f t="shared" si="33"/>
        <v>0</v>
      </c>
      <c r="E153" s="1614"/>
      <c r="F153" s="1615">
        <v>0</v>
      </c>
      <c r="G153" s="1600">
        <f t="shared" si="54"/>
        <v>0</v>
      </c>
      <c r="H153" s="1614">
        <f t="shared" si="29"/>
        <v>0</v>
      </c>
      <c r="I153" s="1614">
        <f t="shared" si="29"/>
        <v>0</v>
      </c>
      <c r="J153" s="1600">
        <f t="shared" si="59"/>
        <v>0</v>
      </c>
      <c r="K153" s="1614"/>
      <c r="L153" s="1614"/>
      <c r="M153" s="1604">
        <f t="shared" si="63"/>
        <v>0</v>
      </c>
      <c r="N153" s="1881">
        <f t="shared" si="63"/>
        <v>0</v>
      </c>
      <c r="O153" s="1881">
        <f t="shared" si="63"/>
        <v>0</v>
      </c>
      <c r="P153" s="2203" t="s">
        <v>1192</v>
      </c>
      <c r="Q153" s="2203" t="s">
        <v>1206</v>
      </c>
      <c r="R153" s="1600">
        <f t="shared" si="48"/>
        <v>0</v>
      </c>
      <c r="S153" s="1614">
        <v>0</v>
      </c>
      <c r="T153" s="1614">
        <v>0</v>
      </c>
      <c r="U153" s="1600">
        <f t="shared" si="49"/>
        <v>0</v>
      </c>
      <c r="V153" s="1608">
        <v>0</v>
      </c>
      <c r="W153" s="1608">
        <v>0</v>
      </c>
      <c r="Y153" s="1423"/>
      <c r="Z153" s="1423"/>
      <c r="AA153" s="1423"/>
    </row>
    <row r="154" spans="1:30" ht="40.5" hidden="1" customHeight="1">
      <c r="A154" s="2204" t="e">
        <f>A151+1</f>
        <v>#VALUE!</v>
      </c>
      <c r="B154" s="1888" t="s">
        <v>1473</v>
      </c>
      <c r="C154" s="2204">
        <v>14090</v>
      </c>
      <c r="D154" s="1600">
        <f t="shared" si="33"/>
        <v>5964.1</v>
      </c>
      <c r="E154" s="1614"/>
      <c r="F154" s="1615">
        <v>5964.1</v>
      </c>
      <c r="G154" s="1600">
        <f t="shared" si="54"/>
        <v>5964.1</v>
      </c>
      <c r="H154" s="1616">
        <f t="shared" si="29"/>
        <v>0</v>
      </c>
      <c r="I154" s="1616">
        <f t="shared" si="29"/>
        <v>5964.1</v>
      </c>
      <c r="J154" s="1600">
        <f t="shared" si="59"/>
        <v>0</v>
      </c>
      <c r="K154" s="1614"/>
      <c r="L154" s="1614"/>
      <c r="M154" s="1604">
        <f t="shared" si="63"/>
        <v>0</v>
      </c>
      <c r="N154" s="1881">
        <f t="shared" si="63"/>
        <v>0</v>
      </c>
      <c r="O154" s="1881">
        <f t="shared" si="63"/>
        <v>0</v>
      </c>
      <c r="P154" s="2203" t="s">
        <v>1192</v>
      </c>
      <c r="Q154" s="2203" t="s">
        <v>1160</v>
      </c>
      <c r="R154" s="1600">
        <f t="shared" si="48"/>
        <v>0</v>
      </c>
      <c r="S154" s="1614">
        <v>0</v>
      </c>
      <c r="T154" s="1614">
        <v>0</v>
      </c>
      <c r="U154" s="1600">
        <f t="shared" si="49"/>
        <v>0</v>
      </c>
      <c r="V154" s="1608">
        <v>0</v>
      </c>
      <c r="W154" s="1608">
        <v>0</v>
      </c>
      <c r="X154" s="1423">
        <f t="shared" ref="X154:X159" si="64">D154-G154</f>
        <v>0</v>
      </c>
      <c r="Y154" s="1423"/>
      <c r="Z154" s="1423"/>
      <c r="AA154" s="1423"/>
    </row>
    <row r="155" spans="1:30" s="1570" customFormat="1" ht="59.25" hidden="1" customHeight="1">
      <c r="A155" s="2204"/>
      <c r="B155" s="1885" t="s">
        <v>1618</v>
      </c>
      <c r="C155" s="1880">
        <v>24366</v>
      </c>
      <c r="D155" s="1600">
        <f t="shared" si="33"/>
        <v>0</v>
      </c>
      <c r="E155" s="1614"/>
      <c r="F155" s="1615">
        <v>0</v>
      </c>
      <c r="G155" s="1600">
        <f t="shared" si="54"/>
        <v>0</v>
      </c>
      <c r="H155" s="1616">
        <f t="shared" si="29"/>
        <v>0</v>
      </c>
      <c r="I155" s="1616">
        <f t="shared" si="29"/>
        <v>0</v>
      </c>
      <c r="J155" s="1600">
        <f t="shared" si="59"/>
        <v>0</v>
      </c>
      <c r="K155" s="1614"/>
      <c r="L155" s="1614"/>
      <c r="M155" s="1604">
        <f t="shared" si="63"/>
        <v>0</v>
      </c>
      <c r="N155" s="1881">
        <f t="shared" si="63"/>
        <v>0</v>
      </c>
      <c r="O155" s="1881">
        <f t="shared" si="63"/>
        <v>0</v>
      </c>
      <c r="P155" s="2203"/>
      <c r="Q155" s="1612"/>
      <c r="R155" s="1600">
        <f t="shared" si="48"/>
        <v>0</v>
      </c>
      <c r="S155" s="1614">
        <v>0</v>
      </c>
      <c r="T155" s="1614">
        <v>0</v>
      </c>
      <c r="U155" s="1600">
        <f t="shared" si="49"/>
        <v>0</v>
      </c>
      <c r="V155" s="1608">
        <v>0</v>
      </c>
      <c r="W155" s="1608">
        <v>0</v>
      </c>
      <c r="X155" s="1423">
        <f t="shared" si="64"/>
        <v>0</v>
      </c>
      <c r="Y155" s="1423"/>
      <c r="Z155" s="1423"/>
      <c r="AA155" s="1423"/>
    </row>
    <row r="156" spans="1:30" s="1570" customFormat="1" ht="63.75" hidden="1" customHeight="1">
      <c r="A156" s="2204" t="e">
        <f>A154+1</f>
        <v>#VALUE!</v>
      </c>
      <c r="B156" s="1885" t="s">
        <v>1634</v>
      </c>
      <c r="C156" s="1880"/>
      <c r="D156" s="1602">
        <f t="shared" si="33"/>
        <v>2714.8</v>
      </c>
      <c r="E156" s="1615"/>
      <c r="F156" s="1615">
        <v>2714.8</v>
      </c>
      <c r="G156" s="1602">
        <f t="shared" si="54"/>
        <v>2714.8</v>
      </c>
      <c r="H156" s="1616">
        <f t="shared" si="29"/>
        <v>0</v>
      </c>
      <c r="I156" s="1616">
        <f t="shared" si="29"/>
        <v>2714.8</v>
      </c>
      <c r="J156" s="1602">
        <f t="shared" si="59"/>
        <v>0</v>
      </c>
      <c r="K156" s="1615"/>
      <c r="L156" s="1615"/>
      <c r="M156" s="1604">
        <f t="shared" si="63"/>
        <v>0</v>
      </c>
      <c r="N156" s="1881">
        <f t="shared" si="63"/>
        <v>0</v>
      </c>
      <c r="O156" s="1881">
        <f t="shared" si="63"/>
        <v>0</v>
      </c>
      <c r="P156" s="2203"/>
      <c r="Q156" s="1612"/>
      <c r="R156" s="1600">
        <f t="shared" si="48"/>
        <v>0</v>
      </c>
      <c r="S156" s="1614">
        <v>0</v>
      </c>
      <c r="T156" s="1614">
        <v>0</v>
      </c>
      <c r="U156" s="1600">
        <f t="shared" si="49"/>
        <v>0</v>
      </c>
      <c r="V156" s="1608">
        <v>0</v>
      </c>
      <c r="W156" s="1608">
        <v>0</v>
      </c>
      <c r="X156" s="1423">
        <f t="shared" si="64"/>
        <v>0</v>
      </c>
      <c r="Y156" s="1423"/>
      <c r="Z156" s="1423"/>
      <c r="AA156" s="1423"/>
    </row>
    <row r="157" spans="1:30" ht="42.75" hidden="1" customHeight="1">
      <c r="A157" s="2204" t="e">
        <f>A156+1</f>
        <v>#VALUE!</v>
      </c>
      <c r="B157" s="1879" t="s">
        <v>1615</v>
      </c>
      <c r="C157" s="1880"/>
      <c r="D157" s="1600">
        <f t="shared" si="33"/>
        <v>1769.7</v>
      </c>
      <c r="E157" s="1608"/>
      <c r="F157" s="1616">
        <v>1769.7</v>
      </c>
      <c r="G157" s="1600">
        <f t="shared" si="54"/>
        <v>1769.7</v>
      </c>
      <c r="H157" s="1616">
        <f t="shared" ref="H157:I172" si="65">E157</f>
        <v>0</v>
      </c>
      <c r="I157" s="1616">
        <f t="shared" si="65"/>
        <v>1769.7</v>
      </c>
      <c r="J157" s="1600">
        <f t="shared" si="59"/>
        <v>0</v>
      </c>
      <c r="K157" s="1608"/>
      <c r="L157" s="1608"/>
      <c r="M157" s="1604">
        <f t="shared" si="63"/>
        <v>0</v>
      </c>
      <c r="N157" s="1881">
        <f t="shared" si="63"/>
        <v>0</v>
      </c>
      <c r="O157" s="1881">
        <f t="shared" si="63"/>
        <v>0</v>
      </c>
      <c r="P157" s="2203"/>
      <c r="Q157" s="2203"/>
      <c r="R157" s="1600">
        <f t="shared" si="48"/>
        <v>0</v>
      </c>
      <c r="S157" s="1614">
        <v>0</v>
      </c>
      <c r="T157" s="1614">
        <v>0</v>
      </c>
      <c r="U157" s="1600">
        <f t="shared" si="49"/>
        <v>0</v>
      </c>
      <c r="V157" s="1608">
        <v>0</v>
      </c>
      <c r="W157" s="1608">
        <v>0</v>
      </c>
      <c r="X157" s="1423">
        <f t="shared" si="64"/>
        <v>0</v>
      </c>
      <c r="Y157" s="1423"/>
      <c r="Z157" s="1423"/>
      <c r="AA157" s="1423"/>
    </row>
    <row r="158" spans="1:30" s="1607" customFormat="1" ht="41.25" hidden="1" customHeight="1">
      <c r="A158" s="2204" t="e">
        <f>A157+1</f>
        <v>#VALUE!</v>
      </c>
      <c r="B158" s="1890" t="s">
        <v>455</v>
      </c>
      <c r="C158" s="1880">
        <v>14057</v>
      </c>
      <c r="D158" s="1600">
        <f>SUM(E158:F158)</f>
        <v>9940</v>
      </c>
      <c r="E158" s="1614"/>
      <c r="F158" s="1615">
        <f>11287.5-1347.5</f>
        <v>9940</v>
      </c>
      <c r="G158" s="1600">
        <f t="shared" si="54"/>
        <v>9940</v>
      </c>
      <c r="H158" s="1616">
        <f t="shared" si="65"/>
        <v>0</v>
      </c>
      <c r="I158" s="1616">
        <f t="shared" si="65"/>
        <v>9940</v>
      </c>
      <c r="J158" s="1600">
        <f>SUM(K158:L158)</f>
        <v>9940</v>
      </c>
      <c r="K158" s="1614"/>
      <c r="L158" s="1614">
        <v>9940</v>
      </c>
      <c r="M158" s="1604">
        <f t="shared" si="63"/>
        <v>100</v>
      </c>
      <c r="N158" s="1881">
        <f t="shared" si="63"/>
        <v>0</v>
      </c>
      <c r="O158" s="1881">
        <f t="shared" si="63"/>
        <v>100</v>
      </c>
      <c r="P158" s="2203" t="s">
        <v>1192</v>
      </c>
      <c r="Q158" s="2203" t="s">
        <v>1206</v>
      </c>
      <c r="R158" s="1600">
        <f>SUM(S158:T158)</f>
        <v>0</v>
      </c>
      <c r="S158" s="1614">
        <v>0</v>
      </c>
      <c r="T158" s="1614">
        <v>0</v>
      </c>
      <c r="U158" s="1600">
        <f>SUM(V158:W158)</f>
        <v>0</v>
      </c>
      <c r="V158" s="1614">
        <v>0</v>
      </c>
      <c r="W158" s="1614">
        <v>0</v>
      </c>
      <c r="X158" s="1423">
        <f t="shared" si="64"/>
        <v>0</v>
      </c>
      <c r="Y158" s="1423"/>
      <c r="Z158" s="1423"/>
      <c r="AA158" s="1423"/>
    </row>
    <row r="159" spans="1:30" ht="23.25" hidden="1" customHeight="1">
      <c r="A159" s="2204" t="e">
        <f>A158+1</f>
        <v>#VALUE!</v>
      </c>
      <c r="B159" s="1883" t="s">
        <v>1467</v>
      </c>
      <c r="C159" s="1880">
        <v>14074</v>
      </c>
      <c r="D159" s="1600">
        <f t="shared" si="33"/>
        <v>3120</v>
      </c>
      <c r="E159" s="1608"/>
      <c r="F159" s="1616">
        <f>4400-1280</f>
        <v>3120</v>
      </c>
      <c r="G159" s="1600">
        <f t="shared" si="54"/>
        <v>3120</v>
      </c>
      <c r="H159" s="1616">
        <f t="shared" si="65"/>
        <v>0</v>
      </c>
      <c r="I159" s="1616">
        <f>4400-1280</f>
        <v>3120</v>
      </c>
      <c r="J159" s="1600">
        <f t="shared" si="59"/>
        <v>0</v>
      </c>
      <c r="K159" s="1608"/>
      <c r="L159" s="1608"/>
      <c r="M159" s="1604">
        <f t="shared" si="63"/>
        <v>0</v>
      </c>
      <c r="N159" s="1881">
        <f t="shared" si="63"/>
        <v>0</v>
      </c>
      <c r="O159" s="1881">
        <f t="shared" si="63"/>
        <v>0</v>
      </c>
      <c r="P159" s="2203" t="s">
        <v>1290</v>
      </c>
      <c r="Q159" s="2203" t="s">
        <v>1240</v>
      </c>
      <c r="R159" s="1600">
        <f t="shared" si="48"/>
        <v>100</v>
      </c>
      <c r="S159" s="1608">
        <v>0</v>
      </c>
      <c r="T159" s="1608">
        <v>100</v>
      </c>
      <c r="U159" s="1600">
        <f t="shared" si="49"/>
        <v>0</v>
      </c>
      <c r="V159" s="1608">
        <v>0</v>
      </c>
      <c r="W159" s="1608">
        <v>0</v>
      </c>
      <c r="X159" s="1423">
        <f t="shared" si="64"/>
        <v>0</v>
      </c>
      <c r="Y159" s="1423"/>
      <c r="Z159" s="1423"/>
      <c r="AA159" s="1423"/>
    </row>
    <row r="160" spans="1:30" ht="42.75" hidden="1" customHeight="1">
      <c r="A160" s="2204"/>
      <c r="B160" s="1883" t="s">
        <v>1704</v>
      </c>
      <c r="C160" s="1880"/>
      <c r="D160" s="1600">
        <f>SUM(E160:F160)</f>
        <v>0</v>
      </c>
      <c r="E160" s="1608"/>
      <c r="F160" s="1616">
        <v>0</v>
      </c>
      <c r="G160" s="1600">
        <f>SUM(H160:I160)</f>
        <v>0</v>
      </c>
      <c r="H160" s="1608">
        <f t="shared" si="65"/>
        <v>0</v>
      </c>
      <c r="I160" s="1608">
        <f t="shared" si="65"/>
        <v>0</v>
      </c>
      <c r="J160" s="1600">
        <f>SUM(K160:L160)</f>
        <v>0</v>
      </c>
      <c r="K160" s="1608"/>
      <c r="L160" s="1608"/>
      <c r="M160" s="1604">
        <f t="shared" si="63"/>
        <v>0</v>
      </c>
      <c r="N160" s="1881">
        <f t="shared" si="63"/>
        <v>0</v>
      </c>
      <c r="O160" s="1881">
        <f t="shared" si="63"/>
        <v>0</v>
      </c>
      <c r="P160" s="2203"/>
      <c r="Q160" s="2203"/>
      <c r="R160" s="1600"/>
      <c r="S160" s="1608"/>
      <c r="T160" s="1608"/>
      <c r="U160" s="1600"/>
      <c r="V160" s="1608"/>
      <c r="W160" s="1608"/>
      <c r="Y160" s="1423"/>
      <c r="Z160" s="1423"/>
      <c r="AA160" s="1423"/>
    </row>
    <row r="161" spans="1:27" ht="30" hidden="1" customHeight="1">
      <c r="A161" s="2204"/>
      <c r="B161" s="1883" t="s">
        <v>1705</v>
      </c>
      <c r="C161" s="1880"/>
      <c r="D161" s="1600">
        <f>SUM(E161:F161)</f>
        <v>0</v>
      </c>
      <c r="E161" s="1608"/>
      <c r="F161" s="1616">
        <v>0</v>
      </c>
      <c r="G161" s="1600">
        <f>SUM(H161:I161)</f>
        <v>0</v>
      </c>
      <c r="H161" s="1608">
        <f t="shared" si="65"/>
        <v>0</v>
      </c>
      <c r="I161" s="1608">
        <f t="shared" si="65"/>
        <v>0</v>
      </c>
      <c r="J161" s="1600">
        <f>SUM(K161:L161)</f>
        <v>0</v>
      </c>
      <c r="K161" s="1608"/>
      <c r="L161" s="1608"/>
      <c r="M161" s="1604">
        <f t="shared" si="63"/>
        <v>0</v>
      </c>
      <c r="N161" s="1881">
        <f t="shared" si="63"/>
        <v>0</v>
      </c>
      <c r="O161" s="1881">
        <f t="shared" si="63"/>
        <v>0</v>
      </c>
      <c r="P161" s="2203"/>
      <c r="Q161" s="2203"/>
      <c r="R161" s="1600"/>
      <c r="S161" s="1608"/>
      <c r="T161" s="1608"/>
      <c r="U161" s="1600"/>
      <c r="V161" s="1608"/>
      <c r="W161" s="1608"/>
      <c r="Y161" s="1423"/>
      <c r="Z161" s="1423"/>
      <c r="AA161" s="1423"/>
    </row>
    <row r="162" spans="1:27" ht="30" hidden="1" customHeight="1">
      <c r="A162" s="2204" t="e">
        <f>A159+1</f>
        <v>#VALUE!</v>
      </c>
      <c r="B162" s="1883" t="s">
        <v>1711</v>
      </c>
      <c r="C162" s="1880"/>
      <c r="D162" s="1600">
        <f>SUM(E162:F162)</f>
        <v>5635</v>
      </c>
      <c r="E162" s="1608"/>
      <c r="F162" s="1616">
        <v>5635</v>
      </c>
      <c r="G162" s="1600">
        <f>SUM(H162:I162)</f>
        <v>5635</v>
      </c>
      <c r="H162" s="1616">
        <f t="shared" si="65"/>
        <v>0</v>
      </c>
      <c r="I162" s="1616">
        <f t="shared" si="65"/>
        <v>5635</v>
      </c>
      <c r="J162" s="1600">
        <f>SUM(K162:L162)</f>
        <v>0</v>
      </c>
      <c r="K162" s="1608"/>
      <c r="L162" s="1608"/>
      <c r="M162" s="1604">
        <f t="shared" si="63"/>
        <v>0</v>
      </c>
      <c r="N162" s="1881">
        <f t="shared" si="63"/>
        <v>0</v>
      </c>
      <c r="O162" s="1881">
        <f t="shared" si="63"/>
        <v>0</v>
      </c>
      <c r="P162" s="2203"/>
      <c r="Q162" s="2203"/>
      <c r="R162" s="1600"/>
      <c r="S162" s="1608"/>
      <c r="T162" s="1608"/>
      <c r="U162" s="1600"/>
      <c r="V162" s="1608"/>
      <c r="W162" s="1608"/>
      <c r="X162" s="1423">
        <f>D162-G162</f>
        <v>0</v>
      </c>
      <c r="Y162" s="1423"/>
      <c r="Z162" s="1423"/>
      <c r="AA162" s="1423"/>
    </row>
    <row r="163" spans="1:27" ht="76.5" hidden="1" customHeight="1">
      <c r="A163" s="2204" t="e">
        <f>A162+1</f>
        <v>#VALUE!</v>
      </c>
      <c r="B163" s="1914" t="s">
        <v>434</v>
      </c>
      <c r="C163" s="2204"/>
      <c r="D163" s="1600">
        <f>SUM(E163:F163)</f>
        <v>40100</v>
      </c>
      <c r="E163" s="1608"/>
      <c r="F163" s="1616">
        <v>40100</v>
      </c>
      <c r="G163" s="1600">
        <f>SUM(H163:I163)</f>
        <v>40100</v>
      </c>
      <c r="H163" s="1616">
        <f>E163</f>
        <v>0</v>
      </c>
      <c r="I163" s="1616">
        <v>40100</v>
      </c>
      <c r="J163" s="1600">
        <f>SUM(K163:L163)</f>
        <v>40100</v>
      </c>
      <c r="K163" s="1608"/>
      <c r="L163" s="1608">
        <v>40100</v>
      </c>
      <c r="M163" s="1604">
        <f t="shared" si="63"/>
        <v>100</v>
      </c>
      <c r="N163" s="1881">
        <f t="shared" si="63"/>
        <v>0</v>
      </c>
      <c r="O163" s="1881">
        <f t="shared" si="63"/>
        <v>100</v>
      </c>
      <c r="P163" s="2203"/>
      <c r="Q163" s="2203"/>
      <c r="R163" s="1600"/>
      <c r="S163" s="1608"/>
      <c r="T163" s="1608"/>
      <c r="U163" s="1600"/>
      <c r="V163" s="1608"/>
      <c r="W163" s="1608"/>
      <c r="X163" s="1423"/>
      <c r="Y163" s="1423"/>
      <c r="Z163" s="1423"/>
      <c r="AA163" s="1423"/>
    </row>
    <row r="164" spans="1:27" ht="58.5" hidden="1" customHeight="1">
      <c r="A164" s="2204" t="e">
        <f>A163+1</f>
        <v>#VALUE!</v>
      </c>
      <c r="B164" s="1914" t="s">
        <v>1799</v>
      </c>
      <c r="C164" s="2204"/>
      <c r="D164" s="1600">
        <f>SUM(E164:F164)</f>
        <v>4187</v>
      </c>
      <c r="E164" s="1608"/>
      <c r="F164" s="1616">
        <v>4187</v>
      </c>
      <c r="G164" s="1600">
        <f>SUM(H164:I164)</f>
        <v>4187</v>
      </c>
      <c r="H164" s="1616">
        <f>E164</f>
        <v>0</v>
      </c>
      <c r="I164" s="1616">
        <v>4187</v>
      </c>
      <c r="J164" s="1600">
        <f>SUM(K164:L164)</f>
        <v>3763.3</v>
      </c>
      <c r="K164" s="1608"/>
      <c r="L164" s="1608">
        <v>3763.3</v>
      </c>
      <c r="M164" s="1604">
        <f t="shared" si="63"/>
        <v>89.9</v>
      </c>
      <c r="N164" s="1881">
        <f t="shared" si="63"/>
        <v>0</v>
      </c>
      <c r="O164" s="1881">
        <f t="shared" si="63"/>
        <v>89.9</v>
      </c>
      <c r="P164" s="2203"/>
      <c r="Q164" s="2203"/>
      <c r="R164" s="1600"/>
      <c r="S164" s="1608"/>
      <c r="T164" s="1608"/>
      <c r="U164" s="1600"/>
      <c r="V164" s="1608"/>
      <c r="W164" s="1608"/>
      <c r="X164" s="1423"/>
      <c r="Y164" s="1423"/>
      <c r="Z164" s="1423"/>
      <c r="AA164" s="1423"/>
    </row>
    <row r="165" spans="1:27" ht="97.5" hidden="1" customHeight="1">
      <c r="A165" s="2204" t="e">
        <f>A164+1</f>
        <v>#VALUE!</v>
      </c>
      <c r="B165" s="1883" t="s">
        <v>1684</v>
      </c>
      <c r="C165" s="1880"/>
      <c r="D165" s="1600">
        <f t="shared" si="33"/>
        <v>955</v>
      </c>
      <c r="E165" s="1608"/>
      <c r="F165" s="1616">
        <f>5506.4-4551.4</f>
        <v>955</v>
      </c>
      <c r="G165" s="1600">
        <f t="shared" si="54"/>
        <v>955</v>
      </c>
      <c r="H165" s="1616">
        <f t="shared" si="65"/>
        <v>0</v>
      </c>
      <c r="I165" s="1616">
        <f t="shared" si="65"/>
        <v>955</v>
      </c>
      <c r="J165" s="1600">
        <f t="shared" si="59"/>
        <v>955</v>
      </c>
      <c r="K165" s="1608"/>
      <c r="L165" s="1608">
        <v>955</v>
      </c>
      <c r="M165" s="1604">
        <f t="shared" si="63"/>
        <v>100</v>
      </c>
      <c r="N165" s="1881">
        <f t="shared" si="63"/>
        <v>0</v>
      </c>
      <c r="O165" s="1881">
        <f t="shared" si="63"/>
        <v>100</v>
      </c>
      <c r="P165" s="2203"/>
      <c r="Q165" s="2203"/>
      <c r="R165" s="1600"/>
      <c r="S165" s="1608"/>
      <c r="T165" s="1608"/>
      <c r="U165" s="1600"/>
      <c r="V165" s="1608"/>
      <c r="W165" s="1608"/>
      <c r="X165" s="1423">
        <f>D165-G165</f>
        <v>0</v>
      </c>
      <c r="Y165" s="1423"/>
      <c r="Z165" s="1423"/>
      <c r="AA165" s="1423"/>
    </row>
    <row r="166" spans="1:27" s="484" customFormat="1" ht="63" hidden="1" customHeight="1">
      <c r="A166" s="2204" t="s">
        <v>248</v>
      </c>
      <c r="B166" s="1897" t="s">
        <v>1637</v>
      </c>
      <c r="C166" s="1898"/>
      <c r="D166" s="1899">
        <f>SUM(E166:F166)</f>
        <v>40616.9</v>
      </c>
      <c r="E166" s="1899">
        <f>SUM(E167:E176)</f>
        <v>0</v>
      </c>
      <c r="F166" s="1899">
        <f>SUM(F167:F176)</f>
        <v>40616.9</v>
      </c>
      <c r="G166" s="1899">
        <f>SUM(H166:I166)</f>
        <v>40616.9</v>
      </c>
      <c r="H166" s="1899">
        <f>SUM(H167:H176)</f>
        <v>0</v>
      </c>
      <c r="I166" s="1899">
        <f>SUM(I167:I176)</f>
        <v>40616.9</v>
      </c>
      <c r="J166" s="1899">
        <f>SUM(K166:L166)</f>
        <v>12030.5</v>
      </c>
      <c r="K166" s="1899">
        <f>SUM(K167:K176)</f>
        <v>0</v>
      </c>
      <c r="L166" s="1899">
        <f>SUM(L167:L176)</f>
        <v>12030.5</v>
      </c>
      <c r="M166" s="1900">
        <f t="shared" si="63"/>
        <v>29.6</v>
      </c>
      <c r="N166" s="1901">
        <f t="shared" si="63"/>
        <v>0</v>
      </c>
      <c r="O166" s="1901">
        <f t="shared" si="63"/>
        <v>29.6</v>
      </c>
      <c r="P166" s="2207" t="e">
        <f>SUM(P194+P183+P199)</f>
        <v>#REF!</v>
      </c>
      <c r="Q166" s="2207" t="e">
        <f>SUM(Q194+Q183+Q199)</f>
        <v>#REF!</v>
      </c>
      <c r="R166" s="1899">
        <f t="shared" si="48"/>
        <v>1000</v>
      </c>
      <c r="S166" s="1899">
        <f>SUM(S167:S176)</f>
        <v>0</v>
      </c>
      <c r="T166" s="1899">
        <f>SUM(T167:T176)</f>
        <v>1000</v>
      </c>
      <c r="U166" s="1899">
        <f t="shared" si="49"/>
        <v>0</v>
      </c>
      <c r="V166" s="1899">
        <f>SUM(V167:V176)</f>
        <v>0</v>
      </c>
      <c r="W166" s="1899">
        <f>SUM(W167:W176)</f>
        <v>0</v>
      </c>
      <c r="X166" s="1423">
        <f>D166-G166</f>
        <v>0</v>
      </c>
      <c r="Y166" s="1423"/>
      <c r="Z166" s="1423"/>
      <c r="AA166" s="1423"/>
    </row>
    <row r="167" spans="1:27" ht="48" hidden="1" customHeight="1">
      <c r="A167" s="2204"/>
      <c r="B167" s="1912" t="s">
        <v>1591</v>
      </c>
      <c r="C167" s="1913">
        <v>14098</v>
      </c>
      <c r="D167" s="1600">
        <f>SUM(E167:F167)</f>
        <v>0</v>
      </c>
      <c r="E167" s="1608"/>
      <c r="F167" s="1616">
        <v>0</v>
      </c>
      <c r="G167" s="1600">
        <f t="shared" si="54"/>
        <v>0</v>
      </c>
      <c r="H167" s="1608">
        <f t="shared" si="65"/>
        <v>0</v>
      </c>
      <c r="I167" s="1608">
        <f t="shared" si="65"/>
        <v>0</v>
      </c>
      <c r="J167" s="1600">
        <f>SUM(K167:L167)</f>
        <v>0</v>
      </c>
      <c r="K167" s="1608"/>
      <c r="L167" s="1608"/>
      <c r="M167" s="1893">
        <f t="shared" si="63"/>
        <v>0</v>
      </c>
      <c r="N167" s="1894">
        <f t="shared" si="63"/>
        <v>0</v>
      </c>
      <c r="O167" s="1894">
        <f t="shared" si="63"/>
        <v>0</v>
      </c>
      <c r="P167" s="2203"/>
      <c r="Q167" s="2203"/>
      <c r="R167" s="1600">
        <f>SUM(S167:T167)</f>
        <v>0</v>
      </c>
      <c r="S167" s="1614">
        <v>0</v>
      </c>
      <c r="T167" s="1614">
        <v>0</v>
      </c>
      <c r="U167" s="1600">
        <f>SUM(V167:W167)</f>
        <v>0</v>
      </c>
      <c r="V167" s="1608">
        <v>0</v>
      </c>
      <c r="W167" s="1608">
        <v>0</v>
      </c>
      <c r="Y167" s="1423"/>
      <c r="Z167" s="1423"/>
      <c r="AA167" s="1423"/>
    </row>
    <row r="168" spans="1:27" ht="37.5" hidden="1" customHeight="1">
      <c r="A168" s="2204" t="e">
        <f>A165+1</f>
        <v>#VALUE!</v>
      </c>
      <c r="B168" s="2015" t="s">
        <v>766</v>
      </c>
      <c r="C168" s="1913"/>
      <c r="D168" s="1600">
        <f>SUM(E168:F168)</f>
        <v>670</v>
      </c>
      <c r="E168" s="1608"/>
      <c r="F168" s="1616">
        <v>670</v>
      </c>
      <c r="G168" s="1600">
        <f>SUM(H168:I168)</f>
        <v>670</v>
      </c>
      <c r="H168" s="1616">
        <f t="shared" si="65"/>
        <v>0</v>
      </c>
      <c r="I168" s="1616">
        <f t="shared" si="65"/>
        <v>670</v>
      </c>
      <c r="J168" s="1600">
        <f>SUM(K168:L168)</f>
        <v>600</v>
      </c>
      <c r="K168" s="1608"/>
      <c r="L168" s="1608">
        <v>600</v>
      </c>
      <c r="M168" s="1893">
        <f t="shared" si="63"/>
        <v>89.6</v>
      </c>
      <c r="N168" s="1894">
        <f t="shared" si="63"/>
        <v>0</v>
      </c>
      <c r="O168" s="1894">
        <f t="shared" si="63"/>
        <v>89.6</v>
      </c>
      <c r="P168" s="2203"/>
      <c r="Q168" s="2203"/>
      <c r="R168" s="1600"/>
      <c r="S168" s="1614"/>
      <c r="T168" s="1614"/>
      <c r="U168" s="1600"/>
      <c r="V168" s="1608"/>
      <c r="W168" s="1608"/>
      <c r="X168" s="1423">
        <f>D168-G168</f>
        <v>0</v>
      </c>
      <c r="Y168" s="1423"/>
      <c r="Z168" s="1423"/>
      <c r="AA168" s="1423"/>
    </row>
    <row r="169" spans="1:27" ht="61.5" hidden="1" customHeight="1">
      <c r="A169" s="2204" t="e">
        <f>A168+1</f>
        <v>#VALUE!</v>
      </c>
      <c r="B169" s="2015" t="s">
        <v>1709</v>
      </c>
      <c r="C169" s="1913"/>
      <c r="D169" s="1600">
        <f>SUM(E169:F169)</f>
        <v>255</v>
      </c>
      <c r="E169" s="1608"/>
      <c r="F169" s="1616">
        <v>255</v>
      </c>
      <c r="G169" s="1600">
        <f>SUM(H169:I169)</f>
        <v>255</v>
      </c>
      <c r="H169" s="1616">
        <f>E169</f>
        <v>0</v>
      </c>
      <c r="I169" s="1616">
        <v>255</v>
      </c>
      <c r="J169" s="1600">
        <f>SUM(K169:L169)</f>
        <v>255</v>
      </c>
      <c r="K169" s="1608"/>
      <c r="L169" s="1608">
        <v>255</v>
      </c>
      <c r="M169" s="1893">
        <f>IF(J169=0,0,J169/G169*100)</f>
        <v>100</v>
      </c>
      <c r="N169" s="1894">
        <f>IF(K169=0,0,K169/H169*100)</f>
        <v>0</v>
      </c>
      <c r="O169" s="1894">
        <f>IF(L169=0,0,L169/I169*100)</f>
        <v>100</v>
      </c>
      <c r="P169" s="2203"/>
      <c r="Q169" s="2203"/>
      <c r="R169" s="1600"/>
      <c r="S169" s="1614"/>
      <c r="T169" s="1614"/>
      <c r="U169" s="1600"/>
      <c r="V169" s="1608"/>
      <c r="W169" s="1608"/>
      <c r="X169" s="1423"/>
      <c r="Y169" s="1423"/>
      <c r="Z169" s="1423"/>
      <c r="AA169" s="1423"/>
    </row>
    <row r="170" spans="1:27" s="1607" customFormat="1" ht="63" hidden="1" customHeight="1">
      <c r="A170" s="2204" t="s">
        <v>1822</v>
      </c>
      <c r="B170" s="521" t="s">
        <v>1661</v>
      </c>
      <c r="C170" s="1882"/>
      <c r="D170" s="1602">
        <f>SUM(E170:F170)</f>
        <v>0</v>
      </c>
      <c r="E170" s="1616"/>
      <c r="F170" s="1616">
        <v>0</v>
      </c>
      <c r="G170" s="1602">
        <f t="shared" si="54"/>
        <v>0</v>
      </c>
      <c r="H170" s="1616">
        <f t="shared" si="65"/>
        <v>0</v>
      </c>
      <c r="I170" s="1616">
        <v>0</v>
      </c>
      <c r="J170" s="1602">
        <f>SUM(K170:L170)</f>
        <v>0</v>
      </c>
      <c r="K170" s="1616"/>
      <c r="L170" s="1616"/>
      <c r="M170" s="1604">
        <f t="shared" si="63"/>
        <v>0</v>
      </c>
      <c r="N170" s="1881">
        <f t="shared" si="63"/>
        <v>0</v>
      </c>
      <c r="O170" s="1881">
        <f t="shared" si="63"/>
        <v>0</v>
      </c>
      <c r="P170" s="2203"/>
      <c r="Q170" s="2203"/>
      <c r="R170" s="1600">
        <f>SUM(S170:T170)</f>
        <v>0</v>
      </c>
      <c r="S170" s="1614">
        <v>0</v>
      </c>
      <c r="T170" s="1614">
        <v>0</v>
      </c>
      <c r="U170" s="1600">
        <f>SUM(V170:W170)</f>
        <v>0</v>
      </c>
      <c r="V170" s="1608">
        <v>0</v>
      </c>
      <c r="W170" s="1608">
        <v>0</v>
      </c>
      <c r="X170" s="1423">
        <f>D170-G170</f>
        <v>0</v>
      </c>
      <c r="Y170" s="1423"/>
      <c r="Z170" s="1423"/>
      <c r="AA170" s="1423"/>
    </row>
    <row r="171" spans="1:27" s="1570" customFormat="1" ht="42.75" hidden="1" customHeight="1">
      <c r="A171" s="2204" t="s">
        <v>1823</v>
      </c>
      <c r="B171" s="1885" t="s">
        <v>1676</v>
      </c>
      <c r="C171" s="1880"/>
      <c r="D171" s="1600">
        <f t="shared" si="33"/>
        <v>1910.9</v>
      </c>
      <c r="E171" s="1614"/>
      <c r="F171" s="1615">
        <f>1000+910.9</f>
        <v>1910.9</v>
      </c>
      <c r="G171" s="1600">
        <f t="shared" si="54"/>
        <v>1910.9</v>
      </c>
      <c r="H171" s="1616">
        <f t="shared" si="65"/>
        <v>0</v>
      </c>
      <c r="I171" s="1616">
        <f t="shared" si="65"/>
        <v>1910.9</v>
      </c>
      <c r="J171" s="1600">
        <f t="shared" si="59"/>
        <v>1910.3</v>
      </c>
      <c r="K171" s="1614"/>
      <c r="L171" s="1614">
        <v>1910.3</v>
      </c>
      <c r="M171" s="1604">
        <f t="shared" si="63"/>
        <v>100</v>
      </c>
      <c r="N171" s="1881">
        <f t="shared" si="63"/>
        <v>0</v>
      </c>
      <c r="O171" s="1881">
        <f t="shared" si="63"/>
        <v>100</v>
      </c>
      <c r="P171" s="2203"/>
      <c r="Q171" s="1612"/>
      <c r="R171" s="1600">
        <f t="shared" si="48"/>
        <v>0</v>
      </c>
      <c r="S171" s="1614">
        <v>0</v>
      </c>
      <c r="T171" s="1614">
        <v>0</v>
      </c>
      <c r="U171" s="1600">
        <f t="shared" si="49"/>
        <v>0</v>
      </c>
      <c r="V171" s="1608">
        <v>0</v>
      </c>
      <c r="W171" s="1608">
        <v>0</v>
      </c>
      <c r="X171" s="1423">
        <f>D171-G171</f>
        <v>0</v>
      </c>
      <c r="Y171" s="1423"/>
      <c r="Z171" s="1423"/>
      <c r="AA171" s="1423"/>
    </row>
    <row r="172" spans="1:27" s="1570" customFormat="1" ht="43.5" hidden="1" customHeight="1">
      <c r="A172" s="2204" t="s">
        <v>1824</v>
      </c>
      <c r="B172" s="1888" t="s">
        <v>1596</v>
      </c>
      <c r="C172" s="1880"/>
      <c r="D172" s="1600">
        <f t="shared" si="33"/>
        <v>1571.9</v>
      </c>
      <c r="E172" s="1614"/>
      <c r="F172" s="1615">
        <f>1500+71.9</f>
        <v>1571.9</v>
      </c>
      <c r="G172" s="1600">
        <f t="shared" si="54"/>
        <v>1571.9</v>
      </c>
      <c r="H172" s="1616">
        <f t="shared" si="65"/>
        <v>0</v>
      </c>
      <c r="I172" s="1616">
        <f t="shared" si="65"/>
        <v>1571.9</v>
      </c>
      <c r="J172" s="1600">
        <f t="shared" si="59"/>
        <v>1571.9</v>
      </c>
      <c r="K172" s="1614"/>
      <c r="L172" s="1614">
        <v>1571.9</v>
      </c>
      <c r="M172" s="1604">
        <f t="shared" si="63"/>
        <v>100</v>
      </c>
      <c r="N172" s="1881">
        <f t="shared" si="63"/>
        <v>0</v>
      </c>
      <c r="O172" s="1881">
        <f t="shared" si="63"/>
        <v>100</v>
      </c>
      <c r="P172" s="2203"/>
      <c r="Q172" s="1612"/>
      <c r="R172" s="1600">
        <f t="shared" si="48"/>
        <v>0</v>
      </c>
      <c r="S172" s="1614">
        <v>0</v>
      </c>
      <c r="T172" s="1614">
        <v>0</v>
      </c>
      <c r="U172" s="1600">
        <f t="shared" si="49"/>
        <v>0</v>
      </c>
      <c r="V172" s="1608">
        <v>0</v>
      </c>
      <c r="W172" s="1608">
        <v>0</v>
      </c>
      <c r="X172" s="1423">
        <f>D172-G172</f>
        <v>0</v>
      </c>
      <c r="Y172" s="1423"/>
      <c r="Z172" s="1423"/>
      <c r="AA172" s="1423"/>
    </row>
    <row r="173" spans="1:27" s="1570" customFormat="1" ht="69" hidden="1" customHeight="1">
      <c r="A173" s="2204"/>
      <c r="B173" s="1888" t="s">
        <v>1703</v>
      </c>
      <c r="C173" s="1880"/>
      <c r="D173" s="1600">
        <f>SUM(E173:F173)</f>
        <v>0</v>
      </c>
      <c r="E173" s="1614"/>
      <c r="F173" s="1615">
        <v>0</v>
      </c>
      <c r="G173" s="1600">
        <f>SUM(H173:I173)</f>
        <v>0</v>
      </c>
      <c r="H173" s="1614">
        <f t="shared" ref="H173:I176" si="66">E173</f>
        <v>0</v>
      </c>
      <c r="I173" s="1614">
        <f t="shared" si="66"/>
        <v>0</v>
      </c>
      <c r="J173" s="1600">
        <f>SUM(K173:L173)</f>
        <v>0</v>
      </c>
      <c r="K173" s="1614"/>
      <c r="L173" s="1614">
        <v>0</v>
      </c>
      <c r="M173" s="1604">
        <f t="shared" si="63"/>
        <v>0</v>
      </c>
      <c r="N173" s="1881">
        <f t="shared" si="63"/>
        <v>0</v>
      </c>
      <c r="O173" s="1881">
        <f t="shared" si="63"/>
        <v>0</v>
      </c>
      <c r="P173" s="2203"/>
      <c r="Q173" s="1612"/>
      <c r="R173" s="1600"/>
      <c r="S173" s="1614"/>
      <c r="T173" s="1614"/>
      <c r="U173" s="1600"/>
      <c r="V173" s="1608"/>
      <c r="W173" s="1608"/>
      <c r="Y173" s="1423"/>
      <c r="Z173" s="1423"/>
      <c r="AA173" s="1423"/>
    </row>
    <row r="174" spans="1:27" s="484" customFormat="1" ht="49.5" hidden="1" customHeight="1">
      <c r="A174" s="2204" t="e">
        <f>A169+1</f>
        <v>#VALUE!</v>
      </c>
      <c r="B174" s="1915" t="s">
        <v>694</v>
      </c>
      <c r="C174" s="1866" t="s">
        <v>1548</v>
      </c>
      <c r="D174" s="1600">
        <f t="shared" si="33"/>
        <v>5250</v>
      </c>
      <c r="E174" s="1614"/>
      <c r="F174" s="1615">
        <f>19000-13000-750</f>
        <v>5250</v>
      </c>
      <c r="G174" s="1600">
        <f t="shared" si="54"/>
        <v>5250</v>
      </c>
      <c r="H174" s="1616">
        <f t="shared" si="66"/>
        <v>0</v>
      </c>
      <c r="I174" s="1616">
        <f t="shared" si="66"/>
        <v>5250</v>
      </c>
      <c r="J174" s="1600">
        <f t="shared" si="59"/>
        <v>5250</v>
      </c>
      <c r="K174" s="1614"/>
      <c r="L174" s="1614">
        <v>5250</v>
      </c>
      <c r="M174" s="1893">
        <f t="shared" si="63"/>
        <v>100</v>
      </c>
      <c r="N174" s="1894">
        <f t="shared" si="63"/>
        <v>0</v>
      </c>
      <c r="O174" s="1894">
        <f t="shared" si="63"/>
        <v>100</v>
      </c>
      <c r="P174" s="2203" t="s">
        <v>1272</v>
      </c>
      <c r="Q174" s="2203" t="s">
        <v>1273</v>
      </c>
      <c r="R174" s="1600">
        <f t="shared" si="48"/>
        <v>1000</v>
      </c>
      <c r="S174" s="1614">
        <v>0</v>
      </c>
      <c r="T174" s="1614">
        <v>1000</v>
      </c>
      <c r="U174" s="1600">
        <f t="shared" si="49"/>
        <v>0</v>
      </c>
      <c r="V174" s="1608">
        <v>0</v>
      </c>
      <c r="W174" s="1608">
        <v>0</v>
      </c>
      <c r="X174" s="1423">
        <f t="shared" ref="X174:X184" si="67">D174-G174</f>
        <v>0</v>
      </c>
      <c r="Y174" s="1423"/>
      <c r="Z174" s="1423"/>
      <c r="AA174" s="1423"/>
    </row>
    <row r="175" spans="1:27" s="1607" customFormat="1" ht="66" hidden="1" customHeight="1">
      <c r="A175" s="2204" t="s">
        <v>1825</v>
      </c>
      <c r="B175" s="1914" t="s">
        <v>1600</v>
      </c>
      <c r="C175" s="2204"/>
      <c r="D175" s="1600">
        <f t="shared" si="33"/>
        <v>959.1</v>
      </c>
      <c r="E175" s="1608"/>
      <c r="F175" s="1616">
        <v>959.1</v>
      </c>
      <c r="G175" s="1600">
        <f t="shared" si="54"/>
        <v>959.1</v>
      </c>
      <c r="H175" s="1616">
        <f t="shared" si="66"/>
        <v>0</v>
      </c>
      <c r="I175" s="1616">
        <f t="shared" si="66"/>
        <v>959.1</v>
      </c>
      <c r="J175" s="1600">
        <f t="shared" si="59"/>
        <v>359.1</v>
      </c>
      <c r="K175" s="1608"/>
      <c r="L175" s="1608">
        <f>300+59.1</f>
        <v>359.1</v>
      </c>
      <c r="M175" s="1604">
        <f t="shared" si="63"/>
        <v>37.4</v>
      </c>
      <c r="N175" s="1881">
        <f t="shared" si="63"/>
        <v>0</v>
      </c>
      <c r="O175" s="1881">
        <f t="shared" si="63"/>
        <v>37.4</v>
      </c>
      <c r="P175" s="2203"/>
      <c r="Q175" s="2203"/>
      <c r="R175" s="1600">
        <f t="shared" si="48"/>
        <v>0</v>
      </c>
      <c r="S175" s="1608">
        <v>0</v>
      </c>
      <c r="T175" s="1608">
        <v>0</v>
      </c>
      <c r="U175" s="1600">
        <f t="shared" si="49"/>
        <v>0</v>
      </c>
      <c r="V175" s="1608">
        <v>0</v>
      </c>
      <c r="W175" s="1608">
        <v>0</v>
      </c>
      <c r="X175" s="1423">
        <f t="shared" si="67"/>
        <v>0</v>
      </c>
      <c r="Y175" s="1423"/>
      <c r="Z175" s="1423"/>
      <c r="AA175" s="1423"/>
    </row>
    <row r="176" spans="1:27" s="484" customFormat="1" ht="53.25" hidden="1" customHeight="1">
      <c r="A176" s="2204" t="s">
        <v>1838</v>
      </c>
      <c r="B176" s="1915" t="s">
        <v>698</v>
      </c>
      <c r="C176" s="1866"/>
      <c r="D176" s="1600">
        <f>SUM(E176:F176)</f>
        <v>30000</v>
      </c>
      <c r="E176" s="1614"/>
      <c r="F176" s="1615">
        <v>30000</v>
      </c>
      <c r="G176" s="1600">
        <f t="shared" si="54"/>
        <v>30000</v>
      </c>
      <c r="H176" s="1616">
        <f t="shared" si="66"/>
        <v>0</v>
      </c>
      <c r="I176" s="1616">
        <f t="shared" si="66"/>
        <v>30000</v>
      </c>
      <c r="J176" s="1600">
        <f>SUM(K176:L176)</f>
        <v>2084.1999999999998</v>
      </c>
      <c r="K176" s="1614"/>
      <c r="L176" s="1614">
        <v>2084.1999999999998</v>
      </c>
      <c r="M176" s="1893">
        <f t="shared" si="63"/>
        <v>6.9</v>
      </c>
      <c r="N176" s="1894">
        <f t="shared" si="63"/>
        <v>0</v>
      </c>
      <c r="O176" s="1894">
        <f t="shared" si="63"/>
        <v>6.9</v>
      </c>
      <c r="P176" s="2203" t="s">
        <v>1306</v>
      </c>
      <c r="Q176" s="2203" t="s">
        <v>1277</v>
      </c>
      <c r="R176" s="1600">
        <f t="shared" si="48"/>
        <v>0</v>
      </c>
      <c r="S176" s="1608">
        <v>0</v>
      </c>
      <c r="T176" s="1608">
        <v>0</v>
      </c>
      <c r="U176" s="1600">
        <f t="shared" si="49"/>
        <v>0</v>
      </c>
      <c r="V176" s="1608">
        <v>0</v>
      </c>
      <c r="W176" s="1608">
        <v>0</v>
      </c>
      <c r="X176" s="1423">
        <f t="shared" si="67"/>
        <v>0</v>
      </c>
      <c r="Y176" s="1423"/>
      <c r="Z176" s="1423"/>
      <c r="AA176" s="1423"/>
    </row>
    <row r="177" spans="1:27" ht="26.25" hidden="1" customHeight="1">
      <c r="A177" s="2204" t="s">
        <v>249</v>
      </c>
      <c r="B177" s="1876" t="s">
        <v>1394</v>
      </c>
      <c r="C177" s="1877"/>
      <c r="D177" s="1598">
        <f>SUM(E177:F177)</f>
        <v>6366752.4000000004</v>
      </c>
      <c r="E177" s="1903">
        <f>SUM(E178,E199,E301,E306,E303)</f>
        <v>5142823</v>
      </c>
      <c r="F177" s="1903">
        <f>SUM(F178,F199,F301,F306,F303)</f>
        <v>1223929.3999999999</v>
      </c>
      <c r="G177" s="1598">
        <f>SUM(H177:I177)</f>
        <v>6366752.4000000004</v>
      </c>
      <c r="H177" s="1903">
        <f>SUM(H178,H199,H301,H306,H303)</f>
        <v>5142823</v>
      </c>
      <c r="I177" s="1903">
        <f>SUM(I178,I199,I301,I306,I303)</f>
        <v>1223929.3999999999</v>
      </c>
      <c r="J177" s="1598">
        <f>SUM(K177:L177)</f>
        <v>2974933.4</v>
      </c>
      <c r="K177" s="1903">
        <f>SUM(K178,K199,K301,K306,K303)</f>
        <v>2399730.7999999998</v>
      </c>
      <c r="L177" s="1903">
        <f>SUM(L178,L199,L301,L306,L303)</f>
        <v>575202.6</v>
      </c>
      <c r="M177" s="1908">
        <f t="shared" si="63"/>
        <v>46.7</v>
      </c>
      <c r="N177" s="1909">
        <f t="shared" si="63"/>
        <v>46.7</v>
      </c>
      <c r="O177" s="1909">
        <f t="shared" si="63"/>
        <v>47</v>
      </c>
      <c r="P177" s="1599" t="s">
        <v>353</v>
      </c>
      <c r="Q177" s="1599" t="s">
        <v>353</v>
      </c>
      <c r="R177" s="1598" t="e">
        <f t="shared" si="48"/>
        <v>#REF!</v>
      </c>
      <c r="S177" s="1903" t="e">
        <f>SUM(S178,S199,S301,S306)</f>
        <v>#REF!</v>
      </c>
      <c r="T177" s="1903" t="e">
        <f>SUM(T178,T199,T301,T306)</f>
        <v>#REF!</v>
      </c>
      <c r="U177" s="1598" t="e">
        <f t="shared" si="49"/>
        <v>#REF!</v>
      </c>
      <c r="V177" s="1903" t="e">
        <f>SUM(V178,V199,V301,V306)</f>
        <v>#REF!</v>
      </c>
      <c r="W177" s="1903" t="e">
        <f>SUM(W178,W199,W301,W306)</f>
        <v>#REF!</v>
      </c>
      <c r="X177" s="1423">
        <f t="shared" si="67"/>
        <v>0</v>
      </c>
      <c r="Y177" s="1423"/>
      <c r="Z177" s="1423"/>
      <c r="AA177" s="1423"/>
    </row>
    <row r="178" spans="1:27" ht="37.5" hidden="1">
      <c r="A178" s="2204" t="s">
        <v>250</v>
      </c>
      <c r="B178" s="1897" t="s">
        <v>1395</v>
      </c>
      <c r="C178" s="1898"/>
      <c r="D178" s="1899">
        <f>SUM(E178:F178)</f>
        <v>2458961.9</v>
      </c>
      <c r="E178" s="1899">
        <f>SUM(E179,E183,E190,E194,E196,E181)</f>
        <v>1683092.5</v>
      </c>
      <c r="F178" s="1899">
        <f>SUM(F179,F183,F190,F194,F196,F181)</f>
        <v>775869.4</v>
      </c>
      <c r="G178" s="1899">
        <f>SUM(H178:I178)</f>
        <v>2458961.9</v>
      </c>
      <c r="H178" s="1899">
        <f>SUM(H179,H183,H190,H194,H196,H181)</f>
        <v>1683092.5</v>
      </c>
      <c r="I178" s="1899">
        <f>SUM(I179,I183,I190,I194,I196,I181)</f>
        <v>775869.4</v>
      </c>
      <c r="J178" s="1899">
        <f>SUM(K178:L178)</f>
        <v>1048069.7</v>
      </c>
      <c r="K178" s="1899">
        <f>SUM(K179,K183,K190,K194,K196,K181)</f>
        <v>687264.4</v>
      </c>
      <c r="L178" s="1899">
        <f>SUM(L179,L183,L190,L194,L196,L181)</f>
        <v>360805.3</v>
      </c>
      <c r="M178" s="1899">
        <f t="shared" si="63"/>
        <v>42.6</v>
      </c>
      <c r="N178" s="1899">
        <f t="shared" si="63"/>
        <v>40.799999999999997</v>
      </c>
      <c r="O178" s="1899">
        <f t="shared" si="63"/>
        <v>46.5</v>
      </c>
      <c r="P178" s="1899">
        <f>SUM(P183,P194)+Q190</f>
        <v>0</v>
      </c>
      <c r="Q178" s="1899">
        <f>SUM(Q183,Q194)+R190</f>
        <v>182695.3</v>
      </c>
      <c r="R178" s="1899">
        <f>SUM(S178:T178)</f>
        <v>1266522.3999999999</v>
      </c>
      <c r="S178" s="1899">
        <f>SUM(S183,S190,S194,S196)</f>
        <v>926046.6</v>
      </c>
      <c r="T178" s="1899">
        <f>SUM(T183,T190,T194,T196)</f>
        <v>340475.8</v>
      </c>
      <c r="U178" s="1899">
        <f>SUM(V178:W178)</f>
        <v>1478103.7</v>
      </c>
      <c r="V178" s="1899">
        <f>SUM(V183,V190,V194,V196)</f>
        <v>1463322.7</v>
      </c>
      <c r="W178" s="1899">
        <f>SUM(W183,W190,W194,W196)</f>
        <v>14781</v>
      </c>
      <c r="X178" s="1423">
        <f t="shared" si="67"/>
        <v>0</v>
      </c>
      <c r="Y178" s="1423"/>
      <c r="Z178" s="1423"/>
      <c r="AA178" s="1423"/>
    </row>
    <row r="179" spans="1:27" ht="23.25" hidden="1">
      <c r="A179" s="2204"/>
      <c r="B179" s="1897" t="s">
        <v>1650</v>
      </c>
      <c r="C179" s="1898"/>
      <c r="D179" s="1899">
        <f>E179+F179</f>
        <v>44870.6</v>
      </c>
      <c r="E179" s="1899">
        <f>E180</f>
        <v>13988.1</v>
      </c>
      <c r="F179" s="1899">
        <f>F180</f>
        <v>30882.5</v>
      </c>
      <c r="G179" s="1899">
        <f>H179+I179</f>
        <v>44870.6</v>
      </c>
      <c r="H179" s="1899">
        <f>H180</f>
        <v>13988.1</v>
      </c>
      <c r="I179" s="1899">
        <f>I180</f>
        <v>30882.5</v>
      </c>
      <c r="J179" s="1899">
        <f>K179+L179</f>
        <v>15988.7</v>
      </c>
      <c r="K179" s="1899">
        <f>K180</f>
        <v>5999.8</v>
      </c>
      <c r="L179" s="1899">
        <f>L180</f>
        <v>9988.9</v>
      </c>
      <c r="M179" s="1899">
        <f t="shared" si="63"/>
        <v>35.6</v>
      </c>
      <c r="N179" s="1899">
        <f t="shared" si="63"/>
        <v>42.9</v>
      </c>
      <c r="O179" s="1899">
        <f t="shared" si="63"/>
        <v>32.299999999999997</v>
      </c>
      <c r="P179" s="1899"/>
      <c r="Q179" s="1899"/>
      <c r="R179" s="1899"/>
      <c r="S179" s="1899"/>
      <c r="T179" s="1899"/>
      <c r="U179" s="1899"/>
      <c r="V179" s="1899"/>
      <c r="W179" s="1899"/>
      <c r="X179" s="1423">
        <f t="shared" si="67"/>
        <v>0</v>
      </c>
      <c r="Y179" s="1423"/>
      <c r="Z179" s="1423"/>
      <c r="AA179" s="1423"/>
    </row>
    <row r="180" spans="1:27" ht="52.5" hidden="1" customHeight="1">
      <c r="A180" s="2204" t="e">
        <f>A174+1</f>
        <v>#VALUE!</v>
      </c>
      <c r="B180" s="1919" t="s">
        <v>1469</v>
      </c>
      <c r="C180" s="1898"/>
      <c r="D180" s="1600">
        <f>SUM(E180:F180)</f>
        <v>44870.6</v>
      </c>
      <c r="E180" s="1614">
        <v>13988.1</v>
      </c>
      <c r="F180" s="1614">
        <f>23288.3+1040.3+6553.9</f>
        <v>30882.5</v>
      </c>
      <c r="G180" s="1600">
        <f>SUM(H180:I180)</f>
        <v>44870.6</v>
      </c>
      <c r="H180" s="1616">
        <f>E180</f>
        <v>13988.1</v>
      </c>
      <c r="I180" s="1616">
        <f>24328.6+6553.9</f>
        <v>30882.5</v>
      </c>
      <c r="J180" s="1600">
        <f>SUM(K180:L180)</f>
        <v>15988.7</v>
      </c>
      <c r="K180" s="1614">
        <v>5999.8</v>
      </c>
      <c r="L180" s="1614">
        <v>9988.9</v>
      </c>
      <c r="M180" s="1893">
        <f t="shared" si="63"/>
        <v>35.6</v>
      </c>
      <c r="N180" s="1894">
        <f t="shared" si="63"/>
        <v>42.9</v>
      </c>
      <c r="O180" s="1894">
        <f t="shared" si="63"/>
        <v>32.299999999999997</v>
      </c>
      <c r="P180" s="1899"/>
      <c r="Q180" s="1899"/>
      <c r="R180" s="1899"/>
      <c r="S180" s="1899"/>
      <c r="T180" s="1899"/>
      <c r="U180" s="1899"/>
      <c r="V180" s="1899"/>
      <c r="W180" s="1899"/>
      <c r="X180" s="1423">
        <f t="shared" si="67"/>
        <v>0</v>
      </c>
      <c r="Y180" s="1423"/>
      <c r="Z180" s="1423"/>
      <c r="AA180" s="1423"/>
    </row>
    <row r="181" spans="1:27" ht="25.5" hidden="1" customHeight="1">
      <c r="A181" s="2204"/>
      <c r="B181" s="1897" t="s">
        <v>1396</v>
      </c>
      <c r="C181" s="1898"/>
      <c r="D181" s="1899">
        <f>SUM(E181:F181)</f>
        <v>71498.399999999994</v>
      </c>
      <c r="E181" s="2207">
        <f>SUM(E182)</f>
        <v>62026.400000000001</v>
      </c>
      <c r="F181" s="2207">
        <f>SUM(F182)</f>
        <v>9472</v>
      </c>
      <c r="G181" s="1899">
        <f>SUM(H181:I181)</f>
        <v>71498.399999999994</v>
      </c>
      <c r="H181" s="2207">
        <f>SUM(H182)</f>
        <v>62026.400000000001</v>
      </c>
      <c r="I181" s="2207">
        <f>SUM(I182)</f>
        <v>9472</v>
      </c>
      <c r="J181" s="1899">
        <f>SUM(K181:L181)</f>
        <v>62652.9</v>
      </c>
      <c r="K181" s="2207">
        <f>SUM(K182)</f>
        <v>61956.9</v>
      </c>
      <c r="L181" s="2207">
        <f>SUM(L182)</f>
        <v>696</v>
      </c>
      <c r="M181" s="1900">
        <f t="shared" si="63"/>
        <v>87.6</v>
      </c>
      <c r="N181" s="1901">
        <f t="shared" si="63"/>
        <v>99.9</v>
      </c>
      <c r="O181" s="1901">
        <f t="shared" si="63"/>
        <v>7.3</v>
      </c>
      <c r="P181" s="1899"/>
      <c r="Q181" s="1899"/>
      <c r="R181" s="1899"/>
      <c r="S181" s="1899"/>
      <c r="T181" s="1899"/>
      <c r="U181" s="1899"/>
      <c r="V181" s="1899"/>
      <c r="W181" s="1899"/>
      <c r="X181" s="1423">
        <f t="shared" si="67"/>
        <v>0</v>
      </c>
      <c r="Y181" s="1423"/>
      <c r="Z181" s="1423"/>
      <c r="AA181" s="1423"/>
    </row>
    <row r="182" spans="1:27" ht="52.5" hidden="1" customHeight="1">
      <c r="A182" s="1866" t="e">
        <f>A180+1</f>
        <v>#VALUE!</v>
      </c>
      <c r="B182" s="2072" t="s">
        <v>1392</v>
      </c>
      <c r="C182" s="1906"/>
      <c r="D182" s="1600">
        <f>SUM(E182:F182)</f>
        <v>71498.399999999994</v>
      </c>
      <c r="E182" s="1614">
        <v>62026.400000000001</v>
      </c>
      <c r="F182" s="1614">
        <f>9285.9+186.1</f>
        <v>9472</v>
      </c>
      <c r="G182" s="1600">
        <f>SUM(H182:I182)</f>
        <v>71498.399999999994</v>
      </c>
      <c r="H182" s="1616">
        <f>E182</f>
        <v>62026.400000000001</v>
      </c>
      <c r="I182" s="1616">
        <v>9472</v>
      </c>
      <c r="J182" s="1600">
        <f>SUM(K182:L182)</f>
        <v>62652.9</v>
      </c>
      <c r="K182" s="1614">
        <v>61956.9</v>
      </c>
      <c r="L182" s="1614">
        <v>696</v>
      </c>
      <c r="M182" s="1893">
        <f t="shared" si="63"/>
        <v>87.6</v>
      </c>
      <c r="N182" s="1894">
        <f t="shared" si="63"/>
        <v>99.9</v>
      </c>
      <c r="O182" s="1894">
        <f t="shared" si="63"/>
        <v>7.3</v>
      </c>
      <c r="P182" s="1899"/>
      <c r="Q182" s="1899"/>
      <c r="R182" s="1899"/>
      <c r="S182" s="1899"/>
      <c r="T182" s="1899"/>
      <c r="U182" s="1899"/>
      <c r="V182" s="1899"/>
      <c r="W182" s="1899"/>
      <c r="X182" s="1423">
        <f t="shared" si="67"/>
        <v>0</v>
      </c>
      <c r="Y182" s="1423"/>
      <c r="Z182" s="1423"/>
      <c r="AA182" s="1423"/>
    </row>
    <row r="183" spans="1:27" ht="23.25" hidden="1">
      <c r="A183" s="2204"/>
      <c r="B183" s="1897" t="s">
        <v>1461</v>
      </c>
      <c r="C183" s="1898"/>
      <c r="D183" s="1899">
        <f>SUM(E183:F183)</f>
        <v>2303783.1</v>
      </c>
      <c r="E183" s="1899">
        <f>SUM(E184:E189)</f>
        <v>1569072.1</v>
      </c>
      <c r="F183" s="1899">
        <f>SUM(F184:F189)</f>
        <v>734711</v>
      </c>
      <c r="G183" s="1899">
        <f>SUM(H183:I183)</f>
        <v>2303783.1</v>
      </c>
      <c r="H183" s="1899">
        <f>SUM(H184:H189)</f>
        <v>1569072.1</v>
      </c>
      <c r="I183" s="1899">
        <f>SUM(I184:I189)</f>
        <v>734711</v>
      </c>
      <c r="J183" s="1899">
        <f>SUM(K183:L183)</f>
        <v>944442.1</v>
      </c>
      <c r="K183" s="1899">
        <f>SUM(K184:K189)</f>
        <v>594571.6</v>
      </c>
      <c r="L183" s="1899">
        <f>SUM(L184:L189)</f>
        <v>349870.5</v>
      </c>
      <c r="M183" s="1899">
        <f t="shared" si="63"/>
        <v>41</v>
      </c>
      <c r="N183" s="1899">
        <f t="shared" si="63"/>
        <v>37.9</v>
      </c>
      <c r="O183" s="1899">
        <f t="shared" si="63"/>
        <v>47.6</v>
      </c>
      <c r="P183" s="1899">
        <f t="shared" ref="P183:W183" si="68">SUM(P184:P189)</f>
        <v>0</v>
      </c>
      <c r="Q183" s="1899">
        <f t="shared" si="68"/>
        <v>0</v>
      </c>
      <c r="R183" s="1899">
        <f t="shared" si="68"/>
        <v>1083827.1000000001</v>
      </c>
      <c r="S183" s="1899">
        <f t="shared" si="68"/>
        <v>745178.3</v>
      </c>
      <c r="T183" s="1899">
        <f t="shared" si="68"/>
        <v>338648.8</v>
      </c>
      <c r="U183" s="1899">
        <f t="shared" si="68"/>
        <v>416896.2</v>
      </c>
      <c r="V183" s="1899">
        <f t="shared" si="68"/>
        <v>412727.2</v>
      </c>
      <c r="W183" s="1899">
        <f t="shared" si="68"/>
        <v>4169</v>
      </c>
      <c r="X183" s="1423">
        <f t="shared" si="67"/>
        <v>0</v>
      </c>
      <c r="Y183" s="1423"/>
      <c r="Z183" s="1423"/>
      <c r="AA183" s="1423"/>
    </row>
    <row r="184" spans="1:27" ht="66" hidden="1" customHeight="1">
      <c r="A184" s="2204" t="e">
        <f>A182+1</f>
        <v>#VALUE!</v>
      </c>
      <c r="B184" s="1888" t="s">
        <v>1459</v>
      </c>
      <c r="C184" s="1866" t="s">
        <v>1547</v>
      </c>
      <c r="D184" s="1600">
        <f>SUM(E184:F184)</f>
        <v>983584</v>
      </c>
      <c r="E184" s="1614">
        <v>587130.1</v>
      </c>
      <c r="F184" s="1614">
        <f>382915.2+66255.7+1828.7-54545.7</f>
        <v>396453.9</v>
      </c>
      <c r="G184" s="1600">
        <f t="shared" si="54"/>
        <v>983584</v>
      </c>
      <c r="H184" s="1614">
        <v>587130.1</v>
      </c>
      <c r="I184" s="1614">
        <f>382915.2+66255.7+1828.7-54545.7</f>
        <v>396453.9</v>
      </c>
      <c r="J184" s="1600">
        <f>SUM(K184:L184)</f>
        <v>663598.5</v>
      </c>
      <c r="K184" s="1614">
        <v>384759.8</v>
      </c>
      <c r="L184" s="1614">
        <v>278838.7</v>
      </c>
      <c r="M184" s="1893">
        <f t="shared" si="63"/>
        <v>67.5</v>
      </c>
      <c r="N184" s="1894">
        <f t="shared" si="63"/>
        <v>65.5</v>
      </c>
      <c r="O184" s="1894">
        <f t="shared" si="63"/>
        <v>70.3</v>
      </c>
      <c r="P184" s="2203" t="s">
        <v>1192</v>
      </c>
      <c r="Q184" s="2203" t="s">
        <v>1160</v>
      </c>
      <c r="R184" s="1600">
        <f t="shared" si="48"/>
        <v>0</v>
      </c>
      <c r="S184" s="1614">
        <v>0</v>
      </c>
      <c r="T184" s="1614">
        <v>0</v>
      </c>
      <c r="U184" s="1600">
        <f t="shared" si="49"/>
        <v>0</v>
      </c>
      <c r="V184" s="1614">
        <v>0</v>
      </c>
      <c r="W184" s="1614">
        <v>0</v>
      </c>
      <c r="X184" s="1423">
        <f t="shared" si="67"/>
        <v>0</v>
      </c>
      <c r="Y184" s="1423"/>
      <c r="Z184" s="1423"/>
      <c r="AA184" s="1423"/>
    </row>
    <row r="185" spans="1:27" ht="37.5" hidden="1" customHeight="1">
      <c r="A185" s="2204" t="e">
        <f>A184+1</f>
        <v>#VALUE!</v>
      </c>
      <c r="B185" s="1888" t="s">
        <v>1645</v>
      </c>
      <c r="C185" s="1866"/>
      <c r="D185" s="1600">
        <f>E185+F185</f>
        <v>0</v>
      </c>
      <c r="E185" s="1614">
        <v>0</v>
      </c>
      <c r="F185" s="1614">
        <v>0</v>
      </c>
      <c r="G185" s="1600">
        <f>H185+I185</f>
        <v>0</v>
      </c>
      <c r="H185" s="1614">
        <v>0</v>
      </c>
      <c r="I185" s="1614">
        <v>0</v>
      </c>
      <c r="J185" s="1600">
        <f>K185+L185</f>
        <v>0</v>
      </c>
      <c r="K185" s="1614"/>
      <c r="L185" s="1614"/>
      <c r="M185" s="1600">
        <f t="shared" si="63"/>
        <v>0</v>
      </c>
      <c r="N185" s="1614">
        <f t="shared" si="63"/>
        <v>0</v>
      </c>
      <c r="O185" s="1614">
        <f t="shared" si="63"/>
        <v>0</v>
      </c>
      <c r="P185" s="2203"/>
      <c r="Q185" s="2203"/>
      <c r="R185" s="1600">
        <f>S185+T185</f>
        <v>416896.2</v>
      </c>
      <c r="S185" s="1614">
        <v>412727.2</v>
      </c>
      <c r="T185" s="1614">
        <v>4169</v>
      </c>
      <c r="U185" s="1600">
        <f>V185+W185</f>
        <v>416896.2</v>
      </c>
      <c r="V185" s="1614">
        <v>412727.2</v>
      </c>
      <c r="W185" s="1614">
        <v>4169</v>
      </c>
      <c r="Y185" s="1423"/>
      <c r="Z185" s="1423"/>
      <c r="AA185" s="1423"/>
    </row>
    <row r="186" spans="1:27" ht="56.25" hidden="1" customHeight="1">
      <c r="A186" s="2204" t="e">
        <f>A184+1</f>
        <v>#VALUE!</v>
      </c>
      <c r="B186" s="1888" t="s">
        <v>1460</v>
      </c>
      <c r="C186" s="1866" t="s">
        <v>1547</v>
      </c>
      <c r="D186" s="1600">
        <f>SUM(E186:F186)</f>
        <v>1107192.2</v>
      </c>
      <c r="E186" s="1614">
        <v>771065.2</v>
      </c>
      <c r="F186" s="1614">
        <f>324236.5+11890.5</f>
        <v>336127</v>
      </c>
      <c r="G186" s="1600">
        <f>SUM(H186:I186)</f>
        <v>1107192.2</v>
      </c>
      <c r="H186" s="1614">
        <v>771065.2</v>
      </c>
      <c r="I186" s="1614">
        <f>324236.5+11890.5</f>
        <v>336127</v>
      </c>
      <c r="J186" s="1600">
        <f>SUM(K186:L186)</f>
        <v>174091</v>
      </c>
      <c r="K186" s="1614">
        <v>104126.7</v>
      </c>
      <c r="L186" s="1614">
        <v>69964.3</v>
      </c>
      <c r="M186" s="1893">
        <f t="shared" si="63"/>
        <v>15.7</v>
      </c>
      <c r="N186" s="1894">
        <f t="shared" si="63"/>
        <v>13.5</v>
      </c>
      <c r="O186" s="1894">
        <f t="shared" si="63"/>
        <v>20.8</v>
      </c>
      <c r="P186" s="2203" t="s">
        <v>1192</v>
      </c>
      <c r="Q186" s="2203" t="s">
        <v>1159</v>
      </c>
      <c r="R186" s="1600">
        <f t="shared" si="48"/>
        <v>331121.7</v>
      </c>
      <c r="S186" s="1614">
        <v>0</v>
      </c>
      <c r="T186" s="1614">
        <v>331121.7</v>
      </c>
      <c r="U186" s="1600">
        <f t="shared" si="49"/>
        <v>0</v>
      </c>
      <c r="V186" s="1614">
        <v>0</v>
      </c>
      <c r="W186" s="1614">
        <v>0</v>
      </c>
      <c r="X186" s="1423">
        <f>D186-G186</f>
        <v>0</v>
      </c>
      <c r="Y186" s="1423"/>
      <c r="Z186" s="1423"/>
      <c r="AA186" s="1423"/>
    </row>
    <row r="187" spans="1:27" ht="39" hidden="1" customHeight="1">
      <c r="A187" s="2204" t="e">
        <f t="shared" ref="A187:A193" si="69">A186+1</f>
        <v>#VALUE!</v>
      </c>
      <c r="B187" s="1916" t="s">
        <v>1465</v>
      </c>
      <c r="C187" s="1866" t="s">
        <v>1547</v>
      </c>
      <c r="D187" s="1600">
        <f>SUM(E187:F187)</f>
        <v>109222.5</v>
      </c>
      <c r="E187" s="1614">
        <v>108130.3</v>
      </c>
      <c r="F187" s="1614">
        <v>1092.2</v>
      </c>
      <c r="G187" s="1600">
        <f>SUM(H187:I187)</f>
        <v>109222.5</v>
      </c>
      <c r="H187" s="1614">
        <v>108130.3</v>
      </c>
      <c r="I187" s="1614">
        <f>F187</f>
        <v>1092.2</v>
      </c>
      <c r="J187" s="1600">
        <f>SUM(K187:L187)</f>
        <v>106752.6</v>
      </c>
      <c r="K187" s="1614">
        <v>105685.1</v>
      </c>
      <c r="L187" s="1614">
        <v>1067.5</v>
      </c>
      <c r="M187" s="1893">
        <f t="shared" si="63"/>
        <v>97.7</v>
      </c>
      <c r="N187" s="1894">
        <f t="shared" si="63"/>
        <v>97.7</v>
      </c>
      <c r="O187" s="1894">
        <f t="shared" si="63"/>
        <v>97.7</v>
      </c>
      <c r="P187" s="2203" t="s">
        <v>1192</v>
      </c>
      <c r="Q187" s="2203" t="s">
        <v>1160</v>
      </c>
      <c r="R187" s="1600">
        <f t="shared" si="48"/>
        <v>172191.3</v>
      </c>
      <c r="S187" s="1614">
        <v>170469.4</v>
      </c>
      <c r="T187" s="1614">
        <v>1721.9</v>
      </c>
      <c r="U187" s="1600">
        <f t="shared" si="49"/>
        <v>0</v>
      </c>
      <c r="V187" s="1614">
        <v>0</v>
      </c>
      <c r="W187" s="1614">
        <v>0</v>
      </c>
      <c r="X187" s="1423">
        <f>D187-G187</f>
        <v>0</v>
      </c>
      <c r="Y187" s="1423"/>
      <c r="Z187" s="1423"/>
      <c r="AA187" s="1423"/>
    </row>
    <row r="188" spans="1:27" ht="60.75" hidden="1" customHeight="1">
      <c r="A188" s="2204" t="e">
        <f>A187+1</f>
        <v>#VALUE!</v>
      </c>
      <c r="B188" s="1916" t="s">
        <v>1810</v>
      </c>
      <c r="C188" s="1866"/>
      <c r="D188" s="1600">
        <f>SUM(E188:F188)</f>
        <v>24135.9</v>
      </c>
      <c r="E188" s="1614">
        <v>23894.5</v>
      </c>
      <c r="F188" s="1614">
        <v>241.4</v>
      </c>
      <c r="G188" s="1600">
        <f>SUM(H188:I188)</f>
        <v>24135.9</v>
      </c>
      <c r="H188" s="1614">
        <v>23894.5</v>
      </c>
      <c r="I188" s="1614">
        <v>241.4</v>
      </c>
      <c r="J188" s="1600">
        <f>SUM(K188:L188)</f>
        <v>0</v>
      </c>
      <c r="K188" s="1614"/>
      <c r="L188" s="1614"/>
      <c r="M188" s="1893">
        <f t="shared" si="63"/>
        <v>0</v>
      </c>
      <c r="N188" s="1894">
        <f t="shared" si="63"/>
        <v>0</v>
      </c>
      <c r="O188" s="1894">
        <f t="shared" si="63"/>
        <v>0</v>
      </c>
      <c r="P188" s="2203"/>
      <c r="Q188" s="2203"/>
      <c r="R188" s="1600"/>
      <c r="S188" s="1614"/>
      <c r="T188" s="1614"/>
      <c r="U188" s="1600"/>
      <c r="V188" s="1614"/>
      <c r="W188" s="1614"/>
      <c r="X188" s="1423"/>
      <c r="Y188" s="1423"/>
      <c r="Z188" s="1423"/>
      <c r="AA188" s="1423"/>
    </row>
    <row r="189" spans="1:27" ht="44.25" hidden="1" customHeight="1">
      <c r="A189" s="2204" t="e">
        <f>A188+1</f>
        <v>#VALUE!</v>
      </c>
      <c r="B189" s="1916" t="s">
        <v>1811</v>
      </c>
      <c r="C189" s="1866" t="s">
        <v>1547</v>
      </c>
      <c r="D189" s="1600">
        <f>SUM(E189:F189)</f>
        <v>79648.5</v>
      </c>
      <c r="E189" s="1614">
        <v>78852</v>
      </c>
      <c r="F189" s="1614">
        <v>796.5</v>
      </c>
      <c r="G189" s="1600">
        <f>SUM(H189:I189)</f>
        <v>79648.5</v>
      </c>
      <c r="H189" s="1614">
        <v>78852</v>
      </c>
      <c r="I189" s="1614">
        <v>796.5</v>
      </c>
      <c r="J189" s="1600">
        <f>SUM(K189:L189)</f>
        <v>0</v>
      </c>
      <c r="K189" s="1614"/>
      <c r="L189" s="1614"/>
      <c r="M189" s="1893">
        <f t="shared" si="63"/>
        <v>0</v>
      </c>
      <c r="N189" s="1894">
        <f t="shared" si="63"/>
        <v>0</v>
      </c>
      <c r="O189" s="1894">
        <f t="shared" si="63"/>
        <v>0</v>
      </c>
      <c r="P189" s="2203" t="s">
        <v>1192</v>
      </c>
      <c r="Q189" s="2203" t="s">
        <v>1159</v>
      </c>
      <c r="R189" s="1600">
        <f t="shared" si="48"/>
        <v>163617.9</v>
      </c>
      <c r="S189" s="1614">
        <v>161981.70000000001</v>
      </c>
      <c r="T189" s="1614">
        <v>1636.2</v>
      </c>
      <c r="U189" s="1600">
        <f t="shared" si="49"/>
        <v>0</v>
      </c>
      <c r="V189" s="1614">
        <v>0</v>
      </c>
      <c r="W189" s="1614">
        <v>0</v>
      </c>
      <c r="X189" s="1423">
        <f>D189-G189</f>
        <v>0</v>
      </c>
      <c r="Y189" s="1423"/>
      <c r="Z189" s="1423"/>
      <c r="AA189" s="1423"/>
    </row>
    <row r="190" spans="1:27" ht="19.5" hidden="1" customHeight="1">
      <c r="A190" s="2204"/>
      <c r="B190" s="1897" t="s">
        <v>1648</v>
      </c>
      <c r="C190" s="1899">
        <v>47690.1</v>
      </c>
      <c r="D190" s="1899">
        <f>D191+D193+D192</f>
        <v>0</v>
      </c>
      <c r="E190" s="1899">
        <f t="shared" ref="E190:W190" si="70">E191+E193+E192</f>
        <v>0</v>
      </c>
      <c r="F190" s="1899">
        <f t="shared" si="70"/>
        <v>0</v>
      </c>
      <c r="G190" s="1899">
        <f t="shared" si="70"/>
        <v>0</v>
      </c>
      <c r="H190" s="1899">
        <f t="shared" si="70"/>
        <v>0</v>
      </c>
      <c r="I190" s="1899">
        <f t="shared" si="70"/>
        <v>0</v>
      </c>
      <c r="J190" s="1899">
        <f t="shared" si="70"/>
        <v>0</v>
      </c>
      <c r="K190" s="1899">
        <f t="shared" si="70"/>
        <v>0</v>
      </c>
      <c r="L190" s="1899">
        <f t="shared" si="70"/>
        <v>0</v>
      </c>
      <c r="M190" s="1899">
        <f t="shared" si="63"/>
        <v>0</v>
      </c>
      <c r="N190" s="1899">
        <f t="shared" si="63"/>
        <v>0</v>
      </c>
      <c r="O190" s="1899">
        <f t="shared" si="63"/>
        <v>0</v>
      </c>
      <c r="P190" s="1899">
        <f t="shared" si="70"/>
        <v>0</v>
      </c>
      <c r="Q190" s="1899">
        <f t="shared" si="70"/>
        <v>0</v>
      </c>
      <c r="R190" s="1899">
        <f t="shared" si="70"/>
        <v>182695.3</v>
      </c>
      <c r="S190" s="1899">
        <f t="shared" si="70"/>
        <v>180868.3</v>
      </c>
      <c r="T190" s="1899">
        <f t="shared" si="70"/>
        <v>1827</v>
      </c>
      <c r="U190" s="1899">
        <f t="shared" si="70"/>
        <v>272422.7</v>
      </c>
      <c r="V190" s="1899">
        <f t="shared" si="70"/>
        <v>269698.5</v>
      </c>
      <c r="W190" s="1899">
        <f t="shared" si="70"/>
        <v>2724.2</v>
      </c>
      <c r="Y190" s="1423"/>
      <c r="Z190" s="1423"/>
      <c r="AA190" s="1423"/>
    </row>
    <row r="191" spans="1:27" ht="21" hidden="1" customHeight="1">
      <c r="A191" s="2204" t="e">
        <f>A189+1</f>
        <v>#VALUE!</v>
      </c>
      <c r="B191" s="1916" t="s">
        <v>1467</v>
      </c>
      <c r="C191" s="1866"/>
      <c r="D191" s="1600">
        <v>0</v>
      </c>
      <c r="E191" s="1614">
        <v>0</v>
      </c>
      <c r="F191" s="1614">
        <v>0</v>
      </c>
      <c r="G191" s="1600">
        <v>0</v>
      </c>
      <c r="H191" s="1614">
        <v>0</v>
      </c>
      <c r="I191" s="1614">
        <v>0</v>
      </c>
      <c r="J191" s="1600">
        <v>0</v>
      </c>
      <c r="K191" s="1614">
        <v>0</v>
      </c>
      <c r="L191" s="1614">
        <v>0</v>
      </c>
      <c r="M191" s="1893">
        <f t="shared" si="63"/>
        <v>0</v>
      </c>
      <c r="N191" s="1894">
        <f t="shared" si="63"/>
        <v>0</v>
      </c>
      <c r="O191" s="1894">
        <f t="shared" si="63"/>
        <v>0</v>
      </c>
      <c r="P191" s="2203"/>
      <c r="Q191" s="2203"/>
      <c r="R191" s="1600">
        <f>S191+T191</f>
        <v>82695.3</v>
      </c>
      <c r="S191" s="1614">
        <v>81868.3</v>
      </c>
      <c r="T191" s="1614">
        <v>827</v>
      </c>
      <c r="U191" s="1600">
        <f>V191+W191</f>
        <v>69829.7</v>
      </c>
      <c r="V191" s="1614">
        <v>69131.7</v>
      </c>
      <c r="W191" s="1614">
        <v>698</v>
      </c>
      <c r="Y191" s="1423"/>
      <c r="Z191" s="1423"/>
      <c r="AA191" s="1423"/>
    </row>
    <row r="192" spans="1:27" ht="39.75" hidden="1" customHeight="1">
      <c r="A192" s="2204" t="e">
        <f t="shared" si="69"/>
        <v>#VALUE!</v>
      </c>
      <c r="B192" s="1916" t="s">
        <v>1647</v>
      </c>
      <c r="C192" s="1866"/>
      <c r="D192" s="1600">
        <v>0</v>
      </c>
      <c r="E192" s="1614">
        <v>0</v>
      </c>
      <c r="F192" s="1614">
        <v>0</v>
      </c>
      <c r="G192" s="1600">
        <v>0</v>
      </c>
      <c r="H192" s="1614">
        <v>0</v>
      </c>
      <c r="I192" s="1614">
        <v>0</v>
      </c>
      <c r="J192" s="1600">
        <v>0</v>
      </c>
      <c r="K192" s="1614">
        <v>0</v>
      </c>
      <c r="L192" s="1614">
        <v>0</v>
      </c>
      <c r="M192" s="1893">
        <f t="shared" si="63"/>
        <v>0</v>
      </c>
      <c r="N192" s="1894">
        <f t="shared" si="63"/>
        <v>0</v>
      </c>
      <c r="O192" s="1894">
        <f t="shared" si="63"/>
        <v>0</v>
      </c>
      <c r="P192" s="2203"/>
      <c r="Q192" s="2203"/>
      <c r="R192" s="1600">
        <f>S192+T192</f>
        <v>100000</v>
      </c>
      <c r="S192" s="1614">
        <v>99000</v>
      </c>
      <c r="T192" s="1614">
        <v>1000</v>
      </c>
      <c r="U192" s="1600">
        <f>V192+W192</f>
        <v>0</v>
      </c>
      <c r="V192" s="1614">
        <v>0</v>
      </c>
      <c r="W192" s="1614">
        <v>0</v>
      </c>
      <c r="Y192" s="1423"/>
      <c r="Z192" s="1423"/>
      <c r="AA192" s="1423"/>
    </row>
    <row r="193" spans="1:27" ht="24.75" hidden="1" customHeight="1">
      <c r="A193" s="2204" t="e">
        <f t="shared" si="69"/>
        <v>#VALUE!</v>
      </c>
      <c r="B193" s="1916" t="s">
        <v>1646</v>
      </c>
      <c r="C193" s="1866"/>
      <c r="D193" s="1600">
        <f t="shared" ref="D193:D202" si="71">SUM(E193:F193)</f>
        <v>0</v>
      </c>
      <c r="E193" s="1614">
        <v>0</v>
      </c>
      <c r="F193" s="1614">
        <v>0</v>
      </c>
      <c r="G193" s="1600">
        <f t="shared" ref="G193:G197" si="72">SUM(H193:I193)</f>
        <v>0</v>
      </c>
      <c r="H193" s="1614">
        <v>0</v>
      </c>
      <c r="I193" s="1614">
        <v>0</v>
      </c>
      <c r="J193" s="1600">
        <f t="shared" ref="J193:J200" si="73">SUM(K193:L193)</f>
        <v>0</v>
      </c>
      <c r="K193" s="1614">
        <v>0</v>
      </c>
      <c r="L193" s="1614">
        <v>0</v>
      </c>
      <c r="M193" s="1600">
        <f t="shared" si="63"/>
        <v>0</v>
      </c>
      <c r="N193" s="1614">
        <f t="shared" si="63"/>
        <v>0</v>
      </c>
      <c r="O193" s="1614">
        <f t="shared" si="63"/>
        <v>0</v>
      </c>
      <c r="P193" s="2203"/>
      <c r="Q193" s="2203"/>
      <c r="R193" s="1600">
        <f>S193+T193</f>
        <v>0</v>
      </c>
      <c r="S193" s="1614">
        <v>0</v>
      </c>
      <c r="T193" s="1614">
        <v>0</v>
      </c>
      <c r="U193" s="1600">
        <f>V193+W193</f>
        <v>202593</v>
      </c>
      <c r="V193" s="1614">
        <v>200566.8</v>
      </c>
      <c r="W193" s="1614">
        <v>2026.2</v>
      </c>
      <c r="Y193" s="1423"/>
      <c r="Z193" s="1423"/>
      <c r="AA193" s="1423"/>
    </row>
    <row r="194" spans="1:27" ht="23.25" hidden="1">
      <c r="A194" s="2204"/>
      <c r="B194" s="1897" t="s">
        <v>1470</v>
      </c>
      <c r="C194" s="1898"/>
      <c r="D194" s="1899">
        <f t="shared" si="71"/>
        <v>38809.800000000003</v>
      </c>
      <c r="E194" s="1899">
        <f>SUM(E195)</f>
        <v>38005.9</v>
      </c>
      <c r="F194" s="1899">
        <f>SUM(F195)</f>
        <v>803.9</v>
      </c>
      <c r="G194" s="1899">
        <f>SUM(H194:I194)</f>
        <v>38809.800000000003</v>
      </c>
      <c r="H194" s="1899">
        <f>SUM(H195)</f>
        <v>38005.9</v>
      </c>
      <c r="I194" s="1899">
        <f>SUM(I195)</f>
        <v>803.9</v>
      </c>
      <c r="J194" s="1899">
        <f t="shared" si="73"/>
        <v>24986</v>
      </c>
      <c r="K194" s="1899">
        <f>SUM(K195)</f>
        <v>24736.1</v>
      </c>
      <c r="L194" s="1899">
        <f>SUM(L195)</f>
        <v>249.9</v>
      </c>
      <c r="M194" s="1910">
        <f t="shared" si="63"/>
        <v>64.400000000000006</v>
      </c>
      <c r="N194" s="1911">
        <f t="shared" si="63"/>
        <v>65.099999999999994</v>
      </c>
      <c r="O194" s="1911">
        <f t="shared" si="63"/>
        <v>31.1</v>
      </c>
      <c r="P194" s="1599"/>
      <c r="Q194" s="1599"/>
      <c r="R194" s="1899">
        <f t="shared" si="48"/>
        <v>0</v>
      </c>
      <c r="S194" s="1899">
        <f>SUM(S195)</f>
        <v>0</v>
      </c>
      <c r="T194" s="1899">
        <f>SUM(T195)</f>
        <v>0</v>
      </c>
      <c r="U194" s="1899">
        <f t="shared" si="49"/>
        <v>0</v>
      </c>
      <c r="V194" s="1899">
        <f>SUM(V195)</f>
        <v>0</v>
      </c>
      <c r="W194" s="1899">
        <f>SUM(W195)</f>
        <v>0</v>
      </c>
      <c r="X194" s="1423">
        <f>D194-G194</f>
        <v>0</v>
      </c>
      <c r="Y194" s="1423"/>
      <c r="Z194" s="1423"/>
      <c r="AA194" s="1423"/>
    </row>
    <row r="195" spans="1:27" ht="44.25" hidden="1" customHeight="1">
      <c r="A195" s="2204" t="e">
        <f>A189+1</f>
        <v>#VALUE!</v>
      </c>
      <c r="B195" s="1888" t="s">
        <v>1472</v>
      </c>
      <c r="C195" s="2204" t="s">
        <v>1549</v>
      </c>
      <c r="D195" s="1600">
        <f t="shared" si="71"/>
        <v>38809.800000000003</v>
      </c>
      <c r="E195" s="1614">
        <v>38005.9</v>
      </c>
      <c r="F195" s="1614">
        <f>10828.3-10444.4+420</f>
        <v>803.9</v>
      </c>
      <c r="G195" s="1600">
        <f t="shared" si="72"/>
        <v>38809.800000000003</v>
      </c>
      <c r="H195" s="1616">
        <f>E195</f>
        <v>38005.9</v>
      </c>
      <c r="I195" s="1614">
        <f>F195</f>
        <v>803.9</v>
      </c>
      <c r="J195" s="1600">
        <f t="shared" si="73"/>
        <v>24986</v>
      </c>
      <c r="K195" s="1614">
        <v>24736.1</v>
      </c>
      <c r="L195" s="1614">
        <v>249.9</v>
      </c>
      <c r="M195" s="1604">
        <f t="shared" si="63"/>
        <v>64.400000000000006</v>
      </c>
      <c r="N195" s="1881">
        <f t="shared" si="63"/>
        <v>65.099999999999994</v>
      </c>
      <c r="O195" s="1881">
        <f t="shared" si="63"/>
        <v>31.1</v>
      </c>
      <c r="P195" s="2203" t="s">
        <v>1192</v>
      </c>
      <c r="Q195" s="2203" t="s">
        <v>1160</v>
      </c>
      <c r="R195" s="1600">
        <f>SUM(S195:T195)</f>
        <v>0</v>
      </c>
      <c r="S195" s="1614">
        <v>0</v>
      </c>
      <c r="T195" s="1614">
        <v>0</v>
      </c>
      <c r="U195" s="1600">
        <f>SUM(V195:W195)</f>
        <v>0</v>
      </c>
      <c r="V195" s="1614">
        <v>0</v>
      </c>
      <c r="W195" s="1614">
        <v>0</v>
      </c>
      <c r="X195" s="1423">
        <f>D195-G195</f>
        <v>0</v>
      </c>
      <c r="Y195" s="1423"/>
      <c r="Z195" s="1423"/>
      <c r="AA195" s="1423"/>
    </row>
    <row r="196" spans="1:27" ht="27" hidden="1" customHeight="1">
      <c r="A196" s="2204"/>
      <c r="B196" s="1897" t="s">
        <v>1650</v>
      </c>
      <c r="C196" s="1898"/>
      <c r="D196" s="1899">
        <f t="shared" si="71"/>
        <v>0</v>
      </c>
      <c r="E196" s="1899">
        <f>SUM(E197)</f>
        <v>0</v>
      </c>
      <c r="F196" s="1899">
        <f>SUM(F197)</f>
        <v>0</v>
      </c>
      <c r="G196" s="1899">
        <f t="shared" si="72"/>
        <v>0</v>
      </c>
      <c r="H196" s="1899">
        <f>SUM(H197)</f>
        <v>0</v>
      </c>
      <c r="I196" s="1899">
        <f>SUM(I197)</f>
        <v>0</v>
      </c>
      <c r="J196" s="1899">
        <f t="shared" si="73"/>
        <v>0</v>
      </c>
      <c r="K196" s="1899">
        <f>SUM(K197)</f>
        <v>0</v>
      </c>
      <c r="L196" s="1899">
        <f>SUM(L197)</f>
        <v>0</v>
      </c>
      <c r="M196" s="1910">
        <f t="shared" si="63"/>
        <v>0</v>
      </c>
      <c r="N196" s="1911">
        <f t="shared" si="63"/>
        <v>0</v>
      </c>
      <c r="O196" s="1911">
        <f t="shared" si="63"/>
        <v>0</v>
      </c>
      <c r="P196" s="1599"/>
      <c r="Q196" s="1599"/>
      <c r="R196" s="1899">
        <f>SUM(S196:T196)</f>
        <v>0</v>
      </c>
      <c r="S196" s="1899">
        <f>SUM(S197)</f>
        <v>0</v>
      </c>
      <c r="T196" s="1899">
        <f>SUM(T197)</f>
        <v>0</v>
      </c>
      <c r="U196" s="1899">
        <f>SUM(V196:W196)</f>
        <v>788784.8</v>
      </c>
      <c r="V196" s="1899">
        <f>SUM(V197)</f>
        <v>780897</v>
      </c>
      <c r="W196" s="1899">
        <f>SUM(W197)</f>
        <v>7887.8</v>
      </c>
      <c r="Y196" s="1423"/>
      <c r="Z196" s="1423"/>
      <c r="AA196" s="1423"/>
    </row>
    <row r="197" spans="1:27" s="1607" customFormat="1" ht="44.25" hidden="1" customHeight="1">
      <c r="A197" s="2204" t="e">
        <f>A195+1</f>
        <v>#VALUE!</v>
      </c>
      <c r="B197" s="1890" t="s">
        <v>455</v>
      </c>
      <c r="C197" s="1880">
        <v>14057</v>
      </c>
      <c r="D197" s="1600">
        <f t="shared" si="71"/>
        <v>0</v>
      </c>
      <c r="E197" s="1614"/>
      <c r="F197" s="1614"/>
      <c r="G197" s="1600">
        <f t="shared" si="72"/>
        <v>0</v>
      </c>
      <c r="H197" s="1614"/>
      <c r="I197" s="1614"/>
      <c r="J197" s="1600">
        <f t="shared" si="73"/>
        <v>0</v>
      </c>
      <c r="K197" s="1614"/>
      <c r="L197" s="1614"/>
      <c r="M197" s="1604">
        <f t="shared" si="63"/>
        <v>0</v>
      </c>
      <c r="N197" s="1881">
        <f t="shared" si="63"/>
        <v>0</v>
      </c>
      <c r="O197" s="1881">
        <f t="shared" si="63"/>
        <v>0</v>
      </c>
      <c r="P197" s="2203" t="s">
        <v>1192</v>
      </c>
      <c r="Q197" s="2203" t="s">
        <v>1206</v>
      </c>
      <c r="R197" s="1600">
        <f>SUM(S197:T197)</f>
        <v>0</v>
      </c>
      <c r="S197" s="1614">
        <v>0</v>
      </c>
      <c r="T197" s="1614">
        <v>0</v>
      </c>
      <c r="U197" s="1600">
        <f>SUM(V197:W197)</f>
        <v>788784.8</v>
      </c>
      <c r="V197" s="1614">
        <v>780897</v>
      </c>
      <c r="W197" s="1614">
        <v>7887.8</v>
      </c>
      <c r="Y197" s="1423"/>
      <c r="Z197" s="1423"/>
      <c r="AA197" s="1423"/>
    </row>
    <row r="198" spans="1:27" s="1607" customFormat="1" ht="44.25" hidden="1" customHeight="1">
      <c r="A198" s="2204"/>
      <c r="B198" s="1890"/>
      <c r="C198" s="1880"/>
      <c r="D198" s="1600"/>
      <c r="E198" s="1614"/>
      <c r="F198" s="1614"/>
      <c r="G198" s="1600"/>
      <c r="H198" s="1614"/>
      <c r="I198" s="1614"/>
      <c r="J198" s="1600"/>
      <c r="K198" s="1600"/>
      <c r="L198" s="1600"/>
      <c r="M198" s="1604"/>
      <c r="N198" s="1881"/>
      <c r="O198" s="1881"/>
      <c r="P198" s="2203"/>
      <c r="Q198" s="2203"/>
      <c r="R198" s="1600"/>
      <c r="S198" s="1614"/>
      <c r="T198" s="1614"/>
      <c r="U198" s="1600"/>
      <c r="V198" s="1614"/>
      <c r="W198" s="1614"/>
      <c r="Y198" s="1423"/>
      <c r="Z198" s="1423"/>
      <c r="AA198" s="1423"/>
    </row>
    <row r="199" spans="1:27" ht="64.5" hidden="1" customHeight="1">
      <c r="A199" s="2044" t="s">
        <v>251</v>
      </c>
      <c r="B199" s="2046" t="s">
        <v>1435</v>
      </c>
      <c r="C199" s="2047"/>
      <c r="D199" s="2048">
        <f t="shared" si="71"/>
        <v>3517376.4</v>
      </c>
      <c r="E199" s="2048">
        <f>SUBTOTAL(9,E200:E203)</f>
        <v>3226945.6</v>
      </c>
      <c r="F199" s="2048">
        <f>SUBTOTAL(9,F200:F203)</f>
        <v>290430.8</v>
      </c>
      <c r="G199" s="2048">
        <f>SUM(H199:I199)</f>
        <v>3517376.4</v>
      </c>
      <c r="H199" s="2048">
        <f>SUBTOTAL(9,H200:H203)</f>
        <v>3226945.6</v>
      </c>
      <c r="I199" s="2048">
        <f>SUBTOTAL(9,I200:I203)</f>
        <v>290430.8</v>
      </c>
      <c r="J199" s="2048">
        <f t="shared" si="73"/>
        <v>1693209.6000000001</v>
      </c>
      <c r="K199" s="2048">
        <f>K200+K201+K202+K203</f>
        <v>1554028.7</v>
      </c>
      <c r="L199" s="2048">
        <f>L200+L201+L202+L203</f>
        <v>139180.9</v>
      </c>
      <c r="M199" s="2048">
        <f t="shared" si="63"/>
        <v>48.1</v>
      </c>
      <c r="N199" s="2048">
        <f t="shared" si="63"/>
        <v>48.2</v>
      </c>
      <c r="O199" s="2048">
        <f t="shared" si="63"/>
        <v>47.9</v>
      </c>
      <c r="P199" s="1860" t="e">
        <f>P204+P212+P215+P218+P221+P224+P228+P232+#REF!+#REF!+P235+P239+P243+P246+P252+P255+P258+P262+P266+P268+P271+P274+P277+P282+P284+P287+P291+P295+#REF!+P298</f>
        <v>#REF!</v>
      </c>
      <c r="Q199" s="1860" t="e">
        <f>Q204+Q212+Q215+Q218+Q221+Q224+Q228+Q232+#REF!+#REF!+Q235+Q239+Q243+Q246+Q252+Q255+Q258+Q262+Q266+Q268+Q271+Q274+Q277+Q282+Q284+Q287+Q291+Q295+#REF!+Q298</f>
        <v>#REF!</v>
      </c>
      <c r="R199" s="1860" t="e">
        <f>R204+R212+R215+R218+R221+R224+R228+R232+#REF!+#REF!+R235+R239+R243+R246+R252+R255+R258+R262+R266+R268+R271+R274+R277+R282+R284+R287+R291+R295+#REF!+R298</f>
        <v>#REF!</v>
      </c>
      <c r="S199" s="1860" t="e">
        <f>S204+S212+S215+S218+S221+S224+S228+S232+#REF!+#REF!+S235+S239+S243+S246+S252+S255+S258+S262+S266+S268+S271+S274+S277+S282+S284+S287+S291+S295+#REF!+S298</f>
        <v>#REF!</v>
      </c>
      <c r="T199" s="1860" t="e">
        <f>T204+T212+T215+T218+T221+T224+T228+T232+#REF!+#REF!+T235+T239+T243+T246+T252+T255+T258+T262+T266+T268+T271+T274+T277+T282+T284+T287+T291+T295+#REF!+T298</f>
        <v>#REF!</v>
      </c>
      <c r="U199" s="1860" t="e">
        <f>U204+U212+U215+U218+U221+U224+U228+U232+#REF!+#REF!+U235+U239+U243+U246+U252+U255+U258+U262+U266+U268+U271+U274+U277+U282+U284+U287+U291+U295+#REF!+U298</f>
        <v>#REF!</v>
      </c>
      <c r="V199" s="1860" t="e">
        <f>V204+V212+V215+V218+V221+V224+V228+V232+#REF!+#REF!+V235+V239+V243+V246+V252+V255+V258+V262+V266+V268+V271+V274+V277+V282+V284+V287+V291+V295+#REF!+V298</f>
        <v>#REF!</v>
      </c>
      <c r="W199" s="1860" t="e">
        <f>W204+W212+W215+W218+W221+W224+W228+W232+#REF!+#REF!+W235+W239+W243+W246+W252+W255+W258+W262+W266+W268+W271+W274+W277+W282+W284+W287+W291+W295+#REF!+W298</f>
        <v>#REF!</v>
      </c>
      <c r="X199" s="1423">
        <f>D199-G199</f>
        <v>0</v>
      </c>
      <c r="Y199" s="1423"/>
      <c r="Z199" s="1423"/>
      <c r="AA199" s="1423"/>
    </row>
    <row r="200" spans="1:27" ht="23.25" hidden="1">
      <c r="A200" s="2044"/>
      <c r="B200" s="2049" t="s">
        <v>1699</v>
      </c>
      <c r="C200" s="2047"/>
      <c r="D200" s="2048">
        <f>SUM(E200:F200)</f>
        <v>2675187.6</v>
      </c>
      <c r="E200" s="2048">
        <f>E208+E213+E216+E222+E229+E233+E240+E244+E253+E256+E259+E263+E267+E269+E272+E275+E278+E283+E285+E288+E292+E296+E299+E219+E225+E236+E209</f>
        <v>2514202.4</v>
      </c>
      <c r="F200" s="2048">
        <f>F208+F213+F216+F222+F229+F233+F240+F244+F253+F256+F259+F263+F267+F269+F272+F275+F278+F283+F285+F288+F292+F296+F299+F219+F225+F236+F209</f>
        <v>160985.20000000001</v>
      </c>
      <c r="G200" s="2048">
        <f>SUM(H200:I200)</f>
        <v>2675187.6</v>
      </c>
      <c r="H200" s="2048">
        <f>H208+H213+H216+H222+H229+H233+H240+H244+H253+H256+H259+H263+H267+H269+H272+H275+H278+H283+H285+H288+H292+H296+H299+H219+H225+H236+H209</f>
        <v>2514202.4</v>
      </c>
      <c r="I200" s="2048">
        <f>I208+I213+I216+I222+I229+I233+I240+I244+I253+I256+I259+I263+I267+I269+I272+I275+I278+I283+I285+I288+I292+I296+I299+I219+I225+I236+I209</f>
        <v>160985.20000000001</v>
      </c>
      <c r="J200" s="2048">
        <f t="shared" si="73"/>
        <v>1249761.1000000001</v>
      </c>
      <c r="K200" s="2048">
        <f>K208+K213+K216+K222+K229+K233+K240+K244+K253+K256+K259+K263+K267+K269+K272+K275+K278+K283+K285+K288+K292+K296+K299+K219+K225+K236+K209</f>
        <v>1174647.3999999999</v>
      </c>
      <c r="L200" s="2048">
        <f>L208+L213+L216+L222+L229+L233+L240+L244+L253+L256+L259+L263+L267+L269+L272+L275+L278+L283+L285+L288+L292+L296+L299+L219+L225+L236+L209</f>
        <v>75113.7</v>
      </c>
      <c r="M200" s="2048">
        <f t="shared" si="63"/>
        <v>46.7</v>
      </c>
      <c r="N200" s="2048">
        <f t="shared" si="63"/>
        <v>46.7</v>
      </c>
      <c r="O200" s="2048">
        <f t="shared" si="63"/>
        <v>46.7</v>
      </c>
      <c r="P200" s="1860"/>
      <c r="Q200" s="1860"/>
      <c r="R200" s="1860"/>
      <c r="S200" s="1860"/>
      <c r="T200" s="1860"/>
      <c r="U200" s="1860"/>
      <c r="V200" s="1860"/>
      <c r="W200" s="1860"/>
      <c r="X200" s="1423">
        <f>D200-G200</f>
        <v>0</v>
      </c>
      <c r="Y200" s="1423"/>
      <c r="Z200" s="1423"/>
      <c r="AA200" s="1423"/>
    </row>
    <row r="201" spans="1:27" ht="37.5" hidden="1">
      <c r="A201" s="2044"/>
      <c r="B201" s="2049" t="s">
        <v>1798</v>
      </c>
      <c r="C201" s="2047"/>
      <c r="D201" s="2048">
        <f>E201+F201</f>
        <v>452520.5</v>
      </c>
      <c r="E201" s="2048">
        <f>E226+E230+E237+E241+E260+E264+E279+E290</f>
        <v>425356.1</v>
      </c>
      <c r="F201" s="2048">
        <f>F226+F230+F237+F241+F260+F264+F279+F290</f>
        <v>27164.400000000001</v>
      </c>
      <c r="G201" s="2048">
        <f>H201+I201</f>
        <v>452520.5</v>
      </c>
      <c r="H201" s="2048">
        <f>H226+H230+H237+H241+H260+H264+H279+H290</f>
        <v>425356.1</v>
      </c>
      <c r="I201" s="2048">
        <f>I226+I230+I237+I241+I260+I264+I279+I290</f>
        <v>27164.400000000001</v>
      </c>
      <c r="J201" s="2048">
        <f>K201+L201</f>
        <v>222096.2</v>
      </c>
      <c r="K201" s="2048">
        <f>K226+K230+K237+K241+K260+K264+K279+K290</f>
        <v>208768.1</v>
      </c>
      <c r="L201" s="2048">
        <f>L226+L230+L237+L241+L260+L264+L279+L290</f>
        <v>13328.1</v>
      </c>
      <c r="M201" s="2048"/>
      <c r="N201" s="2048"/>
      <c r="O201" s="2048"/>
      <c r="P201" s="1860"/>
      <c r="Q201" s="1860"/>
      <c r="R201" s="1860"/>
      <c r="S201" s="1860"/>
      <c r="T201" s="1860"/>
      <c r="U201" s="1860"/>
      <c r="V201" s="1860"/>
      <c r="W201" s="1860"/>
      <c r="X201" s="1423"/>
      <c r="Y201" s="1423"/>
      <c r="Z201" s="1423"/>
      <c r="AA201" s="1423"/>
    </row>
    <row r="202" spans="1:27" ht="26.25" hidden="1" customHeight="1">
      <c r="A202" s="2044"/>
      <c r="B202" s="2049" t="s">
        <v>1770</v>
      </c>
      <c r="C202" s="2047"/>
      <c r="D202" s="2048">
        <f t="shared" si="71"/>
        <v>306117.59999999998</v>
      </c>
      <c r="E202" s="2049">
        <f>E205+E210+E214+E217+E220+E223+E227+E231+E234+E242+E245+E247+E254+E261+E265+E280+E286+E293+E297+E300+E250</f>
        <v>287387.09999999998</v>
      </c>
      <c r="F202" s="2049">
        <f>F205+F210+F214+F217+F220+F223+F227+F231+F234+F242+F245+F247+F254+F261+F265+F280+F286+F293+F297+F300+F250</f>
        <v>18730.5</v>
      </c>
      <c r="G202" s="2048">
        <f>SUM(H202:I202)</f>
        <v>306117.59999999998</v>
      </c>
      <c r="H202" s="2049">
        <f>H205+H210+H214+H217+H220+H223+H227+H231+H234+H242+H245+H247+H254+H261+H265+H280+H286+H293+H297+H300+H250</f>
        <v>287387.09999999998</v>
      </c>
      <c r="I202" s="2049">
        <f>I205+I210+I214+I217+I220+I223+I227+I231+I234+I242+I245+I247+I254+I261+I265+I280+I286+I293+I297+I300+I250</f>
        <v>18730.5</v>
      </c>
      <c r="J202" s="2048">
        <f>SUM(K202:L202)</f>
        <v>181720</v>
      </c>
      <c r="K202" s="2049">
        <f>K205+K210+K214+K217+K220+K223+K227+K231+K234+K242+K245+K247+K254+K261+K265+K280+K286+K293+K297+K300+K250</f>
        <v>170613.2</v>
      </c>
      <c r="L202" s="2049">
        <f>L205+L210+L214+L217+L220+L223+L227+L231+L234+L242+L245+L247+L254+L261+L265+L280+L286+L293+L297+L300+L250</f>
        <v>11106.8</v>
      </c>
      <c r="M202" s="2049">
        <f>IF(J202=0,0,J202/G202*100)</f>
        <v>59.4</v>
      </c>
      <c r="N202" s="2049">
        <f>IF(K202=0,0,K202/H202*100)</f>
        <v>59.4</v>
      </c>
      <c r="O202" s="2049">
        <f>IF(L202=0,0,L202/I202*100)</f>
        <v>59.3</v>
      </c>
      <c r="P202" s="2203"/>
      <c r="Q202" s="2203"/>
      <c r="R202" s="1600"/>
      <c r="S202" s="1619"/>
      <c r="T202" s="1619"/>
      <c r="U202" s="1600"/>
      <c r="V202" s="1619"/>
      <c r="W202" s="1619"/>
      <c r="X202" s="1423">
        <f t="shared" ref="X202:X207" si="74">D202-G202</f>
        <v>0</v>
      </c>
      <c r="Y202" s="1423"/>
      <c r="Z202" s="1423"/>
      <c r="AA202" s="1423"/>
    </row>
    <row r="203" spans="1:27" ht="23.25" hidden="1">
      <c r="A203" s="2044"/>
      <c r="B203" s="2049" t="s">
        <v>1700</v>
      </c>
      <c r="C203" s="2047"/>
      <c r="D203" s="2048">
        <f t="shared" ref="D203:L203" si="75">D206+D211+D238+D248+D257+D273+D294+D251+D276+D281</f>
        <v>83550.7</v>
      </c>
      <c r="E203" s="2048">
        <f t="shared" si="75"/>
        <v>0</v>
      </c>
      <c r="F203" s="2048">
        <f t="shared" si="75"/>
        <v>83550.7</v>
      </c>
      <c r="G203" s="2048">
        <f t="shared" si="75"/>
        <v>83550.7</v>
      </c>
      <c r="H203" s="2048">
        <f t="shared" si="75"/>
        <v>0</v>
      </c>
      <c r="I203" s="2048">
        <f t="shared" si="75"/>
        <v>83550.7</v>
      </c>
      <c r="J203" s="2048">
        <f t="shared" si="75"/>
        <v>39632.300000000003</v>
      </c>
      <c r="K203" s="2048">
        <f t="shared" si="75"/>
        <v>0</v>
      </c>
      <c r="L203" s="2048">
        <f t="shared" si="75"/>
        <v>39632.300000000003</v>
      </c>
      <c r="M203" s="2048">
        <f t="shared" si="63"/>
        <v>47.4</v>
      </c>
      <c r="N203" s="2048">
        <f t="shared" si="63"/>
        <v>0</v>
      </c>
      <c r="O203" s="2048">
        <f t="shared" si="63"/>
        <v>47.4</v>
      </c>
      <c r="P203" s="1860"/>
      <c r="Q203" s="1860"/>
      <c r="R203" s="1860"/>
      <c r="S203" s="1860"/>
      <c r="T203" s="1860"/>
      <c r="U203" s="1860"/>
      <c r="V203" s="1860"/>
      <c r="W203" s="1860"/>
      <c r="X203" s="1423">
        <f t="shared" si="74"/>
        <v>0</v>
      </c>
      <c r="Y203" s="1423"/>
      <c r="Z203" s="1423"/>
      <c r="AA203" s="1423"/>
    </row>
    <row r="204" spans="1:27" ht="67.5" hidden="1" customHeight="1">
      <c r="A204" s="2204" t="e">
        <f>A195+1</f>
        <v>#VALUE!</v>
      </c>
      <c r="B204" s="1919" t="s">
        <v>1709</v>
      </c>
      <c r="C204" s="2205"/>
      <c r="D204" s="1602">
        <f>SUM(E204:F204)</f>
        <v>2924.2</v>
      </c>
      <c r="E204" s="1609">
        <f>E205+E206</f>
        <v>612.20000000000005</v>
      </c>
      <c r="F204" s="1609">
        <f>F205+F206</f>
        <v>2312</v>
      </c>
      <c r="G204" s="1602">
        <f>SUM(H204:I204)</f>
        <v>2924.2</v>
      </c>
      <c r="H204" s="1609">
        <f>H205+H206</f>
        <v>612.20000000000005</v>
      </c>
      <c r="I204" s="1609">
        <f>I205+I206</f>
        <v>2312</v>
      </c>
      <c r="J204" s="1602">
        <f>SUM(K204:L204)</f>
        <v>1759.3</v>
      </c>
      <c r="K204" s="1619">
        <f>K205+K206</f>
        <v>42.5</v>
      </c>
      <c r="L204" s="1609">
        <f>L205+L206</f>
        <v>1716.8</v>
      </c>
      <c r="M204" s="1602">
        <f t="shared" si="63"/>
        <v>60.2</v>
      </c>
      <c r="N204" s="1602">
        <f t="shared" si="63"/>
        <v>6.9</v>
      </c>
      <c r="O204" s="1602">
        <f t="shared" si="63"/>
        <v>74.3</v>
      </c>
      <c r="P204" s="2203"/>
      <c r="Q204" s="2203"/>
      <c r="R204" s="1600">
        <f>S204+T204</f>
        <v>0</v>
      </c>
      <c r="S204" s="1619">
        <v>0</v>
      </c>
      <c r="T204" s="1619">
        <v>0</v>
      </c>
      <c r="U204" s="1600">
        <f>V204+W204</f>
        <v>0</v>
      </c>
      <c r="V204" s="1619">
        <v>0</v>
      </c>
      <c r="W204" s="1619">
        <v>0</v>
      </c>
      <c r="X204" s="1423">
        <f t="shared" si="74"/>
        <v>0</v>
      </c>
      <c r="Y204" s="1423"/>
      <c r="Z204" s="1423"/>
      <c r="AA204" s="1423"/>
    </row>
    <row r="205" spans="1:27" ht="26.25" hidden="1" customHeight="1">
      <c r="A205" s="2204"/>
      <c r="B205" s="1609" t="s">
        <v>1770</v>
      </c>
      <c r="C205" s="2205"/>
      <c r="D205" s="1602">
        <f>SUM(E205:F205)</f>
        <v>652.79999999999995</v>
      </c>
      <c r="E205" s="1609">
        <v>612.20000000000005</v>
      </c>
      <c r="F205" s="1609">
        <v>40.6</v>
      </c>
      <c r="G205" s="1600">
        <f>SUM(H205:I205)</f>
        <v>652.79999999999995</v>
      </c>
      <c r="H205" s="1616">
        <f>E205</f>
        <v>612.20000000000005</v>
      </c>
      <c r="I205" s="1616">
        <f>F205</f>
        <v>40.6</v>
      </c>
      <c r="J205" s="1600">
        <f>SUM(K205:L205)</f>
        <v>45.3</v>
      </c>
      <c r="K205" s="1619">
        <v>42.5</v>
      </c>
      <c r="L205" s="1619">
        <v>2.8</v>
      </c>
      <c r="M205" s="1609">
        <f t="shared" si="63"/>
        <v>6.9</v>
      </c>
      <c r="N205" s="1609">
        <f t="shared" si="63"/>
        <v>6.9</v>
      </c>
      <c r="O205" s="1609">
        <f t="shared" si="63"/>
        <v>6.9</v>
      </c>
      <c r="P205" s="2203"/>
      <c r="Q205" s="2203"/>
      <c r="R205" s="1600"/>
      <c r="S205" s="1619"/>
      <c r="T205" s="1619"/>
      <c r="U205" s="1600"/>
      <c r="V205" s="1619"/>
      <c r="W205" s="1619"/>
      <c r="X205" s="1423">
        <f t="shared" si="74"/>
        <v>0</v>
      </c>
      <c r="Y205" s="1423"/>
      <c r="Z205" s="1423"/>
      <c r="AA205" s="1423"/>
    </row>
    <row r="206" spans="1:27" ht="23.25" hidden="1">
      <c r="A206" s="2204"/>
      <c r="B206" s="1609" t="s">
        <v>1621</v>
      </c>
      <c r="C206" s="2205"/>
      <c r="D206" s="1602">
        <f>SUM(E206:F206)</f>
        <v>2271.4</v>
      </c>
      <c r="E206" s="1609"/>
      <c r="F206" s="1609">
        <f>3988.8-1717.4</f>
        <v>2271.4</v>
      </c>
      <c r="G206" s="1600">
        <f>SUM(H206:I206)</f>
        <v>2271.4</v>
      </c>
      <c r="H206" s="1616">
        <f>E206</f>
        <v>0</v>
      </c>
      <c r="I206" s="1609">
        <f>3988.8-1717.4</f>
        <v>2271.4</v>
      </c>
      <c r="J206" s="1600">
        <f>SUM(K206:L206)</f>
        <v>1714</v>
      </c>
      <c r="K206" s="1619"/>
      <c r="L206" s="1619">
        <v>1714</v>
      </c>
      <c r="M206" s="1602">
        <f t="shared" si="63"/>
        <v>75.5</v>
      </c>
      <c r="N206" s="1602">
        <f t="shared" si="63"/>
        <v>0</v>
      </c>
      <c r="O206" s="1602">
        <f t="shared" si="63"/>
        <v>75.5</v>
      </c>
      <c r="P206" s="2203"/>
      <c r="Q206" s="2203"/>
      <c r="R206" s="1600">
        <f>S206+T206</f>
        <v>0</v>
      </c>
      <c r="S206" s="1619">
        <v>0</v>
      </c>
      <c r="T206" s="1619">
        <v>0</v>
      </c>
      <c r="U206" s="1600">
        <f>V206+W206</f>
        <v>0</v>
      </c>
      <c r="V206" s="1619">
        <v>0</v>
      </c>
      <c r="W206" s="1619">
        <v>0</v>
      </c>
      <c r="X206" s="1423">
        <f t="shared" si="74"/>
        <v>0</v>
      </c>
      <c r="Y206" s="1423"/>
      <c r="Z206" s="1423"/>
      <c r="AA206" s="1423"/>
    </row>
    <row r="207" spans="1:27" ht="38.25" hidden="1" customHeight="1">
      <c r="A207" s="2204" t="e">
        <f>A204+1</f>
        <v>#VALUE!</v>
      </c>
      <c r="B207" s="1919" t="s">
        <v>1702</v>
      </c>
      <c r="C207" s="2205"/>
      <c r="D207" s="1602">
        <f>SUM(E207:F207)</f>
        <v>130451.7</v>
      </c>
      <c r="E207" s="1609">
        <f>E208+E210+E211+E209</f>
        <v>117850.4</v>
      </c>
      <c r="F207" s="1609">
        <f>F208+F210+F211+F209</f>
        <v>12601.3</v>
      </c>
      <c r="G207" s="1602">
        <f>SUM(H207:I207)</f>
        <v>130451.7</v>
      </c>
      <c r="H207" s="1609">
        <f>H208+H210+H211+H209</f>
        <v>117850.4</v>
      </c>
      <c r="I207" s="1609">
        <f>I208+I210+I211+I209</f>
        <v>12601.3</v>
      </c>
      <c r="J207" s="1602">
        <f>SUM(K207:L207)</f>
        <v>63876.800000000003</v>
      </c>
      <c r="K207" s="1609">
        <f>K208+K210+K211+K209</f>
        <v>59584.4</v>
      </c>
      <c r="L207" s="1609">
        <f>L208+L210+L211+L209</f>
        <v>4292.3999999999996</v>
      </c>
      <c r="M207" s="1602">
        <f t="shared" si="63"/>
        <v>49</v>
      </c>
      <c r="N207" s="1602">
        <f t="shared" si="63"/>
        <v>50.6</v>
      </c>
      <c r="O207" s="1602">
        <f t="shared" si="63"/>
        <v>34.1</v>
      </c>
      <c r="P207" s="2203"/>
      <c r="Q207" s="2203"/>
      <c r="R207" s="1600"/>
      <c r="S207" s="1619"/>
      <c r="T207" s="1619"/>
      <c r="U207" s="1600"/>
      <c r="V207" s="1619"/>
      <c r="W207" s="1619"/>
      <c r="X207" s="1423">
        <f t="shared" si="74"/>
        <v>0</v>
      </c>
      <c r="Y207" s="1423"/>
      <c r="Z207" s="1423"/>
      <c r="AA207" s="1423"/>
    </row>
    <row r="208" spans="1:27" ht="19.5" hidden="1" customHeight="1">
      <c r="A208" s="2204"/>
      <c r="B208" s="1609"/>
      <c r="C208" s="2205"/>
      <c r="D208" s="1602"/>
      <c r="E208" s="1609"/>
      <c r="F208" s="1609"/>
      <c r="G208" s="1600"/>
      <c r="H208" s="1619">
        <f t="shared" ref="H208:I211" si="76">E208</f>
        <v>0</v>
      </c>
      <c r="I208" s="1619">
        <f t="shared" si="76"/>
        <v>0</v>
      </c>
      <c r="J208" s="1600"/>
      <c r="K208" s="1619"/>
      <c r="L208" s="1619"/>
      <c r="M208" s="1609">
        <f t="shared" si="63"/>
        <v>0</v>
      </c>
      <c r="N208" s="1609">
        <f t="shared" si="63"/>
        <v>0</v>
      </c>
      <c r="O208" s="1609">
        <f t="shared" si="63"/>
        <v>0</v>
      </c>
      <c r="P208" s="2203"/>
      <c r="Q208" s="2203"/>
      <c r="R208" s="1600"/>
      <c r="S208" s="1619"/>
      <c r="T208" s="1619"/>
      <c r="U208" s="1600"/>
      <c r="V208" s="1619"/>
      <c r="W208" s="1619"/>
      <c r="X208" s="1423"/>
      <c r="Y208" s="1423"/>
      <c r="Z208" s="1423"/>
      <c r="AA208" s="1423"/>
    </row>
    <row r="209" spans="1:27" ht="26.25" hidden="1" customHeight="1">
      <c r="A209" s="2204"/>
      <c r="B209" s="1609" t="s">
        <v>1821</v>
      </c>
      <c r="C209" s="2205"/>
      <c r="D209" s="1602">
        <f t="shared" ref="D209" si="77">SUM(E209:F209)</f>
        <v>4665.1000000000004</v>
      </c>
      <c r="E209" s="1609">
        <v>4370.7</v>
      </c>
      <c r="F209" s="1609">
        <v>294.39999999999998</v>
      </c>
      <c r="G209" s="1600">
        <f t="shared" ref="G209" si="78">SUM(H209:I209)</f>
        <v>4665.1000000000004</v>
      </c>
      <c r="H209" s="1616">
        <f t="shared" si="76"/>
        <v>4370.7</v>
      </c>
      <c r="I209" s="1616">
        <f t="shared" si="76"/>
        <v>294.39999999999998</v>
      </c>
      <c r="J209" s="1600">
        <f t="shared" ref="J209" si="79">SUM(K209:L209)</f>
        <v>0</v>
      </c>
      <c r="K209" s="1619"/>
      <c r="L209" s="1619"/>
      <c r="M209" s="1609">
        <f t="shared" si="63"/>
        <v>0</v>
      </c>
      <c r="N209" s="1609">
        <f t="shared" si="63"/>
        <v>0</v>
      </c>
      <c r="O209" s="1609">
        <f t="shared" si="63"/>
        <v>0</v>
      </c>
      <c r="P209" s="2203"/>
      <c r="Q209" s="2203"/>
      <c r="R209" s="1600"/>
      <c r="S209" s="1619"/>
      <c r="T209" s="1619"/>
      <c r="U209" s="1600"/>
      <c r="V209" s="1619"/>
      <c r="W209" s="1619"/>
      <c r="X209" s="1423">
        <f>D209-G209</f>
        <v>0</v>
      </c>
      <c r="Y209" s="1423"/>
      <c r="Z209" s="1423"/>
      <c r="AA209" s="1423"/>
    </row>
    <row r="210" spans="1:27" ht="26.25" hidden="1" customHeight="1">
      <c r="A210" s="2204"/>
      <c r="B210" s="1609" t="s">
        <v>1770</v>
      </c>
      <c r="C210" s="2205"/>
      <c r="D210" s="1602">
        <f t="shared" ref="D210:D245" si="80">SUM(E210:F210)</f>
        <v>121121.5</v>
      </c>
      <c r="E210" s="1609">
        <f>117850.4-4370.7</f>
        <v>113479.7</v>
      </c>
      <c r="F210" s="1609">
        <f>7936.2-294.4</f>
        <v>7641.8</v>
      </c>
      <c r="G210" s="1600">
        <f t="shared" ref="G210:G245" si="81">SUM(H210:I210)</f>
        <v>121121.5</v>
      </c>
      <c r="H210" s="1616">
        <f t="shared" si="76"/>
        <v>113479.7</v>
      </c>
      <c r="I210" s="1616">
        <f t="shared" si="76"/>
        <v>7641.8</v>
      </c>
      <c r="J210" s="1600">
        <f t="shared" ref="J210:J273" si="82">SUM(K210:L210)</f>
        <v>63596.800000000003</v>
      </c>
      <c r="K210" s="1619">
        <f>58637.629+946.775</f>
        <v>59584.4</v>
      </c>
      <c r="L210" s="1619">
        <f>63.798+3948.6</f>
        <v>4012.4</v>
      </c>
      <c r="M210" s="1609">
        <f t="shared" si="63"/>
        <v>52.5</v>
      </c>
      <c r="N210" s="1609">
        <f t="shared" si="63"/>
        <v>52.5</v>
      </c>
      <c r="O210" s="1609">
        <f t="shared" si="63"/>
        <v>52.5</v>
      </c>
      <c r="P210" s="2203"/>
      <c r="Q210" s="2203"/>
      <c r="R210" s="1600"/>
      <c r="S210" s="1619"/>
      <c r="T210" s="1619"/>
      <c r="U210" s="1600"/>
      <c r="V210" s="1619"/>
      <c r="W210" s="1619"/>
      <c r="X210" s="1423">
        <f>D210-G210</f>
        <v>0</v>
      </c>
      <c r="Y210" s="1423"/>
      <c r="Z210" s="1423"/>
      <c r="AA210" s="1423"/>
    </row>
    <row r="211" spans="1:27" ht="23.25" hidden="1">
      <c r="A211" s="2204"/>
      <c r="B211" s="1609" t="s">
        <v>1621</v>
      </c>
      <c r="C211" s="2205"/>
      <c r="D211" s="1602">
        <f t="shared" si="80"/>
        <v>4665.1000000000004</v>
      </c>
      <c r="E211" s="1609"/>
      <c r="F211" s="1609">
        <f>4443.3+221.8</f>
        <v>4665.1000000000004</v>
      </c>
      <c r="G211" s="1600">
        <f t="shared" si="81"/>
        <v>4665.1000000000004</v>
      </c>
      <c r="H211" s="1616">
        <f t="shared" si="76"/>
        <v>0</v>
      </c>
      <c r="I211" s="1616">
        <f t="shared" si="76"/>
        <v>4665.1000000000004</v>
      </c>
      <c r="J211" s="1600">
        <f t="shared" si="82"/>
        <v>280</v>
      </c>
      <c r="K211" s="1619"/>
      <c r="L211" s="1619">
        <f>77.8+22.22+180</f>
        <v>280</v>
      </c>
      <c r="M211" s="1602">
        <f t="shared" si="63"/>
        <v>6</v>
      </c>
      <c r="N211" s="1602">
        <f t="shared" si="63"/>
        <v>0</v>
      </c>
      <c r="O211" s="1602">
        <f t="shared" si="63"/>
        <v>6</v>
      </c>
      <c r="P211" s="2203"/>
      <c r="Q211" s="2203"/>
      <c r="R211" s="1600"/>
      <c r="S211" s="1619"/>
      <c r="T211" s="1619"/>
      <c r="U211" s="1600"/>
      <c r="V211" s="1619"/>
      <c r="W211" s="1619"/>
      <c r="X211" s="1423">
        <f>D211-G211</f>
        <v>0</v>
      </c>
      <c r="Y211" s="1423"/>
      <c r="Z211" s="1423"/>
      <c r="AA211" s="1423"/>
    </row>
    <row r="212" spans="1:27" ht="40.5" hidden="1" customHeight="1">
      <c r="A212" s="1866" t="e">
        <f>A207+1</f>
        <v>#VALUE!</v>
      </c>
      <c r="B212" s="1905" t="s">
        <v>1590</v>
      </c>
      <c r="C212" s="1906"/>
      <c r="D212" s="1600">
        <f>E212+F212</f>
        <v>20293.2</v>
      </c>
      <c r="E212" s="1619">
        <f>SUM(E213:E214)</f>
        <v>19075.7</v>
      </c>
      <c r="F212" s="1619">
        <f>F213+F214</f>
        <v>1217.5</v>
      </c>
      <c r="G212" s="1600">
        <f t="shared" si="81"/>
        <v>20293.2</v>
      </c>
      <c r="H212" s="1619">
        <f>SUM(H213:H214)</f>
        <v>19075.7</v>
      </c>
      <c r="I212" s="1619">
        <f>I213+I214</f>
        <v>1217.5</v>
      </c>
      <c r="J212" s="1600">
        <f t="shared" si="82"/>
        <v>286.39999999999998</v>
      </c>
      <c r="K212" s="1619">
        <f>SUM(K213:K214)</f>
        <v>269.2</v>
      </c>
      <c r="L212" s="1619">
        <f>SUM(L213:L214)</f>
        <v>17.2</v>
      </c>
      <c r="M212" s="1609">
        <f t="shared" si="63"/>
        <v>1.4</v>
      </c>
      <c r="N212" s="1609">
        <f t="shared" si="63"/>
        <v>1.4</v>
      </c>
      <c r="O212" s="1609">
        <f t="shared" si="63"/>
        <v>1.4</v>
      </c>
      <c r="P212" s="1619">
        <v>0</v>
      </c>
      <c r="Q212" s="1619">
        <v>0</v>
      </c>
      <c r="R212" s="1600">
        <f>S212+T212</f>
        <v>0</v>
      </c>
      <c r="S212" s="1619">
        <v>0</v>
      </c>
      <c r="T212" s="1619">
        <v>0</v>
      </c>
      <c r="U212" s="1600">
        <f>V212+W212</f>
        <v>0</v>
      </c>
      <c r="V212" s="1619">
        <v>0</v>
      </c>
      <c r="W212" s="1619">
        <v>0</v>
      </c>
      <c r="X212" s="1423">
        <f>D212-G212</f>
        <v>0</v>
      </c>
      <c r="Y212" s="1423"/>
      <c r="Z212" s="1423"/>
      <c r="AA212" s="1423"/>
    </row>
    <row r="213" spans="1:27" ht="40.5" hidden="1" customHeight="1">
      <c r="A213" s="2204"/>
      <c r="B213" s="1609" t="s">
        <v>1620</v>
      </c>
      <c r="C213" s="2205"/>
      <c r="D213" s="1602">
        <f t="shared" si="80"/>
        <v>9341</v>
      </c>
      <c r="E213" s="1609">
        <v>8780.6</v>
      </c>
      <c r="F213" s="1609">
        <v>560.4</v>
      </c>
      <c r="G213" s="1600">
        <f t="shared" si="81"/>
        <v>9341</v>
      </c>
      <c r="H213" s="1609">
        <v>8780.6</v>
      </c>
      <c r="I213" s="1609">
        <v>560.4</v>
      </c>
      <c r="J213" s="1600">
        <f t="shared" si="82"/>
        <v>64.400000000000006</v>
      </c>
      <c r="K213" s="1619">
        <v>60.5</v>
      </c>
      <c r="L213" s="1619">
        <v>3.9</v>
      </c>
      <c r="M213" s="1609">
        <f t="shared" si="63"/>
        <v>0.7</v>
      </c>
      <c r="N213" s="1609">
        <f t="shared" si="63"/>
        <v>0.7</v>
      </c>
      <c r="O213" s="1609">
        <f t="shared" si="63"/>
        <v>0.7</v>
      </c>
      <c r="P213" s="1619"/>
      <c r="Q213" s="1619"/>
      <c r="R213" s="1600"/>
      <c r="S213" s="1619"/>
      <c r="T213" s="1619"/>
      <c r="U213" s="1600"/>
      <c r="V213" s="1619"/>
      <c r="W213" s="1619"/>
      <c r="X213" s="1423"/>
      <c r="Y213" s="1423"/>
      <c r="Z213" s="1423"/>
      <c r="AA213" s="1423"/>
    </row>
    <row r="214" spans="1:27" ht="23.25" hidden="1">
      <c r="A214" s="2204"/>
      <c r="B214" s="1609" t="s">
        <v>1770</v>
      </c>
      <c r="C214" s="2205"/>
      <c r="D214" s="1602">
        <f t="shared" si="80"/>
        <v>10952.2</v>
      </c>
      <c r="E214" s="1609">
        <f>8974.9+1320.2</f>
        <v>10295.1</v>
      </c>
      <c r="F214" s="1609">
        <f>572.8+84.3</f>
        <v>657.1</v>
      </c>
      <c r="G214" s="1600">
        <f t="shared" si="81"/>
        <v>10952.2</v>
      </c>
      <c r="H214" s="1609">
        <f>8974.9+1320.2</f>
        <v>10295.1</v>
      </c>
      <c r="I214" s="1609">
        <f>572.8+84.3</f>
        <v>657.1</v>
      </c>
      <c r="J214" s="1600">
        <f t="shared" si="82"/>
        <v>222</v>
      </c>
      <c r="K214" s="1619">
        <f>208.738</f>
        <v>208.7</v>
      </c>
      <c r="L214" s="1619">
        <v>13.3</v>
      </c>
      <c r="M214" s="1609">
        <f t="shared" si="63"/>
        <v>2</v>
      </c>
      <c r="N214" s="1609">
        <f t="shared" si="63"/>
        <v>2</v>
      </c>
      <c r="O214" s="1609">
        <f t="shared" si="63"/>
        <v>2</v>
      </c>
      <c r="P214" s="1619"/>
      <c r="Q214" s="1619"/>
      <c r="R214" s="1600"/>
      <c r="S214" s="1619"/>
      <c r="T214" s="1619"/>
      <c r="U214" s="1600"/>
      <c r="V214" s="1619"/>
      <c r="W214" s="1619"/>
      <c r="X214" s="1423"/>
      <c r="Y214" s="1423"/>
      <c r="Z214" s="1423"/>
      <c r="AA214" s="1423"/>
    </row>
    <row r="215" spans="1:27" ht="58.5" hidden="1" customHeight="1">
      <c r="A215" s="1866" t="e">
        <f>A212+1</f>
        <v>#VALUE!</v>
      </c>
      <c r="B215" s="2073" t="s">
        <v>1655</v>
      </c>
      <c r="C215" s="1866" t="s">
        <v>1544</v>
      </c>
      <c r="D215" s="1600">
        <f t="shared" si="80"/>
        <v>20</v>
      </c>
      <c r="E215" s="1614">
        <f>E216+E217</f>
        <v>18.8</v>
      </c>
      <c r="F215" s="1614">
        <f>F216+F217</f>
        <v>1.2</v>
      </c>
      <c r="G215" s="1600">
        <f t="shared" si="81"/>
        <v>20</v>
      </c>
      <c r="H215" s="1614">
        <f>H216+H217</f>
        <v>18.8</v>
      </c>
      <c r="I215" s="1614">
        <f>I216+I217</f>
        <v>1.2</v>
      </c>
      <c r="J215" s="1600">
        <f t="shared" si="82"/>
        <v>0</v>
      </c>
      <c r="K215" s="1614">
        <f>K216+K217</f>
        <v>0</v>
      </c>
      <c r="L215" s="1614">
        <f>L216+L217</f>
        <v>0</v>
      </c>
      <c r="M215" s="1604">
        <f t="shared" si="63"/>
        <v>0</v>
      </c>
      <c r="N215" s="1881">
        <f t="shared" si="63"/>
        <v>0</v>
      </c>
      <c r="O215" s="1881">
        <f t="shared" si="63"/>
        <v>0</v>
      </c>
      <c r="P215" s="2203"/>
      <c r="Q215" s="2203"/>
      <c r="R215" s="1600">
        <f>S215+T215</f>
        <v>0</v>
      </c>
      <c r="S215" s="1619">
        <v>0</v>
      </c>
      <c r="T215" s="1619">
        <v>0</v>
      </c>
      <c r="U215" s="1600">
        <f>V215+W215</f>
        <v>0</v>
      </c>
      <c r="V215" s="1619">
        <v>0</v>
      </c>
      <c r="W215" s="1619">
        <v>0</v>
      </c>
      <c r="X215" s="1423">
        <f>D215-G215</f>
        <v>0</v>
      </c>
      <c r="Y215" s="1423"/>
      <c r="Z215" s="1423"/>
      <c r="AA215" s="1423"/>
    </row>
    <row r="216" spans="1:27" ht="30.75" hidden="1" customHeight="1">
      <c r="A216" s="2204"/>
      <c r="B216" s="1609" t="s">
        <v>1620</v>
      </c>
      <c r="C216" s="2205"/>
      <c r="D216" s="1602">
        <f t="shared" si="80"/>
        <v>0</v>
      </c>
      <c r="E216" s="1609">
        <v>0</v>
      </c>
      <c r="F216" s="1609">
        <v>0</v>
      </c>
      <c r="G216" s="1600">
        <f t="shared" si="81"/>
        <v>0</v>
      </c>
      <c r="H216" s="1616">
        <f>E216</f>
        <v>0</v>
      </c>
      <c r="I216" s="1616">
        <f>F216</f>
        <v>0</v>
      </c>
      <c r="J216" s="1600">
        <f t="shared" si="82"/>
        <v>0</v>
      </c>
      <c r="K216" s="1619"/>
      <c r="L216" s="1619"/>
      <c r="M216" s="1609">
        <f t="shared" si="63"/>
        <v>0</v>
      </c>
      <c r="N216" s="1609">
        <f t="shared" si="63"/>
        <v>0</v>
      </c>
      <c r="O216" s="1609">
        <f t="shared" si="63"/>
        <v>0</v>
      </c>
      <c r="P216" s="1619"/>
      <c r="Q216" s="1619"/>
      <c r="R216" s="1600"/>
      <c r="S216" s="1619"/>
      <c r="T216" s="1619"/>
      <c r="U216" s="1600"/>
      <c r="V216" s="1619"/>
      <c r="W216" s="1619"/>
      <c r="X216" s="1423"/>
      <c r="Y216" s="1423"/>
      <c r="Z216" s="1423"/>
      <c r="AA216" s="1423"/>
    </row>
    <row r="217" spans="1:27" ht="26.25" hidden="1" customHeight="1">
      <c r="A217" s="2204"/>
      <c r="B217" s="1609" t="s">
        <v>1770</v>
      </c>
      <c r="C217" s="2205"/>
      <c r="D217" s="1602">
        <f t="shared" si="80"/>
        <v>20</v>
      </c>
      <c r="E217" s="1609">
        <v>18.8</v>
      </c>
      <c r="F217" s="1609">
        <v>1.2</v>
      </c>
      <c r="G217" s="1600">
        <f t="shared" si="81"/>
        <v>20</v>
      </c>
      <c r="H217" s="1616">
        <f>E217</f>
        <v>18.8</v>
      </c>
      <c r="I217" s="1616">
        <f>F217</f>
        <v>1.2</v>
      </c>
      <c r="J217" s="1600">
        <f t="shared" si="82"/>
        <v>0</v>
      </c>
      <c r="K217" s="1619"/>
      <c r="L217" s="1619"/>
      <c r="M217" s="1609">
        <f t="shared" si="63"/>
        <v>0</v>
      </c>
      <c r="N217" s="1609">
        <f t="shared" si="63"/>
        <v>0</v>
      </c>
      <c r="O217" s="1609">
        <f t="shared" si="63"/>
        <v>0</v>
      </c>
      <c r="P217" s="1619"/>
      <c r="Q217" s="1619"/>
      <c r="R217" s="1600"/>
      <c r="S217" s="1619"/>
      <c r="T217" s="1619"/>
      <c r="U217" s="1600"/>
      <c r="V217" s="1619"/>
      <c r="W217" s="1619"/>
      <c r="X217" s="1423"/>
      <c r="Y217" s="1423"/>
      <c r="Z217" s="1423"/>
      <c r="AA217" s="1423"/>
    </row>
    <row r="218" spans="1:27" ht="85.5" hidden="1" customHeight="1">
      <c r="A218" s="2204" t="e">
        <f>A215+1</f>
        <v>#VALUE!</v>
      </c>
      <c r="B218" s="1919" t="s">
        <v>1656</v>
      </c>
      <c r="C218" s="2205"/>
      <c r="D218" s="1602">
        <f t="shared" si="80"/>
        <v>33251.9</v>
      </c>
      <c r="E218" s="1609">
        <f>E219+E220</f>
        <v>31256.5</v>
      </c>
      <c r="F218" s="1609">
        <f>F219+F220</f>
        <v>1995.4</v>
      </c>
      <c r="G218" s="1600">
        <f t="shared" si="81"/>
        <v>33251.9</v>
      </c>
      <c r="H218" s="1609">
        <f>H219+H220</f>
        <v>31256.5</v>
      </c>
      <c r="I218" s="1609">
        <f>I219+I220</f>
        <v>1995.4</v>
      </c>
      <c r="J218" s="1602">
        <f t="shared" si="82"/>
        <v>955.5</v>
      </c>
      <c r="K218" s="1609">
        <f>K219+K220</f>
        <v>898.2</v>
      </c>
      <c r="L218" s="1609">
        <f>L219+L220</f>
        <v>57.3</v>
      </c>
      <c r="M218" s="1604">
        <f t="shared" si="63"/>
        <v>2.9</v>
      </c>
      <c r="N218" s="1604">
        <f t="shared" si="63"/>
        <v>2.9</v>
      </c>
      <c r="O218" s="1604">
        <f t="shared" si="63"/>
        <v>2.9</v>
      </c>
      <c r="P218" s="2203"/>
      <c r="Q218" s="2203"/>
      <c r="R218" s="1600">
        <f>S218+T218</f>
        <v>0</v>
      </c>
      <c r="S218" s="1619">
        <v>0</v>
      </c>
      <c r="T218" s="1619">
        <v>0</v>
      </c>
      <c r="U218" s="1600">
        <f>V218+W218</f>
        <v>0</v>
      </c>
      <c r="V218" s="1619">
        <v>0</v>
      </c>
      <c r="W218" s="1619">
        <v>0</v>
      </c>
      <c r="X218" s="1423">
        <f>D218-G218</f>
        <v>0</v>
      </c>
      <c r="Y218" s="1423"/>
      <c r="Z218" s="1423"/>
      <c r="AA218" s="1423"/>
    </row>
    <row r="219" spans="1:27" ht="23.25" hidden="1">
      <c r="A219" s="2204"/>
      <c r="B219" s="1609" t="s">
        <v>1620</v>
      </c>
      <c r="C219" s="2205"/>
      <c r="D219" s="1602">
        <f t="shared" si="80"/>
        <v>15410.7</v>
      </c>
      <c r="E219" s="1609">
        <v>14485.9</v>
      </c>
      <c r="F219" s="1609">
        <v>924.8</v>
      </c>
      <c r="G219" s="1600">
        <f t="shared" si="81"/>
        <v>15410.7</v>
      </c>
      <c r="H219" s="1616">
        <f>E219</f>
        <v>14485.9</v>
      </c>
      <c r="I219" s="1616">
        <f>F219</f>
        <v>924.8</v>
      </c>
      <c r="J219" s="1600">
        <f t="shared" si="82"/>
        <v>0</v>
      </c>
      <c r="K219" s="1619">
        <v>0</v>
      </c>
      <c r="L219" s="1619">
        <v>0</v>
      </c>
      <c r="M219" s="1609">
        <f t="shared" si="63"/>
        <v>0</v>
      </c>
      <c r="N219" s="1609">
        <f t="shared" si="63"/>
        <v>0</v>
      </c>
      <c r="O219" s="1609">
        <f t="shared" si="63"/>
        <v>0</v>
      </c>
      <c r="P219" s="1619"/>
      <c r="Q219" s="1619"/>
      <c r="R219" s="1600"/>
      <c r="S219" s="1619"/>
      <c r="T219" s="1619"/>
      <c r="U219" s="1600"/>
      <c r="V219" s="1619"/>
      <c r="W219" s="1619"/>
      <c r="X219" s="1423"/>
      <c r="Y219" s="1423"/>
      <c r="Z219" s="1423"/>
      <c r="AA219" s="1423"/>
    </row>
    <row r="220" spans="1:27" ht="23.25" hidden="1">
      <c r="A220" s="2204"/>
      <c r="B220" s="1609" t="s">
        <v>1770</v>
      </c>
      <c r="C220" s="2205"/>
      <c r="D220" s="1602">
        <f t="shared" si="80"/>
        <v>17841.2</v>
      </c>
      <c r="E220" s="1609">
        <f>16053.6+717</f>
        <v>16770.599999999999</v>
      </c>
      <c r="F220" s="1609">
        <f>1024.8+45.8</f>
        <v>1070.5999999999999</v>
      </c>
      <c r="G220" s="1600">
        <f t="shared" si="81"/>
        <v>17841.2</v>
      </c>
      <c r="H220" s="1616">
        <f>E220</f>
        <v>16770.599999999999</v>
      </c>
      <c r="I220" s="1616">
        <f>F220</f>
        <v>1070.5999999999999</v>
      </c>
      <c r="J220" s="1600">
        <f t="shared" si="82"/>
        <v>955.5</v>
      </c>
      <c r="K220" s="1619">
        <f>678.269+219.898</f>
        <v>898.2</v>
      </c>
      <c r="L220" s="1619">
        <f>43.3+14</f>
        <v>57.3</v>
      </c>
      <c r="M220" s="1609">
        <f t="shared" si="63"/>
        <v>5.4</v>
      </c>
      <c r="N220" s="1609">
        <f t="shared" si="63"/>
        <v>5.4</v>
      </c>
      <c r="O220" s="1609">
        <f t="shared" si="63"/>
        <v>5.4</v>
      </c>
      <c r="P220" s="1619"/>
      <c r="Q220" s="1619"/>
      <c r="R220" s="1600"/>
      <c r="S220" s="1619"/>
      <c r="T220" s="1619"/>
      <c r="U220" s="1600"/>
      <c r="V220" s="1619"/>
      <c r="W220" s="1619"/>
      <c r="X220" s="1423"/>
      <c r="Y220" s="1423"/>
      <c r="Z220" s="1423"/>
      <c r="AA220" s="1423"/>
    </row>
    <row r="221" spans="1:27" ht="68.25" hidden="1" customHeight="1">
      <c r="A221" s="2204" t="e">
        <f>A218+1</f>
        <v>#VALUE!</v>
      </c>
      <c r="B221" s="1919" t="s">
        <v>1583</v>
      </c>
      <c r="C221" s="2205"/>
      <c r="D221" s="1602">
        <f t="shared" si="80"/>
        <v>9677.2999999999993</v>
      </c>
      <c r="E221" s="1609">
        <f>E222+E223</f>
        <v>9096.6</v>
      </c>
      <c r="F221" s="1609">
        <f>F222+F223</f>
        <v>580.70000000000005</v>
      </c>
      <c r="G221" s="1600">
        <f t="shared" si="81"/>
        <v>9677.2999999999993</v>
      </c>
      <c r="H221" s="1609">
        <f>H222+H223</f>
        <v>9096.6</v>
      </c>
      <c r="I221" s="1609">
        <f>I222+I223</f>
        <v>580.70000000000005</v>
      </c>
      <c r="J221" s="1602">
        <f t="shared" si="82"/>
        <v>376.2</v>
      </c>
      <c r="K221" s="1619">
        <f>K222+K223</f>
        <v>353.6</v>
      </c>
      <c r="L221" s="1609">
        <f>L222+L223</f>
        <v>22.6</v>
      </c>
      <c r="M221" s="1604">
        <f t="shared" si="63"/>
        <v>3.9</v>
      </c>
      <c r="N221" s="1604">
        <f t="shared" si="63"/>
        <v>3.9</v>
      </c>
      <c r="O221" s="1604">
        <f t="shared" si="63"/>
        <v>3.9</v>
      </c>
      <c r="P221" s="2203"/>
      <c r="Q221" s="2203"/>
      <c r="R221" s="1600">
        <f>S221+T221</f>
        <v>0</v>
      </c>
      <c r="S221" s="1619">
        <v>0</v>
      </c>
      <c r="T221" s="1619">
        <v>0</v>
      </c>
      <c r="U221" s="1600">
        <f>V221+W221</f>
        <v>0</v>
      </c>
      <c r="V221" s="1619">
        <v>0</v>
      </c>
      <c r="W221" s="1619">
        <v>0</v>
      </c>
      <c r="X221" s="1423">
        <f>D221-G221</f>
        <v>0</v>
      </c>
      <c r="Y221" s="1423"/>
      <c r="Z221" s="1423"/>
      <c r="AA221" s="1423"/>
    </row>
    <row r="222" spans="1:27" ht="23.25" hidden="1">
      <c r="A222" s="2204"/>
      <c r="B222" s="1609" t="s">
        <v>1620</v>
      </c>
      <c r="C222" s="2205"/>
      <c r="D222" s="1602">
        <f t="shared" si="80"/>
        <v>4597</v>
      </c>
      <c r="E222" s="1609">
        <v>4321.2</v>
      </c>
      <c r="F222" s="1609">
        <v>275.8</v>
      </c>
      <c r="G222" s="1600">
        <f t="shared" si="81"/>
        <v>4597</v>
      </c>
      <c r="H222" s="1616">
        <f t="shared" ref="H222:I227" si="83">E222</f>
        <v>4321.2</v>
      </c>
      <c r="I222" s="1616">
        <f t="shared" si="83"/>
        <v>275.8</v>
      </c>
      <c r="J222" s="1600">
        <f t="shared" si="82"/>
        <v>0</v>
      </c>
      <c r="K222" s="1619">
        <v>0</v>
      </c>
      <c r="L222" s="1619">
        <v>0</v>
      </c>
      <c r="M222" s="1609">
        <f t="shared" si="63"/>
        <v>0</v>
      </c>
      <c r="N222" s="1609">
        <f t="shared" si="63"/>
        <v>0</v>
      </c>
      <c r="O222" s="1609">
        <f t="shared" si="63"/>
        <v>0</v>
      </c>
      <c r="P222" s="1619"/>
      <c r="Q222" s="1619"/>
      <c r="R222" s="1600"/>
      <c r="S222" s="1619"/>
      <c r="T222" s="1619"/>
      <c r="U222" s="1600"/>
      <c r="V222" s="1619"/>
      <c r="W222" s="1619"/>
      <c r="X222" s="1423"/>
      <c r="Y222" s="1423"/>
      <c r="Z222" s="1423"/>
      <c r="AA222" s="1423"/>
    </row>
    <row r="223" spans="1:27" ht="23.25" hidden="1">
      <c r="A223" s="2204"/>
      <c r="B223" s="1609" t="s">
        <v>1770</v>
      </c>
      <c r="C223" s="2205"/>
      <c r="D223" s="1602">
        <f t="shared" si="80"/>
        <v>5080.3</v>
      </c>
      <c r="E223" s="1609">
        <f>3503+1272.4</f>
        <v>4775.3999999999996</v>
      </c>
      <c r="F223" s="1609">
        <f>223.6+81.3</f>
        <v>304.89999999999998</v>
      </c>
      <c r="G223" s="1600">
        <f t="shared" si="81"/>
        <v>5080.3</v>
      </c>
      <c r="H223" s="1616">
        <f t="shared" si="83"/>
        <v>4775.3999999999996</v>
      </c>
      <c r="I223" s="1616">
        <f t="shared" si="83"/>
        <v>304.89999999999998</v>
      </c>
      <c r="J223" s="1600">
        <f t="shared" si="82"/>
        <v>376.2</v>
      </c>
      <c r="K223" s="1619">
        <v>353.6</v>
      </c>
      <c r="L223" s="1619">
        <v>22.6</v>
      </c>
      <c r="M223" s="1609">
        <f t="shared" si="63"/>
        <v>7.4</v>
      </c>
      <c r="N223" s="1609">
        <f t="shared" si="63"/>
        <v>7.4</v>
      </c>
      <c r="O223" s="1609">
        <f t="shared" si="63"/>
        <v>7.4</v>
      </c>
      <c r="P223" s="1619"/>
      <c r="Q223" s="1619"/>
      <c r="R223" s="1600"/>
      <c r="S223" s="1619"/>
      <c r="T223" s="1619"/>
      <c r="U223" s="1600"/>
      <c r="V223" s="1619"/>
      <c r="W223" s="1619"/>
      <c r="X223" s="1423"/>
      <c r="Y223" s="1423"/>
      <c r="Z223" s="1423"/>
      <c r="AA223" s="1423"/>
    </row>
    <row r="224" spans="1:27" ht="66.75" hidden="1" customHeight="1">
      <c r="A224" s="2204" t="e">
        <f>A221+1</f>
        <v>#VALUE!</v>
      </c>
      <c r="B224" s="1919" t="s">
        <v>1585</v>
      </c>
      <c r="C224" s="2205"/>
      <c r="D224" s="1602">
        <f t="shared" si="80"/>
        <v>16334.2</v>
      </c>
      <c r="E224" s="1609">
        <f>E225+E226+E227</f>
        <v>15354.2</v>
      </c>
      <c r="F224" s="1609">
        <f>F225+F226+F227</f>
        <v>980</v>
      </c>
      <c r="G224" s="1600">
        <f t="shared" si="81"/>
        <v>16334.2</v>
      </c>
      <c r="H224" s="1609">
        <f>H225+H226+H227</f>
        <v>15354.2</v>
      </c>
      <c r="I224" s="1609">
        <f>I225+I226+I227</f>
        <v>980</v>
      </c>
      <c r="J224" s="1609">
        <f>J225+J226+J227</f>
        <v>4162.2</v>
      </c>
      <c r="K224" s="1609">
        <f>K225+K226+K227</f>
        <v>3912.4</v>
      </c>
      <c r="L224" s="1609">
        <f>L225+L226+L227</f>
        <v>249.8</v>
      </c>
      <c r="M224" s="1604">
        <f t="shared" si="63"/>
        <v>25.5</v>
      </c>
      <c r="N224" s="1604">
        <f t="shared" si="63"/>
        <v>25.5</v>
      </c>
      <c r="O224" s="1604">
        <f t="shared" si="63"/>
        <v>25.5</v>
      </c>
      <c r="P224" s="2203"/>
      <c r="Q224" s="2203"/>
      <c r="R224" s="1600">
        <f>S224+T224</f>
        <v>0</v>
      </c>
      <c r="S224" s="1619">
        <v>0</v>
      </c>
      <c r="T224" s="1619">
        <v>0</v>
      </c>
      <c r="U224" s="1600">
        <f>V224+W224</f>
        <v>0</v>
      </c>
      <c r="V224" s="1619">
        <v>0</v>
      </c>
      <c r="W224" s="1619">
        <v>0</v>
      </c>
      <c r="X224" s="1423">
        <f>D224-G224</f>
        <v>0</v>
      </c>
      <c r="Y224" s="1423"/>
      <c r="Z224" s="1423"/>
      <c r="AA224" s="1423"/>
    </row>
    <row r="225" spans="1:27" ht="23.25" hidden="1">
      <c r="A225" s="2204"/>
      <c r="B225" s="1609" t="s">
        <v>1620</v>
      </c>
      <c r="C225" s="2205"/>
      <c r="D225" s="1602">
        <f t="shared" si="80"/>
        <v>3935.3</v>
      </c>
      <c r="E225" s="1609">
        <v>3699.2</v>
      </c>
      <c r="F225" s="1609">
        <v>236.1</v>
      </c>
      <c r="G225" s="1600">
        <f t="shared" si="81"/>
        <v>3935.3</v>
      </c>
      <c r="H225" s="1616">
        <f t="shared" si="83"/>
        <v>3699.2</v>
      </c>
      <c r="I225" s="1616">
        <f t="shared" si="83"/>
        <v>236.1</v>
      </c>
      <c r="J225" s="1600">
        <f t="shared" si="82"/>
        <v>0</v>
      </c>
      <c r="K225" s="1619">
        <v>0</v>
      </c>
      <c r="L225" s="1619">
        <v>0</v>
      </c>
      <c r="M225" s="1609">
        <f t="shared" si="63"/>
        <v>0</v>
      </c>
      <c r="N225" s="1609">
        <f t="shared" si="63"/>
        <v>0</v>
      </c>
      <c r="O225" s="1609">
        <f t="shared" si="63"/>
        <v>0</v>
      </c>
      <c r="P225" s="1619"/>
      <c r="Q225" s="1619"/>
      <c r="R225" s="1600"/>
      <c r="S225" s="1619"/>
      <c r="T225" s="1619"/>
      <c r="U225" s="1600"/>
      <c r="V225" s="1619"/>
      <c r="W225" s="1619"/>
      <c r="X225" s="1423"/>
      <c r="Y225" s="1423"/>
      <c r="Z225" s="1423"/>
      <c r="AA225" s="1423"/>
    </row>
    <row r="226" spans="1:27" ht="37.5" hidden="1">
      <c r="A226" s="2204"/>
      <c r="B226" s="1609" t="s">
        <v>1798</v>
      </c>
      <c r="C226" s="2205"/>
      <c r="D226" s="1602">
        <f>SUM(E226:F226)</f>
        <v>11307.5</v>
      </c>
      <c r="E226" s="1609">
        <v>10629.1</v>
      </c>
      <c r="F226" s="1609">
        <v>678.4</v>
      </c>
      <c r="G226" s="1600">
        <f>SUM(H226:I226)</f>
        <v>11307.5</v>
      </c>
      <c r="H226" s="1616">
        <f>E226</f>
        <v>10629.1</v>
      </c>
      <c r="I226" s="1616">
        <f>F226</f>
        <v>678.4</v>
      </c>
      <c r="J226" s="1600">
        <f>SUM(K226:L226)</f>
        <v>3222.8</v>
      </c>
      <c r="K226" s="1619">
        <v>3029.4</v>
      </c>
      <c r="L226" s="1619">
        <v>193.4</v>
      </c>
      <c r="M226" s="1609">
        <f t="shared" ref="M226:O289" si="84">IF(J226=0,0,J226/G226*100)</f>
        <v>28.5</v>
      </c>
      <c r="N226" s="1609">
        <f t="shared" si="84"/>
        <v>28.5</v>
      </c>
      <c r="O226" s="1609">
        <f t="shared" si="84"/>
        <v>28.5</v>
      </c>
      <c r="P226" s="1619"/>
      <c r="Q226" s="1619"/>
      <c r="R226" s="1600"/>
      <c r="S226" s="1619"/>
      <c r="T226" s="1619"/>
      <c r="U226" s="1600"/>
      <c r="V226" s="1619"/>
      <c r="W226" s="1619"/>
      <c r="X226" s="1423"/>
      <c r="Y226" s="1423"/>
      <c r="Z226" s="1423"/>
      <c r="AA226" s="1423"/>
    </row>
    <row r="227" spans="1:27" ht="23.25" hidden="1">
      <c r="A227" s="2204"/>
      <c r="B227" s="1609" t="s">
        <v>1770</v>
      </c>
      <c r="C227" s="2205"/>
      <c r="D227" s="1602">
        <f t="shared" si="80"/>
        <v>1091.4000000000001</v>
      </c>
      <c r="E227" s="1609">
        <v>1025.9000000000001</v>
      </c>
      <c r="F227" s="1609">
        <v>65.5</v>
      </c>
      <c r="G227" s="1600">
        <f t="shared" si="81"/>
        <v>1091.4000000000001</v>
      </c>
      <c r="H227" s="1616">
        <f t="shared" si="83"/>
        <v>1025.9000000000001</v>
      </c>
      <c r="I227" s="1616">
        <f t="shared" si="83"/>
        <v>65.5</v>
      </c>
      <c r="J227" s="1600">
        <f t="shared" si="82"/>
        <v>939.4</v>
      </c>
      <c r="K227" s="1619">
        <v>883</v>
      </c>
      <c r="L227" s="1619">
        <v>56.4</v>
      </c>
      <c r="M227" s="1609">
        <f t="shared" si="84"/>
        <v>86.1</v>
      </c>
      <c r="N227" s="1609">
        <f t="shared" si="84"/>
        <v>86.1</v>
      </c>
      <c r="O227" s="1609">
        <f t="shared" si="84"/>
        <v>86.1</v>
      </c>
      <c r="P227" s="1619"/>
      <c r="Q227" s="1619"/>
      <c r="R227" s="1600"/>
      <c r="S227" s="1619"/>
      <c r="T227" s="1619"/>
      <c r="U227" s="1600"/>
      <c r="V227" s="1619"/>
      <c r="W227" s="1619"/>
      <c r="X227" s="1423"/>
      <c r="Y227" s="1423"/>
      <c r="Z227" s="1423"/>
      <c r="AA227" s="1423"/>
    </row>
    <row r="228" spans="1:27" ht="57.75" hidden="1" customHeight="1">
      <c r="A228" s="2204" t="e">
        <f>A224+1</f>
        <v>#VALUE!</v>
      </c>
      <c r="B228" s="1919" t="s">
        <v>1586</v>
      </c>
      <c r="C228" s="2205"/>
      <c r="D228" s="1602">
        <f t="shared" si="80"/>
        <v>4789.7</v>
      </c>
      <c r="E228" s="1609">
        <f>E229+E230+E231</f>
        <v>4502.3</v>
      </c>
      <c r="F228" s="1609">
        <f>F229+F230+F231</f>
        <v>287.39999999999998</v>
      </c>
      <c r="G228" s="1600">
        <f t="shared" si="81"/>
        <v>4789.7</v>
      </c>
      <c r="H228" s="1609">
        <f>H229+H230+H231</f>
        <v>4502.3</v>
      </c>
      <c r="I228" s="1609">
        <f>I229+I230+I231</f>
        <v>287.39999999999998</v>
      </c>
      <c r="J228" s="1602">
        <f t="shared" si="82"/>
        <v>34.700000000000003</v>
      </c>
      <c r="K228" s="1609">
        <f>K229+K230+K231</f>
        <v>32.6</v>
      </c>
      <c r="L228" s="1609">
        <f>L229+L230+L231</f>
        <v>2.1</v>
      </c>
      <c r="M228" s="1604">
        <f t="shared" si="84"/>
        <v>0.7</v>
      </c>
      <c r="N228" s="1604">
        <f t="shared" si="84"/>
        <v>0.7</v>
      </c>
      <c r="O228" s="1604">
        <f t="shared" si="84"/>
        <v>0.7</v>
      </c>
      <c r="P228" s="2203"/>
      <c r="Q228" s="2203"/>
      <c r="R228" s="1600">
        <f>S228+T228</f>
        <v>0</v>
      </c>
      <c r="S228" s="1619">
        <v>0</v>
      </c>
      <c r="T228" s="1619">
        <v>0</v>
      </c>
      <c r="U228" s="1600">
        <f>V228+W228</f>
        <v>0</v>
      </c>
      <c r="V228" s="1619">
        <v>0</v>
      </c>
      <c r="W228" s="1619">
        <v>0</v>
      </c>
      <c r="X228" s="1423">
        <f>D228-G228</f>
        <v>0</v>
      </c>
      <c r="Y228" s="1423"/>
      <c r="Z228" s="1423"/>
      <c r="AA228" s="1423"/>
    </row>
    <row r="229" spans="1:27" ht="23.25" hidden="1">
      <c r="A229" s="2204"/>
      <c r="B229" s="1609" t="s">
        <v>1620</v>
      </c>
      <c r="C229" s="2205"/>
      <c r="D229" s="1602">
        <f t="shared" si="80"/>
        <v>1226.9000000000001</v>
      </c>
      <c r="E229" s="1609">
        <v>1153.3</v>
      </c>
      <c r="F229" s="1609">
        <v>73.599999999999994</v>
      </c>
      <c r="G229" s="1600">
        <f t="shared" si="81"/>
        <v>1226.9000000000001</v>
      </c>
      <c r="H229" s="1616">
        <f t="shared" ref="H229:I231" si="85">E229</f>
        <v>1153.3</v>
      </c>
      <c r="I229" s="1616">
        <f t="shared" si="85"/>
        <v>73.599999999999994</v>
      </c>
      <c r="J229" s="1600">
        <f t="shared" si="82"/>
        <v>0</v>
      </c>
      <c r="K229" s="1619">
        <v>0</v>
      </c>
      <c r="L229" s="1619">
        <v>0</v>
      </c>
      <c r="M229" s="1609">
        <f t="shared" si="84"/>
        <v>0</v>
      </c>
      <c r="N229" s="1609">
        <f t="shared" si="84"/>
        <v>0</v>
      </c>
      <c r="O229" s="1609">
        <f t="shared" si="84"/>
        <v>0</v>
      </c>
      <c r="P229" s="1619"/>
      <c r="Q229" s="1619"/>
      <c r="R229" s="1600"/>
      <c r="S229" s="1619"/>
      <c r="T229" s="1619"/>
      <c r="U229" s="1600"/>
      <c r="V229" s="1619"/>
      <c r="W229" s="1619"/>
      <c r="X229" s="1423"/>
      <c r="Y229" s="1423"/>
      <c r="Z229" s="1423"/>
      <c r="AA229" s="1423"/>
    </row>
    <row r="230" spans="1:27" ht="37.5" hidden="1">
      <c r="A230" s="2204"/>
      <c r="B230" s="1609" t="s">
        <v>1798</v>
      </c>
      <c r="C230" s="2205"/>
      <c r="D230" s="1602">
        <f>SUM(E230:F230)</f>
        <v>3542.8</v>
      </c>
      <c r="E230" s="1609">
        <v>3330.2</v>
      </c>
      <c r="F230" s="1609">
        <v>212.6</v>
      </c>
      <c r="G230" s="1600">
        <f>SUM(H230:I230)</f>
        <v>3542.8</v>
      </c>
      <c r="H230" s="1616">
        <f t="shared" si="85"/>
        <v>3330.2</v>
      </c>
      <c r="I230" s="1616">
        <f t="shared" si="85"/>
        <v>212.6</v>
      </c>
      <c r="J230" s="1600">
        <f>SUM(K230:L230)</f>
        <v>34.700000000000003</v>
      </c>
      <c r="K230" s="1619">
        <v>32.6</v>
      </c>
      <c r="L230" s="1619">
        <v>2.1</v>
      </c>
      <c r="M230" s="1609">
        <f t="shared" si="84"/>
        <v>1</v>
      </c>
      <c r="N230" s="1609">
        <f t="shared" si="84"/>
        <v>1</v>
      </c>
      <c r="O230" s="1609">
        <f t="shared" si="84"/>
        <v>1</v>
      </c>
      <c r="P230" s="1619"/>
      <c r="Q230" s="1619"/>
      <c r="R230" s="1600"/>
      <c r="S230" s="1619"/>
      <c r="T230" s="1619"/>
      <c r="U230" s="1600"/>
      <c r="V230" s="1619"/>
      <c r="W230" s="1619"/>
      <c r="X230" s="1423"/>
      <c r="Y230" s="1423"/>
      <c r="Z230" s="1423"/>
      <c r="AA230" s="1423"/>
    </row>
    <row r="231" spans="1:27" ht="23.25" hidden="1">
      <c r="A231" s="2204"/>
      <c r="B231" s="1609" t="s">
        <v>1770</v>
      </c>
      <c r="C231" s="2205"/>
      <c r="D231" s="1602">
        <f t="shared" si="80"/>
        <v>20</v>
      </c>
      <c r="E231" s="1609">
        <v>18.8</v>
      </c>
      <c r="F231" s="1609">
        <v>1.2</v>
      </c>
      <c r="G231" s="1600">
        <f t="shared" si="81"/>
        <v>20</v>
      </c>
      <c r="H231" s="1616">
        <f t="shared" si="85"/>
        <v>18.8</v>
      </c>
      <c r="I231" s="1616">
        <f t="shared" si="85"/>
        <v>1.2</v>
      </c>
      <c r="J231" s="1600">
        <f t="shared" si="82"/>
        <v>0</v>
      </c>
      <c r="K231" s="1619"/>
      <c r="L231" s="1619"/>
      <c r="M231" s="1609">
        <f t="shared" si="84"/>
        <v>0</v>
      </c>
      <c r="N231" s="1609">
        <f t="shared" si="84"/>
        <v>0</v>
      </c>
      <c r="O231" s="1609">
        <f t="shared" si="84"/>
        <v>0</v>
      </c>
      <c r="P231" s="1619"/>
      <c r="Q231" s="1619"/>
      <c r="R231" s="1600"/>
      <c r="S231" s="1619"/>
      <c r="T231" s="1619"/>
      <c r="U231" s="1600"/>
      <c r="V231" s="1619"/>
      <c r="W231" s="1619"/>
      <c r="X231" s="1423"/>
      <c r="Y231" s="1423"/>
      <c r="Z231" s="1423"/>
      <c r="AA231" s="1423"/>
    </row>
    <row r="232" spans="1:27" ht="81" hidden="1" customHeight="1">
      <c r="A232" s="2204" t="e">
        <f>A228+1</f>
        <v>#VALUE!</v>
      </c>
      <c r="B232" s="1912" t="s">
        <v>1662</v>
      </c>
      <c r="C232" s="1880"/>
      <c r="D232" s="1602">
        <f t="shared" si="80"/>
        <v>21566.9</v>
      </c>
      <c r="E232" s="1616">
        <f>E233+E234</f>
        <v>20272.7</v>
      </c>
      <c r="F232" s="1616">
        <f>F233+F234</f>
        <v>1294.2</v>
      </c>
      <c r="G232" s="1602">
        <f t="shared" si="81"/>
        <v>21566.9</v>
      </c>
      <c r="H232" s="1616">
        <f>H233+H234</f>
        <v>20272.7</v>
      </c>
      <c r="I232" s="1616">
        <f>I233+I234</f>
        <v>1294.2</v>
      </c>
      <c r="J232" s="1602">
        <f t="shared" si="82"/>
        <v>4497</v>
      </c>
      <c r="K232" s="1616">
        <f>K233+K234</f>
        <v>4227.2</v>
      </c>
      <c r="L232" s="1616">
        <f>L233+L234</f>
        <v>269.8</v>
      </c>
      <c r="M232" s="1604">
        <f t="shared" si="84"/>
        <v>20.9</v>
      </c>
      <c r="N232" s="1881">
        <f t="shared" si="84"/>
        <v>20.9</v>
      </c>
      <c r="O232" s="1881">
        <f t="shared" si="84"/>
        <v>20.8</v>
      </c>
      <c r="P232" s="2203"/>
      <c r="Q232" s="2203"/>
      <c r="R232" s="1600">
        <f>S232+T232</f>
        <v>0</v>
      </c>
      <c r="S232" s="1619">
        <v>0</v>
      </c>
      <c r="T232" s="1619">
        <v>0</v>
      </c>
      <c r="U232" s="1600">
        <f>V232+W232</f>
        <v>0</v>
      </c>
      <c r="V232" s="1619">
        <v>0</v>
      </c>
      <c r="W232" s="1619">
        <v>0</v>
      </c>
      <c r="X232" s="1423">
        <f>D232-G232</f>
        <v>0</v>
      </c>
      <c r="Y232" s="1423"/>
      <c r="Z232" s="1423"/>
      <c r="AA232" s="1423"/>
    </row>
    <row r="233" spans="1:27" ht="23.25" hidden="1">
      <c r="A233" s="2204"/>
      <c r="B233" s="1609" t="s">
        <v>1620</v>
      </c>
      <c r="C233" s="2205"/>
      <c r="D233" s="1602">
        <f t="shared" si="80"/>
        <v>14615.1</v>
      </c>
      <c r="E233" s="1609">
        <v>13738.1</v>
      </c>
      <c r="F233" s="1609">
        <v>877</v>
      </c>
      <c r="G233" s="1600">
        <f t="shared" si="81"/>
        <v>14615.1</v>
      </c>
      <c r="H233" s="1616">
        <f>E233</f>
        <v>13738.1</v>
      </c>
      <c r="I233" s="1616">
        <f>F233</f>
        <v>877</v>
      </c>
      <c r="J233" s="1600">
        <f t="shared" si="82"/>
        <v>0</v>
      </c>
      <c r="K233" s="1619"/>
      <c r="L233" s="1619"/>
      <c r="M233" s="1609">
        <f t="shared" si="84"/>
        <v>0</v>
      </c>
      <c r="N233" s="1609">
        <f t="shared" si="84"/>
        <v>0</v>
      </c>
      <c r="O233" s="1609">
        <f t="shared" si="84"/>
        <v>0</v>
      </c>
      <c r="P233" s="1619"/>
      <c r="Q233" s="1619"/>
      <c r="R233" s="1600"/>
      <c r="S233" s="1619"/>
      <c r="T233" s="1619"/>
      <c r="U233" s="1600"/>
      <c r="V233" s="1619"/>
      <c r="W233" s="1619"/>
      <c r="X233" s="1423"/>
      <c r="Y233" s="1423"/>
      <c r="Z233" s="1423"/>
      <c r="AA233" s="1423"/>
    </row>
    <row r="234" spans="1:27" ht="23.25" hidden="1">
      <c r="A234" s="2204"/>
      <c r="B234" s="1609" t="s">
        <v>1770</v>
      </c>
      <c r="C234" s="2205"/>
      <c r="D234" s="1602">
        <f t="shared" si="80"/>
        <v>6951.8</v>
      </c>
      <c r="E234" s="1609">
        <f>5138.2+1396.4</f>
        <v>6534.6</v>
      </c>
      <c r="F234" s="1609">
        <f>328+89.2</f>
        <v>417.2</v>
      </c>
      <c r="G234" s="1600">
        <f t="shared" si="81"/>
        <v>6951.8</v>
      </c>
      <c r="H234" s="1616">
        <f>E234</f>
        <v>6534.6</v>
      </c>
      <c r="I234" s="1616">
        <f>F234</f>
        <v>417.2</v>
      </c>
      <c r="J234" s="1600">
        <f t="shared" si="82"/>
        <v>4497</v>
      </c>
      <c r="K234" s="1619">
        <f>1090.159+3137.08</f>
        <v>4227.2</v>
      </c>
      <c r="L234" s="1619">
        <f>69.6+200.2</f>
        <v>269.8</v>
      </c>
      <c r="M234" s="1609">
        <f t="shared" si="84"/>
        <v>64.7</v>
      </c>
      <c r="N234" s="1609">
        <f t="shared" si="84"/>
        <v>64.7</v>
      </c>
      <c r="O234" s="1609">
        <f t="shared" si="84"/>
        <v>64.7</v>
      </c>
      <c r="P234" s="1619"/>
      <c r="Q234" s="1619"/>
      <c r="R234" s="1600"/>
      <c r="S234" s="1619"/>
      <c r="T234" s="1619"/>
      <c r="U234" s="1600"/>
      <c r="V234" s="1619"/>
      <c r="W234" s="1619"/>
      <c r="X234" s="1423"/>
      <c r="Y234" s="1423"/>
      <c r="Z234" s="1423"/>
      <c r="AA234" s="1423"/>
    </row>
    <row r="235" spans="1:27" s="484" customFormat="1" ht="65.25" hidden="1" customHeight="1">
      <c r="A235" s="2204" t="e">
        <f>A232+1</f>
        <v>#VALUE!</v>
      </c>
      <c r="B235" s="1920" t="s">
        <v>1437</v>
      </c>
      <c r="C235" s="1880" t="s">
        <v>1544</v>
      </c>
      <c r="D235" s="1602">
        <f t="shared" si="80"/>
        <v>114857</v>
      </c>
      <c r="E235" s="1616">
        <f>SUM(E236:E238)</f>
        <v>96866.8</v>
      </c>
      <c r="F235" s="1616">
        <f>SUM(F236:F238)</f>
        <v>17990.2</v>
      </c>
      <c r="G235" s="1600">
        <f t="shared" si="81"/>
        <v>114857</v>
      </c>
      <c r="H235" s="1616">
        <f>SUM(H236:H238)</f>
        <v>96866.8</v>
      </c>
      <c r="I235" s="1616">
        <f>SUM(I236:I238)</f>
        <v>17990.2</v>
      </c>
      <c r="J235" s="1602">
        <f t="shared" si="82"/>
        <v>96907.6</v>
      </c>
      <c r="K235" s="1616">
        <f>SUM(K236:K238)</f>
        <v>79995.3</v>
      </c>
      <c r="L235" s="1616">
        <f>SUM(L236:L238)</f>
        <v>16912.3</v>
      </c>
      <c r="M235" s="1604">
        <f t="shared" si="84"/>
        <v>84.4</v>
      </c>
      <c r="N235" s="1881">
        <f t="shared" si="84"/>
        <v>82.6</v>
      </c>
      <c r="O235" s="1881">
        <f t="shared" si="84"/>
        <v>94</v>
      </c>
      <c r="P235" s="2203" t="s">
        <v>1293</v>
      </c>
      <c r="Q235" s="2203" t="s">
        <v>1101</v>
      </c>
      <c r="R235" s="1600">
        <f>S235+T235</f>
        <v>0</v>
      </c>
      <c r="S235" s="1608">
        <v>0</v>
      </c>
      <c r="T235" s="1608">
        <v>0</v>
      </c>
      <c r="U235" s="1600">
        <f>V235+W235</f>
        <v>0</v>
      </c>
      <c r="V235" s="1608">
        <v>0</v>
      </c>
      <c r="W235" s="1608">
        <v>0</v>
      </c>
      <c r="X235" s="1423">
        <f>D235-G235</f>
        <v>0</v>
      </c>
      <c r="Y235" s="1423"/>
      <c r="Z235" s="1423"/>
      <c r="AA235" s="1423"/>
    </row>
    <row r="236" spans="1:27" s="484" customFormat="1" ht="23.25" hidden="1">
      <c r="A236" s="2204"/>
      <c r="B236" s="1609" t="s">
        <v>1620</v>
      </c>
      <c r="C236" s="1880"/>
      <c r="D236" s="1602">
        <f t="shared" si="80"/>
        <v>74115.8</v>
      </c>
      <c r="E236" s="1616">
        <v>69668.800000000003</v>
      </c>
      <c r="F236" s="1616">
        <f>4447</f>
        <v>4447</v>
      </c>
      <c r="G236" s="1600">
        <f t="shared" si="81"/>
        <v>74115.8</v>
      </c>
      <c r="H236" s="1616">
        <f t="shared" ref="H236:I242" si="86">E236</f>
        <v>69668.800000000003</v>
      </c>
      <c r="I236" s="1616">
        <f t="shared" si="86"/>
        <v>4447</v>
      </c>
      <c r="J236" s="1600">
        <f t="shared" si="82"/>
        <v>72236.100000000006</v>
      </c>
      <c r="K236" s="1608">
        <v>67901.899999999994</v>
      </c>
      <c r="L236" s="1608">
        <v>4334.2</v>
      </c>
      <c r="M236" s="2162">
        <f t="shared" si="84"/>
        <v>97.5</v>
      </c>
      <c r="N236" s="2163">
        <f t="shared" si="84"/>
        <v>97.5</v>
      </c>
      <c r="O236" s="2163">
        <f t="shared" si="84"/>
        <v>97.5</v>
      </c>
      <c r="P236" s="2203"/>
      <c r="Q236" s="2203"/>
      <c r="R236" s="1600">
        <f t="shared" ref="R236:R246" si="87">S236+T236</f>
        <v>0</v>
      </c>
      <c r="S236" s="1608">
        <v>0</v>
      </c>
      <c r="T236" s="1608">
        <v>0</v>
      </c>
      <c r="U236" s="1600">
        <f>V236+W236</f>
        <v>0</v>
      </c>
      <c r="V236" s="1608">
        <v>0</v>
      </c>
      <c r="W236" s="1608">
        <v>0</v>
      </c>
      <c r="X236" s="1423">
        <f>D236-G236</f>
        <v>0</v>
      </c>
      <c r="Y236" s="1423"/>
      <c r="Z236" s="1423"/>
      <c r="AA236" s="1423"/>
    </row>
    <row r="237" spans="1:27" s="484" customFormat="1" ht="37.5" hidden="1">
      <c r="A237" s="2204"/>
      <c r="B237" s="1609" t="s">
        <v>1798</v>
      </c>
      <c r="C237" s="1880"/>
      <c r="D237" s="1602">
        <f>SUM(E237:F237)</f>
        <v>28934.400000000001</v>
      </c>
      <c r="E237" s="1616">
        <v>27198</v>
      </c>
      <c r="F237" s="1616">
        <v>1736.4</v>
      </c>
      <c r="G237" s="1600">
        <f>SUM(H237:I237)</f>
        <v>28934.400000000001</v>
      </c>
      <c r="H237" s="1616">
        <f>E237</f>
        <v>27198</v>
      </c>
      <c r="I237" s="1616">
        <f>F237</f>
        <v>1736.4</v>
      </c>
      <c r="J237" s="1600">
        <f>SUM(K237:L237)</f>
        <v>12865.5</v>
      </c>
      <c r="K237" s="1608">
        <v>12093.4</v>
      </c>
      <c r="L237" s="1608">
        <v>772.1</v>
      </c>
      <c r="M237" s="2162">
        <f t="shared" si="84"/>
        <v>44.5</v>
      </c>
      <c r="N237" s="2163">
        <f t="shared" si="84"/>
        <v>44.5</v>
      </c>
      <c r="O237" s="2163">
        <f t="shared" si="84"/>
        <v>44.5</v>
      </c>
      <c r="P237" s="2203"/>
      <c r="Q237" s="2203"/>
      <c r="R237" s="1600"/>
      <c r="S237" s="1608"/>
      <c r="T237" s="1608"/>
      <c r="U237" s="1600"/>
      <c r="V237" s="1608"/>
      <c r="W237" s="1608"/>
      <c r="X237" s="1423"/>
      <c r="Y237" s="1423"/>
      <c r="Z237" s="1423"/>
      <c r="AA237" s="1423"/>
    </row>
    <row r="238" spans="1:27" s="484" customFormat="1" ht="23.25" hidden="1">
      <c r="A238" s="2204"/>
      <c r="B238" s="1609" t="s">
        <v>1621</v>
      </c>
      <c r="C238" s="1880"/>
      <c r="D238" s="1602">
        <f t="shared" si="80"/>
        <v>11806.8</v>
      </c>
      <c r="E238" s="1616"/>
      <c r="F238" s="1616">
        <v>11806.8</v>
      </c>
      <c r="G238" s="1600">
        <f t="shared" si="81"/>
        <v>11806.8</v>
      </c>
      <c r="H238" s="1616">
        <f t="shared" si="86"/>
        <v>0</v>
      </c>
      <c r="I238" s="1616">
        <v>11806.8</v>
      </c>
      <c r="J238" s="1600">
        <f t="shared" si="82"/>
        <v>11806</v>
      </c>
      <c r="K238" s="1608"/>
      <c r="L238" s="1608">
        <f>9181.4+2624.596</f>
        <v>11806</v>
      </c>
      <c r="M238" s="2162">
        <f t="shared" si="84"/>
        <v>100</v>
      </c>
      <c r="N238" s="2163">
        <f t="shared" si="84"/>
        <v>0</v>
      </c>
      <c r="O238" s="2163">
        <f t="shared" si="84"/>
        <v>100</v>
      </c>
      <c r="P238" s="2203"/>
      <c r="Q238" s="2203"/>
      <c r="R238" s="1600">
        <f t="shared" si="87"/>
        <v>0</v>
      </c>
      <c r="S238" s="1608">
        <v>0</v>
      </c>
      <c r="T238" s="1608">
        <v>0</v>
      </c>
      <c r="U238" s="1600">
        <f>V238+W238</f>
        <v>0</v>
      </c>
      <c r="V238" s="1608">
        <v>0</v>
      </c>
      <c r="W238" s="1608">
        <v>0</v>
      </c>
      <c r="X238" s="1423">
        <f>D238-G238</f>
        <v>0</v>
      </c>
      <c r="Y238" s="1423"/>
      <c r="Z238" s="1423"/>
      <c r="AA238" s="1423"/>
    </row>
    <row r="239" spans="1:27" ht="63" hidden="1" customHeight="1">
      <c r="A239" s="2204" t="e">
        <f>A235+1</f>
        <v>#VALUE!</v>
      </c>
      <c r="B239" s="1912" t="s">
        <v>1441</v>
      </c>
      <c r="C239" s="1880" t="s">
        <v>1544</v>
      </c>
      <c r="D239" s="1602">
        <f t="shared" si="80"/>
        <v>79786.100000000006</v>
      </c>
      <c r="E239" s="1616">
        <f>E240+E241+E242</f>
        <v>74998.3</v>
      </c>
      <c r="F239" s="1616">
        <f>F240+F241+F242</f>
        <v>4787.8</v>
      </c>
      <c r="G239" s="1600">
        <f t="shared" si="81"/>
        <v>79786.100000000006</v>
      </c>
      <c r="H239" s="1616">
        <f>H240+H241+H242</f>
        <v>74998.3</v>
      </c>
      <c r="I239" s="1616">
        <f>I240+I241+I242</f>
        <v>4787.8</v>
      </c>
      <c r="J239" s="1602">
        <f t="shared" si="82"/>
        <v>20</v>
      </c>
      <c r="K239" s="1616">
        <f>K240+K241+K242</f>
        <v>18.8</v>
      </c>
      <c r="L239" s="1616">
        <f>L240+L241+L242</f>
        <v>1.2</v>
      </c>
      <c r="M239" s="1604">
        <f t="shared" si="84"/>
        <v>0</v>
      </c>
      <c r="N239" s="1881">
        <f t="shared" si="84"/>
        <v>0</v>
      </c>
      <c r="O239" s="1881">
        <f t="shared" si="84"/>
        <v>0</v>
      </c>
      <c r="P239" s="2203" t="s">
        <v>1192</v>
      </c>
      <c r="Q239" s="2203" t="s">
        <v>1663</v>
      </c>
      <c r="R239" s="1600">
        <f t="shared" si="87"/>
        <v>0</v>
      </c>
      <c r="S239" s="1614">
        <v>0</v>
      </c>
      <c r="T239" s="1614">
        <v>0</v>
      </c>
      <c r="U239" s="1600">
        <f>V239+W239</f>
        <v>0</v>
      </c>
      <c r="V239" s="1614">
        <v>0</v>
      </c>
      <c r="W239" s="1614">
        <v>0</v>
      </c>
      <c r="X239" s="1423">
        <f>D239-G239</f>
        <v>0</v>
      </c>
      <c r="Y239" s="1423"/>
      <c r="Z239" s="1423"/>
      <c r="AA239" s="1423"/>
    </row>
    <row r="240" spans="1:27" ht="23.25" hidden="1">
      <c r="A240" s="2204"/>
      <c r="B240" s="1609" t="s">
        <v>1620</v>
      </c>
      <c r="C240" s="2205"/>
      <c r="D240" s="1602">
        <f t="shared" si="80"/>
        <v>18682.400000000001</v>
      </c>
      <c r="E240" s="1609">
        <v>17561.3</v>
      </c>
      <c r="F240" s="1609">
        <v>1121.0999999999999</v>
      </c>
      <c r="G240" s="1600">
        <f t="shared" si="81"/>
        <v>18682.400000000001</v>
      </c>
      <c r="H240" s="1616">
        <f t="shared" si="86"/>
        <v>17561.3</v>
      </c>
      <c r="I240" s="1616">
        <f t="shared" si="86"/>
        <v>1121.0999999999999</v>
      </c>
      <c r="J240" s="1600">
        <f t="shared" si="82"/>
        <v>0</v>
      </c>
      <c r="K240" s="1619"/>
      <c r="L240" s="1619"/>
      <c r="M240" s="1604">
        <f t="shared" si="84"/>
        <v>0</v>
      </c>
      <c r="N240" s="1881">
        <f t="shared" si="84"/>
        <v>0</v>
      </c>
      <c r="O240" s="1881">
        <f t="shared" si="84"/>
        <v>0</v>
      </c>
      <c r="P240" s="1619"/>
      <c r="Q240" s="1619"/>
      <c r="R240" s="1600"/>
      <c r="S240" s="1619"/>
      <c r="T240" s="1619"/>
      <c r="U240" s="1600"/>
      <c r="V240" s="1619"/>
      <c r="W240" s="1619"/>
      <c r="X240" s="1423"/>
      <c r="Y240" s="1423"/>
      <c r="Z240" s="1423"/>
      <c r="AA240" s="1423"/>
    </row>
    <row r="241" spans="1:27" ht="37.5" hidden="1">
      <c r="A241" s="2204"/>
      <c r="B241" s="1609" t="s">
        <v>1798</v>
      </c>
      <c r="C241" s="2205"/>
      <c r="D241" s="1602">
        <f>SUM(E241:F241)</f>
        <v>61083.7</v>
      </c>
      <c r="E241" s="1609">
        <v>57418.2</v>
      </c>
      <c r="F241" s="1609">
        <v>3665.5</v>
      </c>
      <c r="G241" s="1600">
        <f>SUM(H241:I241)</f>
        <v>61083.7</v>
      </c>
      <c r="H241" s="1616">
        <f>E241</f>
        <v>57418.2</v>
      </c>
      <c r="I241" s="1616">
        <f>F241</f>
        <v>3665.5</v>
      </c>
      <c r="J241" s="1600">
        <f>SUM(K241:L241)</f>
        <v>0</v>
      </c>
      <c r="K241" s="1619"/>
      <c r="L241" s="1619"/>
      <c r="M241" s="1604">
        <f t="shared" si="84"/>
        <v>0</v>
      </c>
      <c r="N241" s="1881">
        <f t="shared" si="84"/>
        <v>0</v>
      </c>
      <c r="O241" s="1881">
        <f t="shared" si="84"/>
        <v>0</v>
      </c>
      <c r="P241" s="1619"/>
      <c r="Q241" s="1619"/>
      <c r="R241" s="1600"/>
      <c r="S241" s="1619"/>
      <c r="T241" s="1619"/>
      <c r="U241" s="1600"/>
      <c r="V241" s="1619"/>
      <c r="W241" s="1619"/>
      <c r="X241" s="1423"/>
      <c r="Y241" s="1423"/>
      <c r="Z241" s="1423"/>
      <c r="AA241" s="1423"/>
    </row>
    <row r="242" spans="1:27" ht="23.25" hidden="1">
      <c r="A242" s="2204"/>
      <c r="B242" s="1609" t="s">
        <v>1770</v>
      </c>
      <c r="C242" s="2205"/>
      <c r="D242" s="1602">
        <f t="shared" si="80"/>
        <v>20</v>
      </c>
      <c r="E242" s="1609">
        <v>18.8</v>
      </c>
      <c r="F242" s="1609">
        <v>1.2</v>
      </c>
      <c r="G242" s="1600">
        <f t="shared" si="81"/>
        <v>20</v>
      </c>
      <c r="H242" s="1616">
        <f t="shared" si="86"/>
        <v>18.8</v>
      </c>
      <c r="I242" s="1616">
        <f t="shared" si="86"/>
        <v>1.2</v>
      </c>
      <c r="J242" s="1600">
        <f t="shared" si="82"/>
        <v>20</v>
      </c>
      <c r="K242" s="1619">
        <f t="shared" ref="K242" si="88">3.6+15.2</f>
        <v>18.8</v>
      </c>
      <c r="L242" s="1619">
        <v>1.2</v>
      </c>
      <c r="M242" s="1604">
        <f t="shared" si="84"/>
        <v>100</v>
      </c>
      <c r="N242" s="1881">
        <f t="shared" si="84"/>
        <v>100</v>
      </c>
      <c r="O242" s="1881">
        <f t="shared" si="84"/>
        <v>100</v>
      </c>
      <c r="P242" s="1619"/>
      <c r="Q242" s="1619"/>
      <c r="R242" s="1600"/>
      <c r="S242" s="1619"/>
      <c r="T242" s="1619"/>
      <c r="U242" s="1600"/>
      <c r="V242" s="1619"/>
      <c r="W242" s="1619"/>
      <c r="X242" s="1423"/>
      <c r="Y242" s="1423"/>
      <c r="Z242" s="1423"/>
      <c r="AA242" s="1423"/>
    </row>
    <row r="243" spans="1:27" ht="58.5" hidden="1" customHeight="1">
      <c r="A243" s="2204" t="e">
        <f>A239+1</f>
        <v>#VALUE!</v>
      </c>
      <c r="B243" s="1912" t="s">
        <v>1442</v>
      </c>
      <c r="C243" s="1880" t="s">
        <v>1544</v>
      </c>
      <c r="D243" s="1602">
        <f t="shared" si="80"/>
        <v>14406.9</v>
      </c>
      <c r="E243" s="1616">
        <f>E244+E245</f>
        <v>13542.4</v>
      </c>
      <c r="F243" s="1616">
        <f>F244+F245</f>
        <v>864.5</v>
      </c>
      <c r="G243" s="1600">
        <f t="shared" si="81"/>
        <v>14406.9</v>
      </c>
      <c r="H243" s="1616">
        <f>H244+H245</f>
        <v>13542.4</v>
      </c>
      <c r="I243" s="1616">
        <f>I244+I245</f>
        <v>864.5</v>
      </c>
      <c r="J243" s="1602">
        <f t="shared" si="82"/>
        <v>8267.5</v>
      </c>
      <c r="K243" s="1616">
        <f>K244+K245</f>
        <v>7771.4</v>
      </c>
      <c r="L243" s="1616">
        <f>L244+L245</f>
        <v>496.1</v>
      </c>
      <c r="M243" s="1604">
        <f t="shared" si="84"/>
        <v>57.4</v>
      </c>
      <c r="N243" s="1881">
        <f t="shared" si="84"/>
        <v>57.4</v>
      </c>
      <c r="O243" s="1881">
        <f t="shared" si="84"/>
        <v>57.4</v>
      </c>
      <c r="P243" s="2203" t="s">
        <v>1285</v>
      </c>
      <c r="Q243" s="2203" t="s">
        <v>1252</v>
      </c>
      <c r="R243" s="1600">
        <f t="shared" si="87"/>
        <v>0</v>
      </c>
      <c r="S243" s="1614">
        <v>0</v>
      </c>
      <c r="T243" s="1614">
        <v>0</v>
      </c>
      <c r="U243" s="1600">
        <f>V243+W243</f>
        <v>0</v>
      </c>
      <c r="V243" s="1614">
        <v>0</v>
      </c>
      <c r="W243" s="1614">
        <v>0</v>
      </c>
      <c r="X243" s="1423">
        <f>D243-G243</f>
        <v>0</v>
      </c>
      <c r="Y243" s="1423"/>
      <c r="Z243" s="1423"/>
      <c r="AA243" s="1423"/>
    </row>
    <row r="244" spans="1:27" ht="21.75" hidden="1" customHeight="1">
      <c r="A244" s="2204"/>
      <c r="B244" s="1609" t="s">
        <v>1620</v>
      </c>
      <c r="C244" s="2205"/>
      <c r="D244" s="1602">
        <f t="shared" si="80"/>
        <v>12956.3</v>
      </c>
      <c r="E244" s="1609">
        <v>12178.9</v>
      </c>
      <c r="F244" s="1609">
        <v>777.4</v>
      </c>
      <c r="G244" s="1600">
        <f t="shared" si="81"/>
        <v>12956.3</v>
      </c>
      <c r="H244" s="1616">
        <f>E244</f>
        <v>12178.9</v>
      </c>
      <c r="I244" s="1616">
        <f>F244</f>
        <v>777.4</v>
      </c>
      <c r="J244" s="1600">
        <f t="shared" si="82"/>
        <v>7716.3</v>
      </c>
      <c r="K244" s="1619">
        <v>7253.3</v>
      </c>
      <c r="L244" s="1619">
        <v>463</v>
      </c>
      <c r="M244" s="1609">
        <f t="shared" si="84"/>
        <v>59.6</v>
      </c>
      <c r="N244" s="1609">
        <f t="shared" si="84"/>
        <v>59.6</v>
      </c>
      <c r="O244" s="1609">
        <f t="shared" si="84"/>
        <v>59.6</v>
      </c>
      <c r="P244" s="2203"/>
      <c r="Q244" s="2203"/>
      <c r="R244" s="1600"/>
      <c r="S244" s="1619"/>
      <c r="T244" s="1619"/>
      <c r="U244" s="1600"/>
      <c r="V244" s="1619"/>
      <c r="W244" s="1619"/>
      <c r="X244" s="1423">
        <f>D244-G244</f>
        <v>0</v>
      </c>
      <c r="Y244" s="1423"/>
      <c r="Z244" s="1423"/>
      <c r="AA244" s="1423"/>
    </row>
    <row r="245" spans="1:27" ht="26.25" hidden="1" customHeight="1">
      <c r="A245" s="2204"/>
      <c r="B245" s="1609" t="s">
        <v>1770</v>
      </c>
      <c r="C245" s="2205"/>
      <c r="D245" s="1602">
        <f t="shared" si="80"/>
        <v>1450.6</v>
      </c>
      <c r="E245" s="1609">
        <v>1363.5</v>
      </c>
      <c r="F245" s="1609">
        <v>87.1</v>
      </c>
      <c r="G245" s="1600">
        <f t="shared" si="81"/>
        <v>1450.6</v>
      </c>
      <c r="H245" s="1616">
        <f>E245</f>
        <v>1363.5</v>
      </c>
      <c r="I245" s="1616">
        <f>F245</f>
        <v>87.1</v>
      </c>
      <c r="J245" s="1600">
        <f t="shared" si="82"/>
        <v>551.20000000000005</v>
      </c>
      <c r="K245" s="1619">
        <v>518.1</v>
      </c>
      <c r="L245" s="1619">
        <v>33.1</v>
      </c>
      <c r="M245" s="1609">
        <f t="shared" si="84"/>
        <v>38</v>
      </c>
      <c r="N245" s="1609">
        <f t="shared" si="84"/>
        <v>38</v>
      </c>
      <c r="O245" s="1609">
        <f t="shared" si="84"/>
        <v>38</v>
      </c>
      <c r="P245" s="2203"/>
      <c r="Q245" s="2203"/>
      <c r="R245" s="1600"/>
      <c r="S245" s="1619"/>
      <c r="T245" s="1619"/>
      <c r="U245" s="1600"/>
      <c r="V245" s="1619"/>
      <c r="W245" s="1619"/>
      <c r="X245" s="1423">
        <f>D245-G245</f>
        <v>0</v>
      </c>
      <c r="Y245" s="1423"/>
      <c r="Z245" s="1423"/>
      <c r="AA245" s="1423"/>
    </row>
    <row r="246" spans="1:27" ht="23.25" hidden="1" customHeight="1">
      <c r="A246" s="2204" t="e">
        <f>A243+1</f>
        <v>#VALUE!</v>
      </c>
      <c r="B246" s="1883" t="s">
        <v>1587</v>
      </c>
      <c r="C246" s="1880"/>
      <c r="D246" s="1602">
        <f t="shared" ref="D246:D280" si="89">SUM(E246:F246)</f>
        <v>37898.1</v>
      </c>
      <c r="E246" s="1616">
        <f>E247+E248</f>
        <v>2403.9</v>
      </c>
      <c r="F246" s="1616">
        <f>F247+F248</f>
        <v>35494.199999999997</v>
      </c>
      <c r="G246" s="1600">
        <f t="shared" ref="G246:G268" si="90">SUM(H246:I246)</f>
        <v>37898.1</v>
      </c>
      <c r="H246" s="1616">
        <f>H247+H248</f>
        <v>2403.9</v>
      </c>
      <c r="I246" s="1616">
        <f>I247+I248</f>
        <v>35494.199999999997</v>
      </c>
      <c r="J246" s="1602">
        <f t="shared" si="82"/>
        <v>24105.9</v>
      </c>
      <c r="K246" s="1608">
        <f>K247+K248</f>
        <v>38.1</v>
      </c>
      <c r="L246" s="1616">
        <f>L247+L248</f>
        <v>24067.8</v>
      </c>
      <c r="M246" s="1604">
        <f t="shared" si="84"/>
        <v>63.6</v>
      </c>
      <c r="N246" s="1881">
        <f t="shared" si="84"/>
        <v>1.6</v>
      </c>
      <c r="O246" s="1881">
        <f t="shared" si="84"/>
        <v>67.8</v>
      </c>
      <c r="P246" s="2203"/>
      <c r="Q246" s="2203"/>
      <c r="R246" s="1600">
        <f t="shared" si="87"/>
        <v>0</v>
      </c>
      <c r="S246" s="1614">
        <v>0</v>
      </c>
      <c r="T246" s="1614">
        <v>0</v>
      </c>
      <c r="U246" s="1600">
        <f>V246+W246</f>
        <v>0</v>
      </c>
      <c r="V246" s="1614">
        <v>0</v>
      </c>
      <c r="W246" s="1614">
        <v>0</v>
      </c>
      <c r="X246" s="1423">
        <f>D246-G246</f>
        <v>0</v>
      </c>
      <c r="Y246" s="1423"/>
      <c r="Z246" s="1423"/>
      <c r="AA246" s="1423"/>
    </row>
    <row r="247" spans="1:27" ht="26.25" hidden="1" customHeight="1">
      <c r="A247" s="2204"/>
      <c r="B247" s="1609" t="s">
        <v>1770</v>
      </c>
      <c r="C247" s="2205"/>
      <c r="D247" s="1602">
        <f t="shared" si="89"/>
        <v>2557.4</v>
      </c>
      <c r="E247" s="1609">
        <v>2403.9</v>
      </c>
      <c r="F247" s="1609">
        <v>153.5</v>
      </c>
      <c r="G247" s="1600">
        <f t="shared" si="90"/>
        <v>2557.4</v>
      </c>
      <c r="H247" s="1616">
        <f>E247</f>
        <v>2403.9</v>
      </c>
      <c r="I247" s="1616">
        <f>F247</f>
        <v>153.5</v>
      </c>
      <c r="J247" s="1600">
        <f t="shared" si="82"/>
        <v>40.5</v>
      </c>
      <c r="K247" s="1619">
        <v>38.1</v>
      </c>
      <c r="L247" s="1619">
        <f>2.2+0.2</f>
        <v>2.4</v>
      </c>
      <c r="M247" s="1609">
        <f t="shared" si="84"/>
        <v>1.6</v>
      </c>
      <c r="N247" s="1609">
        <f t="shared" si="84"/>
        <v>1.6</v>
      </c>
      <c r="O247" s="1609">
        <f t="shared" si="84"/>
        <v>1.6</v>
      </c>
      <c r="P247" s="2203"/>
      <c r="Q247" s="2203"/>
      <c r="R247" s="1600"/>
      <c r="S247" s="1619"/>
      <c r="T247" s="1619"/>
      <c r="U247" s="1600"/>
      <c r="V247" s="1619"/>
      <c r="W247" s="1619"/>
      <c r="X247" s="1423">
        <f>D247-G247</f>
        <v>0</v>
      </c>
      <c r="Y247" s="1423"/>
      <c r="Z247" s="1423"/>
      <c r="AA247" s="1423"/>
    </row>
    <row r="248" spans="1:27" s="484" customFormat="1" ht="23.25" hidden="1">
      <c r="A248" s="2204"/>
      <c r="B248" s="1609" t="s">
        <v>1621</v>
      </c>
      <c r="C248" s="2205"/>
      <c r="D248" s="1602">
        <f t="shared" si="89"/>
        <v>35340.699999999997</v>
      </c>
      <c r="E248" s="1616"/>
      <c r="F248" s="1616">
        <v>35340.699999999997</v>
      </c>
      <c r="G248" s="1600">
        <f t="shared" si="90"/>
        <v>35340.699999999997</v>
      </c>
      <c r="H248" s="1616">
        <f>E248</f>
        <v>0</v>
      </c>
      <c r="I248" s="1616">
        <f>F248</f>
        <v>35340.699999999997</v>
      </c>
      <c r="J248" s="1600">
        <f t="shared" si="82"/>
        <v>24065.4</v>
      </c>
      <c r="K248" s="1608"/>
      <c r="L248" s="1608">
        <v>24065.4</v>
      </c>
      <c r="M248" s="1604">
        <f t="shared" si="84"/>
        <v>68.099999999999994</v>
      </c>
      <c r="N248" s="2161">
        <f t="shared" si="84"/>
        <v>0</v>
      </c>
      <c r="O248" s="2161">
        <f t="shared" si="84"/>
        <v>68.099999999999994</v>
      </c>
      <c r="P248" s="2203"/>
      <c r="Q248" s="2203"/>
      <c r="R248" s="1600">
        <f>S248+T248</f>
        <v>0</v>
      </c>
      <c r="S248" s="1608">
        <v>0</v>
      </c>
      <c r="T248" s="1608">
        <v>0</v>
      </c>
      <c r="U248" s="1600">
        <f>V248+W248</f>
        <v>0</v>
      </c>
      <c r="V248" s="1608">
        <v>0</v>
      </c>
      <c r="W248" s="1608">
        <v>0</v>
      </c>
      <c r="X248" s="1423">
        <f t="shared" ref="X248:X269" si="91">D248-G248</f>
        <v>0</v>
      </c>
      <c r="Y248" s="1423"/>
      <c r="Z248" s="1423"/>
      <c r="AA248" s="1423"/>
    </row>
    <row r="249" spans="1:27" s="484" customFormat="1" ht="46.5" hidden="1" customHeight="1">
      <c r="A249" s="1866" t="e">
        <f>A246+1</f>
        <v>#VALUE!</v>
      </c>
      <c r="B249" s="1905" t="s">
        <v>1591</v>
      </c>
      <c r="C249" s="1906"/>
      <c r="D249" s="1600">
        <f t="shared" si="89"/>
        <v>304.60000000000002</v>
      </c>
      <c r="E249" s="1608">
        <f>E250+E251</f>
        <v>147.6</v>
      </c>
      <c r="F249" s="1616">
        <f>F250+F251</f>
        <v>157</v>
      </c>
      <c r="G249" s="1602">
        <f t="shared" si="90"/>
        <v>304.60000000000002</v>
      </c>
      <c r="H249" s="1616">
        <f>H250+H251</f>
        <v>147.6</v>
      </c>
      <c r="I249" s="1608">
        <f>I250+I251</f>
        <v>157</v>
      </c>
      <c r="J249" s="1600">
        <f t="shared" si="82"/>
        <v>157</v>
      </c>
      <c r="K249" s="1608">
        <f>K250+K251</f>
        <v>0</v>
      </c>
      <c r="L249" s="1608">
        <f>L250+L251</f>
        <v>157</v>
      </c>
      <c r="M249" s="1604">
        <f t="shared" si="84"/>
        <v>51.5</v>
      </c>
      <c r="N249" s="1881">
        <f t="shared" si="84"/>
        <v>0</v>
      </c>
      <c r="O249" s="1881">
        <f t="shared" si="84"/>
        <v>100</v>
      </c>
      <c r="P249" s="2203"/>
      <c r="Q249" s="2203"/>
      <c r="R249" s="1600"/>
      <c r="S249" s="1608"/>
      <c r="T249" s="1608"/>
      <c r="U249" s="1600"/>
      <c r="V249" s="1608"/>
      <c r="W249" s="1608"/>
      <c r="X249" s="1423">
        <f t="shared" si="91"/>
        <v>0</v>
      </c>
      <c r="Y249" s="1423"/>
      <c r="Z249" s="1423"/>
      <c r="AA249" s="1423"/>
    </row>
    <row r="250" spans="1:27" s="484" customFormat="1" ht="24" hidden="1" customHeight="1">
      <c r="A250" s="2204"/>
      <c r="B250" s="1609" t="s">
        <v>1770</v>
      </c>
      <c r="C250" s="2205"/>
      <c r="D250" s="1602">
        <f t="shared" si="89"/>
        <v>147.6</v>
      </c>
      <c r="E250" s="1616">
        <v>147.6</v>
      </c>
      <c r="F250" s="1616"/>
      <c r="G250" s="1602">
        <f t="shared" si="90"/>
        <v>147.6</v>
      </c>
      <c r="H250" s="1616">
        <f>E250</f>
        <v>147.6</v>
      </c>
      <c r="I250" s="1616">
        <f>F250</f>
        <v>0</v>
      </c>
      <c r="J250" s="1600">
        <f t="shared" si="82"/>
        <v>0</v>
      </c>
      <c r="K250" s="1608"/>
      <c r="L250" s="1608"/>
      <c r="M250" s="1604">
        <f t="shared" si="84"/>
        <v>0</v>
      </c>
      <c r="N250" s="1881">
        <f t="shared" si="84"/>
        <v>0</v>
      </c>
      <c r="O250" s="1881">
        <f t="shared" si="84"/>
        <v>0</v>
      </c>
      <c r="P250" s="2203"/>
      <c r="Q250" s="2203"/>
      <c r="R250" s="1600"/>
      <c r="S250" s="1608"/>
      <c r="T250" s="1608"/>
      <c r="U250" s="1600"/>
      <c r="V250" s="1608"/>
      <c r="W250" s="1608"/>
      <c r="X250" s="1423">
        <f t="shared" si="91"/>
        <v>0</v>
      </c>
      <c r="Y250" s="1423">
        <v>9.5</v>
      </c>
      <c r="Z250" s="1423"/>
      <c r="AA250" s="1423"/>
    </row>
    <row r="251" spans="1:27" s="484" customFormat="1" ht="27" hidden="1" customHeight="1">
      <c r="A251" s="2204"/>
      <c r="B251" s="1609" t="s">
        <v>1621</v>
      </c>
      <c r="C251" s="2205"/>
      <c r="D251" s="1602">
        <f t="shared" si="89"/>
        <v>157</v>
      </c>
      <c r="E251" s="1616">
        <v>0</v>
      </c>
      <c r="F251" s="1616">
        <v>157</v>
      </c>
      <c r="G251" s="1602">
        <f t="shared" si="90"/>
        <v>157</v>
      </c>
      <c r="H251" s="1616">
        <f>E251</f>
        <v>0</v>
      </c>
      <c r="I251" s="1616">
        <f>F251</f>
        <v>157</v>
      </c>
      <c r="J251" s="1600">
        <f t="shared" si="82"/>
        <v>157</v>
      </c>
      <c r="K251" s="1608"/>
      <c r="L251" s="1608">
        <v>157</v>
      </c>
      <c r="M251" s="1604">
        <f t="shared" si="84"/>
        <v>100</v>
      </c>
      <c r="N251" s="1881">
        <f t="shared" si="84"/>
        <v>0</v>
      </c>
      <c r="O251" s="1881">
        <f t="shared" si="84"/>
        <v>100</v>
      </c>
      <c r="P251" s="2203"/>
      <c r="Q251" s="2203"/>
      <c r="R251" s="1600"/>
      <c r="S251" s="1608"/>
      <c r="T251" s="1608"/>
      <c r="U251" s="1600"/>
      <c r="V251" s="1608"/>
      <c r="W251" s="1608"/>
      <c r="X251" s="1423">
        <f t="shared" si="91"/>
        <v>0</v>
      </c>
      <c r="Y251" s="1423"/>
      <c r="Z251" s="1423"/>
      <c r="AA251" s="1423"/>
    </row>
    <row r="252" spans="1:27" s="1607" customFormat="1" ht="61.5" hidden="1" customHeight="1">
      <c r="A252" s="2204" t="e">
        <f>A249+1</f>
        <v>#VALUE!</v>
      </c>
      <c r="B252" s="1914" t="s">
        <v>1600</v>
      </c>
      <c r="C252" s="2204"/>
      <c r="D252" s="1602">
        <f t="shared" si="89"/>
        <v>160.1</v>
      </c>
      <c r="E252" s="1616">
        <f>E253+E254</f>
        <v>150.4</v>
      </c>
      <c r="F252" s="1616">
        <f>F253+F254</f>
        <v>9.6999999999999993</v>
      </c>
      <c r="G252" s="1602">
        <f t="shared" si="90"/>
        <v>160.1</v>
      </c>
      <c r="H252" s="1616">
        <f>H253+H254</f>
        <v>150.4</v>
      </c>
      <c r="I252" s="1608">
        <f>I253+I254</f>
        <v>9.6999999999999993</v>
      </c>
      <c r="J252" s="1602">
        <f t="shared" si="82"/>
        <v>0</v>
      </c>
      <c r="K252" s="1616">
        <f>K253+K254</f>
        <v>0</v>
      </c>
      <c r="L252" s="1616">
        <f>L253+L254</f>
        <v>0</v>
      </c>
      <c r="M252" s="1616">
        <f t="shared" si="84"/>
        <v>0</v>
      </c>
      <c r="N252" s="1881">
        <f t="shared" si="84"/>
        <v>0</v>
      </c>
      <c r="O252" s="1881">
        <f t="shared" si="84"/>
        <v>0</v>
      </c>
      <c r="P252" s="2203"/>
      <c r="Q252" s="2203"/>
      <c r="R252" s="1600">
        <f>S252+T252</f>
        <v>0</v>
      </c>
      <c r="S252" s="1608">
        <v>0</v>
      </c>
      <c r="T252" s="1608">
        <v>0</v>
      </c>
      <c r="U252" s="1600">
        <f>V252+W252</f>
        <v>0</v>
      </c>
      <c r="V252" s="1608">
        <v>0</v>
      </c>
      <c r="W252" s="1608">
        <v>0</v>
      </c>
      <c r="X252" s="1423">
        <f t="shared" si="91"/>
        <v>0</v>
      </c>
      <c r="Y252" s="1423"/>
      <c r="Z252" s="1423"/>
      <c r="AA252" s="1423"/>
    </row>
    <row r="253" spans="1:27" ht="19.5" hidden="1" customHeight="1">
      <c r="A253" s="2204"/>
      <c r="B253" s="1609" t="s">
        <v>1620</v>
      </c>
      <c r="C253" s="2205"/>
      <c r="D253" s="1602">
        <f t="shared" si="89"/>
        <v>0</v>
      </c>
      <c r="E253" s="1609">
        <v>0</v>
      </c>
      <c r="F253" s="1609">
        <v>0</v>
      </c>
      <c r="G253" s="1602">
        <f t="shared" si="90"/>
        <v>0</v>
      </c>
      <c r="H253" s="1616">
        <f>E253</f>
        <v>0</v>
      </c>
      <c r="I253" s="1616">
        <f>F253</f>
        <v>0</v>
      </c>
      <c r="J253" s="1600">
        <f t="shared" si="82"/>
        <v>0</v>
      </c>
      <c r="K253" s="1619"/>
      <c r="L253" s="1619"/>
      <c r="M253" s="1609">
        <f t="shared" si="84"/>
        <v>0</v>
      </c>
      <c r="N253" s="1609">
        <f t="shared" si="84"/>
        <v>0</v>
      </c>
      <c r="O253" s="1609">
        <f t="shared" si="84"/>
        <v>0</v>
      </c>
      <c r="P253" s="2203"/>
      <c r="Q253" s="2203"/>
      <c r="R253" s="1600"/>
      <c r="S253" s="1619"/>
      <c r="T253" s="1619"/>
      <c r="U253" s="1600"/>
      <c r="V253" s="1619"/>
      <c r="W253" s="1619"/>
      <c r="X253" s="1423">
        <f t="shared" si="91"/>
        <v>0</v>
      </c>
      <c r="Y253" s="1423"/>
      <c r="Z253" s="1423"/>
      <c r="AA253" s="1423"/>
    </row>
    <row r="254" spans="1:27" ht="26.25" hidden="1" customHeight="1">
      <c r="A254" s="2204"/>
      <c r="B254" s="1609" t="s">
        <v>1770</v>
      </c>
      <c r="C254" s="2205"/>
      <c r="D254" s="1602">
        <f t="shared" si="89"/>
        <v>160.1</v>
      </c>
      <c r="E254" s="1609">
        <v>150.4</v>
      </c>
      <c r="F254" s="1609">
        <v>9.6999999999999993</v>
      </c>
      <c r="G254" s="1602">
        <f t="shared" si="90"/>
        <v>160.1</v>
      </c>
      <c r="H254" s="1616">
        <f>E254</f>
        <v>150.4</v>
      </c>
      <c r="I254" s="1616">
        <f>F254</f>
        <v>9.6999999999999993</v>
      </c>
      <c r="J254" s="1600">
        <f t="shared" si="82"/>
        <v>0</v>
      </c>
      <c r="K254" s="1619"/>
      <c r="L254" s="1619"/>
      <c r="M254" s="1609">
        <f t="shared" si="84"/>
        <v>0</v>
      </c>
      <c r="N254" s="1609">
        <f t="shared" si="84"/>
        <v>0</v>
      </c>
      <c r="O254" s="1609">
        <f t="shared" si="84"/>
        <v>0</v>
      </c>
      <c r="P254" s="2203"/>
      <c r="Q254" s="2203"/>
      <c r="R254" s="1600"/>
      <c r="S254" s="1619"/>
      <c r="T254" s="1619"/>
      <c r="U254" s="1600"/>
      <c r="V254" s="1619"/>
      <c r="W254" s="1619"/>
      <c r="X254" s="1423">
        <f t="shared" si="91"/>
        <v>0</v>
      </c>
      <c r="Y254" s="1423"/>
      <c r="Z254" s="1423"/>
      <c r="AA254" s="1423"/>
    </row>
    <row r="255" spans="1:27" s="484" customFormat="1" ht="54" hidden="1" customHeight="1">
      <c r="A255" s="2204" t="e">
        <f>A252+1</f>
        <v>#VALUE!</v>
      </c>
      <c r="B255" s="1914" t="s">
        <v>776</v>
      </c>
      <c r="C255" s="2204" t="s">
        <v>1545</v>
      </c>
      <c r="D255" s="1602">
        <f t="shared" si="89"/>
        <v>179059.7</v>
      </c>
      <c r="E255" s="1615">
        <f>E256+E257</f>
        <v>166418.20000000001</v>
      </c>
      <c r="F255" s="1615">
        <f>F256+F257</f>
        <v>12641.5</v>
      </c>
      <c r="G255" s="1602">
        <f t="shared" si="90"/>
        <v>179059.7</v>
      </c>
      <c r="H255" s="1615">
        <f>H256+H257</f>
        <v>166418.20000000001</v>
      </c>
      <c r="I255" s="1614">
        <f>I256+I257</f>
        <v>12641.5</v>
      </c>
      <c r="J255" s="1602">
        <f t="shared" si="82"/>
        <v>83160.5</v>
      </c>
      <c r="K255" s="1614">
        <f>K256+K257</f>
        <v>76989.899999999994</v>
      </c>
      <c r="L255" s="1615">
        <f>L256+L257</f>
        <v>6170.6</v>
      </c>
      <c r="M255" s="1604">
        <f t="shared" si="84"/>
        <v>46.4</v>
      </c>
      <c r="N255" s="1881">
        <f t="shared" si="84"/>
        <v>46.3</v>
      </c>
      <c r="O255" s="1881">
        <f t="shared" si="84"/>
        <v>48.8</v>
      </c>
      <c r="P255" s="2203" t="s">
        <v>1272</v>
      </c>
      <c r="Q255" s="2203" t="s">
        <v>1273</v>
      </c>
      <c r="R255" s="1600">
        <f>S255+T255</f>
        <v>0</v>
      </c>
      <c r="S255" s="1608">
        <v>0</v>
      </c>
      <c r="T255" s="1608">
        <v>0</v>
      </c>
      <c r="U255" s="1600">
        <f>V255+W255</f>
        <v>0</v>
      </c>
      <c r="V255" s="1608">
        <v>0</v>
      </c>
      <c r="W255" s="1608">
        <v>0</v>
      </c>
      <c r="X255" s="1423">
        <f t="shared" si="91"/>
        <v>0</v>
      </c>
      <c r="Y255" s="1423"/>
      <c r="Z255" s="1423"/>
      <c r="AA255" s="1423"/>
    </row>
    <row r="256" spans="1:27" s="484" customFormat="1" ht="28.5" hidden="1" customHeight="1">
      <c r="A256" s="2204"/>
      <c r="B256" s="1609" t="s">
        <v>1620</v>
      </c>
      <c r="C256" s="2204"/>
      <c r="D256" s="1602">
        <f t="shared" si="89"/>
        <v>177040.7</v>
      </c>
      <c r="E256" s="1615">
        <v>166418.20000000001</v>
      </c>
      <c r="F256" s="1615">
        <v>10622.5</v>
      </c>
      <c r="G256" s="1602">
        <f t="shared" si="90"/>
        <v>177040.7</v>
      </c>
      <c r="H256" s="1616">
        <f>E256</f>
        <v>166418.20000000001</v>
      </c>
      <c r="I256" s="1616">
        <f>F256</f>
        <v>10622.5</v>
      </c>
      <c r="J256" s="1600">
        <f t="shared" si="82"/>
        <v>81904.2</v>
      </c>
      <c r="K256" s="1614">
        <v>76989.899999999994</v>
      </c>
      <c r="L256" s="1614">
        <v>4914.3</v>
      </c>
      <c r="M256" s="1604">
        <f t="shared" si="84"/>
        <v>46.3</v>
      </c>
      <c r="N256" s="1881">
        <f t="shared" si="84"/>
        <v>46.3</v>
      </c>
      <c r="O256" s="1881">
        <f t="shared" si="84"/>
        <v>46.3</v>
      </c>
      <c r="P256" s="2203"/>
      <c r="Q256" s="2203"/>
      <c r="R256" s="1600"/>
      <c r="S256" s="1608"/>
      <c r="T256" s="1608"/>
      <c r="U256" s="1600"/>
      <c r="V256" s="1608"/>
      <c r="W256" s="1608"/>
      <c r="X256" s="1423">
        <f t="shared" si="91"/>
        <v>0</v>
      </c>
      <c r="Y256" s="1423"/>
      <c r="Z256" s="1423"/>
      <c r="AA256" s="1423"/>
    </row>
    <row r="257" spans="1:27" s="484" customFormat="1" ht="29.25" hidden="1" customHeight="1">
      <c r="A257" s="2204"/>
      <c r="B257" s="1609" t="s">
        <v>1621</v>
      </c>
      <c r="C257" s="2204"/>
      <c r="D257" s="1602">
        <f t="shared" si="89"/>
        <v>2019</v>
      </c>
      <c r="E257" s="1616">
        <v>0</v>
      </c>
      <c r="F257" s="1616">
        <v>2019</v>
      </c>
      <c r="G257" s="1600">
        <f t="shared" si="90"/>
        <v>2019</v>
      </c>
      <c r="H257" s="1616">
        <f>E257</f>
        <v>0</v>
      </c>
      <c r="I257" s="1616">
        <f>F257</f>
        <v>2019</v>
      </c>
      <c r="J257" s="1600">
        <f t="shared" si="82"/>
        <v>1256.3</v>
      </c>
      <c r="K257" s="1608"/>
      <c r="L257" s="1608">
        <v>1256.3</v>
      </c>
      <c r="M257" s="1604">
        <f t="shared" si="84"/>
        <v>62.2</v>
      </c>
      <c r="N257" s="1881">
        <f t="shared" si="84"/>
        <v>0</v>
      </c>
      <c r="O257" s="1881">
        <f t="shared" si="84"/>
        <v>62.2</v>
      </c>
      <c r="P257" s="2203"/>
      <c r="Q257" s="2203"/>
      <c r="R257" s="1600"/>
      <c r="S257" s="1608"/>
      <c r="T257" s="1608"/>
      <c r="U257" s="1600"/>
      <c r="V257" s="1608"/>
      <c r="W257" s="1608"/>
      <c r="X257" s="1423">
        <f t="shared" si="91"/>
        <v>0</v>
      </c>
      <c r="Y257" s="1423"/>
      <c r="Z257" s="1423"/>
      <c r="AA257" s="1423"/>
    </row>
    <row r="258" spans="1:27" ht="50.25" hidden="1" customHeight="1">
      <c r="A258" s="2204" t="e">
        <f>A255+1</f>
        <v>#VALUE!</v>
      </c>
      <c r="B258" s="1888" t="s">
        <v>1595</v>
      </c>
      <c r="C258" s="2204"/>
      <c r="D258" s="1602">
        <f t="shared" si="89"/>
        <v>104514.6</v>
      </c>
      <c r="E258" s="1615">
        <f>E259+E261+E260</f>
        <v>98242.7</v>
      </c>
      <c r="F258" s="1615">
        <f>F259+F261+F260</f>
        <v>6271.9</v>
      </c>
      <c r="G258" s="1600">
        <f t="shared" si="90"/>
        <v>104514.6</v>
      </c>
      <c r="H258" s="1615">
        <f>H259+H261+H260</f>
        <v>98242.7</v>
      </c>
      <c r="I258" s="1615">
        <f>I259+I261+I260</f>
        <v>6271.9</v>
      </c>
      <c r="J258" s="1602">
        <f t="shared" si="82"/>
        <v>99513.8</v>
      </c>
      <c r="K258" s="1615">
        <f>K259+K261+K260</f>
        <v>93542</v>
      </c>
      <c r="L258" s="1615">
        <f>L259+L261+L260</f>
        <v>5971.8</v>
      </c>
      <c r="M258" s="1604">
        <f t="shared" si="84"/>
        <v>95.2</v>
      </c>
      <c r="N258" s="1881">
        <f t="shared" si="84"/>
        <v>95.2</v>
      </c>
      <c r="O258" s="1881">
        <f t="shared" si="84"/>
        <v>95.2</v>
      </c>
      <c r="P258" s="2203"/>
      <c r="Q258" s="2203"/>
      <c r="R258" s="1600">
        <f>S258+T258</f>
        <v>0</v>
      </c>
      <c r="S258" s="1608">
        <v>0</v>
      </c>
      <c r="T258" s="1608">
        <v>0</v>
      </c>
      <c r="U258" s="1600">
        <f>V258+W258</f>
        <v>0</v>
      </c>
      <c r="V258" s="1608">
        <v>0</v>
      </c>
      <c r="W258" s="1608">
        <v>0</v>
      </c>
      <c r="X258" s="1423">
        <f t="shared" si="91"/>
        <v>0</v>
      </c>
      <c r="Y258" s="1423"/>
      <c r="Z258" s="1423"/>
      <c r="AA258" s="1423"/>
    </row>
    <row r="259" spans="1:27" ht="19.5" hidden="1" customHeight="1">
      <c r="A259" s="2204"/>
      <c r="B259" s="1609" t="s">
        <v>1620</v>
      </c>
      <c r="C259" s="2205"/>
      <c r="D259" s="1602">
        <f t="shared" si="89"/>
        <v>9921.2000000000007</v>
      </c>
      <c r="E259" s="1609">
        <v>9325.9</v>
      </c>
      <c r="F259" s="1609">
        <v>595.29999999999995</v>
      </c>
      <c r="G259" s="1600">
        <f t="shared" si="90"/>
        <v>9921.2000000000007</v>
      </c>
      <c r="H259" s="1616">
        <f t="shared" ref="H259:I261" si="92">E259</f>
        <v>9325.9</v>
      </c>
      <c r="I259" s="1616">
        <f t="shared" si="92"/>
        <v>595.29999999999995</v>
      </c>
      <c r="J259" s="1600">
        <f t="shared" si="82"/>
        <v>9921.2000000000007</v>
      </c>
      <c r="K259" s="1619">
        <v>9325.9</v>
      </c>
      <c r="L259" s="1619">
        <v>595.29999999999995</v>
      </c>
      <c r="M259" s="1609">
        <f t="shared" si="84"/>
        <v>100</v>
      </c>
      <c r="N259" s="1609">
        <f t="shared" si="84"/>
        <v>100</v>
      </c>
      <c r="O259" s="1609">
        <f t="shared" si="84"/>
        <v>100</v>
      </c>
      <c r="P259" s="2203"/>
      <c r="Q259" s="2203"/>
      <c r="R259" s="1600"/>
      <c r="S259" s="1619"/>
      <c r="T259" s="1619"/>
      <c r="U259" s="1600"/>
      <c r="V259" s="1619"/>
      <c r="W259" s="1619"/>
      <c r="X259" s="1423">
        <f t="shared" si="91"/>
        <v>0</v>
      </c>
      <c r="Y259" s="1423"/>
      <c r="Z259" s="1423"/>
      <c r="AA259" s="1423"/>
    </row>
    <row r="260" spans="1:27" ht="19.5" hidden="1" customHeight="1">
      <c r="A260" s="2204"/>
      <c r="B260" s="1609" t="s">
        <v>1798</v>
      </c>
      <c r="C260" s="2205"/>
      <c r="D260" s="1602">
        <f>SUM(E260:F260)</f>
        <v>94296.9</v>
      </c>
      <c r="E260" s="1609">
        <v>88638.1</v>
      </c>
      <c r="F260" s="1609">
        <v>5658.8</v>
      </c>
      <c r="G260" s="1600">
        <f>SUM(H260:I260)</f>
        <v>94296.9</v>
      </c>
      <c r="H260" s="1616">
        <f t="shared" si="92"/>
        <v>88638.1</v>
      </c>
      <c r="I260" s="1616">
        <f t="shared" si="92"/>
        <v>5658.8</v>
      </c>
      <c r="J260" s="1600">
        <f>SUM(K260:L260)</f>
        <v>89592.6</v>
      </c>
      <c r="K260" s="1619">
        <v>84216.1</v>
      </c>
      <c r="L260" s="1619">
        <v>5376.5</v>
      </c>
      <c r="M260" s="1609">
        <f t="shared" si="84"/>
        <v>95</v>
      </c>
      <c r="N260" s="1609">
        <f t="shared" si="84"/>
        <v>95</v>
      </c>
      <c r="O260" s="1609">
        <f t="shared" si="84"/>
        <v>95</v>
      </c>
      <c r="P260" s="2203"/>
      <c r="Q260" s="2203"/>
      <c r="R260" s="1600"/>
      <c r="S260" s="1619"/>
      <c r="T260" s="1619"/>
      <c r="U260" s="1600"/>
      <c r="V260" s="1619"/>
      <c r="W260" s="1619"/>
      <c r="X260" s="1423"/>
      <c r="Y260" s="1423"/>
      <c r="Z260" s="1423"/>
      <c r="AA260" s="1423"/>
    </row>
    <row r="261" spans="1:27" ht="26.25" hidden="1" customHeight="1">
      <c r="A261" s="2204"/>
      <c r="B261" s="1609" t="s">
        <v>1770</v>
      </c>
      <c r="C261" s="2205"/>
      <c r="D261" s="1602">
        <f t="shared" si="89"/>
        <v>296.5</v>
      </c>
      <c r="E261" s="1609">
        <v>278.7</v>
      </c>
      <c r="F261" s="1609">
        <v>17.8</v>
      </c>
      <c r="G261" s="1600">
        <f t="shared" si="90"/>
        <v>296.5</v>
      </c>
      <c r="H261" s="1616">
        <f t="shared" si="92"/>
        <v>278.7</v>
      </c>
      <c r="I261" s="1616">
        <f t="shared" si="92"/>
        <v>17.8</v>
      </c>
      <c r="J261" s="1600">
        <f t="shared" si="82"/>
        <v>0</v>
      </c>
      <c r="K261" s="1619"/>
      <c r="L261" s="1619"/>
      <c r="M261" s="1609">
        <f t="shared" si="84"/>
        <v>0</v>
      </c>
      <c r="N261" s="1609">
        <f t="shared" si="84"/>
        <v>0</v>
      </c>
      <c r="O261" s="1609">
        <f t="shared" si="84"/>
        <v>0</v>
      </c>
      <c r="P261" s="2203"/>
      <c r="Q261" s="2203"/>
      <c r="R261" s="1600"/>
      <c r="S261" s="1619"/>
      <c r="T261" s="1619"/>
      <c r="U261" s="1600"/>
      <c r="V261" s="1619"/>
      <c r="W261" s="1619"/>
      <c r="X261" s="1423">
        <f t="shared" si="91"/>
        <v>0</v>
      </c>
      <c r="Y261" s="1423"/>
      <c r="Z261" s="1423"/>
      <c r="AA261" s="1423"/>
    </row>
    <row r="262" spans="1:27" ht="50.25" hidden="1" customHeight="1">
      <c r="A262" s="2204" t="e">
        <f>A258+1</f>
        <v>#VALUE!</v>
      </c>
      <c r="B262" s="1888" t="s">
        <v>1596</v>
      </c>
      <c r="C262" s="2204"/>
      <c r="D262" s="1602">
        <f t="shared" si="89"/>
        <v>229155.8</v>
      </c>
      <c r="E262" s="1615">
        <f>E263+E265+E264</f>
        <v>215404.2</v>
      </c>
      <c r="F262" s="1615">
        <f>F263+F265+F264</f>
        <v>13751.6</v>
      </c>
      <c r="G262" s="1602">
        <f t="shared" si="90"/>
        <v>229155.8</v>
      </c>
      <c r="H262" s="1615">
        <f>H263+H265+H264</f>
        <v>215404.2</v>
      </c>
      <c r="I262" s="1615">
        <f>I263+I265+I264</f>
        <v>13751.6</v>
      </c>
      <c r="J262" s="1602">
        <f t="shared" si="82"/>
        <v>116380.6</v>
      </c>
      <c r="K262" s="1615">
        <f>K263+K265+K264</f>
        <v>109396.6</v>
      </c>
      <c r="L262" s="1615">
        <f>L263+L265+L264</f>
        <v>6984</v>
      </c>
      <c r="M262" s="1604">
        <f t="shared" si="84"/>
        <v>50.8</v>
      </c>
      <c r="N262" s="1881">
        <f t="shared" si="84"/>
        <v>50.8</v>
      </c>
      <c r="O262" s="1881">
        <f t="shared" si="84"/>
        <v>50.8</v>
      </c>
      <c r="P262" s="2203"/>
      <c r="Q262" s="2203"/>
      <c r="R262" s="1600">
        <f>S262+T262</f>
        <v>0</v>
      </c>
      <c r="S262" s="1608">
        <v>0</v>
      </c>
      <c r="T262" s="1608">
        <v>0</v>
      </c>
      <c r="U262" s="1600">
        <f>V262+W262</f>
        <v>0</v>
      </c>
      <c r="V262" s="1608">
        <v>0</v>
      </c>
      <c r="W262" s="1608">
        <v>0</v>
      </c>
      <c r="X262" s="1423">
        <f t="shared" si="91"/>
        <v>0</v>
      </c>
      <c r="Y262" s="1423"/>
      <c r="Z262" s="1423"/>
      <c r="AA262" s="1423"/>
    </row>
    <row r="263" spans="1:27" ht="19.5" hidden="1" customHeight="1">
      <c r="A263" s="2204"/>
      <c r="B263" s="1609" t="s">
        <v>1620</v>
      </c>
      <c r="C263" s="2205"/>
      <c r="D263" s="1602">
        <f t="shared" si="89"/>
        <v>6302.6</v>
      </c>
      <c r="E263" s="1609">
        <v>5924.4</v>
      </c>
      <c r="F263" s="1609">
        <v>378.2</v>
      </c>
      <c r="G263" s="1602">
        <f t="shared" si="90"/>
        <v>6302.6</v>
      </c>
      <c r="H263" s="1616">
        <f t="shared" ref="H263:I265" si="93">E263</f>
        <v>5924.4</v>
      </c>
      <c r="I263" s="1616">
        <f t="shared" si="93"/>
        <v>378.2</v>
      </c>
      <c r="J263" s="1602">
        <f t="shared" si="82"/>
        <v>0</v>
      </c>
      <c r="K263" s="1609"/>
      <c r="L263" s="1609"/>
      <c r="M263" s="1609">
        <f t="shared" si="84"/>
        <v>0</v>
      </c>
      <c r="N263" s="1609">
        <f t="shared" si="84"/>
        <v>0</v>
      </c>
      <c r="O263" s="1609">
        <f t="shared" si="84"/>
        <v>0</v>
      </c>
      <c r="P263" s="2203"/>
      <c r="Q263" s="2203"/>
      <c r="R263" s="1600"/>
      <c r="S263" s="1619"/>
      <c r="T263" s="1619"/>
      <c r="U263" s="1600"/>
      <c r="V263" s="1619"/>
      <c r="W263" s="1619"/>
      <c r="X263" s="1423">
        <f>D263-G263</f>
        <v>0</v>
      </c>
      <c r="Y263" s="1423"/>
      <c r="Z263" s="1423"/>
      <c r="AA263" s="1423"/>
    </row>
    <row r="264" spans="1:27" ht="19.5" hidden="1" customHeight="1">
      <c r="A264" s="2204"/>
      <c r="B264" s="1609" t="s">
        <v>1798</v>
      </c>
      <c r="C264" s="2205"/>
      <c r="D264" s="1602">
        <f>SUM(E264:F264)</f>
        <v>222529.1</v>
      </c>
      <c r="E264" s="1609">
        <v>209175.1</v>
      </c>
      <c r="F264" s="1609">
        <v>13354</v>
      </c>
      <c r="G264" s="1602">
        <f>SUM(H264:I264)</f>
        <v>222529.1</v>
      </c>
      <c r="H264" s="1616">
        <f t="shared" si="93"/>
        <v>209175.1</v>
      </c>
      <c r="I264" s="1616">
        <f t="shared" si="93"/>
        <v>13354</v>
      </c>
      <c r="J264" s="1602">
        <f>SUM(K264:L264)</f>
        <v>116380.6</v>
      </c>
      <c r="K264" s="1609">
        <v>109396.6</v>
      </c>
      <c r="L264" s="1609">
        <v>6984</v>
      </c>
      <c r="M264" s="1609">
        <f t="shared" si="84"/>
        <v>52.3</v>
      </c>
      <c r="N264" s="1609">
        <f t="shared" si="84"/>
        <v>52.3</v>
      </c>
      <c r="O264" s="1609">
        <f t="shared" si="84"/>
        <v>52.3</v>
      </c>
      <c r="P264" s="2203"/>
      <c r="Q264" s="2203"/>
      <c r="R264" s="1600"/>
      <c r="S264" s="1619"/>
      <c r="T264" s="1619"/>
      <c r="U264" s="1600"/>
      <c r="V264" s="1619"/>
      <c r="W264" s="1619"/>
      <c r="X264" s="1423"/>
      <c r="Y264" s="1423"/>
      <c r="Z264" s="1423"/>
      <c r="AA264" s="1423"/>
    </row>
    <row r="265" spans="1:27" ht="26.25" hidden="1" customHeight="1">
      <c r="A265" s="2204"/>
      <c r="B265" s="1609" t="s">
        <v>1770</v>
      </c>
      <c r="C265" s="2205"/>
      <c r="D265" s="1602">
        <f t="shared" si="89"/>
        <v>324.10000000000002</v>
      </c>
      <c r="E265" s="1609">
        <v>304.7</v>
      </c>
      <c r="F265" s="1609">
        <v>19.399999999999999</v>
      </c>
      <c r="G265" s="1602">
        <f t="shared" si="90"/>
        <v>324.10000000000002</v>
      </c>
      <c r="H265" s="1616">
        <f t="shared" si="93"/>
        <v>304.7</v>
      </c>
      <c r="I265" s="1616">
        <f t="shared" si="93"/>
        <v>19.399999999999999</v>
      </c>
      <c r="J265" s="1602">
        <f t="shared" si="82"/>
        <v>0</v>
      </c>
      <c r="K265" s="1609"/>
      <c r="L265" s="1609"/>
      <c r="M265" s="1609">
        <f t="shared" si="84"/>
        <v>0</v>
      </c>
      <c r="N265" s="1609">
        <f t="shared" si="84"/>
        <v>0</v>
      </c>
      <c r="O265" s="1609">
        <f t="shared" si="84"/>
        <v>0</v>
      </c>
      <c r="P265" s="2203"/>
      <c r="Q265" s="2203"/>
      <c r="R265" s="1600"/>
      <c r="S265" s="1619"/>
      <c r="T265" s="1619"/>
      <c r="U265" s="1600"/>
      <c r="V265" s="1619"/>
      <c r="W265" s="1619"/>
      <c r="X265" s="1423">
        <f>D265-G265</f>
        <v>0</v>
      </c>
      <c r="Y265" s="1423"/>
      <c r="Z265" s="1423"/>
      <c r="AA265" s="1423"/>
    </row>
    <row r="266" spans="1:27" s="484" customFormat="1" ht="78.75" hidden="1" customHeight="1">
      <c r="A266" s="1866" t="e">
        <f>A262+1</f>
        <v>#VALUE!</v>
      </c>
      <c r="B266" s="2074" t="s">
        <v>1599</v>
      </c>
      <c r="C266" s="1866" t="s">
        <v>1611</v>
      </c>
      <c r="D266" s="1600">
        <f t="shared" si="89"/>
        <v>0</v>
      </c>
      <c r="E266" s="1616">
        <f>E267</f>
        <v>0</v>
      </c>
      <c r="F266" s="1616">
        <f>F267</f>
        <v>0</v>
      </c>
      <c r="G266" s="1602">
        <f t="shared" si="90"/>
        <v>0</v>
      </c>
      <c r="H266" s="1616">
        <f>H267</f>
        <v>0</v>
      </c>
      <c r="I266" s="1616">
        <f>I267</f>
        <v>0</v>
      </c>
      <c r="J266" s="1602">
        <f t="shared" si="82"/>
        <v>0</v>
      </c>
      <c r="K266" s="1616">
        <f>K267</f>
        <v>0</v>
      </c>
      <c r="L266" s="1616">
        <f>L267</f>
        <v>0</v>
      </c>
      <c r="M266" s="1604">
        <f t="shared" si="84"/>
        <v>0</v>
      </c>
      <c r="N266" s="1881">
        <f t="shared" si="84"/>
        <v>0</v>
      </c>
      <c r="O266" s="1881">
        <f t="shared" si="84"/>
        <v>0</v>
      </c>
      <c r="P266" s="2203"/>
      <c r="Q266" s="2203"/>
      <c r="R266" s="1600">
        <f>S266+T266</f>
        <v>0</v>
      </c>
      <c r="S266" s="1608">
        <v>0</v>
      </c>
      <c r="T266" s="1608">
        <v>0</v>
      </c>
      <c r="U266" s="1600">
        <f>V266+W266</f>
        <v>0</v>
      </c>
      <c r="V266" s="1608">
        <v>0</v>
      </c>
      <c r="W266" s="1608">
        <v>0</v>
      </c>
      <c r="X266" s="1423">
        <f t="shared" si="91"/>
        <v>0</v>
      </c>
      <c r="Y266" s="1423"/>
      <c r="Z266" s="1423"/>
      <c r="AA266" s="1423"/>
    </row>
    <row r="267" spans="1:27" s="484" customFormat="1" ht="23.25" hidden="1" customHeight="1">
      <c r="A267" s="1866"/>
      <c r="B267" s="1619" t="s">
        <v>1620</v>
      </c>
      <c r="C267" s="1924"/>
      <c r="D267" s="1600">
        <f t="shared" si="89"/>
        <v>0</v>
      </c>
      <c r="E267" s="1616"/>
      <c r="F267" s="1616"/>
      <c r="G267" s="1602">
        <f t="shared" si="90"/>
        <v>0</v>
      </c>
      <c r="H267" s="1616">
        <f>E267</f>
        <v>0</v>
      </c>
      <c r="I267" s="1616">
        <f>F267</f>
        <v>0</v>
      </c>
      <c r="J267" s="1602">
        <f t="shared" si="82"/>
        <v>0</v>
      </c>
      <c r="K267" s="1616"/>
      <c r="L267" s="1616"/>
      <c r="M267" s="1604">
        <f t="shared" si="84"/>
        <v>0</v>
      </c>
      <c r="N267" s="1881">
        <f t="shared" si="84"/>
        <v>0</v>
      </c>
      <c r="O267" s="1881">
        <f t="shared" si="84"/>
        <v>0</v>
      </c>
      <c r="P267" s="2203"/>
      <c r="Q267" s="2203"/>
      <c r="R267" s="1600">
        <f>S267+T267</f>
        <v>0</v>
      </c>
      <c r="S267" s="1608">
        <v>0</v>
      </c>
      <c r="T267" s="1608">
        <v>0</v>
      </c>
      <c r="U267" s="1600">
        <f>V267+W267</f>
        <v>0</v>
      </c>
      <c r="V267" s="1608">
        <v>0</v>
      </c>
      <c r="W267" s="1624">
        <v>0</v>
      </c>
      <c r="X267" s="1423">
        <f>D267-G267</f>
        <v>0</v>
      </c>
      <c r="Y267" s="1423"/>
      <c r="Z267" s="1423"/>
      <c r="AA267" s="1423"/>
    </row>
    <row r="268" spans="1:27" s="484" customFormat="1" ht="30.75" hidden="1" customHeight="1">
      <c r="A268" s="1866" t="e">
        <f>A262+1</f>
        <v>#VALUE!</v>
      </c>
      <c r="B268" s="2075" t="s">
        <v>763</v>
      </c>
      <c r="C268" s="1923" t="s">
        <v>1550</v>
      </c>
      <c r="D268" s="1600">
        <f t="shared" si="89"/>
        <v>236519.6</v>
      </c>
      <c r="E268" s="1616">
        <f>E269+E270</f>
        <v>222326</v>
      </c>
      <c r="F268" s="1616">
        <f>F269+F270</f>
        <v>14193.6</v>
      </c>
      <c r="G268" s="1602">
        <f t="shared" si="90"/>
        <v>236519.6</v>
      </c>
      <c r="H268" s="1616">
        <f>H269+H270</f>
        <v>222326</v>
      </c>
      <c r="I268" s="1616">
        <f>I269+I270</f>
        <v>14193.6</v>
      </c>
      <c r="J268" s="1602">
        <f t="shared" si="82"/>
        <v>108625.8</v>
      </c>
      <c r="K268" s="1616">
        <f>K269+K270</f>
        <v>102107.2</v>
      </c>
      <c r="L268" s="1616">
        <f>L269+L270</f>
        <v>6518.6</v>
      </c>
      <c r="M268" s="1616">
        <f t="shared" si="84"/>
        <v>45.9</v>
      </c>
      <c r="N268" s="1616">
        <f t="shared" si="84"/>
        <v>45.9</v>
      </c>
      <c r="O268" s="1616">
        <f t="shared" si="84"/>
        <v>45.9</v>
      </c>
      <c r="P268" s="1608">
        <f t="shared" ref="P268:W268" si="94">P269+P270</f>
        <v>0</v>
      </c>
      <c r="Q268" s="1608">
        <f t="shared" si="94"/>
        <v>0</v>
      </c>
      <c r="R268" s="1941">
        <f t="shared" si="94"/>
        <v>109549.9</v>
      </c>
      <c r="S268" s="1608">
        <f t="shared" si="94"/>
        <v>0</v>
      </c>
      <c r="T268" s="1608">
        <f t="shared" si="94"/>
        <v>109549.9</v>
      </c>
      <c r="U268" s="1608">
        <f t="shared" si="94"/>
        <v>0</v>
      </c>
      <c r="V268" s="1608">
        <f t="shared" si="94"/>
        <v>0</v>
      </c>
      <c r="W268" s="1608">
        <f t="shared" si="94"/>
        <v>0</v>
      </c>
      <c r="X268" s="1423">
        <f t="shared" si="91"/>
        <v>0</v>
      </c>
      <c r="Y268" s="1423"/>
      <c r="Z268" s="1423"/>
      <c r="AA268" s="1423"/>
    </row>
    <row r="269" spans="1:27" s="484" customFormat="1" ht="23.25" hidden="1">
      <c r="A269" s="1866"/>
      <c r="B269" s="1619" t="s">
        <v>1620</v>
      </c>
      <c r="C269" s="1924"/>
      <c r="D269" s="1600">
        <f t="shared" si="89"/>
        <v>236519.6</v>
      </c>
      <c r="E269" s="1616">
        <v>222326</v>
      </c>
      <c r="F269" s="1616">
        <v>14193.6</v>
      </c>
      <c r="G269" s="1602">
        <f t="shared" ref="G269:G291" si="95">SUM(H269:I269)</f>
        <v>236519.6</v>
      </c>
      <c r="H269" s="1616">
        <f>E269</f>
        <v>222326</v>
      </c>
      <c r="I269" s="1616">
        <f>F269</f>
        <v>14193.6</v>
      </c>
      <c r="J269" s="1602">
        <f t="shared" si="82"/>
        <v>108625.8</v>
      </c>
      <c r="K269" s="1616">
        <v>102107.2</v>
      </c>
      <c r="L269" s="1616">
        <v>6518.6</v>
      </c>
      <c r="M269" s="1604">
        <f t="shared" si="84"/>
        <v>45.9</v>
      </c>
      <c r="N269" s="1881">
        <f t="shared" si="84"/>
        <v>45.9</v>
      </c>
      <c r="O269" s="1881">
        <f t="shared" si="84"/>
        <v>45.9</v>
      </c>
      <c r="P269" s="2203"/>
      <c r="Q269" s="2203"/>
      <c r="R269" s="1600">
        <f t="shared" ref="R269:R291" si="96">S269+T269</f>
        <v>0</v>
      </c>
      <c r="S269" s="1608">
        <v>0</v>
      </c>
      <c r="T269" s="1608">
        <v>0</v>
      </c>
      <c r="U269" s="1600">
        <f t="shared" ref="U269:U291" si="97">V269+W269</f>
        <v>0</v>
      </c>
      <c r="V269" s="1608">
        <v>0</v>
      </c>
      <c r="W269" s="1624">
        <v>0</v>
      </c>
      <c r="X269" s="1423">
        <f t="shared" si="91"/>
        <v>0</v>
      </c>
      <c r="Y269" s="1423"/>
      <c r="Z269" s="1423"/>
      <c r="AA269" s="1423"/>
    </row>
    <row r="270" spans="1:27" s="484" customFormat="1" ht="19.5" hidden="1" customHeight="1">
      <c r="A270" s="1866"/>
      <c r="B270" s="1619" t="s">
        <v>1621</v>
      </c>
      <c r="C270" s="1924"/>
      <c r="D270" s="1600">
        <f t="shared" si="89"/>
        <v>0</v>
      </c>
      <c r="E270" s="1616"/>
      <c r="F270" s="2045">
        <v>0</v>
      </c>
      <c r="G270" s="1602">
        <f t="shared" si="95"/>
        <v>0</v>
      </c>
      <c r="H270" s="1609">
        <f>E270</f>
        <v>0</v>
      </c>
      <c r="I270" s="1609">
        <f>F270</f>
        <v>0</v>
      </c>
      <c r="J270" s="1602">
        <f t="shared" si="82"/>
        <v>0</v>
      </c>
      <c r="K270" s="1616"/>
      <c r="L270" s="2045"/>
      <c r="M270" s="1604">
        <f t="shared" si="84"/>
        <v>0</v>
      </c>
      <c r="N270" s="1881">
        <f t="shared" si="84"/>
        <v>0</v>
      </c>
      <c r="O270" s="1881">
        <f t="shared" si="84"/>
        <v>0</v>
      </c>
      <c r="P270" s="2203"/>
      <c r="Q270" s="2203"/>
      <c r="R270" s="1600">
        <f t="shared" si="96"/>
        <v>109549.9</v>
      </c>
      <c r="S270" s="1608">
        <v>0</v>
      </c>
      <c r="T270" s="1608">
        <v>109549.9</v>
      </c>
      <c r="U270" s="1600">
        <f t="shared" si="97"/>
        <v>0</v>
      </c>
      <c r="V270" s="1608">
        <v>0</v>
      </c>
      <c r="W270" s="1624">
        <v>0</v>
      </c>
      <c r="Y270" s="1423"/>
      <c r="Z270" s="1423"/>
      <c r="AA270" s="1423"/>
    </row>
    <row r="271" spans="1:27" s="484" customFormat="1" ht="20.25" hidden="1" customHeight="1">
      <c r="A271" s="1866" t="e">
        <f>A268+1</f>
        <v>#VALUE!</v>
      </c>
      <c r="B271" s="2075" t="s">
        <v>765</v>
      </c>
      <c r="C271" s="1923" t="s">
        <v>1550</v>
      </c>
      <c r="D271" s="1600">
        <f t="shared" si="89"/>
        <v>33528.9</v>
      </c>
      <c r="E271" s="1616">
        <f>SUM(E272:E273)</f>
        <v>21967.7</v>
      </c>
      <c r="F271" s="1616">
        <f>SUM(F272:F273)</f>
        <v>11561.2</v>
      </c>
      <c r="G271" s="1602">
        <f t="shared" si="95"/>
        <v>33528.9</v>
      </c>
      <c r="H271" s="1616">
        <f>SUM(H272:H273)</f>
        <v>21967.7</v>
      </c>
      <c r="I271" s="1616">
        <f>SUM(I272:I273)</f>
        <v>11561.2</v>
      </c>
      <c r="J271" s="1602">
        <f t="shared" si="82"/>
        <v>16247.8</v>
      </c>
      <c r="K271" s="1616">
        <f>SUM(K272:K273)</f>
        <v>15087.2</v>
      </c>
      <c r="L271" s="1616">
        <f>SUM(L272:L273)</f>
        <v>1160.5999999999999</v>
      </c>
      <c r="M271" s="1604">
        <f t="shared" si="84"/>
        <v>48.5</v>
      </c>
      <c r="N271" s="1881">
        <f t="shared" si="84"/>
        <v>68.7</v>
      </c>
      <c r="O271" s="1881">
        <f t="shared" si="84"/>
        <v>10</v>
      </c>
      <c r="P271" s="2203" t="s">
        <v>1267</v>
      </c>
      <c r="Q271" s="2203" t="s">
        <v>1219</v>
      </c>
      <c r="R271" s="1600">
        <f t="shared" si="96"/>
        <v>0</v>
      </c>
      <c r="S271" s="1608">
        <v>0</v>
      </c>
      <c r="T271" s="1608">
        <v>0</v>
      </c>
      <c r="U271" s="1600">
        <f t="shared" si="97"/>
        <v>0</v>
      </c>
      <c r="V271" s="1608">
        <v>0</v>
      </c>
      <c r="W271" s="1624">
        <v>0</v>
      </c>
      <c r="X271" s="1423">
        <f t="shared" ref="X271:X288" si="98">D271-G271</f>
        <v>0</v>
      </c>
      <c r="Y271" s="1423"/>
      <c r="Z271" s="1423"/>
      <c r="AA271" s="1423"/>
    </row>
    <row r="272" spans="1:27" ht="23.25" hidden="1">
      <c r="A272" s="1866"/>
      <c r="B272" s="1619" t="s">
        <v>1620</v>
      </c>
      <c r="C272" s="1924"/>
      <c r="D272" s="1600">
        <f t="shared" si="89"/>
        <v>23370.1</v>
      </c>
      <c r="E272" s="1616">
        <v>21967.7</v>
      </c>
      <c r="F272" s="1616">
        <v>1402.4</v>
      </c>
      <c r="G272" s="1602">
        <f t="shared" si="95"/>
        <v>23370.1</v>
      </c>
      <c r="H272" s="1616">
        <f>E272</f>
        <v>21967.7</v>
      </c>
      <c r="I272" s="1616">
        <f>F272</f>
        <v>1402.4</v>
      </c>
      <c r="J272" s="1602">
        <f t="shared" si="82"/>
        <v>16050.4</v>
      </c>
      <c r="K272" s="1616">
        <v>15087.2</v>
      </c>
      <c r="L272" s="1616">
        <v>963.2</v>
      </c>
      <c r="M272" s="1604">
        <f t="shared" si="84"/>
        <v>68.7</v>
      </c>
      <c r="N272" s="1881">
        <f t="shared" si="84"/>
        <v>68.7</v>
      </c>
      <c r="O272" s="1881">
        <f t="shared" si="84"/>
        <v>68.7</v>
      </c>
      <c r="P272" s="2203"/>
      <c r="Q272" s="2203"/>
      <c r="R272" s="1600">
        <f t="shared" si="96"/>
        <v>0</v>
      </c>
      <c r="S272" s="1608">
        <v>0</v>
      </c>
      <c r="T272" s="1608">
        <v>0</v>
      </c>
      <c r="U272" s="1600">
        <f t="shared" si="97"/>
        <v>0</v>
      </c>
      <c r="V272" s="1608">
        <v>0</v>
      </c>
      <c r="W272" s="1624">
        <v>0</v>
      </c>
      <c r="X272" s="1423">
        <f t="shared" si="98"/>
        <v>0</v>
      </c>
      <c r="Y272" s="1423"/>
      <c r="Z272" s="1423"/>
      <c r="AA272" s="1423"/>
    </row>
    <row r="273" spans="1:27" ht="23.25" hidden="1">
      <c r="A273" s="1866"/>
      <c r="B273" s="1619" t="s">
        <v>1621</v>
      </c>
      <c r="C273" s="1924"/>
      <c r="D273" s="1600">
        <f t="shared" si="89"/>
        <v>10158.799999999999</v>
      </c>
      <c r="E273" s="1616"/>
      <c r="F273" s="2045">
        <f>9985.9+172.9</f>
        <v>10158.799999999999</v>
      </c>
      <c r="G273" s="1602">
        <f t="shared" si="95"/>
        <v>10158.799999999999</v>
      </c>
      <c r="H273" s="1616">
        <f>E273</f>
        <v>0</v>
      </c>
      <c r="I273" s="1616">
        <f>9985.9+172.9</f>
        <v>10158.799999999999</v>
      </c>
      <c r="J273" s="1602">
        <f t="shared" si="82"/>
        <v>197.4</v>
      </c>
      <c r="K273" s="1616"/>
      <c r="L273" s="2045">
        <v>197.4</v>
      </c>
      <c r="M273" s="1604">
        <f t="shared" si="84"/>
        <v>1.9</v>
      </c>
      <c r="N273" s="1881">
        <f t="shared" si="84"/>
        <v>0</v>
      </c>
      <c r="O273" s="1881">
        <f t="shared" si="84"/>
        <v>1.9</v>
      </c>
      <c r="P273" s="2203"/>
      <c r="Q273" s="2203"/>
      <c r="R273" s="1600">
        <f t="shared" si="96"/>
        <v>0</v>
      </c>
      <c r="S273" s="1608">
        <v>0</v>
      </c>
      <c r="T273" s="1608">
        <v>0</v>
      </c>
      <c r="U273" s="1600">
        <f t="shared" si="97"/>
        <v>0</v>
      </c>
      <c r="V273" s="1608">
        <v>0</v>
      </c>
      <c r="W273" s="1624">
        <v>0</v>
      </c>
      <c r="X273" s="1423">
        <f t="shared" si="98"/>
        <v>0</v>
      </c>
      <c r="Y273" s="1423"/>
      <c r="Z273" s="1423"/>
      <c r="AA273" s="1423"/>
    </row>
    <row r="274" spans="1:27" s="484" customFormat="1" ht="24.75" hidden="1" customHeight="1">
      <c r="A274" s="1866" t="e">
        <f>A271+1</f>
        <v>#VALUE!</v>
      </c>
      <c r="B274" s="2075" t="s">
        <v>766</v>
      </c>
      <c r="C274" s="1923" t="s">
        <v>1550</v>
      </c>
      <c r="D274" s="1600">
        <f t="shared" si="89"/>
        <v>20818.099999999999</v>
      </c>
      <c r="E274" s="1616">
        <f>SUM(E275:E276)</f>
        <v>13691.8</v>
      </c>
      <c r="F274" s="1616">
        <f>SUM(F275:F276)</f>
        <v>7126.3</v>
      </c>
      <c r="G274" s="1602">
        <f t="shared" si="95"/>
        <v>20818.099999999999</v>
      </c>
      <c r="H274" s="1616">
        <f>SUM(H275:H276)</f>
        <v>13691.8</v>
      </c>
      <c r="I274" s="1616">
        <f>SUM(I275:I276)</f>
        <v>7126.3</v>
      </c>
      <c r="J274" s="1602">
        <f t="shared" ref="J274:J295" si="99">SUM(K274:L274)</f>
        <v>10110.1</v>
      </c>
      <c r="K274" s="1616">
        <f>SUM(K275:K276)</f>
        <v>9381.2999999999993</v>
      </c>
      <c r="L274" s="1616">
        <f>SUM(L275:L276)</f>
        <v>728.8</v>
      </c>
      <c r="M274" s="1604">
        <f t="shared" si="84"/>
        <v>48.6</v>
      </c>
      <c r="N274" s="1881">
        <f t="shared" si="84"/>
        <v>68.5</v>
      </c>
      <c r="O274" s="1881">
        <f t="shared" si="84"/>
        <v>10.199999999999999</v>
      </c>
      <c r="P274" s="2203" t="s">
        <v>1303</v>
      </c>
      <c r="Q274" s="2203" t="s">
        <v>1268</v>
      </c>
      <c r="R274" s="1600">
        <f t="shared" si="96"/>
        <v>0</v>
      </c>
      <c r="S274" s="1608">
        <v>0</v>
      </c>
      <c r="T274" s="1608">
        <v>0</v>
      </c>
      <c r="U274" s="1600">
        <f t="shared" si="97"/>
        <v>0</v>
      </c>
      <c r="V274" s="1608">
        <v>0</v>
      </c>
      <c r="W274" s="1624">
        <v>0</v>
      </c>
      <c r="X274" s="1423">
        <f t="shared" si="98"/>
        <v>0</v>
      </c>
      <c r="Y274" s="1423"/>
      <c r="Z274" s="1423"/>
      <c r="AA274" s="1423"/>
    </row>
    <row r="275" spans="1:27" ht="23.25" hidden="1">
      <c r="A275" s="1866"/>
      <c r="B275" s="1619" t="s">
        <v>1620</v>
      </c>
      <c r="C275" s="1924"/>
      <c r="D275" s="1600">
        <f t="shared" si="89"/>
        <v>14565.9</v>
      </c>
      <c r="E275" s="1616">
        <v>13691.8</v>
      </c>
      <c r="F275" s="1616">
        <v>874.1</v>
      </c>
      <c r="G275" s="1602">
        <f t="shared" si="95"/>
        <v>14565.9</v>
      </c>
      <c r="H275" s="1616">
        <f>E275</f>
        <v>13691.8</v>
      </c>
      <c r="I275" s="1616">
        <f>F275</f>
        <v>874.1</v>
      </c>
      <c r="J275" s="1602">
        <f t="shared" si="99"/>
        <v>9980.2000000000007</v>
      </c>
      <c r="K275" s="1616">
        <v>9381.2999999999993</v>
      </c>
      <c r="L275" s="1616">
        <v>598.9</v>
      </c>
      <c r="M275" s="1604">
        <f t="shared" si="84"/>
        <v>68.5</v>
      </c>
      <c r="N275" s="1881">
        <f t="shared" si="84"/>
        <v>68.5</v>
      </c>
      <c r="O275" s="1881">
        <f t="shared" si="84"/>
        <v>68.5</v>
      </c>
      <c r="P275" s="2203"/>
      <c r="Q275" s="2203"/>
      <c r="R275" s="1600">
        <f t="shared" si="96"/>
        <v>0</v>
      </c>
      <c r="S275" s="1608">
        <v>0</v>
      </c>
      <c r="T275" s="1608">
        <v>0</v>
      </c>
      <c r="U275" s="1600">
        <f t="shared" si="97"/>
        <v>0</v>
      </c>
      <c r="V275" s="1608">
        <v>0</v>
      </c>
      <c r="W275" s="1624">
        <v>0</v>
      </c>
      <c r="X275" s="1423">
        <f t="shared" si="98"/>
        <v>0</v>
      </c>
      <c r="Y275" s="1423"/>
      <c r="Z275" s="1423"/>
      <c r="AA275" s="1423"/>
    </row>
    <row r="276" spans="1:27" ht="23.25" hidden="1">
      <c r="A276" s="1866"/>
      <c r="B276" s="1619" t="s">
        <v>1621</v>
      </c>
      <c r="C276" s="1924"/>
      <c r="D276" s="1600">
        <f t="shared" si="89"/>
        <v>6252.2</v>
      </c>
      <c r="E276" s="1616"/>
      <c r="F276" s="2045">
        <v>6252.2</v>
      </c>
      <c r="G276" s="1602">
        <f t="shared" si="95"/>
        <v>6252.2</v>
      </c>
      <c r="H276" s="1616">
        <f>E276</f>
        <v>0</v>
      </c>
      <c r="I276" s="1616">
        <f>F276</f>
        <v>6252.2</v>
      </c>
      <c r="J276" s="1602">
        <f t="shared" si="99"/>
        <v>129.9</v>
      </c>
      <c r="K276" s="1616"/>
      <c r="L276" s="2045">
        <v>129.9</v>
      </c>
      <c r="M276" s="1604">
        <f t="shared" si="84"/>
        <v>2.1</v>
      </c>
      <c r="N276" s="1881">
        <f t="shared" si="84"/>
        <v>0</v>
      </c>
      <c r="O276" s="1881">
        <f t="shared" si="84"/>
        <v>2.1</v>
      </c>
      <c r="P276" s="2203"/>
      <c r="Q276" s="2203"/>
      <c r="R276" s="1600">
        <f t="shared" si="96"/>
        <v>0</v>
      </c>
      <c r="S276" s="1608">
        <v>0</v>
      </c>
      <c r="T276" s="1608">
        <v>0</v>
      </c>
      <c r="U276" s="1600">
        <f t="shared" si="97"/>
        <v>0</v>
      </c>
      <c r="V276" s="1608">
        <v>0</v>
      </c>
      <c r="W276" s="1624">
        <v>0</v>
      </c>
      <c r="X276" s="1423">
        <f t="shared" si="98"/>
        <v>0</v>
      </c>
      <c r="Y276" s="1423"/>
      <c r="Z276" s="1423"/>
      <c r="AA276" s="1423"/>
    </row>
    <row r="277" spans="1:27" ht="39" hidden="1" customHeight="1">
      <c r="A277" s="1866" t="e">
        <f>A274+1</f>
        <v>#VALUE!</v>
      </c>
      <c r="B277" s="2076" t="s">
        <v>478</v>
      </c>
      <c r="C277" s="1924" t="s">
        <v>1610</v>
      </c>
      <c r="D277" s="1600">
        <f t="shared" si="89"/>
        <v>423702.5</v>
      </c>
      <c r="E277" s="1616">
        <f>E278+E280+E281+E279</f>
        <v>398273.9</v>
      </c>
      <c r="F277" s="1616">
        <f>F278+F280+F281+F279</f>
        <v>25428.6</v>
      </c>
      <c r="G277" s="1602">
        <f t="shared" si="95"/>
        <v>423702.5</v>
      </c>
      <c r="H277" s="1616">
        <f>H278+H280+H281+H279</f>
        <v>398273.9</v>
      </c>
      <c r="I277" s="1616">
        <f>I278+I280+I281+I279</f>
        <v>25428.6</v>
      </c>
      <c r="J277" s="1602">
        <f>SUM(K277:L277)</f>
        <v>421944.4</v>
      </c>
      <c r="K277" s="1616">
        <f>K278+K280+K281</f>
        <v>396602.9</v>
      </c>
      <c r="L277" s="1616">
        <f>L278+L280+L281</f>
        <v>25341.5</v>
      </c>
      <c r="M277" s="1604">
        <f t="shared" si="84"/>
        <v>99.6</v>
      </c>
      <c r="N277" s="1881">
        <f t="shared" si="84"/>
        <v>99.6</v>
      </c>
      <c r="O277" s="1881">
        <f t="shared" si="84"/>
        <v>99.7</v>
      </c>
      <c r="P277" s="2203" t="s">
        <v>1298</v>
      </c>
      <c r="Q277" s="2203" t="s">
        <v>1261</v>
      </c>
      <c r="R277" s="1600">
        <f t="shared" si="96"/>
        <v>0</v>
      </c>
      <c r="S277" s="1608">
        <v>0</v>
      </c>
      <c r="T277" s="1608">
        <v>0</v>
      </c>
      <c r="U277" s="1600">
        <f t="shared" si="97"/>
        <v>0</v>
      </c>
      <c r="V277" s="1608">
        <v>0</v>
      </c>
      <c r="W277" s="1624">
        <v>0</v>
      </c>
      <c r="X277" s="1423">
        <f t="shared" si="98"/>
        <v>0</v>
      </c>
      <c r="Y277" s="1423"/>
      <c r="Z277" s="1423"/>
      <c r="AA277" s="1423"/>
    </row>
    <row r="278" spans="1:27" ht="23.25" hidden="1">
      <c r="A278" s="1866"/>
      <c r="B278" s="1619" t="s">
        <v>1620</v>
      </c>
      <c r="C278" s="1924"/>
      <c r="D278" s="1600">
        <f t="shared" si="89"/>
        <v>422392.8</v>
      </c>
      <c r="E278" s="1616">
        <v>397049.2</v>
      </c>
      <c r="F278" s="2045">
        <v>25343.599999999999</v>
      </c>
      <c r="G278" s="1602">
        <f t="shared" si="95"/>
        <v>422392.8</v>
      </c>
      <c r="H278" s="1609">
        <f t="shared" ref="H278:I281" si="100">E278</f>
        <v>397049.2</v>
      </c>
      <c r="I278" s="1609">
        <f t="shared" si="100"/>
        <v>25343.599999999999</v>
      </c>
      <c r="J278" s="1602">
        <f t="shared" si="99"/>
        <v>421310.9</v>
      </c>
      <c r="K278" s="1616">
        <v>396032.2</v>
      </c>
      <c r="L278" s="1616">
        <v>25278.7</v>
      </c>
      <c r="M278" s="1604">
        <f t="shared" si="84"/>
        <v>99.7</v>
      </c>
      <c r="N278" s="1881">
        <f t="shared" si="84"/>
        <v>99.7</v>
      </c>
      <c r="O278" s="1881">
        <f t="shared" si="84"/>
        <v>99.7</v>
      </c>
      <c r="P278" s="2203"/>
      <c r="Q278" s="2203"/>
      <c r="R278" s="1600">
        <f t="shared" si="96"/>
        <v>0</v>
      </c>
      <c r="S278" s="1608">
        <v>0</v>
      </c>
      <c r="T278" s="1608">
        <v>0</v>
      </c>
      <c r="U278" s="1600">
        <f t="shared" si="97"/>
        <v>0</v>
      </c>
      <c r="V278" s="1608">
        <v>0</v>
      </c>
      <c r="W278" s="1624">
        <v>0</v>
      </c>
      <c r="X278" s="1423">
        <f t="shared" si="98"/>
        <v>0</v>
      </c>
      <c r="Y278" s="1423"/>
      <c r="Z278" s="1423"/>
      <c r="AA278" s="1423"/>
    </row>
    <row r="279" spans="1:27" ht="37.5" hidden="1">
      <c r="A279" s="1866"/>
      <c r="B279" s="1609" t="s">
        <v>1798</v>
      </c>
      <c r="C279" s="1924"/>
      <c r="D279" s="1600">
        <f>SUM(E279:F279)</f>
        <v>278.7</v>
      </c>
      <c r="E279" s="1616">
        <v>262</v>
      </c>
      <c r="F279" s="1616">
        <v>16.7</v>
      </c>
      <c r="G279" s="1602">
        <f>SUM(H279:I279)</f>
        <v>278.7</v>
      </c>
      <c r="H279" s="1609">
        <f>E279</f>
        <v>262</v>
      </c>
      <c r="I279" s="1609">
        <f>F279</f>
        <v>16.7</v>
      </c>
      <c r="J279" s="1602">
        <f>SUM(K279:L279)</f>
        <v>0</v>
      </c>
      <c r="K279" s="1616">
        <v>0</v>
      </c>
      <c r="L279" s="1616">
        <v>0</v>
      </c>
      <c r="M279" s="1604">
        <f t="shared" si="84"/>
        <v>0</v>
      </c>
      <c r="N279" s="1881">
        <f t="shared" si="84"/>
        <v>0</v>
      </c>
      <c r="O279" s="1881">
        <f t="shared" si="84"/>
        <v>0</v>
      </c>
      <c r="P279" s="2203"/>
      <c r="Q279" s="2203"/>
      <c r="R279" s="1600"/>
      <c r="S279" s="1608"/>
      <c r="T279" s="1608"/>
      <c r="U279" s="1600"/>
      <c r="V279" s="1608"/>
      <c r="W279" s="1624"/>
      <c r="X279" s="1423"/>
      <c r="Y279" s="1423"/>
      <c r="Z279" s="1423"/>
      <c r="AA279" s="1423"/>
    </row>
    <row r="280" spans="1:27" ht="23.25" hidden="1">
      <c r="A280" s="2204"/>
      <c r="B280" s="1609" t="s">
        <v>1770</v>
      </c>
      <c r="C280" s="1882"/>
      <c r="D280" s="1602">
        <f t="shared" si="89"/>
        <v>1004.1</v>
      </c>
      <c r="E280" s="1616">
        <f>256.6+706.1</f>
        <v>962.7</v>
      </c>
      <c r="F280" s="1616">
        <f>16.4+25</f>
        <v>41.4</v>
      </c>
      <c r="G280" s="1602">
        <f>SUM(H280:I280)</f>
        <v>1004.1</v>
      </c>
      <c r="H280" s="1609">
        <f t="shared" si="100"/>
        <v>962.7</v>
      </c>
      <c r="I280" s="1609">
        <f t="shared" si="100"/>
        <v>41.4</v>
      </c>
      <c r="J280" s="1602">
        <f t="shared" si="99"/>
        <v>607.20000000000005</v>
      </c>
      <c r="K280" s="1616">
        <f>256.511+314.156</f>
        <v>570.70000000000005</v>
      </c>
      <c r="L280" s="1616">
        <f>16.4+20.06</f>
        <v>36.5</v>
      </c>
      <c r="M280" s="1604">
        <f t="shared" si="84"/>
        <v>60.5</v>
      </c>
      <c r="N280" s="1881">
        <f t="shared" si="84"/>
        <v>59.3</v>
      </c>
      <c r="O280" s="1881">
        <f t="shared" si="84"/>
        <v>88.2</v>
      </c>
      <c r="P280" s="2203"/>
      <c r="Q280" s="2203"/>
      <c r="R280" s="1600">
        <f t="shared" si="96"/>
        <v>0</v>
      </c>
      <c r="S280" s="1608">
        <v>0</v>
      </c>
      <c r="T280" s="1608">
        <v>0</v>
      </c>
      <c r="U280" s="1600">
        <f t="shared" si="97"/>
        <v>0</v>
      </c>
      <c r="V280" s="1614"/>
      <c r="W280" s="1614"/>
      <c r="X280" s="1423">
        <f>D280-G280</f>
        <v>0</v>
      </c>
      <c r="Y280" s="1423">
        <v>20</v>
      </c>
      <c r="Z280" s="1423"/>
      <c r="AA280" s="1423"/>
    </row>
    <row r="281" spans="1:27" s="1654" customFormat="1" ht="23.25" hidden="1">
      <c r="A281" s="2133"/>
      <c r="B281" s="2134" t="s">
        <v>1621</v>
      </c>
      <c r="C281" s="2135"/>
      <c r="D281" s="2136">
        <f t="shared" ref="D281:D300" si="101">SUM(E281:F281)</f>
        <v>26.9</v>
      </c>
      <c r="E281" s="2137"/>
      <c r="F281" s="2137">
        <f>304.9-278</f>
        <v>26.9</v>
      </c>
      <c r="G281" s="2136">
        <f t="shared" si="95"/>
        <v>26.9</v>
      </c>
      <c r="H281" s="2137">
        <f t="shared" si="100"/>
        <v>0</v>
      </c>
      <c r="I281" s="2137">
        <f>304.9-278</f>
        <v>26.9</v>
      </c>
      <c r="J281" s="2136">
        <f t="shared" si="99"/>
        <v>26.3</v>
      </c>
      <c r="K281" s="2137"/>
      <c r="L281" s="2137">
        <v>26.3</v>
      </c>
      <c r="M281" s="2164">
        <f t="shared" si="84"/>
        <v>97.8</v>
      </c>
      <c r="N281" s="2165">
        <f t="shared" si="84"/>
        <v>0</v>
      </c>
      <c r="O281" s="2165">
        <f t="shared" si="84"/>
        <v>97.8</v>
      </c>
      <c r="P281" s="2142"/>
      <c r="Q281" s="2142"/>
      <c r="R281" s="2138">
        <f t="shared" si="96"/>
        <v>0</v>
      </c>
      <c r="S281" s="2139">
        <v>0</v>
      </c>
      <c r="T281" s="2139">
        <v>0</v>
      </c>
      <c r="U281" s="2138">
        <f t="shared" si="97"/>
        <v>0</v>
      </c>
      <c r="V281" s="2143"/>
      <c r="W281" s="2143"/>
      <c r="X281" s="2144">
        <f t="shared" si="98"/>
        <v>0</v>
      </c>
      <c r="Y281" s="1423"/>
      <c r="Z281" s="1423"/>
      <c r="AA281" s="1423"/>
    </row>
    <row r="282" spans="1:27" s="484" customFormat="1" ht="39.75" hidden="1" customHeight="1">
      <c r="A282" s="2204" t="e">
        <f>A277+1</f>
        <v>#VALUE!</v>
      </c>
      <c r="B282" s="1915" t="s">
        <v>694</v>
      </c>
      <c r="C282" s="2204" t="s">
        <v>1548</v>
      </c>
      <c r="D282" s="1602">
        <f t="shared" si="101"/>
        <v>0</v>
      </c>
      <c r="E282" s="1615">
        <f>E283</f>
        <v>0</v>
      </c>
      <c r="F282" s="1615">
        <f>F283</f>
        <v>0</v>
      </c>
      <c r="G282" s="1602">
        <f t="shared" si="95"/>
        <v>0</v>
      </c>
      <c r="H282" s="1615">
        <f>H283</f>
        <v>0</v>
      </c>
      <c r="I282" s="1615">
        <f>I283</f>
        <v>0</v>
      </c>
      <c r="J282" s="1602">
        <f t="shared" si="99"/>
        <v>0</v>
      </c>
      <c r="K282" s="1615">
        <f>K283</f>
        <v>0</v>
      </c>
      <c r="L282" s="1615">
        <f>L283</f>
        <v>0</v>
      </c>
      <c r="M282" s="1604">
        <f t="shared" si="84"/>
        <v>0</v>
      </c>
      <c r="N282" s="1881">
        <f t="shared" si="84"/>
        <v>0</v>
      </c>
      <c r="O282" s="1881">
        <f t="shared" si="84"/>
        <v>0</v>
      </c>
      <c r="P282" s="2203" t="s">
        <v>1272</v>
      </c>
      <c r="Q282" s="2203" t="s">
        <v>1273</v>
      </c>
      <c r="R282" s="1600">
        <f t="shared" si="96"/>
        <v>0</v>
      </c>
      <c r="S282" s="1614">
        <v>0</v>
      </c>
      <c r="T282" s="1614">
        <v>0</v>
      </c>
      <c r="U282" s="1600">
        <f t="shared" si="97"/>
        <v>0</v>
      </c>
      <c r="V282" s="1614">
        <v>0</v>
      </c>
      <c r="W282" s="1614">
        <v>0</v>
      </c>
      <c r="X282" s="1423">
        <f t="shared" si="98"/>
        <v>0</v>
      </c>
      <c r="Y282" s="1423"/>
      <c r="Z282" s="1423"/>
      <c r="AA282" s="1423"/>
    </row>
    <row r="283" spans="1:27" s="484" customFormat="1" ht="23.25" hidden="1" customHeight="1">
      <c r="A283" s="2204"/>
      <c r="B283" s="1609" t="s">
        <v>1620</v>
      </c>
      <c r="C283" s="1882"/>
      <c r="D283" s="1602">
        <f t="shared" si="101"/>
        <v>0</v>
      </c>
      <c r="E283" s="1615">
        <v>0</v>
      </c>
      <c r="F283" s="1615">
        <v>0</v>
      </c>
      <c r="G283" s="1602">
        <f t="shared" si="95"/>
        <v>0</v>
      </c>
      <c r="H283" s="1616">
        <f>E283</f>
        <v>0</v>
      </c>
      <c r="I283" s="1616">
        <f>F283</f>
        <v>0</v>
      </c>
      <c r="J283" s="1602">
        <f t="shared" si="99"/>
        <v>0</v>
      </c>
      <c r="K283" s="1616"/>
      <c r="L283" s="1616"/>
      <c r="M283" s="1604">
        <f t="shared" si="84"/>
        <v>0</v>
      </c>
      <c r="N283" s="1881">
        <f t="shared" si="84"/>
        <v>0</v>
      </c>
      <c r="O283" s="1881">
        <f t="shared" si="84"/>
        <v>0</v>
      </c>
      <c r="P283" s="2203"/>
      <c r="Q283" s="2203"/>
      <c r="R283" s="1600">
        <f t="shared" si="96"/>
        <v>0</v>
      </c>
      <c r="S283" s="1608">
        <v>0</v>
      </c>
      <c r="T283" s="1608">
        <v>0</v>
      </c>
      <c r="U283" s="1600">
        <f t="shared" si="97"/>
        <v>0</v>
      </c>
      <c r="V283" s="1608">
        <v>0</v>
      </c>
      <c r="W283" s="1624">
        <v>0</v>
      </c>
      <c r="X283" s="1423">
        <f t="shared" si="98"/>
        <v>0</v>
      </c>
      <c r="Y283" s="1423"/>
      <c r="Z283" s="1423"/>
      <c r="AA283" s="1423"/>
    </row>
    <row r="284" spans="1:27" s="484" customFormat="1" ht="42" hidden="1" customHeight="1">
      <c r="A284" s="2204" t="e">
        <f>A277+1</f>
        <v>#VALUE!</v>
      </c>
      <c r="B284" s="1915" t="s">
        <v>695</v>
      </c>
      <c r="C284" s="2204"/>
      <c r="D284" s="1602">
        <f t="shared" si="101"/>
        <v>191951.9</v>
      </c>
      <c r="E284" s="1615">
        <f>E285+E286</f>
        <v>180434.8</v>
      </c>
      <c r="F284" s="1615">
        <f>F285+F286</f>
        <v>11517.1</v>
      </c>
      <c r="G284" s="1602">
        <f t="shared" si="95"/>
        <v>191951.9</v>
      </c>
      <c r="H284" s="1615">
        <f>H285+H286</f>
        <v>180434.8</v>
      </c>
      <c r="I284" s="1615">
        <f>I285+I286</f>
        <v>11517.1</v>
      </c>
      <c r="J284" s="1602">
        <f t="shared" si="99"/>
        <v>187084.3</v>
      </c>
      <c r="K284" s="1615">
        <f>K285+K286</f>
        <v>175859.20000000001</v>
      </c>
      <c r="L284" s="1615">
        <f>L285+L286</f>
        <v>11225.1</v>
      </c>
      <c r="M284" s="1604">
        <f t="shared" si="84"/>
        <v>97.5</v>
      </c>
      <c r="N284" s="1881">
        <f t="shared" si="84"/>
        <v>97.5</v>
      </c>
      <c r="O284" s="1881">
        <f t="shared" si="84"/>
        <v>97.5</v>
      </c>
      <c r="P284" s="2203" t="s">
        <v>1272</v>
      </c>
      <c r="Q284" s="2203" t="s">
        <v>1273</v>
      </c>
      <c r="R284" s="1600">
        <f t="shared" si="96"/>
        <v>0</v>
      </c>
      <c r="S284" s="1614">
        <v>0</v>
      </c>
      <c r="T284" s="1614">
        <v>0</v>
      </c>
      <c r="U284" s="1600">
        <f t="shared" si="97"/>
        <v>0</v>
      </c>
      <c r="V284" s="1614">
        <v>0</v>
      </c>
      <c r="W284" s="1614">
        <v>0</v>
      </c>
      <c r="X284" s="1423">
        <f t="shared" si="98"/>
        <v>0</v>
      </c>
      <c r="Y284" s="1423"/>
      <c r="Z284" s="1423"/>
      <c r="AA284" s="1423"/>
    </row>
    <row r="285" spans="1:27" ht="23.25" hidden="1">
      <c r="A285" s="2204"/>
      <c r="B285" s="1609" t="s">
        <v>1620</v>
      </c>
      <c r="C285" s="1882"/>
      <c r="D285" s="1602">
        <f t="shared" si="101"/>
        <v>104813.3</v>
      </c>
      <c r="E285" s="1616">
        <v>98524.5</v>
      </c>
      <c r="F285" s="2045">
        <f>6288.8</f>
        <v>6288.8</v>
      </c>
      <c r="G285" s="1602">
        <f>SUM(H285:I285)</f>
        <v>104813.3</v>
      </c>
      <c r="H285" s="1616">
        <f>E285</f>
        <v>98524.5</v>
      </c>
      <c r="I285" s="1616">
        <f>F285</f>
        <v>6288.8</v>
      </c>
      <c r="J285" s="1602">
        <f t="shared" si="99"/>
        <v>99946.1</v>
      </c>
      <c r="K285" s="1616">
        <v>93949.3</v>
      </c>
      <c r="L285" s="1616">
        <v>5996.8</v>
      </c>
      <c r="M285" s="1604">
        <f t="shared" si="84"/>
        <v>95.4</v>
      </c>
      <c r="N285" s="1881">
        <f t="shared" si="84"/>
        <v>95.4</v>
      </c>
      <c r="O285" s="1881">
        <f t="shared" si="84"/>
        <v>95.4</v>
      </c>
      <c r="P285" s="2203"/>
      <c r="Q285" s="2203"/>
      <c r="R285" s="1600">
        <f t="shared" si="96"/>
        <v>0</v>
      </c>
      <c r="S285" s="1608">
        <v>0</v>
      </c>
      <c r="T285" s="1608">
        <v>0</v>
      </c>
      <c r="U285" s="1600">
        <f t="shared" si="97"/>
        <v>0</v>
      </c>
      <c r="V285" s="1608">
        <v>0</v>
      </c>
      <c r="W285" s="1624">
        <v>0</v>
      </c>
      <c r="X285" s="1423">
        <f>D285-G285</f>
        <v>0</v>
      </c>
      <c r="Y285" s="1423"/>
      <c r="Z285" s="1423"/>
      <c r="AA285" s="1423"/>
    </row>
    <row r="286" spans="1:27" ht="23.25" hidden="1">
      <c r="A286" s="2204"/>
      <c r="B286" s="1609" t="s">
        <v>1770</v>
      </c>
      <c r="C286" s="1882"/>
      <c r="D286" s="1602">
        <f t="shared" si="101"/>
        <v>87138.6</v>
      </c>
      <c r="E286" s="1616">
        <v>81910.3</v>
      </c>
      <c r="F286" s="2045">
        <v>5228.3</v>
      </c>
      <c r="G286" s="1600">
        <f>SUM(H286:I286)</f>
        <v>87138.6</v>
      </c>
      <c r="H286" s="1619">
        <f>E286</f>
        <v>81910.3</v>
      </c>
      <c r="I286" s="1619">
        <f>F286</f>
        <v>5228.3</v>
      </c>
      <c r="J286" s="1600">
        <f t="shared" si="99"/>
        <v>87138.2</v>
      </c>
      <c r="K286" s="1608">
        <v>81909.899999999994</v>
      </c>
      <c r="L286" s="1608">
        <v>5228.3</v>
      </c>
      <c r="M286" s="1604">
        <f t="shared" si="84"/>
        <v>100</v>
      </c>
      <c r="N286" s="1881">
        <f t="shared" si="84"/>
        <v>100</v>
      </c>
      <c r="O286" s="1881">
        <f t="shared" si="84"/>
        <v>100</v>
      </c>
      <c r="P286" s="2203"/>
      <c r="Q286" s="2203"/>
      <c r="R286" s="1600">
        <f t="shared" si="96"/>
        <v>0</v>
      </c>
      <c r="S286" s="1608">
        <v>0</v>
      </c>
      <c r="T286" s="1608">
        <v>0</v>
      </c>
      <c r="U286" s="1600">
        <f t="shared" si="97"/>
        <v>0</v>
      </c>
      <c r="V286" s="1614"/>
      <c r="W286" s="1614"/>
      <c r="X286" s="1423">
        <f>D286-G286</f>
        <v>0</v>
      </c>
      <c r="Y286" s="1423"/>
      <c r="Z286" s="1423"/>
      <c r="AA286" s="1423"/>
    </row>
    <row r="287" spans="1:27" s="484" customFormat="1" ht="42" hidden="1" customHeight="1">
      <c r="A287" s="2204" t="e">
        <f>A284+1</f>
        <v>#VALUE!</v>
      </c>
      <c r="B287" s="1915" t="s">
        <v>698</v>
      </c>
      <c r="C287" s="2204"/>
      <c r="D287" s="1602">
        <f t="shared" si="101"/>
        <v>1250553.7</v>
      </c>
      <c r="E287" s="1614">
        <f>E288+E290</f>
        <v>1175145.3</v>
      </c>
      <c r="F287" s="1614">
        <f>F288+F290</f>
        <v>75408.399999999994</v>
      </c>
      <c r="G287" s="1600">
        <f>SUM(H287:I287)</f>
        <v>1250553.7</v>
      </c>
      <c r="H287" s="1614">
        <f>H288+H290</f>
        <v>1175145.3</v>
      </c>
      <c r="I287" s="1614">
        <f>I288+I290</f>
        <v>75408.399999999994</v>
      </c>
      <c r="J287" s="1602">
        <f t="shared" si="99"/>
        <v>143201.70000000001</v>
      </c>
      <c r="K287" s="1614">
        <f>K288+K290</f>
        <v>134566.6</v>
      </c>
      <c r="L287" s="1614">
        <f>L288+L290</f>
        <v>8635.1</v>
      </c>
      <c r="M287" s="1604">
        <f t="shared" si="84"/>
        <v>11.5</v>
      </c>
      <c r="N287" s="1881">
        <f t="shared" si="84"/>
        <v>11.5</v>
      </c>
      <c r="O287" s="1881">
        <f t="shared" si="84"/>
        <v>11.5</v>
      </c>
      <c r="P287" s="2203" t="s">
        <v>1306</v>
      </c>
      <c r="Q287" s="2203" t="s">
        <v>1277</v>
      </c>
      <c r="R287" s="1600">
        <f t="shared" si="96"/>
        <v>778086</v>
      </c>
      <c r="S287" s="1615">
        <v>0</v>
      </c>
      <c r="T287" s="1615">
        <v>778086</v>
      </c>
      <c r="U287" s="1600">
        <f t="shared" si="97"/>
        <v>0</v>
      </c>
      <c r="V287" s="1615">
        <v>0</v>
      </c>
      <c r="W287" s="1615">
        <v>0</v>
      </c>
      <c r="X287" s="1423">
        <f t="shared" si="98"/>
        <v>0</v>
      </c>
      <c r="Y287" s="1423"/>
      <c r="Z287" s="1423"/>
      <c r="AA287" s="1423"/>
    </row>
    <row r="288" spans="1:27" s="484" customFormat="1" ht="24.75" hidden="1" customHeight="1">
      <c r="A288" s="2204"/>
      <c r="B288" s="1609" t="s">
        <v>1620</v>
      </c>
      <c r="C288" s="1882"/>
      <c r="D288" s="1602">
        <f t="shared" si="101"/>
        <v>1220006.3</v>
      </c>
      <c r="E288" s="1616">
        <v>1146439.8999999999</v>
      </c>
      <c r="F288" s="2045">
        <v>73566.399999999994</v>
      </c>
      <c r="G288" s="1600">
        <f t="shared" si="95"/>
        <v>1220006.3</v>
      </c>
      <c r="H288" s="1616">
        <f t="shared" ref="H288:I290" si="102">E288</f>
        <v>1146439.8999999999</v>
      </c>
      <c r="I288" s="1616">
        <f t="shared" si="102"/>
        <v>73566.399999999994</v>
      </c>
      <c r="J288" s="1600">
        <f t="shared" si="99"/>
        <v>143201.70000000001</v>
      </c>
      <c r="K288" s="1608">
        <v>134566.6</v>
      </c>
      <c r="L288" s="1608">
        <v>8635.1</v>
      </c>
      <c r="M288" s="1604">
        <f t="shared" si="84"/>
        <v>11.7</v>
      </c>
      <c r="N288" s="1881">
        <f t="shared" si="84"/>
        <v>11.7</v>
      </c>
      <c r="O288" s="1881">
        <f t="shared" si="84"/>
        <v>11.7</v>
      </c>
      <c r="P288" s="2203"/>
      <c r="Q288" s="2203"/>
      <c r="R288" s="1600">
        <f t="shared" si="96"/>
        <v>0</v>
      </c>
      <c r="S288" s="1608">
        <v>0</v>
      </c>
      <c r="T288" s="1608">
        <v>0</v>
      </c>
      <c r="U288" s="1600">
        <f t="shared" si="97"/>
        <v>0</v>
      </c>
      <c r="V288" s="1608">
        <v>0</v>
      </c>
      <c r="W288" s="1624">
        <v>0</v>
      </c>
      <c r="X288" s="1423">
        <f t="shared" si="98"/>
        <v>0</v>
      </c>
      <c r="Y288" s="1423"/>
      <c r="Z288" s="1423"/>
      <c r="AA288" s="1423"/>
    </row>
    <row r="289" spans="1:27" s="484" customFormat="1" ht="18.75" hidden="1" customHeight="1">
      <c r="A289" s="2204"/>
      <c r="B289" s="1609" t="s">
        <v>1621</v>
      </c>
      <c r="C289" s="1882"/>
      <c r="D289" s="1602">
        <f t="shared" si="101"/>
        <v>0</v>
      </c>
      <c r="E289" s="1616"/>
      <c r="F289" s="2045">
        <v>0</v>
      </c>
      <c r="G289" s="1600">
        <f t="shared" si="95"/>
        <v>0</v>
      </c>
      <c r="H289" s="1619">
        <f t="shared" si="102"/>
        <v>0</v>
      </c>
      <c r="I289" s="1619">
        <f t="shared" si="102"/>
        <v>0</v>
      </c>
      <c r="J289" s="1600">
        <f t="shared" si="99"/>
        <v>0</v>
      </c>
      <c r="K289" s="1608"/>
      <c r="L289" s="1624"/>
      <c r="M289" s="1604">
        <f t="shared" si="84"/>
        <v>0</v>
      </c>
      <c r="N289" s="1881">
        <f t="shared" si="84"/>
        <v>0</v>
      </c>
      <c r="O289" s="1881">
        <f t="shared" si="84"/>
        <v>0</v>
      </c>
      <c r="P289" s="2203"/>
      <c r="Q289" s="2203"/>
      <c r="R289" s="1600">
        <f t="shared" si="96"/>
        <v>778086</v>
      </c>
      <c r="S289" s="1608">
        <v>0</v>
      </c>
      <c r="T289" s="1608">
        <v>778086</v>
      </c>
      <c r="U289" s="1600">
        <f t="shared" si="97"/>
        <v>0</v>
      </c>
      <c r="V289" s="1614"/>
      <c r="W289" s="1614"/>
      <c r="Y289" s="1423"/>
      <c r="Z289" s="1423"/>
      <c r="AA289" s="1423"/>
    </row>
    <row r="290" spans="1:27" s="484" customFormat="1" ht="18.75" hidden="1" customHeight="1">
      <c r="A290" s="2204"/>
      <c r="B290" s="1609" t="s">
        <v>1798</v>
      </c>
      <c r="C290" s="1882"/>
      <c r="D290" s="1602">
        <f>SUM(E290:F290)</f>
        <v>30547.4</v>
      </c>
      <c r="E290" s="1616">
        <v>28705.4</v>
      </c>
      <c r="F290" s="2045">
        <v>1842</v>
      </c>
      <c r="G290" s="1600">
        <f>SUM(H290:I290)</f>
        <v>30547.4</v>
      </c>
      <c r="H290" s="1616">
        <f t="shared" si="102"/>
        <v>28705.4</v>
      </c>
      <c r="I290" s="1616">
        <f t="shared" si="102"/>
        <v>1842</v>
      </c>
      <c r="J290" s="1600">
        <f>SUM(K290:L290)</f>
        <v>0</v>
      </c>
      <c r="K290" s="1608"/>
      <c r="L290" s="1624"/>
      <c r="M290" s="1604">
        <f t="shared" ref="M290:O300" si="103">IF(J290=0,0,J290/G290*100)</f>
        <v>0</v>
      </c>
      <c r="N290" s="1881">
        <f t="shared" si="103"/>
        <v>0</v>
      </c>
      <c r="O290" s="1881">
        <f t="shared" si="103"/>
        <v>0</v>
      </c>
      <c r="P290" s="2203"/>
      <c r="Q290" s="2203"/>
      <c r="R290" s="1600"/>
      <c r="S290" s="1608"/>
      <c r="T290" s="1608"/>
      <c r="U290" s="1600"/>
      <c r="V290" s="1614"/>
      <c r="W290" s="1614"/>
      <c r="Y290" s="1423"/>
      <c r="Z290" s="1423"/>
      <c r="AA290" s="1423"/>
    </row>
    <row r="291" spans="1:27" ht="70.5" hidden="1" customHeight="1">
      <c r="A291" s="2204" t="e">
        <f>A287+1</f>
        <v>#VALUE!</v>
      </c>
      <c r="B291" s="1915" t="s">
        <v>697</v>
      </c>
      <c r="C291" s="2204"/>
      <c r="D291" s="1602">
        <f t="shared" si="101"/>
        <v>140743.5</v>
      </c>
      <c r="E291" s="1615">
        <f>E292+E293+E294</f>
        <v>122058.3</v>
      </c>
      <c r="F291" s="1615">
        <f>F292+F293+F294</f>
        <v>18685.2</v>
      </c>
      <c r="G291" s="1600">
        <f t="shared" si="95"/>
        <v>140743.5</v>
      </c>
      <c r="H291" s="1614">
        <f>H292+H293+H294</f>
        <v>122058.3</v>
      </c>
      <c r="I291" s="1614">
        <f>I292+I293+I294</f>
        <v>18685.2</v>
      </c>
      <c r="J291" s="1602">
        <f t="shared" si="99"/>
        <v>104625.2</v>
      </c>
      <c r="K291" s="1615">
        <f>K292+K293+K294</f>
        <v>98316.4</v>
      </c>
      <c r="L291" s="1615">
        <f>L292+L293+L294</f>
        <v>6308.8</v>
      </c>
      <c r="M291" s="1604">
        <f t="shared" si="103"/>
        <v>74.3</v>
      </c>
      <c r="N291" s="1881">
        <f t="shared" si="103"/>
        <v>80.5</v>
      </c>
      <c r="O291" s="1881">
        <f t="shared" si="103"/>
        <v>33.799999999999997</v>
      </c>
      <c r="P291" s="2203" t="s">
        <v>1192</v>
      </c>
      <c r="Q291" s="2203" t="s">
        <v>1658</v>
      </c>
      <c r="R291" s="1600">
        <f t="shared" si="96"/>
        <v>0</v>
      </c>
      <c r="S291" s="1614">
        <v>0</v>
      </c>
      <c r="T291" s="1614">
        <v>0</v>
      </c>
      <c r="U291" s="1600">
        <f t="shared" si="97"/>
        <v>0</v>
      </c>
      <c r="V291" s="1615">
        <v>0</v>
      </c>
      <c r="W291" s="1615">
        <v>0</v>
      </c>
      <c r="X291" s="1423">
        <f t="shared" ref="X291:X308" si="104">D291-G291</f>
        <v>0</v>
      </c>
      <c r="Y291" s="1423"/>
      <c r="Z291" s="1423"/>
      <c r="AA291" s="1423"/>
    </row>
    <row r="292" spans="1:27" ht="23.25" hidden="1">
      <c r="A292" s="2204"/>
      <c r="B292" s="1609" t="s">
        <v>1620</v>
      </c>
      <c r="C292" s="2204"/>
      <c r="D292" s="1602">
        <f t="shared" si="101"/>
        <v>98852.6</v>
      </c>
      <c r="E292" s="1615">
        <v>92891.8</v>
      </c>
      <c r="F292" s="1615">
        <v>5960.8</v>
      </c>
      <c r="G292" s="1600">
        <f t="shared" ref="G292:G300" si="105">SUM(H292:I292)</f>
        <v>98852.6</v>
      </c>
      <c r="H292" s="1616">
        <f t="shared" ref="H292:I294" si="106">E292</f>
        <v>92891.8</v>
      </c>
      <c r="I292" s="1616">
        <f t="shared" si="106"/>
        <v>5960.8</v>
      </c>
      <c r="J292" s="1600">
        <f t="shared" si="99"/>
        <v>88177.5</v>
      </c>
      <c r="K292" s="1614">
        <v>82860.5</v>
      </c>
      <c r="L292" s="1614">
        <v>5317</v>
      </c>
      <c r="M292" s="1604">
        <f t="shared" si="103"/>
        <v>89.2</v>
      </c>
      <c r="N292" s="1881">
        <f t="shared" si="103"/>
        <v>89.2</v>
      </c>
      <c r="O292" s="1881">
        <f t="shared" si="103"/>
        <v>89.2</v>
      </c>
      <c r="P292" s="2203"/>
      <c r="Q292" s="2203"/>
      <c r="R292" s="1600"/>
      <c r="S292" s="1614"/>
      <c r="T292" s="1614"/>
      <c r="U292" s="1600"/>
      <c r="V292" s="1615"/>
      <c r="W292" s="1615"/>
      <c r="X292" s="1423">
        <f t="shared" si="104"/>
        <v>0</v>
      </c>
      <c r="Y292" s="1423"/>
      <c r="Z292" s="1423"/>
      <c r="AA292" s="1423"/>
    </row>
    <row r="293" spans="1:27" ht="23.25" hidden="1">
      <c r="A293" s="2204"/>
      <c r="B293" s="1609" t="s">
        <v>1770</v>
      </c>
      <c r="C293" s="1882"/>
      <c r="D293" s="1602">
        <f t="shared" si="101"/>
        <v>31038.1</v>
      </c>
      <c r="E293" s="1616">
        <v>29166.5</v>
      </c>
      <c r="F293" s="2045">
        <v>1871.6</v>
      </c>
      <c r="G293" s="1600">
        <f t="shared" si="105"/>
        <v>31038.1</v>
      </c>
      <c r="H293" s="1616">
        <f t="shared" si="106"/>
        <v>29166.5</v>
      </c>
      <c r="I293" s="1616">
        <f t="shared" si="106"/>
        <v>1871.6</v>
      </c>
      <c r="J293" s="1600">
        <f t="shared" si="99"/>
        <v>16447.7</v>
      </c>
      <c r="K293" s="1608">
        <v>15455.9</v>
      </c>
      <c r="L293" s="1608">
        <v>991.8</v>
      </c>
      <c r="M293" s="1604">
        <f t="shared" si="103"/>
        <v>53</v>
      </c>
      <c r="N293" s="1881">
        <f t="shared" si="103"/>
        <v>53</v>
      </c>
      <c r="O293" s="1881">
        <f t="shared" si="103"/>
        <v>53</v>
      </c>
      <c r="P293" s="2203"/>
      <c r="Q293" s="2203"/>
      <c r="R293" s="1600">
        <f>S293+T293</f>
        <v>0</v>
      </c>
      <c r="S293" s="1608">
        <v>0</v>
      </c>
      <c r="T293" s="1608">
        <v>0</v>
      </c>
      <c r="U293" s="1600">
        <f>V293+W293</f>
        <v>0</v>
      </c>
      <c r="V293" s="1614"/>
      <c r="W293" s="1614"/>
      <c r="X293" s="1423">
        <f t="shared" si="104"/>
        <v>0</v>
      </c>
      <c r="Y293" s="1423"/>
      <c r="Z293" s="1423"/>
      <c r="AA293" s="1423"/>
    </row>
    <row r="294" spans="1:27" ht="23.25" hidden="1">
      <c r="A294" s="2204"/>
      <c r="B294" s="1609" t="s">
        <v>1621</v>
      </c>
      <c r="C294" s="2204"/>
      <c r="D294" s="1602">
        <f t="shared" si="101"/>
        <v>10852.8</v>
      </c>
      <c r="E294" s="1615">
        <v>0</v>
      </c>
      <c r="F294" s="1615">
        <v>10852.8</v>
      </c>
      <c r="G294" s="1600">
        <f t="shared" si="105"/>
        <v>10852.8</v>
      </c>
      <c r="H294" s="1616">
        <f t="shared" si="106"/>
        <v>0</v>
      </c>
      <c r="I294" s="1616">
        <f t="shared" si="106"/>
        <v>10852.8</v>
      </c>
      <c r="J294" s="1600">
        <f t="shared" si="99"/>
        <v>0</v>
      </c>
      <c r="K294" s="1614">
        <v>0</v>
      </c>
      <c r="L294" s="1614">
        <v>0</v>
      </c>
      <c r="M294" s="1604">
        <f t="shared" si="103"/>
        <v>0</v>
      </c>
      <c r="N294" s="1881">
        <f t="shared" si="103"/>
        <v>0</v>
      </c>
      <c r="O294" s="1881">
        <f t="shared" si="103"/>
        <v>0</v>
      </c>
      <c r="P294" s="2203"/>
      <c r="Q294" s="2203"/>
      <c r="R294" s="1600"/>
      <c r="S294" s="1614"/>
      <c r="T294" s="1614"/>
      <c r="U294" s="1600"/>
      <c r="V294" s="1615"/>
      <c r="W294" s="1615"/>
      <c r="X294" s="1423">
        <f t="shared" si="104"/>
        <v>0</v>
      </c>
      <c r="Y294" s="1423"/>
      <c r="Z294" s="1423"/>
      <c r="AA294" s="1423"/>
    </row>
    <row r="295" spans="1:27" ht="78.75" hidden="1" customHeight="1">
      <c r="A295" s="2204" t="e">
        <f>A291+1</f>
        <v>#VALUE!</v>
      </c>
      <c r="B295" s="1915" t="s">
        <v>942</v>
      </c>
      <c r="C295" s="2204"/>
      <c r="D295" s="1602">
        <f t="shared" si="101"/>
        <v>219861.4</v>
      </c>
      <c r="E295" s="1615">
        <f>E296+E297</f>
        <v>206603.8</v>
      </c>
      <c r="F295" s="1615">
        <f>F296+F297</f>
        <v>13257.6</v>
      </c>
      <c r="G295" s="1600">
        <f t="shared" si="105"/>
        <v>219861.4</v>
      </c>
      <c r="H295" s="1614">
        <f>H296+H297</f>
        <v>206603.8</v>
      </c>
      <c r="I295" s="1614">
        <f>I296+I297</f>
        <v>13257.6</v>
      </c>
      <c r="J295" s="1602">
        <f t="shared" si="99"/>
        <v>196909.3</v>
      </c>
      <c r="K295" s="1614">
        <f>K296+K297</f>
        <v>185035.7</v>
      </c>
      <c r="L295" s="1615">
        <f>L296+L297</f>
        <v>11873.6</v>
      </c>
      <c r="M295" s="1604">
        <f t="shared" si="103"/>
        <v>89.6</v>
      </c>
      <c r="N295" s="1881">
        <f t="shared" si="103"/>
        <v>89.6</v>
      </c>
      <c r="O295" s="1881">
        <f t="shared" si="103"/>
        <v>89.6</v>
      </c>
      <c r="P295" s="2203" t="s">
        <v>1192</v>
      </c>
      <c r="Q295" s="2203" t="s">
        <v>1279</v>
      </c>
      <c r="R295" s="1600">
        <f>S295+T295</f>
        <v>0</v>
      </c>
      <c r="S295" s="1614">
        <v>0</v>
      </c>
      <c r="T295" s="1614">
        <v>0</v>
      </c>
      <c r="U295" s="1600">
        <f>V295+W295</f>
        <v>0</v>
      </c>
      <c r="V295" s="1615">
        <v>0</v>
      </c>
      <c r="W295" s="1615">
        <v>0</v>
      </c>
      <c r="X295" s="1423">
        <f t="shared" si="104"/>
        <v>0</v>
      </c>
      <c r="Y295" s="1423"/>
      <c r="Z295" s="1423"/>
      <c r="AA295" s="1423"/>
    </row>
    <row r="296" spans="1:27" ht="23.25" hidden="1">
      <c r="A296" s="2204"/>
      <c r="B296" s="1609" t="s">
        <v>1620</v>
      </c>
      <c r="C296" s="2204"/>
      <c r="D296" s="1602">
        <f t="shared" si="101"/>
        <v>201856.9</v>
      </c>
      <c r="E296" s="1615">
        <v>189685</v>
      </c>
      <c r="F296" s="1615">
        <v>12171.9</v>
      </c>
      <c r="G296" s="1600">
        <f t="shared" si="105"/>
        <v>201856.9</v>
      </c>
      <c r="H296" s="1616">
        <f>E296</f>
        <v>189685</v>
      </c>
      <c r="I296" s="1616">
        <f>F296</f>
        <v>12171.9</v>
      </c>
      <c r="J296" s="1600">
        <f t="shared" ref="J296:J301" si="107">SUM(K296:L296)</f>
        <v>190626.3</v>
      </c>
      <c r="K296" s="1614">
        <v>179131.6</v>
      </c>
      <c r="L296" s="1614">
        <v>11494.7</v>
      </c>
      <c r="M296" s="1604">
        <f t="shared" si="103"/>
        <v>94.4</v>
      </c>
      <c r="N296" s="1881">
        <f t="shared" si="103"/>
        <v>94.4</v>
      </c>
      <c r="O296" s="1881">
        <f t="shared" si="103"/>
        <v>94.4</v>
      </c>
      <c r="P296" s="2203"/>
      <c r="Q296" s="2203"/>
      <c r="R296" s="1600"/>
      <c r="S296" s="1614"/>
      <c r="T296" s="1614"/>
      <c r="U296" s="1600"/>
      <c r="V296" s="1615"/>
      <c r="W296" s="1615"/>
      <c r="X296" s="1423">
        <f t="shared" si="104"/>
        <v>0</v>
      </c>
      <c r="Y296" s="1423"/>
      <c r="Z296" s="1423"/>
      <c r="AA296" s="1423"/>
    </row>
    <row r="297" spans="1:27" ht="23.25" hidden="1">
      <c r="A297" s="2204"/>
      <c r="B297" s="1609" t="s">
        <v>1770</v>
      </c>
      <c r="C297" s="1882"/>
      <c r="D297" s="1602">
        <f t="shared" si="101"/>
        <v>18004.5</v>
      </c>
      <c r="E297" s="1616">
        <v>16918.8</v>
      </c>
      <c r="F297" s="2045">
        <v>1085.7</v>
      </c>
      <c r="G297" s="1600">
        <f t="shared" si="105"/>
        <v>18004.5</v>
      </c>
      <c r="H297" s="1616">
        <f>E297</f>
        <v>16918.8</v>
      </c>
      <c r="I297" s="1616">
        <f>F297</f>
        <v>1085.7</v>
      </c>
      <c r="J297" s="1600">
        <f t="shared" si="107"/>
        <v>6283</v>
      </c>
      <c r="K297" s="1608">
        <v>5904.1</v>
      </c>
      <c r="L297" s="1608">
        <v>378.9</v>
      </c>
      <c r="M297" s="1604">
        <f t="shared" si="103"/>
        <v>34.9</v>
      </c>
      <c r="N297" s="1881">
        <f t="shared" si="103"/>
        <v>34.9</v>
      </c>
      <c r="O297" s="1881">
        <f t="shared" si="103"/>
        <v>34.9</v>
      </c>
      <c r="P297" s="2203"/>
      <c r="Q297" s="2203"/>
      <c r="R297" s="1600">
        <f>S297+T297</f>
        <v>0</v>
      </c>
      <c r="S297" s="1608">
        <v>0</v>
      </c>
      <c r="T297" s="1608">
        <v>0</v>
      </c>
      <c r="U297" s="1600">
        <f>V297+W297</f>
        <v>0</v>
      </c>
      <c r="V297" s="1614"/>
      <c r="W297" s="1614"/>
      <c r="X297" s="1423">
        <f t="shared" si="104"/>
        <v>0</v>
      </c>
      <c r="Y297" s="1423"/>
      <c r="Z297" s="1423"/>
      <c r="AA297" s="1423"/>
    </row>
    <row r="298" spans="1:27" ht="82.5" hidden="1" customHeight="1">
      <c r="A298" s="2204" t="e">
        <f>A295+1</f>
        <v>#VALUE!</v>
      </c>
      <c r="B298" s="1915" t="s">
        <v>1635</v>
      </c>
      <c r="C298" s="2204"/>
      <c r="D298" s="1602">
        <f t="shared" si="101"/>
        <v>244.8</v>
      </c>
      <c r="E298" s="1615">
        <f>E299+E300</f>
        <v>230.1</v>
      </c>
      <c r="F298" s="1615">
        <f>F299+F300</f>
        <v>14.7</v>
      </c>
      <c r="G298" s="1600">
        <f t="shared" si="105"/>
        <v>244.8</v>
      </c>
      <c r="H298" s="1614">
        <f>H299+H300</f>
        <v>230.1</v>
      </c>
      <c r="I298" s="1614">
        <f>I299+I300</f>
        <v>14.7</v>
      </c>
      <c r="J298" s="1602">
        <f t="shared" si="107"/>
        <v>0</v>
      </c>
      <c r="K298" s="1615">
        <f>K299+K300</f>
        <v>0</v>
      </c>
      <c r="L298" s="1615">
        <f>L299+L300</f>
        <v>0</v>
      </c>
      <c r="M298" s="1604">
        <f t="shared" si="103"/>
        <v>0</v>
      </c>
      <c r="N298" s="1881">
        <f t="shared" si="103"/>
        <v>0</v>
      </c>
      <c r="O298" s="1881">
        <f t="shared" si="103"/>
        <v>0</v>
      </c>
      <c r="P298" s="2203" t="s">
        <v>1192</v>
      </c>
      <c r="Q298" s="2203" t="s">
        <v>1279</v>
      </c>
      <c r="R298" s="1600">
        <f>S298+T298</f>
        <v>0</v>
      </c>
      <c r="S298" s="1614">
        <v>0</v>
      </c>
      <c r="T298" s="1614">
        <v>0</v>
      </c>
      <c r="U298" s="1600">
        <f>V298+W298</f>
        <v>0</v>
      </c>
      <c r="V298" s="1615">
        <v>0</v>
      </c>
      <c r="W298" s="1615">
        <v>0</v>
      </c>
      <c r="X298" s="1423">
        <f t="shared" si="104"/>
        <v>0</v>
      </c>
      <c r="Y298" s="1423"/>
      <c r="Z298" s="1423"/>
      <c r="AA298" s="1423"/>
    </row>
    <row r="299" spans="1:27" ht="23.25" hidden="1">
      <c r="A299" s="2204"/>
      <c r="B299" s="1609" t="s">
        <v>1620</v>
      </c>
      <c r="C299" s="2204"/>
      <c r="D299" s="1602">
        <f t="shared" si="101"/>
        <v>0</v>
      </c>
      <c r="E299" s="1615">
        <v>0</v>
      </c>
      <c r="F299" s="1615">
        <v>0</v>
      </c>
      <c r="G299" s="1600">
        <f t="shared" si="105"/>
        <v>0</v>
      </c>
      <c r="H299" s="1616">
        <f>E299</f>
        <v>0</v>
      </c>
      <c r="I299" s="1616">
        <f>F299</f>
        <v>0</v>
      </c>
      <c r="J299" s="1600">
        <f t="shared" si="107"/>
        <v>0</v>
      </c>
      <c r="K299" s="1614"/>
      <c r="L299" s="1614"/>
      <c r="M299" s="1604">
        <f t="shared" si="103"/>
        <v>0</v>
      </c>
      <c r="N299" s="1881">
        <f t="shared" si="103"/>
        <v>0</v>
      </c>
      <c r="O299" s="1881">
        <f t="shared" si="103"/>
        <v>0</v>
      </c>
      <c r="P299" s="2203"/>
      <c r="Q299" s="2203"/>
      <c r="R299" s="1600"/>
      <c r="S299" s="1614"/>
      <c r="T299" s="1614"/>
      <c r="U299" s="1600"/>
      <c r="V299" s="1615"/>
      <c r="W299" s="1615"/>
      <c r="X299" s="1423">
        <f>D299-G299</f>
        <v>0</v>
      </c>
      <c r="Y299" s="1423"/>
      <c r="Z299" s="1423"/>
      <c r="AA299" s="1423"/>
    </row>
    <row r="300" spans="1:27" ht="23.25" hidden="1">
      <c r="A300" s="2204"/>
      <c r="B300" s="1609" t="s">
        <v>1770</v>
      </c>
      <c r="C300" s="1882"/>
      <c r="D300" s="1602">
        <f t="shared" si="101"/>
        <v>244.8</v>
      </c>
      <c r="E300" s="1616">
        <v>230.1</v>
      </c>
      <c r="F300" s="2045">
        <v>14.7</v>
      </c>
      <c r="G300" s="1600">
        <f t="shared" si="105"/>
        <v>244.8</v>
      </c>
      <c r="H300" s="1616">
        <f>E300</f>
        <v>230.1</v>
      </c>
      <c r="I300" s="1616">
        <f>F300</f>
        <v>14.7</v>
      </c>
      <c r="J300" s="1600">
        <f t="shared" si="107"/>
        <v>0</v>
      </c>
      <c r="K300" s="1608"/>
      <c r="L300" s="1624"/>
      <c r="M300" s="1604">
        <f t="shared" si="103"/>
        <v>0</v>
      </c>
      <c r="N300" s="1881">
        <f t="shared" si="103"/>
        <v>0</v>
      </c>
      <c r="O300" s="1881">
        <f t="shared" si="103"/>
        <v>0</v>
      </c>
      <c r="P300" s="2203"/>
      <c r="Q300" s="2203"/>
      <c r="R300" s="1600">
        <f>S300+T300</f>
        <v>0</v>
      </c>
      <c r="S300" s="1608">
        <v>0</v>
      </c>
      <c r="T300" s="1608">
        <v>0</v>
      </c>
      <c r="U300" s="1600">
        <f>V300+W300</f>
        <v>0</v>
      </c>
      <c r="V300" s="1614"/>
      <c r="W300" s="1614"/>
      <c r="X300" s="1423">
        <f>D300-G300</f>
        <v>0</v>
      </c>
      <c r="Y300" s="1423"/>
      <c r="Z300" s="1423"/>
      <c r="AA300" s="1423"/>
    </row>
    <row r="301" spans="1:27" ht="77.25" hidden="1" customHeight="1">
      <c r="A301" s="2204" t="s">
        <v>1515</v>
      </c>
      <c r="B301" s="1897" t="s">
        <v>1513</v>
      </c>
      <c r="C301" s="1898"/>
      <c r="D301" s="1899">
        <f t="shared" ref="D301:D317" si="108">SUM(E301:F301)</f>
        <v>62986.400000000001</v>
      </c>
      <c r="E301" s="1899">
        <f>E302</f>
        <v>44119.8</v>
      </c>
      <c r="F301" s="1899">
        <f>F302</f>
        <v>18866.599999999999</v>
      </c>
      <c r="G301" s="1899">
        <f t="shared" ref="G301" si="109">SUM(H301:I301)</f>
        <v>62986.400000000001</v>
      </c>
      <c r="H301" s="1899">
        <f>H302</f>
        <v>44119.8</v>
      </c>
      <c r="I301" s="1899">
        <f>I302</f>
        <v>18866.599999999999</v>
      </c>
      <c r="J301" s="1899">
        <f t="shared" si="107"/>
        <v>62952.7</v>
      </c>
      <c r="K301" s="1899">
        <f>K302</f>
        <v>44119.8</v>
      </c>
      <c r="L301" s="1899">
        <f>L302</f>
        <v>18832.900000000001</v>
      </c>
      <c r="M301" s="1900">
        <v>0</v>
      </c>
      <c r="N301" s="1900">
        <f>IF(K301=0,0,K301/H301*100)</f>
        <v>100</v>
      </c>
      <c r="O301" s="1901">
        <v>0</v>
      </c>
      <c r="P301" s="2203"/>
      <c r="Q301" s="2203"/>
      <c r="R301" s="1899">
        <f t="shared" ref="R301:R313" si="110">SUM(S301:T301)</f>
        <v>0</v>
      </c>
      <c r="S301" s="1899">
        <f>S302</f>
        <v>0</v>
      </c>
      <c r="T301" s="1899">
        <f>T302</f>
        <v>0</v>
      </c>
      <c r="U301" s="1899">
        <f t="shared" ref="U301:U313" si="111">SUM(V301:W301)</f>
        <v>0</v>
      </c>
      <c r="V301" s="1899">
        <f>V302</f>
        <v>0</v>
      </c>
      <c r="W301" s="1899">
        <f>W302</f>
        <v>0</v>
      </c>
      <c r="X301" s="1423">
        <f t="shared" si="104"/>
        <v>0</v>
      </c>
      <c r="Y301" s="1423"/>
      <c r="Z301" s="1423"/>
      <c r="AA301" s="1423"/>
    </row>
    <row r="302" spans="1:27" ht="57" hidden="1" customHeight="1">
      <c r="A302" s="2204" t="e">
        <f>A298+1</f>
        <v>#VALUE!</v>
      </c>
      <c r="B302" s="1889" t="s">
        <v>1495</v>
      </c>
      <c r="C302" s="2204">
        <v>30131</v>
      </c>
      <c r="D302" s="1600">
        <f t="shared" si="108"/>
        <v>62986.400000000001</v>
      </c>
      <c r="E302" s="1608">
        <v>44119.8</v>
      </c>
      <c r="F302" s="1616">
        <v>18866.599999999999</v>
      </c>
      <c r="G302" s="1600">
        <f t="shared" ref="G302:G347" si="112">SUM(H302:I302)</f>
        <v>62986.400000000001</v>
      </c>
      <c r="H302" s="1616">
        <v>44119.8</v>
      </c>
      <c r="I302" s="1616">
        <v>18866.599999999999</v>
      </c>
      <c r="J302" s="1600">
        <f t="shared" ref="J302:J336" si="113">SUM(K302:L302)</f>
        <v>62952.7</v>
      </c>
      <c r="K302" s="1608">
        <f>12803.8+12803.8+10607.39+7904.78</f>
        <v>44119.8</v>
      </c>
      <c r="L302" s="1616">
        <f>180+420+18232.86</f>
        <v>18832.900000000001</v>
      </c>
      <c r="M302" s="1604">
        <v>0</v>
      </c>
      <c r="N302" s="1881">
        <f>IF(K302=0,0,K302/H302*100)</f>
        <v>100</v>
      </c>
      <c r="O302" s="1881">
        <v>0</v>
      </c>
      <c r="P302" s="2203" t="s">
        <v>1290</v>
      </c>
      <c r="Q302" s="2203" t="s">
        <v>1240</v>
      </c>
      <c r="R302" s="1600">
        <f t="shared" si="110"/>
        <v>0</v>
      </c>
      <c r="S302" s="1608">
        <v>0</v>
      </c>
      <c r="T302" s="1608">
        <v>0</v>
      </c>
      <c r="U302" s="1600">
        <f t="shared" si="111"/>
        <v>0</v>
      </c>
      <c r="V302" s="1608">
        <v>0</v>
      </c>
      <c r="W302" s="1608">
        <v>0</v>
      </c>
      <c r="X302" s="1423">
        <f t="shared" si="104"/>
        <v>0</v>
      </c>
      <c r="Y302" s="1423"/>
      <c r="Z302" s="1423"/>
      <c r="AA302" s="1423"/>
    </row>
    <row r="303" spans="1:27" s="484" customFormat="1" ht="77.25" hidden="1" customHeight="1">
      <c r="A303" s="1896" t="s">
        <v>1778</v>
      </c>
      <c r="B303" s="1897" t="s">
        <v>1771</v>
      </c>
      <c r="C303" s="1898"/>
      <c r="D303" s="1899">
        <f t="shared" si="108"/>
        <v>85909.1</v>
      </c>
      <c r="E303" s="1899">
        <f>E304+E305</f>
        <v>85050</v>
      </c>
      <c r="F303" s="1899">
        <f>F304+F305</f>
        <v>859.1</v>
      </c>
      <c r="G303" s="1899">
        <f t="shared" si="112"/>
        <v>85909.1</v>
      </c>
      <c r="H303" s="1899">
        <f>H304+H305</f>
        <v>85050</v>
      </c>
      <c r="I303" s="1899">
        <f>I304+I305</f>
        <v>859.1</v>
      </c>
      <c r="J303" s="1899">
        <f t="shared" si="113"/>
        <v>10811</v>
      </c>
      <c r="K303" s="1899">
        <f>K304+K305</f>
        <v>10702.9</v>
      </c>
      <c r="L303" s="1899">
        <f>L304+L305</f>
        <v>108.1</v>
      </c>
      <c r="M303" s="1900">
        <f t="shared" ref="M303:O328" si="114">IF(J303=0,0,J303/G303*100)</f>
        <v>12.6</v>
      </c>
      <c r="N303" s="1900">
        <f t="shared" si="114"/>
        <v>12.6</v>
      </c>
      <c r="O303" s="1900">
        <f t="shared" si="114"/>
        <v>12.6</v>
      </c>
      <c r="P303" s="2203"/>
      <c r="Q303" s="2203"/>
      <c r="R303" s="1600" t="e">
        <f>SUM(S303:T303)</f>
        <v>#REF!</v>
      </c>
      <c r="S303" s="1600" t="e">
        <f>#REF!</f>
        <v>#REF!</v>
      </c>
      <c r="T303" s="1600" t="e">
        <f>#REF!</f>
        <v>#REF!</v>
      </c>
      <c r="U303" s="1600" t="e">
        <f>SUM(V303:W303)</f>
        <v>#REF!</v>
      </c>
      <c r="V303" s="1600" t="e">
        <f>#REF!</f>
        <v>#REF!</v>
      </c>
      <c r="W303" s="1600" t="e">
        <f>#REF!</f>
        <v>#REF!</v>
      </c>
      <c r="X303" s="1760">
        <f>D303-G303</f>
        <v>0</v>
      </c>
      <c r="Y303" s="1423"/>
      <c r="Z303" s="1423"/>
      <c r="AA303" s="1423"/>
    </row>
    <row r="304" spans="1:27" s="484" customFormat="1" ht="57" hidden="1" customHeight="1">
      <c r="A304" s="1866" t="e">
        <f>A302+1</f>
        <v>#VALUE!</v>
      </c>
      <c r="B304" s="2051" t="s">
        <v>1775</v>
      </c>
      <c r="C304" s="1866">
        <v>30131</v>
      </c>
      <c r="D304" s="1600">
        <f t="shared" si="108"/>
        <v>15202</v>
      </c>
      <c r="E304" s="1608">
        <v>15050</v>
      </c>
      <c r="F304" s="1608">
        <v>152</v>
      </c>
      <c r="G304" s="1600">
        <f>SUM(H304:I304)</f>
        <v>15202</v>
      </c>
      <c r="H304" s="1616">
        <f>E304</f>
        <v>15050</v>
      </c>
      <c r="I304" s="1616">
        <f>F304</f>
        <v>152</v>
      </c>
      <c r="J304" s="1600">
        <f t="shared" si="113"/>
        <v>3740.3</v>
      </c>
      <c r="K304" s="1608">
        <v>3702.9</v>
      </c>
      <c r="L304" s="1608">
        <v>37.4</v>
      </c>
      <c r="M304" s="1893">
        <f t="shared" si="114"/>
        <v>24.6</v>
      </c>
      <c r="N304" s="1894">
        <f t="shared" si="114"/>
        <v>24.6</v>
      </c>
      <c r="O304" s="1894">
        <f t="shared" si="114"/>
        <v>24.6</v>
      </c>
      <c r="P304" s="2203" t="s">
        <v>1290</v>
      </c>
      <c r="Q304" s="2203" t="s">
        <v>1240</v>
      </c>
      <c r="R304" s="1600">
        <f>SUM(S304:T304)</f>
        <v>0</v>
      </c>
      <c r="S304" s="1608">
        <v>0</v>
      </c>
      <c r="T304" s="1608">
        <v>0</v>
      </c>
      <c r="U304" s="1600">
        <f>SUM(V304:W304)</f>
        <v>0</v>
      </c>
      <c r="V304" s="1608">
        <v>0</v>
      </c>
      <c r="W304" s="1608">
        <v>0</v>
      </c>
      <c r="X304" s="1760">
        <f>D304-G304</f>
        <v>0</v>
      </c>
      <c r="Y304" s="1423"/>
      <c r="Z304" s="1423"/>
      <c r="AA304" s="1423"/>
    </row>
    <row r="305" spans="1:28" s="484" customFormat="1" ht="57" hidden="1" customHeight="1">
      <c r="A305" s="1866" t="e">
        <f>A304+1</f>
        <v>#VALUE!</v>
      </c>
      <c r="B305" s="2051" t="s">
        <v>1776</v>
      </c>
      <c r="C305" s="1866">
        <v>30131</v>
      </c>
      <c r="D305" s="1600">
        <f t="shared" si="108"/>
        <v>70707.100000000006</v>
      </c>
      <c r="E305" s="1608">
        <v>70000</v>
      </c>
      <c r="F305" s="1608">
        <v>707.1</v>
      </c>
      <c r="G305" s="1600">
        <f>SUM(H305:I305)</f>
        <v>70707.100000000006</v>
      </c>
      <c r="H305" s="1616">
        <f>E305</f>
        <v>70000</v>
      </c>
      <c r="I305" s="1616">
        <f>F305</f>
        <v>707.1</v>
      </c>
      <c r="J305" s="1600">
        <f t="shared" si="113"/>
        <v>7070.7</v>
      </c>
      <c r="K305" s="1608">
        <v>7000</v>
      </c>
      <c r="L305" s="1608">
        <v>70.7</v>
      </c>
      <c r="M305" s="1893">
        <f t="shared" si="114"/>
        <v>10</v>
      </c>
      <c r="N305" s="1894">
        <f t="shared" si="114"/>
        <v>10</v>
      </c>
      <c r="O305" s="1894">
        <f t="shared" si="114"/>
        <v>10</v>
      </c>
      <c r="P305" s="2203" t="s">
        <v>1290</v>
      </c>
      <c r="Q305" s="2203" t="s">
        <v>1240</v>
      </c>
      <c r="R305" s="1600">
        <f>SUM(S305:T305)</f>
        <v>0</v>
      </c>
      <c r="S305" s="1608">
        <v>0</v>
      </c>
      <c r="T305" s="1608">
        <v>0</v>
      </c>
      <c r="U305" s="1600">
        <f>SUM(V305:W305)</f>
        <v>0</v>
      </c>
      <c r="V305" s="1608">
        <v>0</v>
      </c>
      <c r="W305" s="1608">
        <v>0</v>
      </c>
      <c r="X305" s="1760">
        <f>D305-G305</f>
        <v>0</v>
      </c>
      <c r="Y305" s="1423"/>
      <c r="Z305" s="1423"/>
      <c r="AA305" s="1423"/>
    </row>
    <row r="306" spans="1:28" ht="24.75" hidden="1" customHeight="1">
      <c r="A306" s="2204" t="s">
        <v>1636</v>
      </c>
      <c r="B306" s="1897" t="s">
        <v>529</v>
      </c>
      <c r="C306" s="1898"/>
      <c r="D306" s="1899">
        <f t="shared" si="108"/>
        <v>241518.6</v>
      </c>
      <c r="E306" s="1899">
        <f>SUM(E307:E314)</f>
        <v>103615.1</v>
      </c>
      <c r="F306" s="1899">
        <f>SUM(F307:F314)</f>
        <v>137903.5</v>
      </c>
      <c r="G306" s="1899">
        <f>SUM(H306:I306)</f>
        <v>241518.6</v>
      </c>
      <c r="H306" s="1899">
        <f>SUM(H307:H314)</f>
        <v>103615.1</v>
      </c>
      <c r="I306" s="1899">
        <f>SUM(I307:I314)</f>
        <v>137903.5</v>
      </c>
      <c r="J306" s="1899">
        <f t="shared" si="113"/>
        <v>159890.4</v>
      </c>
      <c r="K306" s="1899">
        <f>SUM(K307:K314)</f>
        <v>103615</v>
      </c>
      <c r="L306" s="1899">
        <f>SUM(L307:L314)</f>
        <v>56275.4</v>
      </c>
      <c r="M306" s="1899">
        <f t="shared" si="114"/>
        <v>66.2</v>
      </c>
      <c r="N306" s="1899">
        <f t="shared" si="114"/>
        <v>100</v>
      </c>
      <c r="O306" s="1899">
        <f t="shared" si="114"/>
        <v>40.799999999999997</v>
      </c>
      <c r="P306" s="1599"/>
      <c r="Q306" s="1599"/>
      <c r="R306" s="1899">
        <f>SUM(S306:T306)</f>
        <v>220985.5</v>
      </c>
      <c r="S306" s="1899">
        <f>SUM(S307:S314)</f>
        <v>0</v>
      </c>
      <c r="T306" s="1899">
        <f>SUM(T307:T314)</f>
        <v>220985.5</v>
      </c>
      <c r="U306" s="1899">
        <f>SUM(V306:W306)</f>
        <v>0</v>
      </c>
      <c r="V306" s="1899">
        <f>SUM(V307:V314)</f>
        <v>0</v>
      </c>
      <c r="W306" s="1899">
        <f>SUM(W307:W314)</f>
        <v>0</v>
      </c>
      <c r="X306" s="1423">
        <f t="shared" si="104"/>
        <v>0</v>
      </c>
      <c r="Y306" s="1423"/>
      <c r="Z306" s="1423"/>
      <c r="AA306" s="1423"/>
    </row>
    <row r="307" spans="1:28" ht="66" hidden="1" customHeight="1">
      <c r="A307" s="2204" t="e">
        <f>A305+1</f>
        <v>#VALUE!</v>
      </c>
      <c r="B307" s="1925" t="s">
        <v>707</v>
      </c>
      <c r="C307" s="1866">
        <v>10120</v>
      </c>
      <c r="D307" s="1600">
        <f t="shared" si="108"/>
        <v>109857.5</v>
      </c>
      <c r="E307" s="1608"/>
      <c r="F307" s="1608">
        <v>109857.5</v>
      </c>
      <c r="G307" s="1600">
        <f t="shared" si="112"/>
        <v>109857.5</v>
      </c>
      <c r="H307" s="1616"/>
      <c r="I307" s="1616">
        <f>F307</f>
        <v>109857.5</v>
      </c>
      <c r="J307" s="1600">
        <f t="shared" si="113"/>
        <v>34470</v>
      </c>
      <c r="K307" s="1608"/>
      <c r="L307" s="1608">
        <v>34470</v>
      </c>
      <c r="M307" s="1893">
        <f t="shared" si="114"/>
        <v>31.4</v>
      </c>
      <c r="N307" s="1894">
        <f t="shared" si="114"/>
        <v>0</v>
      </c>
      <c r="O307" s="1894">
        <f t="shared" si="114"/>
        <v>31.4</v>
      </c>
      <c r="P307" s="2203" t="s">
        <v>1192</v>
      </c>
      <c r="Q307" s="2203" t="s">
        <v>1163</v>
      </c>
      <c r="R307" s="1600">
        <f t="shared" si="110"/>
        <v>0</v>
      </c>
      <c r="S307" s="1608">
        <v>0</v>
      </c>
      <c r="T307" s="1608">
        <v>0</v>
      </c>
      <c r="U307" s="1600">
        <f t="shared" si="111"/>
        <v>0</v>
      </c>
      <c r="V307" s="1608">
        <v>0</v>
      </c>
      <c r="W307" s="1608">
        <v>0</v>
      </c>
      <c r="X307" s="1423">
        <f t="shared" si="104"/>
        <v>0</v>
      </c>
      <c r="Y307" s="1423"/>
      <c r="Z307" s="1423"/>
      <c r="AA307" s="1423"/>
    </row>
    <row r="308" spans="1:28" ht="84" hidden="1" customHeight="1">
      <c r="A308" s="2204" t="e">
        <f>A307+1</f>
        <v>#VALUE!</v>
      </c>
      <c r="B308" s="1916" t="s">
        <v>1478</v>
      </c>
      <c r="C308" s="1866">
        <v>10122</v>
      </c>
      <c r="D308" s="1600">
        <f t="shared" si="108"/>
        <v>14509.5</v>
      </c>
      <c r="E308" s="1608"/>
      <c r="F308" s="1624">
        <f>14680.4-170.9</f>
        <v>14509.5</v>
      </c>
      <c r="G308" s="1600">
        <f t="shared" si="112"/>
        <v>14509.5</v>
      </c>
      <c r="H308" s="1608"/>
      <c r="I308" s="1624">
        <f>14680.4-170.9</f>
        <v>14509.5</v>
      </c>
      <c r="J308" s="1600">
        <f t="shared" si="113"/>
        <v>9438.9</v>
      </c>
      <c r="K308" s="1608"/>
      <c r="L308" s="1624">
        <v>9438.9</v>
      </c>
      <c r="M308" s="1893">
        <f t="shared" si="114"/>
        <v>65.099999999999994</v>
      </c>
      <c r="N308" s="1894">
        <f t="shared" si="114"/>
        <v>0</v>
      </c>
      <c r="O308" s="1894">
        <f t="shared" si="114"/>
        <v>65.099999999999994</v>
      </c>
      <c r="P308" s="2203" t="s">
        <v>1298</v>
      </c>
      <c r="Q308" s="2203" t="s">
        <v>1261</v>
      </c>
      <c r="R308" s="1600">
        <f t="shared" si="110"/>
        <v>0</v>
      </c>
      <c r="S308" s="1608">
        <v>0</v>
      </c>
      <c r="T308" s="1608">
        <v>0</v>
      </c>
      <c r="U308" s="1600">
        <f t="shared" si="111"/>
        <v>0</v>
      </c>
      <c r="V308" s="1608">
        <v>0</v>
      </c>
      <c r="W308" s="1608">
        <v>0</v>
      </c>
      <c r="X308" s="1423">
        <f t="shared" si="104"/>
        <v>0</v>
      </c>
      <c r="Y308" s="1423"/>
      <c r="Z308" s="1423"/>
      <c r="AA308" s="1423"/>
    </row>
    <row r="309" spans="1:28" ht="49.5" hidden="1" customHeight="1">
      <c r="A309" s="2204" t="e">
        <f>A308+1</f>
        <v>#VALUE!</v>
      </c>
      <c r="B309" s="2051" t="s">
        <v>1800</v>
      </c>
      <c r="C309" s="1866"/>
      <c r="D309" s="1600">
        <f>SUM(E309:F309)</f>
        <v>3751</v>
      </c>
      <c r="E309" s="1608"/>
      <c r="F309" s="1624">
        <f>3751</f>
        <v>3751</v>
      </c>
      <c r="G309" s="1600">
        <f>SUM(H309:I309)</f>
        <v>3751</v>
      </c>
      <c r="H309" s="1608"/>
      <c r="I309" s="1624">
        <v>3751</v>
      </c>
      <c r="J309" s="1600">
        <f>SUM(K309:L309)</f>
        <v>2929.6</v>
      </c>
      <c r="K309" s="1616"/>
      <c r="L309" s="2045">
        <v>2929.6</v>
      </c>
      <c r="M309" s="1893">
        <f>IF(J309=0,0,J309/G309*100)</f>
        <v>78.099999999999994</v>
      </c>
      <c r="N309" s="1894">
        <f>IF(K309=0,0,K309/H309*100)</f>
        <v>0</v>
      </c>
      <c r="O309" s="1894">
        <f>IF(L309=0,0,L309/I309*100)</f>
        <v>78.099999999999994</v>
      </c>
      <c r="P309" s="2203"/>
      <c r="Q309" s="2203"/>
      <c r="R309" s="1600"/>
      <c r="S309" s="1608"/>
      <c r="T309" s="1608"/>
      <c r="U309" s="1600"/>
      <c r="V309" s="1608"/>
      <c r="W309" s="1608"/>
      <c r="X309" s="1423"/>
      <c r="Y309" s="1423"/>
      <c r="Z309" s="1423"/>
      <c r="AA309" s="1423"/>
    </row>
    <row r="310" spans="1:28" ht="64.5" hidden="1" customHeight="1">
      <c r="A310" s="1866"/>
      <c r="B310" s="1912" t="s">
        <v>1836</v>
      </c>
      <c r="C310" s="1880"/>
      <c r="D310" s="1602">
        <f t="shared" ref="D310:D311" si="115">SUM(E310:F310)</f>
        <v>9437</v>
      </c>
      <c r="E310" s="1616"/>
      <c r="F310" s="1616">
        <v>9437</v>
      </c>
      <c r="G310" s="1602">
        <f t="shared" ref="G310:G311" si="116">SUM(H310:I310)</f>
        <v>9437</v>
      </c>
      <c r="H310" s="1616">
        <f t="shared" ref="H310:I311" si="117">E310</f>
        <v>0</v>
      </c>
      <c r="I310" s="1616">
        <f t="shared" si="117"/>
        <v>9437</v>
      </c>
      <c r="J310" s="1602">
        <f t="shared" ref="J310:J311" si="118">SUM(K310:L310)</f>
        <v>9436.9</v>
      </c>
      <c r="K310" s="1616"/>
      <c r="L310" s="1616">
        <v>9436.9</v>
      </c>
      <c r="M310" s="1604">
        <f t="shared" ref="M310:O311" si="119">IF(J310=0,0,J310/G310*100)</f>
        <v>100</v>
      </c>
      <c r="N310" s="1881">
        <f t="shared" si="119"/>
        <v>0</v>
      </c>
      <c r="O310" s="1881">
        <f t="shared" si="119"/>
        <v>100</v>
      </c>
      <c r="P310" s="2203"/>
      <c r="Q310" s="2203"/>
      <c r="R310" s="1600"/>
      <c r="S310" s="1614"/>
      <c r="T310" s="1614"/>
      <c r="U310" s="1600"/>
      <c r="V310" s="1614"/>
      <c r="W310" s="1614"/>
      <c r="X310" s="1423"/>
      <c r="Y310" s="1423"/>
      <c r="Z310" s="1423"/>
      <c r="AA310" s="1423"/>
    </row>
    <row r="311" spans="1:28" ht="52.5" hidden="1" customHeight="1">
      <c r="A311" s="2204" t="e">
        <f>A308+1</f>
        <v>#VALUE!</v>
      </c>
      <c r="B311" s="1883" t="s">
        <v>1812</v>
      </c>
      <c r="C311" s="1880"/>
      <c r="D311" s="1600">
        <f t="shared" si="115"/>
        <v>348.5</v>
      </c>
      <c r="E311" s="1608"/>
      <c r="F311" s="1616">
        <v>348.5</v>
      </c>
      <c r="G311" s="1600">
        <f t="shared" si="116"/>
        <v>348.5</v>
      </c>
      <c r="H311" s="1616">
        <f t="shared" si="117"/>
        <v>0</v>
      </c>
      <c r="I311" s="1616">
        <f>F311</f>
        <v>348.5</v>
      </c>
      <c r="J311" s="1600">
        <f t="shared" si="118"/>
        <v>0</v>
      </c>
      <c r="K311" s="1608"/>
      <c r="L311" s="1608"/>
      <c r="M311" s="1604">
        <f t="shared" si="119"/>
        <v>0</v>
      </c>
      <c r="N311" s="1881">
        <f t="shared" si="119"/>
        <v>0</v>
      </c>
      <c r="O311" s="1881">
        <f t="shared" si="119"/>
        <v>0</v>
      </c>
      <c r="P311" s="2203"/>
      <c r="Q311" s="2203"/>
      <c r="R311" s="1600"/>
      <c r="S311" s="1608"/>
      <c r="T311" s="1608"/>
      <c r="U311" s="1600"/>
      <c r="V311" s="1608"/>
      <c r="W311" s="1608"/>
      <c r="Y311" s="1423"/>
      <c r="Z311" s="1423"/>
      <c r="AA311" s="1423"/>
    </row>
    <row r="312" spans="1:28" ht="81" hidden="1" customHeight="1">
      <c r="A312" s="2204" t="e">
        <f>A309+1</f>
        <v>#VALUE!</v>
      </c>
      <c r="B312" s="493" t="s">
        <v>1781</v>
      </c>
      <c r="C312" s="2204">
        <v>14091</v>
      </c>
      <c r="D312" s="1600">
        <f t="shared" si="108"/>
        <v>103615.1</v>
      </c>
      <c r="E312" s="1614">
        <f>5521.9+98093.2</f>
        <v>103615.1</v>
      </c>
      <c r="F312" s="1614">
        <v>0</v>
      </c>
      <c r="G312" s="1600">
        <f t="shared" si="112"/>
        <v>103615.1</v>
      </c>
      <c r="H312" s="1614">
        <f>5521.9+98093.2</f>
        <v>103615.1</v>
      </c>
      <c r="I312" s="1614">
        <f>F312</f>
        <v>0</v>
      </c>
      <c r="J312" s="1600">
        <f t="shared" si="113"/>
        <v>103615</v>
      </c>
      <c r="K312" s="1614">
        <v>103615</v>
      </c>
      <c r="L312" s="1614"/>
      <c r="M312" s="1604">
        <f t="shared" si="114"/>
        <v>100</v>
      </c>
      <c r="N312" s="1881">
        <f t="shared" si="114"/>
        <v>100</v>
      </c>
      <c r="O312" s="1881">
        <f t="shared" si="114"/>
        <v>0</v>
      </c>
      <c r="P312" s="2203" t="s">
        <v>1192</v>
      </c>
      <c r="Q312" s="2203" t="s">
        <v>1206</v>
      </c>
      <c r="R312" s="1600">
        <f t="shared" si="110"/>
        <v>200000</v>
      </c>
      <c r="S312" s="1614">
        <v>0</v>
      </c>
      <c r="T312" s="1614">
        <v>200000</v>
      </c>
      <c r="U312" s="1600">
        <f t="shared" si="111"/>
        <v>0</v>
      </c>
      <c r="V312" s="1608">
        <v>0</v>
      </c>
      <c r="W312" s="1608">
        <v>0</v>
      </c>
      <c r="Y312" s="1423"/>
      <c r="Z312" s="1423"/>
      <c r="AA312" s="1423"/>
    </row>
    <row r="313" spans="1:28" s="484" customFormat="1" ht="45.75" hidden="1" customHeight="1">
      <c r="A313" s="2204">
        <v>117</v>
      </c>
      <c r="B313" s="1912" t="s">
        <v>1712</v>
      </c>
      <c r="C313" s="1913" t="s">
        <v>1546</v>
      </c>
      <c r="D313" s="1600">
        <f t="shared" si="108"/>
        <v>0</v>
      </c>
      <c r="E313" s="1608"/>
      <c r="F313" s="1608">
        <v>0</v>
      </c>
      <c r="G313" s="1600">
        <f t="shared" si="112"/>
        <v>0</v>
      </c>
      <c r="H313" s="1608"/>
      <c r="I313" s="1608">
        <v>0</v>
      </c>
      <c r="J313" s="1600">
        <f t="shared" si="113"/>
        <v>0</v>
      </c>
      <c r="K313" s="1608"/>
      <c r="L313" s="1608"/>
      <c r="M313" s="1893">
        <f t="shared" si="114"/>
        <v>0</v>
      </c>
      <c r="N313" s="1894">
        <f t="shared" si="114"/>
        <v>0</v>
      </c>
      <c r="O313" s="1894">
        <f t="shared" si="114"/>
        <v>0</v>
      </c>
      <c r="P313" s="2203" t="s">
        <v>1291</v>
      </c>
      <c r="Q313" s="2203" t="s">
        <v>1241</v>
      </c>
      <c r="R313" s="1600">
        <f t="shared" si="110"/>
        <v>0</v>
      </c>
      <c r="S313" s="1608">
        <v>0</v>
      </c>
      <c r="T313" s="1608">
        <v>0</v>
      </c>
      <c r="U313" s="1600">
        <f t="shared" si="111"/>
        <v>0</v>
      </c>
      <c r="V313" s="1608">
        <v>0</v>
      </c>
      <c r="W313" s="1608">
        <v>0</v>
      </c>
      <c r="Y313" s="1423"/>
      <c r="Z313" s="1423"/>
      <c r="AA313" s="1423"/>
    </row>
    <row r="314" spans="1:28" ht="225" hidden="1" customHeight="1">
      <c r="A314" s="1946" t="s">
        <v>1671</v>
      </c>
      <c r="B314" s="1888" t="s">
        <v>1669</v>
      </c>
      <c r="C314" s="2204" t="s">
        <v>1549</v>
      </c>
      <c r="D314" s="1600">
        <f t="shared" si="108"/>
        <v>0</v>
      </c>
      <c r="E314" s="1614"/>
      <c r="F314" s="1614"/>
      <c r="G314" s="1600">
        <f t="shared" si="112"/>
        <v>0</v>
      </c>
      <c r="H314" s="1614"/>
      <c r="I314" s="1614"/>
      <c r="J314" s="1600">
        <f>SUM(K314:L314)</f>
        <v>0</v>
      </c>
      <c r="K314" s="1614"/>
      <c r="L314" s="1614"/>
      <c r="M314" s="1604">
        <f t="shared" si="114"/>
        <v>0</v>
      </c>
      <c r="N314" s="1881">
        <f t="shared" si="114"/>
        <v>0</v>
      </c>
      <c r="O314" s="1881">
        <f t="shared" si="114"/>
        <v>0</v>
      </c>
      <c r="P314" s="2203" t="s">
        <v>1192</v>
      </c>
      <c r="Q314" s="2203" t="s">
        <v>1160</v>
      </c>
      <c r="R314" s="1600">
        <f>SUM(S314:T314)</f>
        <v>20985.5</v>
      </c>
      <c r="S314" s="1614">
        <v>0</v>
      </c>
      <c r="T314" s="1614">
        <v>20985.5</v>
      </c>
      <c r="U314" s="1600">
        <f>SUM(V314:W314)</f>
        <v>0</v>
      </c>
      <c r="V314" s="1614">
        <v>0</v>
      </c>
      <c r="W314" s="1614">
        <v>0</v>
      </c>
      <c r="Y314" s="1423"/>
      <c r="Z314" s="1423"/>
      <c r="AA314" s="1423"/>
    </row>
    <row r="315" spans="1:28" s="791" customFormat="1" ht="46.5" hidden="1" customHeight="1">
      <c r="A315" s="2565" t="s">
        <v>456</v>
      </c>
      <c r="B315" s="2565"/>
      <c r="C315" s="1869"/>
      <c r="D315" s="1594">
        <f t="shared" si="108"/>
        <v>2429720.6</v>
      </c>
      <c r="E315" s="1594">
        <f>SUM(E316,E337)</f>
        <v>1923763.3</v>
      </c>
      <c r="F315" s="1594">
        <f>SUM(F316,F337)</f>
        <v>505957.3</v>
      </c>
      <c r="G315" s="1594">
        <f t="shared" si="112"/>
        <v>2200933.1</v>
      </c>
      <c r="H315" s="1594">
        <f>SUM(H316,H337)</f>
        <v>1777654.6</v>
      </c>
      <c r="I315" s="1594">
        <f>SUM(I316,I337)</f>
        <v>423278.5</v>
      </c>
      <c r="J315" s="1594">
        <f t="shared" si="113"/>
        <v>1945007.5</v>
      </c>
      <c r="K315" s="1594">
        <f>SUM(K316,K337)</f>
        <v>1610705.3</v>
      </c>
      <c r="L315" s="1594">
        <f>SUM(L316,L337)</f>
        <v>334302.2</v>
      </c>
      <c r="M315" s="1870">
        <f t="shared" si="114"/>
        <v>88.4</v>
      </c>
      <c r="N315" s="1871">
        <f t="shared" si="114"/>
        <v>90.6</v>
      </c>
      <c r="O315" s="1871">
        <f t="shared" si="114"/>
        <v>79</v>
      </c>
      <c r="P315" s="1940"/>
      <c r="Q315" s="2203" t="s">
        <v>1104</v>
      </c>
      <c r="R315" s="1594">
        <f t="shared" ref="R315:R330" si="120">SUM(S315:T315)</f>
        <v>998248</v>
      </c>
      <c r="S315" s="1594">
        <f>SUM(S316,S337)</f>
        <v>658766.30000000005</v>
      </c>
      <c r="T315" s="1594">
        <f>SUM(T316,T337)</f>
        <v>339481.7</v>
      </c>
      <c r="U315" s="1594">
        <f t="shared" ref="U315:U330" si="121">SUM(V315:W315)</f>
        <v>359443.8</v>
      </c>
      <c r="V315" s="1594">
        <f>SUM(V316,V337)</f>
        <v>15000</v>
      </c>
      <c r="W315" s="1594">
        <f>SUM(W316,W337)</f>
        <v>344443.8</v>
      </c>
      <c r="X315" s="1423">
        <f t="shared" ref="X315:X353" si="122">D315-G315</f>
        <v>228787.5</v>
      </c>
      <c r="Y315" s="1423"/>
      <c r="Z315" s="1423"/>
      <c r="AA315" s="1423"/>
      <c r="AB315" s="1423"/>
    </row>
    <row r="316" spans="1:28" ht="91.5" hidden="1" customHeight="1">
      <c r="A316" s="2204" t="s">
        <v>6</v>
      </c>
      <c r="B316" s="1872" t="s">
        <v>439</v>
      </c>
      <c r="C316" s="1873"/>
      <c r="D316" s="1861">
        <f t="shared" si="108"/>
        <v>51958</v>
      </c>
      <c r="E316" s="1861">
        <f>E317</f>
        <v>0</v>
      </c>
      <c r="F316" s="1861">
        <f>F317</f>
        <v>51958</v>
      </c>
      <c r="G316" s="1861">
        <f>SUM(H316:I316)</f>
        <v>51958</v>
      </c>
      <c r="H316" s="1861">
        <f>H317</f>
        <v>0</v>
      </c>
      <c r="I316" s="1861">
        <f>I317</f>
        <v>51958</v>
      </c>
      <c r="J316" s="1861">
        <f>SUM(K316:L316)</f>
        <v>24761.5</v>
      </c>
      <c r="K316" s="1861">
        <f>K317</f>
        <v>0</v>
      </c>
      <c r="L316" s="1861">
        <f>L317</f>
        <v>24761.5</v>
      </c>
      <c r="M316" s="1874">
        <f t="shared" si="114"/>
        <v>47.7</v>
      </c>
      <c r="N316" s="1875">
        <f t="shared" si="114"/>
        <v>0</v>
      </c>
      <c r="O316" s="1875">
        <f t="shared" si="114"/>
        <v>47.7</v>
      </c>
      <c r="P316" s="1597" t="s">
        <v>353</v>
      </c>
      <c r="Q316" s="1597" t="s">
        <v>353</v>
      </c>
      <c r="R316" s="1861">
        <f t="shared" si="120"/>
        <v>1700</v>
      </c>
      <c r="S316" s="1861">
        <f>S317</f>
        <v>0</v>
      </c>
      <c r="T316" s="1861">
        <f>SUM(T317)</f>
        <v>1700</v>
      </c>
      <c r="U316" s="1861">
        <f t="shared" si="121"/>
        <v>0</v>
      </c>
      <c r="V316" s="1861">
        <f>V317</f>
        <v>0</v>
      </c>
      <c r="W316" s="1861">
        <f>SUM(W317)</f>
        <v>0</v>
      </c>
      <c r="X316" s="1423">
        <f t="shared" si="122"/>
        <v>0</v>
      </c>
      <c r="Y316" s="1423"/>
      <c r="Z316" s="1423"/>
      <c r="AA316" s="1423"/>
    </row>
    <row r="317" spans="1:28" ht="21.75" hidden="1" customHeight="1">
      <c r="A317" s="2204" t="s">
        <v>253</v>
      </c>
      <c r="B317" s="1876" t="s">
        <v>1393</v>
      </c>
      <c r="C317" s="1877"/>
      <c r="D317" s="1598">
        <f t="shared" si="108"/>
        <v>51958</v>
      </c>
      <c r="E317" s="1598">
        <f>E331+E318+E329+E335+E333</f>
        <v>0</v>
      </c>
      <c r="F317" s="1598">
        <f>F331+F318+F329+F335+F333</f>
        <v>51958</v>
      </c>
      <c r="G317" s="1598">
        <f>SUM(H317:I317)</f>
        <v>51958</v>
      </c>
      <c r="H317" s="1598">
        <f>H331+H318+H329+H335+H333</f>
        <v>0</v>
      </c>
      <c r="I317" s="1598">
        <f>I331+I318+I329+I335+I333</f>
        <v>51958</v>
      </c>
      <c r="J317" s="1598">
        <f>SUM(K317:L317)</f>
        <v>24761.5</v>
      </c>
      <c r="K317" s="1598">
        <f>K331+K318+K329+K335+K333</f>
        <v>0</v>
      </c>
      <c r="L317" s="1598">
        <f>L331+L318+L329+L335+L333</f>
        <v>24761.5</v>
      </c>
      <c r="M317" s="1598">
        <f t="shared" si="114"/>
        <v>47.7</v>
      </c>
      <c r="N317" s="1598">
        <f t="shared" si="114"/>
        <v>0</v>
      </c>
      <c r="O317" s="1598">
        <f t="shared" si="114"/>
        <v>47.7</v>
      </c>
      <c r="P317" s="1598">
        <f>P331+P318</f>
        <v>0</v>
      </c>
      <c r="Q317" s="1598">
        <f>Q331+Q318</f>
        <v>0</v>
      </c>
      <c r="R317" s="1598">
        <f t="shared" si="120"/>
        <v>1700</v>
      </c>
      <c r="S317" s="1598">
        <f>S331+S318+S329+S335</f>
        <v>0</v>
      </c>
      <c r="T317" s="1598">
        <f>T331+T318+T329+T335+1000</f>
        <v>1700</v>
      </c>
      <c r="U317" s="1598">
        <f t="shared" si="121"/>
        <v>0</v>
      </c>
      <c r="V317" s="1598">
        <f>V331+V318+V329+V335</f>
        <v>0</v>
      </c>
      <c r="W317" s="1598">
        <f>W331+W318+W329+W335</f>
        <v>0</v>
      </c>
      <c r="X317" s="1423">
        <f t="shared" si="122"/>
        <v>0</v>
      </c>
      <c r="Y317" s="1423"/>
      <c r="Z317" s="1423"/>
      <c r="AA317" s="1423"/>
    </row>
    <row r="318" spans="1:28" ht="23.25" hidden="1" customHeight="1">
      <c r="A318" s="2204"/>
      <c r="B318" s="2206" t="s">
        <v>283</v>
      </c>
      <c r="C318" s="1866"/>
      <c r="D318" s="1602">
        <f t="shared" ref="D318:D384" si="123">SUM(E318:F318)</f>
        <v>47188</v>
      </c>
      <c r="E318" s="2208">
        <f>SUM(E319:E327)</f>
        <v>0</v>
      </c>
      <c r="F318" s="2208">
        <f>SUM(F319:F328)</f>
        <v>47188</v>
      </c>
      <c r="G318" s="1602">
        <f>SUBTOTAL(9,G319:G328)</f>
        <v>47188</v>
      </c>
      <c r="H318" s="2208">
        <f>SUM(H319:H327)</f>
        <v>0</v>
      </c>
      <c r="I318" s="1602">
        <f>SUBTOTAL(9,I319:I328)</f>
        <v>47188</v>
      </c>
      <c r="J318" s="1602">
        <f t="shared" si="113"/>
        <v>23271.5</v>
      </c>
      <c r="K318" s="2208">
        <f>SUM(K319:K327)</f>
        <v>0</v>
      </c>
      <c r="L318" s="2208">
        <f>SUM(L319:L327)</f>
        <v>23271.5</v>
      </c>
      <c r="M318" s="1603">
        <f t="shared" si="114"/>
        <v>49.3</v>
      </c>
      <c r="N318" s="1603">
        <f t="shared" si="114"/>
        <v>0</v>
      </c>
      <c r="O318" s="1603">
        <f t="shared" si="114"/>
        <v>49.3</v>
      </c>
      <c r="P318" s="1603">
        <f>SUM(P319:P327)</f>
        <v>0</v>
      </c>
      <c r="Q318" s="1603">
        <f>SUM(Q319:Q327)</f>
        <v>0</v>
      </c>
      <c r="R318" s="1602">
        <f t="shared" si="120"/>
        <v>0</v>
      </c>
      <c r="S318" s="2208">
        <f>SUM(S319:S327)</f>
        <v>0</v>
      </c>
      <c r="T318" s="2208">
        <f>SUM(T319:T327)</f>
        <v>0</v>
      </c>
      <c r="U318" s="1602">
        <f t="shared" si="121"/>
        <v>0</v>
      </c>
      <c r="V318" s="2208">
        <f>SUM(V319:V327)</f>
        <v>0</v>
      </c>
      <c r="W318" s="2208">
        <f>SUM(W319:W327)</f>
        <v>0</v>
      </c>
      <c r="X318" s="1423">
        <f t="shared" si="122"/>
        <v>0</v>
      </c>
      <c r="Y318" s="1423"/>
      <c r="Z318" s="1423"/>
      <c r="AA318" s="1423"/>
    </row>
    <row r="319" spans="1:28" s="1566" customFormat="1" ht="62.25" hidden="1" customHeight="1">
      <c r="A319" s="2204"/>
      <c r="B319" s="1889" t="s">
        <v>1571</v>
      </c>
      <c r="C319" s="1866"/>
      <c r="D319" s="1602">
        <f t="shared" si="123"/>
        <v>0</v>
      </c>
      <c r="E319" s="2208"/>
      <c r="F319" s="1619">
        <v>0</v>
      </c>
      <c r="G319" s="1602">
        <f t="shared" si="112"/>
        <v>0</v>
      </c>
      <c r="H319" s="2208"/>
      <c r="I319" s="1619">
        <f>F319</f>
        <v>0</v>
      </c>
      <c r="J319" s="1602">
        <f t="shared" si="113"/>
        <v>0</v>
      </c>
      <c r="K319" s="2208"/>
      <c r="L319" s="1619"/>
      <c r="M319" s="1602">
        <f t="shared" si="114"/>
        <v>0</v>
      </c>
      <c r="N319" s="1600">
        <f t="shared" si="114"/>
        <v>0</v>
      </c>
      <c r="O319" s="1619">
        <f t="shared" si="114"/>
        <v>0</v>
      </c>
      <c r="P319" s="1599"/>
      <c r="Q319" s="1599"/>
      <c r="R319" s="1602">
        <f t="shared" si="120"/>
        <v>0</v>
      </c>
      <c r="S319" s="1619">
        <v>0</v>
      </c>
      <c r="T319" s="1619">
        <v>0</v>
      </c>
      <c r="U319" s="1602">
        <f t="shared" si="121"/>
        <v>0</v>
      </c>
      <c r="V319" s="1619">
        <v>0</v>
      </c>
      <c r="W319" s="1619">
        <v>0</v>
      </c>
      <c r="X319" s="1423">
        <f t="shared" si="122"/>
        <v>0</v>
      </c>
      <c r="Y319" s="1423"/>
      <c r="Z319" s="1423"/>
      <c r="AA319" s="1423"/>
    </row>
    <row r="320" spans="1:28" s="1566" customFormat="1" ht="60.75" hidden="1" customHeight="1">
      <c r="A320" s="2204">
        <f>A319+1</f>
        <v>1</v>
      </c>
      <c r="B320" s="1889" t="s">
        <v>1665</v>
      </c>
      <c r="C320" s="1866"/>
      <c r="D320" s="1602">
        <f t="shared" si="123"/>
        <v>0</v>
      </c>
      <c r="E320" s="2208"/>
      <c r="F320" s="1619">
        <v>0</v>
      </c>
      <c r="G320" s="1602">
        <f t="shared" si="112"/>
        <v>0</v>
      </c>
      <c r="H320" s="2208"/>
      <c r="I320" s="1619">
        <v>0</v>
      </c>
      <c r="J320" s="1602">
        <f t="shared" si="113"/>
        <v>0</v>
      </c>
      <c r="K320" s="2208"/>
      <c r="L320" s="1619"/>
      <c r="M320" s="1602">
        <f t="shared" si="114"/>
        <v>0</v>
      </c>
      <c r="N320" s="1600">
        <f t="shared" si="114"/>
        <v>0</v>
      </c>
      <c r="O320" s="1619">
        <f t="shared" si="114"/>
        <v>0</v>
      </c>
      <c r="P320" s="1599"/>
      <c r="Q320" s="1599"/>
      <c r="R320" s="1602">
        <f t="shared" si="120"/>
        <v>0</v>
      </c>
      <c r="S320" s="1619">
        <v>0</v>
      </c>
      <c r="T320" s="1619">
        <v>0</v>
      </c>
      <c r="U320" s="1602">
        <f t="shared" si="121"/>
        <v>0</v>
      </c>
      <c r="V320" s="1619">
        <v>0</v>
      </c>
      <c r="W320" s="1619">
        <v>0</v>
      </c>
      <c r="X320" s="1423">
        <f t="shared" si="122"/>
        <v>0</v>
      </c>
      <c r="Y320" s="1423"/>
      <c r="Z320" s="1423"/>
      <c r="AA320" s="1423"/>
    </row>
    <row r="321" spans="1:27" s="1566" customFormat="1" ht="66.75" hidden="1" customHeight="1">
      <c r="A321" s="2204"/>
      <c r="B321" s="1889" t="s">
        <v>1575</v>
      </c>
      <c r="C321" s="1866"/>
      <c r="D321" s="1602">
        <f t="shared" si="123"/>
        <v>0</v>
      </c>
      <c r="E321" s="2208"/>
      <c r="F321" s="1619">
        <v>0</v>
      </c>
      <c r="G321" s="1602">
        <f t="shared" si="112"/>
        <v>0</v>
      </c>
      <c r="H321" s="2208"/>
      <c r="I321" s="1619">
        <v>0</v>
      </c>
      <c r="J321" s="1602">
        <f t="shared" si="113"/>
        <v>0</v>
      </c>
      <c r="K321" s="2208"/>
      <c r="L321" s="1619"/>
      <c r="M321" s="1602">
        <f t="shared" si="114"/>
        <v>0</v>
      </c>
      <c r="N321" s="1600">
        <f t="shared" si="114"/>
        <v>0</v>
      </c>
      <c r="O321" s="1619">
        <f t="shared" si="114"/>
        <v>0</v>
      </c>
      <c r="P321" s="1599"/>
      <c r="Q321" s="1599"/>
      <c r="R321" s="1602">
        <f t="shared" si="120"/>
        <v>0</v>
      </c>
      <c r="S321" s="1619">
        <v>0</v>
      </c>
      <c r="T321" s="1619">
        <v>0</v>
      </c>
      <c r="U321" s="1602">
        <f t="shared" si="121"/>
        <v>0</v>
      </c>
      <c r="V321" s="1619">
        <v>0</v>
      </c>
      <c r="W321" s="1619">
        <v>0</v>
      </c>
      <c r="X321" s="1423">
        <f t="shared" si="122"/>
        <v>0</v>
      </c>
      <c r="Y321" s="1423"/>
      <c r="Z321" s="1423"/>
      <c r="AA321" s="1423"/>
    </row>
    <row r="322" spans="1:27" s="1566" customFormat="1" ht="76.5" hidden="1" customHeight="1">
      <c r="A322" s="2204">
        <f>A320+1</f>
        <v>2</v>
      </c>
      <c r="B322" s="1889" t="s">
        <v>1666</v>
      </c>
      <c r="C322" s="1866"/>
      <c r="D322" s="1602">
        <f t="shared" si="123"/>
        <v>954</v>
      </c>
      <c r="E322" s="2208"/>
      <c r="F322" s="1619">
        <f>19800-13536-5310</f>
        <v>954</v>
      </c>
      <c r="G322" s="1602">
        <f t="shared" si="112"/>
        <v>954</v>
      </c>
      <c r="H322" s="2208"/>
      <c r="I322" s="1619">
        <f>19800-13536-5310</f>
        <v>954</v>
      </c>
      <c r="J322" s="1602">
        <f t="shared" si="113"/>
        <v>0</v>
      </c>
      <c r="K322" s="2208"/>
      <c r="L322" s="1619"/>
      <c r="M322" s="1602">
        <f t="shared" si="114"/>
        <v>0</v>
      </c>
      <c r="N322" s="1600">
        <f t="shared" si="114"/>
        <v>0</v>
      </c>
      <c r="O322" s="1619">
        <f t="shared" si="114"/>
        <v>0</v>
      </c>
      <c r="P322" s="1599"/>
      <c r="Q322" s="1599"/>
      <c r="R322" s="1602">
        <f t="shared" si="120"/>
        <v>0</v>
      </c>
      <c r="S322" s="1619">
        <v>0</v>
      </c>
      <c r="T322" s="1619">
        <v>0</v>
      </c>
      <c r="U322" s="1602">
        <f t="shared" si="121"/>
        <v>0</v>
      </c>
      <c r="V322" s="1619">
        <v>0</v>
      </c>
      <c r="W322" s="1619">
        <v>0</v>
      </c>
      <c r="X322" s="1423">
        <f t="shared" si="122"/>
        <v>0</v>
      </c>
      <c r="Y322" s="1423"/>
      <c r="Z322" s="1423"/>
      <c r="AA322" s="1423"/>
    </row>
    <row r="323" spans="1:27" s="1566" customFormat="1" ht="74.25" hidden="1" customHeight="1">
      <c r="A323" s="2204">
        <f>A322+1</f>
        <v>3</v>
      </c>
      <c r="B323" s="1889" t="s">
        <v>1573</v>
      </c>
      <c r="C323" s="1866"/>
      <c r="D323" s="1602">
        <f t="shared" si="123"/>
        <v>17670</v>
      </c>
      <c r="E323" s="2208"/>
      <c r="F323" s="1619">
        <v>17670</v>
      </c>
      <c r="G323" s="1602">
        <f t="shared" si="112"/>
        <v>17670</v>
      </c>
      <c r="H323" s="2208"/>
      <c r="I323" s="1619">
        <v>17670</v>
      </c>
      <c r="J323" s="1602">
        <f t="shared" si="113"/>
        <v>0</v>
      </c>
      <c r="K323" s="2208"/>
      <c r="L323" s="1619"/>
      <c r="M323" s="1602">
        <f t="shared" si="114"/>
        <v>0</v>
      </c>
      <c r="N323" s="1600">
        <f t="shared" si="114"/>
        <v>0</v>
      </c>
      <c r="O323" s="1619">
        <f t="shared" si="114"/>
        <v>0</v>
      </c>
      <c r="P323" s="1599"/>
      <c r="Q323" s="1599"/>
      <c r="R323" s="1602">
        <f t="shared" si="120"/>
        <v>0</v>
      </c>
      <c r="S323" s="1619">
        <v>0</v>
      </c>
      <c r="T323" s="1619">
        <v>0</v>
      </c>
      <c r="U323" s="1602">
        <f t="shared" si="121"/>
        <v>0</v>
      </c>
      <c r="V323" s="1619">
        <v>0</v>
      </c>
      <c r="W323" s="1619">
        <v>0</v>
      </c>
      <c r="X323" s="1423">
        <f t="shared" si="122"/>
        <v>0</v>
      </c>
      <c r="Y323" s="1423"/>
      <c r="Z323" s="1423"/>
      <c r="AA323" s="1423"/>
    </row>
    <row r="324" spans="1:27" s="1566" customFormat="1" ht="57.75" hidden="1" customHeight="1">
      <c r="A324" s="2204">
        <f>A323+1</f>
        <v>4</v>
      </c>
      <c r="B324" s="1889" t="s">
        <v>1605</v>
      </c>
      <c r="C324" s="1866"/>
      <c r="D324" s="1602">
        <f t="shared" si="123"/>
        <v>1176</v>
      </c>
      <c r="E324" s="2208"/>
      <c r="F324" s="1619">
        <v>1176</v>
      </c>
      <c r="G324" s="1602">
        <f t="shared" si="112"/>
        <v>1176</v>
      </c>
      <c r="H324" s="2208"/>
      <c r="I324" s="1619">
        <v>1176</v>
      </c>
      <c r="J324" s="1602">
        <f t="shared" si="113"/>
        <v>1176</v>
      </c>
      <c r="K324" s="2208"/>
      <c r="L324" s="1619">
        <v>1176</v>
      </c>
      <c r="M324" s="1604">
        <f t="shared" si="114"/>
        <v>100</v>
      </c>
      <c r="N324" s="1600">
        <f t="shared" si="114"/>
        <v>0</v>
      </c>
      <c r="O324" s="1619">
        <f t="shared" si="114"/>
        <v>100</v>
      </c>
      <c r="P324" s="1599"/>
      <c r="Q324" s="1599"/>
      <c r="R324" s="1602">
        <f t="shared" si="120"/>
        <v>0</v>
      </c>
      <c r="S324" s="1619">
        <v>0</v>
      </c>
      <c r="T324" s="1619">
        <v>0</v>
      </c>
      <c r="U324" s="1602">
        <f t="shared" si="121"/>
        <v>0</v>
      </c>
      <c r="V324" s="1619">
        <v>0</v>
      </c>
      <c r="W324" s="1619">
        <v>0</v>
      </c>
      <c r="X324" s="1423">
        <f t="shared" si="122"/>
        <v>0</v>
      </c>
      <c r="Y324" s="1423"/>
      <c r="Z324" s="1423"/>
      <c r="AA324" s="1423"/>
    </row>
    <row r="325" spans="1:27" s="1566" customFormat="1" ht="55.5" hidden="1" customHeight="1">
      <c r="A325" s="2204">
        <f>A324+1</f>
        <v>5</v>
      </c>
      <c r="B325" s="1889" t="s">
        <v>1572</v>
      </c>
      <c r="C325" s="1866"/>
      <c r="D325" s="1602">
        <f t="shared" si="123"/>
        <v>3822</v>
      </c>
      <c r="E325" s="2208"/>
      <c r="F325" s="1619">
        <v>3822</v>
      </c>
      <c r="G325" s="1602">
        <f t="shared" si="112"/>
        <v>3822</v>
      </c>
      <c r="H325" s="2208"/>
      <c r="I325" s="1619">
        <v>3822</v>
      </c>
      <c r="J325" s="1602">
        <f t="shared" si="113"/>
        <v>3822</v>
      </c>
      <c r="K325" s="2208"/>
      <c r="L325" s="1619">
        <v>3822</v>
      </c>
      <c r="M325" s="1602">
        <f t="shared" si="114"/>
        <v>100</v>
      </c>
      <c r="N325" s="1600">
        <f t="shared" si="114"/>
        <v>0</v>
      </c>
      <c r="O325" s="1619">
        <f t="shared" si="114"/>
        <v>100</v>
      </c>
      <c r="P325" s="1599"/>
      <c r="Q325" s="1599"/>
      <c r="R325" s="1602">
        <f t="shared" si="120"/>
        <v>0</v>
      </c>
      <c r="S325" s="1619">
        <v>0</v>
      </c>
      <c r="T325" s="1619">
        <v>0</v>
      </c>
      <c r="U325" s="1602">
        <f t="shared" si="121"/>
        <v>0</v>
      </c>
      <c r="V325" s="1619">
        <v>0</v>
      </c>
      <c r="W325" s="1619">
        <v>0</v>
      </c>
      <c r="X325" s="1423">
        <f t="shared" si="122"/>
        <v>0</v>
      </c>
      <c r="Y325" s="1423"/>
      <c r="Z325" s="1423"/>
      <c r="AA325" s="1423"/>
    </row>
    <row r="326" spans="1:27" s="1566" customFormat="1" ht="39.75" hidden="1" customHeight="1">
      <c r="A326" s="2204">
        <f>A325+1</f>
        <v>6</v>
      </c>
      <c r="B326" s="1889" t="s">
        <v>1570</v>
      </c>
      <c r="C326" s="1866"/>
      <c r="D326" s="1602">
        <f t="shared" si="123"/>
        <v>4116</v>
      </c>
      <c r="E326" s="2208"/>
      <c r="F326" s="1619">
        <v>4116</v>
      </c>
      <c r="G326" s="1602">
        <f t="shared" si="112"/>
        <v>4116</v>
      </c>
      <c r="H326" s="2208"/>
      <c r="I326" s="1619">
        <v>4116</v>
      </c>
      <c r="J326" s="1602">
        <f t="shared" si="113"/>
        <v>4116</v>
      </c>
      <c r="K326" s="2208"/>
      <c r="L326" s="1619">
        <v>4116</v>
      </c>
      <c r="M326" s="1602">
        <f t="shared" si="114"/>
        <v>100</v>
      </c>
      <c r="N326" s="1600">
        <f t="shared" si="114"/>
        <v>0</v>
      </c>
      <c r="O326" s="1619">
        <f t="shared" si="114"/>
        <v>100</v>
      </c>
      <c r="P326" s="1599"/>
      <c r="Q326" s="1599"/>
      <c r="R326" s="1602">
        <f t="shared" si="120"/>
        <v>0</v>
      </c>
      <c r="S326" s="1619">
        <v>0</v>
      </c>
      <c r="T326" s="1619">
        <v>0</v>
      </c>
      <c r="U326" s="1602">
        <f t="shared" si="121"/>
        <v>0</v>
      </c>
      <c r="V326" s="1619">
        <v>0</v>
      </c>
      <c r="W326" s="1619">
        <v>0</v>
      </c>
      <c r="X326" s="1423">
        <f t="shared" si="122"/>
        <v>0</v>
      </c>
      <c r="Y326" s="1423"/>
      <c r="Z326" s="1423"/>
      <c r="AA326" s="1423"/>
    </row>
    <row r="327" spans="1:27" s="1566" customFormat="1" ht="39" hidden="1" customHeight="1">
      <c r="A327" s="2204">
        <f>A326+1</f>
        <v>7</v>
      </c>
      <c r="B327" s="1905" t="s">
        <v>1569</v>
      </c>
      <c r="C327" s="1906"/>
      <c r="D327" s="1602">
        <f t="shared" si="123"/>
        <v>19450</v>
      </c>
      <c r="E327" s="1600"/>
      <c r="F327" s="1619">
        <v>19450</v>
      </c>
      <c r="G327" s="1602">
        <f t="shared" si="112"/>
        <v>19450</v>
      </c>
      <c r="H327" s="1600"/>
      <c r="I327" s="1619">
        <v>19450</v>
      </c>
      <c r="J327" s="1602">
        <f t="shared" si="113"/>
        <v>14157.5</v>
      </c>
      <c r="K327" s="1600"/>
      <c r="L327" s="1619">
        <v>14157.5</v>
      </c>
      <c r="M327" s="1602">
        <f t="shared" si="114"/>
        <v>72.8</v>
      </c>
      <c r="N327" s="1600">
        <f t="shared" si="114"/>
        <v>0</v>
      </c>
      <c r="O327" s="1619">
        <f t="shared" si="114"/>
        <v>72.8</v>
      </c>
      <c r="P327" s="1599"/>
      <c r="Q327" s="1599"/>
      <c r="R327" s="1602">
        <f t="shared" si="120"/>
        <v>0</v>
      </c>
      <c r="S327" s="1619">
        <v>0</v>
      </c>
      <c r="T327" s="1619">
        <v>0</v>
      </c>
      <c r="U327" s="1602">
        <f t="shared" si="121"/>
        <v>0</v>
      </c>
      <c r="V327" s="1619">
        <v>0</v>
      </c>
      <c r="W327" s="1619">
        <v>0</v>
      </c>
      <c r="X327" s="1423">
        <f t="shared" si="122"/>
        <v>0</v>
      </c>
      <c r="Y327" s="1423"/>
      <c r="Z327" s="1423"/>
      <c r="AA327" s="1423"/>
    </row>
    <row r="328" spans="1:27" s="1566" customFormat="1" ht="63.75" hidden="1" customHeight="1">
      <c r="A328" s="2204">
        <v>8</v>
      </c>
      <c r="B328" s="1926" t="s">
        <v>1708</v>
      </c>
      <c r="C328" s="1906"/>
      <c r="D328" s="1602">
        <f>SUM(E328:F328)</f>
        <v>0</v>
      </c>
      <c r="E328" s="1600"/>
      <c r="F328" s="1619">
        <v>0</v>
      </c>
      <c r="G328" s="1602">
        <f>SUM(H328:I328)</f>
        <v>0</v>
      </c>
      <c r="H328" s="1600"/>
      <c r="I328" s="1619">
        <v>0</v>
      </c>
      <c r="J328" s="1602">
        <f>SUM(K328:L328)</f>
        <v>0</v>
      </c>
      <c r="K328" s="1600"/>
      <c r="L328" s="1619"/>
      <c r="M328" s="1602">
        <f t="shared" si="114"/>
        <v>0</v>
      </c>
      <c r="N328" s="1600">
        <f t="shared" si="114"/>
        <v>0</v>
      </c>
      <c r="O328" s="1619">
        <f t="shared" si="114"/>
        <v>0</v>
      </c>
      <c r="P328" s="1599"/>
      <c r="Q328" s="1599"/>
      <c r="R328" s="1602"/>
      <c r="S328" s="1619"/>
      <c r="T328" s="1619"/>
      <c r="U328" s="1602"/>
      <c r="V328" s="1619"/>
      <c r="W328" s="1619"/>
      <c r="X328" s="1423">
        <f t="shared" si="122"/>
        <v>0</v>
      </c>
      <c r="Y328" s="1423"/>
      <c r="Z328" s="1423"/>
      <c r="AA328" s="1423"/>
    </row>
    <row r="329" spans="1:27" s="1566" customFormat="1" ht="23.25" hidden="1">
      <c r="A329" s="2204"/>
      <c r="B329" s="2206" t="s">
        <v>615</v>
      </c>
      <c r="C329" s="1866">
        <v>24340</v>
      </c>
      <c r="D329" s="1600">
        <f t="shared" si="123"/>
        <v>3280</v>
      </c>
      <c r="E329" s="2208">
        <f>SUM(E330)</f>
        <v>0</v>
      </c>
      <c r="F329" s="2208">
        <f>SUM(F330)</f>
        <v>3280</v>
      </c>
      <c r="G329" s="1600">
        <f t="shared" si="112"/>
        <v>3280</v>
      </c>
      <c r="H329" s="2208">
        <f>SUM(H330)</f>
        <v>0</v>
      </c>
      <c r="I329" s="2208">
        <f>SUM(I330)</f>
        <v>3280</v>
      </c>
      <c r="J329" s="1600">
        <f t="shared" si="113"/>
        <v>0</v>
      </c>
      <c r="K329" s="2208">
        <f>SUM(K330)</f>
        <v>0</v>
      </c>
      <c r="L329" s="2208">
        <f>SUM(L330)</f>
        <v>0</v>
      </c>
      <c r="M329" s="1604">
        <f t="shared" ref="M329:O396" si="124">IF(J329=0,0,J329/G329*100)</f>
        <v>0</v>
      </c>
      <c r="N329" s="1881">
        <f t="shared" si="124"/>
        <v>0</v>
      </c>
      <c r="O329" s="1881">
        <f t="shared" si="124"/>
        <v>0</v>
      </c>
      <c r="P329" s="1599"/>
      <c r="Q329" s="1599"/>
      <c r="R329" s="1602">
        <f t="shared" si="120"/>
        <v>0</v>
      </c>
      <c r="S329" s="1619">
        <v>0</v>
      </c>
      <c r="T329" s="1619">
        <v>0</v>
      </c>
      <c r="U329" s="1602">
        <f t="shared" si="121"/>
        <v>0</v>
      </c>
      <c r="V329" s="1600">
        <v>0</v>
      </c>
      <c r="W329" s="1600">
        <v>0</v>
      </c>
      <c r="X329" s="1423">
        <f t="shared" si="122"/>
        <v>0</v>
      </c>
      <c r="Y329" s="1423"/>
      <c r="Z329" s="1423"/>
      <c r="AA329" s="1423"/>
    </row>
    <row r="330" spans="1:27" s="1566" customFormat="1" ht="96" hidden="1" customHeight="1">
      <c r="A330" s="2204">
        <v>9</v>
      </c>
      <c r="B330" s="1926" t="s">
        <v>1420</v>
      </c>
      <c r="C330" s="1866">
        <v>24340</v>
      </c>
      <c r="D330" s="1600">
        <f t="shared" si="123"/>
        <v>3280</v>
      </c>
      <c r="E330" s="1608"/>
      <c r="F330" s="1608">
        <f>3840-560</f>
        <v>3280</v>
      </c>
      <c r="G330" s="1600">
        <f t="shared" si="112"/>
        <v>3280</v>
      </c>
      <c r="H330" s="1608"/>
      <c r="I330" s="1608">
        <f>3840-560</f>
        <v>3280</v>
      </c>
      <c r="J330" s="1600">
        <f t="shared" si="113"/>
        <v>0</v>
      </c>
      <c r="K330" s="1608"/>
      <c r="L330" s="1608"/>
      <c r="M330" s="1604">
        <f t="shared" si="124"/>
        <v>0</v>
      </c>
      <c r="N330" s="1881">
        <f t="shared" si="124"/>
        <v>0</v>
      </c>
      <c r="O330" s="1881">
        <f t="shared" si="124"/>
        <v>0</v>
      </c>
      <c r="P330" s="1599"/>
      <c r="Q330" s="1599"/>
      <c r="R330" s="1602">
        <f t="shared" si="120"/>
        <v>0</v>
      </c>
      <c r="S330" s="1619">
        <v>0</v>
      </c>
      <c r="T330" s="1619">
        <v>0</v>
      </c>
      <c r="U330" s="1602">
        <f t="shared" si="121"/>
        <v>0</v>
      </c>
      <c r="V330" s="1619">
        <v>0</v>
      </c>
      <c r="W330" s="1619">
        <v>0</v>
      </c>
      <c r="X330" s="1423">
        <f t="shared" si="122"/>
        <v>0</v>
      </c>
      <c r="Y330" s="1423"/>
      <c r="Z330" s="1423"/>
      <c r="AA330" s="1423"/>
    </row>
    <row r="331" spans="1:27" s="1566" customFormat="1" ht="21" hidden="1" customHeight="1">
      <c r="A331" s="2204"/>
      <c r="B331" s="2206" t="s">
        <v>431</v>
      </c>
      <c r="C331" s="1866"/>
      <c r="D331" s="1602">
        <f t="shared" si="123"/>
        <v>0</v>
      </c>
      <c r="E331" s="2208">
        <f>SUM(E332)</f>
        <v>0</v>
      </c>
      <c r="F331" s="2208">
        <f>SUM(F332)</f>
        <v>0</v>
      </c>
      <c r="G331" s="1602">
        <f t="shared" si="112"/>
        <v>0</v>
      </c>
      <c r="H331" s="2208">
        <f>SUM(H332)</f>
        <v>0</v>
      </c>
      <c r="I331" s="2208">
        <f>SUM(I332)</f>
        <v>0</v>
      </c>
      <c r="J331" s="1602">
        <f t="shared" si="113"/>
        <v>0</v>
      </c>
      <c r="K331" s="2208">
        <f>SUM(K332)</f>
        <v>0</v>
      </c>
      <c r="L331" s="2208">
        <f>SUM(L332)</f>
        <v>0</v>
      </c>
      <c r="M331" s="1604">
        <f t="shared" si="124"/>
        <v>0</v>
      </c>
      <c r="N331" s="1881">
        <f t="shared" si="124"/>
        <v>0</v>
      </c>
      <c r="O331" s="1881">
        <f t="shared" si="124"/>
        <v>0</v>
      </c>
      <c r="P331" s="1940"/>
      <c r="Q331" s="2203"/>
      <c r="R331" s="1602">
        <f>SUM(S331:T331)</f>
        <v>700</v>
      </c>
      <c r="S331" s="2208">
        <f>SUM(S332)</f>
        <v>0</v>
      </c>
      <c r="T331" s="2208">
        <f>SUM(T332)</f>
        <v>700</v>
      </c>
      <c r="U331" s="1602">
        <f>SUM(V331:W331)</f>
        <v>0</v>
      </c>
      <c r="V331" s="2208">
        <f>SUM(V332)</f>
        <v>0</v>
      </c>
      <c r="W331" s="2208">
        <f>SUM(W332)</f>
        <v>0</v>
      </c>
      <c r="X331" s="1423">
        <f t="shared" si="122"/>
        <v>0</v>
      </c>
      <c r="Y331" s="1423"/>
      <c r="Z331" s="1423"/>
      <c r="AA331" s="1423"/>
    </row>
    <row r="332" spans="1:27" s="1566" customFormat="1" ht="38.25" hidden="1" customHeight="1">
      <c r="A332" s="2204">
        <f>A330+1</f>
        <v>10</v>
      </c>
      <c r="B332" s="1926" t="s">
        <v>1664</v>
      </c>
      <c r="C332" s="1866">
        <v>24340</v>
      </c>
      <c r="D332" s="1602">
        <f t="shared" si="123"/>
        <v>0</v>
      </c>
      <c r="E332" s="1608"/>
      <c r="F332" s="1608">
        <v>0</v>
      </c>
      <c r="G332" s="1602">
        <f t="shared" si="112"/>
        <v>0</v>
      </c>
      <c r="H332" s="1608"/>
      <c r="I332" s="1608">
        <v>0</v>
      </c>
      <c r="J332" s="1602">
        <f t="shared" si="113"/>
        <v>0</v>
      </c>
      <c r="K332" s="1608"/>
      <c r="L332" s="1608"/>
      <c r="M332" s="1604">
        <f t="shared" si="124"/>
        <v>0</v>
      </c>
      <c r="N332" s="1881">
        <f t="shared" si="124"/>
        <v>0</v>
      </c>
      <c r="O332" s="1881">
        <f t="shared" si="124"/>
        <v>0</v>
      </c>
      <c r="P332" s="1940"/>
      <c r="Q332" s="2203"/>
      <c r="R332" s="1602">
        <f>SUM(S332:T332)</f>
        <v>700</v>
      </c>
      <c r="S332" s="1616">
        <v>0</v>
      </c>
      <c r="T332" s="1616">
        <v>700</v>
      </c>
      <c r="U332" s="1602">
        <f>SUM(V332:W332)</f>
        <v>0</v>
      </c>
      <c r="V332" s="1616">
        <v>0</v>
      </c>
      <c r="W332" s="1616">
        <v>0</v>
      </c>
      <c r="X332" s="1423">
        <f t="shared" si="122"/>
        <v>0</v>
      </c>
      <c r="Y332" s="1423"/>
      <c r="Z332" s="1423"/>
      <c r="AA332" s="1423"/>
    </row>
    <row r="333" spans="1:27" s="1566" customFormat="1" ht="23.25" hidden="1">
      <c r="A333" s="2204"/>
      <c r="B333" s="1974" t="s">
        <v>1688</v>
      </c>
      <c r="C333" s="1866"/>
      <c r="D333" s="1602">
        <f>SUM(E333:F333)</f>
        <v>1490</v>
      </c>
      <c r="E333" s="2208">
        <f>SUM(E334)</f>
        <v>0</v>
      </c>
      <c r="F333" s="2208">
        <f>SUM(F334)</f>
        <v>1490</v>
      </c>
      <c r="G333" s="1602">
        <f>SUM(H333:I333)</f>
        <v>1490</v>
      </c>
      <c r="H333" s="2208">
        <f>SUM(H334)</f>
        <v>0</v>
      </c>
      <c r="I333" s="2208">
        <f>SUM(I334)</f>
        <v>1490</v>
      </c>
      <c r="J333" s="1602">
        <f>SUM(K333:L333)</f>
        <v>1490</v>
      </c>
      <c r="K333" s="2208">
        <f>SUM(K334)</f>
        <v>0</v>
      </c>
      <c r="L333" s="2208">
        <f>SUM(L334)</f>
        <v>1490</v>
      </c>
      <c r="M333" s="1604">
        <f t="shared" si="124"/>
        <v>100</v>
      </c>
      <c r="N333" s="1881">
        <f t="shared" si="124"/>
        <v>0</v>
      </c>
      <c r="O333" s="1881">
        <f t="shared" si="124"/>
        <v>100</v>
      </c>
      <c r="P333" s="1940"/>
      <c r="Q333" s="2203"/>
      <c r="R333" s="1602"/>
      <c r="S333" s="1616"/>
      <c r="T333" s="1616"/>
      <c r="U333" s="1602"/>
      <c r="V333" s="1616"/>
      <c r="W333" s="1616"/>
      <c r="X333" s="1423">
        <f t="shared" si="122"/>
        <v>0</v>
      </c>
      <c r="Y333" s="1423"/>
      <c r="Z333" s="1423"/>
      <c r="AA333" s="1423"/>
    </row>
    <row r="334" spans="1:27" s="1566" customFormat="1" ht="112.5" hidden="1">
      <c r="A334" s="2204">
        <v>11</v>
      </c>
      <c r="B334" s="1926" t="s">
        <v>1689</v>
      </c>
      <c r="C334" s="1866"/>
      <c r="D334" s="1602">
        <f>SUM(E334:F334)</f>
        <v>1490</v>
      </c>
      <c r="E334" s="1608"/>
      <c r="F334" s="1608">
        <v>1490</v>
      </c>
      <c r="G334" s="1602">
        <f>SUM(H334:I334)</f>
        <v>1490</v>
      </c>
      <c r="H334" s="1608"/>
      <c r="I334" s="1608">
        <v>1490</v>
      </c>
      <c r="J334" s="1602">
        <f>SUM(K334:L334)</f>
        <v>1490</v>
      </c>
      <c r="K334" s="1608"/>
      <c r="L334" s="1608">
        <v>1490</v>
      </c>
      <c r="M334" s="1604">
        <f t="shared" si="124"/>
        <v>100</v>
      </c>
      <c r="N334" s="1881">
        <f t="shared" si="124"/>
        <v>0</v>
      </c>
      <c r="O334" s="1881">
        <f t="shared" si="124"/>
        <v>100</v>
      </c>
      <c r="P334" s="1940"/>
      <c r="Q334" s="2203"/>
      <c r="R334" s="1602"/>
      <c r="S334" s="1616"/>
      <c r="T334" s="1616"/>
      <c r="U334" s="1602"/>
      <c r="V334" s="1616"/>
      <c r="W334" s="1616"/>
      <c r="X334" s="1423">
        <f t="shared" si="122"/>
        <v>0</v>
      </c>
      <c r="Y334" s="1423"/>
      <c r="Z334" s="1423"/>
      <c r="AA334" s="1423"/>
    </row>
    <row r="335" spans="1:27" s="1566" customFormat="1" ht="24" hidden="1" customHeight="1">
      <c r="A335" s="2204"/>
      <c r="B335" s="2206" t="s">
        <v>46</v>
      </c>
      <c r="C335" s="1866"/>
      <c r="D335" s="1602">
        <f t="shared" si="123"/>
        <v>0</v>
      </c>
      <c r="E335" s="2208">
        <f>SUM(E336)</f>
        <v>0</v>
      </c>
      <c r="F335" s="2208">
        <f>SUM(F336)</f>
        <v>0</v>
      </c>
      <c r="G335" s="1602">
        <f t="shared" si="112"/>
        <v>0</v>
      </c>
      <c r="H335" s="2208">
        <f>SUM(H336)</f>
        <v>0</v>
      </c>
      <c r="I335" s="2208">
        <f>SUM(I336)</f>
        <v>0</v>
      </c>
      <c r="J335" s="1602">
        <f t="shared" si="113"/>
        <v>0</v>
      </c>
      <c r="K335" s="2208">
        <f>SUM(K336)</f>
        <v>0</v>
      </c>
      <c r="L335" s="2208">
        <f>SUM(L336)</f>
        <v>0</v>
      </c>
      <c r="M335" s="1604">
        <f t="shared" si="124"/>
        <v>0</v>
      </c>
      <c r="N335" s="1881">
        <f t="shared" si="124"/>
        <v>0</v>
      </c>
      <c r="O335" s="1881">
        <f t="shared" si="124"/>
        <v>0</v>
      </c>
      <c r="P335" s="1940"/>
      <c r="Q335" s="2203"/>
      <c r="R335" s="1602">
        <f>SUM(S335:T335)</f>
        <v>0</v>
      </c>
      <c r="S335" s="2208">
        <f>SUM(S336)</f>
        <v>0</v>
      </c>
      <c r="T335" s="2208">
        <f>SUM(T336)</f>
        <v>0</v>
      </c>
      <c r="U335" s="1602">
        <f>SUM(V335:W335)</f>
        <v>0</v>
      </c>
      <c r="V335" s="2208">
        <f>SUM(V336)</f>
        <v>0</v>
      </c>
      <c r="W335" s="2208">
        <f>SUM(W336)</f>
        <v>0</v>
      </c>
      <c r="X335" s="1423">
        <f t="shared" si="122"/>
        <v>0</v>
      </c>
      <c r="Y335" s="1423"/>
      <c r="Z335" s="1423"/>
      <c r="AA335" s="1423"/>
    </row>
    <row r="336" spans="1:27" s="1566" customFormat="1" ht="64.5" hidden="1" customHeight="1">
      <c r="A336" s="2204">
        <v>12</v>
      </c>
      <c r="B336" s="1926" t="s">
        <v>1638</v>
      </c>
      <c r="C336" s="1866">
        <v>24340</v>
      </c>
      <c r="D336" s="1602">
        <f t="shared" si="123"/>
        <v>0</v>
      </c>
      <c r="E336" s="1608"/>
      <c r="F336" s="1608">
        <v>0</v>
      </c>
      <c r="G336" s="1602">
        <f t="shared" si="112"/>
        <v>0</v>
      </c>
      <c r="H336" s="1608"/>
      <c r="I336" s="1608">
        <v>0</v>
      </c>
      <c r="J336" s="1602">
        <f t="shared" si="113"/>
        <v>0</v>
      </c>
      <c r="K336" s="1608"/>
      <c r="L336" s="1608"/>
      <c r="M336" s="1604">
        <f t="shared" si="124"/>
        <v>0</v>
      </c>
      <c r="N336" s="1881">
        <f t="shared" si="124"/>
        <v>0</v>
      </c>
      <c r="O336" s="1881">
        <f t="shared" si="124"/>
        <v>0</v>
      </c>
      <c r="P336" s="1940"/>
      <c r="Q336" s="2203"/>
      <c r="R336" s="1602">
        <f>SUM(S336:T336)</f>
        <v>0</v>
      </c>
      <c r="S336" s="1616">
        <v>0</v>
      </c>
      <c r="T336" s="1616">
        <v>0</v>
      </c>
      <c r="U336" s="1602">
        <f>SUM(V336:W336)</f>
        <v>0</v>
      </c>
      <c r="V336" s="1616">
        <v>0</v>
      </c>
      <c r="W336" s="1616">
        <v>0</v>
      </c>
      <c r="X336" s="1423">
        <f t="shared" si="122"/>
        <v>0</v>
      </c>
      <c r="Y336" s="1423"/>
      <c r="Z336" s="1423"/>
      <c r="AA336" s="1423"/>
    </row>
    <row r="337" spans="1:28" s="1566" customFormat="1" ht="75" hidden="1">
      <c r="A337" s="2204" t="s">
        <v>2</v>
      </c>
      <c r="B337" s="1927" t="s">
        <v>222</v>
      </c>
      <c r="C337" s="1873"/>
      <c r="D337" s="1861">
        <f>SUM(E337:F337)</f>
        <v>2377762.6</v>
      </c>
      <c r="E337" s="1861">
        <f>SUM(E341,E338)</f>
        <v>1923763.3</v>
      </c>
      <c r="F337" s="1861">
        <f>SUM(F341,F338)</f>
        <v>453999.3</v>
      </c>
      <c r="G337" s="1861">
        <f>SUM(H337:I337)</f>
        <v>2148975.1</v>
      </c>
      <c r="H337" s="1861">
        <f>SUM(H341,H338)</f>
        <v>1777654.6</v>
      </c>
      <c r="I337" s="1861">
        <f>SUM(I341,I338)</f>
        <v>371320.5</v>
      </c>
      <c r="J337" s="1861">
        <f>SUM(K337:L337)</f>
        <v>1920246</v>
      </c>
      <c r="K337" s="1861">
        <f>SUM(K341,K338)</f>
        <v>1610705.3</v>
      </c>
      <c r="L337" s="1861">
        <f>SUM(L341,L338)</f>
        <v>309540.7</v>
      </c>
      <c r="M337" s="1861">
        <f t="shared" si="124"/>
        <v>89.4</v>
      </c>
      <c r="N337" s="1861">
        <f t="shared" si="124"/>
        <v>90.6</v>
      </c>
      <c r="O337" s="1861">
        <f t="shared" si="124"/>
        <v>83.4</v>
      </c>
      <c r="P337" s="1861">
        <f>SUM(P341,P338)</f>
        <v>0</v>
      </c>
      <c r="Q337" s="1861">
        <f>SUM(Q341,Q338)</f>
        <v>0</v>
      </c>
      <c r="R337" s="1861">
        <f>SUM(S337:T337)</f>
        <v>996548</v>
      </c>
      <c r="S337" s="1861">
        <f>SUM(S341,S338)</f>
        <v>658766.30000000005</v>
      </c>
      <c r="T337" s="1861">
        <f>SUM(T341,T338)</f>
        <v>337781.7</v>
      </c>
      <c r="U337" s="1861">
        <f>SUM(V337:W337)</f>
        <v>359443.8</v>
      </c>
      <c r="V337" s="1861">
        <f>SUM(V341,V338)</f>
        <v>15000</v>
      </c>
      <c r="W337" s="1861">
        <f>SUM(W341,W338)</f>
        <v>344443.8</v>
      </c>
      <c r="X337" s="1423">
        <f t="shared" si="122"/>
        <v>228787.5</v>
      </c>
      <c r="Y337" s="1423"/>
      <c r="Z337" s="1423"/>
      <c r="AA337" s="1423"/>
      <c r="AB337" s="1815"/>
    </row>
    <row r="338" spans="1:28" s="1566" customFormat="1" ht="37.5" hidden="1">
      <c r="A338" s="2204" t="s">
        <v>246</v>
      </c>
      <c r="B338" s="1876" t="s">
        <v>1393</v>
      </c>
      <c r="C338" s="1877"/>
      <c r="D338" s="1598">
        <f>SUM(E338:F338)</f>
        <v>128750</v>
      </c>
      <c r="E338" s="1598">
        <f>SUM(E339:E340)</f>
        <v>0</v>
      </c>
      <c r="F338" s="1598">
        <f>SUM(F339:F340)</f>
        <v>128750</v>
      </c>
      <c r="G338" s="1598">
        <f t="shared" si="112"/>
        <v>128750</v>
      </c>
      <c r="H338" s="1598">
        <f>SUM(H339:H340)</f>
        <v>0</v>
      </c>
      <c r="I338" s="1598">
        <f>SUM(I339:I340)</f>
        <v>128750</v>
      </c>
      <c r="J338" s="1598">
        <f t="shared" ref="J338:J388" si="125">SUM(K338:L338)</f>
        <v>82697.399999999994</v>
      </c>
      <c r="K338" s="1598">
        <f>SUM(K339:K340)</f>
        <v>0</v>
      </c>
      <c r="L338" s="1598">
        <f>SUM(L339:L340)</f>
        <v>82697.399999999994</v>
      </c>
      <c r="M338" s="1598">
        <f t="shared" si="124"/>
        <v>64.2</v>
      </c>
      <c r="N338" s="1598">
        <f t="shared" si="124"/>
        <v>0</v>
      </c>
      <c r="O338" s="1598">
        <f t="shared" si="124"/>
        <v>64.2</v>
      </c>
      <c r="P338" s="1598">
        <f t="shared" ref="P338:V338" si="126">SUM(P339:P340)</f>
        <v>0</v>
      </c>
      <c r="Q338" s="1598">
        <f t="shared" si="126"/>
        <v>0</v>
      </c>
      <c r="R338" s="1598">
        <f t="shared" si="126"/>
        <v>60800</v>
      </c>
      <c r="S338" s="1598">
        <f t="shared" si="126"/>
        <v>0</v>
      </c>
      <c r="T338" s="1598">
        <f t="shared" si="126"/>
        <v>60800</v>
      </c>
      <c r="U338" s="1598">
        <f t="shared" si="126"/>
        <v>60800</v>
      </c>
      <c r="V338" s="1598">
        <f t="shared" si="126"/>
        <v>0</v>
      </c>
      <c r="W338" s="1598">
        <f>W339+W340</f>
        <v>60800</v>
      </c>
      <c r="X338" s="1423">
        <f t="shared" si="122"/>
        <v>0</v>
      </c>
      <c r="Y338" s="1423"/>
      <c r="Z338" s="1423"/>
      <c r="AA338" s="1423"/>
    </row>
    <row r="339" spans="1:28" ht="25.5" hidden="1" customHeight="1">
      <c r="A339" s="2204"/>
      <c r="B339" s="524" t="s">
        <v>263</v>
      </c>
      <c r="C339" s="1928">
        <v>10001</v>
      </c>
      <c r="D339" s="1602">
        <f>SUM(E339:F339)</f>
        <v>128050</v>
      </c>
      <c r="E339" s="1629">
        <v>0</v>
      </c>
      <c r="F339" s="1629">
        <f>138050-10000.04</f>
        <v>128050</v>
      </c>
      <c r="G339" s="1602">
        <f t="shared" si="112"/>
        <v>128050</v>
      </c>
      <c r="H339" s="1629">
        <v>0</v>
      </c>
      <c r="I339" s="1629">
        <f>F339</f>
        <v>128050</v>
      </c>
      <c r="J339" s="1602">
        <f t="shared" si="125"/>
        <v>82471.399999999994</v>
      </c>
      <c r="K339" s="1629">
        <v>0</v>
      </c>
      <c r="L339" s="1629">
        <v>82471.399999999994</v>
      </c>
      <c r="M339" s="1893">
        <f t="shared" si="124"/>
        <v>64.400000000000006</v>
      </c>
      <c r="N339" s="1894">
        <f t="shared" si="124"/>
        <v>0</v>
      </c>
      <c r="O339" s="1894">
        <f t="shared" si="124"/>
        <v>64.400000000000006</v>
      </c>
      <c r="P339" s="1940"/>
      <c r="Q339" s="2203" t="s">
        <v>1103</v>
      </c>
      <c r="R339" s="1600">
        <f t="shared" ref="R339:R352" si="127">SUM(S339:T339)</f>
        <v>60000</v>
      </c>
      <c r="S339" s="1629"/>
      <c r="T339" s="1629">
        <v>60000</v>
      </c>
      <c r="U339" s="1600">
        <f t="shared" ref="U339:U352" si="128">SUM(V339:W339)</f>
        <v>60000</v>
      </c>
      <c r="V339" s="1629">
        <v>0</v>
      </c>
      <c r="W339" s="1629">
        <v>60000</v>
      </c>
      <c r="X339" s="1423">
        <f t="shared" si="122"/>
        <v>0</v>
      </c>
      <c r="Y339" s="1423"/>
      <c r="Z339" s="1423"/>
      <c r="AA339" s="1423"/>
    </row>
    <row r="340" spans="1:28" ht="42" hidden="1" customHeight="1">
      <c r="A340" s="2204"/>
      <c r="B340" s="524" t="s">
        <v>268</v>
      </c>
      <c r="C340" s="1928">
        <v>10044</v>
      </c>
      <c r="D340" s="1602">
        <f t="shared" si="123"/>
        <v>700</v>
      </c>
      <c r="E340" s="1629">
        <v>0</v>
      </c>
      <c r="F340" s="1629">
        <f>700</f>
        <v>700</v>
      </c>
      <c r="G340" s="1602">
        <f t="shared" si="112"/>
        <v>700</v>
      </c>
      <c r="H340" s="1629">
        <v>0</v>
      </c>
      <c r="I340" s="1629">
        <v>700</v>
      </c>
      <c r="J340" s="1602">
        <f t="shared" si="125"/>
        <v>226</v>
      </c>
      <c r="K340" s="1629">
        <v>0</v>
      </c>
      <c r="L340" s="1629">
        <f>18+58+150</f>
        <v>226</v>
      </c>
      <c r="M340" s="1893">
        <f t="shared" si="124"/>
        <v>32.299999999999997</v>
      </c>
      <c r="N340" s="1894">
        <f t="shared" si="124"/>
        <v>0</v>
      </c>
      <c r="O340" s="1894">
        <f t="shared" si="124"/>
        <v>32.299999999999997</v>
      </c>
      <c r="P340" s="1940"/>
      <c r="Q340" s="2203" t="s">
        <v>1103</v>
      </c>
      <c r="R340" s="1602">
        <f>SUM(S340:T340)</f>
        <v>800</v>
      </c>
      <c r="S340" s="1629">
        <v>0</v>
      </c>
      <c r="T340" s="1629">
        <v>800</v>
      </c>
      <c r="U340" s="1602">
        <f t="shared" si="128"/>
        <v>800</v>
      </c>
      <c r="V340" s="1629">
        <v>0</v>
      </c>
      <c r="W340" s="1629">
        <v>800</v>
      </c>
      <c r="X340" s="1423">
        <f t="shared" si="122"/>
        <v>0</v>
      </c>
      <c r="Y340" s="1423"/>
      <c r="Z340" s="1423"/>
      <c r="AA340" s="1423"/>
    </row>
    <row r="341" spans="1:28" ht="40.5" hidden="1" customHeight="1">
      <c r="A341" s="2204" t="s">
        <v>249</v>
      </c>
      <c r="B341" s="1876" t="s">
        <v>1394</v>
      </c>
      <c r="C341" s="1877"/>
      <c r="D341" s="1598">
        <f t="shared" si="123"/>
        <v>2249012.6</v>
      </c>
      <c r="E341" s="1598">
        <f>E342+E351+E353+E356+E361+E358</f>
        <v>1923763.3</v>
      </c>
      <c r="F341" s="1598">
        <f>F342+F351+F353+F356+F361+F358</f>
        <v>325249.3</v>
      </c>
      <c r="G341" s="1598">
        <f>SUM(H341:I341)</f>
        <v>2020225.1</v>
      </c>
      <c r="H341" s="1598">
        <f>H342+H351+H353+H356+H361+H358</f>
        <v>1777654.6</v>
      </c>
      <c r="I341" s="1598">
        <f>I342+I351+I353+I356+I361+I358</f>
        <v>242570.5</v>
      </c>
      <c r="J341" s="1598">
        <f t="shared" si="125"/>
        <v>1837548.6</v>
      </c>
      <c r="K341" s="1598">
        <f>K342+K351+K353+K356+K361+K358</f>
        <v>1610705.3</v>
      </c>
      <c r="L341" s="1598">
        <f>L342+L351+L353+L356+L361+L358</f>
        <v>226843.3</v>
      </c>
      <c r="M341" s="1598">
        <f t="shared" si="124"/>
        <v>91</v>
      </c>
      <c r="N341" s="1598">
        <f t="shared" si="124"/>
        <v>90.6</v>
      </c>
      <c r="O341" s="1598">
        <f t="shared" si="124"/>
        <v>93.5</v>
      </c>
      <c r="P341" s="1599" t="s">
        <v>353</v>
      </c>
      <c r="Q341" s="1599" t="s">
        <v>353</v>
      </c>
      <c r="R341" s="1598">
        <f>SUM(S341:T341)</f>
        <v>935748</v>
      </c>
      <c r="S341" s="1598">
        <f>S342+S351+S353+S356+S361</f>
        <v>658766.30000000005</v>
      </c>
      <c r="T341" s="1598">
        <f>T342+T351+T353+T356+T361</f>
        <v>276981.7</v>
      </c>
      <c r="U341" s="1598">
        <f t="shared" si="128"/>
        <v>298643.8</v>
      </c>
      <c r="V341" s="1598">
        <f>V342+V351+V353+V356+V361</f>
        <v>15000</v>
      </c>
      <c r="W341" s="1598">
        <f>W342+W351+W353+W356+W361</f>
        <v>283643.8</v>
      </c>
      <c r="X341" s="1423">
        <f t="shared" si="122"/>
        <v>228787.5</v>
      </c>
      <c r="Y341" s="1423"/>
      <c r="Z341" s="1423"/>
      <c r="AA341" s="1423"/>
    </row>
    <row r="342" spans="1:28" s="1570" customFormat="1" ht="39" hidden="1" customHeight="1">
      <c r="A342" s="2204" t="s">
        <v>250</v>
      </c>
      <c r="B342" s="1929" t="s">
        <v>1642</v>
      </c>
      <c r="C342" s="1930"/>
      <c r="D342" s="1899">
        <f t="shared" si="123"/>
        <v>822567.9</v>
      </c>
      <c r="E342" s="1931">
        <f>SUM(E343:E350)</f>
        <v>704256.2</v>
      </c>
      <c r="F342" s="1931">
        <f>SUM(F343:F350)</f>
        <v>118311.7</v>
      </c>
      <c r="G342" s="1899">
        <f>SUM(H342:I342)</f>
        <v>593780.4</v>
      </c>
      <c r="H342" s="1931">
        <f>SUM(H343:H350)</f>
        <v>558147.5</v>
      </c>
      <c r="I342" s="1931">
        <f>SUM(I343:I350)</f>
        <v>35632.9</v>
      </c>
      <c r="J342" s="1899">
        <f>SUM(K342:L342)</f>
        <v>420570.3</v>
      </c>
      <c r="K342" s="1931">
        <f>SUM(K343:K350)</f>
        <v>395333</v>
      </c>
      <c r="L342" s="1931">
        <f>SUM(L343:L350)</f>
        <v>25237.3</v>
      </c>
      <c r="M342" s="1931">
        <f t="shared" si="124"/>
        <v>70.8</v>
      </c>
      <c r="N342" s="1931">
        <f t="shared" si="124"/>
        <v>70.8</v>
      </c>
      <c r="O342" s="1931">
        <f t="shared" si="124"/>
        <v>70.8</v>
      </c>
      <c r="P342" s="1940"/>
      <c r="Q342" s="2203"/>
      <c r="R342" s="1899">
        <f>SUM(S342:T342)</f>
        <v>0</v>
      </c>
      <c r="S342" s="1931">
        <f>SUM(S344:S350)</f>
        <v>0</v>
      </c>
      <c r="T342" s="1931">
        <f>SUM(T344:T350)</f>
        <v>0</v>
      </c>
      <c r="U342" s="1899">
        <f t="shared" si="128"/>
        <v>0</v>
      </c>
      <c r="V342" s="1931">
        <f>SUM(V344:V350)</f>
        <v>0</v>
      </c>
      <c r="W342" s="1931">
        <f>SUM(W344:W350)</f>
        <v>0</v>
      </c>
      <c r="X342" s="1423">
        <f t="shared" si="122"/>
        <v>228787.5</v>
      </c>
      <c r="Y342" s="1423"/>
      <c r="Z342" s="1423"/>
      <c r="AA342" s="1423"/>
    </row>
    <row r="343" spans="1:28" s="1570" customFormat="1" ht="23.25" hidden="1">
      <c r="A343" s="2204"/>
      <c r="B343" s="1879" t="s">
        <v>1780</v>
      </c>
      <c r="C343" s="2053"/>
      <c r="D343" s="1600">
        <f>SUM(E343:F343)</f>
        <v>228787.5</v>
      </c>
      <c r="E343" s="1631">
        <f>146108.668</f>
        <v>146108.70000000001</v>
      </c>
      <c r="F343" s="1631">
        <f>82678.79</f>
        <v>82678.8</v>
      </c>
      <c r="G343" s="1602">
        <f>SUM(H343:I343)</f>
        <v>0</v>
      </c>
      <c r="H343" s="1631"/>
      <c r="I343" s="1629"/>
      <c r="J343" s="1602">
        <f>SUM(K343:L343)</f>
        <v>0</v>
      </c>
      <c r="K343" s="1629"/>
      <c r="L343" s="1629"/>
      <c r="M343" s="1604">
        <f>IF(J343=0,0,J343/G343*100)</f>
        <v>0</v>
      </c>
      <c r="N343" s="1881">
        <f>IF(K343=0,0,K343/H343*100)</f>
        <v>0</v>
      </c>
      <c r="O343" s="1881">
        <f>IF(L343=0,0,L343/I343*100)</f>
        <v>0</v>
      </c>
      <c r="P343" s="2054"/>
      <c r="Q343" s="507"/>
      <c r="R343" s="1602"/>
      <c r="S343" s="2019"/>
      <c r="T343" s="2019"/>
      <c r="U343" s="1602"/>
      <c r="V343" s="2019"/>
      <c r="W343" s="2019"/>
      <c r="X343" s="1423"/>
      <c r="Y343" s="1423"/>
      <c r="Z343" s="1423"/>
      <c r="AA343" s="1423"/>
    </row>
    <row r="344" spans="1:28" ht="45" hidden="1" customHeight="1">
      <c r="A344" s="2204">
        <f>A336+1</f>
        <v>13</v>
      </c>
      <c r="B344" s="1879" t="s">
        <v>1497</v>
      </c>
      <c r="C344" s="1880" t="s">
        <v>1543</v>
      </c>
      <c r="D344" s="1600">
        <f t="shared" si="123"/>
        <v>10016.1</v>
      </c>
      <c r="E344" s="1631">
        <f>5203.864+4211.085</f>
        <v>9414.9</v>
      </c>
      <c r="F344" s="1629">
        <f>332.444+268.792</f>
        <v>601.20000000000005</v>
      </c>
      <c r="G344" s="1602">
        <f t="shared" si="112"/>
        <v>10016.1</v>
      </c>
      <c r="H344" s="1631">
        <f>E344</f>
        <v>9414.9</v>
      </c>
      <c r="I344" s="1631">
        <f>F344</f>
        <v>601.20000000000005</v>
      </c>
      <c r="J344" s="1602">
        <f t="shared" si="125"/>
        <v>9151.1</v>
      </c>
      <c r="K344" s="1629">
        <f>4390.677+4211.085</f>
        <v>8601.7999999999993</v>
      </c>
      <c r="L344" s="1629">
        <f>280.494+268.792</f>
        <v>549.29999999999995</v>
      </c>
      <c r="M344" s="1604">
        <f t="shared" si="124"/>
        <v>91.4</v>
      </c>
      <c r="N344" s="1881">
        <f t="shared" si="124"/>
        <v>91.4</v>
      </c>
      <c r="O344" s="1881">
        <f t="shared" si="124"/>
        <v>91.4</v>
      </c>
      <c r="P344" s="1940"/>
      <c r="Q344" s="2203"/>
      <c r="R344" s="1600">
        <f t="shared" si="127"/>
        <v>0</v>
      </c>
      <c r="S344" s="1631">
        <v>0</v>
      </c>
      <c r="T344" s="1629">
        <v>0</v>
      </c>
      <c r="U344" s="1600">
        <f t="shared" si="128"/>
        <v>0</v>
      </c>
      <c r="V344" s="1631">
        <v>0</v>
      </c>
      <c r="W344" s="1629">
        <v>0</v>
      </c>
      <c r="X344" s="1423">
        <f t="shared" si="122"/>
        <v>0</v>
      </c>
      <c r="Y344" s="1423"/>
      <c r="Z344" s="1423"/>
      <c r="AA344" s="1423"/>
    </row>
    <row r="345" spans="1:28" ht="39.75" hidden="1" customHeight="1">
      <c r="A345" s="2204">
        <f t="shared" ref="A345:A350" si="129">A344+1</f>
        <v>14</v>
      </c>
      <c r="B345" s="1879" t="s">
        <v>1498</v>
      </c>
      <c r="C345" s="1880" t="s">
        <v>1543</v>
      </c>
      <c r="D345" s="1600">
        <f t="shared" si="123"/>
        <v>14296.6</v>
      </c>
      <c r="E345" s="1631">
        <f>9912.284+3525.973</f>
        <v>13438.3</v>
      </c>
      <c r="F345" s="1629">
        <f>633.238+225.062</f>
        <v>858.3</v>
      </c>
      <c r="G345" s="1602">
        <f t="shared" si="112"/>
        <v>14296.6</v>
      </c>
      <c r="H345" s="1631">
        <f t="shared" ref="H345:I350" si="130">E345</f>
        <v>13438.3</v>
      </c>
      <c r="I345" s="1631">
        <f t="shared" si="130"/>
        <v>858.3</v>
      </c>
      <c r="J345" s="1602">
        <f t="shared" si="125"/>
        <v>12143.7</v>
      </c>
      <c r="K345" s="1629">
        <f>7888.74+3525.973</f>
        <v>11414.7</v>
      </c>
      <c r="L345" s="1629">
        <f>503.965+225.062</f>
        <v>729</v>
      </c>
      <c r="M345" s="1604">
        <f t="shared" si="124"/>
        <v>84.9</v>
      </c>
      <c r="N345" s="1881">
        <f t="shared" si="124"/>
        <v>84.9</v>
      </c>
      <c r="O345" s="1881">
        <f t="shared" si="124"/>
        <v>84.9</v>
      </c>
      <c r="P345" s="1940"/>
      <c r="Q345" s="2203"/>
      <c r="R345" s="1600">
        <f t="shared" si="127"/>
        <v>0</v>
      </c>
      <c r="S345" s="1631">
        <v>0</v>
      </c>
      <c r="T345" s="1629">
        <v>0</v>
      </c>
      <c r="U345" s="1600">
        <f t="shared" si="128"/>
        <v>0</v>
      </c>
      <c r="V345" s="1631">
        <v>0</v>
      </c>
      <c r="W345" s="1629">
        <v>0</v>
      </c>
      <c r="X345" s="1423">
        <f t="shared" si="122"/>
        <v>0</v>
      </c>
      <c r="Y345" s="1423"/>
      <c r="Z345" s="1423"/>
      <c r="AA345" s="1423"/>
    </row>
    <row r="346" spans="1:28" ht="57" hidden="1" customHeight="1">
      <c r="A346" s="2204">
        <f t="shared" si="129"/>
        <v>15</v>
      </c>
      <c r="B346" s="1879" t="s">
        <v>1499</v>
      </c>
      <c r="C346" s="1880" t="s">
        <v>1543</v>
      </c>
      <c r="D346" s="1600">
        <f t="shared" si="123"/>
        <v>50668.2</v>
      </c>
      <c r="E346" s="1629">
        <v>47625.599999999999</v>
      </c>
      <c r="F346" s="1629">
        <v>3042.6</v>
      </c>
      <c r="G346" s="1602">
        <f t="shared" si="112"/>
        <v>50668.2</v>
      </c>
      <c r="H346" s="1631">
        <f t="shared" si="130"/>
        <v>47625.599999999999</v>
      </c>
      <c r="I346" s="1631">
        <f t="shared" si="130"/>
        <v>3042.6</v>
      </c>
      <c r="J346" s="1602">
        <f t="shared" si="125"/>
        <v>20460.099999999999</v>
      </c>
      <c r="K346" s="1629">
        <v>19231.599999999999</v>
      </c>
      <c r="L346" s="1629">
        <v>1228.5</v>
      </c>
      <c r="M346" s="1893">
        <f t="shared" si="124"/>
        <v>40.4</v>
      </c>
      <c r="N346" s="1894">
        <f t="shared" si="124"/>
        <v>40.4</v>
      </c>
      <c r="O346" s="1894">
        <f t="shared" si="124"/>
        <v>40.4</v>
      </c>
      <c r="P346" s="1940"/>
      <c r="Q346" s="2203"/>
      <c r="R346" s="1600">
        <f t="shared" si="127"/>
        <v>0</v>
      </c>
      <c r="S346" s="1631">
        <v>0</v>
      </c>
      <c r="T346" s="1629">
        <v>0</v>
      </c>
      <c r="U346" s="1600">
        <f t="shared" si="128"/>
        <v>0</v>
      </c>
      <c r="V346" s="1631">
        <v>0</v>
      </c>
      <c r="W346" s="1629">
        <v>0</v>
      </c>
      <c r="X346" s="1423">
        <f t="shared" si="122"/>
        <v>0</v>
      </c>
      <c r="Y346" s="1423"/>
      <c r="Z346" s="1423"/>
      <c r="AA346" s="1423"/>
    </row>
    <row r="347" spans="1:28" ht="58.5" hidden="1" customHeight="1">
      <c r="A347" s="2204">
        <f t="shared" si="129"/>
        <v>16</v>
      </c>
      <c r="B347" s="1879" t="s">
        <v>1500</v>
      </c>
      <c r="C347" s="1880" t="s">
        <v>1543</v>
      </c>
      <c r="D347" s="1600">
        <f t="shared" si="123"/>
        <v>21886.1</v>
      </c>
      <c r="E347" s="1629">
        <f>18629.848+1942.2</f>
        <v>20572</v>
      </c>
      <c r="F347" s="1629">
        <f>1190.152+123.97</f>
        <v>1314.1</v>
      </c>
      <c r="G347" s="1602">
        <f t="shared" si="112"/>
        <v>21886.1</v>
      </c>
      <c r="H347" s="1631">
        <f t="shared" si="130"/>
        <v>20572</v>
      </c>
      <c r="I347" s="1631">
        <f t="shared" si="130"/>
        <v>1314.1</v>
      </c>
      <c r="J347" s="1602">
        <f t="shared" si="125"/>
        <v>17416.099999999999</v>
      </c>
      <c r="K347" s="1629">
        <f>14428.18+1942.2</f>
        <v>16370.4</v>
      </c>
      <c r="L347" s="1629">
        <f>921.732+123.97</f>
        <v>1045.7</v>
      </c>
      <c r="M347" s="1893">
        <f t="shared" si="124"/>
        <v>79.599999999999994</v>
      </c>
      <c r="N347" s="1894">
        <f t="shared" si="124"/>
        <v>79.599999999999994</v>
      </c>
      <c r="O347" s="1894">
        <f t="shared" si="124"/>
        <v>79.599999999999994</v>
      </c>
      <c r="P347" s="1940"/>
      <c r="Q347" s="2203"/>
      <c r="R347" s="1600">
        <f t="shared" si="127"/>
        <v>0</v>
      </c>
      <c r="S347" s="1631">
        <v>0</v>
      </c>
      <c r="T347" s="1629">
        <v>0</v>
      </c>
      <c r="U347" s="1600">
        <f t="shared" si="128"/>
        <v>0</v>
      </c>
      <c r="V347" s="1631">
        <v>0</v>
      </c>
      <c r="W347" s="1629">
        <v>0</v>
      </c>
      <c r="X347" s="1423">
        <f t="shared" si="122"/>
        <v>0</v>
      </c>
      <c r="Y347" s="1423"/>
      <c r="Z347" s="1423"/>
      <c r="AA347" s="1423"/>
    </row>
    <row r="348" spans="1:28" ht="63.75" hidden="1" customHeight="1">
      <c r="A348" s="2204">
        <f t="shared" si="129"/>
        <v>17</v>
      </c>
      <c r="B348" s="1879" t="s">
        <v>1501</v>
      </c>
      <c r="C348" s="1880" t="s">
        <v>1505</v>
      </c>
      <c r="D348" s="1600">
        <f t="shared" si="123"/>
        <v>38330.1</v>
      </c>
      <c r="E348" s="1629">
        <v>36028.400000000001</v>
      </c>
      <c r="F348" s="1629">
        <v>2301.6999999999998</v>
      </c>
      <c r="G348" s="1602">
        <f t="shared" ref="G348:G357" si="131">SUM(H348:I348)</f>
        <v>38330.1</v>
      </c>
      <c r="H348" s="1631">
        <f t="shared" si="130"/>
        <v>36028.400000000001</v>
      </c>
      <c r="I348" s="1631">
        <f t="shared" si="130"/>
        <v>2301.6999999999998</v>
      </c>
      <c r="J348" s="1602">
        <f t="shared" si="125"/>
        <v>17290.8</v>
      </c>
      <c r="K348" s="1629">
        <v>16252.5</v>
      </c>
      <c r="L348" s="1629">
        <v>1038.3</v>
      </c>
      <c r="M348" s="1893">
        <f t="shared" si="124"/>
        <v>45.1</v>
      </c>
      <c r="N348" s="1894">
        <f t="shared" si="124"/>
        <v>45.1</v>
      </c>
      <c r="O348" s="1894">
        <f t="shared" si="124"/>
        <v>45.1</v>
      </c>
      <c r="P348" s="1940"/>
      <c r="Q348" s="2203"/>
      <c r="R348" s="1600">
        <f t="shared" si="127"/>
        <v>0</v>
      </c>
      <c r="S348" s="1631">
        <v>0</v>
      </c>
      <c r="T348" s="1629">
        <v>0</v>
      </c>
      <c r="U348" s="1600">
        <f t="shared" si="128"/>
        <v>0</v>
      </c>
      <c r="V348" s="1631">
        <v>0</v>
      </c>
      <c r="W348" s="1629">
        <v>0</v>
      </c>
      <c r="X348" s="1423">
        <f t="shared" si="122"/>
        <v>0</v>
      </c>
      <c r="Y348" s="1423"/>
      <c r="Z348" s="1423"/>
      <c r="AA348" s="1423"/>
    </row>
    <row r="349" spans="1:28" ht="48" hidden="1" customHeight="1">
      <c r="A349" s="2204">
        <f t="shared" si="129"/>
        <v>18</v>
      </c>
      <c r="B349" s="1879" t="s">
        <v>1502</v>
      </c>
      <c r="C349" s="1880" t="s">
        <v>1542</v>
      </c>
      <c r="D349" s="1600">
        <f t="shared" si="123"/>
        <v>98583.3</v>
      </c>
      <c r="E349" s="1629">
        <f>74778.815+17889.455</f>
        <v>92668.3</v>
      </c>
      <c r="F349" s="1629">
        <f>4773.164+1141.88</f>
        <v>5915</v>
      </c>
      <c r="G349" s="1602">
        <f t="shared" si="131"/>
        <v>98583.3</v>
      </c>
      <c r="H349" s="1631">
        <f t="shared" si="130"/>
        <v>92668.3</v>
      </c>
      <c r="I349" s="1631">
        <f t="shared" si="130"/>
        <v>5915</v>
      </c>
      <c r="J349" s="1602">
        <f t="shared" si="125"/>
        <v>93523.4</v>
      </c>
      <c r="K349" s="1629">
        <f>70022.512+17889.455</f>
        <v>87912</v>
      </c>
      <c r="L349" s="1629">
        <f>4469.522+1141.88</f>
        <v>5611.4</v>
      </c>
      <c r="M349" s="1893">
        <f t="shared" si="124"/>
        <v>94.9</v>
      </c>
      <c r="N349" s="1894">
        <f t="shared" si="124"/>
        <v>94.9</v>
      </c>
      <c r="O349" s="1894">
        <f t="shared" si="124"/>
        <v>94.9</v>
      </c>
      <c r="P349" s="1940"/>
      <c r="Q349" s="2203"/>
      <c r="R349" s="1600">
        <f t="shared" si="127"/>
        <v>0</v>
      </c>
      <c r="S349" s="1631">
        <v>0</v>
      </c>
      <c r="T349" s="1629">
        <v>0</v>
      </c>
      <c r="U349" s="1600">
        <f t="shared" si="128"/>
        <v>0</v>
      </c>
      <c r="V349" s="1631">
        <v>0</v>
      </c>
      <c r="W349" s="1629">
        <v>0</v>
      </c>
      <c r="X349" s="1423">
        <f t="shared" si="122"/>
        <v>0</v>
      </c>
      <c r="Y349" s="1423"/>
      <c r="Z349" s="1423"/>
      <c r="AA349" s="1423"/>
    </row>
    <row r="350" spans="1:28" ht="39" hidden="1" customHeight="1">
      <c r="A350" s="2204">
        <f t="shared" si="129"/>
        <v>19</v>
      </c>
      <c r="B350" s="1932" t="s">
        <v>1503</v>
      </c>
      <c r="C350" s="1913" t="s">
        <v>1542</v>
      </c>
      <c r="D350" s="1600">
        <f t="shared" si="123"/>
        <v>360000</v>
      </c>
      <c r="E350" s="1629">
        <f>245721.185+92678.815</f>
        <v>338400</v>
      </c>
      <c r="F350" s="1629">
        <f>15684.34+5915.67</f>
        <v>21600</v>
      </c>
      <c r="G350" s="1602">
        <f t="shared" si="131"/>
        <v>360000</v>
      </c>
      <c r="H350" s="1631">
        <f t="shared" si="130"/>
        <v>338400</v>
      </c>
      <c r="I350" s="1631">
        <f t="shared" si="130"/>
        <v>21600</v>
      </c>
      <c r="J350" s="1602">
        <f t="shared" si="125"/>
        <v>250585.1</v>
      </c>
      <c r="K350" s="1629">
        <f>142871.242+92678.815-0.1</f>
        <v>235550</v>
      </c>
      <c r="L350" s="1629">
        <f>9119.441+5915.669</f>
        <v>15035.1</v>
      </c>
      <c r="M350" s="1893">
        <f t="shared" si="124"/>
        <v>69.599999999999994</v>
      </c>
      <c r="N350" s="1894">
        <f t="shared" si="124"/>
        <v>69.599999999999994</v>
      </c>
      <c r="O350" s="1894">
        <f t="shared" si="124"/>
        <v>69.599999999999994</v>
      </c>
      <c r="P350" s="1940"/>
      <c r="Q350" s="2203"/>
      <c r="R350" s="1600">
        <f t="shared" si="127"/>
        <v>0</v>
      </c>
      <c r="S350" s="1631">
        <v>0</v>
      </c>
      <c r="T350" s="1629">
        <v>0</v>
      </c>
      <c r="U350" s="1600">
        <f t="shared" si="128"/>
        <v>0</v>
      </c>
      <c r="V350" s="1631">
        <v>0</v>
      </c>
      <c r="W350" s="1629">
        <v>0</v>
      </c>
      <c r="X350" s="1423">
        <f t="shared" si="122"/>
        <v>0</v>
      </c>
      <c r="Y350" s="1423"/>
      <c r="Z350" s="1423"/>
      <c r="AA350" s="1423"/>
    </row>
    <row r="351" spans="1:28" ht="72" hidden="1" customHeight="1">
      <c r="A351" s="2204" t="s">
        <v>251</v>
      </c>
      <c r="B351" s="1933" t="s">
        <v>1640</v>
      </c>
      <c r="C351" s="1898"/>
      <c r="D351" s="1899">
        <f t="shared" si="123"/>
        <v>63829.8</v>
      </c>
      <c r="E351" s="1899">
        <f>E352</f>
        <v>60000</v>
      </c>
      <c r="F351" s="1899">
        <f>F352</f>
        <v>3829.8</v>
      </c>
      <c r="G351" s="1899">
        <f t="shared" si="131"/>
        <v>63829.8</v>
      </c>
      <c r="H351" s="1899">
        <f>H352</f>
        <v>60000</v>
      </c>
      <c r="I351" s="1899">
        <f>I352</f>
        <v>3829.8</v>
      </c>
      <c r="J351" s="1899">
        <f t="shared" si="125"/>
        <v>63829.8</v>
      </c>
      <c r="K351" s="1899">
        <f>K352</f>
        <v>60000</v>
      </c>
      <c r="L351" s="1899">
        <f>L352</f>
        <v>3829.8</v>
      </c>
      <c r="M351" s="1899">
        <f t="shared" si="124"/>
        <v>100</v>
      </c>
      <c r="N351" s="1899">
        <f t="shared" si="124"/>
        <v>100</v>
      </c>
      <c r="O351" s="1899">
        <f t="shared" si="124"/>
        <v>100</v>
      </c>
      <c r="P351" s="1940"/>
      <c r="Q351" s="2203"/>
      <c r="R351" s="1899">
        <f>SUM(S351:T351)</f>
        <v>55062.400000000001</v>
      </c>
      <c r="S351" s="1899">
        <f>S352</f>
        <v>51758.6</v>
      </c>
      <c r="T351" s="1899">
        <f>T352</f>
        <v>3303.8</v>
      </c>
      <c r="U351" s="1899">
        <f t="shared" si="128"/>
        <v>0</v>
      </c>
      <c r="V351" s="1899">
        <f>V352</f>
        <v>0</v>
      </c>
      <c r="W351" s="1899">
        <f>W352</f>
        <v>0</v>
      </c>
      <c r="X351" s="1423">
        <f t="shared" si="122"/>
        <v>0</v>
      </c>
      <c r="Y351" s="1423"/>
      <c r="Z351" s="1423"/>
      <c r="AA351" s="1423"/>
    </row>
    <row r="352" spans="1:28" ht="39.75" hidden="1" customHeight="1">
      <c r="A352" s="2204">
        <f>A350+1</f>
        <v>20</v>
      </c>
      <c r="B352" s="1879" t="s">
        <v>623</v>
      </c>
      <c r="C352" s="1880" t="s">
        <v>1541</v>
      </c>
      <c r="D352" s="1600">
        <f t="shared" si="123"/>
        <v>63829.8</v>
      </c>
      <c r="E352" s="1631">
        <v>60000</v>
      </c>
      <c r="F352" s="1629">
        <v>3829.8</v>
      </c>
      <c r="G352" s="1602">
        <f t="shared" si="131"/>
        <v>63829.8</v>
      </c>
      <c r="H352" s="1631">
        <v>60000</v>
      </c>
      <c r="I352" s="1629">
        <v>3829.8</v>
      </c>
      <c r="J352" s="1602">
        <f t="shared" si="125"/>
        <v>63829.8</v>
      </c>
      <c r="K352" s="1629">
        <f>59558.7+441.3</f>
        <v>60000</v>
      </c>
      <c r="L352" s="1629">
        <f>3801.6+28.2</f>
        <v>3829.8</v>
      </c>
      <c r="M352" s="1604">
        <f t="shared" si="124"/>
        <v>100</v>
      </c>
      <c r="N352" s="1881">
        <f t="shared" si="124"/>
        <v>100</v>
      </c>
      <c r="O352" s="1881">
        <f t="shared" si="124"/>
        <v>100</v>
      </c>
      <c r="P352" s="1940"/>
      <c r="Q352" s="2203"/>
      <c r="R352" s="1600">
        <f t="shared" si="127"/>
        <v>55062.400000000001</v>
      </c>
      <c r="S352" s="1631">
        <v>51758.6</v>
      </c>
      <c r="T352" s="1629">
        <v>3303.8</v>
      </c>
      <c r="U352" s="1600">
        <f t="shared" si="128"/>
        <v>0</v>
      </c>
      <c r="V352" s="1631">
        <v>0</v>
      </c>
      <c r="W352" s="1629">
        <v>0</v>
      </c>
      <c r="X352" s="1423">
        <f t="shared" si="122"/>
        <v>0</v>
      </c>
      <c r="Y352" s="1423"/>
      <c r="Z352" s="1423"/>
      <c r="AA352" s="1423"/>
    </row>
    <row r="353" spans="1:27" ht="42" hidden="1" customHeight="1">
      <c r="A353" s="2204" t="s">
        <v>1515</v>
      </c>
      <c r="B353" s="1933" t="s">
        <v>1641</v>
      </c>
      <c r="C353" s="1898"/>
      <c r="D353" s="1899">
        <f>SUM(E353:F353)</f>
        <v>266310.90000000002</v>
      </c>
      <c r="E353" s="1899">
        <f>E355+E354</f>
        <v>114557.1</v>
      </c>
      <c r="F353" s="1899">
        <f t="shared" ref="F353:W353" si="132">F355+F354</f>
        <v>151753.79999999999</v>
      </c>
      <c r="G353" s="1899">
        <f t="shared" si="131"/>
        <v>266310.90000000002</v>
      </c>
      <c r="H353" s="1899">
        <f>H355+H354</f>
        <v>114557.1</v>
      </c>
      <c r="I353" s="1899">
        <f>I355+I354</f>
        <v>151753.79999999999</v>
      </c>
      <c r="J353" s="1899">
        <f t="shared" si="125"/>
        <v>256956.5</v>
      </c>
      <c r="K353" s="1899">
        <f>K355+K354</f>
        <v>110533.2</v>
      </c>
      <c r="L353" s="1899">
        <f>L355+L354</f>
        <v>146423.29999999999</v>
      </c>
      <c r="M353" s="1899">
        <f t="shared" si="124"/>
        <v>96.5</v>
      </c>
      <c r="N353" s="1899">
        <f t="shared" si="124"/>
        <v>96.5</v>
      </c>
      <c r="O353" s="1899">
        <f t="shared" si="124"/>
        <v>96.5</v>
      </c>
      <c r="P353" s="1899">
        <f t="shared" si="132"/>
        <v>0</v>
      </c>
      <c r="Q353" s="1899">
        <f t="shared" si="132"/>
        <v>0</v>
      </c>
      <c r="R353" s="1899">
        <f t="shared" si="132"/>
        <v>0</v>
      </c>
      <c r="S353" s="1899">
        <f t="shared" si="132"/>
        <v>0</v>
      </c>
      <c r="T353" s="1899">
        <f t="shared" si="132"/>
        <v>0</v>
      </c>
      <c r="U353" s="1899">
        <f t="shared" si="132"/>
        <v>0</v>
      </c>
      <c r="V353" s="1899">
        <f t="shared" si="132"/>
        <v>0</v>
      </c>
      <c r="W353" s="1899">
        <f t="shared" si="132"/>
        <v>0</v>
      </c>
      <c r="X353" s="1423">
        <f t="shared" si="122"/>
        <v>0</v>
      </c>
      <c r="Y353" s="1423"/>
      <c r="Z353" s="1423"/>
      <c r="AA353" s="1423"/>
    </row>
    <row r="354" spans="1:27" ht="40.5" hidden="1" customHeight="1">
      <c r="A354" s="2204"/>
      <c r="B354" s="1934"/>
      <c r="C354" s="1906"/>
      <c r="D354" s="1602"/>
      <c r="E354" s="1631"/>
      <c r="F354" s="1629"/>
      <c r="G354" s="1602"/>
      <c r="H354" s="1631"/>
      <c r="I354" s="1629"/>
      <c r="J354" s="1602"/>
      <c r="K354" s="1631"/>
      <c r="L354" s="1629"/>
      <c r="M354" s="1604"/>
      <c r="N354" s="1881"/>
      <c r="O354" s="1881"/>
      <c r="P354" s="1940"/>
      <c r="Q354" s="2203"/>
      <c r="R354" s="1600"/>
      <c r="S354" s="1631"/>
      <c r="T354" s="1629"/>
      <c r="U354" s="1600"/>
      <c r="V354" s="1631"/>
      <c r="W354" s="1629"/>
      <c r="Y354" s="1423"/>
      <c r="Z354" s="1423"/>
      <c r="AA354" s="1423"/>
    </row>
    <row r="355" spans="1:27" ht="60" hidden="1" customHeight="1">
      <c r="A355" s="2204">
        <f>A352+1</f>
        <v>21</v>
      </c>
      <c r="B355" s="1879" t="s">
        <v>1509</v>
      </c>
      <c r="C355" s="1880" t="s">
        <v>1540</v>
      </c>
      <c r="D355" s="1600">
        <f t="shared" si="123"/>
        <v>266310.90000000002</v>
      </c>
      <c r="E355" s="1631">
        <v>114557.1</v>
      </c>
      <c r="F355" s="1629">
        <v>151753.79999999999</v>
      </c>
      <c r="G355" s="1602">
        <f t="shared" si="131"/>
        <v>266310.90000000002</v>
      </c>
      <c r="H355" s="1631">
        <v>114557.1</v>
      </c>
      <c r="I355" s="1629">
        <v>151753.79999999999</v>
      </c>
      <c r="J355" s="1602">
        <f t="shared" si="125"/>
        <v>256956.5</v>
      </c>
      <c r="K355" s="1631">
        <f>107687.2+2682.49551+163.461</f>
        <v>110533.2</v>
      </c>
      <c r="L355" s="1629">
        <f>142653.3+3553.503+216.538</f>
        <v>146423.29999999999</v>
      </c>
      <c r="M355" s="1604">
        <f t="shared" si="124"/>
        <v>96.5</v>
      </c>
      <c r="N355" s="1881">
        <f t="shared" si="124"/>
        <v>96.5</v>
      </c>
      <c r="O355" s="1881">
        <f t="shared" si="124"/>
        <v>96.5</v>
      </c>
      <c r="P355" s="1940"/>
      <c r="Q355" s="2203"/>
      <c r="R355" s="1600">
        <f t="shared" ref="R355:R362" si="133">SUM(S355:T355)</f>
        <v>0</v>
      </c>
      <c r="S355" s="1631">
        <v>0</v>
      </c>
      <c r="T355" s="1629">
        <v>0</v>
      </c>
      <c r="U355" s="1600">
        <f t="shared" ref="U355:U362" si="134">SUM(V355:W355)</f>
        <v>0</v>
      </c>
      <c r="V355" s="1631">
        <v>0</v>
      </c>
      <c r="W355" s="1629">
        <v>0</v>
      </c>
      <c r="X355" s="1423">
        <f>D355-G355</f>
        <v>0</v>
      </c>
      <c r="Y355" s="1423"/>
      <c r="Z355" s="1423"/>
      <c r="AA355" s="1423"/>
    </row>
    <row r="356" spans="1:27" ht="56.25" hidden="1" customHeight="1">
      <c r="A356" s="2204" t="s">
        <v>1516</v>
      </c>
      <c r="B356" s="1897" t="s">
        <v>1513</v>
      </c>
      <c r="C356" s="1896">
        <v>10119</v>
      </c>
      <c r="D356" s="1899">
        <f t="shared" si="123"/>
        <v>0</v>
      </c>
      <c r="E356" s="1899">
        <f>E357</f>
        <v>0</v>
      </c>
      <c r="F356" s="1899">
        <f>F357</f>
        <v>0</v>
      </c>
      <c r="G356" s="1899">
        <f t="shared" si="131"/>
        <v>0</v>
      </c>
      <c r="H356" s="1899">
        <f>H357</f>
        <v>0</v>
      </c>
      <c r="I356" s="1899">
        <f>I357</f>
        <v>0</v>
      </c>
      <c r="J356" s="1899">
        <f t="shared" si="125"/>
        <v>0</v>
      </c>
      <c r="K356" s="1899">
        <f>K357</f>
        <v>0</v>
      </c>
      <c r="L356" s="1899">
        <f>L357</f>
        <v>0</v>
      </c>
      <c r="M356" s="1900">
        <f t="shared" si="124"/>
        <v>0</v>
      </c>
      <c r="N356" s="1900">
        <f t="shared" si="124"/>
        <v>0</v>
      </c>
      <c r="O356" s="1900">
        <f t="shared" si="124"/>
        <v>0</v>
      </c>
      <c r="P356" s="2203"/>
      <c r="Q356" s="2203"/>
      <c r="R356" s="1899">
        <f t="shared" si="133"/>
        <v>0</v>
      </c>
      <c r="S356" s="1899">
        <f>S357</f>
        <v>0</v>
      </c>
      <c r="T356" s="1899">
        <f>T357</f>
        <v>0</v>
      </c>
      <c r="U356" s="1899">
        <f t="shared" si="134"/>
        <v>0</v>
      </c>
      <c r="V356" s="1899">
        <f>V357</f>
        <v>0</v>
      </c>
      <c r="W356" s="1899">
        <f>W357</f>
        <v>0</v>
      </c>
      <c r="Y356" s="1423"/>
      <c r="Z356" s="1423"/>
      <c r="AA356" s="1423"/>
    </row>
    <row r="357" spans="1:27" ht="63" hidden="1" customHeight="1">
      <c r="A357" s="2204">
        <f>A355+1</f>
        <v>22</v>
      </c>
      <c r="B357" s="1879" t="s">
        <v>1511</v>
      </c>
      <c r="C357" s="2204">
        <v>10119</v>
      </c>
      <c r="D357" s="1600">
        <f t="shared" si="123"/>
        <v>0</v>
      </c>
      <c r="E357" s="1608">
        <v>0</v>
      </c>
      <c r="F357" s="1608">
        <v>0</v>
      </c>
      <c r="G357" s="1602">
        <f t="shared" si="131"/>
        <v>0</v>
      </c>
      <c r="H357" s="1608">
        <v>0</v>
      </c>
      <c r="I357" s="1608">
        <v>0</v>
      </c>
      <c r="J357" s="1602">
        <f t="shared" si="125"/>
        <v>0</v>
      </c>
      <c r="K357" s="1608">
        <v>0</v>
      </c>
      <c r="L357" s="1608">
        <v>0</v>
      </c>
      <c r="M357" s="1604">
        <f t="shared" si="124"/>
        <v>0</v>
      </c>
      <c r="N357" s="1881">
        <f t="shared" si="124"/>
        <v>0</v>
      </c>
      <c r="O357" s="1881">
        <f t="shared" si="124"/>
        <v>0</v>
      </c>
      <c r="P357" s="2203" t="s">
        <v>1290</v>
      </c>
      <c r="Q357" s="2203" t="s">
        <v>1240</v>
      </c>
      <c r="R357" s="1600">
        <f t="shared" si="133"/>
        <v>0</v>
      </c>
      <c r="S357" s="1608">
        <v>0</v>
      </c>
      <c r="T357" s="1608">
        <v>0</v>
      </c>
      <c r="U357" s="1600">
        <f t="shared" si="134"/>
        <v>0</v>
      </c>
      <c r="V357" s="1608">
        <v>0</v>
      </c>
      <c r="W357" s="1608">
        <v>0</v>
      </c>
      <c r="Y357" s="1423"/>
      <c r="Z357" s="1423"/>
      <c r="AA357" s="1423"/>
    </row>
    <row r="358" spans="1:27" ht="68.25" hidden="1" customHeight="1">
      <c r="A358" s="2204" t="s">
        <v>1516</v>
      </c>
      <c r="B358" s="1897" t="s">
        <v>1721</v>
      </c>
      <c r="C358" s="2204"/>
      <c r="D358" s="1899">
        <v>40404</v>
      </c>
      <c r="E358" s="1899">
        <f>E359+E360</f>
        <v>44950</v>
      </c>
      <c r="F358" s="1899">
        <f>F359+F360</f>
        <v>454</v>
      </c>
      <c r="G358" s="1899">
        <v>40404</v>
      </c>
      <c r="H358" s="1899">
        <f>H359+H360</f>
        <v>44950</v>
      </c>
      <c r="I358" s="1899">
        <f>I359+I360</f>
        <v>454</v>
      </c>
      <c r="J358" s="1899">
        <v>40404</v>
      </c>
      <c r="K358" s="1899">
        <f>K359+K360</f>
        <v>44839.1</v>
      </c>
      <c r="L358" s="1899">
        <f>L359+L360</f>
        <v>452.9</v>
      </c>
      <c r="M358" s="2020">
        <f t="shared" si="124"/>
        <v>100</v>
      </c>
      <c r="N358" s="2021">
        <f t="shared" si="124"/>
        <v>99.8</v>
      </c>
      <c r="O358" s="2021">
        <f t="shared" si="124"/>
        <v>99.8</v>
      </c>
      <c r="P358" s="2203"/>
      <c r="Q358" s="2203"/>
      <c r="R358" s="1600"/>
      <c r="S358" s="1608"/>
      <c r="T358" s="1608"/>
      <c r="U358" s="1600"/>
      <c r="V358" s="1608"/>
      <c r="W358" s="1608"/>
      <c r="X358" s="1423">
        <f>D358-G358</f>
        <v>0</v>
      </c>
      <c r="Y358" s="1423"/>
      <c r="Z358" s="1423"/>
      <c r="AA358" s="1423"/>
    </row>
    <row r="359" spans="1:27" ht="60.75" hidden="1" customHeight="1">
      <c r="A359" s="2204">
        <f>A355+1</f>
        <v>22</v>
      </c>
      <c r="B359" s="1934" t="s">
        <v>1772</v>
      </c>
      <c r="C359" s="2204"/>
      <c r="D359" s="2019">
        <f>E359+F359</f>
        <v>40404</v>
      </c>
      <c r="E359" s="1629">
        <v>40000</v>
      </c>
      <c r="F359" s="1609">
        <v>404</v>
      </c>
      <c r="G359" s="2019">
        <f>H359+I359</f>
        <v>40404</v>
      </c>
      <c r="H359" s="1629">
        <v>40000</v>
      </c>
      <c r="I359" s="1609">
        <v>404</v>
      </c>
      <c r="J359" s="2019">
        <f>K359+L359</f>
        <v>40404</v>
      </c>
      <c r="K359" s="1629">
        <v>40000</v>
      </c>
      <c r="L359" s="1616">
        <v>404</v>
      </c>
      <c r="M359" s="1604">
        <f t="shared" si="124"/>
        <v>100</v>
      </c>
      <c r="N359" s="1881">
        <f t="shared" si="124"/>
        <v>100</v>
      </c>
      <c r="O359" s="1881">
        <f t="shared" si="124"/>
        <v>100</v>
      </c>
      <c r="P359" s="2203"/>
      <c r="Q359" s="2203"/>
      <c r="R359" s="1600"/>
      <c r="S359" s="1608"/>
      <c r="T359" s="1608"/>
      <c r="U359" s="1600"/>
      <c r="V359" s="1608"/>
      <c r="W359" s="1608"/>
      <c r="X359" s="1423">
        <f>D359-G359</f>
        <v>0</v>
      </c>
      <c r="Y359" s="1423"/>
      <c r="Z359" s="1423"/>
      <c r="AA359" s="1423"/>
    </row>
    <row r="360" spans="1:27" ht="67.5" hidden="1" customHeight="1">
      <c r="A360" s="2204">
        <f>A359+1</f>
        <v>23</v>
      </c>
      <c r="B360" s="1934" t="s">
        <v>1773</v>
      </c>
      <c r="C360" s="2204"/>
      <c r="D360" s="2019">
        <f>E360+F360</f>
        <v>5000</v>
      </c>
      <c r="E360" s="1629">
        <v>4950</v>
      </c>
      <c r="F360" s="1609">
        <v>50</v>
      </c>
      <c r="G360" s="2019">
        <f>H360+I360</f>
        <v>5000</v>
      </c>
      <c r="H360" s="1629">
        <v>4950</v>
      </c>
      <c r="I360" s="1609">
        <v>50</v>
      </c>
      <c r="J360" s="2019">
        <f>K360+L360</f>
        <v>4888</v>
      </c>
      <c r="K360" s="1629">
        <v>4839.1000000000004</v>
      </c>
      <c r="L360" s="1616">
        <v>48.9</v>
      </c>
      <c r="M360" s="1604">
        <f>IF(J360=0,0,J360/G360*100)</f>
        <v>97.8</v>
      </c>
      <c r="N360" s="1881">
        <f>IF(K360=0,0,K360/H360*100)</f>
        <v>97.8</v>
      </c>
      <c r="O360" s="1881">
        <f>IF(L360=0,0,L360/I360*100)</f>
        <v>97.8</v>
      </c>
      <c r="P360" s="2203"/>
      <c r="Q360" s="2203"/>
      <c r="R360" s="1600"/>
      <c r="S360" s="1608"/>
      <c r="T360" s="1608"/>
      <c r="U360" s="1600"/>
      <c r="V360" s="1608"/>
      <c r="W360" s="1608"/>
      <c r="X360" s="1423">
        <f>D360-G360</f>
        <v>0</v>
      </c>
      <c r="Y360" s="1423"/>
      <c r="Z360" s="1423"/>
      <c r="AA360" s="1423"/>
    </row>
    <row r="361" spans="1:27" ht="37.5" hidden="1">
      <c r="A361" s="2204" t="s">
        <v>1636</v>
      </c>
      <c r="B361" s="1897" t="s">
        <v>529</v>
      </c>
      <c r="C361" s="1896">
        <v>10119</v>
      </c>
      <c r="D361" s="1899">
        <f t="shared" si="123"/>
        <v>1050900</v>
      </c>
      <c r="E361" s="1899">
        <f>E363+E364+E365+E366</f>
        <v>1000000</v>
      </c>
      <c r="F361" s="1899">
        <f>F363+F364+F365+F366</f>
        <v>50900</v>
      </c>
      <c r="G361" s="1899">
        <f>SUM(H361:I361)</f>
        <v>1050900</v>
      </c>
      <c r="H361" s="1899">
        <f>H363+H364+H365+H366</f>
        <v>1000000</v>
      </c>
      <c r="I361" s="1899">
        <f>I363+I364+I365+I366</f>
        <v>50900</v>
      </c>
      <c r="J361" s="1899">
        <f t="shared" si="125"/>
        <v>1050900</v>
      </c>
      <c r="K361" s="1899">
        <f>K363+K364+K365+K366</f>
        <v>1000000</v>
      </c>
      <c r="L361" s="1899">
        <f>L363+L364+L365+L366</f>
        <v>50900</v>
      </c>
      <c r="M361" s="1899">
        <f t="shared" si="124"/>
        <v>100</v>
      </c>
      <c r="N361" s="1899">
        <f t="shared" si="124"/>
        <v>100</v>
      </c>
      <c r="O361" s="1899">
        <f t="shared" si="124"/>
        <v>100</v>
      </c>
      <c r="P361" s="1899">
        <f>P364+P365+P362</f>
        <v>0</v>
      </c>
      <c r="Q361" s="1899">
        <f>Q364+Q365+Q362</f>
        <v>0</v>
      </c>
      <c r="R361" s="1899">
        <f t="shared" si="133"/>
        <v>880685.6</v>
      </c>
      <c r="S361" s="1899">
        <f>S364+S365+S362+S366</f>
        <v>607007.69999999995</v>
      </c>
      <c r="T361" s="1899">
        <f>T364+T365+T362+T366</f>
        <v>273677.90000000002</v>
      </c>
      <c r="U361" s="1899">
        <f t="shared" si="134"/>
        <v>298643.8</v>
      </c>
      <c r="V361" s="1899">
        <f>V364+V365+V362+V366</f>
        <v>15000</v>
      </c>
      <c r="W361" s="1899">
        <f>W364+W365+W362+W366</f>
        <v>283643.8</v>
      </c>
      <c r="X361" s="1423">
        <f>D361-G361</f>
        <v>0</v>
      </c>
      <c r="Y361" s="1423"/>
      <c r="Z361" s="1423"/>
      <c r="AA361" s="1423"/>
    </row>
    <row r="362" spans="1:27" ht="57.75" hidden="1" customHeight="1">
      <c r="A362" s="2204"/>
      <c r="B362" s="1934" t="s">
        <v>1649</v>
      </c>
      <c r="C362" s="1906"/>
      <c r="D362" s="1602">
        <f>SUM(E362:F362)</f>
        <v>0</v>
      </c>
      <c r="E362" s="1631">
        <v>0</v>
      </c>
      <c r="F362" s="1629">
        <v>0</v>
      </c>
      <c r="G362" s="1602">
        <f>SUM(H362:I362)</f>
        <v>0</v>
      </c>
      <c r="H362" s="1631">
        <v>0</v>
      </c>
      <c r="I362" s="1629">
        <v>0</v>
      </c>
      <c r="J362" s="1602">
        <f t="shared" si="125"/>
        <v>0</v>
      </c>
      <c r="K362" s="1631">
        <v>0</v>
      </c>
      <c r="L362" s="1629">
        <v>0</v>
      </c>
      <c r="M362" s="1604">
        <f t="shared" si="124"/>
        <v>0</v>
      </c>
      <c r="N362" s="1881">
        <f t="shared" si="124"/>
        <v>0</v>
      </c>
      <c r="O362" s="1881">
        <f t="shared" si="124"/>
        <v>0</v>
      </c>
      <c r="P362" s="1940"/>
      <c r="Q362" s="2203"/>
      <c r="R362" s="1600">
        <f t="shared" si="133"/>
        <v>50000</v>
      </c>
      <c r="S362" s="1631">
        <v>0</v>
      </c>
      <c r="T362" s="1629">
        <v>50000</v>
      </c>
      <c r="U362" s="1600">
        <f t="shared" si="134"/>
        <v>50000</v>
      </c>
      <c r="V362" s="1631">
        <v>0</v>
      </c>
      <c r="W362" s="1629">
        <v>50000</v>
      </c>
      <c r="Y362" s="1423"/>
      <c r="Z362" s="1423"/>
      <c r="AA362" s="1423"/>
    </row>
    <row r="363" spans="1:27" ht="51" hidden="1" customHeight="1">
      <c r="A363" s="2204"/>
      <c r="B363" s="1934"/>
      <c r="C363" s="1906"/>
      <c r="D363" s="1600"/>
      <c r="E363" s="1631"/>
      <c r="F363" s="1629"/>
      <c r="G363" s="1602"/>
      <c r="H363" s="1631"/>
      <c r="I363" s="1629"/>
      <c r="J363" s="1602"/>
      <c r="K363" s="1631"/>
      <c r="L363" s="1629"/>
      <c r="M363" s="1604"/>
      <c r="N363" s="1881"/>
      <c r="O363" s="1881"/>
      <c r="P363" s="1940"/>
      <c r="Q363" s="2203"/>
      <c r="R363" s="1600"/>
      <c r="S363" s="1631"/>
      <c r="T363" s="1629"/>
      <c r="U363" s="1600"/>
      <c r="V363" s="1631"/>
      <c r="W363" s="1629"/>
      <c r="Y363" s="1423"/>
      <c r="Z363" s="1423"/>
      <c r="AA363" s="1423"/>
    </row>
    <row r="364" spans="1:27" ht="27" hidden="1" customHeight="1">
      <c r="A364" s="2204">
        <f>A360+1</f>
        <v>24</v>
      </c>
      <c r="B364" s="1934" t="s">
        <v>1606</v>
      </c>
      <c r="C364" s="1866" t="s">
        <v>1609</v>
      </c>
      <c r="D364" s="1600">
        <f t="shared" si="123"/>
        <v>500000</v>
      </c>
      <c r="E364" s="1631">
        <f>100000+400000</f>
        <v>500000</v>
      </c>
      <c r="F364" s="1629">
        <v>0</v>
      </c>
      <c r="G364" s="1602">
        <f t="shared" ref="G364:G387" si="135">SUM(H364:I364)</f>
        <v>500000</v>
      </c>
      <c r="H364" s="1631">
        <f>100000+400000</f>
        <v>500000</v>
      </c>
      <c r="I364" s="1629">
        <v>0</v>
      </c>
      <c r="J364" s="1602">
        <f t="shared" si="125"/>
        <v>500000</v>
      </c>
      <c r="K364" s="1631">
        <f>100000+400000</f>
        <v>500000</v>
      </c>
      <c r="L364" s="1629"/>
      <c r="M364" s="1604">
        <f t="shared" si="124"/>
        <v>100</v>
      </c>
      <c r="N364" s="1881">
        <f t="shared" si="124"/>
        <v>100</v>
      </c>
      <c r="O364" s="1881">
        <f t="shared" si="124"/>
        <v>0</v>
      </c>
      <c r="P364" s="1940"/>
      <c r="Q364" s="2203"/>
      <c r="R364" s="1602">
        <f t="shared" ref="R364:R383" si="136">SUM(S364:T364)</f>
        <v>600000</v>
      </c>
      <c r="S364" s="1629">
        <v>600000</v>
      </c>
      <c r="T364" s="1862">
        <v>0</v>
      </c>
      <c r="U364" s="1602">
        <f t="shared" ref="U364:U383" si="137">SUM(V364:W364)</f>
        <v>0</v>
      </c>
      <c r="V364" s="1629">
        <v>0</v>
      </c>
      <c r="W364" s="1629">
        <v>0</v>
      </c>
      <c r="X364" s="1423">
        <f t="shared" ref="X364:X369" si="138">D364-G364</f>
        <v>0</v>
      </c>
      <c r="Y364" s="1423"/>
      <c r="Z364" s="1423"/>
      <c r="AA364" s="1423"/>
    </row>
    <row r="365" spans="1:27" ht="56.25" hidden="1">
      <c r="A365" s="2204">
        <f>A364+1</f>
        <v>25</v>
      </c>
      <c r="B365" s="1934" t="s">
        <v>1607</v>
      </c>
      <c r="C365" s="1866">
        <v>10134</v>
      </c>
      <c r="D365" s="1600">
        <f t="shared" si="123"/>
        <v>50000</v>
      </c>
      <c r="E365" s="1631">
        <v>0</v>
      </c>
      <c r="F365" s="1629">
        <v>50000</v>
      </c>
      <c r="G365" s="1602">
        <f t="shared" si="135"/>
        <v>50000</v>
      </c>
      <c r="H365" s="1631">
        <v>0</v>
      </c>
      <c r="I365" s="1629">
        <v>50000</v>
      </c>
      <c r="J365" s="1602">
        <f t="shared" si="125"/>
        <v>50000</v>
      </c>
      <c r="K365" s="1631"/>
      <c r="L365" s="1629">
        <v>50000</v>
      </c>
      <c r="M365" s="1604">
        <f t="shared" si="124"/>
        <v>100</v>
      </c>
      <c r="N365" s="1881">
        <f t="shared" si="124"/>
        <v>0</v>
      </c>
      <c r="O365" s="1881">
        <f t="shared" si="124"/>
        <v>100</v>
      </c>
      <c r="P365" s="1940"/>
      <c r="Q365" s="2203"/>
      <c r="R365" s="1602">
        <f t="shared" si="136"/>
        <v>116064.7</v>
      </c>
      <c r="S365" s="1629">
        <v>0</v>
      </c>
      <c r="T365" s="1629">
        <v>116064.7</v>
      </c>
      <c r="U365" s="1602">
        <f t="shared" si="137"/>
        <v>121543.6</v>
      </c>
      <c r="V365" s="1629">
        <v>0</v>
      </c>
      <c r="W365" s="1629">
        <v>121543.6</v>
      </c>
      <c r="X365" s="1423">
        <f t="shared" si="138"/>
        <v>0</v>
      </c>
      <c r="Y365" s="1423"/>
      <c r="Z365" s="1423"/>
      <c r="AA365" s="1423"/>
    </row>
    <row r="366" spans="1:27" ht="41.25" hidden="1" customHeight="1">
      <c r="A366" s="2204">
        <f>A365+1</f>
        <v>26</v>
      </c>
      <c r="B366" s="1934" t="s">
        <v>1649</v>
      </c>
      <c r="C366" s="1866"/>
      <c r="D366" s="1602">
        <f t="shared" si="123"/>
        <v>500900</v>
      </c>
      <c r="E366" s="1631">
        <f>900000-400000</f>
        <v>500000</v>
      </c>
      <c r="F366" s="1629">
        <v>900</v>
      </c>
      <c r="G366" s="1602">
        <f t="shared" si="135"/>
        <v>500900</v>
      </c>
      <c r="H366" s="1631">
        <f>E366</f>
        <v>500000</v>
      </c>
      <c r="I366" s="1629">
        <v>900</v>
      </c>
      <c r="J366" s="1602">
        <f t="shared" si="125"/>
        <v>500900</v>
      </c>
      <c r="K366" s="1631">
        <f>900000-400000</f>
        <v>500000</v>
      </c>
      <c r="L366" s="1629">
        <v>900</v>
      </c>
      <c r="M366" s="1604">
        <f t="shared" si="124"/>
        <v>100</v>
      </c>
      <c r="N366" s="1881">
        <f t="shared" si="124"/>
        <v>100</v>
      </c>
      <c r="O366" s="1881">
        <f t="shared" si="124"/>
        <v>100</v>
      </c>
      <c r="P366" s="1940"/>
      <c r="Q366" s="2203"/>
      <c r="R366" s="1602">
        <f t="shared" si="136"/>
        <v>114620.9</v>
      </c>
      <c r="S366" s="1629">
        <v>7007.7</v>
      </c>
      <c r="T366" s="1629">
        <v>107613.2</v>
      </c>
      <c r="U366" s="1602">
        <f t="shared" si="137"/>
        <v>127100.2</v>
      </c>
      <c r="V366" s="1629">
        <v>15000</v>
      </c>
      <c r="W366" s="1629">
        <v>112100.2</v>
      </c>
      <c r="X366" s="1423">
        <f t="shared" si="138"/>
        <v>0</v>
      </c>
      <c r="Y366" s="1423"/>
      <c r="Z366" s="1423"/>
      <c r="AA366" s="1423"/>
    </row>
    <row r="367" spans="1:27" s="791" customFormat="1" ht="51.75" hidden="1" customHeight="1">
      <c r="A367" s="2565" t="s">
        <v>1421</v>
      </c>
      <c r="B367" s="2565"/>
      <c r="C367" s="1869"/>
      <c r="D367" s="1594">
        <f t="shared" si="123"/>
        <v>0</v>
      </c>
      <c r="E367" s="1594">
        <f>E368+E385</f>
        <v>0</v>
      </c>
      <c r="F367" s="1594">
        <f>F368+F385</f>
        <v>0</v>
      </c>
      <c r="G367" s="1594">
        <f>SUM(H367:I367)</f>
        <v>0</v>
      </c>
      <c r="H367" s="1594">
        <f>H368+H385</f>
        <v>0</v>
      </c>
      <c r="I367" s="1594">
        <f>I368+I385</f>
        <v>0</v>
      </c>
      <c r="J367" s="1594">
        <f>SUM(K367:L367)</f>
        <v>0</v>
      </c>
      <c r="K367" s="1594">
        <f>K368+K385</f>
        <v>0</v>
      </c>
      <c r="L367" s="1594">
        <f>L368+L385</f>
        <v>0</v>
      </c>
      <c r="M367" s="1870">
        <f t="shared" si="124"/>
        <v>0</v>
      </c>
      <c r="N367" s="1871">
        <f t="shared" si="124"/>
        <v>0</v>
      </c>
      <c r="O367" s="1871">
        <f t="shared" si="124"/>
        <v>0</v>
      </c>
      <c r="P367" s="1940"/>
      <c r="Q367" s="2203" t="s">
        <v>1104</v>
      </c>
      <c r="R367" s="1594">
        <f t="shared" si="136"/>
        <v>0</v>
      </c>
      <c r="S367" s="1594">
        <f>S368</f>
        <v>0</v>
      </c>
      <c r="T367" s="1594">
        <f>SUM(T368)</f>
        <v>0</v>
      </c>
      <c r="U367" s="1594">
        <f t="shared" si="137"/>
        <v>0</v>
      </c>
      <c r="V367" s="1594">
        <f>V368</f>
        <v>0</v>
      </c>
      <c r="W367" s="1594">
        <f>SUM(W368)</f>
        <v>0</v>
      </c>
      <c r="X367" s="1423">
        <f t="shared" si="138"/>
        <v>0</v>
      </c>
      <c r="Y367" s="1423"/>
      <c r="Z367" s="1423"/>
      <c r="AA367" s="1423"/>
    </row>
    <row r="368" spans="1:27" ht="75" hidden="1" customHeight="1">
      <c r="A368" s="2204" t="s">
        <v>6</v>
      </c>
      <c r="B368" s="1872" t="s">
        <v>439</v>
      </c>
      <c r="C368" s="1873"/>
      <c r="D368" s="1861">
        <f t="shared" si="123"/>
        <v>0</v>
      </c>
      <c r="E368" s="1861">
        <f>SUM(E369,E382)</f>
        <v>0</v>
      </c>
      <c r="F368" s="1861">
        <f>SUM(F369,F382)</f>
        <v>0</v>
      </c>
      <c r="G368" s="1861">
        <f t="shared" si="135"/>
        <v>0</v>
      </c>
      <c r="H368" s="1861">
        <f>SUM(H369,H382)</f>
        <v>0</v>
      </c>
      <c r="I368" s="1861">
        <f>SUM(I369,I382)</f>
        <v>0</v>
      </c>
      <c r="J368" s="1861">
        <f t="shared" si="125"/>
        <v>0</v>
      </c>
      <c r="K368" s="1861">
        <f>SUM(K369,K382)</f>
        <v>0</v>
      </c>
      <c r="L368" s="1861">
        <f>SUM(L369,L382)</f>
        <v>0</v>
      </c>
      <c r="M368" s="1874">
        <f t="shared" si="124"/>
        <v>0</v>
      </c>
      <c r="N368" s="1875">
        <f t="shared" si="124"/>
        <v>0</v>
      </c>
      <c r="O368" s="1875">
        <f t="shared" si="124"/>
        <v>0</v>
      </c>
      <c r="P368" s="1597" t="s">
        <v>353</v>
      </c>
      <c r="Q368" s="1597" t="s">
        <v>353</v>
      </c>
      <c r="R368" s="1861">
        <f t="shared" si="136"/>
        <v>0</v>
      </c>
      <c r="S368" s="1861">
        <f>SUM(S369,S382)</f>
        <v>0</v>
      </c>
      <c r="T368" s="1861">
        <f>SUM(T369,T382)</f>
        <v>0</v>
      </c>
      <c r="U368" s="1861">
        <f t="shared" si="137"/>
        <v>0</v>
      </c>
      <c r="V368" s="1861">
        <f>SUM(V369,V382)</f>
        <v>0</v>
      </c>
      <c r="W368" s="1861">
        <f>SUM(W369,W382)</f>
        <v>0</v>
      </c>
      <c r="X368" s="1423">
        <f t="shared" si="138"/>
        <v>0</v>
      </c>
      <c r="Y368" s="1423"/>
      <c r="Z368" s="1423"/>
      <c r="AA368" s="1423"/>
    </row>
    <row r="369" spans="1:27" ht="23.25" hidden="1" customHeight="1">
      <c r="A369" s="2204" t="s">
        <v>253</v>
      </c>
      <c r="B369" s="1876" t="s">
        <v>1393</v>
      </c>
      <c r="C369" s="1877"/>
      <c r="D369" s="1598">
        <f t="shared" si="123"/>
        <v>0</v>
      </c>
      <c r="E369" s="1598">
        <f>SUM(E380,E374+E370+E372+E376+E378)</f>
        <v>0</v>
      </c>
      <c r="F369" s="1598">
        <f>SUM(F380,F374+F370+F372+F376+F378)</f>
        <v>0</v>
      </c>
      <c r="G369" s="1598">
        <f t="shared" si="135"/>
        <v>0</v>
      </c>
      <c r="H369" s="1598">
        <f>SUM(H380,H374+H370+H372+H376+H378)</f>
        <v>0</v>
      </c>
      <c r="I369" s="1598">
        <f>SUM(I380,I374+I370+I372+I376+I378)</f>
        <v>0</v>
      </c>
      <c r="J369" s="1598">
        <f t="shared" si="125"/>
        <v>0</v>
      </c>
      <c r="K369" s="1598">
        <f>SUM(K380,K374+K370+K372+K376+K378)</f>
        <v>0</v>
      </c>
      <c r="L369" s="1598">
        <f>SUM(L380,L374+L370+L372+L376+L378)</f>
        <v>0</v>
      </c>
      <c r="M369" s="1598">
        <f t="shared" si="124"/>
        <v>0</v>
      </c>
      <c r="N369" s="1598">
        <f t="shared" si="124"/>
        <v>0</v>
      </c>
      <c r="O369" s="1598">
        <f t="shared" si="124"/>
        <v>0</v>
      </c>
      <c r="P369" s="1599" t="s">
        <v>353</v>
      </c>
      <c r="Q369" s="1599" t="s">
        <v>353</v>
      </c>
      <c r="R369" s="1598">
        <f t="shared" si="136"/>
        <v>0</v>
      </c>
      <c r="S369" s="1598">
        <f>SUM(S380,S374+S370+S372+S376+S378)</f>
        <v>0</v>
      </c>
      <c r="T369" s="1598">
        <f>SUM(T380,T374+T370+T372+T376+T378)</f>
        <v>0</v>
      </c>
      <c r="U369" s="1598">
        <f t="shared" si="137"/>
        <v>0</v>
      </c>
      <c r="V369" s="1598">
        <f>SUM(V380,V374+V370+V372+V376+V378)</f>
        <v>0</v>
      </c>
      <c r="W369" s="1598">
        <f>SUM(W380,W374+W370+W372+W376+W378)</f>
        <v>0</v>
      </c>
      <c r="X369" s="1423">
        <f t="shared" si="138"/>
        <v>0</v>
      </c>
      <c r="Y369" s="1423"/>
      <c r="Z369" s="1423"/>
      <c r="AA369" s="1423"/>
    </row>
    <row r="370" spans="1:27" s="484" customFormat="1" ht="18.75" hidden="1" customHeight="1">
      <c r="A370" s="2204"/>
      <c r="B370" s="1935" t="s">
        <v>46</v>
      </c>
      <c r="C370" s="1906"/>
      <c r="D370" s="1602">
        <f t="shared" si="123"/>
        <v>0</v>
      </c>
      <c r="E370" s="1603">
        <f>SUM(E371)</f>
        <v>0</v>
      </c>
      <c r="F370" s="1603">
        <f>SUM(F371)</f>
        <v>0</v>
      </c>
      <c r="G370" s="1602">
        <f t="shared" si="135"/>
        <v>0</v>
      </c>
      <c r="H370" s="1603">
        <f>SUM(H371)</f>
        <v>0</v>
      </c>
      <c r="I370" s="1603">
        <f>SUM(I371)</f>
        <v>0</v>
      </c>
      <c r="J370" s="1602">
        <f t="shared" si="125"/>
        <v>0</v>
      </c>
      <c r="K370" s="1603">
        <f>SUM(K371)</f>
        <v>0</v>
      </c>
      <c r="L370" s="1603">
        <f>SUM(L371)</f>
        <v>0</v>
      </c>
      <c r="M370" s="1604">
        <f t="shared" si="124"/>
        <v>0</v>
      </c>
      <c r="N370" s="1881">
        <f t="shared" si="124"/>
        <v>0</v>
      </c>
      <c r="O370" s="1881">
        <f t="shared" si="124"/>
        <v>0</v>
      </c>
      <c r="P370" s="2203"/>
      <c r="Q370" s="2203"/>
      <c r="R370" s="1602">
        <f t="shared" si="136"/>
        <v>0</v>
      </c>
      <c r="S370" s="1603">
        <f>SUM(S371)</f>
        <v>0</v>
      </c>
      <c r="T370" s="1603">
        <f>SUM(T371)</f>
        <v>0</v>
      </c>
      <c r="U370" s="1602">
        <f t="shared" si="137"/>
        <v>0</v>
      </c>
      <c r="V370" s="1603">
        <f>SUM(V371)</f>
        <v>0</v>
      </c>
      <c r="W370" s="1603">
        <f>SUM(W371)</f>
        <v>0</v>
      </c>
      <c r="Y370" s="1423"/>
      <c r="Z370" s="1423"/>
      <c r="AA370" s="1423"/>
    </row>
    <row r="371" spans="1:27" s="484" customFormat="1" ht="56.25" hidden="1" customHeight="1">
      <c r="A371" s="2204"/>
      <c r="B371" s="1905" t="s">
        <v>1677</v>
      </c>
      <c r="C371" s="1866">
        <v>24381</v>
      </c>
      <c r="D371" s="1602">
        <f t="shared" si="123"/>
        <v>0</v>
      </c>
      <c r="E371" s="1616">
        <v>0</v>
      </c>
      <c r="F371" s="1616">
        <v>0</v>
      </c>
      <c r="G371" s="1602">
        <f t="shared" si="135"/>
        <v>0</v>
      </c>
      <c r="H371" s="1616">
        <v>0</v>
      </c>
      <c r="I371" s="1616">
        <v>0</v>
      </c>
      <c r="J371" s="1602">
        <f t="shared" si="125"/>
        <v>0</v>
      </c>
      <c r="K371" s="1616">
        <v>0</v>
      </c>
      <c r="L371" s="1616"/>
      <c r="M371" s="1604">
        <f t="shared" si="124"/>
        <v>0</v>
      </c>
      <c r="N371" s="1881">
        <f t="shared" si="124"/>
        <v>0</v>
      </c>
      <c r="O371" s="1881">
        <f t="shared" si="124"/>
        <v>0</v>
      </c>
      <c r="P371" s="2203"/>
      <c r="Q371" s="2203"/>
      <c r="R371" s="1602">
        <f t="shared" si="136"/>
        <v>0</v>
      </c>
      <c r="S371" s="1600"/>
      <c r="T371" s="1600"/>
      <c r="U371" s="1602">
        <f t="shared" si="137"/>
        <v>0</v>
      </c>
      <c r="V371" s="1600"/>
      <c r="W371" s="1600"/>
      <c r="Y371" s="1423"/>
      <c r="Z371" s="1423"/>
      <c r="AA371" s="1423"/>
    </row>
    <row r="372" spans="1:27" s="484" customFormat="1" ht="23.25" hidden="1" customHeight="1">
      <c r="A372" s="2204"/>
      <c r="B372" s="1935" t="s">
        <v>583</v>
      </c>
      <c r="C372" s="1906"/>
      <c r="D372" s="1602">
        <f t="shared" si="123"/>
        <v>0</v>
      </c>
      <c r="E372" s="1603">
        <f>SUM(E373)</f>
        <v>0</v>
      </c>
      <c r="F372" s="1603">
        <f>SUM(F373)</f>
        <v>0</v>
      </c>
      <c r="G372" s="1602">
        <f t="shared" si="135"/>
        <v>0</v>
      </c>
      <c r="H372" s="1603">
        <f>SUM(H373)</f>
        <v>0</v>
      </c>
      <c r="I372" s="1603">
        <f>SUM(I373)</f>
        <v>0</v>
      </c>
      <c r="J372" s="1602">
        <f t="shared" si="125"/>
        <v>0</v>
      </c>
      <c r="K372" s="1603">
        <f>SUM(K373)</f>
        <v>0</v>
      </c>
      <c r="L372" s="1603">
        <f>SUM(L373)</f>
        <v>0</v>
      </c>
      <c r="M372" s="1604">
        <f t="shared" si="124"/>
        <v>0</v>
      </c>
      <c r="N372" s="1881">
        <f t="shared" si="124"/>
        <v>0</v>
      </c>
      <c r="O372" s="1881">
        <f t="shared" si="124"/>
        <v>0</v>
      </c>
      <c r="P372" s="2203"/>
      <c r="Q372" s="2203"/>
      <c r="R372" s="1602">
        <f t="shared" si="136"/>
        <v>0</v>
      </c>
      <c r="S372" s="1603">
        <f>SUM(S373)</f>
        <v>0</v>
      </c>
      <c r="T372" s="1603">
        <f>SUM(T373)</f>
        <v>0</v>
      </c>
      <c r="U372" s="1602">
        <f t="shared" si="137"/>
        <v>0</v>
      </c>
      <c r="V372" s="1603">
        <f>SUM(V373)</f>
        <v>0</v>
      </c>
      <c r="W372" s="1603">
        <f>SUM(W373)</f>
        <v>0</v>
      </c>
      <c r="X372" s="1423">
        <f t="shared" ref="X372:X410" si="139">D372-G372</f>
        <v>0</v>
      </c>
      <c r="Y372" s="1423"/>
      <c r="Z372" s="1423"/>
      <c r="AA372" s="1423"/>
    </row>
    <row r="373" spans="1:27" s="484" customFormat="1" ht="37.5" hidden="1" customHeight="1">
      <c r="A373" s="2204">
        <f>A371+1</f>
        <v>1</v>
      </c>
      <c r="B373" s="1905" t="s">
        <v>1579</v>
      </c>
      <c r="C373" s="1906"/>
      <c r="D373" s="1602">
        <f t="shared" si="123"/>
        <v>0</v>
      </c>
      <c r="E373" s="1616">
        <v>0</v>
      </c>
      <c r="F373" s="1616">
        <v>0</v>
      </c>
      <c r="G373" s="1602">
        <f t="shared" si="135"/>
        <v>0</v>
      </c>
      <c r="H373" s="1616">
        <v>0</v>
      </c>
      <c r="I373" s="1616">
        <v>0</v>
      </c>
      <c r="J373" s="1602">
        <f t="shared" si="125"/>
        <v>0</v>
      </c>
      <c r="K373" s="1616">
        <v>0</v>
      </c>
      <c r="L373" s="1616"/>
      <c r="M373" s="1604">
        <f t="shared" si="124"/>
        <v>0</v>
      </c>
      <c r="N373" s="1881">
        <f t="shared" si="124"/>
        <v>0</v>
      </c>
      <c r="O373" s="1881">
        <f t="shared" si="124"/>
        <v>0</v>
      </c>
      <c r="P373" s="2203"/>
      <c r="Q373" s="2203"/>
      <c r="R373" s="1602">
        <f t="shared" si="136"/>
        <v>0</v>
      </c>
      <c r="S373" s="1616">
        <v>0</v>
      </c>
      <c r="T373" s="1616">
        <v>0</v>
      </c>
      <c r="U373" s="1602">
        <f t="shared" si="137"/>
        <v>0</v>
      </c>
      <c r="V373" s="1616">
        <v>0</v>
      </c>
      <c r="W373" s="1616">
        <v>0</v>
      </c>
      <c r="X373" s="1423">
        <f t="shared" si="139"/>
        <v>0</v>
      </c>
      <c r="Y373" s="1423"/>
      <c r="Z373" s="1423"/>
      <c r="AA373" s="1423"/>
    </row>
    <row r="374" spans="1:27" ht="23.25" hidden="1" customHeight="1">
      <c r="A374" s="2204"/>
      <c r="B374" s="2206" t="s">
        <v>68</v>
      </c>
      <c r="C374" s="2204"/>
      <c r="D374" s="1602">
        <f t="shared" si="123"/>
        <v>0</v>
      </c>
      <c r="E374" s="1603">
        <f>SUM(E375)</f>
        <v>0</v>
      </c>
      <c r="F374" s="1603">
        <f>SUM(F375)</f>
        <v>0</v>
      </c>
      <c r="G374" s="1602">
        <f t="shared" si="135"/>
        <v>0</v>
      </c>
      <c r="H374" s="1603">
        <f>SUM(H375)</f>
        <v>0</v>
      </c>
      <c r="I374" s="1603">
        <f>SUM(I375)</f>
        <v>0</v>
      </c>
      <c r="J374" s="1602">
        <f t="shared" si="125"/>
        <v>0</v>
      </c>
      <c r="K374" s="1603">
        <f>SUM(K375)</f>
        <v>0</v>
      </c>
      <c r="L374" s="1603">
        <f>SUM(L375)</f>
        <v>0</v>
      </c>
      <c r="M374" s="1604">
        <f t="shared" si="124"/>
        <v>0</v>
      </c>
      <c r="N374" s="1881">
        <f t="shared" si="124"/>
        <v>0</v>
      </c>
      <c r="O374" s="1881">
        <f t="shared" si="124"/>
        <v>0</v>
      </c>
      <c r="P374" s="1940"/>
      <c r="Q374" s="2203"/>
      <c r="R374" s="1602">
        <f t="shared" si="136"/>
        <v>0</v>
      </c>
      <c r="S374" s="1603">
        <f>SUM(S375)</f>
        <v>0</v>
      </c>
      <c r="T374" s="1603">
        <f>SUM(T375)</f>
        <v>0</v>
      </c>
      <c r="U374" s="1602">
        <f t="shared" si="137"/>
        <v>0</v>
      </c>
      <c r="V374" s="1603">
        <f>SUM(V375)</f>
        <v>0</v>
      </c>
      <c r="W374" s="1603">
        <f>SUM(W375)</f>
        <v>0</v>
      </c>
      <c r="X374" s="1423">
        <f t="shared" si="139"/>
        <v>0</v>
      </c>
      <c r="Y374" s="1423"/>
      <c r="Z374" s="1423"/>
      <c r="AA374" s="1423"/>
    </row>
    <row r="375" spans="1:27" ht="37.5" hidden="1" customHeight="1">
      <c r="A375" s="2204">
        <f>A373+1</f>
        <v>2</v>
      </c>
      <c r="B375" s="1879" t="s">
        <v>1422</v>
      </c>
      <c r="C375" s="2204"/>
      <c r="D375" s="1602">
        <f t="shared" si="123"/>
        <v>0</v>
      </c>
      <c r="E375" s="1616">
        <v>0</v>
      </c>
      <c r="F375" s="1616">
        <v>0</v>
      </c>
      <c r="G375" s="1602">
        <f t="shared" si="135"/>
        <v>0</v>
      </c>
      <c r="H375" s="1616">
        <v>0</v>
      </c>
      <c r="I375" s="1616">
        <v>0</v>
      </c>
      <c r="J375" s="1602">
        <f t="shared" si="125"/>
        <v>0</v>
      </c>
      <c r="K375" s="1616">
        <v>0</v>
      </c>
      <c r="L375" s="1616"/>
      <c r="M375" s="1604">
        <f t="shared" si="124"/>
        <v>0</v>
      </c>
      <c r="N375" s="1881">
        <f t="shared" si="124"/>
        <v>0</v>
      </c>
      <c r="O375" s="1881">
        <f t="shared" si="124"/>
        <v>0</v>
      </c>
      <c r="P375" s="1940"/>
      <c r="Q375" s="2203"/>
      <c r="R375" s="1602">
        <f t="shared" si="136"/>
        <v>0</v>
      </c>
      <c r="S375" s="1616"/>
      <c r="T375" s="1616"/>
      <c r="U375" s="1602">
        <f t="shared" si="137"/>
        <v>0</v>
      </c>
      <c r="V375" s="1616"/>
      <c r="W375" s="1616"/>
      <c r="X375" s="1423">
        <f t="shared" si="139"/>
        <v>0</v>
      </c>
      <c r="Y375" s="1423"/>
      <c r="Z375" s="1423"/>
      <c r="AA375" s="1423"/>
    </row>
    <row r="376" spans="1:27" ht="23.25" hidden="1" customHeight="1">
      <c r="A376" s="2204"/>
      <c r="B376" s="2206" t="s">
        <v>431</v>
      </c>
      <c r="C376" s="2204"/>
      <c r="D376" s="1602">
        <f t="shared" si="123"/>
        <v>0</v>
      </c>
      <c r="E376" s="1603">
        <f>SUM(E377)</f>
        <v>0</v>
      </c>
      <c r="F376" s="1603">
        <f>SUM(F377)</f>
        <v>0</v>
      </c>
      <c r="G376" s="1602">
        <f t="shared" si="135"/>
        <v>0</v>
      </c>
      <c r="H376" s="1603">
        <f>SUM(H377)</f>
        <v>0</v>
      </c>
      <c r="I376" s="1603">
        <f>SUM(I377)</f>
        <v>0</v>
      </c>
      <c r="J376" s="1602">
        <f t="shared" si="125"/>
        <v>0</v>
      </c>
      <c r="K376" s="1603">
        <f>SUM(K377)</f>
        <v>0</v>
      </c>
      <c r="L376" s="1603">
        <f>SUM(L377)</f>
        <v>0</v>
      </c>
      <c r="M376" s="1604">
        <f t="shared" si="124"/>
        <v>0</v>
      </c>
      <c r="N376" s="1881">
        <f t="shared" si="124"/>
        <v>0</v>
      </c>
      <c r="O376" s="1881">
        <f t="shared" si="124"/>
        <v>0</v>
      </c>
      <c r="P376" s="1940"/>
      <c r="Q376" s="2203"/>
      <c r="R376" s="1602">
        <f t="shared" si="136"/>
        <v>0</v>
      </c>
      <c r="S376" s="1603">
        <f>SUM(S377)</f>
        <v>0</v>
      </c>
      <c r="T376" s="1603">
        <f>SUM(T377)</f>
        <v>0</v>
      </c>
      <c r="U376" s="1602">
        <f t="shared" si="137"/>
        <v>0</v>
      </c>
      <c r="V376" s="1603">
        <f>SUM(V377)</f>
        <v>0</v>
      </c>
      <c r="W376" s="1603">
        <f>SUM(W377)</f>
        <v>0</v>
      </c>
      <c r="X376" s="1423">
        <f t="shared" si="139"/>
        <v>0</v>
      </c>
      <c r="Y376" s="1423"/>
      <c r="Z376" s="1423"/>
      <c r="AA376" s="1423"/>
    </row>
    <row r="377" spans="1:27" ht="37.5" hidden="1" customHeight="1">
      <c r="A377" s="2204">
        <f>A375+1</f>
        <v>3</v>
      </c>
      <c r="B377" s="1879" t="s">
        <v>1580</v>
      </c>
      <c r="C377" s="2204"/>
      <c r="D377" s="1602">
        <f t="shared" si="123"/>
        <v>0</v>
      </c>
      <c r="E377" s="1616">
        <v>0</v>
      </c>
      <c r="F377" s="1616">
        <v>0</v>
      </c>
      <c r="G377" s="1602">
        <f t="shared" si="135"/>
        <v>0</v>
      </c>
      <c r="H377" s="1616">
        <v>0</v>
      </c>
      <c r="I377" s="1616">
        <v>0</v>
      </c>
      <c r="J377" s="1602">
        <f t="shared" si="125"/>
        <v>0</v>
      </c>
      <c r="K377" s="1616">
        <v>0</v>
      </c>
      <c r="L377" s="1616"/>
      <c r="M377" s="1604">
        <f t="shared" si="124"/>
        <v>0</v>
      </c>
      <c r="N377" s="1881">
        <f t="shared" si="124"/>
        <v>0</v>
      </c>
      <c r="O377" s="1881">
        <f t="shared" si="124"/>
        <v>0</v>
      </c>
      <c r="P377" s="1940"/>
      <c r="Q377" s="2203"/>
      <c r="R377" s="1602">
        <f t="shared" si="136"/>
        <v>0</v>
      </c>
      <c r="S377" s="1616">
        <v>0</v>
      </c>
      <c r="T377" s="1616">
        <v>0</v>
      </c>
      <c r="U377" s="1602">
        <f t="shared" si="137"/>
        <v>0</v>
      </c>
      <c r="V377" s="1616">
        <v>0</v>
      </c>
      <c r="W377" s="1616">
        <v>0</v>
      </c>
      <c r="X377" s="1423">
        <f t="shared" si="139"/>
        <v>0</v>
      </c>
      <c r="Y377" s="1423"/>
      <c r="Z377" s="1423"/>
      <c r="AA377" s="1423"/>
    </row>
    <row r="378" spans="1:27" ht="23.25" hidden="1" customHeight="1">
      <c r="A378" s="2204"/>
      <c r="B378" s="2206" t="s">
        <v>90</v>
      </c>
      <c r="C378" s="2204"/>
      <c r="D378" s="1602">
        <f t="shared" si="123"/>
        <v>0</v>
      </c>
      <c r="E378" s="1603">
        <f>SUM(E379)</f>
        <v>0</v>
      </c>
      <c r="F378" s="1603">
        <f>SUM(F379)</f>
        <v>0</v>
      </c>
      <c r="G378" s="1602">
        <f t="shared" si="135"/>
        <v>0</v>
      </c>
      <c r="H378" s="1603">
        <f>SUM(H379)</f>
        <v>0</v>
      </c>
      <c r="I378" s="1603">
        <f>SUM(I379)</f>
        <v>0</v>
      </c>
      <c r="J378" s="1602">
        <f t="shared" si="125"/>
        <v>0</v>
      </c>
      <c r="K378" s="1603">
        <f>SUM(K379)</f>
        <v>0</v>
      </c>
      <c r="L378" s="1603">
        <f>SUM(L379)</f>
        <v>0</v>
      </c>
      <c r="M378" s="1604">
        <f t="shared" si="124"/>
        <v>0</v>
      </c>
      <c r="N378" s="1881">
        <f t="shared" si="124"/>
        <v>0</v>
      </c>
      <c r="O378" s="1881">
        <f t="shared" si="124"/>
        <v>0</v>
      </c>
      <c r="P378" s="1940"/>
      <c r="Q378" s="2203"/>
      <c r="R378" s="1602">
        <f t="shared" si="136"/>
        <v>0</v>
      </c>
      <c r="S378" s="1603">
        <f>SUM(S379)</f>
        <v>0</v>
      </c>
      <c r="T378" s="1603">
        <f>SUM(T379)</f>
        <v>0</v>
      </c>
      <c r="U378" s="1602">
        <f t="shared" si="137"/>
        <v>0</v>
      </c>
      <c r="V378" s="1603">
        <f>SUM(V379)</f>
        <v>0</v>
      </c>
      <c r="W378" s="1603">
        <f>SUM(W379)</f>
        <v>0</v>
      </c>
      <c r="X378" s="1423">
        <f t="shared" si="139"/>
        <v>0</v>
      </c>
      <c r="Y378" s="1423"/>
      <c r="Z378" s="1423"/>
      <c r="AA378" s="1423"/>
    </row>
    <row r="379" spans="1:27" ht="42.75" hidden="1" customHeight="1">
      <c r="A379" s="2204">
        <f>A377+1</f>
        <v>4</v>
      </c>
      <c r="B379" s="1879" t="s">
        <v>1581</v>
      </c>
      <c r="C379" s="2204"/>
      <c r="D379" s="1602">
        <f t="shared" si="123"/>
        <v>0</v>
      </c>
      <c r="E379" s="1616">
        <v>0</v>
      </c>
      <c r="F379" s="1616">
        <v>0</v>
      </c>
      <c r="G379" s="1602">
        <f t="shared" si="135"/>
        <v>0</v>
      </c>
      <c r="H379" s="1616">
        <v>0</v>
      </c>
      <c r="I379" s="1616">
        <v>0</v>
      </c>
      <c r="J379" s="1602">
        <f t="shared" si="125"/>
        <v>0</v>
      </c>
      <c r="K379" s="1616">
        <v>0</v>
      </c>
      <c r="L379" s="1616"/>
      <c r="M379" s="1604">
        <f t="shared" si="124"/>
        <v>0</v>
      </c>
      <c r="N379" s="1881">
        <f t="shared" si="124"/>
        <v>0</v>
      </c>
      <c r="O379" s="1881">
        <f t="shared" si="124"/>
        <v>0</v>
      </c>
      <c r="P379" s="1940"/>
      <c r="Q379" s="2203"/>
      <c r="R379" s="1602">
        <f t="shared" si="136"/>
        <v>0</v>
      </c>
      <c r="S379" s="1616">
        <v>0</v>
      </c>
      <c r="T379" s="1616"/>
      <c r="U379" s="1602">
        <f t="shared" si="137"/>
        <v>0</v>
      </c>
      <c r="V379" s="1616">
        <v>0</v>
      </c>
      <c r="W379" s="1616">
        <v>0</v>
      </c>
      <c r="X379" s="1423">
        <f t="shared" si="139"/>
        <v>0</v>
      </c>
      <c r="Y379" s="1423"/>
      <c r="Z379" s="1423"/>
      <c r="AA379" s="1423"/>
    </row>
    <row r="380" spans="1:27" ht="23.25" hidden="1" customHeight="1">
      <c r="A380" s="2204"/>
      <c r="B380" s="2206" t="s">
        <v>457</v>
      </c>
      <c r="C380" s="2204">
        <v>24371</v>
      </c>
      <c r="D380" s="1602">
        <f t="shared" si="123"/>
        <v>0</v>
      </c>
      <c r="E380" s="1603">
        <f>SUM(E381)</f>
        <v>0</v>
      </c>
      <c r="F380" s="1603">
        <f>SUM(F381)</f>
        <v>0</v>
      </c>
      <c r="G380" s="1602">
        <f t="shared" si="135"/>
        <v>0</v>
      </c>
      <c r="H380" s="1603">
        <f>SUM(H381)</f>
        <v>0</v>
      </c>
      <c r="I380" s="1603">
        <f>SUM(I381)</f>
        <v>0</v>
      </c>
      <c r="J380" s="1602">
        <f t="shared" si="125"/>
        <v>0</v>
      </c>
      <c r="K380" s="1603">
        <f>SUM(K381)</f>
        <v>0</v>
      </c>
      <c r="L380" s="1603">
        <f>SUM(L381)</f>
        <v>0</v>
      </c>
      <c r="M380" s="1604">
        <f t="shared" si="124"/>
        <v>0</v>
      </c>
      <c r="N380" s="1881">
        <f t="shared" si="124"/>
        <v>0</v>
      </c>
      <c r="O380" s="1881">
        <f t="shared" si="124"/>
        <v>0</v>
      </c>
      <c r="P380" s="1940"/>
      <c r="Q380" s="2203"/>
      <c r="R380" s="1602">
        <f t="shared" si="136"/>
        <v>0</v>
      </c>
      <c r="S380" s="1603">
        <f>SUM(S381)</f>
        <v>0</v>
      </c>
      <c r="T380" s="1603">
        <f>SUM(T381)</f>
        <v>0</v>
      </c>
      <c r="U380" s="1602">
        <f t="shared" si="137"/>
        <v>0</v>
      </c>
      <c r="V380" s="1603">
        <f>SUM(V381)</f>
        <v>0</v>
      </c>
      <c r="W380" s="1603">
        <f>SUM(W381)</f>
        <v>0</v>
      </c>
      <c r="X380" s="1423">
        <f t="shared" si="139"/>
        <v>0</v>
      </c>
      <c r="Y380" s="1423"/>
      <c r="Z380" s="1423"/>
      <c r="AA380" s="1423"/>
    </row>
    <row r="381" spans="1:27" ht="85.5" hidden="1" customHeight="1">
      <c r="A381" s="2204">
        <f>A379+1</f>
        <v>5</v>
      </c>
      <c r="B381" s="1879" t="s">
        <v>1424</v>
      </c>
      <c r="C381" s="2204">
        <v>24371</v>
      </c>
      <c r="D381" s="1602">
        <f t="shared" si="123"/>
        <v>0</v>
      </c>
      <c r="E381" s="1616">
        <v>0</v>
      </c>
      <c r="F381" s="1616">
        <v>0</v>
      </c>
      <c r="G381" s="1602">
        <f t="shared" si="135"/>
        <v>0</v>
      </c>
      <c r="H381" s="1616">
        <v>0</v>
      </c>
      <c r="I381" s="1616">
        <v>0</v>
      </c>
      <c r="J381" s="1602">
        <f t="shared" si="125"/>
        <v>0</v>
      </c>
      <c r="K381" s="1616">
        <v>0</v>
      </c>
      <c r="L381" s="1616"/>
      <c r="M381" s="1604">
        <f t="shared" si="124"/>
        <v>0</v>
      </c>
      <c r="N381" s="1881">
        <f t="shared" si="124"/>
        <v>0</v>
      </c>
      <c r="O381" s="1881">
        <f t="shared" si="124"/>
        <v>0</v>
      </c>
      <c r="P381" s="1940"/>
      <c r="Q381" s="2203"/>
      <c r="R381" s="1602">
        <f t="shared" si="136"/>
        <v>0</v>
      </c>
      <c r="S381" s="1616">
        <v>0</v>
      </c>
      <c r="T381" s="1616">
        <v>0</v>
      </c>
      <c r="U381" s="1602">
        <f t="shared" si="137"/>
        <v>0</v>
      </c>
      <c r="V381" s="1616">
        <v>0</v>
      </c>
      <c r="W381" s="1616">
        <v>0</v>
      </c>
      <c r="X381" s="1423">
        <f t="shared" si="139"/>
        <v>0</v>
      </c>
      <c r="Y381" s="1423"/>
      <c r="Z381" s="1423"/>
      <c r="AA381" s="1423"/>
    </row>
    <row r="382" spans="1:27" ht="23.25" hidden="1" customHeight="1">
      <c r="A382" s="2204" t="s">
        <v>254</v>
      </c>
      <c r="B382" s="1876" t="s">
        <v>1394</v>
      </c>
      <c r="C382" s="1936">
        <v>24372</v>
      </c>
      <c r="D382" s="1598">
        <f t="shared" si="123"/>
        <v>0</v>
      </c>
      <c r="E382" s="1598">
        <f>E383</f>
        <v>0</v>
      </c>
      <c r="F382" s="1598">
        <f>F383</f>
        <v>0</v>
      </c>
      <c r="G382" s="1598">
        <f>SUM(H382:I382)</f>
        <v>0</v>
      </c>
      <c r="H382" s="1598">
        <f>H383</f>
        <v>0</v>
      </c>
      <c r="I382" s="1598">
        <f>I383</f>
        <v>0</v>
      </c>
      <c r="J382" s="1598">
        <f>SUM(K382:L382)</f>
        <v>0</v>
      </c>
      <c r="K382" s="1598">
        <f>K383</f>
        <v>0</v>
      </c>
      <c r="L382" s="1598">
        <f>L383</f>
        <v>0</v>
      </c>
      <c r="M382" s="1937">
        <f t="shared" si="124"/>
        <v>0</v>
      </c>
      <c r="N382" s="1938">
        <f t="shared" si="124"/>
        <v>0</v>
      </c>
      <c r="O382" s="1938">
        <f t="shared" si="124"/>
        <v>0</v>
      </c>
      <c r="P382" s="1599" t="s">
        <v>353</v>
      </c>
      <c r="Q382" s="1599" t="s">
        <v>353</v>
      </c>
      <c r="R382" s="1598">
        <f t="shared" si="136"/>
        <v>0</v>
      </c>
      <c r="S382" s="1598">
        <f>S383</f>
        <v>0</v>
      </c>
      <c r="T382" s="1598">
        <f>T383</f>
        <v>0</v>
      </c>
      <c r="U382" s="1598">
        <f t="shared" si="137"/>
        <v>0</v>
      </c>
      <c r="V382" s="1598">
        <f>V383</f>
        <v>0</v>
      </c>
      <c r="W382" s="1598">
        <f>W383</f>
        <v>0</v>
      </c>
      <c r="X382" s="1423">
        <f t="shared" si="139"/>
        <v>0</v>
      </c>
      <c r="Y382" s="1423"/>
      <c r="Z382" s="1423"/>
      <c r="AA382" s="1423"/>
    </row>
    <row r="383" spans="1:27" ht="23.25" hidden="1" customHeight="1">
      <c r="A383" s="2204" t="s">
        <v>441</v>
      </c>
      <c r="B383" s="2206" t="s">
        <v>615</v>
      </c>
      <c r="C383" s="2205"/>
      <c r="D383" s="1602">
        <f t="shared" si="123"/>
        <v>0</v>
      </c>
      <c r="E383" s="1603">
        <f>SUM(E384)</f>
        <v>0</v>
      </c>
      <c r="F383" s="1603">
        <f>SUM(F384)</f>
        <v>0</v>
      </c>
      <c r="G383" s="1602">
        <f t="shared" si="135"/>
        <v>0</v>
      </c>
      <c r="H383" s="1603">
        <f>SUM(H384)</f>
        <v>0</v>
      </c>
      <c r="I383" s="1603">
        <f>SUM(I384)</f>
        <v>0</v>
      </c>
      <c r="J383" s="1602">
        <f t="shared" si="125"/>
        <v>0</v>
      </c>
      <c r="K383" s="1603">
        <f>SUM(K384)</f>
        <v>0</v>
      </c>
      <c r="L383" s="1603">
        <f>SUM(L384)</f>
        <v>0</v>
      </c>
      <c r="M383" s="1604">
        <f t="shared" si="124"/>
        <v>0</v>
      </c>
      <c r="N383" s="1881">
        <f t="shared" si="124"/>
        <v>0</v>
      </c>
      <c r="O383" s="1881">
        <f t="shared" si="124"/>
        <v>0</v>
      </c>
      <c r="P383" s="1940"/>
      <c r="Q383" s="2203"/>
      <c r="R383" s="1602">
        <f t="shared" si="136"/>
        <v>0</v>
      </c>
      <c r="S383" s="1603">
        <f>SUM(S384)</f>
        <v>0</v>
      </c>
      <c r="T383" s="1603">
        <f>SUM(T384)</f>
        <v>0</v>
      </c>
      <c r="U383" s="1602">
        <f t="shared" si="137"/>
        <v>0</v>
      </c>
      <c r="V383" s="1603">
        <f>SUM(V384)</f>
        <v>0</v>
      </c>
      <c r="W383" s="1603">
        <f>SUM(W384)</f>
        <v>0</v>
      </c>
      <c r="X383" s="1423">
        <f t="shared" si="139"/>
        <v>0</v>
      </c>
      <c r="Y383" s="1423"/>
      <c r="Z383" s="1423"/>
      <c r="AA383" s="1423"/>
    </row>
    <row r="384" spans="1:27" ht="23.25" hidden="1" customHeight="1">
      <c r="A384" s="2204">
        <f>A381+1</f>
        <v>6</v>
      </c>
      <c r="B384" s="1879" t="s">
        <v>1423</v>
      </c>
      <c r="C384" s="1880">
        <v>24372</v>
      </c>
      <c r="D384" s="1602">
        <f t="shared" si="123"/>
        <v>0</v>
      </c>
      <c r="E384" s="1616">
        <v>0</v>
      </c>
      <c r="F384" s="1616">
        <v>0</v>
      </c>
      <c r="G384" s="1602">
        <f t="shared" si="135"/>
        <v>0</v>
      </c>
      <c r="H384" s="1616">
        <v>0</v>
      </c>
      <c r="I384" s="1616">
        <v>0</v>
      </c>
      <c r="J384" s="1602">
        <f t="shared" si="125"/>
        <v>0</v>
      </c>
      <c r="K384" s="1616">
        <v>0</v>
      </c>
      <c r="L384" s="1616"/>
      <c r="M384" s="1604">
        <f t="shared" si="124"/>
        <v>0</v>
      </c>
      <c r="N384" s="1881">
        <f t="shared" si="124"/>
        <v>0</v>
      </c>
      <c r="O384" s="1881">
        <f t="shared" si="124"/>
        <v>0</v>
      </c>
      <c r="P384" s="1940"/>
      <c r="Q384" s="2203"/>
      <c r="R384" s="1602">
        <f>SUM(S384:T384)</f>
        <v>0</v>
      </c>
      <c r="S384" s="1616">
        <v>0</v>
      </c>
      <c r="T384" s="1616">
        <v>0</v>
      </c>
      <c r="U384" s="1602">
        <f>SUM(V384:W384)</f>
        <v>0</v>
      </c>
      <c r="V384" s="1616">
        <v>0</v>
      </c>
      <c r="W384" s="1616">
        <v>0</v>
      </c>
      <c r="X384" s="1423">
        <f t="shared" si="139"/>
        <v>0</v>
      </c>
      <c r="Y384" s="1423"/>
      <c r="Z384" s="1423"/>
      <c r="AA384" s="1423"/>
    </row>
    <row r="385" spans="1:27" ht="131.25" hidden="1">
      <c r="A385" s="2204" t="s">
        <v>6</v>
      </c>
      <c r="B385" s="1872" t="s">
        <v>1434</v>
      </c>
      <c r="C385" s="1873"/>
      <c r="D385" s="1861">
        <f>SUM(E385:F385)</f>
        <v>0</v>
      </c>
      <c r="E385" s="1861">
        <f>E387</f>
        <v>0</v>
      </c>
      <c r="F385" s="1861">
        <f>F387</f>
        <v>0</v>
      </c>
      <c r="G385" s="1861">
        <f t="shared" si="135"/>
        <v>0</v>
      </c>
      <c r="H385" s="1861">
        <f>H387</f>
        <v>0</v>
      </c>
      <c r="I385" s="1861">
        <f>I387</f>
        <v>0</v>
      </c>
      <c r="J385" s="1861">
        <f t="shared" si="125"/>
        <v>0</v>
      </c>
      <c r="K385" s="1861">
        <f>K387</f>
        <v>0</v>
      </c>
      <c r="L385" s="1861">
        <f>L387</f>
        <v>0</v>
      </c>
      <c r="M385" s="1874">
        <f t="shared" si="124"/>
        <v>0</v>
      </c>
      <c r="N385" s="1875">
        <f t="shared" si="124"/>
        <v>0</v>
      </c>
      <c r="O385" s="1875">
        <f t="shared" si="124"/>
        <v>0</v>
      </c>
      <c r="P385" s="1622" t="s">
        <v>353</v>
      </c>
      <c r="Q385" s="1622" t="s">
        <v>353</v>
      </c>
      <c r="R385" s="1861" t="e">
        <f>SUM(S385:T385)</f>
        <v>#REF!</v>
      </c>
      <c r="S385" s="1861" t="e">
        <f>SUM(S387,S439)</f>
        <v>#REF!</v>
      </c>
      <c r="T385" s="1861" t="e">
        <f>SUM(T387,T439)</f>
        <v>#REF!</v>
      </c>
      <c r="U385" s="1861" t="e">
        <f>SUM(V385:W385)</f>
        <v>#REF!</v>
      </c>
      <c r="V385" s="1861" t="e">
        <f>SUM(V387,V439)</f>
        <v>#REF!</v>
      </c>
      <c r="W385" s="1861" t="e">
        <f>SUM(W387,W439)</f>
        <v>#REF!</v>
      </c>
      <c r="X385" s="1423">
        <f t="shared" si="139"/>
        <v>0</v>
      </c>
      <c r="Y385" s="1423"/>
      <c r="Z385" s="1423"/>
      <c r="AA385" s="1423"/>
    </row>
    <row r="386" spans="1:27" ht="23.25" hidden="1" customHeight="1">
      <c r="A386" s="2204" t="s">
        <v>253</v>
      </c>
      <c r="B386" s="1876" t="s">
        <v>1393</v>
      </c>
      <c r="C386" s="1877"/>
      <c r="D386" s="1598">
        <f>SUM(E386:F386)</f>
        <v>0</v>
      </c>
      <c r="E386" s="1598">
        <f>E387</f>
        <v>0</v>
      </c>
      <c r="F386" s="1598">
        <f>F387</f>
        <v>0</v>
      </c>
      <c r="G386" s="1598">
        <f>SUM(H386:I386)</f>
        <v>0</v>
      </c>
      <c r="H386" s="1598">
        <f>H387</f>
        <v>0</v>
      </c>
      <c r="I386" s="1598">
        <f>I387</f>
        <v>0</v>
      </c>
      <c r="J386" s="1598">
        <f>SUM(K386:L386)</f>
        <v>0</v>
      </c>
      <c r="K386" s="1598">
        <f>K387</f>
        <v>0</v>
      </c>
      <c r="L386" s="1598">
        <f>L387</f>
        <v>0</v>
      </c>
      <c r="M386" s="1598">
        <f>IF(J386=0,0,J386/G386*100)</f>
        <v>0</v>
      </c>
      <c r="N386" s="1598">
        <f>IF(K386=0,0,K386/H386*100)</f>
        <v>0</v>
      </c>
      <c r="O386" s="1598">
        <f>IF(L386=0,0,L386/I386*100)</f>
        <v>0</v>
      </c>
      <c r="P386" s="1599" t="s">
        <v>353</v>
      </c>
      <c r="Q386" s="1599" t="s">
        <v>353</v>
      </c>
      <c r="R386" s="1598" t="e">
        <f>SUM(S386:T386)</f>
        <v>#REF!</v>
      </c>
      <c r="S386" s="1598" t="e">
        <f>SUM(S397,S391+S387+S389+S393+S395)</f>
        <v>#REF!</v>
      </c>
      <c r="T386" s="1598" t="e">
        <f>SUM(T397,T391+T387+T389+T393+T395)</f>
        <v>#REF!</v>
      </c>
      <c r="U386" s="1598" t="e">
        <f>SUM(V386:W386)</f>
        <v>#REF!</v>
      </c>
      <c r="V386" s="1598" t="e">
        <f>SUM(V397,V391+V387+V389+V393+V395)</f>
        <v>#REF!</v>
      </c>
      <c r="W386" s="1598" t="e">
        <f>SUM(W397,W391+W387+W389+W393+W395)</f>
        <v>#REF!</v>
      </c>
      <c r="X386" s="1423">
        <f t="shared" si="139"/>
        <v>0</v>
      </c>
      <c r="Y386" s="1423"/>
      <c r="Z386" s="1423"/>
      <c r="AA386" s="1423"/>
    </row>
    <row r="387" spans="1:27" ht="61.5" hidden="1" customHeight="1">
      <c r="A387" s="2204" t="s">
        <v>253</v>
      </c>
      <c r="B387" s="1897" t="s">
        <v>1771</v>
      </c>
      <c r="C387" s="1898"/>
      <c r="D387" s="1899">
        <f>SUM(E387:F387)</f>
        <v>0</v>
      </c>
      <c r="E387" s="1899">
        <f>E388</f>
        <v>0</v>
      </c>
      <c r="F387" s="1899">
        <f>F388</f>
        <v>0</v>
      </c>
      <c r="G387" s="1899">
        <f t="shared" si="135"/>
        <v>0</v>
      </c>
      <c r="H387" s="1899">
        <f>H388</f>
        <v>0</v>
      </c>
      <c r="I387" s="1899">
        <f>I388</f>
        <v>0</v>
      </c>
      <c r="J387" s="1899">
        <f t="shared" si="125"/>
        <v>0</v>
      </c>
      <c r="K387" s="1899">
        <f>K388</f>
        <v>0</v>
      </c>
      <c r="L387" s="1899">
        <f>L388</f>
        <v>0</v>
      </c>
      <c r="M387" s="1900">
        <f t="shared" si="124"/>
        <v>0</v>
      </c>
      <c r="N387" s="1900">
        <f t="shared" si="124"/>
        <v>0</v>
      </c>
      <c r="O387" s="1900">
        <f t="shared" si="124"/>
        <v>0</v>
      </c>
      <c r="P387" s="2203"/>
      <c r="Q387" s="2203"/>
      <c r="R387" s="1899" t="e">
        <f>SUM(S387:T387)</f>
        <v>#REF!</v>
      </c>
      <c r="S387" s="1899" t="e">
        <f>#REF!</f>
        <v>#REF!</v>
      </c>
      <c r="T387" s="1899" t="e">
        <f>#REF!</f>
        <v>#REF!</v>
      </c>
      <c r="U387" s="1899" t="e">
        <f>SUM(V387:W387)</f>
        <v>#REF!</v>
      </c>
      <c r="V387" s="1899" t="e">
        <f>#REF!</f>
        <v>#REF!</v>
      </c>
      <c r="W387" s="1899" t="e">
        <f>#REF!</f>
        <v>#REF!</v>
      </c>
      <c r="X387" s="1423">
        <f>D387-G387</f>
        <v>0</v>
      </c>
      <c r="Y387" s="1423"/>
      <c r="Z387" s="1423"/>
      <c r="AA387" s="1423"/>
    </row>
    <row r="388" spans="1:27" ht="57" hidden="1" customHeight="1">
      <c r="A388" s="2204">
        <v>1</v>
      </c>
      <c r="B388" s="1889" t="s">
        <v>1774</v>
      </c>
      <c r="C388" s="2204">
        <v>30131</v>
      </c>
      <c r="D388" s="1600">
        <f>SUM(E388:F388)</f>
        <v>0</v>
      </c>
      <c r="E388" s="1608"/>
      <c r="F388" s="2145"/>
      <c r="G388" s="1600">
        <f>SUM(H388:I388)</f>
        <v>0</v>
      </c>
      <c r="H388" s="1608"/>
      <c r="I388" s="1608"/>
      <c r="J388" s="1600">
        <f t="shared" si="125"/>
        <v>0</v>
      </c>
      <c r="K388" s="1608"/>
      <c r="L388" s="1608"/>
      <c r="M388" s="1604">
        <f t="shared" si="124"/>
        <v>0</v>
      </c>
      <c r="N388" s="1881">
        <f t="shared" si="124"/>
        <v>0</v>
      </c>
      <c r="O388" s="1881">
        <f t="shared" si="124"/>
        <v>0</v>
      </c>
      <c r="P388" s="2203" t="s">
        <v>1290</v>
      </c>
      <c r="Q388" s="2203" t="s">
        <v>1240</v>
      </c>
      <c r="R388" s="1600">
        <f>SUM(S388:T388)</f>
        <v>0</v>
      </c>
      <c r="S388" s="1608">
        <v>0</v>
      </c>
      <c r="T388" s="1608">
        <v>0</v>
      </c>
      <c r="U388" s="1600">
        <f>SUM(V388:W388)</f>
        <v>0</v>
      </c>
      <c r="V388" s="1608">
        <v>0</v>
      </c>
      <c r="W388" s="1608">
        <v>0</v>
      </c>
      <c r="X388" s="1423">
        <f>D388-G388</f>
        <v>0</v>
      </c>
      <c r="Y388" s="1423"/>
      <c r="Z388" s="1423"/>
      <c r="AA388" s="1423"/>
    </row>
    <row r="389" spans="1:27" ht="41.25" hidden="1" customHeight="1">
      <c r="A389" s="2565" t="s">
        <v>1369</v>
      </c>
      <c r="B389" s="2565"/>
      <c r="C389" s="1594">
        <v>62500</v>
      </c>
      <c r="D389" s="1594">
        <f>D390</f>
        <v>9236.2999999999993</v>
      </c>
      <c r="E389" s="1594">
        <f t="shared" ref="E389:L390" si="140">E390</f>
        <v>0</v>
      </c>
      <c r="F389" s="1594">
        <f t="shared" si="140"/>
        <v>9236.2999999999993</v>
      </c>
      <c r="G389" s="1594">
        <f t="shared" si="140"/>
        <v>9236.2999999999993</v>
      </c>
      <c r="H389" s="1594">
        <f t="shared" si="140"/>
        <v>0</v>
      </c>
      <c r="I389" s="1594">
        <f t="shared" si="140"/>
        <v>9236.2999999999993</v>
      </c>
      <c r="J389" s="1594">
        <f t="shared" si="140"/>
        <v>2044.1</v>
      </c>
      <c r="K389" s="1594">
        <f t="shared" si="140"/>
        <v>0</v>
      </c>
      <c r="L389" s="1594">
        <f t="shared" si="140"/>
        <v>2044.1</v>
      </c>
      <c r="M389" s="1966">
        <f t="shared" si="124"/>
        <v>22.1</v>
      </c>
      <c r="N389" s="1967">
        <f t="shared" si="124"/>
        <v>0</v>
      </c>
      <c r="O389" s="1967">
        <f t="shared" si="124"/>
        <v>22.1</v>
      </c>
      <c r="P389" s="1659"/>
      <c r="Q389" s="1794"/>
      <c r="R389" s="1964"/>
      <c r="S389" s="1965"/>
      <c r="T389" s="1965"/>
      <c r="U389" s="1964"/>
      <c r="V389" s="1965"/>
      <c r="W389" s="1965"/>
      <c r="X389" s="1423">
        <f t="shared" si="139"/>
        <v>0</v>
      </c>
      <c r="Y389" s="1423"/>
      <c r="Z389" s="1423"/>
      <c r="AA389" s="1423"/>
    </row>
    <row r="390" spans="1:27" ht="112.5" hidden="1">
      <c r="A390" s="2204" t="s">
        <v>1681</v>
      </c>
      <c r="B390" s="1872" t="s">
        <v>439</v>
      </c>
      <c r="C390" s="1860">
        <v>2675651.2999999998</v>
      </c>
      <c r="D390" s="1861">
        <f>E390+F390</f>
        <v>9236.2999999999993</v>
      </c>
      <c r="E390" s="1861">
        <f>E391</f>
        <v>0</v>
      </c>
      <c r="F390" s="1861">
        <f t="shared" si="140"/>
        <v>9236.2999999999993</v>
      </c>
      <c r="G390" s="1861">
        <f t="shared" si="140"/>
        <v>9236.2999999999993</v>
      </c>
      <c r="H390" s="1861">
        <f t="shared" si="140"/>
        <v>0</v>
      </c>
      <c r="I390" s="1861">
        <f t="shared" si="140"/>
        <v>9236.2999999999993</v>
      </c>
      <c r="J390" s="1861">
        <f t="shared" si="140"/>
        <v>2044.1</v>
      </c>
      <c r="K390" s="1861">
        <f t="shared" si="140"/>
        <v>0</v>
      </c>
      <c r="L390" s="1861">
        <f t="shared" si="140"/>
        <v>2044.1</v>
      </c>
      <c r="M390" s="1968">
        <f t="shared" si="124"/>
        <v>22.1</v>
      </c>
      <c r="N390" s="1969">
        <f t="shared" si="124"/>
        <v>0</v>
      </c>
      <c r="O390" s="1969">
        <f t="shared" si="124"/>
        <v>22.1</v>
      </c>
      <c r="P390" s="1659"/>
      <c r="Q390" s="1794"/>
      <c r="R390" s="1964"/>
      <c r="S390" s="1965"/>
      <c r="T390" s="1965"/>
      <c r="U390" s="1964"/>
      <c r="V390" s="1965"/>
      <c r="W390" s="1965"/>
      <c r="X390" s="1423">
        <f t="shared" si="139"/>
        <v>0</v>
      </c>
      <c r="Y390" s="1423"/>
      <c r="Z390" s="1423"/>
      <c r="AA390" s="1423"/>
    </row>
    <row r="391" spans="1:27" ht="37.5" hidden="1">
      <c r="A391" s="2204" t="s">
        <v>253</v>
      </c>
      <c r="B391" s="1876" t="s">
        <v>1393</v>
      </c>
      <c r="C391" s="1598">
        <v>14500</v>
      </c>
      <c r="D391" s="1598">
        <f>E391+F391</f>
        <v>9236.2999999999993</v>
      </c>
      <c r="E391" s="1598">
        <f>E394</f>
        <v>0</v>
      </c>
      <c r="F391" s="1598">
        <f t="shared" ref="F391:L391" si="141">F392+F394</f>
        <v>9236.2999999999993</v>
      </c>
      <c r="G391" s="1598">
        <f t="shared" si="141"/>
        <v>9236.2999999999993</v>
      </c>
      <c r="H391" s="1598">
        <f t="shared" si="141"/>
        <v>0</v>
      </c>
      <c r="I391" s="1598">
        <f t="shared" si="141"/>
        <v>9236.2999999999993</v>
      </c>
      <c r="J391" s="1598">
        <f t="shared" si="141"/>
        <v>2044.1</v>
      </c>
      <c r="K391" s="1598">
        <f t="shared" si="141"/>
        <v>0</v>
      </c>
      <c r="L391" s="1598">
        <f t="shared" si="141"/>
        <v>2044.1</v>
      </c>
      <c r="M391" s="1937">
        <f t="shared" si="124"/>
        <v>22.1</v>
      </c>
      <c r="N391" s="1938">
        <f t="shared" si="124"/>
        <v>0</v>
      </c>
      <c r="O391" s="1938">
        <f t="shared" si="124"/>
        <v>22.1</v>
      </c>
      <c r="P391" s="1659"/>
      <c r="Q391" s="1794"/>
      <c r="R391" s="1964"/>
      <c r="S391" s="1965"/>
      <c r="T391" s="1965"/>
      <c r="U391" s="1964"/>
      <c r="V391" s="1965"/>
      <c r="W391" s="1965"/>
      <c r="X391" s="1423">
        <f t="shared" si="139"/>
        <v>0</v>
      </c>
      <c r="Y391" s="1423"/>
      <c r="Z391" s="1423"/>
      <c r="AA391" s="1423"/>
    </row>
    <row r="392" spans="1:27" ht="23.25" hidden="1">
      <c r="A392" s="2204"/>
      <c r="B392" s="2006" t="s">
        <v>283</v>
      </c>
      <c r="C392" s="1598"/>
      <c r="D392" s="1602">
        <f t="shared" ref="D392:L392" si="142">D393</f>
        <v>3150</v>
      </c>
      <c r="E392" s="1602">
        <f t="shared" si="142"/>
        <v>0</v>
      </c>
      <c r="F392" s="1602">
        <f t="shared" si="142"/>
        <v>3150</v>
      </c>
      <c r="G392" s="1602">
        <f t="shared" si="142"/>
        <v>3150</v>
      </c>
      <c r="H392" s="1602">
        <f t="shared" si="142"/>
        <v>0</v>
      </c>
      <c r="I392" s="1602">
        <f t="shared" si="142"/>
        <v>3150</v>
      </c>
      <c r="J392" s="1602">
        <f t="shared" si="142"/>
        <v>0</v>
      </c>
      <c r="K392" s="1602">
        <f t="shared" si="142"/>
        <v>0</v>
      </c>
      <c r="L392" s="1602">
        <f t="shared" si="142"/>
        <v>0</v>
      </c>
      <c r="M392" s="1893">
        <f t="shared" si="124"/>
        <v>0</v>
      </c>
      <c r="N392" s="1894">
        <f t="shared" si="124"/>
        <v>0</v>
      </c>
      <c r="O392" s="1894">
        <f t="shared" si="124"/>
        <v>0</v>
      </c>
      <c r="P392" s="1659"/>
      <c r="Q392" s="1794"/>
      <c r="R392" s="1964"/>
      <c r="S392" s="1965"/>
      <c r="T392" s="1965"/>
      <c r="U392" s="1964"/>
      <c r="V392" s="1965"/>
      <c r="W392" s="1965"/>
      <c r="X392" s="1423">
        <f t="shared" si="139"/>
        <v>0</v>
      </c>
      <c r="Y392" s="1423"/>
      <c r="Z392" s="1423"/>
      <c r="AA392" s="1423"/>
    </row>
    <row r="393" spans="1:27" ht="42" hidden="1" customHeight="1">
      <c r="A393" s="2204">
        <v>1</v>
      </c>
      <c r="B393" s="1919" t="s">
        <v>1701</v>
      </c>
      <c r="C393" s="1598"/>
      <c r="D393" s="1603">
        <f>E393+F393</f>
        <v>3150</v>
      </c>
      <c r="E393" s="1603"/>
      <c r="F393" s="1609">
        <v>3150</v>
      </c>
      <c r="G393" s="1603">
        <f>H393+I393</f>
        <v>3150</v>
      </c>
      <c r="H393" s="1864">
        <f>E393</f>
        <v>0</v>
      </c>
      <c r="I393" s="1864">
        <f>F393</f>
        <v>3150</v>
      </c>
      <c r="J393" s="1603">
        <f>K393+L393</f>
        <v>0</v>
      </c>
      <c r="K393" s="1603"/>
      <c r="L393" s="1609"/>
      <c r="M393" s="1893">
        <f t="shared" si="124"/>
        <v>0</v>
      </c>
      <c r="N393" s="1894">
        <f t="shared" si="124"/>
        <v>0</v>
      </c>
      <c r="O393" s="1894">
        <f t="shared" si="124"/>
        <v>0</v>
      </c>
      <c r="P393" s="1659"/>
      <c r="Q393" s="1794"/>
      <c r="R393" s="1964"/>
      <c r="S393" s="1965"/>
      <c r="T393" s="1965"/>
      <c r="U393" s="1964"/>
      <c r="V393" s="1965"/>
      <c r="W393" s="1965"/>
      <c r="X393" s="1423">
        <f t="shared" si="139"/>
        <v>0</v>
      </c>
      <c r="Y393" s="1423"/>
      <c r="Z393" s="1423"/>
      <c r="AA393" s="1423"/>
    </row>
    <row r="394" spans="1:27" ht="23.25" hidden="1">
      <c r="A394" s="2204"/>
      <c r="B394" s="2206" t="s">
        <v>457</v>
      </c>
      <c r="C394" s="1602">
        <v>10000</v>
      </c>
      <c r="D394" s="1603">
        <f t="shared" ref="D394:L394" si="143">D395+D396</f>
        <v>6086.3</v>
      </c>
      <c r="E394" s="1603">
        <f t="shared" si="143"/>
        <v>0</v>
      </c>
      <c r="F394" s="1603">
        <f t="shared" si="143"/>
        <v>6086.3</v>
      </c>
      <c r="G394" s="1603">
        <f t="shared" si="143"/>
        <v>6086.3</v>
      </c>
      <c r="H394" s="1603">
        <f t="shared" si="143"/>
        <v>0</v>
      </c>
      <c r="I394" s="1603">
        <f t="shared" si="143"/>
        <v>6086.3</v>
      </c>
      <c r="J394" s="1603">
        <f t="shared" si="143"/>
        <v>2044.1</v>
      </c>
      <c r="K394" s="1603">
        <f t="shared" si="143"/>
        <v>0</v>
      </c>
      <c r="L394" s="1603">
        <f t="shared" si="143"/>
        <v>2044.1</v>
      </c>
      <c r="M394" s="1893">
        <f t="shared" si="124"/>
        <v>33.6</v>
      </c>
      <c r="N394" s="1894">
        <f>IF(K394=0,0,K394/H394*100)</f>
        <v>0</v>
      </c>
      <c r="O394" s="1894">
        <f>IF(L394=0,0,L394/I394*100)</f>
        <v>33.6</v>
      </c>
      <c r="P394" s="1659"/>
      <c r="Q394" s="1794"/>
      <c r="R394" s="1964"/>
      <c r="S394" s="1965"/>
      <c r="T394" s="1965"/>
      <c r="U394" s="1964"/>
      <c r="V394" s="1965"/>
      <c r="W394" s="1965"/>
      <c r="X394" s="1423">
        <f t="shared" si="139"/>
        <v>0</v>
      </c>
      <c r="Y394" s="1423"/>
      <c r="Z394" s="1423"/>
      <c r="AA394" s="1423"/>
    </row>
    <row r="395" spans="1:27" ht="37.5" hidden="1">
      <c r="A395" s="2204">
        <v>2</v>
      </c>
      <c r="B395" s="1889" t="s">
        <v>1690</v>
      </c>
      <c r="C395" s="1602"/>
      <c r="D395" s="1603">
        <f>E395+F395</f>
        <v>2044.2</v>
      </c>
      <c r="E395" s="1603"/>
      <c r="F395" s="1609">
        <f>2044.1+0.1</f>
        <v>2044.2</v>
      </c>
      <c r="G395" s="1603">
        <f>H395+I395</f>
        <v>2044.2</v>
      </c>
      <c r="H395" s="1864">
        <f>E395</f>
        <v>0</v>
      </c>
      <c r="I395" s="1864">
        <f>F395</f>
        <v>2044.2</v>
      </c>
      <c r="J395" s="1603">
        <f>K395+L395</f>
        <v>2044.1</v>
      </c>
      <c r="K395" s="1603"/>
      <c r="L395" s="1609">
        <v>2044.1</v>
      </c>
      <c r="M395" s="1893">
        <f t="shared" si="124"/>
        <v>100</v>
      </c>
      <c r="N395" s="1894">
        <f>IF(K395=0,0,K395/H395*100)</f>
        <v>0</v>
      </c>
      <c r="O395" s="1894">
        <f>IF(L395=0,0,L395/I395*100)</f>
        <v>100</v>
      </c>
      <c r="P395" s="1659"/>
      <c r="Q395" s="1794"/>
      <c r="R395" s="1964"/>
      <c r="S395" s="1965"/>
      <c r="T395" s="1965"/>
      <c r="U395" s="1964"/>
      <c r="V395" s="1965"/>
      <c r="W395" s="1965"/>
      <c r="X395" s="1423">
        <f t="shared" si="139"/>
        <v>0</v>
      </c>
      <c r="Y395" s="1423"/>
      <c r="Z395" s="1423"/>
      <c r="AA395" s="1423"/>
    </row>
    <row r="396" spans="1:27" ht="37.5" hidden="1">
      <c r="A396" s="2204">
        <f>A395+1</f>
        <v>3</v>
      </c>
      <c r="B396" s="1889" t="s">
        <v>1691</v>
      </c>
      <c r="C396" s="1602">
        <v>10000</v>
      </c>
      <c r="D396" s="1603">
        <f>E396+F396</f>
        <v>4042.1</v>
      </c>
      <c r="E396" s="1616"/>
      <c r="F396" s="1609">
        <v>4042.1</v>
      </c>
      <c r="G396" s="1603">
        <f>H396+I396</f>
        <v>4042.1</v>
      </c>
      <c r="H396" s="1864">
        <f>E396</f>
        <v>0</v>
      </c>
      <c r="I396" s="1864">
        <f>F396</f>
        <v>4042.1</v>
      </c>
      <c r="J396" s="1603">
        <f>K396+L396</f>
        <v>0</v>
      </c>
      <c r="K396" s="1616"/>
      <c r="L396" s="1609"/>
      <c r="M396" s="1893">
        <f t="shared" si="124"/>
        <v>0</v>
      </c>
      <c r="N396" s="1894">
        <f t="shared" si="124"/>
        <v>0</v>
      </c>
      <c r="O396" s="1894">
        <f t="shared" si="124"/>
        <v>0</v>
      </c>
      <c r="P396" s="1659"/>
      <c r="Q396" s="1794"/>
      <c r="R396" s="1964"/>
      <c r="S396" s="1965"/>
      <c r="T396" s="1965"/>
      <c r="U396" s="1964"/>
      <c r="V396" s="1965"/>
      <c r="W396" s="1965"/>
      <c r="X396" s="1423">
        <f t="shared" si="139"/>
        <v>0</v>
      </c>
      <c r="Y396" s="1423"/>
      <c r="Z396" s="1423"/>
      <c r="AA396" s="1423"/>
    </row>
    <row r="397" spans="1:27" ht="23.25" hidden="1">
      <c r="A397" s="1856"/>
      <c r="B397" s="1962"/>
      <c r="C397" s="1963"/>
      <c r="D397" s="1964"/>
      <c r="E397" s="1965"/>
      <c r="F397" s="1965"/>
      <c r="G397" s="1964"/>
      <c r="H397" s="1965"/>
      <c r="I397" s="1965"/>
      <c r="J397" s="1964"/>
      <c r="K397" s="1965"/>
      <c r="L397" s="1965"/>
      <c r="M397" s="1648"/>
      <c r="N397" s="1647"/>
      <c r="O397" s="1647"/>
      <c r="P397" s="1659"/>
      <c r="Q397" s="1794"/>
      <c r="R397" s="1964"/>
      <c r="S397" s="1965"/>
      <c r="T397" s="1965"/>
      <c r="U397" s="1964"/>
      <c r="V397" s="1965"/>
      <c r="W397" s="1965"/>
      <c r="X397" s="1423">
        <f t="shared" si="139"/>
        <v>0</v>
      </c>
      <c r="Y397" s="1423"/>
      <c r="Z397" s="1423"/>
      <c r="AA397" s="1423"/>
    </row>
    <row r="398" spans="1:27" ht="23.25" hidden="1">
      <c r="A398" s="1856"/>
      <c r="D398" s="1648"/>
      <c r="E398" s="1647"/>
      <c r="F398" s="1647"/>
      <c r="G398" s="1647"/>
      <c r="H398" s="1650"/>
      <c r="I398" s="1650"/>
      <c r="J398" s="1651"/>
      <c r="K398" s="1650"/>
      <c r="L398" s="2535"/>
      <c r="M398" s="2535"/>
      <c r="N398" s="1647"/>
      <c r="O398" s="1647"/>
      <c r="X398" s="1423">
        <f t="shared" si="139"/>
        <v>0</v>
      </c>
      <c r="Y398" s="1423"/>
      <c r="Z398" s="1423"/>
      <c r="AA398" s="1423"/>
    </row>
    <row r="399" spans="1:27" ht="26.25" hidden="1" customHeight="1">
      <c r="D399" s="1648"/>
      <c r="E399" s="1648"/>
      <c r="F399" s="1204"/>
      <c r="G399" s="1647"/>
      <c r="H399" s="1647"/>
      <c r="I399" s="1652"/>
      <c r="J399" s="1648"/>
      <c r="K399" s="1648"/>
      <c r="L399" s="1652"/>
      <c r="X399" s="1423">
        <f t="shared" si="139"/>
        <v>0</v>
      </c>
      <c r="Y399" s="1423"/>
      <c r="Z399" s="1423"/>
      <c r="AA399" s="1423"/>
    </row>
    <row r="400" spans="1:27" ht="30.75" hidden="1" customHeight="1">
      <c r="A400" s="2566" t="s">
        <v>1520</v>
      </c>
      <c r="B400" s="2566"/>
      <c r="C400" s="1840"/>
      <c r="D400" s="1620">
        <f t="shared" ref="D400:D410" si="144">SUM(E400:F400)</f>
        <v>3686293.4</v>
      </c>
      <c r="E400" s="1600">
        <f>E178+E81</f>
        <v>2882825.7</v>
      </c>
      <c r="F400" s="1600">
        <f>F178+F81</f>
        <v>803467.7</v>
      </c>
      <c r="G400" s="1620">
        <f>SUM(H400:I400)</f>
        <v>3686293.4</v>
      </c>
      <c r="H400" s="1600">
        <f>H178+H81</f>
        <v>2882825.7</v>
      </c>
      <c r="I400" s="1600">
        <f>I178+I81</f>
        <v>803467.7</v>
      </c>
      <c r="J400" s="1620">
        <f>SUM(K400:L400)</f>
        <v>2155715.2999999998</v>
      </c>
      <c r="K400" s="1600">
        <f>K178+K81</f>
        <v>1769590.2</v>
      </c>
      <c r="L400" s="1600">
        <f>L178+L81</f>
        <v>386125.1</v>
      </c>
      <c r="M400" s="1620">
        <f>IF(J400=0,0,J400/G400*100)</f>
        <v>58.5</v>
      </c>
      <c r="N400" s="1600">
        <f>IF(K400=0,0,K400/H400*100)</f>
        <v>61.4</v>
      </c>
      <c r="O400" s="1600">
        <f>IF(L400=0,0,L400/I400*100)</f>
        <v>48.1</v>
      </c>
      <c r="X400" s="1423">
        <f t="shared" si="139"/>
        <v>0</v>
      </c>
      <c r="Y400" s="1423"/>
      <c r="Z400" s="1423"/>
      <c r="AA400" s="1423"/>
    </row>
    <row r="401" spans="1:27" ht="47.25" hidden="1" customHeight="1">
      <c r="A401" s="1947"/>
      <c r="B401" s="1889" t="s">
        <v>1521</v>
      </c>
      <c r="C401" s="1836"/>
      <c r="D401" s="1620">
        <f t="shared" si="144"/>
        <v>1226395.3999999999</v>
      </c>
      <c r="E401" s="1619">
        <f>SUBTOTAL(9,E90)</f>
        <v>1198876.7</v>
      </c>
      <c r="F401" s="1619">
        <f>SUBTOTAL(9,F90)</f>
        <v>27518.7</v>
      </c>
      <c r="G401" s="1620">
        <f t="shared" ref="G401:G410" si="145">SUM(H401:I401)</f>
        <v>1226395.3999999999</v>
      </c>
      <c r="H401" s="1619">
        <f>SUBTOTAL(9,H90)</f>
        <v>1198876.7</v>
      </c>
      <c r="I401" s="1619">
        <f>SUBTOTAL(9,I90)</f>
        <v>27518.7</v>
      </c>
      <c r="J401" s="1620">
        <f t="shared" ref="J401:J410" si="146">SUM(K401:L401)</f>
        <v>1106709.5</v>
      </c>
      <c r="K401" s="1619">
        <f>SUBTOTAL(9,K90)</f>
        <v>1081400.1000000001</v>
      </c>
      <c r="L401" s="1619">
        <f>SUBTOTAL(9,L90)</f>
        <v>25309.4</v>
      </c>
      <c r="M401" s="1620">
        <f t="shared" ref="M401:O410" si="147">IF(J401=0,0,J401/G401*100)</f>
        <v>90.2</v>
      </c>
      <c r="N401" s="1600">
        <f t="shared" si="147"/>
        <v>90.2</v>
      </c>
      <c r="O401" s="1600">
        <f t="shared" si="147"/>
        <v>92</v>
      </c>
      <c r="X401" s="1423">
        <f t="shared" si="139"/>
        <v>0</v>
      </c>
      <c r="Y401" s="1423"/>
      <c r="Z401" s="1423"/>
      <c r="AA401" s="1423"/>
    </row>
    <row r="402" spans="1:27" ht="82.5" hidden="1" customHeight="1">
      <c r="A402" s="2566" t="s">
        <v>1528</v>
      </c>
      <c r="B402" s="2566"/>
      <c r="C402" s="1840"/>
      <c r="D402" s="1620">
        <f>SUM(E402:F402)</f>
        <v>6092844.9000000004</v>
      </c>
      <c r="E402" s="1600">
        <f>SUM(E92,E199,E301,E342,E351,E353,E356,E358,E361,E387,E303)</f>
        <v>5436420.5</v>
      </c>
      <c r="F402" s="1600">
        <f>SUM(F92,F199,F301,F342,F351,F353,F356,F358,F361,F387,F303)</f>
        <v>656424.4</v>
      </c>
      <c r="G402" s="1620">
        <f>SUM(H402:I402)</f>
        <v>5863254.4000000004</v>
      </c>
      <c r="H402" s="1600">
        <f>SUM(H92,H199,H301,H342,H351,H353,H356,H358,H361,H387,H303)</f>
        <v>5289557</v>
      </c>
      <c r="I402" s="1600">
        <f>SUM(I92,I199,I301,I342,I351,I353,I356,I358,I361,I387,I303)</f>
        <v>573697.4</v>
      </c>
      <c r="J402" s="1620">
        <f>SUM(K402:L402)</f>
        <v>3686132.8</v>
      </c>
      <c r="K402" s="1600">
        <f>SUM(K92,K199,K301,K342,K351,K353,K356,K358,K361,K387,K303)</f>
        <v>3288298.9</v>
      </c>
      <c r="L402" s="1600">
        <f>SUM(L92,L199,L301,L342,L351,L353,L356,L358,L361,L387,L303)</f>
        <v>397833.9</v>
      </c>
      <c r="M402" s="1620">
        <f t="shared" si="147"/>
        <v>62.9</v>
      </c>
      <c r="N402" s="1600">
        <f t="shared" si="147"/>
        <v>62.2</v>
      </c>
      <c r="O402" s="1600">
        <f t="shared" si="147"/>
        <v>69.3</v>
      </c>
      <c r="X402" s="1423">
        <f t="shared" si="139"/>
        <v>229590.5</v>
      </c>
      <c r="Y402" s="1423"/>
      <c r="Z402" s="1423"/>
      <c r="AA402" s="1423"/>
    </row>
    <row r="403" spans="1:27" ht="75" hidden="1">
      <c r="A403" s="1948"/>
      <c r="B403" s="493" t="s">
        <v>1527</v>
      </c>
      <c r="C403" s="1836"/>
      <c r="D403" s="1640">
        <f t="shared" si="144"/>
        <v>4517504.7</v>
      </c>
      <c r="E403" s="1609">
        <f>SUM(E404:E407)</f>
        <v>4087743.6</v>
      </c>
      <c r="F403" s="1609">
        <f>SUM(F404:F407)</f>
        <v>429761.1</v>
      </c>
      <c r="G403" s="1640">
        <f>SUM(H403:I403)</f>
        <v>4287914.2</v>
      </c>
      <c r="H403" s="1609">
        <f t="shared" ref="H403:I403" si="148">SUM(H404:H407)</f>
        <v>3940880.1</v>
      </c>
      <c r="I403" s="1609">
        <f t="shared" si="148"/>
        <v>347034.1</v>
      </c>
      <c r="J403" s="1640">
        <f>SUM(K403:L403)</f>
        <v>2195390.7999999998</v>
      </c>
      <c r="K403" s="1609">
        <f t="shared" ref="K403:L403" si="149">SUM(K404:K407)</f>
        <v>2018103.9</v>
      </c>
      <c r="L403" s="1609">
        <f t="shared" si="149"/>
        <v>177286.9</v>
      </c>
      <c r="M403" s="1620">
        <f t="shared" si="147"/>
        <v>51.2</v>
      </c>
      <c r="N403" s="1600">
        <f t="shared" si="147"/>
        <v>51.2</v>
      </c>
      <c r="O403" s="1600">
        <f t="shared" si="147"/>
        <v>51.1</v>
      </c>
      <c r="X403" s="1423">
        <f t="shared" si="139"/>
        <v>229590.5</v>
      </c>
      <c r="Y403" s="1423"/>
      <c r="Z403" s="1423"/>
      <c r="AA403" s="1423"/>
    </row>
    <row r="404" spans="1:27" ht="23.25" hidden="1">
      <c r="A404" s="1948"/>
      <c r="B404" s="1619" t="s">
        <v>1620</v>
      </c>
      <c r="C404" s="1836"/>
      <c r="D404" s="1640">
        <f>SUM(E404:F404)</f>
        <v>3548710.6</v>
      </c>
      <c r="E404" s="1609">
        <f>E342+E200+E93</f>
        <v>3266356.2</v>
      </c>
      <c r="F404" s="1609">
        <f>F342+F200+F93</f>
        <v>282354.40000000002</v>
      </c>
      <c r="G404" s="1640">
        <f t="shared" si="145"/>
        <v>3319120.1</v>
      </c>
      <c r="H404" s="1609">
        <f>H342+H200+H93</f>
        <v>3119492.7</v>
      </c>
      <c r="I404" s="1609">
        <f>I342+I200+I93</f>
        <v>199627.4</v>
      </c>
      <c r="J404" s="1640">
        <f t="shared" si="146"/>
        <v>1680745.3</v>
      </c>
      <c r="K404" s="1609">
        <f>K342+K200+K93</f>
        <v>1579769.4</v>
      </c>
      <c r="L404" s="1609">
        <f>L342+L200+L93</f>
        <v>100975.9</v>
      </c>
      <c r="M404" s="1620">
        <f t="shared" si="147"/>
        <v>50.6</v>
      </c>
      <c r="N404" s="1600">
        <f t="shared" si="147"/>
        <v>50.6</v>
      </c>
      <c r="O404" s="1600">
        <f t="shared" si="147"/>
        <v>50.6</v>
      </c>
      <c r="X404" s="1423">
        <f t="shared" si="139"/>
        <v>229590.5</v>
      </c>
      <c r="Y404" s="1423"/>
      <c r="Z404" s="1423"/>
      <c r="AA404" s="1423"/>
    </row>
    <row r="405" spans="1:27" ht="37.5" hidden="1">
      <c r="A405" s="1948"/>
      <c r="B405" s="1619" t="s">
        <v>1798</v>
      </c>
      <c r="C405" s="1836"/>
      <c r="D405" s="1640">
        <f>E405+F405</f>
        <v>556398.1</v>
      </c>
      <c r="E405" s="1609">
        <f t="shared" ref="E405:F407" si="150">E201+E94</f>
        <v>523000</v>
      </c>
      <c r="F405" s="1609">
        <f t="shared" si="150"/>
        <v>33398.1</v>
      </c>
      <c r="G405" s="1640">
        <f t="shared" ref="G405" si="151">H405+I405</f>
        <v>556398.1</v>
      </c>
      <c r="H405" s="1609">
        <f t="shared" ref="H405:I407" si="152">H201+H94</f>
        <v>523000</v>
      </c>
      <c r="I405" s="1609">
        <f t="shared" si="152"/>
        <v>33398.1</v>
      </c>
      <c r="J405" s="1640">
        <f t="shared" ref="J405" si="153">K405+L405</f>
        <v>279514</v>
      </c>
      <c r="K405" s="1609">
        <f t="shared" ref="K405:L407" si="154">K201+K94</f>
        <v>262740.3</v>
      </c>
      <c r="L405" s="1609">
        <f t="shared" si="154"/>
        <v>16773.7</v>
      </c>
      <c r="M405" s="1640">
        <f t="shared" ref="M405" si="155">N405+O405</f>
        <v>110.6</v>
      </c>
      <c r="N405" s="1609">
        <f t="shared" ref="N405:O407" si="156">N201+N94</f>
        <v>55.3</v>
      </c>
      <c r="O405" s="1609">
        <f t="shared" si="156"/>
        <v>55.3</v>
      </c>
      <c r="X405" s="1423"/>
      <c r="Y405" s="1423"/>
      <c r="Z405" s="1423"/>
      <c r="AA405" s="1423"/>
    </row>
    <row r="406" spans="1:27" ht="23.25" hidden="1">
      <c r="A406" s="2204"/>
      <c r="B406" s="1609" t="s">
        <v>1770</v>
      </c>
      <c r="C406" s="2205"/>
      <c r="D406" s="1602">
        <f>SUM(E406:F406)</f>
        <v>317820.2</v>
      </c>
      <c r="E406" s="1609">
        <f t="shared" si="150"/>
        <v>298387.40000000002</v>
      </c>
      <c r="F406" s="1609">
        <f t="shared" si="150"/>
        <v>19432.8</v>
      </c>
      <c r="G406" s="1602">
        <f t="shared" ref="G406" si="157">SUM(H406:I406)</f>
        <v>317820.2</v>
      </c>
      <c r="H406" s="1609">
        <f t="shared" si="152"/>
        <v>298387.40000000002</v>
      </c>
      <c r="I406" s="1609">
        <f t="shared" si="152"/>
        <v>19432.8</v>
      </c>
      <c r="J406" s="1602">
        <f t="shared" ref="J406" si="158">SUM(K406:L406)</f>
        <v>187019</v>
      </c>
      <c r="K406" s="1609">
        <f t="shared" si="154"/>
        <v>175594.2</v>
      </c>
      <c r="L406" s="1609">
        <f t="shared" si="154"/>
        <v>11424.8</v>
      </c>
      <c r="M406" s="1602">
        <f t="shared" ref="M406" si="159">SUM(N406:O406)</f>
        <v>209.3</v>
      </c>
      <c r="N406" s="1609">
        <f t="shared" si="156"/>
        <v>104.7</v>
      </c>
      <c r="O406" s="1609">
        <f t="shared" si="156"/>
        <v>104.6</v>
      </c>
      <c r="P406" s="1619"/>
      <c r="Q406" s="1619"/>
      <c r="R406" s="1600"/>
      <c r="S406" s="1619"/>
      <c r="T406" s="1619"/>
      <c r="U406" s="1600"/>
      <c r="V406" s="1619"/>
      <c r="W406" s="1619"/>
      <c r="X406" s="1423"/>
      <c r="Y406" s="1423"/>
      <c r="Z406" s="1423"/>
      <c r="AA406" s="1423"/>
    </row>
    <row r="407" spans="1:27" ht="23.25" hidden="1">
      <c r="A407" s="1948"/>
      <c r="B407" s="1619" t="s">
        <v>1621</v>
      </c>
      <c r="C407" s="1836"/>
      <c r="D407" s="1640">
        <f>E407+F407</f>
        <v>94575.8</v>
      </c>
      <c r="E407" s="1609">
        <f t="shared" si="150"/>
        <v>0</v>
      </c>
      <c r="F407" s="1609">
        <f t="shared" si="150"/>
        <v>94575.8</v>
      </c>
      <c r="G407" s="1640">
        <f t="shared" ref="G407" si="160">H407+I407</f>
        <v>94575.8</v>
      </c>
      <c r="H407" s="1609">
        <f t="shared" si="152"/>
        <v>0</v>
      </c>
      <c r="I407" s="1609">
        <f t="shared" si="152"/>
        <v>94575.8</v>
      </c>
      <c r="J407" s="1640">
        <f t="shared" ref="J407" si="161">K407+L407</f>
        <v>48112.5</v>
      </c>
      <c r="K407" s="1609">
        <f t="shared" si="154"/>
        <v>0</v>
      </c>
      <c r="L407" s="1609">
        <f t="shared" si="154"/>
        <v>48112.5</v>
      </c>
      <c r="M407" s="1640">
        <f t="shared" ref="M407" si="162">N407+O407</f>
        <v>124.3</v>
      </c>
      <c r="N407" s="1609">
        <f t="shared" si="156"/>
        <v>0</v>
      </c>
      <c r="O407" s="1609">
        <f t="shared" si="156"/>
        <v>124.3</v>
      </c>
      <c r="X407" s="1423">
        <f t="shared" si="139"/>
        <v>0</v>
      </c>
      <c r="Y407" s="1423"/>
      <c r="Z407" s="1423"/>
      <c r="AA407" s="1423"/>
    </row>
    <row r="408" spans="1:27" ht="23.25" hidden="1">
      <c r="A408" s="2566" t="s">
        <v>1529</v>
      </c>
      <c r="B408" s="2566"/>
      <c r="C408" s="1840"/>
      <c r="D408" s="1640">
        <f>SUM(E408:F408)</f>
        <v>420132.3</v>
      </c>
      <c r="E408" s="1602">
        <f>E15+E128+E317+E338+E391-E18</f>
        <v>0</v>
      </c>
      <c r="F408" s="1602">
        <f>F15+F128+F317+F338+F391-F18</f>
        <v>420132.3</v>
      </c>
      <c r="G408" s="1640">
        <f>SUM(H408:I408)</f>
        <v>420132.3</v>
      </c>
      <c r="H408" s="1602">
        <f>H15+H128+H317+H338+H391-H18</f>
        <v>0</v>
      </c>
      <c r="I408" s="1602">
        <f>I15+I128+I317+I338+I391-I18</f>
        <v>420132.3</v>
      </c>
      <c r="J408" s="1640">
        <f>SUM(K408:L408)</f>
        <v>262035.5</v>
      </c>
      <c r="K408" s="1602">
        <f>K15+K128+K317+K338+K391-K18</f>
        <v>0</v>
      </c>
      <c r="L408" s="1602">
        <f>L15+L128+L317+L338+L391-L18</f>
        <v>262035.5</v>
      </c>
      <c r="M408" s="1620">
        <f t="shared" ref="M408:O409" si="163">IF(J408=0,0,J408/G408*100)</f>
        <v>62.4</v>
      </c>
      <c r="N408" s="1600">
        <f t="shared" si="163"/>
        <v>0</v>
      </c>
      <c r="O408" s="1600">
        <f t="shared" si="163"/>
        <v>62.4</v>
      </c>
      <c r="X408" s="1423">
        <f t="shared" si="139"/>
        <v>0</v>
      </c>
      <c r="Y408" s="1423"/>
      <c r="Z408" s="1423"/>
      <c r="AA408" s="1423"/>
    </row>
    <row r="409" spans="1:27" ht="56.25" hidden="1">
      <c r="A409" s="1948"/>
      <c r="B409" s="1619" t="s">
        <v>1777</v>
      </c>
      <c r="C409" s="1836"/>
      <c r="D409" s="1640">
        <f>SUM(E409:F409)</f>
        <v>43516.9</v>
      </c>
      <c r="E409" s="1609">
        <f>E166+E75</f>
        <v>0</v>
      </c>
      <c r="F409" s="1609">
        <f>F166+F75</f>
        <v>43516.9</v>
      </c>
      <c r="G409" s="1640">
        <f>SUM(H409:I409)</f>
        <v>43516.9</v>
      </c>
      <c r="H409" s="1609">
        <f>H166+H75</f>
        <v>0</v>
      </c>
      <c r="I409" s="1609">
        <f>I166+I75</f>
        <v>43516.9</v>
      </c>
      <c r="J409" s="1640">
        <f>SUM(K409:L409)</f>
        <v>14559.7</v>
      </c>
      <c r="K409" s="1609">
        <f>K166+K75</f>
        <v>0</v>
      </c>
      <c r="L409" s="1609">
        <f>L166+L75</f>
        <v>14559.7</v>
      </c>
      <c r="M409" s="1620">
        <f t="shared" si="163"/>
        <v>33.5</v>
      </c>
      <c r="N409" s="1600">
        <f t="shared" si="163"/>
        <v>0</v>
      </c>
      <c r="O409" s="1600">
        <f t="shared" si="163"/>
        <v>33.5</v>
      </c>
      <c r="X409" s="1423"/>
      <c r="Y409" s="1423"/>
      <c r="Z409" s="1423"/>
      <c r="AA409" s="1423"/>
    </row>
    <row r="410" spans="1:27" ht="23.25" hidden="1">
      <c r="A410" s="2567" t="s">
        <v>529</v>
      </c>
      <c r="B410" s="2567"/>
      <c r="C410" s="1840"/>
      <c r="D410" s="1604">
        <f t="shared" si="144"/>
        <v>242483.4</v>
      </c>
      <c r="E410" s="1611">
        <f>E12-E400-E402-E408</f>
        <v>104579.9</v>
      </c>
      <c r="F410" s="1611">
        <f>F12-F400-F402-F408</f>
        <v>137903.5</v>
      </c>
      <c r="G410" s="1604">
        <f t="shared" si="145"/>
        <v>242483.4</v>
      </c>
      <c r="H410" s="1611">
        <f>H12-H400-H402-H408</f>
        <v>104579.9</v>
      </c>
      <c r="I410" s="1611">
        <f>I12-I400-I402-I408</f>
        <v>137903.5</v>
      </c>
      <c r="J410" s="1604">
        <f t="shared" si="146"/>
        <v>160429.6</v>
      </c>
      <c r="K410" s="1611">
        <f>K12-K400-K402-K408</f>
        <v>104154.2</v>
      </c>
      <c r="L410" s="1611">
        <f>L12-L400-L402-L408</f>
        <v>56275.4</v>
      </c>
      <c r="M410" s="1620">
        <f t="shared" si="147"/>
        <v>66.2</v>
      </c>
      <c r="N410" s="1600">
        <f t="shared" si="147"/>
        <v>99.6</v>
      </c>
      <c r="O410" s="1600">
        <f t="shared" si="147"/>
        <v>40.799999999999997</v>
      </c>
      <c r="X410" s="1423">
        <f t="shared" si="139"/>
        <v>0</v>
      </c>
      <c r="Y410" s="1423"/>
      <c r="Z410" s="1423"/>
      <c r="AA410" s="1423"/>
    </row>
    <row r="411" spans="1:27" ht="64.5" hidden="1" customHeight="1">
      <c r="A411" s="712"/>
      <c r="B411" s="1951" t="s">
        <v>1817</v>
      </c>
      <c r="C411" s="1556"/>
      <c r="D411" s="1951"/>
      <c r="E411" s="1950"/>
      <c r="F411" s="1953"/>
      <c r="G411" s="1953"/>
      <c r="H411" s="1954"/>
      <c r="I411" s="1955"/>
      <c r="J411" s="1956" t="s">
        <v>613</v>
      </c>
      <c r="K411" s="1955"/>
      <c r="L411" s="1957"/>
      <c r="M411" s="1958"/>
    </row>
    <row r="412" spans="1:27" ht="36.75" hidden="1" customHeight="1">
      <c r="A412" s="712"/>
      <c r="B412" s="1648"/>
      <c r="C412" s="1647"/>
      <c r="D412" s="1649"/>
      <c r="E412" s="1649"/>
      <c r="F412" s="1650"/>
      <c r="G412" s="1650"/>
      <c r="H412" s="1651"/>
      <c r="I412" s="1650"/>
      <c r="J412" s="2535"/>
      <c r="K412" s="2535"/>
      <c r="L412" s="1647"/>
      <c r="M412" s="1647"/>
    </row>
    <row r="413" spans="1:27" ht="45" hidden="1" customHeight="1">
      <c r="B413" s="712" t="s">
        <v>1837</v>
      </c>
    </row>
    <row r="414" spans="1:27" ht="38.25" customHeight="1"/>
    <row r="415" spans="1:27" ht="48" customHeight="1"/>
  </sheetData>
  <autoFilter ref="A11:O362"/>
  <mergeCells count="37">
    <mergeCell ref="A1:B1"/>
    <mergeCell ref="L1:O1"/>
    <mergeCell ref="J3:M3"/>
    <mergeCell ref="A5:AA5"/>
    <mergeCell ref="V9:W9"/>
    <mergeCell ref="A389:B389"/>
    <mergeCell ref="L398:M398"/>
    <mergeCell ref="A400:B400"/>
    <mergeCell ref="A402:B402"/>
    <mergeCell ref="U9:U10"/>
    <mergeCell ref="A13:B13"/>
    <mergeCell ref="Q68:Q69"/>
    <mergeCell ref="A315:B315"/>
    <mergeCell ref="A367:B367"/>
    <mergeCell ref="M9:M10"/>
    <mergeCell ref="N9:O9"/>
    <mergeCell ref="P9:P10"/>
    <mergeCell ref="Q9:Q10"/>
    <mergeCell ref="R9:R10"/>
    <mergeCell ref="J9:J10"/>
    <mergeCell ref="K9:L9"/>
    <mergeCell ref="J412:K412"/>
    <mergeCell ref="Y9:Y10"/>
    <mergeCell ref="Z9:AA9"/>
    <mergeCell ref="A7:AA7"/>
    <mergeCell ref="A6:AA6"/>
    <mergeCell ref="A408:B408"/>
    <mergeCell ref="A410:B410"/>
    <mergeCell ref="S9:T9"/>
    <mergeCell ref="N8:O8"/>
    <mergeCell ref="A9:A10"/>
    <mergeCell ref="B9:B10"/>
    <mergeCell ref="C9:C10"/>
    <mergeCell ref="D9:D10"/>
    <mergeCell ref="E9:F9"/>
    <mergeCell ref="G9:G10"/>
    <mergeCell ref="H9:I9"/>
  </mergeCells>
  <pageMargins left="0.46" right="0.11811023622047245" top="0.55118110236220474" bottom="0.35433070866141736" header="0.31496062992125984" footer="0.15748031496062992"/>
  <pageSetup paperSize="9" scale="63" fitToHeight="17" orientation="landscape" r:id="rId1"/>
  <headerFooter>
    <oddFooter>&amp;C&amp;P</oddFooter>
  </headerFooter>
  <rowBreaks count="1" manualBreakCount="1">
    <brk id="396" max="26" man="1"/>
  </rowBreaks>
</worksheet>
</file>

<file path=xl/worksheets/sheet49.xml><?xml version="1.0" encoding="utf-8"?>
<worksheet xmlns="http://schemas.openxmlformats.org/spreadsheetml/2006/main" xmlns:r="http://schemas.openxmlformats.org/officeDocument/2006/relationships">
  <sheetPr>
    <tabColor rgb="FFFF0000"/>
  </sheetPr>
  <dimension ref="A1:AB20"/>
  <sheetViews>
    <sheetView view="pageBreakPreview" topLeftCell="A5" zoomScale="70" zoomScaleNormal="72" zoomScaleSheetLayoutView="70" workbookViewId="0">
      <selection activeCell="A7" sqref="A7:W7"/>
    </sheetView>
  </sheetViews>
  <sheetFormatPr defaultColWidth="9.140625" defaultRowHeight="18.75"/>
  <cols>
    <col min="1" max="1" width="7.5703125" style="1942" customWidth="1"/>
    <col min="2" max="2" width="64.140625" style="712" customWidth="1"/>
    <col min="3" max="3" width="13.42578125" style="1834" hidden="1" customWidth="1"/>
    <col min="4" max="4" width="17.42578125" style="1570" customWidth="1"/>
    <col min="5" max="6" width="14.85546875" style="712" customWidth="1"/>
    <col min="7" max="7" width="15.85546875" style="1569" customWidth="1"/>
    <col min="8" max="9" width="14.85546875" style="712" customWidth="1"/>
    <col min="10" max="10" width="11.42578125" style="1570" customWidth="1"/>
    <col min="11" max="12" width="11.42578125" style="712" customWidth="1"/>
    <col min="13" max="13" width="43" style="1564" hidden="1" customWidth="1"/>
    <col min="14" max="14" width="25.140625" style="1564" hidden="1" customWidth="1"/>
    <col min="15" max="15" width="16.28515625" style="1564" hidden="1" customWidth="1"/>
    <col min="16" max="16" width="16.85546875" style="1564" hidden="1" customWidth="1"/>
    <col min="17" max="19" width="18" style="1564" hidden="1" customWidth="1"/>
    <col min="20" max="20" width="15.7109375" style="1564" hidden="1" customWidth="1"/>
    <col min="21" max="21" width="19.5703125" style="712" hidden="1" customWidth="1"/>
    <col min="22" max="22" width="14.42578125" style="1570" customWidth="1"/>
    <col min="23" max="23" width="15.42578125" style="712" customWidth="1"/>
    <col min="24" max="24" width="14.85546875" style="712" customWidth="1"/>
    <col min="25" max="27" width="23.5703125" style="712" customWidth="1"/>
    <col min="28" max="28" width="14.5703125" style="712" bestFit="1" customWidth="1"/>
    <col min="29" max="29" width="12.5703125" style="712" bestFit="1" customWidth="1"/>
    <col min="30" max="30" width="14.5703125" style="712" bestFit="1" customWidth="1"/>
    <col min="31" max="31" width="21.140625" style="712" bestFit="1" customWidth="1"/>
    <col min="32" max="32" width="14.5703125" style="712" bestFit="1" customWidth="1"/>
    <col min="33" max="33" width="12.85546875" style="712" bestFit="1" customWidth="1"/>
    <col min="34" max="16384" width="9.140625" style="712"/>
  </cols>
  <sheetData>
    <row r="1" spans="1:28" ht="20.25" hidden="1" customHeight="1">
      <c r="A1" s="2537"/>
      <c r="B1" s="2537"/>
      <c r="D1" s="1563"/>
      <c r="E1" s="1563"/>
      <c r="F1" s="1563"/>
      <c r="G1" s="1563"/>
      <c r="I1" s="2384"/>
      <c r="J1" s="2384"/>
      <c r="K1" s="2384"/>
      <c r="L1" s="2384"/>
      <c r="V1" s="1563"/>
      <c r="W1" s="1563"/>
      <c r="X1" s="1563"/>
    </row>
    <row r="2" spans="1:28" ht="18.75" hidden="1" customHeight="1">
      <c r="B2" s="2209"/>
      <c r="D2" s="1569"/>
      <c r="E2" s="2209"/>
      <c r="F2" s="2209"/>
      <c r="J2" s="1569"/>
    </row>
    <row r="3" spans="1:28" s="1575" customFormat="1" ht="18.75" hidden="1" customHeight="1">
      <c r="A3" s="1943"/>
      <c r="B3" s="1572"/>
      <c r="C3" s="1835"/>
      <c r="D3" s="1573"/>
      <c r="E3" s="1574"/>
      <c r="F3" s="1574"/>
      <c r="G3" s="2538"/>
      <c r="H3" s="2538"/>
      <c r="I3" s="2538"/>
      <c r="J3" s="2538"/>
      <c r="L3" s="1576"/>
      <c r="M3" s="1577"/>
      <c r="N3" s="1577"/>
      <c r="O3" s="1577"/>
      <c r="P3" s="1577"/>
      <c r="Q3" s="1577"/>
      <c r="R3" s="1577"/>
      <c r="S3" s="1577"/>
      <c r="T3" s="1577"/>
      <c r="V3" s="1573"/>
      <c r="W3" s="1574"/>
      <c r="X3" s="1574"/>
    </row>
    <row r="4" spans="1:28" s="1575" customFormat="1" ht="43.5" hidden="1" customHeight="1">
      <c r="A4" s="1943"/>
      <c r="B4" s="1572"/>
      <c r="C4" s="1835"/>
      <c r="D4" s="1581"/>
      <c r="E4" s="1574"/>
      <c r="F4" s="1574"/>
      <c r="G4" s="1583"/>
      <c r="H4" s="1582"/>
      <c r="I4" s="1582"/>
      <c r="J4" s="1584"/>
      <c r="L4" s="1576"/>
      <c r="M4" s="1577"/>
      <c r="N4" s="1577"/>
      <c r="O4" s="1577"/>
      <c r="P4" s="1577"/>
      <c r="Q4" s="1577"/>
      <c r="R4" s="1577"/>
      <c r="S4" s="1577"/>
      <c r="T4" s="1577"/>
      <c r="V4" s="1581"/>
      <c r="W4" s="1582"/>
      <c r="X4" s="1582"/>
    </row>
    <row r="5" spans="1:28" s="1575" customFormat="1" ht="23.25" customHeight="1">
      <c r="A5" s="2361" t="s">
        <v>1847</v>
      </c>
      <c r="B5" s="2361"/>
      <c r="C5" s="2361"/>
      <c r="D5" s="2361"/>
      <c r="E5" s="2361"/>
      <c r="F5" s="2361"/>
      <c r="G5" s="2361"/>
      <c r="H5" s="2361"/>
      <c r="I5" s="2361"/>
      <c r="J5" s="2361"/>
      <c r="K5" s="2361"/>
      <c r="L5" s="2361"/>
      <c r="M5" s="2361"/>
      <c r="N5" s="2361"/>
      <c r="O5" s="2361"/>
      <c r="P5" s="2361"/>
      <c r="Q5" s="2361"/>
      <c r="R5" s="2361"/>
      <c r="S5" s="2361"/>
      <c r="T5" s="2361"/>
      <c r="U5" s="2361"/>
      <c r="V5" s="2361"/>
      <c r="W5" s="2361"/>
      <c r="X5" s="2361"/>
    </row>
    <row r="6" spans="1:28" s="1575" customFormat="1" ht="33" customHeight="1">
      <c r="A6" s="2361" t="s">
        <v>236</v>
      </c>
      <c r="B6" s="2361"/>
      <c r="C6" s="2361"/>
      <c r="D6" s="2361"/>
      <c r="E6" s="2361"/>
      <c r="F6" s="2361"/>
      <c r="G6" s="2361"/>
      <c r="H6" s="2361"/>
      <c r="I6" s="2361"/>
      <c r="J6" s="2361"/>
      <c r="K6" s="2361"/>
      <c r="L6" s="2361"/>
      <c r="M6" s="2361"/>
      <c r="N6" s="2361"/>
      <c r="O6" s="2361"/>
      <c r="P6" s="2361"/>
      <c r="Q6" s="2361"/>
      <c r="R6" s="2361"/>
      <c r="S6" s="2361"/>
      <c r="T6" s="2361"/>
      <c r="U6" s="2361"/>
      <c r="V6" s="2361"/>
      <c r="W6" s="2361"/>
      <c r="X6" s="2361"/>
    </row>
    <row r="7" spans="1:28" s="1575" customFormat="1" ht="33" customHeight="1">
      <c r="A7" s="2597" t="s">
        <v>615</v>
      </c>
      <c r="B7" s="2597"/>
      <c r="C7" s="2597"/>
      <c r="D7" s="2597"/>
      <c r="E7" s="2597"/>
      <c r="F7" s="2597"/>
      <c r="G7" s="2597"/>
      <c r="H7" s="2597"/>
      <c r="I7" s="2597"/>
      <c r="J7" s="2597"/>
      <c r="K7" s="2597"/>
      <c r="L7" s="2597"/>
      <c r="M7" s="2597"/>
      <c r="N7" s="2597"/>
      <c r="O7" s="2597"/>
      <c r="P7" s="2597"/>
      <c r="Q7" s="2597"/>
      <c r="R7" s="2597"/>
      <c r="S7" s="2597"/>
      <c r="T7" s="2597"/>
      <c r="U7" s="2597"/>
      <c r="V7" s="2597"/>
      <c r="W7" s="2597"/>
      <c r="X7" s="2597"/>
    </row>
    <row r="8" spans="1:28" s="1575" customFormat="1" ht="27" customHeight="1">
      <c r="A8" s="2361" t="s">
        <v>1850</v>
      </c>
      <c r="B8" s="2361"/>
      <c r="C8" s="2361"/>
      <c r="D8" s="2361"/>
      <c r="E8" s="2361"/>
      <c r="F8" s="2361"/>
      <c r="G8" s="2361"/>
      <c r="H8" s="2361"/>
      <c r="I8" s="2361"/>
      <c r="J8" s="2361"/>
      <c r="K8" s="2361"/>
      <c r="L8" s="2361"/>
      <c r="M8" s="2361"/>
      <c r="N8" s="2361"/>
      <c r="O8" s="2361"/>
      <c r="P8" s="2361"/>
      <c r="Q8" s="2361"/>
      <c r="R8" s="2361"/>
      <c r="S8" s="2361"/>
      <c r="T8" s="2361"/>
      <c r="U8" s="2361"/>
      <c r="V8" s="2361"/>
      <c r="W8" s="2361"/>
      <c r="X8" s="2361"/>
    </row>
    <row r="9" spans="1:28" s="1575" customFormat="1">
      <c r="A9" s="1943"/>
      <c r="B9" s="1571"/>
      <c r="C9" s="1835"/>
      <c r="D9" s="1587"/>
      <c r="E9" s="1660"/>
      <c r="F9" s="1661"/>
      <c r="G9" s="1587"/>
      <c r="H9" s="1591"/>
      <c r="I9" s="1591"/>
      <c r="J9" s="1585"/>
      <c r="K9" s="2533" t="s">
        <v>377</v>
      </c>
      <c r="L9" s="2533"/>
      <c r="M9" s="1577"/>
      <c r="N9" s="1863"/>
      <c r="O9" s="1591"/>
      <c r="P9" s="1591"/>
      <c r="Q9" s="1591"/>
      <c r="R9" s="1661"/>
      <c r="S9" s="1661"/>
      <c r="T9" s="1661" t="s">
        <v>1314</v>
      </c>
      <c r="W9" s="1661"/>
      <c r="X9" s="1589"/>
    </row>
    <row r="10" spans="1:28" ht="42.75" customHeight="1">
      <c r="A10" s="2563" t="s">
        <v>18</v>
      </c>
      <c r="B10" s="2380" t="s">
        <v>0</v>
      </c>
      <c r="C10" s="2564" t="s">
        <v>1535</v>
      </c>
      <c r="D10" s="2573" t="s">
        <v>1813</v>
      </c>
      <c r="E10" s="2542" t="s">
        <v>257</v>
      </c>
      <c r="F10" s="2542"/>
      <c r="G10" s="2374" t="s">
        <v>1672</v>
      </c>
      <c r="H10" s="2542" t="s">
        <v>257</v>
      </c>
      <c r="I10" s="2542"/>
      <c r="J10" s="2374" t="s">
        <v>1313</v>
      </c>
      <c r="K10" s="2542" t="s">
        <v>257</v>
      </c>
      <c r="L10" s="2542"/>
      <c r="M10" s="2550" t="s">
        <v>1110</v>
      </c>
      <c r="N10" s="2550" t="s">
        <v>1106</v>
      </c>
      <c r="O10" s="2374" t="s">
        <v>1643</v>
      </c>
      <c r="P10" s="2542" t="s">
        <v>257</v>
      </c>
      <c r="Q10" s="2542"/>
      <c r="R10" s="2374" t="s">
        <v>1644</v>
      </c>
      <c r="S10" s="2542" t="s">
        <v>257</v>
      </c>
      <c r="T10" s="2542"/>
      <c r="V10" s="2374" t="s">
        <v>1845</v>
      </c>
      <c r="W10" s="2542" t="s">
        <v>257</v>
      </c>
      <c r="X10" s="2542"/>
    </row>
    <row r="11" spans="1:28" ht="129" customHeight="1">
      <c r="A11" s="2563"/>
      <c r="B11" s="2380"/>
      <c r="C11" s="2564"/>
      <c r="D11" s="2575"/>
      <c r="E11" s="709" t="s">
        <v>1814</v>
      </c>
      <c r="F11" s="709" t="s">
        <v>258</v>
      </c>
      <c r="G11" s="2374"/>
      <c r="H11" s="709" t="s">
        <v>1074</v>
      </c>
      <c r="I11" s="709" t="s">
        <v>258</v>
      </c>
      <c r="J11" s="2374"/>
      <c r="K11" s="709" t="s">
        <v>1816</v>
      </c>
      <c r="L11" s="709" t="s">
        <v>258</v>
      </c>
      <c r="M11" s="2550"/>
      <c r="N11" s="2550"/>
      <c r="O11" s="2374"/>
      <c r="P11" s="709" t="s">
        <v>1074</v>
      </c>
      <c r="Q11" s="709" t="s">
        <v>258</v>
      </c>
      <c r="R11" s="2374"/>
      <c r="S11" s="709" t="s">
        <v>1074</v>
      </c>
      <c r="T11" s="709" t="s">
        <v>258</v>
      </c>
      <c r="V11" s="2374"/>
      <c r="W11" s="709" t="s">
        <v>1815</v>
      </c>
      <c r="X11" s="709" t="s">
        <v>258</v>
      </c>
    </row>
    <row r="12" spans="1:28">
      <c r="A12" s="2211">
        <v>1</v>
      </c>
      <c r="B12" s="507">
        <v>2</v>
      </c>
      <c r="C12" s="2211"/>
      <c r="D12" s="507">
        <v>3</v>
      </c>
      <c r="E12" s="2211">
        <v>3.71428571428571</v>
      </c>
      <c r="F12" s="507">
        <v>5</v>
      </c>
      <c r="G12" s="2211">
        <v>6</v>
      </c>
      <c r="H12" s="507">
        <v>7</v>
      </c>
      <c r="I12" s="2211">
        <v>8</v>
      </c>
      <c r="J12" s="507">
        <v>9</v>
      </c>
      <c r="K12" s="2211">
        <v>10</v>
      </c>
      <c r="L12" s="507">
        <v>11</v>
      </c>
      <c r="M12" s="2211">
        <v>8.8571428571428505</v>
      </c>
      <c r="N12" s="507">
        <v>9.5</v>
      </c>
      <c r="O12" s="2211">
        <v>10.1428571428571</v>
      </c>
      <c r="P12" s="507">
        <v>10.785714285714301</v>
      </c>
      <c r="Q12" s="2211">
        <v>11.4285714285714</v>
      </c>
      <c r="R12" s="507">
        <v>12.0714285714285</v>
      </c>
      <c r="S12" s="2211">
        <v>12.714285714285699</v>
      </c>
      <c r="T12" s="507">
        <v>13.357142857142801</v>
      </c>
      <c r="U12" s="2211">
        <v>14</v>
      </c>
      <c r="V12" s="507">
        <v>12</v>
      </c>
      <c r="W12" s="2211">
        <v>13</v>
      </c>
      <c r="X12" s="507">
        <v>14</v>
      </c>
    </row>
    <row r="13" spans="1:28" s="791" customFormat="1" ht="23.25">
      <c r="A13" s="2211"/>
      <c r="B13" s="2210" t="s">
        <v>10</v>
      </c>
      <c r="C13" s="2212"/>
      <c r="D13" s="2217">
        <f>SUM(D14:D20)</f>
        <v>1206979.1000000001</v>
      </c>
      <c r="E13" s="2217">
        <f t="shared" ref="E13:I13" si="0">SUM(E14:E20)</f>
        <v>861082</v>
      </c>
      <c r="F13" s="2217">
        <f t="shared" si="0"/>
        <v>345897.1</v>
      </c>
      <c r="G13" s="2217">
        <f t="shared" si="0"/>
        <v>264691.3</v>
      </c>
      <c r="H13" s="2217">
        <f t="shared" si="0"/>
        <v>193821</v>
      </c>
      <c r="I13" s="2217">
        <f t="shared" si="0"/>
        <v>70870.3</v>
      </c>
      <c r="J13" s="2217">
        <f t="shared" ref="J13:U13" si="1">SUM(J14:J19)</f>
        <v>115.36</v>
      </c>
      <c r="K13" s="2217">
        <f t="shared" si="1"/>
        <v>113.14</v>
      </c>
      <c r="L13" s="2217">
        <f t="shared" si="1"/>
        <v>120.44</v>
      </c>
      <c r="M13" s="2217">
        <f t="shared" si="1"/>
        <v>0</v>
      </c>
      <c r="N13" s="2217">
        <f t="shared" si="1"/>
        <v>0</v>
      </c>
      <c r="O13" s="2217">
        <f t="shared" si="1"/>
        <v>817843</v>
      </c>
      <c r="P13" s="2217">
        <f t="shared" si="1"/>
        <v>481854.2</v>
      </c>
      <c r="Q13" s="2217">
        <f t="shared" si="1"/>
        <v>335988.8</v>
      </c>
      <c r="R13" s="2217">
        <f t="shared" si="1"/>
        <v>1775471.2</v>
      </c>
      <c r="S13" s="2217">
        <f t="shared" si="1"/>
        <v>1757716.4</v>
      </c>
      <c r="T13" s="2217">
        <f t="shared" si="1"/>
        <v>17754.8</v>
      </c>
      <c r="U13" s="2217" t="e">
        <f t="shared" si="1"/>
        <v>#REF!</v>
      </c>
      <c r="V13" s="2217">
        <f t="shared" ref="V13" si="2">SUM(V14:V20)</f>
        <v>606856.1</v>
      </c>
      <c r="W13" s="2217">
        <f t="shared" ref="W13" si="3">SUM(W14:W20)</f>
        <v>67618.3</v>
      </c>
      <c r="X13" s="2217">
        <f t="shared" ref="X13" si="4">SUM(X14:X20)</f>
        <v>539237.80000000005</v>
      </c>
      <c r="Y13" s="1423"/>
      <c r="Z13" s="1423"/>
      <c r="AA13" s="1423"/>
      <c r="AB13" s="1423"/>
    </row>
    <row r="14" spans="1:28" ht="64.5" customHeight="1">
      <c r="A14" s="2211">
        <v>1</v>
      </c>
      <c r="B14" s="525" t="s">
        <v>1407</v>
      </c>
      <c r="C14" s="2211" t="s">
        <v>1538</v>
      </c>
      <c r="D14" s="2217">
        <f t="shared" ref="D14" si="5">SUM(E14:F14)</f>
        <v>5580.7</v>
      </c>
      <c r="E14" s="2218"/>
      <c r="F14" s="2218">
        <f>18602.2-13021.5</f>
        <v>5580.7</v>
      </c>
      <c r="G14" s="2217">
        <f t="shared" ref="G14" si="6">SUM(H14:I14)</f>
        <v>0</v>
      </c>
      <c r="H14" s="2218"/>
      <c r="I14" s="2218"/>
      <c r="J14" s="2227">
        <f t="shared" ref="J14:J15" si="7">IF(G14=0,0,G14/D14*100)</f>
        <v>0</v>
      </c>
      <c r="K14" s="2227">
        <f t="shared" ref="K14:K15" si="8">IF(H14=0,0,H14/E14*100)</f>
        <v>0</v>
      </c>
      <c r="L14" s="2227">
        <f t="shared" ref="L14:L15" si="9">IF(I14=0,0,I14/F14*100)</f>
        <v>0</v>
      </c>
      <c r="M14" s="2219" t="s">
        <v>1171</v>
      </c>
      <c r="N14" s="2219" t="s">
        <v>1111</v>
      </c>
      <c r="O14" s="2220">
        <f t="shared" ref="O14" si="10">SUM(P14:Q14)</f>
        <v>0</v>
      </c>
      <c r="P14" s="2221">
        <v>0</v>
      </c>
      <c r="Q14" s="2221">
        <v>0</v>
      </c>
      <c r="R14" s="2220">
        <f t="shared" ref="R14" si="11">SUM(S14:T14)</f>
        <v>0</v>
      </c>
      <c r="S14" s="2221">
        <v>0</v>
      </c>
      <c r="T14" s="2221">
        <v>0</v>
      </c>
      <c r="U14" s="2228" t="e">
        <f>D14-#REF!</f>
        <v>#REF!</v>
      </c>
      <c r="V14" s="2217">
        <f t="shared" ref="V14" si="12">SUM(W14:X14)</f>
        <v>13021.5</v>
      </c>
      <c r="W14" s="2229"/>
      <c r="X14" s="2229">
        <v>13021.5</v>
      </c>
      <c r="Y14" s="1423"/>
      <c r="Z14" s="1423"/>
      <c r="AA14" s="1423"/>
    </row>
    <row r="15" spans="1:28" s="484" customFormat="1" ht="168.75" customHeight="1">
      <c r="A15" s="2214">
        <f>A14+1</f>
        <v>2</v>
      </c>
      <c r="B15" s="1885" t="s">
        <v>1412</v>
      </c>
      <c r="C15" s="1904" t="s">
        <v>1632</v>
      </c>
      <c r="D15" s="2217">
        <f t="shared" ref="D15" si="13">SUM(E15:F15)</f>
        <v>90926.2</v>
      </c>
      <c r="E15" s="2218">
        <v>90016.8</v>
      </c>
      <c r="F15" s="2218">
        <v>909.4</v>
      </c>
      <c r="G15" s="2217">
        <f t="shared" ref="G15" si="14">SUM(H15:I15)</f>
        <v>90600.3</v>
      </c>
      <c r="H15" s="2221">
        <v>89694.3</v>
      </c>
      <c r="I15" s="2221">
        <v>906</v>
      </c>
      <c r="J15" s="2227">
        <f t="shared" si="7"/>
        <v>99.64</v>
      </c>
      <c r="K15" s="2227">
        <f t="shared" si="8"/>
        <v>99.64</v>
      </c>
      <c r="L15" s="2227">
        <f t="shared" si="9"/>
        <v>99.63</v>
      </c>
      <c r="M15" s="2219" t="s">
        <v>1171</v>
      </c>
      <c r="N15" s="2219" t="s">
        <v>1659</v>
      </c>
      <c r="O15" s="2217">
        <f t="shared" ref="O15" si="15">SUM(P15:Q15)</f>
        <v>486721.3</v>
      </c>
      <c r="P15" s="2218">
        <v>481854.2</v>
      </c>
      <c r="Q15" s="2218">
        <v>4867.1000000000004</v>
      </c>
      <c r="R15" s="2217">
        <f t="shared" ref="R15" si="16">SUM(S15:T15)</f>
        <v>1775471.2</v>
      </c>
      <c r="S15" s="2218">
        <v>1757716.4</v>
      </c>
      <c r="T15" s="2218">
        <v>17754.8</v>
      </c>
      <c r="U15" s="2228" t="e">
        <f>D15-#REF!</f>
        <v>#REF!</v>
      </c>
      <c r="V15" s="2217">
        <f t="shared" ref="V15" si="17">SUM(W15:X15)</f>
        <v>68301.2</v>
      </c>
      <c r="W15" s="2218">
        <v>67618.3</v>
      </c>
      <c r="X15" s="2218">
        <v>682.9</v>
      </c>
      <c r="Y15" s="1423"/>
      <c r="Z15" s="1423"/>
      <c r="AA15" s="1423"/>
    </row>
    <row r="16" spans="1:28" ht="45" customHeight="1">
      <c r="A16" s="2213">
        <f>A15+1</f>
        <v>3</v>
      </c>
      <c r="B16" s="2232" t="s">
        <v>1460</v>
      </c>
      <c r="C16" s="2215" t="s">
        <v>1547</v>
      </c>
      <c r="D16" s="2222">
        <f>SUM(E16:F16)</f>
        <v>1107192.2</v>
      </c>
      <c r="E16" s="2223">
        <v>771065.2</v>
      </c>
      <c r="F16" s="2223">
        <f>324236.5+11890.5</f>
        <v>336127</v>
      </c>
      <c r="G16" s="2222">
        <f>SUM(H16:I16)</f>
        <v>174091</v>
      </c>
      <c r="H16" s="2223">
        <v>104126.7</v>
      </c>
      <c r="I16" s="2223">
        <v>69964.3</v>
      </c>
      <c r="J16" s="2230">
        <f>IF(G16=0,0,G16/D16*100)</f>
        <v>15.72</v>
      </c>
      <c r="K16" s="2230">
        <f t="shared" ref="K16:L16" si="18">IF(H16=0,0,H16/E16*100)</f>
        <v>13.5</v>
      </c>
      <c r="L16" s="2230">
        <f t="shared" si="18"/>
        <v>20.81</v>
      </c>
      <c r="M16" s="2224" t="s">
        <v>1192</v>
      </c>
      <c r="N16" s="2224" t="s">
        <v>1159</v>
      </c>
      <c r="O16" s="2222">
        <f t="shared" ref="O16" si="19">SUM(P16:Q16)</f>
        <v>331121.7</v>
      </c>
      <c r="P16" s="2223">
        <v>0</v>
      </c>
      <c r="Q16" s="2223">
        <v>331121.7</v>
      </c>
      <c r="R16" s="2222">
        <f t="shared" ref="R16" si="20">SUM(S16:T16)</f>
        <v>0</v>
      </c>
      <c r="S16" s="2223">
        <v>0</v>
      </c>
      <c r="T16" s="2223">
        <v>0</v>
      </c>
      <c r="U16" s="2228" t="e">
        <f>D16-#REF!</f>
        <v>#REF!</v>
      </c>
      <c r="V16" s="2222">
        <f>SUM(W16:X16)</f>
        <v>471379</v>
      </c>
      <c r="W16" s="2223"/>
      <c r="X16" s="2223">
        <v>471379</v>
      </c>
      <c r="Y16" s="1423"/>
      <c r="Z16" s="1423"/>
      <c r="AA16" s="1423"/>
    </row>
    <row r="17" spans="1:27" ht="42.75" customHeight="1">
      <c r="A17" s="2211">
        <v>5</v>
      </c>
      <c r="B17" s="2233" t="s">
        <v>1848</v>
      </c>
      <c r="C17" s="2216"/>
      <c r="D17" s="2220">
        <f t="shared" ref="D17:D18" si="21">SUM(E17:F17)</f>
        <v>0</v>
      </c>
      <c r="E17" s="2218"/>
      <c r="F17" s="2218"/>
      <c r="G17" s="2220">
        <f t="shared" ref="G17:G18" si="22">SUM(H17:I17)</f>
        <v>0</v>
      </c>
      <c r="H17" s="2218"/>
      <c r="I17" s="2218"/>
      <c r="J17" s="2227">
        <f t="shared" ref="J17:J18" si="23">IF(G17=0,0,G17/D17*100)</f>
        <v>0</v>
      </c>
      <c r="K17" s="2227">
        <f t="shared" ref="K17:K19" si="24">IF(H17=0,0,H17/E17*100)</f>
        <v>0</v>
      </c>
      <c r="L17" s="2227">
        <f t="shared" ref="L17:L19" si="25">IF(I17=0,0,I17/F17*100)</f>
        <v>0</v>
      </c>
      <c r="M17" s="2219"/>
      <c r="N17" s="2219"/>
      <c r="O17" s="2219"/>
      <c r="P17" s="2219"/>
      <c r="Q17" s="2219"/>
      <c r="R17" s="2219"/>
      <c r="S17" s="2219"/>
      <c r="T17" s="2219"/>
      <c r="U17" s="2218"/>
      <c r="V17" s="2220">
        <f t="shared" ref="V17:V18" si="26">SUM(W17:X17)</f>
        <v>2930</v>
      </c>
      <c r="W17" s="2218"/>
      <c r="X17" s="2231">
        <v>2930</v>
      </c>
    </row>
    <row r="18" spans="1:27" ht="42.75" customHeight="1">
      <c r="A18" s="2211">
        <v>6</v>
      </c>
      <c r="B18" s="2234" t="s">
        <v>1849</v>
      </c>
      <c r="C18" s="2216"/>
      <c r="D18" s="2220">
        <f t="shared" si="21"/>
        <v>0</v>
      </c>
      <c r="E18" s="2218"/>
      <c r="F18" s="2218"/>
      <c r="G18" s="2220">
        <f t="shared" si="22"/>
        <v>0</v>
      </c>
      <c r="H18" s="2218"/>
      <c r="I18" s="2218"/>
      <c r="J18" s="2227">
        <f t="shared" si="23"/>
        <v>0</v>
      </c>
      <c r="K18" s="2227">
        <f t="shared" si="24"/>
        <v>0</v>
      </c>
      <c r="L18" s="2227">
        <f t="shared" si="25"/>
        <v>0</v>
      </c>
      <c r="M18" s="2219"/>
      <c r="N18" s="2219"/>
      <c r="O18" s="2219"/>
      <c r="P18" s="2219"/>
      <c r="Q18" s="2219"/>
      <c r="R18" s="2219"/>
      <c r="S18" s="2219"/>
      <c r="T18" s="2219"/>
      <c r="U18" s="2218"/>
      <c r="V18" s="2220">
        <f t="shared" si="26"/>
        <v>10224.4</v>
      </c>
      <c r="W18" s="2218"/>
      <c r="X18" s="2218">
        <v>10224.4</v>
      </c>
    </row>
    <row r="19" spans="1:27" s="1566" customFormat="1" ht="140.25" customHeight="1">
      <c r="A19" s="2211" t="s">
        <v>146</v>
      </c>
      <c r="B19" s="2235" t="s">
        <v>1420</v>
      </c>
      <c r="C19" s="1866">
        <v>24340</v>
      </c>
      <c r="D19" s="2220">
        <f t="shared" ref="D19:D20" si="27">SUM(E19:F19)</f>
        <v>3280</v>
      </c>
      <c r="E19" s="2231"/>
      <c r="F19" s="2231">
        <f>3840-560</f>
        <v>3280</v>
      </c>
      <c r="G19" s="2220">
        <f t="shared" ref="G19:G20" si="28">SUM(H19:I19)</f>
        <v>0</v>
      </c>
      <c r="H19" s="2231"/>
      <c r="I19" s="2231"/>
      <c r="J19" s="2227">
        <f>IF(G19=0,0,G19/D19*100)</f>
        <v>0</v>
      </c>
      <c r="K19" s="2227">
        <f t="shared" si="24"/>
        <v>0</v>
      </c>
      <c r="L19" s="2227">
        <f t="shared" si="25"/>
        <v>0</v>
      </c>
      <c r="M19" s="2225"/>
      <c r="N19" s="2225"/>
      <c r="O19" s="2217">
        <f t="shared" ref="O19" si="29">SUM(P19:Q19)</f>
        <v>0</v>
      </c>
      <c r="P19" s="2226">
        <v>0</v>
      </c>
      <c r="Q19" s="2226">
        <v>0</v>
      </c>
      <c r="R19" s="2217">
        <f t="shared" ref="R19" si="30">SUM(S19:T19)</f>
        <v>0</v>
      </c>
      <c r="S19" s="2226">
        <v>0</v>
      </c>
      <c r="T19" s="2226">
        <v>0</v>
      </c>
      <c r="U19" s="835" t="e">
        <f>D19-#REF!</f>
        <v>#REF!</v>
      </c>
      <c r="V19" s="2220">
        <f t="shared" ref="V19:V20" si="31">SUM(W19:X19)</f>
        <v>40000</v>
      </c>
      <c r="W19" s="2231"/>
      <c r="X19" s="2231">
        <v>40000</v>
      </c>
      <c r="Y19" s="1423"/>
      <c r="Z19" s="1423"/>
      <c r="AA19" s="1423"/>
    </row>
    <row r="20" spans="1:27" ht="66" customHeight="1">
      <c r="A20" s="2214" t="s">
        <v>147</v>
      </c>
      <c r="B20" s="2233" t="s">
        <v>1851</v>
      </c>
      <c r="C20" s="2216"/>
      <c r="D20" s="2220">
        <f t="shared" si="27"/>
        <v>0</v>
      </c>
      <c r="E20" s="2218"/>
      <c r="F20" s="2218"/>
      <c r="G20" s="2220">
        <f t="shared" si="28"/>
        <v>0</v>
      </c>
      <c r="H20" s="2218"/>
      <c r="I20" s="2218"/>
      <c r="J20" s="2227">
        <f>IF(G20=0,0,G20/D20*100)</f>
        <v>0</v>
      </c>
      <c r="K20" s="2227">
        <f t="shared" ref="K20" si="32">IF(H20=0,0,H20/E20*100)</f>
        <v>0</v>
      </c>
      <c r="L20" s="2227">
        <f t="shared" ref="L20" si="33">IF(I20=0,0,I20/F20*100)</f>
        <v>0</v>
      </c>
      <c r="M20" s="2219"/>
      <c r="N20" s="2219"/>
      <c r="O20" s="2219"/>
      <c r="P20" s="2219"/>
      <c r="Q20" s="2219"/>
      <c r="R20" s="2219"/>
      <c r="S20" s="2219"/>
      <c r="T20" s="2219"/>
      <c r="U20" s="2218"/>
      <c r="V20" s="2220">
        <f t="shared" si="31"/>
        <v>1000</v>
      </c>
      <c r="W20" s="2218"/>
      <c r="X20" s="2218">
        <v>1000</v>
      </c>
    </row>
  </sheetData>
  <autoFilter ref="A12:L16"/>
  <mergeCells count="25">
    <mergeCell ref="V10:V11"/>
    <mergeCell ref="W10:X10"/>
    <mergeCell ref="A5:X5"/>
    <mergeCell ref="A6:X6"/>
    <mergeCell ref="A7:X7"/>
    <mergeCell ref="A8:X8"/>
    <mergeCell ref="R10:R11"/>
    <mergeCell ref="S10:T10"/>
    <mergeCell ref="J10:J11"/>
    <mergeCell ref="K10:L10"/>
    <mergeCell ref="M10:M11"/>
    <mergeCell ref="N10:N11"/>
    <mergeCell ref="O10:O11"/>
    <mergeCell ref="P10:Q10"/>
    <mergeCell ref="K9:L9"/>
    <mergeCell ref="A10:A11"/>
    <mergeCell ref="H10:I10"/>
    <mergeCell ref="A1:B1"/>
    <mergeCell ref="I1:L1"/>
    <mergeCell ref="G3:J3"/>
    <mergeCell ref="B10:B11"/>
    <mergeCell ref="C10:C11"/>
    <mergeCell ref="D10:D11"/>
    <mergeCell ref="E10:F10"/>
    <mergeCell ref="G10:G11"/>
  </mergeCells>
  <pageMargins left="0.2" right="0.11811023622047245" top="0.55118110236220474" bottom="0.35433070866141736" header="0.31496062992125984" footer="0.15748031496062992"/>
  <pageSetup paperSize="9" scale="57"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K75"/>
  <sheetViews>
    <sheetView topLeftCell="A2" zoomScaleSheetLayoutView="100" workbookViewId="0">
      <selection activeCell="A5" sqref="A5:IV7"/>
    </sheetView>
  </sheetViews>
  <sheetFormatPr defaultColWidth="9.140625" defaultRowHeight="12.75"/>
  <cols>
    <col min="1" max="1" width="4.85546875" style="306" customWidth="1"/>
    <col min="2" max="2" width="83.85546875" style="238" customWidth="1"/>
    <col min="3" max="3" width="15.85546875" style="308" customWidth="1"/>
    <col min="4" max="6" width="15.85546875" style="238" customWidth="1"/>
    <col min="7" max="16384" width="9.140625" style="238"/>
  </cols>
  <sheetData>
    <row r="1" spans="1:9" hidden="1">
      <c r="A1" s="2297" t="s">
        <v>78</v>
      </c>
      <c r="B1" s="2297"/>
      <c r="C1" s="278"/>
    </row>
    <row r="2" spans="1:9">
      <c r="A2" s="318"/>
      <c r="B2" s="318"/>
      <c r="C2" s="318"/>
      <c r="F2" s="318" t="s">
        <v>241</v>
      </c>
    </row>
    <row r="3" spans="1:9" s="281" customFormat="1" ht="15">
      <c r="C3" s="282"/>
      <c r="D3" s="282"/>
      <c r="E3" s="2301" t="s">
        <v>239</v>
      </c>
      <c r="F3" s="2301"/>
      <c r="H3" s="283"/>
      <c r="I3" s="283"/>
    </row>
    <row r="4" spans="1:9" s="281" customFormat="1">
      <c r="C4" s="282"/>
      <c r="D4" s="284"/>
      <c r="E4" s="284"/>
      <c r="F4" s="284"/>
      <c r="H4" s="283"/>
      <c r="I4" s="283"/>
    </row>
    <row r="5" spans="1:9" s="281" customFormat="1">
      <c r="C5" s="282"/>
      <c r="D5" s="284"/>
      <c r="E5" s="284"/>
      <c r="F5" s="284"/>
      <c r="H5" s="283"/>
      <c r="I5" s="283"/>
    </row>
    <row r="6" spans="1:9" s="281" customFormat="1">
      <c r="C6" s="282"/>
      <c r="D6" s="285"/>
      <c r="E6" s="285"/>
      <c r="F6" s="287"/>
      <c r="H6" s="283"/>
      <c r="I6" s="283"/>
    </row>
    <row r="7" spans="1:9" s="281" customFormat="1" ht="14.25">
      <c r="A7" s="2300" t="s">
        <v>5</v>
      </c>
      <c r="B7" s="2300"/>
      <c r="C7" s="2300"/>
      <c r="D7" s="2300"/>
      <c r="E7" s="2300"/>
      <c r="F7" s="2300"/>
      <c r="H7" s="283"/>
      <c r="I7" s="283"/>
    </row>
    <row r="8" spans="1:9" s="281" customFormat="1" ht="15">
      <c r="A8" s="288"/>
      <c r="B8" s="288"/>
      <c r="C8" s="2302"/>
      <c r="D8" s="2302"/>
      <c r="E8" s="2302"/>
      <c r="F8" s="288"/>
      <c r="H8" s="283"/>
      <c r="I8" s="283"/>
    </row>
    <row r="9" spans="1:9" s="281" customFormat="1" ht="12.75" customHeight="1">
      <c r="A9" s="2300" t="s">
        <v>236</v>
      </c>
      <c r="B9" s="2300"/>
      <c r="C9" s="2300"/>
      <c r="D9" s="2300"/>
      <c r="E9" s="2300"/>
      <c r="F9" s="2300"/>
      <c r="H9" s="283"/>
      <c r="I9" s="283"/>
    </row>
    <row r="10" spans="1:9" s="281" customFormat="1" ht="14.25">
      <c r="A10" s="2300" t="s">
        <v>229</v>
      </c>
      <c r="B10" s="2300"/>
      <c r="C10" s="2300"/>
      <c r="D10" s="2300"/>
      <c r="E10" s="2300"/>
      <c r="F10" s="2300"/>
      <c r="H10" s="283"/>
      <c r="I10" s="283"/>
    </row>
    <row r="11" spans="1:9" s="281" customFormat="1">
      <c r="A11" s="286"/>
      <c r="B11" s="286"/>
      <c r="C11" s="286"/>
      <c r="D11" s="286"/>
      <c r="E11" s="286"/>
      <c r="F11" s="286"/>
      <c r="H11" s="283"/>
      <c r="I11" s="283"/>
    </row>
    <row r="12" spans="1:9" s="281" customFormat="1" ht="15">
      <c r="A12" s="286"/>
      <c r="B12" s="286"/>
      <c r="C12" s="286"/>
      <c r="D12" s="286"/>
      <c r="E12" s="286"/>
      <c r="F12" s="309" t="s">
        <v>230</v>
      </c>
      <c r="H12" s="283"/>
      <c r="I12" s="283"/>
    </row>
    <row r="13" spans="1:9" s="300" customFormat="1" ht="76.5" customHeight="1">
      <c r="A13" s="2304" t="s">
        <v>18</v>
      </c>
      <c r="B13" s="2290" t="s">
        <v>0</v>
      </c>
      <c r="C13" s="2306" t="s">
        <v>233</v>
      </c>
      <c r="D13" s="2306" t="s">
        <v>235</v>
      </c>
      <c r="E13" s="2306" t="s">
        <v>237</v>
      </c>
      <c r="F13" s="2306" t="s">
        <v>238</v>
      </c>
    </row>
    <row r="14" spans="1:9" s="300" customFormat="1" ht="37.5" customHeight="1">
      <c r="A14" s="2305"/>
      <c r="B14" s="2290"/>
      <c r="C14" s="2306"/>
      <c r="D14" s="2306"/>
      <c r="E14" s="2306"/>
      <c r="F14" s="2306"/>
    </row>
    <row r="15" spans="1:9">
      <c r="A15" s="179">
        <v>1</v>
      </c>
      <c r="B15" s="180">
        <v>2</v>
      </c>
      <c r="C15" s="263"/>
      <c r="D15" s="289"/>
      <c r="E15" s="289"/>
      <c r="F15" s="289"/>
    </row>
    <row r="16" spans="1:9" s="293" customFormat="1" ht="30" customHeight="1">
      <c r="A16" s="290"/>
      <c r="B16" s="291" t="s">
        <v>10</v>
      </c>
      <c r="C16" s="264"/>
      <c r="D16" s="292"/>
      <c r="E16" s="292"/>
      <c r="F16" s="292"/>
    </row>
    <row r="17" spans="1:6" ht="15.75">
      <c r="A17" s="294"/>
      <c r="B17" s="211" t="s">
        <v>1</v>
      </c>
      <c r="C17" s="265"/>
      <c r="D17" s="289"/>
      <c r="E17" s="289"/>
      <c r="F17" s="289"/>
    </row>
    <row r="18" spans="1:6" ht="18" customHeight="1">
      <c r="A18" s="295"/>
      <c r="B18" s="188" t="s">
        <v>33</v>
      </c>
      <c r="C18" s="266"/>
      <c r="D18" s="289"/>
      <c r="E18" s="289"/>
      <c r="F18" s="289"/>
    </row>
    <row r="19" spans="1:6" ht="16.5" customHeight="1">
      <c r="A19" s="294"/>
      <c r="B19" s="188" t="s">
        <v>34</v>
      </c>
      <c r="C19" s="266"/>
      <c r="D19" s="289"/>
      <c r="E19" s="289"/>
      <c r="F19" s="289"/>
    </row>
    <row r="20" spans="1:6" s="297" customFormat="1" ht="35.25" customHeight="1">
      <c r="A20" s="2307" t="s">
        <v>228</v>
      </c>
      <c r="B20" s="2308"/>
      <c r="C20" s="267"/>
      <c r="D20" s="296"/>
      <c r="E20" s="296"/>
      <c r="F20" s="296"/>
    </row>
    <row r="21" spans="1:6" ht="45" customHeight="1">
      <c r="A21" s="241" t="s">
        <v>6</v>
      </c>
      <c r="B21" s="247" t="s">
        <v>15</v>
      </c>
      <c r="C21" s="268"/>
      <c r="D21" s="298"/>
      <c r="E21" s="298"/>
      <c r="F21" s="298"/>
    </row>
    <row r="22" spans="1:6" s="300" customFormat="1" ht="15.75" customHeight="1">
      <c r="A22" s="171" t="s">
        <v>30</v>
      </c>
      <c r="B22" s="215" t="s">
        <v>41</v>
      </c>
      <c r="C22" s="265"/>
      <c r="D22" s="299"/>
      <c r="E22" s="299"/>
      <c r="F22" s="299"/>
    </row>
    <row r="23" spans="1:6" s="300" customFormat="1" ht="15.75">
      <c r="A23" s="274"/>
      <c r="B23" s="301" t="s">
        <v>1</v>
      </c>
      <c r="C23" s="24"/>
      <c r="D23" s="299"/>
      <c r="E23" s="299"/>
      <c r="F23" s="299"/>
    </row>
    <row r="24" spans="1:6" s="300" customFormat="1" ht="15.75">
      <c r="A24" s="274"/>
      <c r="B24" s="275" t="s">
        <v>33</v>
      </c>
      <c r="C24" s="52"/>
      <c r="D24" s="299"/>
      <c r="E24" s="299"/>
      <c r="F24" s="299"/>
    </row>
    <row r="25" spans="1:6" s="300" customFormat="1" ht="15.75">
      <c r="A25" s="274"/>
      <c r="B25" s="275" t="s">
        <v>34</v>
      </c>
      <c r="C25" s="52"/>
      <c r="D25" s="299"/>
      <c r="E25" s="299"/>
      <c r="F25" s="299"/>
    </row>
    <row r="26" spans="1:6" s="303" customFormat="1" ht="15.75">
      <c r="A26" s="260" t="s">
        <v>50</v>
      </c>
      <c r="B26" s="261"/>
      <c r="C26" s="24"/>
      <c r="D26" s="302"/>
      <c r="E26" s="302"/>
      <c r="F26" s="302"/>
    </row>
    <row r="27" spans="1:6" s="300" customFormat="1" ht="15.75">
      <c r="A27" s="274"/>
      <c r="B27" s="301" t="s">
        <v>1</v>
      </c>
      <c r="C27" s="24"/>
      <c r="D27" s="299"/>
      <c r="E27" s="299"/>
      <c r="F27" s="299"/>
    </row>
    <row r="28" spans="1:6" s="300" customFormat="1" ht="15.75">
      <c r="A28" s="274"/>
      <c r="B28" s="277" t="s">
        <v>33</v>
      </c>
      <c r="C28" s="52"/>
      <c r="D28" s="299"/>
      <c r="E28" s="299"/>
      <c r="F28" s="299"/>
    </row>
    <row r="29" spans="1:6" s="300" customFormat="1" ht="15.75">
      <c r="A29" s="274"/>
      <c r="B29" s="277" t="s">
        <v>34</v>
      </c>
      <c r="C29" s="52"/>
      <c r="D29" s="299"/>
      <c r="E29" s="299"/>
      <c r="F29" s="299"/>
    </row>
    <row r="30" spans="1:6" s="303" customFormat="1" ht="15.75">
      <c r="A30" s="260" t="s">
        <v>4</v>
      </c>
      <c r="B30" s="262" t="s">
        <v>227</v>
      </c>
      <c r="C30" s="24"/>
      <c r="D30" s="302"/>
      <c r="E30" s="302"/>
      <c r="F30" s="302"/>
    </row>
    <row r="31" spans="1:6" s="300" customFormat="1" ht="15.75">
      <c r="A31" s="171" t="s">
        <v>31</v>
      </c>
      <c r="B31" s="215" t="s">
        <v>39</v>
      </c>
      <c r="C31" s="265"/>
      <c r="D31" s="299"/>
      <c r="E31" s="299"/>
      <c r="F31" s="299"/>
    </row>
    <row r="32" spans="1:6" s="303" customFormat="1" ht="15.75">
      <c r="A32" s="260" t="s">
        <v>50</v>
      </c>
      <c r="B32" s="261"/>
      <c r="C32" s="24"/>
      <c r="D32" s="302"/>
      <c r="E32" s="302"/>
      <c r="F32" s="302"/>
    </row>
    <row r="33" spans="1:6" s="303" customFormat="1" ht="15.75">
      <c r="A33" s="260" t="s">
        <v>4</v>
      </c>
      <c r="B33" s="262"/>
      <c r="C33" s="24"/>
      <c r="D33" s="302"/>
      <c r="E33" s="302"/>
      <c r="F33" s="302"/>
    </row>
    <row r="34" spans="1:6" s="300" customFormat="1" ht="33.75" customHeight="1">
      <c r="A34" s="245" t="s">
        <v>2</v>
      </c>
      <c r="B34" s="247" t="s">
        <v>221</v>
      </c>
      <c r="C34" s="268"/>
      <c r="D34" s="304"/>
      <c r="E34" s="304"/>
      <c r="F34" s="304"/>
    </row>
    <row r="35" spans="1:6" s="300" customFormat="1" ht="15.75" customHeight="1">
      <c r="A35" s="171" t="s">
        <v>37</v>
      </c>
      <c r="B35" s="215" t="s">
        <v>41</v>
      </c>
      <c r="C35" s="265"/>
      <c r="D35" s="299"/>
      <c r="E35" s="299"/>
      <c r="F35" s="299"/>
    </row>
    <row r="36" spans="1:6" s="300" customFormat="1" ht="15.75">
      <c r="A36" s="274"/>
      <c r="B36" s="301" t="s">
        <v>1</v>
      </c>
      <c r="C36" s="24"/>
      <c r="D36" s="299"/>
      <c r="E36" s="299"/>
      <c r="F36" s="299"/>
    </row>
    <row r="37" spans="1:6" s="300" customFormat="1" ht="15.75">
      <c r="A37" s="274"/>
      <c r="B37" s="275" t="s">
        <v>33</v>
      </c>
      <c r="C37" s="52"/>
      <c r="D37" s="299"/>
      <c r="E37" s="299"/>
      <c r="F37" s="299"/>
    </row>
    <row r="38" spans="1:6" s="300" customFormat="1" ht="15.75">
      <c r="A38" s="274"/>
      <c r="B38" s="275" t="s">
        <v>34</v>
      </c>
      <c r="C38" s="52"/>
      <c r="D38" s="299"/>
      <c r="E38" s="299"/>
      <c r="F38" s="299"/>
    </row>
    <row r="39" spans="1:6" s="303" customFormat="1" ht="15.75">
      <c r="A39" s="260" t="s">
        <v>50</v>
      </c>
      <c r="B39" s="261"/>
      <c r="C39" s="24"/>
      <c r="D39" s="302"/>
      <c r="E39" s="302"/>
      <c r="F39" s="302"/>
    </row>
    <row r="40" spans="1:6" s="300" customFormat="1" ht="15.75">
      <c r="A40" s="274"/>
      <c r="B40" s="301" t="s">
        <v>1</v>
      </c>
      <c r="C40" s="24"/>
      <c r="D40" s="299"/>
      <c r="E40" s="299"/>
      <c r="F40" s="299"/>
    </row>
    <row r="41" spans="1:6" s="300" customFormat="1" ht="15.75">
      <c r="A41" s="274"/>
      <c r="B41" s="277" t="s">
        <v>33</v>
      </c>
      <c r="C41" s="52"/>
      <c r="D41" s="299"/>
      <c r="E41" s="299"/>
      <c r="F41" s="299"/>
    </row>
    <row r="42" spans="1:6" s="300" customFormat="1" ht="15.75">
      <c r="A42" s="274"/>
      <c r="B42" s="277" t="s">
        <v>34</v>
      </c>
      <c r="C42" s="52"/>
      <c r="D42" s="299"/>
      <c r="E42" s="299"/>
      <c r="F42" s="299"/>
    </row>
    <row r="43" spans="1:6" s="303" customFormat="1" ht="15.75">
      <c r="A43" s="260" t="s">
        <v>4</v>
      </c>
      <c r="B43" s="262" t="s">
        <v>227</v>
      </c>
      <c r="C43" s="24"/>
      <c r="D43" s="302"/>
      <c r="E43" s="302"/>
      <c r="F43" s="302"/>
    </row>
    <row r="44" spans="1:6" s="300" customFormat="1" ht="15.75">
      <c r="A44" s="171" t="s">
        <v>38</v>
      </c>
      <c r="B44" s="215" t="s">
        <v>39</v>
      </c>
      <c r="C44" s="265"/>
      <c r="D44" s="299"/>
      <c r="E44" s="299"/>
      <c r="F44" s="299"/>
    </row>
    <row r="45" spans="1:6" s="303" customFormat="1" ht="15.75">
      <c r="A45" s="260" t="s">
        <v>50</v>
      </c>
      <c r="B45" s="261"/>
      <c r="C45" s="24"/>
      <c r="D45" s="302"/>
      <c r="E45" s="302"/>
      <c r="F45" s="302"/>
    </row>
    <row r="46" spans="1:6" s="303" customFormat="1" ht="15.75">
      <c r="A46" s="260" t="s">
        <v>4</v>
      </c>
      <c r="B46" s="262"/>
      <c r="C46" s="24"/>
      <c r="D46" s="302"/>
      <c r="E46" s="302"/>
      <c r="F46" s="302"/>
    </row>
    <row r="47" spans="1:6" s="300" customFormat="1" ht="28.5">
      <c r="A47" s="245" t="s">
        <v>3</v>
      </c>
      <c r="B47" s="247" t="s">
        <v>222</v>
      </c>
      <c r="C47" s="268"/>
      <c r="D47" s="304"/>
      <c r="E47" s="304"/>
      <c r="F47" s="304"/>
    </row>
    <row r="48" spans="1:6" s="300" customFormat="1" ht="15.75" customHeight="1">
      <c r="A48" s="171" t="s">
        <v>42</v>
      </c>
      <c r="B48" s="215" t="s">
        <v>41</v>
      </c>
      <c r="C48" s="265"/>
      <c r="D48" s="299"/>
      <c r="E48" s="299"/>
      <c r="F48" s="299"/>
    </row>
    <row r="49" spans="1:11" s="300" customFormat="1" ht="15.75">
      <c r="A49" s="274"/>
      <c r="B49" s="301" t="s">
        <v>1</v>
      </c>
      <c r="C49" s="24"/>
      <c r="D49" s="299"/>
      <c r="E49" s="299"/>
      <c r="F49" s="299"/>
    </row>
    <row r="50" spans="1:11" s="300" customFormat="1" ht="15.75">
      <c r="A50" s="274"/>
      <c r="B50" s="275" t="s">
        <v>33</v>
      </c>
      <c r="C50" s="52"/>
      <c r="D50" s="299"/>
      <c r="E50" s="299"/>
      <c r="F50" s="299"/>
    </row>
    <row r="51" spans="1:11" s="300" customFormat="1" ht="15.75">
      <c r="A51" s="274"/>
      <c r="B51" s="275" t="s">
        <v>34</v>
      </c>
      <c r="C51" s="52"/>
      <c r="D51" s="299"/>
      <c r="E51" s="299"/>
      <c r="F51" s="299"/>
    </row>
    <row r="52" spans="1:11" s="303" customFormat="1" ht="15.75">
      <c r="A52" s="260" t="s">
        <v>50</v>
      </c>
      <c r="B52" s="261"/>
      <c r="C52" s="24"/>
      <c r="D52" s="302"/>
      <c r="E52" s="302"/>
      <c r="F52" s="302"/>
    </row>
    <row r="53" spans="1:11" s="300" customFormat="1" ht="15.75">
      <c r="A53" s="274"/>
      <c r="B53" s="301" t="s">
        <v>1</v>
      </c>
      <c r="C53" s="24"/>
      <c r="D53" s="299"/>
      <c r="E53" s="299"/>
      <c r="F53" s="299"/>
    </row>
    <row r="54" spans="1:11" s="300" customFormat="1" ht="15.75">
      <c r="A54" s="274"/>
      <c r="B54" s="277" t="s">
        <v>33</v>
      </c>
      <c r="C54" s="52"/>
      <c r="D54" s="299"/>
      <c r="E54" s="299"/>
      <c r="F54" s="299"/>
    </row>
    <row r="55" spans="1:11" s="300" customFormat="1" ht="15.75">
      <c r="A55" s="274"/>
      <c r="B55" s="277" t="s">
        <v>34</v>
      </c>
      <c r="C55" s="52"/>
      <c r="D55" s="299"/>
      <c r="E55" s="299"/>
      <c r="F55" s="299"/>
    </row>
    <row r="56" spans="1:11" s="303" customFormat="1" ht="15.75">
      <c r="A56" s="260" t="s">
        <v>4</v>
      </c>
      <c r="B56" s="262" t="s">
        <v>227</v>
      </c>
      <c r="C56" s="24"/>
      <c r="D56" s="302"/>
      <c r="E56" s="302"/>
      <c r="F56" s="302"/>
    </row>
    <row r="57" spans="1:11" s="300" customFormat="1" ht="15.75">
      <c r="A57" s="171" t="s">
        <v>142</v>
      </c>
      <c r="B57" s="215" t="s">
        <v>39</v>
      </c>
      <c r="C57" s="265"/>
      <c r="D57" s="299"/>
      <c r="E57" s="299"/>
      <c r="F57" s="299"/>
    </row>
    <row r="58" spans="1:11" s="303" customFormat="1" ht="15.75">
      <c r="A58" s="260" t="s">
        <v>50</v>
      </c>
      <c r="B58" s="261"/>
      <c r="C58" s="24"/>
      <c r="D58" s="302"/>
      <c r="E58" s="302"/>
      <c r="F58" s="302"/>
    </row>
    <row r="59" spans="1:11" s="303" customFormat="1" ht="15.75">
      <c r="A59" s="260" t="s">
        <v>4</v>
      </c>
      <c r="B59" s="262"/>
      <c r="C59" s="24"/>
      <c r="D59" s="302"/>
      <c r="E59" s="302"/>
      <c r="F59" s="302"/>
    </row>
    <row r="60" spans="1:11" s="300" customFormat="1" ht="21" customHeight="1">
      <c r="A60" s="224"/>
      <c r="B60" s="225"/>
      <c r="C60" s="269"/>
    </row>
    <row r="61" spans="1:11" s="281" customFormat="1" ht="15" customHeight="1">
      <c r="A61" s="310"/>
      <c r="B61" s="315" t="s">
        <v>85</v>
      </c>
      <c r="C61" s="310"/>
      <c r="D61" s="310"/>
      <c r="E61" s="310"/>
      <c r="F61" s="310"/>
      <c r="G61" s="310"/>
      <c r="H61" s="310"/>
      <c r="I61" s="311"/>
      <c r="J61" s="283"/>
      <c r="K61" s="283"/>
    </row>
    <row r="62" spans="1:11" s="281" customFormat="1" ht="15" customHeight="1">
      <c r="A62" s="310"/>
      <c r="B62" s="315"/>
      <c r="C62" s="310"/>
      <c r="D62" s="310"/>
      <c r="E62" s="2303"/>
      <c r="F62" s="2303"/>
      <c r="G62" s="2303"/>
      <c r="H62" s="2303"/>
      <c r="I62" s="311"/>
      <c r="J62" s="283"/>
      <c r="K62" s="283"/>
    </row>
    <row r="63" spans="1:11" s="281" customFormat="1" ht="15" customHeight="1">
      <c r="B63" s="316" t="s">
        <v>234</v>
      </c>
      <c r="C63" s="312"/>
      <c r="D63" s="285"/>
      <c r="E63" s="285"/>
      <c r="F63" s="313"/>
      <c r="G63" s="314"/>
      <c r="H63" s="313"/>
      <c r="I63" s="311"/>
      <c r="J63" s="283"/>
      <c r="K63" s="283"/>
    </row>
    <row r="64" spans="1:11" s="300" customFormat="1" ht="15.75" customHeight="1">
      <c r="A64" s="173"/>
      <c r="B64" s="317"/>
      <c r="C64" s="305"/>
    </row>
    <row r="65" spans="1:3" s="300" customFormat="1" ht="15.75" customHeight="1">
      <c r="A65" s="173"/>
      <c r="B65" s="279"/>
      <c r="C65" s="305"/>
    </row>
    <row r="66" spans="1:3" ht="15" customHeight="1">
      <c r="A66" s="173"/>
      <c r="B66" s="279"/>
      <c r="C66" s="270"/>
    </row>
    <row r="67" spans="1:3" ht="24.75" customHeight="1">
      <c r="A67" s="173"/>
      <c r="B67" s="273"/>
      <c r="C67" s="276"/>
    </row>
    <row r="68" spans="1:3" ht="16.5" hidden="1" customHeight="1">
      <c r="B68" s="280"/>
      <c r="C68" s="280"/>
    </row>
    <row r="69" spans="1:3" ht="18.75" hidden="1">
      <c r="B69" s="280"/>
      <c r="C69" s="272"/>
    </row>
    <row r="70" spans="1:3" ht="15.75" customHeight="1">
      <c r="A70" s="307"/>
      <c r="B70" s="280"/>
      <c r="C70" s="276"/>
    </row>
    <row r="71" spans="1:3" ht="30.75" customHeight="1">
      <c r="B71" s="235"/>
      <c r="C71" s="271"/>
    </row>
    <row r="72" spans="1:3" ht="14.25" customHeight="1">
      <c r="B72" s="235"/>
      <c r="C72" s="271"/>
    </row>
    <row r="73" spans="1:3" ht="14.25" customHeight="1">
      <c r="B73" s="235"/>
      <c r="C73" s="271"/>
    </row>
    <row r="75" spans="1:3" hidden="1">
      <c r="B75" s="238" t="s">
        <v>60</v>
      </c>
    </row>
  </sheetData>
  <mergeCells count="14">
    <mergeCell ref="E62:H62"/>
    <mergeCell ref="A13:A14"/>
    <mergeCell ref="B13:B14"/>
    <mergeCell ref="C13:C14"/>
    <mergeCell ref="E13:E14"/>
    <mergeCell ref="F13:F14"/>
    <mergeCell ref="A20:B20"/>
    <mergeCell ref="D13:D14"/>
    <mergeCell ref="A10:F10"/>
    <mergeCell ref="A1:B1"/>
    <mergeCell ref="E3:F3"/>
    <mergeCell ref="A7:F7"/>
    <mergeCell ref="C8:E8"/>
    <mergeCell ref="A9:F9"/>
  </mergeCells>
  <pageMargins left="0.55118110236220474" right="0.32" top="0.23622047244094491" bottom="0.23622047244094491" header="0" footer="0"/>
  <pageSetup paperSize="9" scale="63" fitToHeight="3" orientation="portrait" r:id="rId1"/>
  <headerFooter alignWithMargins="0">
    <oddFooter>&amp;C&amp;Z&amp;F</oddFooter>
  </headerFooter>
  <customProperties>
    <customPr name="krista_fm_consts" r:id="rId2"/>
  </customProperties>
</worksheet>
</file>

<file path=xl/worksheets/sheet50.xml><?xml version="1.0" encoding="utf-8"?>
<worksheet xmlns="http://schemas.openxmlformats.org/spreadsheetml/2006/main" xmlns:r="http://schemas.openxmlformats.org/officeDocument/2006/relationships">
  <sheetPr>
    <pageSetUpPr fitToPage="1"/>
  </sheetPr>
  <dimension ref="A1:X383"/>
  <sheetViews>
    <sheetView topLeftCell="A277" zoomScale="80" zoomScaleNormal="80" zoomScaleSheetLayoutView="70" workbookViewId="0">
      <selection activeCell="D116" sqref="D116"/>
    </sheetView>
  </sheetViews>
  <sheetFormatPr defaultColWidth="9.140625" defaultRowHeight="18.75"/>
  <cols>
    <col min="1" max="1" width="10.42578125" style="1942" customWidth="1"/>
    <col min="2" max="2" width="82.5703125" style="712" customWidth="1"/>
    <col min="3" max="3" width="13.42578125" style="1834" hidden="1" customWidth="1"/>
    <col min="4" max="4" width="17.42578125" style="1570" customWidth="1"/>
    <col min="5" max="6" width="14.85546875" style="712" customWidth="1"/>
    <col min="7" max="7" width="16.85546875" style="1570" customWidth="1"/>
    <col min="8" max="8" width="15.42578125" style="712" customWidth="1"/>
    <col min="9" max="9" width="14.85546875" style="712" customWidth="1"/>
    <col min="10" max="10" width="14.85546875" style="1569" customWidth="1"/>
    <col min="11" max="12" width="14.85546875" style="712" customWidth="1"/>
    <col min="13" max="13" width="9.28515625" style="1570" customWidth="1"/>
    <col min="14" max="14" width="12.140625" style="712" customWidth="1"/>
    <col min="15" max="15" width="9.285156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7.85546875" style="712" bestFit="1" customWidth="1"/>
    <col min="25" max="16384" width="9.140625" style="712"/>
  </cols>
  <sheetData>
    <row r="1" spans="1:24" ht="20.25" hidden="1">
      <c r="A1" s="2537"/>
      <c r="B1" s="2537"/>
      <c r="D1" s="1563"/>
      <c r="E1" s="1563"/>
      <c r="F1" s="1563"/>
      <c r="G1" s="1563"/>
      <c r="H1" s="1563"/>
      <c r="I1" s="1563"/>
      <c r="J1" s="1563"/>
      <c r="L1" s="2384"/>
      <c r="M1" s="2384"/>
      <c r="N1" s="2384"/>
      <c r="O1" s="2384"/>
    </row>
    <row r="2" spans="1:24" hidden="1">
      <c r="B2" s="2039"/>
      <c r="D2" s="1569"/>
      <c r="E2" s="2039"/>
      <c r="F2" s="2039"/>
      <c r="M2" s="1569"/>
    </row>
    <row r="3" spans="1:24" s="1575" customFormat="1" hidden="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24"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24" s="1575" customFormat="1" ht="23.25" customHeight="1">
      <c r="A5" s="2361" t="s">
        <v>5</v>
      </c>
      <c r="B5" s="2361"/>
      <c r="C5" s="2562"/>
      <c r="D5" s="2361"/>
      <c r="E5" s="2361"/>
      <c r="F5" s="2361"/>
      <c r="G5" s="2361"/>
      <c r="H5" s="2361"/>
      <c r="I5" s="2361"/>
      <c r="J5" s="2361"/>
      <c r="K5" s="2361"/>
      <c r="L5" s="2361"/>
      <c r="M5" s="2361"/>
      <c r="N5" s="2361"/>
      <c r="O5" s="2361"/>
      <c r="P5" s="2562"/>
      <c r="Q5" s="2562"/>
      <c r="R5" s="2562"/>
      <c r="S5" s="2562"/>
      <c r="T5" s="2562"/>
      <c r="U5" s="2562"/>
      <c r="V5" s="2562"/>
      <c r="W5" s="2562"/>
    </row>
    <row r="6" spans="1:24" s="1575" customFormat="1" ht="33" customHeight="1">
      <c r="A6" s="2361" t="s">
        <v>236</v>
      </c>
      <c r="B6" s="2361"/>
      <c r="C6" s="2562"/>
      <c r="D6" s="2361"/>
      <c r="E6" s="2361"/>
      <c r="F6" s="2361"/>
      <c r="G6" s="2361"/>
      <c r="H6" s="2361"/>
      <c r="I6" s="2361"/>
      <c r="J6" s="2361"/>
      <c r="K6" s="2361"/>
      <c r="L6" s="2361"/>
      <c r="M6" s="2361"/>
      <c r="N6" s="2361"/>
      <c r="O6" s="2361"/>
      <c r="P6" s="2562"/>
      <c r="Q6" s="2562"/>
      <c r="R6" s="2562"/>
      <c r="S6" s="2562"/>
      <c r="T6" s="2562"/>
      <c r="U6" s="2562"/>
      <c r="V6" s="2562"/>
      <c r="W6" s="2562"/>
    </row>
    <row r="7" spans="1:24" s="1575" customFormat="1" ht="27">
      <c r="A7" s="2361" t="s">
        <v>1779</v>
      </c>
      <c r="B7" s="2361"/>
      <c r="C7" s="2562"/>
      <c r="D7" s="2361"/>
      <c r="E7" s="2361"/>
      <c r="F7" s="2361"/>
      <c r="G7" s="2361"/>
      <c r="H7" s="2361"/>
      <c r="I7" s="2361"/>
      <c r="J7" s="2361"/>
      <c r="K7" s="2361"/>
      <c r="L7" s="2361"/>
      <c r="M7" s="2361"/>
      <c r="N7" s="2361"/>
      <c r="O7" s="2361"/>
      <c r="P7" s="2562"/>
      <c r="Q7" s="2562"/>
      <c r="R7" s="2562"/>
      <c r="S7" s="2562"/>
      <c r="T7" s="2562"/>
      <c r="U7" s="2562"/>
      <c r="V7" s="2562"/>
      <c r="W7" s="2562"/>
    </row>
    <row r="8" spans="1:24" s="1575" customFormat="1" ht="30.75" customHeight="1">
      <c r="A8" s="1943"/>
      <c r="B8" s="1571"/>
      <c r="C8" s="1835"/>
      <c r="D8" s="1587"/>
      <c r="E8" s="1660"/>
      <c r="F8" s="1661"/>
      <c r="H8" s="1661"/>
      <c r="I8" s="1589"/>
      <c r="J8" s="1587"/>
      <c r="K8" s="1591"/>
      <c r="L8" s="1591"/>
      <c r="M8" s="1585"/>
      <c r="N8" s="2533" t="s">
        <v>377</v>
      </c>
      <c r="O8" s="2533"/>
      <c r="P8" s="1577"/>
      <c r="Q8" s="1863"/>
      <c r="R8" s="1591"/>
      <c r="S8" s="1591"/>
      <c r="T8" s="1591"/>
      <c r="U8" s="1661"/>
      <c r="V8" s="1661"/>
      <c r="W8" s="1661" t="s">
        <v>1314</v>
      </c>
    </row>
    <row r="9" spans="1:24" ht="70.5" customHeight="1">
      <c r="A9" s="2563" t="s">
        <v>18</v>
      </c>
      <c r="B9" s="2380" t="s">
        <v>0</v>
      </c>
      <c r="C9" s="2564" t="s">
        <v>1535</v>
      </c>
      <c r="D9" s="2374" t="s">
        <v>1374</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24" ht="69" customHeight="1">
      <c r="A10" s="2563"/>
      <c r="B10" s="2380"/>
      <c r="C10" s="2564"/>
      <c r="D10" s="2374"/>
      <c r="E10" s="709" t="s">
        <v>1074</v>
      </c>
      <c r="F10" s="709" t="s">
        <v>258</v>
      </c>
      <c r="G10" s="2374"/>
      <c r="H10" s="709" t="s">
        <v>1074</v>
      </c>
      <c r="I10" s="709" t="s">
        <v>258</v>
      </c>
      <c r="J10" s="2374"/>
      <c r="K10" s="709" t="s">
        <v>1074</v>
      </c>
      <c r="L10" s="709" t="s">
        <v>258</v>
      </c>
      <c r="M10" s="2374"/>
      <c r="N10" s="709" t="s">
        <v>1074</v>
      </c>
      <c r="O10" s="709" t="s">
        <v>258</v>
      </c>
      <c r="P10" s="2550"/>
      <c r="Q10" s="2550"/>
      <c r="R10" s="2374"/>
      <c r="S10" s="709" t="s">
        <v>1074</v>
      </c>
      <c r="T10" s="709" t="s">
        <v>258</v>
      </c>
      <c r="U10" s="2374"/>
      <c r="V10" s="709" t="s">
        <v>1074</v>
      </c>
      <c r="W10" s="709" t="s">
        <v>258</v>
      </c>
    </row>
    <row r="11" spans="1:24">
      <c r="A11" s="2041">
        <v>1</v>
      </c>
      <c r="B11" s="507">
        <v>2</v>
      </c>
      <c r="C11" s="2041"/>
      <c r="D11" s="507">
        <v>3</v>
      </c>
      <c r="E11" s="507">
        <v>4</v>
      </c>
      <c r="F11" s="507">
        <v>5</v>
      </c>
      <c r="G11" s="1868">
        <v>7</v>
      </c>
      <c r="H11" s="1868">
        <v>8</v>
      </c>
      <c r="I11" s="1868">
        <v>9</v>
      </c>
      <c r="J11" s="1868">
        <v>10</v>
      </c>
      <c r="K11" s="1868">
        <v>11</v>
      </c>
      <c r="L11" s="1868">
        <v>12</v>
      </c>
      <c r="M11" s="1868">
        <v>13</v>
      </c>
      <c r="N11" s="1868">
        <v>14</v>
      </c>
      <c r="O11" s="1868">
        <v>15</v>
      </c>
      <c r="P11" s="1593">
        <v>10</v>
      </c>
      <c r="Q11" s="1593">
        <v>11</v>
      </c>
      <c r="R11" s="1593">
        <v>9</v>
      </c>
      <c r="S11" s="1593">
        <v>10</v>
      </c>
      <c r="T11" s="1593">
        <v>11</v>
      </c>
      <c r="U11" s="1593">
        <v>12</v>
      </c>
      <c r="V11" s="1593">
        <v>13</v>
      </c>
      <c r="W11" s="1593">
        <v>14</v>
      </c>
    </row>
    <row r="12" spans="1:24" s="791" customFormat="1" ht="23.25" hidden="1">
      <c r="A12" s="2041"/>
      <c r="B12" s="487" t="s">
        <v>10</v>
      </c>
      <c r="C12" s="1869"/>
      <c r="D12" s="1594">
        <f>SUM(E12:F12)</f>
        <v>10168158.699999999</v>
      </c>
      <c r="E12" s="1594">
        <f>SUM(E13,E287,E338,E360)</f>
        <v>7798369.5</v>
      </c>
      <c r="F12" s="1594">
        <f>SUM(F13,F287,F338,F360)</f>
        <v>2369789.2000000002</v>
      </c>
      <c r="G12" s="1594">
        <f>SUM(H12:I12)</f>
        <v>10048108.699999999</v>
      </c>
      <c r="H12" s="1594">
        <f>SUM(H13,H287,H338)+H361</f>
        <v>7678369.5</v>
      </c>
      <c r="I12" s="1594">
        <f>I13+I287+I338+I360</f>
        <v>2369739.2000000002</v>
      </c>
      <c r="J12" s="1594">
        <f>SUM(K12:L12)</f>
        <v>1889110.8</v>
      </c>
      <c r="K12" s="1594">
        <f>SUM(K13,K287,K338)+K361</f>
        <v>1518657.5</v>
      </c>
      <c r="L12" s="1594">
        <f>L13+L287+L338+L360</f>
        <v>370453.3</v>
      </c>
      <c r="M12" s="1870">
        <f>IF(J12=0,0,J12/G12*100)</f>
        <v>18.8</v>
      </c>
      <c r="N12" s="1870">
        <f>IF(K12=0,0,K12/H12*100)</f>
        <v>19.8</v>
      </c>
      <c r="O12" s="1870">
        <f>IF(L12=0,0,L12/I12*100)</f>
        <v>15.6</v>
      </c>
      <c r="P12" s="643" t="s">
        <v>353</v>
      </c>
      <c r="Q12" s="643"/>
      <c r="R12" s="1594" t="e">
        <f t="shared" ref="R12:R60" si="0">SUM(S12:T12)</f>
        <v>#REF!</v>
      </c>
      <c r="S12" s="1594" t="e">
        <f>SUM(S13,S287,S338)</f>
        <v>#REF!</v>
      </c>
      <c r="T12" s="1594" t="e">
        <f>SUM(T13,T287,T338)</f>
        <v>#REF!</v>
      </c>
      <c r="U12" s="1594" t="e">
        <f t="shared" ref="U12:U22" si="1">SUM(V12:W12)</f>
        <v>#REF!</v>
      </c>
      <c r="V12" s="1594" t="e">
        <f>SUM(V13,V287,V338)</f>
        <v>#REF!</v>
      </c>
      <c r="W12" s="1594" t="e">
        <f>SUM(W13,W287,W338)</f>
        <v>#REF!</v>
      </c>
      <c r="X12" s="1423">
        <f>D12-G12</f>
        <v>120050</v>
      </c>
    </row>
    <row r="13" spans="1:24" s="791" customFormat="1" ht="44.25" customHeight="1">
      <c r="A13" s="2565" t="s">
        <v>453</v>
      </c>
      <c r="B13" s="2565"/>
      <c r="C13" s="1869"/>
      <c r="D13" s="1594">
        <f t="shared" ref="D13:D85" si="2">SUM(E13:F13)</f>
        <v>7839055.2999999998</v>
      </c>
      <c r="E13" s="1594">
        <f>SUM(E14,E116)</f>
        <v>6110962.4000000004</v>
      </c>
      <c r="F13" s="1594">
        <f>SUM(F14,F116)</f>
        <v>1728092.9</v>
      </c>
      <c r="G13" s="1594">
        <f>SUM(H13:I13)</f>
        <v>7754005.2999999998</v>
      </c>
      <c r="H13" s="1594">
        <f>SUM(H14,H116)</f>
        <v>6025912.4000000004</v>
      </c>
      <c r="I13" s="1594">
        <f>SUM(I14,I116)</f>
        <v>1728092.9</v>
      </c>
      <c r="J13" s="1594">
        <f>SUM(K13:L13)</f>
        <v>1395094.3</v>
      </c>
      <c r="K13" s="1594">
        <f>SUM(K14,K116)</f>
        <v>1221030.8</v>
      </c>
      <c r="L13" s="1594">
        <f>SUM(L14,L116)</f>
        <v>174063.5</v>
      </c>
      <c r="M13" s="1870">
        <f t="shared" ref="M13:O77" si="3">IF(J13=0,0,J13/G13*100)</f>
        <v>18</v>
      </c>
      <c r="N13" s="1871">
        <f t="shared" si="3"/>
        <v>20.3</v>
      </c>
      <c r="O13" s="1871">
        <f t="shared" si="3"/>
        <v>10.1</v>
      </c>
      <c r="P13" s="643" t="s">
        <v>353</v>
      </c>
      <c r="Q13" s="643" t="s">
        <v>353</v>
      </c>
      <c r="R13" s="1594" t="e">
        <f t="shared" si="0"/>
        <v>#REF!</v>
      </c>
      <c r="S13" s="1594" t="e">
        <f>SUM(S14,S116)</f>
        <v>#REF!</v>
      </c>
      <c r="T13" s="1594" t="e">
        <f>SUM(T14,T116)</f>
        <v>#REF!</v>
      </c>
      <c r="U13" s="1594" t="e">
        <f t="shared" si="1"/>
        <v>#REF!</v>
      </c>
      <c r="V13" s="1594" t="e">
        <f>SUM(V14,V116)</f>
        <v>#REF!</v>
      </c>
      <c r="W13" s="1594" t="e">
        <f>SUM(W14,W116)</f>
        <v>#REF!</v>
      </c>
      <c r="X13" s="1423">
        <f t="shared" ref="X13:X76" si="4">D13-G13</f>
        <v>85050</v>
      </c>
    </row>
    <row r="14" spans="1:24" ht="87.75" customHeight="1">
      <c r="A14" s="2041" t="s">
        <v>6</v>
      </c>
      <c r="B14" s="2007" t="s">
        <v>439</v>
      </c>
      <c r="C14" s="1873"/>
      <c r="D14" s="1596">
        <f>SUM(E14:F14)</f>
        <v>1887640.8</v>
      </c>
      <c r="E14" s="1596">
        <f>SUM(E15,E79)</f>
        <v>1585129.6</v>
      </c>
      <c r="F14" s="1596">
        <f>SUM(F15,F79)</f>
        <v>302511.2</v>
      </c>
      <c r="G14" s="1596">
        <f>SUM(H14:I14)</f>
        <v>1887640.8</v>
      </c>
      <c r="H14" s="1596">
        <f>SUM(H15,H79)</f>
        <v>1585129.6</v>
      </c>
      <c r="I14" s="1596">
        <f>SUM(I15,I79)</f>
        <v>302511.2</v>
      </c>
      <c r="J14" s="1596">
        <f>SUM(K14:L14)</f>
        <v>554435.6</v>
      </c>
      <c r="K14" s="1596">
        <f>SUM(K15,K79)</f>
        <v>531284.80000000005</v>
      </c>
      <c r="L14" s="1596">
        <f>SUM(L15,L79)</f>
        <v>23150.799999999999</v>
      </c>
      <c r="M14" s="2008">
        <f t="shared" si="3"/>
        <v>29.4</v>
      </c>
      <c r="N14" s="2009">
        <f t="shared" si="3"/>
        <v>33.5</v>
      </c>
      <c r="O14" s="2009">
        <f t="shared" si="3"/>
        <v>7.7</v>
      </c>
      <c r="P14" s="1597" t="s">
        <v>353</v>
      </c>
      <c r="Q14" s="1597" t="s">
        <v>353</v>
      </c>
      <c r="R14" s="1861" t="e">
        <f t="shared" si="0"/>
        <v>#REF!</v>
      </c>
      <c r="S14" s="1861" t="e">
        <f>SUM(S15,S79)</f>
        <v>#REF!</v>
      </c>
      <c r="T14" s="1861" t="e">
        <f>SUM(T15,T79)</f>
        <v>#REF!</v>
      </c>
      <c r="U14" s="1861" t="e">
        <f t="shared" si="1"/>
        <v>#REF!</v>
      </c>
      <c r="V14" s="1861" t="e">
        <f>SUM(V15,V79)</f>
        <v>#REF!</v>
      </c>
      <c r="W14" s="1861" t="e">
        <f>SUM(W15,W79)</f>
        <v>#REF!</v>
      </c>
      <c r="X14" s="1423">
        <f t="shared" si="4"/>
        <v>0</v>
      </c>
    </row>
    <row r="15" spans="1:24" ht="36.75" customHeight="1">
      <c r="A15" s="2041" t="s">
        <v>253</v>
      </c>
      <c r="B15" s="1876" t="s">
        <v>1393</v>
      </c>
      <c r="C15" s="1877"/>
      <c r="D15" s="1598">
        <f t="shared" si="2"/>
        <v>210136.3</v>
      </c>
      <c r="E15" s="1598">
        <f>SUM(E16,E19,E21,E24,E28,E30,E32,E35,E40,E42,E46,E49,E55,E57,E60,E63,E69,E74)</f>
        <v>964.8</v>
      </c>
      <c r="F15" s="1598">
        <f>F16+F19+F21+F24+F28+F30+F32+F35+F40+F42+F46+F49+F55+F57+F60+F63+F69+F74</f>
        <v>209171.5</v>
      </c>
      <c r="G15" s="1598">
        <f t="shared" ref="G15:G46" si="5">SUM(H15:I15)</f>
        <v>210136.3</v>
      </c>
      <c r="H15" s="1598">
        <f>SUM(H16,H19,H21,H24,H28,H30,H32,H35,H40,H42,H46,H49,H55,H57,H60,H63,H69,H74)</f>
        <v>964.8</v>
      </c>
      <c r="I15" s="1598">
        <f>I16+I19+I21+I24+I28+I30+I32+I35+I40+I42+I46+I49+I55+I57+I60+I63+I69+I74</f>
        <v>209171.5</v>
      </c>
      <c r="J15" s="1598">
        <f t="shared" ref="J15:J45" si="6">SUM(K15:L15)</f>
        <v>13019.4</v>
      </c>
      <c r="K15" s="1598">
        <f>SUM(K16,K19,K21,K24,K28,K30,K32,K35,K40,K42,K46,K49,K55,K57,K60,K63,K69,K74)</f>
        <v>0</v>
      </c>
      <c r="L15" s="1598">
        <f>SUM(L16,L19,L21,L24,L28,L30,L32,L35,L40,L42,L46,L49,L55,L57,L60,L63,L69,L74)</f>
        <v>13019.4</v>
      </c>
      <c r="M15" s="1598">
        <f t="shared" si="3"/>
        <v>6.2</v>
      </c>
      <c r="N15" s="1598">
        <f t="shared" si="3"/>
        <v>0</v>
      </c>
      <c r="O15" s="1598">
        <f t="shared" si="3"/>
        <v>6.2</v>
      </c>
      <c r="P15" s="1599" t="s">
        <v>353</v>
      </c>
      <c r="Q15" s="1599" t="s">
        <v>353</v>
      </c>
      <c r="R15" s="1598">
        <f>SUM(S15:T15)</f>
        <v>31834.5</v>
      </c>
      <c r="S15" s="1598">
        <f>SUM(S16,S19,S21,S24,S28,S30,S32,S35,S40,S42,S46,S49,S55,S57,S60,S63,S69,S74)</f>
        <v>0</v>
      </c>
      <c r="T15" s="1598">
        <f>SUM(T16,T19,T21,T24,T28,T30,T32,T35,T40,T42,T46,T49,T55,T57,T60,T63,T69,T74)</f>
        <v>31834.5</v>
      </c>
      <c r="U15" s="1598">
        <f>SUM(V15:W15)</f>
        <v>0</v>
      </c>
      <c r="V15" s="1598">
        <f>SUM(V16,V19,V21,V24,V28,V30,V32,V35,V40,V42,V46,V49,V55,V57,V60,V63,V69,V74)</f>
        <v>0</v>
      </c>
      <c r="W15" s="1598">
        <f>SUM(W16,W19,W21,W24,W28,W30,W32,W35,W40,W42,W46,W49,W55,W57,W60,W63,W69,W74)</f>
        <v>0</v>
      </c>
      <c r="X15" s="1423">
        <f t="shared" si="4"/>
        <v>0</v>
      </c>
    </row>
    <row r="16" spans="1:24" ht="26.25" customHeight="1">
      <c r="A16" s="2041"/>
      <c r="B16" s="2040" t="s">
        <v>283</v>
      </c>
      <c r="C16" s="2042"/>
      <c r="D16" s="1600">
        <f t="shared" si="2"/>
        <v>3514.8</v>
      </c>
      <c r="E16" s="1600">
        <f>E17+E18</f>
        <v>964.8</v>
      </c>
      <c r="F16" s="1600">
        <f>F17+F18</f>
        <v>2550</v>
      </c>
      <c r="G16" s="1600">
        <f t="shared" si="5"/>
        <v>3514.8</v>
      </c>
      <c r="H16" s="1600">
        <f>E16</f>
        <v>964.8</v>
      </c>
      <c r="I16" s="1600">
        <f>I17</f>
        <v>2550</v>
      </c>
      <c r="J16" s="1600">
        <f t="shared" si="6"/>
        <v>0</v>
      </c>
      <c r="K16" s="1600">
        <f>K17</f>
        <v>0</v>
      </c>
      <c r="L16" s="1600">
        <f>L17</f>
        <v>0</v>
      </c>
      <c r="M16" s="1600">
        <f t="shared" si="3"/>
        <v>0</v>
      </c>
      <c r="N16" s="1600">
        <f t="shared" si="3"/>
        <v>0</v>
      </c>
      <c r="O16" s="1600">
        <f t="shared" si="3"/>
        <v>0</v>
      </c>
      <c r="P16" s="1599"/>
      <c r="Q16" s="1599"/>
      <c r="R16" s="1600">
        <f>SUM(S16:T16)</f>
        <v>0</v>
      </c>
      <c r="S16" s="1600">
        <f>S17</f>
        <v>0</v>
      </c>
      <c r="T16" s="1600">
        <f>T17</f>
        <v>0</v>
      </c>
      <c r="U16" s="1600">
        <f>SUM(V16:W16)</f>
        <v>0</v>
      </c>
      <c r="V16" s="1600">
        <f>V17</f>
        <v>0</v>
      </c>
      <c r="W16" s="1600">
        <f>W17</f>
        <v>0</v>
      </c>
      <c r="X16" s="1423">
        <f t="shared" si="4"/>
        <v>0</v>
      </c>
    </row>
    <row r="17" spans="1:24" ht="60.75" customHeight="1">
      <c r="A17" s="2041">
        <v>1</v>
      </c>
      <c r="B17" s="1879" t="s">
        <v>1565</v>
      </c>
      <c r="C17" s="1880"/>
      <c r="D17" s="1602">
        <f t="shared" si="2"/>
        <v>2550</v>
      </c>
      <c r="E17" s="1616">
        <v>0</v>
      </c>
      <c r="F17" s="1616">
        <v>2550</v>
      </c>
      <c r="G17" s="1602">
        <f t="shared" si="5"/>
        <v>2550</v>
      </c>
      <c r="H17" s="1616">
        <f>E17</f>
        <v>0</v>
      </c>
      <c r="I17" s="1616">
        <f>F17</f>
        <v>2550</v>
      </c>
      <c r="J17" s="1602">
        <f t="shared" si="6"/>
        <v>0</v>
      </c>
      <c r="K17" s="1616">
        <v>0</v>
      </c>
      <c r="L17" s="1616">
        <v>0</v>
      </c>
      <c r="M17" s="1604">
        <f t="shared" si="3"/>
        <v>0</v>
      </c>
      <c r="N17" s="1881">
        <f t="shared" si="3"/>
        <v>0</v>
      </c>
      <c r="O17" s="1881">
        <f t="shared" si="3"/>
        <v>0</v>
      </c>
      <c r="P17" s="1599"/>
      <c r="Q17" s="1599"/>
      <c r="R17" s="1602">
        <f t="shared" si="0"/>
        <v>0</v>
      </c>
      <c r="S17" s="1619">
        <v>0</v>
      </c>
      <c r="T17" s="1619">
        <v>0</v>
      </c>
      <c r="U17" s="1602">
        <f t="shared" si="1"/>
        <v>0</v>
      </c>
      <c r="V17" s="1619">
        <v>0</v>
      </c>
      <c r="W17" s="1619">
        <v>0</v>
      </c>
      <c r="X17" s="1423">
        <f t="shared" si="4"/>
        <v>0</v>
      </c>
    </row>
    <row r="18" spans="1:24" ht="131.25" customHeight="1">
      <c r="A18" s="2041">
        <f>A17+1</f>
        <v>2</v>
      </c>
      <c r="B18" s="1885" t="s">
        <v>1412</v>
      </c>
      <c r="C18" s="1880"/>
      <c r="D18" s="1602">
        <f>SUM(E18:F18)</f>
        <v>964.8</v>
      </c>
      <c r="E18" s="1616">
        <v>964.8</v>
      </c>
      <c r="F18" s="1616">
        <v>0</v>
      </c>
      <c r="G18" s="1602">
        <f>SUM(H18:I18)</f>
        <v>964.8</v>
      </c>
      <c r="H18" s="1616">
        <f t="shared" ref="H18:I78" si="7">E18</f>
        <v>964.8</v>
      </c>
      <c r="I18" s="1616">
        <f t="shared" si="7"/>
        <v>0</v>
      </c>
      <c r="J18" s="1602">
        <f>SUM(K18:L18)</f>
        <v>0</v>
      </c>
      <c r="K18" s="1616"/>
      <c r="L18" s="1616"/>
      <c r="M18" s="1604">
        <f t="shared" si="3"/>
        <v>0</v>
      </c>
      <c r="N18" s="1881">
        <f t="shared" si="3"/>
        <v>0</v>
      </c>
      <c r="O18" s="1881">
        <f t="shared" si="3"/>
        <v>0</v>
      </c>
      <c r="P18" s="1599"/>
      <c r="Q18" s="1599"/>
      <c r="R18" s="1602"/>
      <c r="S18" s="1619"/>
      <c r="T18" s="1619"/>
      <c r="U18" s="1602"/>
      <c r="V18" s="1619"/>
      <c r="W18" s="1619"/>
      <c r="X18" s="1423"/>
    </row>
    <row r="19" spans="1:24" s="1607" customFormat="1" ht="25.5" customHeight="1">
      <c r="A19" s="2041"/>
      <c r="B19" s="2040" t="s">
        <v>433</v>
      </c>
      <c r="C19" s="2042"/>
      <c r="D19" s="1602">
        <f t="shared" si="2"/>
        <v>6090</v>
      </c>
      <c r="E19" s="1602">
        <f t="shared" ref="E19:L19" si="8">E20</f>
        <v>0</v>
      </c>
      <c r="F19" s="1602">
        <f t="shared" si="8"/>
        <v>6090</v>
      </c>
      <c r="G19" s="1602">
        <f t="shared" si="5"/>
        <v>6090</v>
      </c>
      <c r="H19" s="1602">
        <f t="shared" si="7"/>
        <v>0</v>
      </c>
      <c r="I19" s="1602">
        <f t="shared" si="7"/>
        <v>6090</v>
      </c>
      <c r="J19" s="1602">
        <f t="shared" si="6"/>
        <v>0</v>
      </c>
      <c r="K19" s="1602">
        <f t="shared" si="8"/>
        <v>0</v>
      </c>
      <c r="L19" s="1602">
        <f t="shared" si="8"/>
        <v>0</v>
      </c>
      <c r="M19" s="1601">
        <f t="shared" si="3"/>
        <v>0</v>
      </c>
      <c r="N19" s="1601">
        <f t="shared" si="3"/>
        <v>0</v>
      </c>
      <c r="O19" s="1601">
        <f t="shared" si="3"/>
        <v>0</v>
      </c>
      <c r="P19" s="1593" t="s">
        <v>353</v>
      </c>
      <c r="Q19" s="1593" t="s">
        <v>353</v>
      </c>
      <c r="R19" s="1602">
        <f t="shared" si="0"/>
        <v>0</v>
      </c>
      <c r="S19" s="1602">
        <f>S20</f>
        <v>0</v>
      </c>
      <c r="T19" s="1602">
        <f>T20</f>
        <v>0</v>
      </c>
      <c r="U19" s="1602">
        <f t="shared" si="1"/>
        <v>0</v>
      </c>
      <c r="V19" s="1602">
        <f>V20</f>
        <v>0</v>
      </c>
      <c r="W19" s="1602">
        <f>W20</f>
        <v>0</v>
      </c>
      <c r="X19" s="1423">
        <f t="shared" si="4"/>
        <v>0</v>
      </c>
    </row>
    <row r="20" spans="1:24" s="1607" customFormat="1" ht="103.5" customHeight="1">
      <c r="A20" s="2041">
        <f>A18+1</f>
        <v>3</v>
      </c>
      <c r="B20" s="521" t="s">
        <v>1674</v>
      </c>
      <c r="C20" s="1882"/>
      <c r="D20" s="1602">
        <f t="shared" si="2"/>
        <v>6090</v>
      </c>
      <c r="E20" s="1616"/>
      <c r="F20" s="1616">
        <v>6090</v>
      </c>
      <c r="G20" s="1602">
        <f t="shared" si="5"/>
        <v>6090</v>
      </c>
      <c r="H20" s="1616">
        <f t="shared" si="7"/>
        <v>0</v>
      </c>
      <c r="I20" s="1616">
        <f t="shared" si="7"/>
        <v>6090</v>
      </c>
      <c r="J20" s="1602">
        <f t="shared" si="6"/>
        <v>0</v>
      </c>
      <c r="K20" s="1616"/>
      <c r="L20" s="1616"/>
      <c r="M20" s="1604">
        <f t="shared" si="3"/>
        <v>0</v>
      </c>
      <c r="N20" s="1881">
        <f t="shared" si="3"/>
        <v>0</v>
      </c>
      <c r="O20" s="1881">
        <f t="shared" si="3"/>
        <v>0</v>
      </c>
      <c r="P20" s="1593"/>
      <c r="Q20" s="1593"/>
      <c r="R20" s="1602">
        <f t="shared" si="0"/>
        <v>0</v>
      </c>
      <c r="S20" s="1616">
        <v>0</v>
      </c>
      <c r="T20" s="1616">
        <v>0</v>
      </c>
      <c r="U20" s="1602">
        <f t="shared" si="1"/>
        <v>0</v>
      </c>
      <c r="V20" s="1616">
        <v>0</v>
      </c>
      <c r="W20" s="1616">
        <v>0</v>
      </c>
      <c r="X20" s="1423">
        <f t="shared" si="4"/>
        <v>0</v>
      </c>
    </row>
    <row r="21" spans="1:24" s="1607" customFormat="1" ht="19.5" customHeight="1">
      <c r="A21" s="2041"/>
      <c r="B21" s="2040" t="s">
        <v>709</v>
      </c>
      <c r="C21" s="2042"/>
      <c r="D21" s="1602">
        <f t="shared" si="2"/>
        <v>27085.3</v>
      </c>
      <c r="E21" s="1603">
        <f>SUM(E22:E23)</f>
        <v>0</v>
      </c>
      <c r="F21" s="1603">
        <f>SUM(F22:F23)</f>
        <v>27085.3</v>
      </c>
      <c r="G21" s="1602">
        <f t="shared" si="5"/>
        <v>27085.3</v>
      </c>
      <c r="H21" s="1603">
        <f t="shared" si="7"/>
        <v>0</v>
      </c>
      <c r="I21" s="1603">
        <f t="shared" si="7"/>
        <v>27085.3</v>
      </c>
      <c r="J21" s="1602">
        <f t="shared" si="6"/>
        <v>0</v>
      </c>
      <c r="K21" s="1603">
        <f>SUM(K22:K23)</f>
        <v>0</v>
      </c>
      <c r="L21" s="1603">
        <f>SUM(L22:L23)</f>
        <v>0</v>
      </c>
      <c r="M21" s="1601">
        <f t="shared" si="3"/>
        <v>0</v>
      </c>
      <c r="N21" s="1601">
        <f t="shared" si="3"/>
        <v>0</v>
      </c>
      <c r="O21" s="1601">
        <f t="shared" si="3"/>
        <v>0</v>
      </c>
      <c r="P21" s="1593" t="s">
        <v>353</v>
      </c>
      <c r="Q21" s="1593" t="s">
        <v>353</v>
      </c>
      <c r="R21" s="1602">
        <f t="shared" si="0"/>
        <v>0</v>
      </c>
      <c r="S21" s="1603">
        <f>SUM(S22:S23)</f>
        <v>0</v>
      </c>
      <c r="T21" s="1603">
        <f>SUM(T22:T23)</f>
        <v>0</v>
      </c>
      <c r="U21" s="1602">
        <f t="shared" si="1"/>
        <v>0</v>
      </c>
      <c r="V21" s="1603">
        <f>SUM(V22:V23)</f>
        <v>0</v>
      </c>
      <c r="W21" s="1603">
        <f>SUM(W22:W23)</f>
        <v>0</v>
      </c>
      <c r="X21" s="1423">
        <f t="shared" si="4"/>
        <v>0</v>
      </c>
    </row>
    <row r="22" spans="1:24" s="1607" customFormat="1" ht="48" customHeight="1">
      <c r="A22" s="2041">
        <f>A20+1</f>
        <v>4</v>
      </c>
      <c r="B22" s="521" t="s">
        <v>1397</v>
      </c>
      <c r="C22" s="1882">
        <v>24368</v>
      </c>
      <c r="D22" s="1602">
        <f t="shared" si="2"/>
        <v>11088.5</v>
      </c>
      <c r="E22" s="1616"/>
      <c r="F22" s="1616">
        <v>11088.5</v>
      </c>
      <c r="G22" s="1602">
        <f t="shared" si="5"/>
        <v>11088.5</v>
      </c>
      <c r="H22" s="1616">
        <f t="shared" si="7"/>
        <v>0</v>
      </c>
      <c r="I22" s="1616">
        <f t="shared" si="7"/>
        <v>11088.5</v>
      </c>
      <c r="J22" s="1602">
        <f t="shared" si="6"/>
        <v>0</v>
      </c>
      <c r="K22" s="1616"/>
      <c r="L22" s="1616"/>
      <c r="M22" s="1604">
        <f t="shared" si="3"/>
        <v>0</v>
      </c>
      <c r="N22" s="1881">
        <f t="shared" si="3"/>
        <v>0</v>
      </c>
      <c r="O22" s="1881">
        <f t="shared" si="3"/>
        <v>0</v>
      </c>
      <c r="P22" s="1593" t="s">
        <v>1171</v>
      </c>
      <c r="Q22" s="1593" t="s">
        <v>1116</v>
      </c>
      <c r="R22" s="1600">
        <f t="shared" si="0"/>
        <v>0</v>
      </c>
      <c r="S22" s="1608">
        <v>0</v>
      </c>
      <c r="T22" s="1608">
        <v>0</v>
      </c>
      <c r="U22" s="1600">
        <f t="shared" si="1"/>
        <v>0</v>
      </c>
      <c r="V22" s="1608">
        <v>0</v>
      </c>
      <c r="W22" s="1608">
        <v>0</v>
      </c>
      <c r="X22" s="1423">
        <f t="shared" si="4"/>
        <v>0</v>
      </c>
    </row>
    <row r="23" spans="1:24" s="1607" customFormat="1" ht="42" customHeight="1">
      <c r="A23" s="2041">
        <f>A22+1</f>
        <v>5</v>
      </c>
      <c r="B23" s="1883" t="s">
        <v>1399</v>
      </c>
      <c r="C23" s="1882">
        <v>24368</v>
      </c>
      <c r="D23" s="1602">
        <f t="shared" si="2"/>
        <v>15996.8</v>
      </c>
      <c r="E23" s="1616"/>
      <c r="F23" s="1616">
        <v>15996.8</v>
      </c>
      <c r="G23" s="1602">
        <f t="shared" si="5"/>
        <v>15996.8</v>
      </c>
      <c r="H23" s="1616">
        <f t="shared" si="7"/>
        <v>0</v>
      </c>
      <c r="I23" s="1616">
        <f t="shared" si="7"/>
        <v>15996.8</v>
      </c>
      <c r="J23" s="1602">
        <f t="shared" si="6"/>
        <v>0</v>
      </c>
      <c r="K23" s="1616"/>
      <c r="L23" s="1616"/>
      <c r="M23" s="1604">
        <f t="shared" si="3"/>
        <v>0</v>
      </c>
      <c r="N23" s="1881">
        <f t="shared" si="3"/>
        <v>0</v>
      </c>
      <c r="O23" s="1881">
        <f t="shared" si="3"/>
        <v>0</v>
      </c>
      <c r="P23" s="1593" t="s">
        <v>1171</v>
      </c>
      <c r="Q23" s="1593" t="s">
        <v>1116</v>
      </c>
      <c r="R23" s="1600">
        <f t="shared" si="0"/>
        <v>0</v>
      </c>
      <c r="S23" s="1608">
        <v>0</v>
      </c>
      <c r="T23" s="1608">
        <v>0</v>
      </c>
      <c r="U23" s="1600">
        <v>0</v>
      </c>
      <c r="V23" s="1608">
        <v>0</v>
      </c>
      <c r="W23" s="1608">
        <v>0</v>
      </c>
      <c r="X23" s="1423">
        <f t="shared" si="4"/>
        <v>0</v>
      </c>
    </row>
    <row r="24" spans="1:24" s="1570" customFormat="1" ht="21" customHeight="1">
      <c r="A24" s="2041"/>
      <c r="B24" s="1884" t="s">
        <v>712</v>
      </c>
      <c r="C24" s="1880">
        <v>24366</v>
      </c>
      <c r="D24" s="1602">
        <f>SUM(E24:F24)</f>
        <v>5983.1</v>
      </c>
      <c r="E24" s="1603">
        <f>SUM(E25:E27)</f>
        <v>0</v>
      </c>
      <c r="F24" s="1603">
        <f>SUM(F25:F27)</f>
        <v>5983.1</v>
      </c>
      <c r="G24" s="1602">
        <f>SUM(H24:I24)</f>
        <v>5983.1</v>
      </c>
      <c r="H24" s="1603">
        <f t="shared" si="7"/>
        <v>0</v>
      </c>
      <c r="I24" s="1603">
        <f t="shared" si="7"/>
        <v>5983.1</v>
      </c>
      <c r="J24" s="1602">
        <f>SUM(K24:L24)</f>
        <v>0</v>
      </c>
      <c r="K24" s="1603">
        <f>SUM(K25:K27)</f>
        <v>0</v>
      </c>
      <c r="L24" s="1603">
        <f>SUM(L25:L27)</f>
        <v>0</v>
      </c>
      <c r="M24" s="1601">
        <f t="shared" si="3"/>
        <v>0</v>
      </c>
      <c r="N24" s="1601">
        <f t="shared" si="3"/>
        <v>0</v>
      </c>
      <c r="O24" s="1601">
        <f t="shared" si="3"/>
        <v>0</v>
      </c>
      <c r="P24" s="1593" t="s">
        <v>353</v>
      </c>
      <c r="Q24" s="1612" t="s">
        <v>353</v>
      </c>
      <c r="R24" s="1602">
        <f t="shared" si="0"/>
        <v>0</v>
      </c>
      <c r="S24" s="1603">
        <f>SUM(S25:S26)</f>
        <v>0</v>
      </c>
      <c r="T24" s="1603">
        <f>SUM(T25:T26)</f>
        <v>0</v>
      </c>
      <c r="U24" s="1602">
        <f t="shared" ref="U24:U60" si="9">SUM(V24:W24)</f>
        <v>0</v>
      </c>
      <c r="V24" s="1603">
        <f>SUM(V25:V26)</f>
        <v>0</v>
      </c>
      <c r="W24" s="1603">
        <f>SUM(W25:W26)</f>
        <v>0</v>
      </c>
      <c r="X24" s="1423">
        <f t="shared" si="4"/>
        <v>0</v>
      </c>
    </row>
    <row r="25" spans="1:24" s="1570" customFormat="1" ht="43.5" customHeight="1">
      <c r="A25" s="2041">
        <f>A23+1</f>
        <v>6</v>
      </c>
      <c r="B25" s="1885" t="s">
        <v>1568</v>
      </c>
      <c r="C25" s="1880"/>
      <c r="D25" s="1602">
        <f t="shared" si="2"/>
        <v>283.10000000000002</v>
      </c>
      <c r="E25" s="1615"/>
      <c r="F25" s="1615">
        <v>283.10000000000002</v>
      </c>
      <c r="G25" s="1602">
        <f t="shared" si="5"/>
        <v>283.10000000000002</v>
      </c>
      <c r="H25" s="1615">
        <f t="shared" si="7"/>
        <v>0</v>
      </c>
      <c r="I25" s="1615">
        <f t="shared" si="7"/>
        <v>283.10000000000002</v>
      </c>
      <c r="J25" s="1602">
        <f t="shared" si="6"/>
        <v>0</v>
      </c>
      <c r="K25" s="1615"/>
      <c r="L25" s="1615"/>
      <c r="M25" s="1604">
        <f t="shared" si="3"/>
        <v>0</v>
      </c>
      <c r="N25" s="1881">
        <f t="shared" si="3"/>
        <v>0</v>
      </c>
      <c r="O25" s="1881">
        <f t="shared" si="3"/>
        <v>0</v>
      </c>
      <c r="P25" s="1593"/>
      <c r="Q25" s="1612"/>
      <c r="R25" s="1602">
        <f t="shared" si="0"/>
        <v>0</v>
      </c>
      <c r="S25" s="1615">
        <v>0</v>
      </c>
      <c r="T25" s="1615">
        <v>0</v>
      </c>
      <c r="U25" s="1602">
        <f t="shared" si="9"/>
        <v>0</v>
      </c>
      <c r="V25" s="1615">
        <v>0</v>
      </c>
      <c r="W25" s="1615">
        <v>0</v>
      </c>
      <c r="X25" s="1423">
        <f t="shared" si="4"/>
        <v>0</v>
      </c>
    </row>
    <row r="26" spans="1:24" ht="24.75" customHeight="1">
      <c r="A26" s="2041">
        <f>A25+1</f>
        <v>7</v>
      </c>
      <c r="B26" s="1885" t="s">
        <v>1713</v>
      </c>
      <c r="C26" s="2016">
        <v>1500</v>
      </c>
      <c r="D26" s="1602">
        <f>SUM(E26:F26)</f>
        <v>1500</v>
      </c>
      <c r="E26" s="1615"/>
      <c r="F26" s="1615">
        <v>1500</v>
      </c>
      <c r="G26" s="1602">
        <f>SUM(H26:I26)</f>
        <v>1500</v>
      </c>
      <c r="H26" s="1615">
        <f t="shared" si="7"/>
        <v>0</v>
      </c>
      <c r="I26" s="1615">
        <f t="shared" si="7"/>
        <v>1500</v>
      </c>
      <c r="J26" s="1602">
        <f t="shared" si="6"/>
        <v>0</v>
      </c>
      <c r="K26" s="1615"/>
      <c r="L26" s="1615"/>
      <c r="M26" s="1604">
        <f t="shared" si="3"/>
        <v>0</v>
      </c>
      <c r="N26" s="1881">
        <f t="shared" si="3"/>
        <v>0</v>
      </c>
      <c r="O26" s="1881">
        <f t="shared" si="3"/>
        <v>0</v>
      </c>
      <c r="P26" s="1593" t="s">
        <v>1171</v>
      </c>
      <c r="Q26" s="1593" t="s">
        <v>1111</v>
      </c>
      <c r="R26" s="1600">
        <f t="shared" si="0"/>
        <v>0</v>
      </c>
      <c r="S26" s="1614">
        <v>0</v>
      </c>
      <c r="T26" s="1614">
        <v>0</v>
      </c>
      <c r="U26" s="1600">
        <f t="shared" si="9"/>
        <v>0</v>
      </c>
      <c r="V26" s="1614">
        <v>0</v>
      </c>
      <c r="W26" s="1614">
        <v>0</v>
      </c>
      <c r="X26" s="1423">
        <f t="shared" si="4"/>
        <v>0</v>
      </c>
    </row>
    <row r="27" spans="1:24" ht="63.75" customHeight="1">
      <c r="A27" s="2041">
        <f>A26+1</f>
        <v>8</v>
      </c>
      <c r="B27" s="1879" t="s">
        <v>1714</v>
      </c>
      <c r="C27" s="2016">
        <v>4200</v>
      </c>
      <c r="D27" s="1602">
        <f>SUM(E27:F27)</f>
        <v>4200</v>
      </c>
      <c r="E27" s="1615"/>
      <c r="F27" s="1615">
        <v>4200</v>
      </c>
      <c r="G27" s="1602">
        <f>SUM(H27:I27)</f>
        <v>4200</v>
      </c>
      <c r="H27" s="1615">
        <f t="shared" si="7"/>
        <v>0</v>
      </c>
      <c r="I27" s="1615">
        <f t="shared" si="7"/>
        <v>4200</v>
      </c>
      <c r="J27" s="1602"/>
      <c r="K27" s="1615"/>
      <c r="L27" s="1615"/>
      <c r="M27" s="1604">
        <f t="shared" si="3"/>
        <v>0</v>
      </c>
      <c r="N27" s="1881">
        <f t="shared" si="3"/>
        <v>0</v>
      </c>
      <c r="O27" s="1881">
        <f t="shared" si="3"/>
        <v>0</v>
      </c>
      <c r="P27" s="1593"/>
      <c r="Q27" s="1593"/>
      <c r="R27" s="1600"/>
      <c r="S27" s="1614"/>
      <c r="T27" s="1614"/>
      <c r="U27" s="1600"/>
      <c r="V27" s="1614"/>
      <c r="W27" s="1614"/>
      <c r="X27" s="1423">
        <f t="shared" si="4"/>
        <v>0</v>
      </c>
    </row>
    <row r="28" spans="1:24" s="1570" customFormat="1" ht="23.25">
      <c r="A28" s="2041"/>
      <c r="B28" s="1884" t="s">
        <v>1406</v>
      </c>
      <c r="C28" s="2041" t="s">
        <v>1538</v>
      </c>
      <c r="D28" s="1602">
        <f t="shared" si="2"/>
        <v>5580.7</v>
      </c>
      <c r="E28" s="1603">
        <f>E29</f>
        <v>0</v>
      </c>
      <c r="F28" s="1603">
        <f>F29</f>
        <v>5580.7</v>
      </c>
      <c r="G28" s="1602">
        <f t="shared" si="5"/>
        <v>5580.7</v>
      </c>
      <c r="H28" s="1603">
        <f t="shared" si="7"/>
        <v>0</v>
      </c>
      <c r="I28" s="1603">
        <f t="shared" si="7"/>
        <v>5580.7</v>
      </c>
      <c r="J28" s="1602">
        <f t="shared" si="6"/>
        <v>0</v>
      </c>
      <c r="K28" s="1603">
        <f>K29</f>
        <v>0</v>
      </c>
      <c r="L28" s="1603">
        <f>L29</f>
        <v>0</v>
      </c>
      <c r="M28" s="1601">
        <f t="shared" si="3"/>
        <v>0</v>
      </c>
      <c r="N28" s="1601">
        <f t="shared" si="3"/>
        <v>0</v>
      </c>
      <c r="O28" s="1601">
        <f t="shared" si="3"/>
        <v>0</v>
      </c>
      <c r="P28" s="1593" t="s">
        <v>353</v>
      </c>
      <c r="Q28" s="1612" t="s">
        <v>353</v>
      </c>
      <c r="R28" s="1602">
        <f t="shared" si="0"/>
        <v>0</v>
      </c>
      <c r="S28" s="1603">
        <f>S29</f>
        <v>0</v>
      </c>
      <c r="T28" s="1603">
        <f>T29</f>
        <v>0</v>
      </c>
      <c r="U28" s="1602">
        <f t="shared" si="9"/>
        <v>0</v>
      </c>
      <c r="V28" s="1603">
        <f>V29</f>
        <v>0</v>
      </c>
      <c r="W28" s="1603">
        <f>W29</f>
        <v>0</v>
      </c>
      <c r="X28" s="1423">
        <f t="shared" si="4"/>
        <v>0</v>
      </c>
    </row>
    <row r="29" spans="1:24" ht="38.25" customHeight="1">
      <c r="A29" s="2041">
        <f>A27+1</f>
        <v>9</v>
      </c>
      <c r="B29" s="1886" t="s">
        <v>1407</v>
      </c>
      <c r="C29" s="2041" t="s">
        <v>1538</v>
      </c>
      <c r="D29" s="1602">
        <f t="shared" si="2"/>
        <v>5580.7</v>
      </c>
      <c r="E29" s="1615"/>
      <c r="F29" s="1615">
        <f>18602.2-13021.5</f>
        <v>5580.7</v>
      </c>
      <c r="G29" s="1602">
        <f t="shared" si="5"/>
        <v>5580.7</v>
      </c>
      <c r="H29" s="1615">
        <f t="shared" si="7"/>
        <v>0</v>
      </c>
      <c r="I29" s="1615">
        <f t="shared" si="7"/>
        <v>5580.7</v>
      </c>
      <c r="J29" s="1602">
        <f t="shared" si="6"/>
        <v>0</v>
      </c>
      <c r="K29" s="1615"/>
      <c r="L29" s="1615"/>
      <c r="M29" s="1604">
        <f t="shared" si="3"/>
        <v>0</v>
      </c>
      <c r="N29" s="1881">
        <f t="shared" si="3"/>
        <v>0</v>
      </c>
      <c r="O29" s="1881">
        <f t="shared" si="3"/>
        <v>0</v>
      </c>
      <c r="P29" s="1593" t="s">
        <v>1171</v>
      </c>
      <c r="Q29" s="1593" t="s">
        <v>1111</v>
      </c>
      <c r="R29" s="1600">
        <f t="shared" si="0"/>
        <v>0</v>
      </c>
      <c r="S29" s="1614">
        <v>0</v>
      </c>
      <c r="T29" s="1614">
        <v>0</v>
      </c>
      <c r="U29" s="1600">
        <f t="shared" si="9"/>
        <v>0</v>
      </c>
      <c r="V29" s="1614">
        <v>0</v>
      </c>
      <c r="W29" s="1614">
        <v>0</v>
      </c>
      <c r="X29" s="1423">
        <f t="shared" si="4"/>
        <v>0</v>
      </c>
    </row>
    <row r="30" spans="1:24" s="1607" customFormat="1" ht="23.25" customHeight="1">
      <c r="A30" s="2041"/>
      <c r="B30" s="2040" t="s">
        <v>46</v>
      </c>
      <c r="C30" s="1882">
        <v>24347</v>
      </c>
      <c r="D30" s="1602">
        <f t="shared" si="2"/>
        <v>8635</v>
      </c>
      <c r="E30" s="1603">
        <f>E31</f>
        <v>0</v>
      </c>
      <c r="F30" s="1603">
        <f>F31</f>
        <v>8635</v>
      </c>
      <c r="G30" s="1602">
        <f t="shared" si="5"/>
        <v>8635</v>
      </c>
      <c r="H30" s="1603">
        <f t="shared" si="7"/>
        <v>0</v>
      </c>
      <c r="I30" s="1603">
        <f t="shared" si="7"/>
        <v>8635</v>
      </c>
      <c r="J30" s="1602">
        <f t="shared" si="6"/>
        <v>0</v>
      </c>
      <c r="K30" s="1603">
        <f>K31</f>
        <v>0</v>
      </c>
      <c r="L30" s="1603">
        <f>L31</f>
        <v>0</v>
      </c>
      <c r="M30" s="1604">
        <f t="shared" si="3"/>
        <v>0</v>
      </c>
      <c r="N30" s="1881">
        <f t="shared" si="3"/>
        <v>0</v>
      </c>
      <c r="O30" s="1881">
        <f t="shared" si="3"/>
        <v>0</v>
      </c>
      <c r="P30" s="1593" t="s">
        <v>353</v>
      </c>
      <c r="Q30" s="1593" t="s">
        <v>353</v>
      </c>
      <c r="R30" s="1602">
        <f t="shared" si="0"/>
        <v>0</v>
      </c>
      <c r="S30" s="1603">
        <f>S31</f>
        <v>0</v>
      </c>
      <c r="T30" s="1603">
        <f>T31</f>
        <v>0</v>
      </c>
      <c r="U30" s="1602">
        <f t="shared" si="9"/>
        <v>0</v>
      </c>
      <c r="V30" s="1603">
        <f>V31</f>
        <v>0</v>
      </c>
      <c r="W30" s="1603">
        <f>W31</f>
        <v>0</v>
      </c>
      <c r="X30" s="1423">
        <f t="shared" si="4"/>
        <v>0</v>
      </c>
    </row>
    <row r="31" spans="1:24" s="1607" customFormat="1" ht="81.75" customHeight="1">
      <c r="A31" s="2041">
        <f>A29+1</f>
        <v>10</v>
      </c>
      <c r="B31" s="521" t="s">
        <v>1517</v>
      </c>
      <c r="C31" s="1882">
        <v>24347</v>
      </c>
      <c r="D31" s="1602">
        <f t="shared" si="2"/>
        <v>8635</v>
      </c>
      <c r="E31" s="1616"/>
      <c r="F31" s="1616">
        <f>12500-3865</f>
        <v>8635</v>
      </c>
      <c r="G31" s="1602">
        <f t="shared" si="5"/>
        <v>8635</v>
      </c>
      <c r="H31" s="1616">
        <f t="shared" si="7"/>
        <v>0</v>
      </c>
      <c r="I31" s="1616">
        <f t="shared" si="7"/>
        <v>8635</v>
      </c>
      <c r="J31" s="1602">
        <f t="shared" si="6"/>
        <v>0</v>
      </c>
      <c r="K31" s="1616"/>
      <c r="L31" s="1616"/>
      <c r="M31" s="1604">
        <f t="shared" si="3"/>
        <v>0</v>
      </c>
      <c r="N31" s="1881">
        <f t="shared" si="3"/>
        <v>0</v>
      </c>
      <c r="O31" s="1881">
        <f t="shared" si="3"/>
        <v>0</v>
      </c>
      <c r="P31" s="1593" t="s">
        <v>1184</v>
      </c>
      <c r="Q31" s="1593" t="s">
        <v>1136</v>
      </c>
      <c r="R31" s="1600">
        <f t="shared" si="0"/>
        <v>0</v>
      </c>
      <c r="S31" s="1608">
        <v>0</v>
      </c>
      <c r="T31" s="1608">
        <v>0</v>
      </c>
      <c r="U31" s="1600">
        <f t="shared" si="9"/>
        <v>0</v>
      </c>
      <c r="V31" s="1608">
        <v>0</v>
      </c>
      <c r="W31" s="1608">
        <v>0</v>
      </c>
      <c r="X31" s="1423">
        <f t="shared" si="4"/>
        <v>0</v>
      </c>
    </row>
    <row r="32" spans="1:24" s="1570" customFormat="1" ht="24.75" customHeight="1">
      <c r="A32" s="2041"/>
      <c r="B32" s="1884" t="s">
        <v>583</v>
      </c>
      <c r="C32" s="2041">
        <v>24366</v>
      </c>
      <c r="D32" s="1602">
        <f t="shared" si="2"/>
        <v>9524</v>
      </c>
      <c r="E32" s="1603">
        <f>E33+E34</f>
        <v>0</v>
      </c>
      <c r="F32" s="1603">
        <f>F33+F34</f>
        <v>9524</v>
      </c>
      <c r="G32" s="1602">
        <f t="shared" si="5"/>
        <v>9524</v>
      </c>
      <c r="H32" s="1603">
        <f t="shared" si="7"/>
        <v>0</v>
      </c>
      <c r="I32" s="1603">
        <f t="shared" si="7"/>
        <v>9524</v>
      </c>
      <c r="J32" s="1602">
        <f>SUM(K32:L32)</f>
        <v>0</v>
      </c>
      <c r="K32" s="1603">
        <f>K33+K34</f>
        <v>0</v>
      </c>
      <c r="L32" s="1603">
        <f>L33+L34</f>
        <v>0</v>
      </c>
      <c r="M32" s="1604">
        <f t="shared" si="3"/>
        <v>0</v>
      </c>
      <c r="N32" s="1604">
        <f t="shared" si="3"/>
        <v>0</v>
      </c>
      <c r="O32" s="1604">
        <f t="shared" si="3"/>
        <v>0</v>
      </c>
      <c r="P32" s="1593" t="s">
        <v>353</v>
      </c>
      <c r="Q32" s="1612" t="s">
        <v>353</v>
      </c>
      <c r="R32" s="1602">
        <f t="shared" si="0"/>
        <v>0</v>
      </c>
      <c r="S32" s="1603">
        <f>S33</f>
        <v>0</v>
      </c>
      <c r="T32" s="1603">
        <f>T33</f>
        <v>0</v>
      </c>
      <c r="U32" s="1602">
        <f t="shared" si="9"/>
        <v>0</v>
      </c>
      <c r="V32" s="1603">
        <f>V33</f>
        <v>0</v>
      </c>
      <c r="W32" s="1603">
        <f>W33</f>
        <v>0</v>
      </c>
      <c r="X32" s="1423">
        <f t="shared" si="4"/>
        <v>0</v>
      </c>
    </row>
    <row r="33" spans="1:24" ht="42.75" customHeight="1">
      <c r="A33" s="2041">
        <f>A31+1</f>
        <v>11</v>
      </c>
      <c r="B33" s="1887" t="s">
        <v>1403</v>
      </c>
      <c r="C33" s="2041">
        <v>24366</v>
      </c>
      <c r="D33" s="1602">
        <f t="shared" si="2"/>
        <v>750</v>
      </c>
      <c r="E33" s="1615"/>
      <c r="F33" s="1615">
        <f>2500-1750</f>
        <v>750</v>
      </c>
      <c r="G33" s="1602">
        <f t="shared" si="5"/>
        <v>750</v>
      </c>
      <c r="H33" s="1615">
        <f t="shared" si="7"/>
        <v>0</v>
      </c>
      <c r="I33" s="1615">
        <f t="shared" si="7"/>
        <v>750</v>
      </c>
      <c r="J33" s="1602">
        <f t="shared" si="6"/>
        <v>0</v>
      </c>
      <c r="K33" s="1615"/>
      <c r="L33" s="1615"/>
      <c r="M33" s="1604">
        <f t="shared" si="3"/>
        <v>0</v>
      </c>
      <c r="N33" s="1881">
        <f t="shared" si="3"/>
        <v>0</v>
      </c>
      <c r="O33" s="1881">
        <f t="shared" si="3"/>
        <v>0</v>
      </c>
      <c r="P33" s="1593" t="s">
        <v>1171</v>
      </c>
      <c r="Q33" s="1593" t="s">
        <v>1111</v>
      </c>
      <c r="R33" s="1600">
        <f t="shared" si="0"/>
        <v>0</v>
      </c>
      <c r="S33" s="1614">
        <v>0</v>
      </c>
      <c r="T33" s="1614">
        <v>0</v>
      </c>
      <c r="U33" s="1600">
        <f t="shared" si="9"/>
        <v>0</v>
      </c>
      <c r="V33" s="1614">
        <v>0</v>
      </c>
      <c r="W33" s="1614">
        <v>0</v>
      </c>
      <c r="X33" s="1423">
        <f t="shared" si="4"/>
        <v>0</v>
      </c>
    </row>
    <row r="34" spans="1:24" ht="77.25" customHeight="1">
      <c r="A34" s="2041">
        <f>A33+1</f>
        <v>12</v>
      </c>
      <c r="B34" s="1919" t="s">
        <v>434</v>
      </c>
      <c r="C34" s="1877"/>
      <c r="D34" s="1602">
        <f>SUM(E34:F34)</f>
        <v>8774</v>
      </c>
      <c r="E34" s="1616"/>
      <c r="F34" s="1616">
        <v>8774</v>
      </c>
      <c r="G34" s="1602">
        <f>SUM(H34:I34)</f>
        <v>8774</v>
      </c>
      <c r="H34" s="1616">
        <f t="shared" si="7"/>
        <v>0</v>
      </c>
      <c r="I34" s="1616">
        <f t="shared" si="7"/>
        <v>8774</v>
      </c>
      <c r="J34" s="1602">
        <f>SUM(K34:L34)</f>
        <v>0</v>
      </c>
      <c r="K34" s="1616"/>
      <c r="L34" s="1616"/>
      <c r="M34" s="1604">
        <f t="shared" si="3"/>
        <v>0</v>
      </c>
      <c r="N34" s="1881">
        <f t="shared" si="3"/>
        <v>0</v>
      </c>
      <c r="O34" s="1881">
        <f t="shared" si="3"/>
        <v>0</v>
      </c>
      <c r="P34" s="1593"/>
      <c r="Q34" s="1593"/>
      <c r="R34" s="1600"/>
      <c r="S34" s="1614"/>
      <c r="T34" s="1614"/>
      <c r="U34" s="1600"/>
      <c r="V34" s="1614"/>
      <c r="W34" s="1614"/>
      <c r="X34" s="1423"/>
    </row>
    <row r="35" spans="1:24" ht="21.75" customHeight="1">
      <c r="A35" s="2041"/>
      <c r="B35" s="2040" t="s">
        <v>68</v>
      </c>
      <c r="C35" s="2041">
        <v>24366</v>
      </c>
      <c r="D35" s="1602">
        <f t="shared" si="2"/>
        <v>18698.7</v>
      </c>
      <c r="E35" s="1603">
        <f>SUM(E36:E39)</f>
        <v>0</v>
      </c>
      <c r="F35" s="1603">
        <f>SUM(F36:F39)</f>
        <v>18698.7</v>
      </c>
      <c r="G35" s="1602">
        <f t="shared" si="5"/>
        <v>18698.7</v>
      </c>
      <c r="H35" s="1603">
        <f t="shared" si="7"/>
        <v>0</v>
      </c>
      <c r="I35" s="1603">
        <f t="shared" si="7"/>
        <v>18698.7</v>
      </c>
      <c r="J35" s="1602">
        <f t="shared" si="6"/>
        <v>9964.2000000000007</v>
      </c>
      <c r="K35" s="1603">
        <f>SUM(K36:K39)</f>
        <v>0</v>
      </c>
      <c r="L35" s="1603">
        <f>SUM(L36:L39)</f>
        <v>9964.2000000000007</v>
      </c>
      <c r="M35" s="1601">
        <f t="shared" si="3"/>
        <v>53.3</v>
      </c>
      <c r="N35" s="1601">
        <f t="shared" si="3"/>
        <v>0</v>
      </c>
      <c r="O35" s="1601">
        <f t="shared" si="3"/>
        <v>53.3</v>
      </c>
      <c r="P35" s="1601">
        <f>SUM(P36:P39)</f>
        <v>0</v>
      </c>
      <c r="Q35" s="1601">
        <f>SUM(Q36:Q39)</f>
        <v>0</v>
      </c>
      <c r="R35" s="1602">
        <f t="shared" si="0"/>
        <v>8734.5</v>
      </c>
      <c r="S35" s="1603">
        <f>SUM(S36:S39)</f>
        <v>0</v>
      </c>
      <c r="T35" s="1603">
        <f>SUM(T36:T39)</f>
        <v>8734.5</v>
      </c>
      <c r="U35" s="1602">
        <f t="shared" si="9"/>
        <v>0</v>
      </c>
      <c r="V35" s="1603">
        <f>SUM(V36:V39)</f>
        <v>0</v>
      </c>
      <c r="W35" s="1603">
        <f>SUM(W36:W39)</f>
        <v>0</v>
      </c>
      <c r="X35" s="1423">
        <f t="shared" si="4"/>
        <v>0</v>
      </c>
    </row>
    <row r="36" spans="1:24" ht="137.25" customHeight="1">
      <c r="A36" s="2041">
        <f>A34+1</f>
        <v>13</v>
      </c>
      <c r="B36" s="1888" t="s">
        <v>1553</v>
      </c>
      <c r="C36" s="2041"/>
      <c r="D36" s="1602">
        <f t="shared" si="2"/>
        <v>4000</v>
      </c>
      <c r="E36" s="1616"/>
      <c r="F36" s="1616">
        <v>4000</v>
      </c>
      <c r="G36" s="1602">
        <f t="shared" si="5"/>
        <v>4000</v>
      </c>
      <c r="H36" s="1616">
        <f t="shared" si="7"/>
        <v>0</v>
      </c>
      <c r="I36" s="1616">
        <f t="shared" si="7"/>
        <v>4000</v>
      </c>
      <c r="J36" s="1602">
        <f t="shared" si="6"/>
        <v>4000</v>
      </c>
      <c r="K36" s="1616"/>
      <c r="L36" s="1616">
        <v>4000</v>
      </c>
      <c r="M36" s="1604">
        <f t="shared" si="3"/>
        <v>100</v>
      </c>
      <c r="N36" s="1881">
        <f t="shared" si="3"/>
        <v>0</v>
      </c>
      <c r="O36" s="1881">
        <f t="shared" si="3"/>
        <v>100</v>
      </c>
      <c r="P36" s="1593"/>
      <c r="Q36" s="1593"/>
      <c r="R36" s="1600">
        <f t="shared" si="0"/>
        <v>0</v>
      </c>
      <c r="S36" s="1865">
        <v>0</v>
      </c>
      <c r="T36" s="1865">
        <v>0</v>
      </c>
      <c r="U36" s="1600">
        <f t="shared" si="9"/>
        <v>0</v>
      </c>
      <c r="V36" s="1865">
        <v>0</v>
      </c>
      <c r="W36" s="1865">
        <v>0</v>
      </c>
      <c r="X36" s="1423">
        <f t="shared" si="4"/>
        <v>0</v>
      </c>
    </row>
    <row r="37" spans="1:24" ht="118.5" customHeight="1">
      <c r="A37" s="2041">
        <f>A36+1</f>
        <v>14</v>
      </c>
      <c r="B37" s="1889" t="s">
        <v>1552</v>
      </c>
      <c r="C37" s="2041"/>
      <c r="D37" s="1602">
        <f t="shared" si="2"/>
        <v>2400</v>
      </c>
      <c r="E37" s="1616"/>
      <c r="F37" s="1616">
        <v>2400</v>
      </c>
      <c r="G37" s="1602">
        <f t="shared" si="5"/>
        <v>2400</v>
      </c>
      <c r="H37" s="1616">
        <f t="shared" si="7"/>
        <v>0</v>
      </c>
      <c r="I37" s="1616">
        <f t="shared" si="7"/>
        <v>2400</v>
      </c>
      <c r="J37" s="1602">
        <f t="shared" si="6"/>
        <v>2400</v>
      </c>
      <c r="K37" s="1616"/>
      <c r="L37" s="1616">
        <v>2400</v>
      </c>
      <c r="M37" s="1604">
        <f t="shared" si="3"/>
        <v>100</v>
      </c>
      <c r="N37" s="1881">
        <f t="shared" si="3"/>
        <v>0</v>
      </c>
      <c r="O37" s="1881">
        <f t="shared" si="3"/>
        <v>100</v>
      </c>
      <c r="P37" s="1593"/>
      <c r="Q37" s="1593"/>
      <c r="R37" s="1600">
        <f t="shared" si="0"/>
        <v>0</v>
      </c>
      <c r="S37" s="1865">
        <v>0</v>
      </c>
      <c r="T37" s="1865">
        <v>0</v>
      </c>
      <c r="U37" s="1600">
        <f t="shared" si="9"/>
        <v>0</v>
      </c>
      <c r="V37" s="1865">
        <v>0</v>
      </c>
      <c r="W37" s="1865">
        <v>0</v>
      </c>
      <c r="X37" s="1423">
        <f t="shared" si="4"/>
        <v>0</v>
      </c>
    </row>
    <row r="38" spans="1:24" ht="60.75" customHeight="1">
      <c r="A38" s="2041">
        <f>A37+1</f>
        <v>15</v>
      </c>
      <c r="B38" s="1888" t="s">
        <v>1561</v>
      </c>
      <c r="C38" s="2041"/>
      <c r="D38" s="1602">
        <f t="shared" si="2"/>
        <v>3564.2</v>
      </c>
      <c r="E38" s="1616"/>
      <c r="F38" s="1616">
        <v>3564.2</v>
      </c>
      <c r="G38" s="1602">
        <f t="shared" si="5"/>
        <v>3564.2</v>
      </c>
      <c r="H38" s="1616">
        <f t="shared" si="7"/>
        <v>0</v>
      </c>
      <c r="I38" s="1616">
        <f t="shared" si="7"/>
        <v>3564.2</v>
      </c>
      <c r="J38" s="1602">
        <f t="shared" si="6"/>
        <v>3564.2</v>
      </c>
      <c r="K38" s="1616"/>
      <c r="L38" s="1616">
        <v>3564.2</v>
      </c>
      <c r="M38" s="1604">
        <f t="shared" si="3"/>
        <v>100</v>
      </c>
      <c r="N38" s="1881">
        <f t="shared" si="3"/>
        <v>0</v>
      </c>
      <c r="O38" s="1881">
        <f t="shared" si="3"/>
        <v>100</v>
      </c>
      <c r="P38" s="1593"/>
      <c r="Q38" s="1593"/>
      <c r="R38" s="1600">
        <f t="shared" si="0"/>
        <v>0</v>
      </c>
      <c r="S38" s="1865">
        <v>0</v>
      </c>
      <c r="T38" s="1865">
        <v>0</v>
      </c>
      <c r="U38" s="1600">
        <f t="shared" si="9"/>
        <v>0</v>
      </c>
      <c r="V38" s="1865">
        <v>0</v>
      </c>
      <c r="W38" s="1865">
        <v>0</v>
      </c>
      <c r="X38" s="1423">
        <f t="shared" si="4"/>
        <v>0</v>
      </c>
    </row>
    <row r="39" spans="1:24" ht="47.25" customHeight="1">
      <c r="A39" s="2041">
        <f>A38+1</f>
        <v>16</v>
      </c>
      <c r="B39" s="1890" t="s">
        <v>1651</v>
      </c>
      <c r="C39" s="2041">
        <v>24366</v>
      </c>
      <c r="D39" s="1602">
        <f t="shared" si="2"/>
        <v>8734.5</v>
      </c>
      <c r="E39" s="1616"/>
      <c r="F39" s="1616">
        <v>8734.5</v>
      </c>
      <c r="G39" s="1602">
        <f t="shared" si="5"/>
        <v>8734.5</v>
      </c>
      <c r="H39" s="1616">
        <f t="shared" si="7"/>
        <v>0</v>
      </c>
      <c r="I39" s="1616">
        <f t="shared" si="7"/>
        <v>8734.5</v>
      </c>
      <c r="J39" s="1602">
        <f t="shared" si="6"/>
        <v>0</v>
      </c>
      <c r="K39" s="1616"/>
      <c r="L39" s="1616"/>
      <c r="M39" s="1604">
        <f t="shared" si="3"/>
        <v>0</v>
      </c>
      <c r="N39" s="1881">
        <f t="shared" si="3"/>
        <v>0</v>
      </c>
      <c r="O39" s="1881">
        <f t="shared" si="3"/>
        <v>0</v>
      </c>
      <c r="P39" s="1593" t="s">
        <v>1176</v>
      </c>
      <c r="Q39" s="1593" t="s">
        <v>1125</v>
      </c>
      <c r="R39" s="1600">
        <f t="shared" si="0"/>
        <v>8734.5</v>
      </c>
      <c r="S39" s="1608">
        <v>0</v>
      </c>
      <c r="T39" s="1608">
        <v>8734.5</v>
      </c>
      <c r="U39" s="1600">
        <f t="shared" si="9"/>
        <v>0</v>
      </c>
      <c r="V39" s="1608">
        <v>0</v>
      </c>
      <c r="W39" s="1608">
        <v>0</v>
      </c>
      <c r="X39" s="1423">
        <f t="shared" si="4"/>
        <v>0</v>
      </c>
    </row>
    <row r="40" spans="1:24" s="1570" customFormat="1" ht="24.75" customHeight="1">
      <c r="A40" s="2041"/>
      <c r="B40" s="1884" t="s">
        <v>1408</v>
      </c>
      <c r="C40" s="1880" t="s">
        <v>1538</v>
      </c>
      <c r="D40" s="1602">
        <f t="shared" si="2"/>
        <v>3448.5</v>
      </c>
      <c r="E40" s="1603">
        <f>SUM(E41)</f>
        <v>0</v>
      </c>
      <c r="F40" s="1603">
        <f>SUM(F41)</f>
        <v>3448.5</v>
      </c>
      <c r="G40" s="1602">
        <f t="shared" si="5"/>
        <v>3448.5</v>
      </c>
      <c r="H40" s="1603">
        <f t="shared" si="7"/>
        <v>0</v>
      </c>
      <c r="I40" s="1603">
        <f t="shared" si="7"/>
        <v>3448.5</v>
      </c>
      <c r="J40" s="1602">
        <f t="shared" si="6"/>
        <v>0</v>
      </c>
      <c r="K40" s="1603">
        <f>SUM(K41)</f>
        <v>0</v>
      </c>
      <c r="L40" s="1603">
        <f>SUM(L41)</f>
        <v>0</v>
      </c>
      <c r="M40" s="1604">
        <f t="shared" si="3"/>
        <v>0</v>
      </c>
      <c r="N40" s="1604">
        <f t="shared" si="3"/>
        <v>0</v>
      </c>
      <c r="O40" s="1604">
        <f t="shared" si="3"/>
        <v>0</v>
      </c>
      <c r="P40" s="1593" t="s">
        <v>353</v>
      </c>
      <c r="Q40" s="1612" t="s">
        <v>353</v>
      </c>
      <c r="R40" s="1602">
        <f t="shared" si="0"/>
        <v>0</v>
      </c>
      <c r="S40" s="1603">
        <f>SUM(S41)</f>
        <v>0</v>
      </c>
      <c r="T40" s="1603">
        <f>SUM(T41)</f>
        <v>0</v>
      </c>
      <c r="U40" s="1602">
        <f t="shared" si="9"/>
        <v>0</v>
      </c>
      <c r="V40" s="1603">
        <f>SUM(V41)</f>
        <v>0</v>
      </c>
      <c r="W40" s="1603">
        <f>SUM(W41)</f>
        <v>0</v>
      </c>
      <c r="X40" s="1423">
        <f t="shared" si="4"/>
        <v>0</v>
      </c>
    </row>
    <row r="41" spans="1:24" ht="45" customHeight="1">
      <c r="A41" s="2041">
        <f>A39+1</f>
        <v>17</v>
      </c>
      <c r="B41" s="1886" t="s">
        <v>1409</v>
      </c>
      <c r="C41" s="1880" t="s">
        <v>1538</v>
      </c>
      <c r="D41" s="1602">
        <f t="shared" si="2"/>
        <v>3448.5</v>
      </c>
      <c r="E41" s="1615"/>
      <c r="F41" s="1615">
        <f>11495-8046.5</f>
        <v>3448.5</v>
      </c>
      <c r="G41" s="1602">
        <f t="shared" si="5"/>
        <v>3448.5</v>
      </c>
      <c r="H41" s="1615">
        <f t="shared" si="7"/>
        <v>0</v>
      </c>
      <c r="I41" s="1615">
        <f t="shared" si="7"/>
        <v>3448.5</v>
      </c>
      <c r="J41" s="1602">
        <f t="shared" si="6"/>
        <v>0</v>
      </c>
      <c r="K41" s="1615"/>
      <c r="L41" s="1615"/>
      <c r="M41" s="1604">
        <f t="shared" si="3"/>
        <v>0</v>
      </c>
      <c r="N41" s="1881">
        <f t="shared" si="3"/>
        <v>0</v>
      </c>
      <c r="O41" s="1881">
        <f t="shared" si="3"/>
        <v>0</v>
      </c>
      <c r="P41" s="1593" t="s">
        <v>1171</v>
      </c>
      <c r="Q41" s="1593" t="s">
        <v>1111</v>
      </c>
      <c r="R41" s="1600">
        <f t="shared" si="0"/>
        <v>0</v>
      </c>
      <c r="S41" s="1614">
        <v>0</v>
      </c>
      <c r="T41" s="1614">
        <v>0</v>
      </c>
      <c r="U41" s="1600">
        <f t="shared" si="9"/>
        <v>0</v>
      </c>
      <c r="V41" s="1614">
        <v>0</v>
      </c>
      <c r="W41" s="1614">
        <v>0</v>
      </c>
      <c r="X41" s="1423">
        <f t="shared" si="4"/>
        <v>0</v>
      </c>
    </row>
    <row r="42" spans="1:24" ht="27" customHeight="1">
      <c r="A42" s="2041"/>
      <c r="B42" s="1891" t="s">
        <v>431</v>
      </c>
      <c r="C42" s="1880"/>
      <c r="D42" s="1602">
        <f>SUM(E42:F42)</f>
        <v>18900</v>
      </c>
      <c r="E42" s="1603">
        <f>SUM(E43:E45)</f>
        <v>0</v>
      </c>
      <c r="F42" s="1603">
        <f>SUM(F43:F45)</f>
        <v>18900</v>
      </c>
      <c r="G42" s="1602">
        <f t="shared" si="5"/>
        <v>18900</v>
      </c>
      <c r="H42" s="1603">
        <f t="shared" si="7"/>
        <v>0</v>
      </c>
      <c r="I42" s="1603">
        <f t="shared" si="7"/>
        <v>18900</v>
      </c>
      <c r="J42" s="1602">
        <f t="shared" si="6"/>
        <v>0</v>
      </c>
      <c r="K42" s="1603">
        <f>SUM(K43:K45)</f>
        <v>0</v>
      </c>
      <c r="L42" s="1603">
        <f>SUM(L43:L45)</f>
        <v>0</v>
      </c>
      <c r="M42" s="1601">
        <f t="shared" si="3"/>
        <v>0</v>
      </c>
      <c r="N42" s="1601">
        <f t="shared" si="3"/>
        <v>0</v>
      </c>
      <c r="O42" s="1601">
        <f t="shared" si="3"/>
        <v>0</v>
      </c>
      <c r="P42" s="1593"/>
      <c r="Q42" s="1593"/>
      <c r="R42" s="1602">
        <f t="shared" si="0"/>
        <v>12400</v>
      </c>
      <c r="S42" s="1603">
        <f>SUM(S43:S45)</f>
        <v>0</v>
      </c>
      <c r="T42" s="1603">
        <f>SUM(T43:T45)</f>
        <v>12400</v>
      </c>
      <c r="U42" s="1602">
        <f t="shared" si="9"/>
        <v>0</v>
      </c>
      <c r="V42" s="1603">
        <f>SUM(V43:V45)</f>
        <v>0</v>
      </c>
      <c r="W42" s="1603">
        <f>SUM(W43:W45)</f>
        <v>0</v>
      </c>
      <c r="X42" s="1423">
        <f t="shared" si="4"/>
        <v>0</v>
      </c>
    </row>
    <row r="43" spans="1:24" ht="38.25" customHeight="1">
      <c r="A43" s="2041">
        <f>A41+1</f>
        <v>18</v>
      </c>
      <c r="B43" s="1886" t="s">
        <v>1715</v>
      </c>
      <c r="C43" s="1880"/>
      <c r="D43" s="1602">
        <f>SUM(E43:F43)</f>
        <v>8266.7000000000007</v>
      </c>
      <c r="E43" s="1603"/>
      <c r="F43" s="1864">
        <v>8266.7000000000007</v>
      </c>
      <c r="G43" s="1602">
        <f>SUM(H43:I43)</f>
        <v>8266.7000000000007</v>
      </c>
      <c r="H43" s="1603">
        <f t="shared" si="7"/>
        <v>0</v>
      </c>
      <c r="I43" s="1864">
        <f t="shared" si="7"/>
        <v>8266.7000000000007</v>
      </c>
      <c r="J43" s="1602">
        <f t="shared" si="6"/>
        <v>0</v>
      </c>
      <c r="K43" s="1615"/>
      <c r="L43" s="1615"/>
      <c r="M43" s="1604">
        <f t="shared" si="3"/>
        <v>0</v>
      </c>
      <c r="N43" s="1881">
        <f t="shared" si="3"/>
        <v>0</v>
      </c>
      <c r="O43" s="1881">
        <f t="shared" si="3"/>
        <v>0</v>
      </c>
      <c r="P43" s="1593"/>
      <c r="Q43" s="1593"/>
      <c r="R43" s="1602">
        <f t="shared" si="0"/>
        <v>12400</v>
      </c>
      <c r="S43" s="1614">
        <v>0</v>
      </c>
      <c r="T43" s="1614">
        <v>12400</v>
      </c>
      <c r="U43" s="1602">
        <f t="shared" si="9"/>
        <v>0</v>
      </c>
      <c r="V43" s="1614">
        <v>0</v>
      </c>
      <c r="W43" s="1614">
        <v>0</v>
      </c>
      <c r="X43" s="1423">
        <f t="shared" si="4"/>
        <v>0</v>
      </c>
    </row>
    <row r="44" spans="1:24" ht="46.5" customHeight="1">
      <c r="A44" s="2041">
        <f>A43+1</f>
        <v>19</v>
      </c>
      <c r="B44" s="1886" t="s">
        <v>1716</v>
      </c>
      <c r="C44" s="1880"/>
      <c r="D44" s="1602">
        <f>SUM(E44:F44)</f>
        <v>4133.3</v>
      </c>
      <c r="E44" s="1615"/>
      <c r="F44" s="1615">
        <v>4133.3</v>
      </c>
      <c r="G44" s="1602">
        <f>SUM(H44:I44)</f>
        <v>4133.3</v>
      </c>
      <c r="H44" s="1615">
        <f t="shared" si="7"/>
        <v>0</v>
      </c>
      <c r="I44" s="1615">
        <f t="shared" si="7"/>
        <v>4133.3</v>
      </c>
      <c r="J44" s="1602">
        <f t="shared" si="6"/>
        <v>0</v>
      </c>
      <c r="K44" s="1615"/>
      <c r="L44" s="1615"/>
      <c r="M44" s="1604">
        <f t="shared" si="3"/>
        <v>0</v>
      </c>
      <c r="N44" s="1881">
        <f t="shared" si="3"/>
        <v>0</v>
      </c>
      <c r="O44" s="1881">
        <f t="shared" si="3"/>
        <v>0</v>
      </c>
      <c r="P44" s="1593"/>
      <c r="Q44" s="1593"/>
      <c r="R44" s="1602">
        <f t="shared" si="0"/>
        <v>0</v>
      </c>
      <c r="S44" s="1614">
        <v>0</v>
      </c>
      <c r="T44" s="1614">
        <v>0</v>
      </c>
      <c r="U44" s="1602">
        <f t="shared" si="9"/>
        <v>0</v>
      </c>
      <c r="V44" s="1614">
        <v>0</v>
      </c>
      <c r="W44" s="1614">
        <v>0</v>
      </c>
      <c r="X44" s="1423">
        <f t="shared" si="4"/>
        <v>0</v>
      </c>
    </row>
    <row r="45" spans="1:24" ht="63.75" customHeight="1">
      <c r="A45" s="2041">
        <f>A44+1</f>
        <v>20</v>
      </c>
      <c r="B45" s="1886" t="s">
        <v>1562</v>
      </c>
      <c r="C45" s="1880"/>
      <c r="D45" s="1602">
        <f t="shared" si="2"/>
        <v>6500</v>
      </c>
      <c r="E45" s="1615"/>
      <c r="F45" s="1615">
        <v>6500</v>
      </c>
      <c r="G45" s="1602">
        <f t="shared" si="5"/>
        <v>6500</v>
      </c>
      <c r="H45" s="1615">
        <f t="shared" si="7"/>
        <v>0</v>
      </c>
      <c r="I45" s="1615">
        <f t="shared" si="7"/>
        <v>6500</v>
      </c>
      <c r="J45" s="1602">
        <f t="shared" si="6"/>
        <v>0</v>
      </c>
      <c r="K45" s="1615"/>
      <c r="L45" s="1615"/>
      <c r="M45" s="1604">
        <f t="shared" si="3"/>
        <v>0</v>
      </c>
      <c r="N45" s="1881">
        <f t="shared" si="3"/>
        <v>0</v>
      </c>
      <c r="O45" s="1881">
        <f t="shared" si="3"/>
        <v>0</v>
      </c>
      <c r="P45" s="1593"/>
      <c r="Q45" s="1593"/>
      <c r="R45" s="1602">
        <f t="shared" si="0"/>
        <v>0</v>
      </c>
      <c r="S45" s="1614">
        <v>0</v>
      </c>
      <c r="T45" s="1614">
        <v>0</v>
      </c>
      <c r="U45" s="1602">
        <f t="shared" si="9"/>
        <v>0</v>
      </c>
      <c r="V45" s="1614">
        <v>0</v>
      </c>
      <c r="W45" s="1614">
        <v>0</v>
      </c>
      <c r="X45" s="1423">
        <f t="shared" si="4"/>
        <v>0</v>
      </c>
    </row>
    <row r="46" spans="1:24" s="1570" customFormat="1" ht="22.5" customHeight="1">
      <c r="A46" s="2041"/>
      <c r="B46" s="1884" t="s">
        <v>729</v>
      </c>
      <c r="C46" s="1880">
        <v>24366</v>
      </c>
      <c r="D46" s="1603">
        <f t="shared" si="2"/>
        <v>8280</v>
      </c>
      <c r="E46" s="1603">
        <f>SUM(E47:E48)</f>
        <v>0</v>
      </c>
      <c r="F46" s="1603">
        <f>SUM(F47:F48)</f>
        <v>8280</v>
      </c>
      <c r="G46" s="1603">
        <f t="shared" si="5"/>
        <v>8280</v>
      </c>
      <c r="H46" s="1603">
        <f t="shared" si="7"/>
        <v>0</v>
      </c>
      <c r="I46" s="1603">
        <f t="shared" si="7"/>
        <v>8280</v>
      </c>
      <c r="J46" s="1603">
        <f t="shared" ref="J46:J109" si="10">SUM(K46:L46)</f>
        <v>0</v>
      </c>
      <c r="K46" s="1603">
        <f>SUM(K47:K48)</f>
        <v>0</v>
      </c>
      <c r="L46" s="1603">
        <f>SUM(L47:L48)</f>
        <v>0</v>
      </c>
      <c r="M46" s="1601">
        <f t="shared" si="3"/>
        <v>0</v>
      </c>
      <c r="N46" s="1601">
        <f t="shared" si="3"/>
        <v>0</v>
      </c>
      <c r="O46" s="1601">
        <f t="shared" si="3"/>
        <v>0</v>
      </c>
      <c r="P46" s="1593" t="s">
        <v>353</v>
      </c>
      <c r="Q46" s="1612" t="s">
        <v>353</v>
      </c>
      <c r="R46" s="1600">
        <f t="shared" si="0"/>
        <v>0</v>
      </c>
      <c r="S46" s="1610">
        <f>SUM(S47:S47)</f>
        <v>0</v>
      </c>
      <c r="T46" s="1610">
        <f>SUM(T47:T47)</f>
        <v>0</v>
      </c>
      <c r="U46" s="1600">
        <f t="shared" si="9"/>
        <v>0</v>
      </c>
      <c r="V46" s="1610">
        <f>SUM(V47:V47)</f>
        <v>0</v>
      </c>
      <c r="W46" s="1610">
        <f>SUM(W47:W47)</f>
        <v>0</v>
      </c>
      <c r="X46" s="1423">
        <f t="shared" si="4"/>
        <v>0</v>
      </c>
    </row>
    <row r="47" spans="1:24" ht="28.5" customHeight="1">
      <c r="A47" s="2041">
        <f>A45+1</f>
        <v>21</v>
      </c>
      <c r="B47" s="1883" t="s">
        <v>1405</v>
      </c>
      <c r="C47" s="1880">
        <v>24366</v>
      </c>
      <c r="D47" s="1602">
        <f t="shared" si="2"/>
        <v>4500</v>
      </c>
      <c r="E47" s="1615"/>
      <c r="F47" s="1615">
        <v>4500</v>
      </c>
      <c r="G47" s="1602">
        <f t="shared" ref="G47:G110" si="11">SUM(H47:I47)</f>
        <v>4500</v>
      </c>
      <c r="H47" s="1615">
        <f t="shared" si="7"/>
        <v>0</v>
      </c>
      <c r="I47" s="1615">
        <f t="shared" si="7"/>
        <v>4500</v>
      </c>
      <c r="J47" s="1602">
        <f t="shared" si="10"/>
        <v>0</v>
      </c>
      <c r="K47" s="1615"/>
      <c r="L47" s="1615"/>
      <c r="M47" s="1604">
        <f t="shared" si="3"/>
        <v>0</v>
      </c>
      <c r="N47" s="1881">
        <f t="shared" si="3"/>
        <v>0</v>
      </c>
      <c r="O47" s="1881">
        <f t="shared" si="3"/>
        <v>0</v>
      </c>
      <c r="P47" s="1593" t="s">
        <v>1171</v>
      </c>
      <c r="Q47" s="1593" t="s">
        <v>1111</v>
      </c>
      <c r="R47" s="1600">
        <f t="shared" si="0"/>
        <v>0</v>
      </c>
      <c r="S47" s="1614">
        <v>0</v>
      </c>
      <c r="T47" s="1614">
        <v>0</v>
      </c>
      <c r="U47" s="1600">
        <f t="shared" si="9"/>
        <v>0</v>
      </c>
      <c r="V47" s="1614">
        <v>0</v>
      </c>
      <c r="W47" s="1614">
        <v>0</v>
      </c>
      <c r="X47" s="1423">
        <f t="shared" si="4"/>
        <v>0</v>
      </c>
    </row>
    <row r="48" spans="1:24" s="484" customFormat="1" ht="45" customHeight="1">
      <c r="A48" s="2041">
        <f>A47+1</f>
        <v>22</v>
      </c>
      <c r="B48" s="1888" t="s">
        <v>1675</v>
      </c>
      <c r="C48" s="1866"/>
      <c r="D48" s="1602">
        <f t="shared" si="2"/>
        <v>3780</v>
      </c>
      <c r="E48" s="1615"/>
      <c r="F48" s="1615">
        <v>3780</v>
      </c>
      <c r="G48" s="1602">
        <f t="shared" si="11"/>
        <v>3780</v>
      </c>
      <c r="H48" s="1615">
        <f t="shared" si="7"/>
        <v>0</v>
      </c>
      <c r="I48" s="1615">
        <f t="shared" si="7"/>
        <v>3780</v>
      </c>
      <c r="J48" s="1602">
        <f t="shared" si="10"/>
        <v>0</v>
      </c>
      <c r="K48" s="1615"/>
      <c r="L48" s="1615"/>
      <c r="M48" s="1893">
        <f t="shared" si="3"/>
        <v>0</v>
      </c>
      <c r="N48" s="1894">
        <f t="shared" si="3"/>
        <v>0</v>
      </c>
      <c r="O48" s="1894">
        <f t="shared" si="3"/>
        <v>0</v>
      </c>
      <c r="P48" s="1593"/>
      <c r="Q48" s="1593"/>
      <c r="R48" s="1600">
        <f t="shared" si="0"/>
        <v>0</v>
      </c>
      <c r="S48" s="1615">
        <v>0</v>
      </c>
      <c r="T48" s="1615">
        <v>0</v>
      </c>
      <c r="U48" s="1600">
        <f t="shared" si="9"/>
        <v>0</v>
      </c>
      <c r="V48" s="1615">
        <v>0</v>
      </c>
      <c r="W48" s="1615">
        <v>0</v>
      </c>
      <c r="X48" s="1423">
        <f t="shared" si="4"/>
        <v>0</v>
      </c>
    </row>
    <row r="49" spans="1:24" s="1570" customFormat="1" ht="30" customHeight="1">
      <c r="A49" s="2041"/>
      <c r="B49" s="1884" t="s">
        <v>12</v>
      </c>
      <c r="C49" s="1880">
        <v>24366</v>
      </c>
      <c r="D49" s="1603">
        <f t="shared" si="2"/>
        <v>14691.3</v>
      </c>
      <c r="E49" s="1603">
        <f>SUM(E50:E54)</f>
        <v>0</v>
      </c>
      <c r="F49" s="1603">
        <f>SUM(F50:F54)</f>
        <v>14691.3</v>
      </c>
      <c r="G49" s="1603">
        <f t="shared" si="11"/>
        <v>14691.3</v>
      </c>
      <c r="H49" s="1603">
        <f t="shared" si="7"/>
        <v>0</v>
      </c>
      <c r="I49" s="1603">
        <f t="shared" si="7"/>
        <v>14691.3</v>
      </c>
      <c r="J49" s="1603">
        <f t="shared" si="10"/>
        <v>0</v>
      </c>
      <c r="K49" s="1603">
        <f>SUM(K50:K54)</f>
        <v>0</v>
      </c>
      <c r="L49" s="1603">
        <f>SUM(L50:L54)</f>
        <v>0</v>
      </c>
      <c r="M49" s="1604">
        <f t="shared" si="3"/>
        <v>0</v>
      </c>
      <c r="N49" s="1604">
        <f t="shared" si="3"/>
        <v>0</v>
      </c>
      <c r="O49" s="1604">
        <f t="shared" si="3"/>
        <v>0</v>
      </c>
      <c r="P49" s="1593" t="s">
        <v>353</v>
      </c>
      <c r="Q49" s="1612" t="s">
        <v>353</v>
      </c>
      <c r="R49" s="1603">
        <f t="shared" si="0"/>
        <v>0</v>
      </c>
      <c r="S49" s="1603">
        <f>SUM(S50:S54)</f>
        <v>0</v>
      </c>
      <c r="T49" s="1603">
        <f>SUM(T50:T54)</f>
        <v>0</v>
      </c>
      <c r="U49" s="1603">
        <f t="shared" si="9"/>
        <v>0</v>
      </c>
      <c r="V49" s="1603">
        <f>SUM(V50:V54)</f>
        <v>0</v>
      </c>
      <c r="W49" s="1603">
        <f>SUM(W50:W54)</f>
        <v>0</v>
      </c>
      <c r="X49" s="1423">
        <f t="shared" si="4"/>
        <v>0</v>
      </c>
    </row>
    <row r="50" spans="1:24" ht="43.5" customHeight="1">
      <c r="A50" s="2041">
        <f>A48+1</f>
        <v>23</v>
      </c>
      <c r="B50" s="1883" t="s">
        <v>1717</v>
      </c>
      <c r="C50" s="1880">
        <v>24366</v>
      </c>
      <c r="D50" s="1602">
        <f>SUM(E50:F50)</f>
        <v>3827.6</v>
      </c>
      <c r="E50" s="1615"/>
      <c r="F50" s="1615">
        <v>3827.6</v>
      </c>
      <c r="G50" s="1602">
        <f>SUM(H50:I50)</f>
        <v>3827.6</v>
      </c>
      <c r="H50" s="1615">
        <f t="shared" si="7"/>
        <v>0</v>
      </c>
      <c r="I50" s="1615">
        <f t="shared" si="7"/>
        <v>3827.6</v>
      </c>
      <c r="J50" s="1602">
        <f t="shared" si="10"/>
        <v>0</v>
      </c>
      <c r="K50" s="1615"/>
      <c r="L50" s="1615"/>
      <c r="M50" s="1604">
        <f t="shared" si="3"/>
        <v>0</v>
      </c>
      <c r="N50" s="1881">
        <f t="shared" si="3"/>
        <v>0</v>
      </c>
      <c r="O50" s="1881">
        <f t="shared" si="3"/>
        <v>0</v>
      </c>
      <c r="P50" s="1593" t="s">
        <v>1171</v>
      </c>
      <c r="Q50" s="1593" t="s">
        <v>1111</v>
      </c>
      <c r="R50" s="1600">
        <f t="shared" si="0"/>
        <v>0</v>
      </c>
      <c r="S50" s="1614">
        <v>0</v>
      </c>
      <c r="T50" s="1614">
        <v>0</v>
      </c>
      <c r="U50" s="1600">
        <f t="shared" si="9"/>
        <v>0</v>
      </c>
      <c r="V50" s="1614">
        <v>0</v>
      </c>
      <c r="W50" s="1614">
        <v>0</v>
      </c>
      <c r="X50" s="1423">
        <f t="shared" si="4"/>
        <v>0</v>
      </c>
    </row>
    <row r="51" spans="1:24" ht="43.5" customHeight="1">
      <c r="A51" s="2041">
        <f>A50+1</f>
        <v>24</v>
      </c>
      <c r="B51" s="1883" t="s">
        <v>1718</v>
      </c>
      <c r="C51" s="1880"/>
      <c r="D51" s="1602">
        <f>SUM(E51:F51)</f>
        <v>2439</v>
      </c>
      <c r="E51" s="1615"/>
      <c r="F51" s="1615">
        <v>2439</v>
      </c>
      <c r="G51" s="1602">
        <f>SUM(H51:I51)</f>
        <v>2439</v>
      </c>
      <c r="H51" s="1615">
        <f t="shared" si="7"/>
        <v>0</v>
      </c>
      <c r="I51" s="1615">
        <f t="shared" si="7"/>
        <v>2439</v>
      </c>
      <c r="J51" s="1602">
        <f t="shared" si="10"/>
        <v>0</v>
      </c>
      <c r="K51" s="1615"/>
      <c r="L51" s="1615"/>
      <c r="M51" s="1604">
        <f t="shared" si="3"/>
        <v>0</v>
      </c>
      <c r="N51" s="1881">
        <f t="shared" si="3"/>
        <v>0</v>
      </c>
      <c r="O51" s="1881">
        <f t="shared" si="3"/>
        <v>0</v>
      </c>
      <c r="P51" s="1593"/>
      <c r="Q51" s="1593"/>
      <c r="R51" s="1600"/>
      <c r="S51" s="1614"/>
      <c r="T51" s="1614"/>
      <c r="U51" s="1600"/>
      <c r="V51" s="1614"/>
      <c r="W51" s="1614"/>
      <c r="X51" s="1423">
        <f t="shared" si="4"/>
        <v>0</v>
      </c>
    </row>
    <row r="52" spans="1:24" ht="43.5" customHeight="1">
      <c r="A52" s="2041">
        <f>A51+1</f>
        <v>25</v>
      </c>
      <c r="B52" s="1883" t="s">
        <v>1719</v>
      </c>
      <c r="C52" s="1880"/>
      <c r="D52" s="1602">
        <f>SUM(E52:F52)</f>
        <v>2658</v>
      </c>
      <c r="E52" s="1615"/>
      <c r="F52" s="1615">
        <v>2658</v>
      </c>
      <c r="G52" s="1602">
        <f>SUM(H52:I52)</f>
        <v>2658</v>
      </c>
      <c r="H52" s="1615">
        <f t="shared" si="7"/>
        <v>0</v>
      </c>
      <c r="I52" s="1615">
        <f t="shared" si="7"/>
        <v>2658</v>
      </c>
      <c r="J52" s="1602">
        <f t="shared" si="10"/>
        <v>0</v>
      </c>
      <c r="K52" s="1615"/>
      <c r="L52" s="1615"/>
      <c r="M52" s="1604">
        <f t="shared" si="3"/>
        <v>0</v>
      </c>
      <c r="N52" s="1881">
        <f t="shared" si="3"/>
        <v>0</v>
      </c>
      <c r="O52" s="1881">
        <f t="shared" si="3"/>
        <v>0</v>
      </c>
      <c r="P52" s="1593"/>
      <c r="Q52" s="1593"/>
      <c r="R52" s="1600"/>
      <c r="S52" s="1614"/>
      <c r="T52" s="1614"/>
      <c r="U52" s="1600"/>
      <c r="V52" s="1614"/>
      <c r="W52" s="1614"/>
      <c r="X52" s="1423">
        <f t="shared" si="4"/>
        <v>0</v>
      </c>
    </row>
    <row r="53" spans="1:24" ht="43.5" customHeight="1">
      <c r="A53" s="2041">
        <f>A52+1</f>
        <v>26</v>
      </c>
      <c r="B53" s="1883" t="s">
        <v>1720</v>
      </c>
      <c r="C53" s="1880"/>
      <c r="D53" s="1602">
        <f>SUM(E53:F53)</f>
        <v>2091</v>
      </c>
      <c r="E53" s="1615"/>
      <c r="F53" s="1615">
        <v>2091</v>
      </c>
      <c r="G53" s="1602">
        <f>SUM(H53:I53)</f>
        <v>2091</v>
      </c>
      <c r="H53" s="1615">
        <f t="shared" si="7"/>
        <v>0</v>
      </c>
      <c r="I53" s="1615">
        <f t="shared" si="7"/>
        <v>2091</v>
      </c>
      <c r="J53" s="1602">
        <f t="shared" si="10"/>
        <v>0</v>
      </c>
      <c r="K53" s="1615"/>
      <c r="L53" s="1615"/>
      <c r="M53" s="1604">
        <f t="shared" si="3"/>
        <v>0</v>
      </c>
      <c r="N53" s="1881">
        <f t="shared" si="3"/>
        <v>0</v>
      </c>
      <c r="O53" s="1881">
        <f t="shared" si="3"/>
        <v>0</v>
      </c>
      <c r="P53" s="1593"/>
      <c r="Q53" s="1593"/>
      <c r="R53" s="1600"/>
      <c r="S53" s="1614"/>
      <c r="T53" s="1614"/>
      <c r="U53" s="1600"/>
      <c r="V53" s="1614"/>
      <c r="W53" s="1614"/>
      <c r="X53" s="1423">
        <f t="shared" si="4"/>
        <v>0</v>
      </c>
    </row>
    <row r="54" spans="1:24" ht="54" customHeight="1">
      <c r="A54" s="2041">
        <f>A53+1</f>
        <v>27</v>
      </c>
      <c r="B54" s="1888" t="s">
        <v>1567</v>
      </c>
      <c r="C54" s="1866"/>
      <c r="D54" s="1602">
        <f t="shared" si="2"/>
        <v>3675.7</v>
      </c>
      <c r="E54" s="1615">
        <v>0</v>
      </c>
      <c r="F54" s="1615">
        <f>4725.9-1050.2</f>
        <v>3675.7</v>
      </c>
      <c r="G54" s="1602">
        <f t="shared" si="11"/>
        <v>3675.7</v>
      </c>
      <c r="H54" s="1615">
        <f t="shared" si="7"/>
        <v>0</v>
      </c>
      <c r="I54" s="1615">
        <f t="shared" si="7"/>
        <v>3675.7</v>
      </c>
      <c r="J54" s="1602">
        <f t="shared" si="10"/>
        <v>0</v>
      </c>
      <c r="K54" s="1615">
        <v>0</v>
      </c>
      <c r="L54" s="1615"/>
      <c r="M54" s="1604">
        <f t="shared" si="3"/>
        <v>0</v>
      </c>
      <c r="N54" s="1881">
        <f t="shared" si="3"/>
        <v>0</v>
      </c>
      <c r="O54" s="1881">
        <f t="shared" si="3"/>
        <v>0</v>
      </c>
      <c r="P54" s="1593"/>
      <c r="Q54" s="1593"/>
      <c r="R54" s="1600">
        <f t="shared" si="0"/>
        <v>0</v>
      </c>
      <c r="S54" s="1614">
        <v>0</v>
      </c>
      <c r="T54" s="1614">
        <v>0</v>
      </c>
      <c r="U54" s="1600">
        <f t="shared" si="9"/>
        <v>0</v>
      </c>
      <c r="V54" s="1614">
        <v>0</v>
      </c>
      <c r="W54" s="1614">
        <v>0</v>
      </c>
      <c r="X54" s="1423">
        <f t="shared" si="4"/>
        <v>0</v>
      </c>
    </row>
    <row r="55" spans="1:24" s="1570" customFormat="1" ht="25.5" customHeight="1">
      <c r="A55" s="2041"/>
      <c r="B55" s="1884" t="s">
        <v>90</v>
      </c>
      <c r="C55" s="1880">
        <v>24366</v>
      </c>
      <c r="D55" s="1602">
        <f t="shared" si="2"/>
        <v>1300</v>
      </c>
      <c r="E55" s="1603">
        <f>SUM(E56)</f>
        <v>0</v>
      </c>
      <c r="F55" s="1603">
        <f>SUM(F56)</f>
        <v>1300</v>
      </c>
      <c r="G55" s="1602">
        <f t="shared" si="11"/>
        <v>1300</v>
      </c>
      <c r="H55" s="1603">
        <f t="shared" si="7"/>
        <v>0</v>
      </c>
      <c r="I55" s="1603">
        <f t="shared" si="7"/>
        <v>1300</v>
      </c>
      <c r="J55" s="1602">
        <f t="shared" si="10"/>
        <v>258.7</v>
      </c>
      <c r="K55" s="1603">
        <f>SUM(K56)</f>
        <v>0</v>
      </c>
      <c r="L55" s="1603">
        <f>SUM(L56)</f>
        <v>258.7</v>
      </c>
      <c r="M55" s="1604">
        <f t="shared" si="3"/>
        <v>19.899999999999999</v>
      </c>
      <c r="N55" s="1604">
        <f t="shared" si="3"/>
        <v>0</v>
      </c>
      <c r="O55" s="1604">
        <f t="shared" si="3"/>
        <v>19.899999999999999</v>
      </c>
      <c r="P55" s="1593" t="s">
        <v>353</v>
      </c>
      <c r="Q55" s="1612" t="s">
        <v>353</v>
      </c>
      <c r="R55" s="1600">
        <f t="shared" si="0"/>
        <v>0</v>
      </c>
      <c r="S55" s="1610">
        <f>SUM(S56:S56)</f>
        <v>0</v>
      </c>
      <c r="T55" s="1610">
        <f>SUM(T56:T56)</f>
        <v>0</v>
      </c>
      <c r="U55" s="1600">
        <f t="shared" si="9"/>
        <v>0</v>
      </c>
      <c r="V55" s="1610">
        <f>SUM(V56:V56)</f>
        <v>0</v>
      </c>
      <c r="W55" s="1610">
        <f>SUM(W56:W56)</f>
        <v>0</v>
      </c>
      <c r="X55" s="1423">
        <f t="shared" si="4"/>
        <v>0</v>
      </c>
    </row>
    <row r="56" spans="1:24" ht="47.25" customHeight="1">
      <c r="A56" s="2041">
        <f>A54+1</f>
        <v>28</v>
      </c>
      <c r="B56" s="1879" t="s">
        <v>1404</v>
      </c>
      <c r="C56" s="1880">
        <v>24366</v>
      </c>
      <c r="D56" s="1602">
        <f t="shared" si="2"/>
        <v>1300</v>
      </c>
      <c r="E56" s="1615"/>
      <c r="F56" s="1615">
        <v>1300</v>
      </c>
      <c r="G56" s="1602">
        <f t="shared" si="11"/>
        <v>1300</v>
      </c>
      <c r="H56" s="1615">
        <f t="shared" si="7"/>
        <v>0</v>
      </c>
      <c r="I56" s="1615">
        <f t="shared" si="7"/>
        <v>1300</v>
      </c>
      <c r="J56" s="1602">
        <f t="shared" si="10"/>
        <v>258.7</v>
      </c>
      <c r="K56" s="1615"/>
      <c r="L56" s="1615">
        <v>258.7</v>
      </c>
      <c r="M56" s="1604">
        <f t="shared" si="3"/>
        <v>19.899999999999999</v>
      </c>
      <c r="N56" s="1881">
        <f t="shared" si="3"/>
        <v>0</v>
      </c>
      <c r="O56" s="1881">
        <f t="shared" si="3"/>
        <v>19.899999999999999</v>
      </c>
      <c r="P56" s="1593" t="s">
        <v>1171</v>
      </c>
      <c r="Q56" s="1593" t="s">
        <v>1111</v>
      </c>
      <c r="R56" s="1600">
        <f t="shared" si="0"/>
        <v>0</v>
      </c>
      <c r="S56" s="1614">
        <v>0</v>
      </c>
      <c r="T56" s="1614">
        <v>0</v>
      </c>
      <c r="U56" s="1600">
        <f t="shared" si="9"/>
        <v>0</v>
      </c>
      <c r="V56" s="1614">
        <v>0</v>
      </c>
      <c r="W56" s="1614">
        <v>0</v>
      </c>
      <c r="X56" s="1423">
        <f t="shared" si="4"/>
        <v>0</v>
      </c>
    </row>
    <row r="57" spans="1:24" s="1607" customFormat="1" ht="18.75" customHeight="1">
      <c r="A57" s="2041"/>
      <c r="B57" s="2040" t="s">
        <v>1401</v>
      </c>
      <c r="C57" s="1882">
        <v>24366</v>
      </c>
      <c r="D57" s="1603">
        <f t="shared" si="2"/>
        <v>10964.5</v>
      </c>
      <c r="E57" s="1603">
        <f>SUM(E58:E59)</f>
        <v>0</v>
      </c>
      <c r="F57" s="1603">
        <f>SUM(F58:F59)</f>
        <v>10964.5</v>
      </c>
      <c r="G57" s="1603">
        <f t="shared" si="11"/>
        <v>10964.5</v>
      </c>
      <c r="H57" s="1603">
        <f t="shared" si="7"/>
        <v>0</v>
      </c>
      <c r="I57" s="1603">
        <f t="shared" si="7"/>
        <v>10964.5</v>
      </c>
      <c r="J57" s="1603">
        <f t="shared" si="10"/>
        <v>772.5</v>
      </c>
      <c r="K57" s="1603">
        <f>SUM(K58:K59)</f>
        <v>0</v>
      </c>
      <c r="L57" s="1603">
        <f>SUM(L58:L59)</f>
        <v>772.5</v>
      </c>
      <c r="M57" s="1601">
        <f t="shared" si="3"/>
        <v>7</v>
      </c>
      <c r="N57" s="1601">
        <f t="shared" si="3"/>
        <v>0</v>
      </c>
      <c r="O57" s="1601">
        <f t="shared" si="3"/>
        <v>7</v>
      </c>
      <c r="P57" s="1593" t="s">
        <v>353</v>
      </c>
      <c r="Q57" s="1593" t="s">
        <v>353</v>
      </c>
      <c r="R57" s="1603">
        <f t="shared" si="0"/>
        <v>0</v>
      </c>
      <c r="S57" s="1603">
        <f>SUM(S58:S59)</f>
        <v>0</v>
      </c>
      <c r="T57" s="1603">
        <f>SUM(T58:T59)</f>
        <v>0</v>
      </c>
      <c r="U57" s="1603">
        <f t="shared" si="9"/>
        <v>0</v>
      </c>
      <c r="V57" s="1603">
        <f>SUM(V58:V59)</f>
        <v>0</v>
      </c>
      <c r="W57" s="1603">
        <f>SUM(W58:W59)</f>
        <v>0</v>
      </c>
      <c r="X57" s="1423">
        <f t="shared" si="4"/>
        <v>0</v>
      </c>
    </row>
    <row r="58" spans="1:24" s="1607" customFormat="1" ht="23.25" customHeight="1">
      <c r="A58" s="2041">
        <f>A56+1</f>
        <v>29</v>
      </c>
      <c r="B58" s="521" t="s">
        <v>1518</v>
      </c>
      <c r="C58" s="1882">
        <v>24366</v>
      </c>
      <c r="D58" s="1602">
        <f t="shared" si="2"/>
        <v>10192</v>
      </c>
      <c r="E58" s="1616"/>
      <c r="F58" s="1616">
        <v>10192</v>
      </c>
      <c r="G58" s="1602">
        <f t="shared" si="11"/>
        <v>10192</v>
      </c>
      <c r="H58" s="1616">
        <f t="shared" si="7"/>
        <v>0</v>
      </c>
      <c r="I58" s="1616">
        <f t="shared" si="7"/>
        <v>10192</v>
      </c>
      <c r="J58" s="1602">
        <f t="shared" si="10"/>
        <v>0</v>
      </c>
      <c r="K58" s="1616"/>
      <c r="L58" s="1616"/>
      <c r="M58" s="1604">
        <f t="shared" si="3"/>
        <v>0</v>
      </c>
      <c r="N58" s="1881">
        <f t="shared" si="3"/>
        <v>0</v>
      </c>
      <c r="O58" s="1881">
        <f t="shared" si="3"/>
        <v>0</v>
      </c>
      <c r="P58" s="1593" t="s">
        <v>1171</v>
      </c>
      <c r="Q58" s="1593" t="s">
        <v>1116</v>
      </c>
      <c r="R58" s="1600">
        <f t="shared" si="0"/>
        <v>0</v>
      </c>
      <c r="S58" s="1608">
        <v>0</v>
      </c>
      <c r="T58" s="1608">
        <v>0</v>
      </c>
      <c r="U58" s="1600">
        <f t="shared" si="9"/>
        <v>0</v>
      </c>
      <c r="V58" s="1608">
        <v>0</v>
      </c>
      <c r="W58" s="1608">
        <v>0</v>
      </c>
      <c r="X58" s="1423">
        <f t="shared" si="4"/>
        <v>0</v>
      </c>
    </row>
    <row r="59" spans="1:24" ht="78" customHeight="1">
      <c r="A59" s="2041">
        <f>A58+1</f>
        <v>30</v>
      </c>
      <c r="B59" s="1879" t="s">
        <v>434</v>
      </c>
      <c r="C59" s="1880"/>
      <c r="D59" s="1602">
        <f t="shared" si="2"/>
        <v>772.5</v>
      </c>
      <c r="E59" s="1616">
        <v>0</v>
      </c>
      <c r="F59" s="1616">
        <f>845-72.5</f>
        <v>772.5</v>
      </c>
      <c r="G59" s="1602">
        <f t="shared" si="11"/>
        <v>772.5</v>
      </c>
      <c r="H59" s="1616">
        <f t="shared" si="7"/>
        <v>0</v>
      </c>
      <c r="I59" s="1616">
        <f t="shared" si="7"/>
        <v>772.5</v>
      </c>
      <c r="J59" s="1602">
        <f t="shared" si="10"/>
        <v>772.5</v>
      </c>
      <c r="K59" s="1616">
        <v>0</v>
      </c>
      <c r="L59" s="1616">
        <v>772.5</v>
      </c>
      <c r="M59" s="1604">
        <f t="shared" si="3"/>
        <v>100</v>
      </c>
      <c r="N59" s="1881">
        <f t="shared" si="3"/>
        <v>0</v>
      </c>
      <c r="O59" s="1881">
        <f t="shared" si="3"/>
        <v>100</v>
      </c>
      <c r="P59" s="1599"/>
      <c r="Q59" s="1599"/>
      <c r="R59" s="1600">
        <f t="shared" si="0"/>
        <v>0</v>
      </c>
      <c r="S59" s="1619">
        <v>0</v>
      </c>
      <c r="T59" s="1619">
        <v>0</v>
      </c>
      <c r="U59" s="1600">
        <f t="shared" si="9"/>
        <v>0</v>
      </c>
      <c r="V59" s="1619">
        <v>0</v>
      </c>
      <c r="W59" s="1619">
        <v>0</v>
      </c>
      <c r="X59" s="1423">
        <f t="shared" si="4"/>
        <v>0</v>
      </c>
    </row>
    <row r="60" spans="1:24" s="1607" customFormat="1" ht="23.25" customHeight="1">
      <c r="A60" s="2041"/>
      <c r="B60" s="2040" t="s">
        <v>1554</v>
      </c>
      <c r="C60" s="1882"/>
      <c r="D60" s="1602">
        <f t="shared" si="2"/>
        <v>7342.8</v>
      </c>
      <c r="E60" s="1603">
        <f>SUM(E61:E62)</f>
        <v>0</v>
      </c>
      <c r="F60" s="1603">
        <f>SUM(F61:F62)</f>
        <v>7342.8</v>
      </c>
      <c r="G60" s="1602">
        <f t="shared" si="11"/>
        <v>7342.8</v>
      </c>
      <c r="H60" s="1603">
        <f t="shared" si="7"/>
        <v>0</v>
      </c>
      <c r="I60" s="1603">
        <f t="shared" si="7"/>
        <v>7342.8</v>
      </c>
      <c r="J60" s="1602">
        <f t="shared" si="10"/>
        <v>0</v>
      </c>
      <c r="K60" s="1603">
        <f>SUM(K61:K62)</f>
        <v>0</v>
      </c>
      <c r="L60" s="1603">
        <f>SUM(L61:L62)</f>
        <v>0</v>
      </c>
      <c r="M60" s="1601">
        <f t="shared" si="3"/>
        <v>0</v>
      </c>
      <c r="N60" s="1601">
        <f t="shared" si="3"/>
        <v>0</v>
      </c>
      <c r="O60" s="1601">
        <f t="shared" si="3"/>
        <v>0</v>
      </c>
      <c r="P60" s="1593"/>
      <c r="Q60" s="1593"/>
      <c r="R60" s="1602">
        <f t="shared" si="0"/>
        <v>0</v>
      </c>
      <c r="S60" s="1603">
        <f>SUM(S61:S62)</f>
        <v>0</v>
      </c>
      <c r="T60" s="1603">
        <f>SUM(T61:T62)</f>
        <v>0</v>
      </c>
      <c r="U60" s="1602">
        <f t="shared" si="9"/>
        <v>0</v>
      </c>
      <c r="V60" s="1603">
        <f>SUM(V61:V62)</f>
        <v>0</v>
      </c>
      <c r="W60" s="1603">
        <f>SUM(W61:W62)</f>
        <v>0</v>
      </c>
      <c r="X60" s="1423">
        <f t="shared" si="4"/>
        <v>0</v>
      </c>
    </row>
    <row r="61" spans="1:24" s="1607" customFormat="1" ht="84.75" customHeight="1">
      <c r="A61" s="2041">
        <f>A59+1</f>
        <v>31</v>
      </c>
      <c r="B61" s="521" t="s">
        <v>1555</v>
      </c>
      <c r="C61" s="1882"/>
      <c r="D61" s="1602">
        <f t="shared" si="2"/>
        <v>4192</v>
      </c>
      <c r="E61" s="1616"/>
      <c r="F61" s="1616">
        <v>4192</v>
      </c>
      <c r="G61" s="1602">
        <f t="shared" si="11"/>
        <v>4192</v>
      </c>
      <c r="H61" s="1616">
        <f t="shared" si="7"/>
        <v>0</v>
      </c>
      <c r="I61" s="1616">
        <f t="shared" si="7"/>
        <v>4192</v>
      </c>
      <c r="J61" s="1602">
        <f t="shared" si="10"/>
        <v>0</v>
      </c>
      <c r="K61" s="1616"/>
      <c r="L61" s="1616"/>
      <c r="M61" s="1604">
        <f t="shared" si="3"/>
        <v>0</v>
      </c>
      <c r="N61" s="1881">
        <f t="shared" si="3"/>
        <v>0</v>
      </c>
      <c r="O61" s="1881">
        <f t="shared" si="3"/>
        <v>0</v>
      </c>
      <c r="P61" s="1593"/>
      <c r="Q61" s="1593"/>
      <c r="R61" s="1600">
        <f>S61+T61</f>
        <v>0</v>
      </c>
      <c r="S61" s="1608">
        <v>0</v>
      </c>
      <c r="T61" s="1608">
        <v>0</v>
      </c>
      <c r="U61" s="1600">
        <f>V61+W61</f>
        <v>0</v>
      </c>
      <c r="V61" s="1608">
        <v>0</v>
      </c>
      <c r="W61" s="1608">
        <v>0</v>
      </c>
      <c r="X61" s="1423">
        <f t="shared" si="4"/>
        <v>0</v>
      </c>
    </row>
    <row r="62" spans="1:24" s="1607" customFormat="1" ht="41.25" customHeight="1">
      <c r="A62" s="2041">
        <f>A61+1</f>
        <v>32</v>
      </c>
      <c r="B62" s="521" t="s">
        <v>1556</v>
      </c>
      <c r="C62" s="1882"/>
      <c r="D62" s="1602">
        <f t="shared" si="2"/>
        <v>3150.8</v>
      </c>
      <c r="E62" s="1616"/>
      <c r="F62" s="1616">
        <v>3150.8</v>
      </c>
      <c r="G62" s="1602">
        <f t="shared" si="11"/>
        <v>3150.8</v>
      </c>
      <c r="H62" s="1616">
        <f t="shared" si="7"/>
        <v>0</v>
      </c>
      <c r="I62" s="1616">
        <f t="shared" si="7"/>
        <v>3150.8</v>
      </c>
      <c r="J62" s="1602">
        <f t="shared" si="10"/>
        <v>0</v>
      </c>
      <c r="K62" s="1616"/>
      <c r="L62" s="1616"/>
      <c r="M62" s="1604">
        <f t="shared" si="3"/>
        <v>0</v>
      </c>
      <c r="N62" s="1881">
        <f t="shared" si="3"/>
        <v>0</v>
      </c>
      <c r="O62" s="1881">
        <f t="shared" si="3"/>
        <v>0</v>
      </c>
      <c r="P62" s="1593"/>
      <c r="Q62" s="1593"/>
      <c r="R62" s="1600">
        <f>S62+T62</f>
        <v>0</v>
      </c>
      <c r="S62" s="1608">
        <v>0</v>
      </c>
      <c r="T62" s="1608">
        <v>0</v>
      </c>
      <c r="U62" s="1600">
        <f>V62+W62</f>
        <v>0</v>
      </c>
      <c r="V62" s="1608">
        <v>0</v>
      </c>
      <c r="W62" s="1608">
        <v>0</v>
      </c>
      <c r="X62" s="1423">
        <f t="shared" si="4"/>
        <v>0</v>
      </c>
    </row>
    <row r="63" spans="1:24" ht="27" customHeight="1">
      <c r="A63" s="2041"/>
      <c r="B63" s="2040" t="s">
        <v>457</v>
      </c>
      <c r="C63" s="2042"/>
      <c r="D63" s="1602">
        <f t="shared" si="2"/>
        <v>21239</v>
      </c>
      <c r="E63" s="1603">
        <f>SUM(E64:E68)</f>
        <v>0</v>
      </c>
      <c r="F63" s="1603">
        <f>SUM(F64:F68)</f>
        <v>21239</v>
      </c>
      <c r="G63" s="1602">
        <f t="shared" si="11"/>
        <v>21239</v>
      </c>
      <c r="H63" s="1603">
        <f t="shared" si="7"/>
        <v>0</v>
      </c>
      <c r="I63" s="1603">
        <f t="shared" si="7"/>
        <v>21239</v>
      </c>
      <c r="J63" s="1602">
        <f t="shared" si="10"/>
        <v>0</v>
      </c>
      <c r="K63" s="1603">
        <f>SUM(K64:K68)</f>
        <v>0</v>
      </c>
      <c r="L63" s="1603">
        <f>SUM(L64:L68)</f>
        <v>0</v>
      </c>
      <c r="M63" s="1604">
        <f t="shared" si="3"/>
        <v>0</v>
      </c>
      <c r="N63" s="1881">
        <f t="shared" si="3"/>
        <v>0</v>
      </c>
      <c r="O63" s="1881">
        <f t="shared" si="3"/>
        <v>0</v>
      </c>
      <c r="P63" s="1593" t="s">
        <v>353</v>
      </c>
      <c r="Q63" s="1593" t="s">
        <v>353</v>
      </c>
      <c r="R63" s="1602">
        <f t="shared" ref="R63:R74" si="12">SUM(S63:T63)</f>
        <v>10700</v>
      </c>
      <c r="S63" s="1603">
        <f>SUM(S64:S68)</f>
        <v>0</v>
      </c>
      <c r="T63" s="1603">
        <f>SUM(T64:T68)</f>
        <v>10700</v>
      </c>
      <c r="U63" s="1602">
        <f t="shared" ref="U63:U74" si="13">SUM(V63:W63)</f>
        <v>0</v>
      </c>
      <c r="V63" s="1603">
        <f>SUM(V64:V68)</f>
        <v>0</v>
      </c>
      <c r="W63" s="1603">
        <f>SUM(W64:W68)</f>
        <v>0</v>
      </c>
      <c r="X63" s="1423">
        <f t="shared" si="4"/>
        <v>0</v>
      </c>
    </row>
    <row r="64" spans="1:24" ht="63" customHeight="1">
      <c r="A64" s="2041">
        <f>A62+1</f>
        <v>33</v>
      </c>
      <c r="B64" s="1879" t="s">
        <v>1419</v>
      </c>
      <c r="C64" s="1880">
        <v>24347</v>
      </c>
      <c r="D64" s="1602">
        <f t="shared" si="2"/>
        <v>7451.6</v>
      </c>
      <c r="E64" s="1616"/>
      <c r="F64" s="1616">
        <f>7000+451.6</f>
        <v>7451.6</v>
      </c>
      <c r="G64" s="1602">
        <f t="shared" si="11"/>
        <v>7451.6</v>
      </c>
      <c r="H64" s="1616">
        <f t="shared" si="7"/>
        <v>0</v>
      </c>
      <c r="I64" s="1616">
        <f t="shared" si="7"/>
        <v>7451.6</v>
      </c>
      <c r="J64" s="1602">
        <f t="shared" si="10"/>
        <v>0</v>
      </c>
      <c r="K64" s="1616"/>
      <c r="L64" s="1616"/>
      <c r="M64" s="1604">
        <f t="shared" si="3"/>
        <v>0</v>
      </c>
      <c r="N64" s="1881">
        <f t="shared" si="3"/>
        <v>0</v>
      </c>
      <c r="O64" s="1881">
        <f t="shared" si="3"/>
        <v>0</v>
      </c>
      <c r="P64" s="1593" t="s">
        <v>1171</v>
      </c>
      <c r="Q64" s="1593" t="s">
        <v>1137</v>
      </c>
      <c r="R64" s="1600">
        <f t="shared" si="12"/>
        <v>0</v>
      </c>
      <c r="S64" s="1608">
        <v>0</v>
      </c>
      <c r="T64" s="1608">
        <v>0</v>
      </c>
      <c r="U64" s="1600">
        <f t="shared" si="13"/>
        <v>0</v>
      </c>
      <c r="V64" s="1608">
        <v>0</v>
      </c>
      <c r="W64" s="1608">
        <v>0</v>
      </c>
      <c r="X64" s="1423">
        <f t="shared" si="4"/>
        <v>0</v>
      </c>
    </row>
    <row r="65" spans="1:24" ht="78" customHeight="1">
      <c r="A65" s="2041">
        <f>A64+1</f>
        <v>34</v>
      </c>
      <c r="B65" s="1879" t="s">
        <v>1417</v>
      </c>
      <c r="C65" s="1880">
        <v>24347</v>
      </c>
      <c r="D65" s="1602">
        <f t="shared" si="2"/>
        <v>3942</v>
      </c>
      <c r="E65" s="1616"/>
      <c r="F65" s="1616">
        <f>7000-3058</f>
        <v>3942</v>
      </c>
      <c r="G65" s="1602">
        <f t="shared" si="11"/>
        <v>3942</v>
      </c>
      <c r="H65" s="1616">
        <f t="shared" si="7"/>
        <v>0</v>
      </c>
      <c r="I65" s="1616">
        <f t="shared" si="7"/>
        <v>3942</v>
      </c>
      <c r="J65" s="1602">
        <f t="shared" si="10"/>
        <v>0</v>
      </c>
      <c r="K65" s="1616"/>
      <c r="L65" s="1616"/>
      <c r="M65" s="1604">
        <f t="shared" si="3"/>
        <v>0</v>
      </c>
      <c r="N65" s="1881">
        <f t="shared" si="3"/>
        <v>0</v>
      </c>
      <c r="O65" s="1881">
        <f t="shared" si="3"/>
        <v>0</v>
      </c>
      <c r="P65" s="1593" t="s">
        <v>1171</v>
      </c>
      <c r="Q65" s="1593" t="s">
        <v>1137</v>
      </c>
      <c r="R65" s="1600">
        <f t="shared" si="12"/>
        <v>0</v>
      </c>
      <c r="S65" s="1608">
        <v>0</v>
      </c>
      <c r="T65" s="1608">
        <v>0</v>
      </c>
      <c r="U65" s="1600">
        <f t="shared" si="13"/>
        <v>0</v>
      </c>
      <c r="V65" s="1608">
        <v>0</v>
      </c>
      <c r="W65" s="1608">
        <v>0</v>
      </c>
      <c r="X65" s="1423">
        <f t="shared" si="4"/>
        <v>0</v>
      </c>
    </row>
    <row r="66" spans="1:24" ht="82.5" customHeight="1">
      <c r="A66" s="2041">
        <f>A65+1</f>
        <v>35</v>
      </c>
      <c r="B66" s="1879" t="s">
        <v>1418</v>
      </c>
      <c r="C66" s="1880">
        <v>24347</v>
      </c>
      <c r="D66" s="1602">
        <f t="shared" si="2"/>
        <v>2145.4</v>
      </c>
      <c r="E66" s="1616"/>
      <c r="F66" s="1616">
        <f>2100+45.4</f>
        <v>2145.4</v>
      </c>
      <c r="G66" s="1602">
        <f t="shared" si="11"/>
        <v>2145.4</v>
      </c>
      <c r="H66" s="1616">
        <f t="shared" si="7"/>
        <v>0</v>
      </c>
      <c r="I66" s="1616">
        <f t="shared" si="7"/>
        <v>2145.4</v>
      </c>
      <c r="J66" s="1602">
        <f t="shared" si="10"/>
        <v>0</v>
      </c>
      <c r="K66" s="1616"/>
      <c r="L66" s="1616"/>
      <c r="M66" s="1604">
        <f t="shared" si="3"/>
        <v>0</v>
      </c>
      <c r="N66" s="1881">
        <f t="shared" si="3"/>
        <v>0</v>
      </c>
      <c r="O66" s="1881">
        <f t="shared" si="3"/>
        <v>0</v>
      </c>
      <c r="P66" s="1593" t="s">
        <v>1171</v>
      </c>
      <c r="Q66" s="1593" t="s">
        <v>1137</v>
      </c>
      <c r="R66" s="1600">
        <f t="shared" si="12"/>
        <v>0</v>
      </c>
      <c r="S66" s="1608">
        <v>0</v>
      </c>
      <c r="T66" s="1608">
        <v>0</v>
      </c>
      <c r="U66" s="1600">
        <f t="shared" si="13"/>
        <v>0</v>
      </c>
      <c r="V66" s="1608">
        <v>0</v>
      </c>
      <c r="W66" s="1608">
        <v>0</v>
      </c>
      <c r="X66" s="1423">
        <f t="shared" si="4"/>
        <v>0</v>
      </c>
    </row>
    <row r="67" spans="1:24" ht="97.5" customHeight="1">
      <c r="A67" s="2041">
        <f>A66+1</f>
        <v>36</v>
      </c>
      <c r="B67" s="1895" t="s">
        <v>1415</v>
      </c>
      <c r="C67" s="1882">
        <v>24355</v>
      </c>
      <c r="D67" s="1602">
        <f t="shared" si="2"/>
        <v>4480</v>
      </c>
      <c r="E67" s="1616"/>
      <c r="F67" s="1616">
        <v>4480</v>
      </c>
      <c r="G67" s="1602">
        <f t="shared" si="11"/>
        <v>4480</v>
      </c>
      <c r="H67" s="1616">
        <f t="shared" si="7"/>
        <v>0</v>
      </c>
      <c r="I67" s="1616">
        <f t="shared" si="7"/>
        <v>4480</v>
      </c>
      <c r="J67" s="1602">
        <f t="shared" si="10"/>
        <v>0</v>
      </c>
      <c r="K67" s="1616"/>
      <c r="L67" s="1616"/>
      <c r="M67" s="1604">
        <f t="shared" si="3"/>
        <v>0</v>
      </c>
      <c r="N67" s="1881">
        <f t="shared" si="3"/>
        <v>0</v>
      </c>
      <c r="O67" s="1881">
        <f t="shared" si="3"/>
        <v>0</v>
      </c>
      <c r="P67" s="1593" t="s">
        <v>1171</v>
      </c>
      <c r="Q67" s="2550" t="s">
        <v>1138</v>
      </c>
      <c r="R67" s="1600">
        <f t="shared" si="12"/>
        <v>4720</v>
      </c>
      <c r="S67" s="1608">
        <v>0</v>
      </c>
      <c r="T67" s="1608">
        <v>4720</v>
      </c>
      <c r="U67" s="1600">
        <f t="shared" si="13"/>
        <v>0</v>
      </c>
      <c r="V67" s="1608">
        <v>0</v>
      </c>
      <c r="W67" s="1608">
        <v>0</v>
      </c>
      <c r="X67" s="1423">
        <f t="shared" si="4"/>
        <v>0</v>
      </c>
    </row>
    <row r="68" spans="1:24" ht="98.25" customHeight="1">
      <c r="A68" s="2041">
        <f>A67+1</f>
        <v>37</v>
      </c>
      <c r="B68" s="1895" t="s">
        <v>1416</v>
      </c>
      <c r="C68" s="1882">
        <v>24355</v>
      </c>
      <c r="D68" s="1602">
        <f t="shared" si="2"/>
        <v>3220</v>
      </c>
      <c r="E68" s="1616"/>
      <c r="F68" s="1616">
        <v>3220</v>
      </c>
      <c r="G68" s="1602">
        <f t="shared" si="11"/>
        <v>3220</v>
      </c>
      <c r="H68" s="1616">
        <f t="shared" si="7"/>
        <v>0</v>
      </c>
      <c r="I68" s="1616">
        <f t="shared" si="7"/>
        <v>3220</v>
      </c>
      <c r="J68" s="1602">
        <f t="shared" si="10"/>
        <v>0</v>
      </c>
      <c r="K68" s="1616"/>
      <c r="L68" s="1616"/>
      <c r="M68" s="1604">
        <f t="shared" si="3"/>
        <v>0</v>
      </c>
      <c r="N68" s="1881">
        <f t="shared" si="3"/>
        <v>0</v>
      </c>
      <c r="O68" s="1881">
        <f t="shared" si="3"/>
        <v>0</v>
      </c>
      <c r="P68" s="1593" t="s">
        <v>1171</v>
      </c>
      <c r="Q68" s="2550"/>
      <c r="R68" s="1600">
        <f t="shared" si="12"/>
        <v>5980</v>
      </c>
      <c r="S68" s="1608">
        <v>0</v>
      </c>
      <c r="T68" s="1608">
        <v>5980</v>
      </c>
      <c r="U68" s="1600">
        <f t="shared" si="13"/>
        <v>0</v>
      </c>
      <c r="V68" s="1608">
        <v>0</v>
      </c>
      <c r="W68" s="1608">
        <v>0</v>
      </c>
      <c r="X68" s="1423">
        <f t="shared" si="4"/>
        <v>0</v>
      </c>
    </row>
    <row r="69" spans="1:24" s="1607" customFormat="1" ht="24" customHeight="1">
      <c r="A69" s="2041"/>
      <c r="B69" s="2040" t="s">
        <v>1400</v>
      </c>
      <c r="C69" s="2042"/>
      <c r="D69" s="1602">
        <f t="shared" si="2"/>
        <v>35958.6</v>
      </c>
      <c r="E69" s="1603">
        <f>SUM(E71:E73)</f>
        <v>0</v>
      </c>
      <c r="F69" s="1603">
        <f>SUM(F70:F73)</f>
        <v>35958.6</v>
      </c>
      <c r="G69" s="1602">
        <f t="shared" si="11"/>
        <v>35958.6</v>
      </c>
      <c r="H69" s="1603">
        <f t="shared" si="7"/>
        <v>0</v>
      </c>
      <c r="I69" s="1603">
        <f t="shared" si="7"/>
        <v>35958.6</v>
      </c>
      <c r="J69" s="1602">
        <f t="shared" si="10"/>
        <v>0</v>
      </c>
      <c r="K69" s="1603">
        <f>SUM(K71:K73)</f>
        <v>0</v>
      </c>
      <c r="L69" s="1603">
        <f>SUM(L71:L73)</f>
        <v>0</v>
      </c>
      <c r="M69" s="1604">
        <f t="shared" si="3"/>
        <v>0</v>
      </c>
      <c r="N69" s="1881">
        <f t="shared" si="3"/>
        <v>0</v>
      </c>
      <c r="O69" s="1881">
        <f t="shared" si="3"/>
        <v>0</v>
      </c>
      <c r="P69" s="1593" t="s">
        <v>353</v>
      </c>
      <c r="Q69" s="1593" t="s">
        <v>353</v>
      </c>
      <c r="R69" s="1602">
        <f t="shared" si="12"/>
        <v>0</v>
      </c>
      <c r="S69" s="1603">
        <f>SUM(S71:S73)</f>
        <v>0</v>
      </c>
      <c r="T69" s="1603">
        <f>SUM(T71:T73)</f>
        <v>0</v>
      </c>
      <c r="U69" s="1602">
        <f t="shared" si="13"/>
        <v>0</v>
      </c>
      <c r="V69" s="1603">
        <f>SUM(V71:V73)</f>
        <v>0</v>
      </c>
      <c r="W69" s="1603">
        <f>SUM(W71:W73)</f>
        <v>0</v>
      </c>
      <c r="X69" s="1423">
        <f t="shared" si="4"/>
        <v>0</v>
      </c>
    </row>
    <row r="70" spans="1:24" s="1607" customFormat="1" ht="42.75" customHeight="1">
      <c r="A70" s="2041">
        <f>A68+1</f>
        <v>38</v>
      </c>
      <c r="B70" s="1889" t="s">
        <v>1706</v>
      </c>
      <c r="C70" s="2042"/>
      <c r="D70" s="1602">
        <f>SUM(E70:F70)</f>
        <v>8865</v>
      </c>
      <c r="E70" s="1616"/>
      <c r="F70" s="1616">
        <v>8865</v>
      </c>
      <c r="G70" s="1602">
        <f>SUM(H70:I70)</f>
        <v>8865</v>
      </c>
      <c r="H70" s="1616">
        <f t="shared" si="7"/>
        <v>0</v>
      </c>
      <c r="I70" s="1616">
        <f t="shared" si="7"/>
        <v>8865</v>
      </c>
      <c r="J70" s="1602">
        <f>SUM(K70:L70)</f>
        <v>0</v>
      </c>
      <c r="K70" s="1616"/>
      <c r="L70" s="1616"/>
      <c r="M70" s="1604">
        <f t="shared" si="3"/>
        <v>0</v>
      </c>
      <c r="N70" s="1881">
        <f t="shared" si="3"/>
        <v>0</v>
      </c>
      <c r="O70" s="1881">
        <f t="shared" si="3"/>
        <v>0</v>
      </c>
      <c r="P70" s="1593"/>
      <c r="Q70" s="1593"/>
      <c r="R70" s="1602"/>
      <c r="S70" s="1603"/>
      <c r="T70" s="1603"/>
      <c r="U70" s="1602"/>
      <c r="V70" s="1603"/>
      <c r="W70" s="1603"/>
      <c r="X70" s="1423">
        <f t="shared" si="4"/>
        <v>0</v>
      </c>
    </row>
    <row r="71" spans="1:24" s="1607" customFormat="1" ht="42" customHeight="1">
      <c r="A71" s="2041">
        <f>A70+1</f>
        <v>39</v>
      </c>
      <c r="B71" s="521" t="s">
        <v>1398</v>
      </c>
      <c r="C71" s="1882">
        <v>24366</v>
      </c>
      <c r="D71" s="1602">
        <f t="shared" si="2"/>
        <v>7000</v>
      </c>
      <c r="E71" s="1616"/>
      <c r="F71" s="1616">
        <v>7000</v>
      </c>
      <c r="G71" s="1602">
        <f t="shared" si="11"/>
        <v>7000</v>
      </c>
      <c r="H71" s="1616">
        <f t="shared" si="7"/>
        <v>0</v>
      </c>
      <c r="I71" s="1616">
        <f t="shared" si="7"/>
        <v>7000</v>
      </c>
      <c r="J71" s="1602">
        <f t="shared" si="10"/>
        <v>0</v>
      </c>
      <c r="K71" s="1616"/>
      <c r="L71" s="1616"/>
      <c r="M71" s="1604">
        <f t="shared" si="3"/>
        <v>0</v>
      </c>
      <c r="N71" s="1881">
        <f t="shared" si="3"/>
        <v>0</v>
      </c>
      <c r="O71" s="1881">
        <f t="shared" si="3"/>
        <v>0</v>
      </c>
      <c r="P71" s="1593" t="s">
        <v>1171</v>
      </c>
      <c r="Q71" s="1593" t="s">
        <v>1116</v>
      </c>
      <c r="R71" s="1600">
        <f t="shared" si="12"/>
        <v>0</v>
      </c>
      <c r="S71" s="1608">
        <v>0</v>
      </c>
      <c r="T71" s="1608">
        <v>0</v>
      </c>
      <c r="U71" s="1600">
        <f t="shared" si="13"/>
        <v>0</v>
      </c>
      <c r="V71" s="1608">
        <v>0</v>
      </c>
      <c r="W71" s="1608">
        <v>0</v>
      </c>
      <c r="X71" s="1423">
        <f t="shared" si="4"/>
        <v>0</v>
      </c>
    </row>
    <row r="72" spans="1:24" s="1607" customFormat="1" ht="30.75" customHeight="1">
      <c r="A72" s="2041">
        <f>A71+1</f>
        <v>40</v>
      </c>
      <c r="B72" s="521" t="s">
        <v>1413</v>
      </c>
      <c r="C72" s="1882">
        <v>24366</v>
      </c>
      <c r="D72" s="1602">
        <f t="shared" si="2"/>
        <v>6338.1</v>
      </c>
      <c r="E72" s="1616"/>
      <c r="F72" s="1616">
        <v>6338.1</v>
      </c>
      <c r="G72" s="1602">
        <f t="shared" si="11"/>
        <v>6338.1</v>
      </c>
      <c r="H72" s="1616">
        <f t="shared" si="7"/>
        <v>0</v>
      </c>
      <c r="I72" s="1616">
        <f t="shared" si="7"/>
        <v>6338.1</v>
      </c>
      <c r="J72" s="1602">
        <f t="shared" si="10"/>
        <v>0</v>
      </c>
      <c r="K72" s="1616"/>
      <c r="L72" s="1616"/>
      <c r="M72" s="1604">
        <f t="shared" si="3"/>
        <v>0</v>
      </c>
      <c r="N72" s="1881">
        <f t="shared" si="3"/>
        <v>0</v>
      </c>
      <c r="O72" s="1881">
        <f t="shared" si="3"/>
        <v>0</v>
      </c>
      <c r="P72" s="1593" t="s">
        <v>1171</v>
      </c>
      <c r="Q72" s="1593" t="s">
        <v>1116</v>
      </c>
      <c r="R72" s="1600">
        <f t="shared" si="12"/>
        <v>0</v>
      </c>
      <c r="S72" s="1608">
        <v>0</v>
      </c>
      <c r="T72" s="1608">
        <v>0</v>
      </c>
      <c r="U72" s="1600">
        <f t="shared" si="13"/>
        <v>0</v>
      </c>
      <c r="V72" s="1608">
        <v>0</v>
      </c>
      <c r="W72" s="1608">
        <v>0</v>
      </c>
      <c r="X72" s="1423">
        <f t="shared" si="4"/>
        <v>0</v>
      </c>
    </row>
    <row r="73" spans="1:24" s="1607" customFormat="1" ht="46.5" customHeight="1">
      <c r="A73" s="2041">
        <f>A72+1</f>
        <v>41</v>
      </c>
      <c r="B73" s="1883" t="s">
        <v>1414</v>
      </c>
      <c r="C73" s="1880">
        <v>24366</v>
      </c>
      <c r="D73" s="1602">
        <f t="shared" si="2"/>
        <v>13755.5</v>
      </c>
      <c r="E73" s="1616"/>
      <c r="F73" s="1616">
        <v>13755.5</v>
      </c>
      <c r="G73" s="1602">
        <f t="shared" si="11"/>
        <v>13755.5</v>
      </c>
      <c r="H73" s="1616">
        <f t="shared" si="7"/>
        <v>0</v>
      </c>
      <c r="I73" s="1616">
        <f t="shared" si="7"/>
        <v>13755.5</v>
      </c>
      <c r="J73" s="1602">
        <f t="shared" si="10"/>
        <v>0</v>
      </c>
      <c r="K73" s="1616"/>
      <c r="L73" s="1616"/>
      <c r="M73" s="1604">
        <f t="shared" si="3"/>
        <v>0</v>
      </c>
      <c r="N73" s="1881">
        <f t="shared" si="3"/>
        <v>0</v>
      </c>
      <c r="O73" s="1881">
        <f t="shared" si="3"/>
        <v>0</v>
      </c>
      <c r="P73" s="1593" t="s">
        <v>1171</v>
      </c>
      <c r="Q73" s="1593" t="s">
        <v>1116</v>
      </c>
      <c r="R73" s="1600">
        <f t="shared" si="12"/>
        <v>0</v>
      </c>
      <c r="S73" s="1608">
        <v>0</v>
      </c>
      <c r="T73" s="1608">
        <v>0</v>
      </c>
      <c r="U73" s="1600">
        <f t="shared" si="13"/>
        <v>0</v>
      </c>
      <c r="V73" s="1608">
        <v>0</v>
      </c>
      <c r="W73" s="1608">
        <v>0</v>
      </c>
      <c r="X73" s="1423">
        <f t="shared" si="4"/>
        <v>0</v>
      </c>
    </row>
    <row r="74" spans="1:24" s="484" customFormat="1" ht="57.75" customHeight="1">
      <c r="A74" s="2041"/>
      <c r="B74" s="1897" t="s">
        <v>1628</v>
      </c>
      <c r="C74" s="1898"/>
      <c r="D74" s="1899">
        <f t="shared" si="2"/>
        <v>2900</v>
      </c>
      <c r="E74" s="1899">
        <f>SUM(E75,E77)</f>
        <v>0</v>
      </c>
      <c r="F74" s="1899">
        <f>SUM(F75,F77)</f>
        <v>2900</v>
      </c>
      <c r="G74" s="1899">
        <f>SUM(H74:I74)</f>
        <v>2900</v>
      </c>
      <c r="H74" s="1899">
        <f>SUM(H75,H77)</f>
        <v>0</v>
      </c>
      <c r="I74" s="1899">
        <f>SUM(I75,I77)</f>
        <v>2900</v>
      </c>
      <c r="J74" s="1899">
        <f>SUM(K74:L74)</f>
        <v>2024</v>
      </c>
      <c r="K74" s="1899">
        <f>SUM(K75,K77)</f>
        <v>0</v>
      </c>
      <c r="L74" s="1899">
        <f>SUM(L75,L77)</f>
        <v>2024</v>
      </c>
      <c r="M74" s="1900">
        <f t="shared" si="3"/>
        <v>69.8</v>
      </c>
      <c r="N74" s="1901">
        <f t="shared" si="3"/>
        <v>0</v>
      </c>
      <c r="O74" s="1901">
        <f t="shared" si="3"/>
        <v>69.8</v>
      </c>
      <c r="P74" s="2043" t="e">
        <f>SUM(P91+P79+P96)</f>
        <v>#VALUE!</v>
      </c>
      <c r="Q74" s="2043" t="e">
        <f>SUM(Q91+Q79+Q96)</f>
        <v>#VALUE!</v>
      </c>
      <c r="R74" s="1899">
        <f t="shared" si="12"/>
        <v>0</v>
      </c>
      <c r="S74" s="1899">
        <f>SUM(S75,S77)</f>
        <v>0</v>
      </c>
      <c r="T74" s="1899">
        <f>SUM(T75,T77)</f>
        <v>0</v>
      </c>
      <c r="U74" s="1899">
        <f t="shared" si="13"/>
        <v>0</v>
      </c>
      <c r="V74" s="1899">
        <f>SUM(V75,V77)</f>
        <v>0</v>
      </c>
      <c r="W74" s="1899">
        <f>SUM(W75,W77)</f>
        <v>0</v>
      </c>
      <c r="X74" s="1423">
        <f t="shared" si="4"/>
        <v>0</v>
      </c>
    </row>
    <row r="75" spans="1:24" s="484" customFormat="1" ht="27" customHeight="1">
      <c r="A75" s="2041"/>
      <c r="B75" s="2040" t="s">
        <v>1401</v>
      </c>
      <c r="C75" s="1882"/>
      <c r="D75" s="1602">
        <f t="shared" si="2"/>
        <v>1400</v>
      </c>
      <c r="E75" s="1603">
        <f>E76</f>
        <v>0</v>
      </c>
      <c r="F75" s="1603">
        <f>F76</f>
        <v>1400</v>
      </c>
      <c r="G75" s="1602">
        <f t="shared" si="11"/>
        <v>1400</v>
      </c>
      <c r="H75" s="1603">
        <f t="shared" si="7"/>
        <v>0</v>
      </c>
      <c r="I75" s="1603">
        <f t="shared" si="7"/>
        <v>1400</v>
      </c>
      <c r="J75" s="1602">
        <f t="shared" si="10"/>
        <v>1400</v>
      </c>
      <c r="K75" s="1603">
        <f>K76</f>
        <v>0</v>
      </c>
      <c r="L75" s="1603">
        <f>L76</f>
        <v>1400</v>
      </c>
      <c r="M75" s="1604">
        <f t="shared" si="3"/>
        <v>100</v>
      </c>
      <c r="N75" s="1881">
        <f t="shared" si="3"/>
        <v>0</v>
      </c>
      <c r="O75" s="1881">
        <f t="shared" si="3"/>
        <v>100</v>
      </c>
      <c r="P75" s="1601">
        <f t="shared" ref="P75:W75" si="14">P76</f>
        <v>0</v>
      </c>
      <c r="Q75" s="1601">
        <f t="shared" si="14"/>
        <v>0</v>
      </c>
      <c r="R75" s="1601">
        <f t="shared" si="14"/>
        <v>0</v>
      </c>
      <c r="S75" s="1601">
        <f t="shared" si="14"/>
        <v>0</v>
      </c>
      <c r="T75" s="1601">
        <f t="shared" si="14"/>
        <v>0</v>
      </c>
      <c r="U75" s="1601">
        <f t="shared" si="14"/>
        <v>0</v>
      </c>
      <c r="V75" s="1601">
        <f t="shared" si="14"/>
        <v>0</v>
      </c>
      <c r="W75" s="1601">
        <f t="shared" si="14"/>
        <v>0</v>
      </c>
      <c r="X75" s="1423">
        <f t="shared" si="4"/>
        <v>0</v>
      </c>
    </row>
    <row r="76" spans="1:24" s="484" customFormat="1" ht="39.75" customHeight="1">
      <c r="A76" s="2041" t="s">
        <v>1724</v>
      </c>
      <c r="B76" s="1889" t="s">
        <v>681</v>
      </c>
      <c r="C76" s="1882">
        <v>90420</v>
      </c>
      <c r="D76" s="1602">
        <f t="shared" si="2"/>
        <v>1400</v>
      </c>
      <c r="E76" s="1616"/>
      <c r="F76" s="1616">
        <v>1400</v>
      </c>
      <c r="G76" s="1602">
        <f t="shared" si="11"/>
        <v>1400</v>
      </c>
      <c r="H76" s="1616">
        <f t="shared" si="7"/>
        <v>0</v>
      </c>
      <c r="I76" s="1616">
        <f t="shared" si="7"/>
        <v>1400</v>
      </c>
      <c r="J76" s="1602">
        <f t="shared" si="10"/>
        <v>1400</v>
      </c>
      <c r="K76" s="1616"/>
      <c r="L76" s="1616">
        <v>1400</v>
      </c>
      <c r="M76" s="1604">
        <f t="shared" si="3"/>
        <v>100</v>
      </c>
      <c r="N76" s="1881">
        <f t="shared" si="3"/>
        <v>0</v>
      </c>
      <c r="O76" s="1881">
        <f t="shared" si="3"/>
        <v>100</v>
      </c>
      <c r="P76" s="1593"/>
      <c r="Q76" s="1593"/>
      <c r="R76" s="1600">
        <f>S76+T76</f>
        <v>0</v>
      </c>
      <c r="S76" s="1614"/>
      <c r="T76" s="1614"/>
      <c r="U76" s="1600">
        <f>V76+W76</f>
        <v>0</v>
      </c>
      <c r="V76" s="1614"/>
      <c r="W76" s="1614"/>
      <c r="X76" s="1423">
        <f t="shared" si="4"/>
        <v>0</v>
      </c>
    </row>
    <row r="77" spans="1:24" s="484" customFormat="1" ht="23.25" customHeight="1">
      <c r="A77" s="2041"/>
      <c r="B77" s="2040" t="s">
        <v>1554</v>
      </c>
      <c r="C77" s="1882"/>
      <c r="D77" s="1602">
        <f t="shared" si="2"/>
        <v>1500</v>
      </c>
      <c r="E77" s="1603">
        <f>E78</f>
        <v>0</v>
      </c>
      <c r="F77" s="1603">
        <f>F78</f>
        <v>1500</v>
      </c>
      <c r="G77" s="1602">
        <f t="shared" si="11"/>
        <v>1500</v>
      </c>
      <c r="H77" s="1603">
        <f t="shared" si="7"/>
        <v>0</v>
      </c>
      <c r="I77" s="1603">
        <f t="shared" si="7"/>
        <v>1500</v>
      </c>
      <c r="J77" s="1602">
        <f t="shared" si="10"/>
        <v>624</v>
      </c>
      <c r="K77" s="1603">
        <f>K78</f>
        <v>0</v>
      </c>
      <c r="L77" s="1603">
        <f>L78</f>
        <v>624</v>
      </c>
      <c r="M77" s="1604">
        <f t="shared" si="3"/>
        <v>41.6</v>
      </c>
      <c r="N77" s="1881">
        <f t="shared" si="3"/>
        <v>0</v>
      </c>
      <c r="O77" s="1881">
        <f t="shared" si="3"/>
        <v>41.6</v>
      </c>
      <c r="P77" s="1593"/>
      <c r="Q77" s="1593"/>
      <c r="R77" s="1602">
        <f>SUM(S77:T77)</f>
        <v>0</v>
      </c>
      <c r="S77" s="1603">
        <f>S78</f>
        <v>0</v>
      </c>
      <c r="T77" s="1603">
        <f>T78</f>
        <v>0</v>
      </c>
      <c r="U77" s="1602">
        <f>SUM(V77:W77)</f>
        <v>0</v>
      </c>
      <c r="V77" s="1603">
        <f>V78</f>
        <v>0</v>
      </c>
      <c r="W77" s="1603">
        <f>W78</f>
        <v>0</v>
      </c>
      <c r="X77" s="1423">
        <f>D77-G77</f>
        <v>0</v>
      </c>
    </row>
    <row r="78" spans="1:24" s="484" customFormat="1" ht="39.75" customHeight="1">
      <c r="A78" s="2041" t="s">
        <v>1725</v>
      </c>
      <c r="B78" s="1889" t="s">
        <v>1623</v>
      </c>
      <c r="C78" s="1882">
        <v>90420</v>
      </c>
      <c r="D78" s="1602">
        <f t="shared" si="2"/>
        <v>1500</v>
      </c>
      <c r="E78" s="1616"/>
      <c r="F78" s="1616">
        <v>1500</v>
      </c>
      <c r="G78" s="1602">
        <f t="shared" si="11"/>
        <v>1500</v>
      </c>
      <c r="H78" s="1616">
        <f t="shared" si="7"/>
        <v>0</v>
      </c>
      <c r="I78" s="1616">
        <f t="shared" si="7"/>
        <v>1500</v>
      </c>
      <c r="J78" s="1602">
        <f t="shared" si="10"/>
        <v>624</v>
      </c>
      <c r="K78" s="1616"/>
      <c r="L78" s="1616">
        <v>624</v>
      </c>
      <c r="M78" s="1604">
        <f t="shared" ref="M78:O139" si="15">IF(J78=0,0,J78/G78*100)</f>
        <v>41.6</v>
      </c>
      <c r="N78" s="1881">
        <f t="shared" si="15"/>
        <v>0</v>
      </c>
      <c r="O78" s="1881">
        <f t="shared" si="15"/>
        <v>41.6</v>
      </c>
      <c r="P78" s="1593"/>
      <c r="Q78" s="1593"/>
      <c r="R78" s="1600">
        <f>S78+T78</f>
        <v>0</v>
      </c>
      <c r="S78" s="1614"/>
      <c r="T78" s="1614"/>
      <c r="U78" s="1600">
        <f>V78+W78</f>
        <v>0</v>
      </c>
      <c r="V78" s="1614"/>
      <c r="W78" s="1614"/>
      <c r="X78" s="1423">
        <f>D78-G78</f>
        <v>0</v>
      </c>
    </row>
    <row r="79" spans="1:24" ht="25.5" customHeight="1">
      <c r="A79" s="2041" t="s">
        <v>254</v>
      </c>
      <c r="B79" s="1876" t="s">
        <v>1394</v>
      </c>
      <c r="C79" s="1877"/>
      <c r="D79" s="1598">
        <f t="shared" si="2"/>
        <v>1677504.5</v>
      </c>
      <c r="E79" s="1903">
        <f>SUM(E80+E91)</f>
        <v>1584164.8</v>
      </c>
      <c r="F79" s="1903">
        <f>SUM(F80+F91)</f>
        <v>93339.7</v>
      </c>
      <c r="G79" s="1598">
        <f>SUM(H79:I79)</f>
        <v>1677504.5</v>
      </c>
      <c r="H79" s="1903">
        <f>SUM(H80+H91)</f>
        <v>1584164.8</v>
      </c>
      <c r="I79" s="1903">
        <f>SUM(I80+I91)</f>
        <v>93339.7</v>
      </c>
      <c r="J79" s="1598">
        <f>SUM(K79:L79)</f>
        <v>541416.19999999995</v>
      </c>
      <c r="K79" s="1903">
        <f>SUM(K80+K91)</f>
        <v>531284.80000000005</v>
      </c>
      <c r="L79" s="1903">
        <f>SUM(L80+L91)</f>
        <v>10131.4</v>
      </c>
      <c r="M79" s="1903">
        <f t="shared" si="15"/>
        <v>32.299999999999997</v>
      </c>
      <c r="N79" s="1903">
        <f t="shared" si="15"/>
        <v>33.5</v>
      </c>
      <c r="O79" s="1903">
        <f t="shared" si="15"/>
        <v>10.9</v>
      </c>
      <c r="P79" s="1599" t="s">
        <v>353</v>
      </c>
      <c r="Q79" s="1599" t="s">
        <v>353</v>
      </c>
      <c r="R79" s="1598" t="e">
        <f>SUM(S79:T79)</f>
        <v>#REF!</v>
      </c>
      <c r="S79" s="1903" t="e">
        <f>SUM(S80+S91+#REF!)</f>
        <v>#REF!</v>
      </c>
      <c r="T79" s="1903" t="e">
        <f>SUM(T80+T91+#REF!)</f>
        <v>#REF!</v>
      </c>
      <c r="U79" s="1598" t="e">
        <f>SUM(V79:W79)</f>
        <v>#REF!</v>
      </c>
      <c r="V79" s="1903" t="e">
        <f>SUM(V80+V91+#REF!)</f>
        <v>#REF!</v>
      </c>
      <c r="W79" s="1903" t="e">
        <f>SUM(W80+W91+#REF!)</f>
        <v>#REF!</v>
      </c>
      <c r="X79" s="1423">
        <f>D79-G79</f>
        <v>0</v>
      </c>
    </row>
    <row r="80" spans="1:24" ht="30.75" customHeight="1">
      <c r="A80" s="2041" t="s">
        <v>1519</v>
      </c>
      <c r="B80" s="1897" t="s">
        <v>1395</v>
      </c>
      <c r="C80" s="1898"/>
      <c r="D80" s="1899">
        <f>SUM(E80:F80)</f>
        <v>1472576.5</v>
      </c>
      <c r="E80" s="1899">
        <f>E81+E88+E86</f>
        <v>1443528.2</v>
      </c>
      <c r="F80" s="1899">
        <f>F81+F88</f>
        <v>29048.3</v>
      </c>
      <c r="G80" s="1899">
        <f>SUM(H80:I80)</f>
        <v>1472576.5</v>
      </c>
      <c r="H80" s="1899">
        <f>H81+H88+H86</f>
        <v>1443528.2</v>
      </c>
      <c r="I80" s="1899">
        <f>I81+I88</f>
        <v>29048.3</v>
      </c>
      <c r="J80" s="1899">
        <f>SUM(K80:L80)</f>
        <v>537493.9</v>
      </c>
      <c r="K80" s="1899">
        <f>K81+K88+K86</f>
        <v>531284.80000000005</v>
      </c>
      <c r="L80" s="1899">
        <f>L81+L88</f>
        <v>6209.1</v>
      </c>
      <c r="M80" s="1899">
        <f t="shared" si="15"/>
        <v>36.5</v>
      </c>
      <c r="N80" s="1899">
        <f t="shared" si="15"/>
        <v>36.799999999999997</v>
      </c>
      <c r="O80" s="1899">
        <f t="shared" si="15"/>
        <v>21.4</v>
      </c>
      <c r="P80" s="1899" t="e">
        <f t="shared" ref="P80:W80" si="16">P81+P88+P86</f>
        <v>#VALUE!</v>
      </c>
      <c r="Q80" s="1899" t="e">
        <f t="shared" si="16"/>
        <v>#VALUE!</v>
      </c>
      <c r="R80" s="1899">
        <f t="shared" si="16"/>
        <v>702732.2</v>
      </c>
      <c r="S80" s="1899">
        <f t="shared" si="16"/>
        <v>695705</v>
      </c>
      <c r="T80" s="1899">
        <f t="shared" si="16"/>
        <v>7027.2</v>
      </c>
      <c r="U80" s="1899">
        <f t="shared" si="16"/>
        <v>2102737.1</v>
      </c>
      <c r="V80" s="1899">
        <f t="shared" si="16"/>
        <v>2081709.6</v>
      </c>
      <c r="W80" s="1899">
        <f t="shared" si="16"/>
        <v>21027.5</v>
      </c>
      <c r="X80" s="1423">
        <f>D80-G80</f>
        <v>0</v>
      </c>
    </row>
    <row r="81" spans="1:24" ht="24.75" customHeight="1">
      <c r="A81" s="2041"/>
      <c r="B81" s="1897" t="s">
        <v>1396</v>
      </c>
      <c r="C81" s="1898"/>
      <c r="D81" s="1899">
        <f>SUM(E81:F81)</f>
        <v>936.1</v>
      </c>
      <c r="E81" s="1899">
        <f>E84+E82</f>
        <v>856.5</v>
      </c>
      <c r="F81" s="1899">
        <f t="shared" ref="F81:W81" si="17">F84+F82</f>
        <v>79.599999999999994</v>
      </c>
      <c r="G81" s="1899">
        <f>SUM(H81:I81)</f>
        <v>936.1</v>
      </c>
      <c r="H81" s="1899">
        <f>H84+H82</f>
        <v>856.5</v>
      </c>
      <c r="I81" s="1899">
        <f>I84+I82</f>
        <v>79.599999999999994</v>
      </c>
      <c r="J81" s="1899">
        <f>SUM(K81:L81)</f>
        <v>936.1</v>
      </c>
      <c r="K81" s="1899">
        <f>K84+K82</f>
        <v>856.5</v>
      </c>
      <c r="L81" s="1899">
        <f>L84+L82</f>
        <v>79.599999999999994</v>
      </c>
      <c r="M81" s="1899">
        <f t="shared" si="15"/>
        <v>100</v>
      </c>
      <c r="N81" s="1899">
        <f t="shared" si="15"/>
        <v>100</v>
      </c>
      <c r="O81" s="1899">
        <f t="shared" si="15"/>
        <v>100</v>
      </c>
      <c r="P81" s="1899" t="e">
        <f t="shared" si="17"/>
        <v>#VALUE!</v>
      </c>
      <c r="Q81" s="1899" t="e">
        <f t="shared" si="17"/>
        <v>#VALUE!</v>
      </c>
      <c r="R81" s="1899">
        <f t="shared" si="17"/>
        <v>216010.9</v>
      </c>
      <c r="S81" s="1899">
        <f t="shared" si="17"/>
        <v>213850.8</v>
      </c>
      <c r="T81" s="1899">
        <f t="shared" si="17"/>
        <v>2160.1</v>
      </c>
      <c r="U81" s="1899">
        <f t="shared" si="17"/>
        <v>327265.90000000002</v>
      </c>
      <c r="V81" s="1899">
        <f t="shared" si="17"/>
        <v>323993.2</v>
      </c>
      <c r="W81" s="1899">
        <f t="shared" si="17"/>
        <v>3272.7</v>
      </c>
      <c r="X81" s="1423">
        <f>D81-G81</f>
        <v>0</v>
      </c>
    </row>
    <row r="82" spans="1:24" hidden="1">
      <c r="A82" s="2041"/>
      <c r="B82" s="2040" t="s">
        <v>1667</v>
      </c>
      <c r="C82" s="2042"/>
      <c r="D82" s="1602">
        <f>SUM(E82:F82)</f>
        <v>0</v>
      </c>
      <c r="E82" s="1603">
        <f>SUM(E83)</f>
        <v>0</v>
      </c>
      <c r="F82" s="1603">
        <f>SUM(F83)</f>
        <v>0</v>
      </c>
      <c r="G82" s="1602">
        <f t="shared" si="11"/>
        <v>0</v>
      </c>
      <c r="H82" s="1603">
        <f t="shared" ref="H82:I144" si="18">E82</f>
        <v>0</v>
      </c>
      <c r="I82" s="1603">
        <f t="shared" si="18"/>
        <v>0</v>
      </c>
      <c r="J82" s="1602">
        <f t="shared" si="10"/>
        <v>0</v>
      </c>
      <c r="K82" s="1603">
        <f>SUM(K83)</f>
        <v>0</v>
      </c>
      <c r="L82" s="1603">
        <f>SUM(L83)</f>
        <v>0</v>
      </c>
      <c r="M82" s="1604">
        <f t="shared" si="15"/>
        <v>0</v>
      </c>
      <c r="N82" s="1881">
        <f t="shared" si="15"/>
        <v>0</v>
      </c>
      <c r="O82" s="1881">
        <f t="shared" si="15"/>
        <v>0</v>
      </c>
      <c r="P82" s="1593" t="s">
        <v>353</v>
      </c>
      <c r="Q82" s="1593" t="s">
        <v>353</v>
      </c>
      <c r="R82" s="1602">
        <f>SUM(S82:T82)</f>
        <v>216010.9</v>
      </c>
      <c r="S82" s="1603">
        <f>SUM(S83)</f>
        <v>213850.8</v>
      </c>
      <c r="T82" s="1603">
        <f>SUM(T83)</f>
        <v>2160.1</v>
      </c>
      <c r="U82" s="1602">
        <f>SUM(V82:W82)</f>
        <v>327265.90000000002</v>
      </c>
      <c r="V82" s="1603">
        <f>SUM(V83)</f>
        <v>323993.2</v>
      </c>
      <c r="W82" s="1603">
        <f>SUM(W83)</f>
        <v>3272.7</v>
      </c>
    </row>
    <row r="83" spans="1:24" ht="59.25" hidden="1" customHeight="1">
      <c r="A83" s="2041">
        <f>A73+1</f>
        <v>42</v>
      </c>
      <c r="B83" s="1885" t="s">
        <v>672</v>
      </c>
      <c r="C83" s="1904" t="s">
        <v>1539</v>
      </c>
      <c r="D83" s="1602">
        <f>SUM(E83:F83)</f>
        <v>0</v>
      </c>
      <c r="E83" s="1615">
        <v>0</v>
      </c>
      <c r="F83" s="1615">
        <v>0</v>
      </c>
      <c r="G83" s="1602">
        <f t="shared" si="11"/>
        <v>0</v>
      </c>
      <c r="H83" s="1615">
        <f t="shared" si="18"/>
        <v>0</v>
      </c>
      <c r="I83" s="1615">
        <f t="shared" si="18"/>
        <v>0</v>
      </c>
      <c r="J83" s="1602">
        <f t="shared" si="10"/>
        <v>0</v>
      </c>
      <c r="K83" s="1615">
        <v>0</v>
      </c>
      <c r="L83" s="1615">
        <v>0</v>
      </c>
      <c r="M83" s="1893">
        <f t="shared" si="15"/>
        <v>0</v>
      </c>
      <c r="N83" s="1894">
        <f t="shared" si="15"/>
        <v>0</v>
      </c>
      <c r="O83" s="1894">
        <f t="shared" si="15"/>
        <v>0</v>
      </c>
      <c r="P83" s="1593" t="s">
        <v>1171</v>
      </c>
      <c r="Q83" s="1593" t="s">
        <v>1659</v>
      </c>
      <c r="R83" s="1600">
        <f>SUM(S83:T83)</f>
        <v>216010.9</v>
      </c>
      <c r="S83" s="1614">
        <v>213850.8</v>
      </c>
      <c r="T83" s="1614">
        <v>2160.1</v>
      </c>
      <c r="U83" s="1600">
        <f>SUM(V83:W83)</f>
        <v>327265.90000000002</v>
      </c>
      <c r="V83" s="1614">
        <v>323993.2</v>
      </c>
      <c r="W83" s="1614">
        <v>3272.7</v>
      </c>
    </row>
    <row r="84" spans="1:24" ht="29.25" customHeight="1">
      <c r="A84" s="2041"/>
      <c r="B84" s="2040" t="s">
        <v>457</v>
      </c>
      <c r="C84" s="2042"/>
      <c r="D84" s="1602">
        <f t="shared" si="2"/>
        <v>936.1</v>
      </c>
      <c r="E84" s="1603">
        <f>SUM(E85)</f>
        <v>856.5</v>
      </c>
      <c r="F84" s="1603">
        <f>SUM(F85)</f>
        <v>79.599999999999994</v>
      </c>
      <c r="G84" s="1602">
        <f t="shared" si="11"/>
        <v>936.1</v>
      </c>
      <c r="H84" s="1603">
        <f t="shared" si="18"/>
        <v>856.5</v>
      </c>
      <c r="I84" s="1603">
        <f t="shared" si="18"/>
        <v>79.599999999999994</v>
      </c>
      <c r="J84" s="1602">
        <f t="shared" si="10"/>
        <v>936.1</v>
      </c>
      <c r="K84" s="1603">
        <f>SUM(K85)</f>
        <v>856.5</v>
      </c>
      <c r="L84" s="1603">
        <f>SUM(L85)</f>
        <v>79.599999999999994</v>
      </c>
      <c r="M84" s="1604">
        <f t="shared" si="15"/>
        <v>100</v>
      </c>
      <c r="N84" s="1881">
        <f t="shared" si="15"/>
        <v>100</v>
      </c>
      <c r="O84" s="1881">
        <f t="shared" si="15"/>
        <v>100</v>
      </c>
      <c r="P84" s="1593" t="s">
        <v>353</v>
      </c>
      <c r="Q84" s="1593" t="s">
        <v>353</v>
      </c>
      <c r="R84" s="1602">
        <f>SUM(S84:T84)</f>
        <v>0</v>
      </c>
      <c r="S84" s="1603">
        <f>SUM(S85)</f>
        <v>0</v>
      </c>
      <c r="T84" s="1603">
        <f>SUM(T85)</f>
        <v>0</v>
      </c>
      <c r="U84" s="1602">
        <f>SUM(V84:W84)</f>
        <v>0</v>
      </c>
      <c r="V84" s="1603">
        <f>SUM(V85)</f>
        <v>0</v>
      </c>
      <c r="W84" s="1603">
        <f>SUM(W85)</f>
        <v>0</v>
      </c>
      <c r="X84" s="1423">
        <f>D84-G84</f>
        <v>0</v>
      </c>
    </row>
    <row r="85" spans="1:24" s="484" customFormat="1" ht="46.5" customHeight="1">
      <c r="A85" s="2041">
        <f>A73+1</f>
        <v>42</v>
      </c>
      <c r="B85" s="1885" t="s">
        <v>1392</v>
      </c>
      <c r="C85" s="1904" t="s">
        <v>1539</v>
      </c>
      <c r="D85" s="1602">
        <f t="shared" si="2"/>
        <v>936.1</v>
      </c>
      <c r="E85" s="1615">
        <v>856.5</v>
      </c>
      <c r="F85" s="1615">
        <v>79.599999999999994</v>
      </c>
      <c r="G85" s="1602">
        <f t="shared" si="11"/>
        <v>936.1</v>
      </c>
      <c r="H85" s="1615">
        <f t="shared" si="18"/>
        <v>856.5</v>
      </c>
      <c r="I85" s="1615">
        <f t="shared" si="18"/>
        <v>79.599999999999994</v>
      </c>
      <c r="J85" s="1602">
        <f t="shared" si="10"/>
        <v>936.1</v>
      </c>
      <c r="K85" s="1615">
        <v>856.5</v>
      </c>
      <c r="L85" s="1615">
        <v>79.599999999999994</v>
      </c>
      <c r="M85" s="1893">
        <f t="shared" si="15"/>
        <v>100</v>
      </c>
      <c r="N85" s="1894">
        <f t="shared" si="15"/>
        <v>100</v>
      </c>
      <c r="O85" s="1894">
        <f t="shared" si="15"/>
        <v>100</v>
      </c>
      <c r="P85" s="1593" t="s">
        <v>1171</v>
      </c>
      <c r="Q85" s="1593" t="s">
        <v>1659</v>
      </c>
      <c r="R85" s="1600">
        <f>SUM(S85:T85)</f>
        <v>0</v>
      </c>
      <c r="S85" s="1614">
        <v>0</v>
      </c>
      <c r="T85" s="1614">
        <v>0</v>
      </c>
      <c r="U85" s="1600">
        <f>SUM(V85:W85)</f>
        <v>0</v>
      </c>
      <c r="V85" s="1614">
        <v>0</v>
      </c>
      <c r="W85" s="1614">
        <v>0</v>
      </c>
      <c r="X85" s="1423">
        <f>D85-G85</f>
        <v>0</v>
      </c>
    </row>
    <row r="86" spans="1:24" s="484" customFormat="1" ht="25.5" hidden="1" customHeight="1">
      <c r="A86" s="2041"/>
      <c r="B86" s="1897" t="s">
        <v>1650</v>
      </c>
      <c r="C86" s="1898"/>
      <c r="D86" s="1899">
        <f>SUM(E86:F86)</f>
        <v>0</v>
      </c>
      <c r="E86" s="2043">
        <f t="shared" ref="E86:W86" si="19">SUM(E87)</f>
        <v>0</v>
      </c>
      <c r="F86" s="2043">
        <f t="shared" si="19"/>
        <v>0</v>
      </c>
      <c r="G86" s="1899">
        <f t="shared" si="11"/>
        <v>0</v>
      </c>
      <c r="H86" s="2043">
        <f t="shared" si="18"/>
        <v>0</v>
      </c>
      <c r="I86" s="2043">
        <f t="shared" si="18"/>
        <v>0</v>
      </c>
      <c r="J86" s="1899">
        <f t="shared" si="10"/>
        <v>0</v>
      </c>
      <c r="K86" s="2043">
        <f t="shared" si="19"/>
        <v>0</v>
      </c>
      <c r="L86" s="2043">
        <f t="shared" si="19"/>
        <v>0</v>
      </c>
      <c r="M86" s="2043">
        <f t="shared" si="15"/>
        <v>0</v>
      </c>
      <c r="N86" s="2043">
        <f t="shared" si="15"/>
        <v>0</v>
      </c>
      <c r="O86" s="2043">
        <f t="shared" si="15"/>
        <v>0</v>
      </c>
      <c r="P86" s="2043">
        <f t="shared" si="19"/>
        <v>0</v>
      </c>
      <c r="Q86" s="2043">
        <f t="shared" si="19"/>
        <v>0</v>
      </c>
      <c r="R86" s="2043">
        <f t="shared" si="19"/>
        <v>0</v>
      </c>
      <c r="S86" s="2043">
        <f t="shared" si="19"/>
        <v>0</v>
      </c>
      <c r="T86" s="2043">
        <f t="shared" si="19"/>
        <v>0</v>
      </c>
      <c r="U86" s="2043">
        <f t="shared" si="19"/>
        <v>0</v>
      </c>
      <c r="V86" s="2043">
        <f t="shared" si="19"/>
        <v>0</v>
      </c>
      <c r="W86" s="2043">
        <f t="shared" si="19"/>
        <v>0</v>
      </c>
    </row>
    <row r="87" spans="1:24" s="484" customFormat="1" ht="88.5" hidden="1" customHeight="1">
      <c r="A87" s="2041"/>
      <c r="B87" s="1885" t="s">
        <v>455</v>
      </c>
      <c r="C87" s="1904"/>
      <c r="D87" s="1602">
        <f>SUM(E87:F87)</f>
        <v>0</v>
      </c>
      <c r="E87" s="1615">
        <v>0</v>
      </c>
      <c r="F87" s="1615">
        <v>0</v>
      </c>
      <c r="G87" s="1602">
        <f t="shared" si="11"/>
        <v>0</v>
      </c>
      <c r="H87" s="1615">
        <f t="shared" si="18"/>
        <v>0</v>
      </c>
      <c r="I87" s="1615">
        <f t="shared" si="18"/>
        <v>0</v>
      </c>
      <c r="J87" s="1602">
        <f t="shared" si="10"/>
        <v>0</v>
      </c>
      <c r="K87" s="1615">
        <v>0</v>
      </c>
      <c r="L87" s="1615">
        <v>0</v>
      </c>
      <c r="M87" s="1893">
        <f t="shared" si="15"/>
        <v>0</v>
      </c>
      <c r="N87" s="1894">
        <f t="shared" si="15"/>
        <v>0</v>
      </c>
      <c r="O87" s="1894">
        <f t="shared" si="15"/>
        <v>0</v>
      </c>
      <c r="P87" s="1593" t="s">
        <v>1171</v>
      </c>
      <c r="Q87" s="1593" t="s">
        <v>1659</v>
      </c>
      <c r="R87" s="1602">
        <f>SUM(S87:T87)</f>
        <v>0</v>
      </c>
      <c r="S87" s="1615">
        <v>0</v>
      </c>
      <c r="T87" s="1615">
        <v>0</v>
      </c>
      <c r="U87" s="1602">
        <f>SUM(V87:W87)</f>
        <v>0</v>
      </c>
      <c r="V87" s="1615">
        <v>0</v>
      </c>
      <c r="W87" s="1615">
        <v>0</v>
      </c>
    </row>
    <row r="88" spans="1:24" ht="33" customHeight="1">
      <c r="A88" s="2041"/>
      <c r="B88" s="1897" t="s">
        <v>1410</v>
      </c>
      <c r="C88" s="1898"/>
      <c r="D88" s="1899">
        <f t="shared" ref="D88:D161" si="20">SUM(E88:F88)</f>
        <v>1471640.4</v>
      </c>
      <c r="E88" s="2043">
        <f>SUM(E89)</f>
        <v>1442671.7</v>
      </c>
      <c r="F88" s="2043">
        <f t="shared" ref="F88:W88" si="21">SUM(F89)</f>
        <v>28968.7</v>
      </c>
      <c r="G88" s="1899">
        <f t="shared" si="11"/>
        <v>1471640.4</v>
      </c>
      <c r="H88" s="2043">
        <f>SUM(H89)</f>
        <v>1442671.7</v>
      </c>
      <c r="I88" s="2043">
        <f t="shared" si="21"/>
        <v>28968.7</v>
      </c>
      <c r="J88" s="1899">
        <f t="shared" si="10"/>
        <v>536557.80000000005</v>
      </c>
      <c r="K88" s="2043">
        <f>SUM(K89)</f>
        <v>530428.30000000005</v>
      </c>
      <c r="L88" s="2043">
        <f t="shared" si="21"/>
        <v>6129.5</v>
      </c>
      <c r="M88" s="2043">
        <f t="shared" si="15"/>
        <v>36.5</v>
      </c>
      <c r="N88" s="2043">
        <f t="shared" si="15"/>
        <v>36.799999999999997</v>
      </c>
      <c r="O88" s="2043">
        <f t="shared" si="15"/>
        <v>21.2</v>
      </c>
      <c r="P88" s="2043">
        <f t="shared" si="21"/>
        <v>0</v>
      </c>
      <c r="Q88" s="2043">
        <f t="shared" si="21"/>
        <v>0</v>
      </c>
      <c r="R88" s="2043">
        <f t="shared" si="21"/>
        <v>486721.3</v>
      </c>
      <c r="S88" s="2043">
        <f t="shared" si="21"/>
        <v>481854.2</v>
      </c>
      <c r="T88" s="2043">
        <f t="shared" si="21"/>
        <v>4867.1000000000004</v>
      </c>
      <c r="U88" s="2043">
        <f t="shared" si="21"/>
        <v>1775471.2</v>
      </c>
      <c r="V88" s="2043">
        <f t="shared" si="21"/>
        <v>1757716.4</v>
      </c>
      <c r="W88" s="2043">
        <f t="shared" si="21"/>
        <v>17754.8</v>
      </c>
      <c r="X88" s="1423">
        <f>D88-G88</f>
        <v>0</v>
      </c>
    </row>
    <row r="89" spans="1:24" s="484" customFormat="1" ht="121.5" customHeight="1">
      <c r="A89" s="2041">
        <f>A85+1</f>
        <v>43</v>
      </c>
      <c r="B89" s="1885" t="s">
        <v>1412</v>
      </c>
      <c r="C89" s="1904" t="s">
        <v>1632</v>
      </c>
      <c r="D89" s="1602">
        <f t="shared" si="20"/>
        <v>1471640.4</v>
      </c>
      <c r="E89" s="1615">
        <v>1442671.7</v>
      </c>
      <c r="F89" s="1615">
        <v>28968.7</v>
      </c>
      <c r="G89" s="1602">
        <f t="shared" si="11"/>
        <v>1471640.4</v>
      </c>
      <c r="H89" s="1615">
        <f t="shared" si="18"/>
        <v>1442671.7</v>
      </c>
      <c r="I89" s="1615">
        <f t="shared" si="18"/>
        <v>28968.7</v>
      </c>
      <c r="J89" s="1602">
        <f t="shared" si="10"/>
        <v>536557.80000000005</v>
      </c>
      <c r="K89" s="1614">
        <v>530428.30000000005</v>
      </c>
      <c r="L89" s="1614">
        <v>6129.5</v>
      </c>
      <c r="M89" s="1893">
        <f t="shared" si="15"/>
        <v>36.5</v>
      </c>
      <c r="N89" s="1894">
        <f t="shared" si="15"/>
        <v>36.799999999999997</v>
      </c>
      <c r="O89" s="1894">
        <f t="shared" si="15"/>
        <v>21.2</v>
      </c>
      <c r="P89" s="1593" t="s">
        <v>1171</v>
      </c>
      <c r="Q89" s="1593" t="s">
        <v>1659</v>
      </c>
      <c r="R89" s="1602">
        <f t="shared" ref="R89:R98" si="22">SUM(S89:T89)</f>
        <v>486721.3</v>
      </c>
      <c r="S89" s="1615">
        <v>481854.2</v>
      </c>
      <c r="T89" s="1615">
        <v>4867.1000000000004</v>
      </c>
      <c r="U89" s="1602">
        <f t="shared" ref="U89:U98" si="23">SUM(V89:W89)</f>
        <v>1775471.2</v>
      </c>
      <c r="V89" s="1615">
        <v>1757716.4</v>
      </c>
      <c r="W89" s="1615">
        <v>17754.8</v>
      </c>
      <c r="X89" s="1423">
        <f>D89-G89</f>
        <v>0</v>
      </c>
    </row>
    <row r="90" spans="1:24" ht="75.75" hidden="1" customHeight="1">
      <c r="A90" s="2041" t="e">
        <f>#REF!+1</f>
        <v>#REF!</v>
      </c>
      <c r="B90" s="1879" t="s">
        <v>1668</v>
      </c>
      <c r="C90" s="1880"/>
      <c r="D90" s="1602">
        <f>SUM(E90:F90)</f>
        <v>0</v>
      </c>
      <c r="E90" s="1616">
        <v>0</v>
      </c>
      <c r="F90" s="1616">
        <v>0</v>
      </c>
      <c r="G90" s="1602">
        <f t="shared" si="11"/>
        <v>0</v>
      </c>
      <c r="H90" s="1616">
        <f t="shared" si="18"/>
        <v>0</v>
      </c>
      <c r="I90" s="1616">
        <f t="shared" si="18"/>
        <v>0</v>
      </c>
      <c r="J90" s="1602">
        <f>SUM(K90:L90)</f>
        <v>0</v>
      </c>
      <c r="K90" s="1616">
        <v>0</v>
      </c>
      <c r="L90" s="1616">
        <v>0</v>
      </c>
      <c r="M90" s="1604">
        <f t="shared" si="15"/>
        <v>0</v>
      </c>
      <c r="N90" s="1881">
        <f t="shared" si="15"/>
        <v>0</v>
      </c>
      <c r="O90" s="1881">
        <f t="shared" si="15"/>
        <v>0</v>
      </c>
      <c r="P90" s="1599"/>
      <c r="Q90" s="1599"/>
      <c r="R90" s="1602">
        <f>SUM(S90:T90)</f>
        <v>0</v>
      </c>
      <c r="S90" s="1619">
        <v>0</v>
      </c>
      <c r="T90" s="1619">
        <v>0</v>
      </c>
      <c r="U90" s="1602">
        <f>SUM(V90:W90)</f>
        <v>30453.8</v>
      </c>
      <c r="V90" s="1619">
        <v>30149.3</v>
      </c>
      <c r="W90" s="1619">
        <v>304.5</v>
      </c>
    </row>
    <row r="91" spans="1:24" s="484" customFormat="1" ht="73.5" customHeight="1">
      <c r="A91" s="2041" t="s">
        <v>1639</v>
      </c>
      <c r="B91" s="1876" t="s">
        <v>1435</v>
      </c>
      <c r="C91" s="1877"/>
      <c r="D91" s="1598">
        <f t="shared" si="20"/>
        <v>204928</v>
      </c>
      <c r="E91" s="1903">
        <f>SUM(E95,E99,E103,E107,E109,E113)</f>
        <v>140636.6</v>
      </c>
      <c r="F91" s="1903">
        <f>SUM(F95,F99,F103,F107,F109,F113)</f>
        <v>64291.4</v>
      </c>
      <c r="G91" s="1598">
        <f t="shared" si="11"/>
        <v>204928</v>
      </c>
      <c r="H91" s="1903">
        <f>SUM(H95,H99,H103,H107,H109,H113)</f>
        <v>140636.6</v>
      </c>
      <c r="I91" s="1903">
        <f>SUM(I95,I99,I103,I107,I109,I113)</f>
        <v>64291.4</v>
      </c>
      <c r="J91" s="1598">
        <f>SUM(K91:L91)</f>
        <v>3922.3</v>
      </c>
      <c r="K91" s="1903">
        <f>SUM(K95,K99,K103,K107,K109,K113)</f>
        <v>0</v>
      </c>
      <c r="L91" s="1903">
        <f>SUM(L95,L99,L103,L107,L109,L113)</f>
        <v>3922.3</v>
      </c>
      <c r="M91" s="1903">
        <f t="shared" si="15"/>
        <v>1.9</v>
      </c>
      <c r="N91" s="1903">
        <f t="shared" si="15"/>
        <v>0</v>
      </c>
      <c r="O91" s="1903">
        <f t="shared" si="15"/>
        <v>6.1</v>
      </c>
      <c r="P91" s="2043">
        <f>SUM(P107+P95+P109)</f>
        <v>0</v>
      </c>
      <c r="Q91" s="2043">
        <f>SUM(Q107+Q95+Q109)</f>
        <v>0</v>
      </c>
      <c r="R91" s="1598">
        <f t="shared" si="22"/>
        <v>0</v>
      </c>
      <c r="S91" s="1903">
        <f>SUM(S95,S99,S103,S107,S109,S113)</f>
        <v>0</v>
      </c>
      <c r="T91" s="1903">
        <f>SUM(T95,T99,T103,T107,T109,T113)</f>
        <v>0</v>
      </c>
      <c r="U91" s="1598">
        <f t="shared" si="23"/>
        <v>0</v>
      </c>
      <c r="V91" s="1903">
        <f>SUM(V95,V99,V103,V107,V109,V113)</f>
        <v>0</v>
      </c>
      <c r="W91" s="1903">
        <f>SUM(W95,W99,W103,W107,W109,W113)</f>
        <v>0</v>
      </c>
      <c r="X91" s="1423">
        <f t="shared" ref="X91:X118" si="24">D91-G91</f>
        <v>0</v>
      </c>
    </row>
    <row r="92" spans="1:24" s="484" customFormat="1" ht="23.25">
      <c r="A92" s="2041"/>
      <c r="B92" s="2001" t="s">
        <v>1699</v>
      </c>
      <c r="C92" s="1877"/>
      <c r="D92" s="1598">
        <f>SUM(E92:F92)</f>
        <v>137912.1</v>
      </c>
      <c r="E92" s="1903">
        <f>E97+E108+E110</f>
        <v>129636.3</v>
      </c>
      <c r="F92" s="1903">
        <f>F97+F108+F110</f>
        <v>8275.7999999999993</v>
      </c>
      <c r="G92" s="1598">
        <f>SUM(H92:I92)</f>
        <v>137912.1</v>
      </c>
      <c r="H92" s="1903">
        <f>H97+H108+H110</f>
        <v>129636.3</v>
      </c>
      <c r="I92" s="1903">
        <f>I97+I108+I110</f>
        <v>8275.7999999999993</v>
      </c>
      <c r="J92" s="1598">
        <f>SUM(K92:L92)</f>
        <v>0</v>
      </c>
      <c r="K92" s="1903">
        <f>K97+K108+K110</f>
        <v>0</v>
      </c>
      <c r="L92" s="1903">
        <f>L97+L108+L110</f>
        <v>0</v>
      </c>
      <c r="M92" s="1903">
        <f t="shared" si="15"/>
        <v>0</v>
      </c>
      <c r="N92" s="1903">
        <f t="shared" si="15"/>
        <v>0</v>
      </c>
      <c r="O92" s="1903">
        <f t="shared" si="15"/>
        <v>0</v>
      </c>
      <c r="P92" s="2043"/>
      <c r="Q92" s="2043"/>
      <c r="R92" s="1598"/>
      <c r="S92" s="1903"/>
      <c r="T92" s="1903"/>
      <c r="U92" s="1598"/>
      <c r="V92" s="1903"/>
      <c r="W92" s="1903"/>
      <c r="X92" s="1423">
        <f t="shared" si="24"/>
        <v>0</v>
      </c>
    </row>
    <row r="93" spans="1:24" s="484" customFormat="1" ht="23.25">
      <c r="A93" s="2041"/>
      <c r="B93" s="2001" t="s">
        <v>1770</v>
      </c>
      <c r="C93" s="1877"/>
      <c r="D93" s="1598">
        <f>SUM(E93:F93)</f>
        <v>11702.6</v>
      </c>
      <c r="E93" s="1903">
        <f>E101+E105</f>
        <v>11000.3</v>
      </c>
      <c r="F93" s="1903">
        <f>F101+F105</f>
        <v>702.3</v>
      </c>
      <c r="G93" s="1598">
        <f>SUM(H93:I93)</f>
        <v>11702.6</v>
      </c>
      <c r="H93" s="1903">
        <f>H101+H105</f>
        <v>11000.3</v>
      </c>
      <c r="I93" s="1903">
        <f>I101+I105</f>
        <v>702.3</v>
      </c>
      <c r="J93" s="1598">
        <f>SUM(K93:L93)</f>
        <v>0</v>
      </c>
      <c r="K93" s="1903">
        <f>K101+K105</f>
        <v>0</v>
      </c>
      <c r="L93" s="1903">
        <f>L101+L105</f>
        <v>0</v>
      </c>
      <c r="M93" s="1903"/>
      <c r="N93" s="1903"/>
      <c r="O93" s="1903"/>
      <c r="P93" s="2043"/>
      <c r="Q93" s="2043"/>
      <c r="R93" s="1598"/>
      <c r="S93" s="1903"/>
      <c r="T93" s="1903"/>
      <c r="U93" s="1598"/>
      <c r="V93" s="1903"/>
      <c r="W93" s="1903"/>
      <c r="X93" s="1423"/>
    </row>
    <row r="94" spans="1:24" s="484" customFormat="1" ht="23.25">
      <c r="A94" s="2041"/>
      <c r="B94" s="2001" t="s">
        <v>1700</v>
      </c>
      <c r="C94" s="1877"/>
      <c r="D94" s="1598">
        <f t="shared" si="20"/>
        <v>55313.3</v>
      </c>
      <c r="E94" s="1903">
        <f>E98+E102+E106+E112+E115</f>
        <v>0</v>
      </c>
      <c r="F94" s="1903">
        <f>F98+F102+F106+F112+F115</f>
        <v>55313.3</v>
      </c>
      <c r="G94" s="1598">
        <f>SUM(H94:I94)</f>
        <v>55313.3</v>
      </c>
      <c r="H94" s="1903">
        <f>H98+H102+H106+H112+H115</f>
        <v>0</v>
      </c>
      <c r="I94" s="1903">
        <f>I98+I102+I106+I112+I115</f>
        <v>55313.3</v>
      </c>
      <c r="J94" s="1598">
        <f>SUM(K94:L94)</f>
        <v>3922.3</v>
      </c>
      <c r="K94" s="1903">
        <f>K98+K102+K106+K112+K115</f>
        <v>0</v>
      </c>
      <c r="L94" s="1903">
        <f>L98+L102+L106+L112+L115</f>
        <v>3922.3</v>
      </c>
      <c r="M94" s="1903">
        <f t="shared" si="15"/>
        <v>7.1</v>
      </c>
      <c r="N94" s="1903">
        <f t="shared" si="15"/>
        <v>0</v>
      </c>
      <c r="O94" s="1903">
        <f t="shared" si="15"/>
        <v>7.1</v>
      </c>
      <c r="P94" s="2043"/>
      <c r="Q94" s="2043"/>
      <c r="R94" s="1598"/>
      <c r="S94" s="1903"/>
      <c r="T94" s="1903"/>
      <c r="U94" s="1598"/>
      <c r="V94" s="1903"/>
      <c r="W94" s="1903"/>
      <c r="X94" s="1423">
        <f t="shared" si="24"/>
        <v>0</v>
      </c>
    </row>
    <row r="95" spans="1:24" s="484" customFormat="1" ht="23.25">
      <c r="A95" s="2041"/>
      <c r="B95" s="2040" t="s">
        <v>433</v>
      </c>
      <c r="C95" s="1882"/>
      <c r="D95" s="1602">
        <f t="shared" si="20"/>
        <v>15739.7</v>
      </c>
      <c r="E95" s="1603">
        <f>E96</f>
        <v>9575.2000000000007</v>
      </c>
      <c r="F95" s="1603">
        <f>F96</f>
        <v>6164.5</v>
      </c>
      <c r="G95" s="1602">
        <f t="shared" si="11"/>
        <v>15739.7</v>
      </c>
      <c r="H95" s="1603">
        <f t="shared" si="18"/>
        <v>9575.2000000000007</v>
      </c>
      <c r="I95" s="1603">
        <f t="shared" si="18"/>
        <v>6164.5</v>
      </c>
      <c r="J95" s="1602">
        <f t="shared" si="10"/>
        <v>0</v>
      </c>
      <c r="K95" s="1603">
        <f>K96</f>
        <v>0</v>
      </c>
      <c r="L95" s="1603">
        <f>L96</f>
        <v>0</v>
      </c>
      <c r="M95" s="1601">
        <f t="shared" si="15"/>
        <v>0</v>
      </c>
      <c r="N95" s="1601">
        <f t="shared" si="15"/>
        <v>0</v>
      </c>
      <c r="O95" s="1601">
        <f t="shared" si="15"/>
        <v>0</v>
      </c>
      <c r="P95" s="1601">
        <f>SUM(P96)</f>
        <v>0</v>
      </c>
      <c r="Q95" s="1601">
        <f>SUM(Q96)</f>
        <v>0</v>
      </c>
      <c r="R95" s="1602">
        <f t="shared" si="22"/>
        <v>0</v>
      </c>
      <c r="S95" s="1603">
        <f>S96</f>
        <v>0</v>
      </c>
      <c r="T95" s="1603">
        <f>T96</f>
        <v>0</v>
      </c>
      <c r="U95" s="1602">
        <f t="shared" si="23"/>
        <v>0</v>
      </c>
      <c r="V95" s="1603">
        <f>V96</f>
        <v>0</v>
      </c>
      <c r="W95" s="1603">
        <f>W96</f>
        <v>0</v>
      </c>
      <c r="X95" s="1423">
        <f t="shared" si="24"/>
        <v>0</v>
      </c>
    </row>
    <row r="96" spans="1:24" s="484" customFormat="1" ht="40.5" customHeight="1">
      <c r="A96" s="2041">
        <f>A89+1</f>
        <v>44</v>
      </c>
      <c r="B96" s="1905" t="s">
        <v>1563</v>
      </c>
      <c r="C96" s="1906"/>
      <c r="D96" s="1602">
        <f t="shared" si="20"/>
        <v>15739.7</v>
      </c>
      <c r="E96" s="1864">
        <f>E97+E98</f>
        <v>9575.2000000000007</v>
      </c>
      <c r="F96" s="1864">
        <f>F97+F98</f>
        <v>6164.5</v>
      </c>
      <c r="G96" s="1602">
        <f t="shared" si="11"/>
        <v>15739.7</v>
      </c>
      <c r="H96" s="1864">
        <f t="shared" si="18"/>
        <v>9575.2000000000007</v>
      </c>
      <c r="I96" s="1864">
        <f t="shared" si="18"/>
        <v>6164.5</v>
      </c>
      <c r="J96" s="1602">
        <f t="shared" si="10"/>
        <v>0</v>
      </c>
      <c r="K96" s="1864">
        <f>K97+K98</f>
        <v>0</v>
      </c>
      <c r="L96" s="1864">
        <f>L97+L98</f>
        <v>0</v>
      </c>
      <c r="M96" s="1600">
        <f t="shared" si="15"/>
        <v>0</v>
      </c>
      <c r="N96" s="1907">
        <f t="shared" si="15"/>
        <v>0</v>
      </c>
      <c r="O96" s="1907">
        <f t="shared" si="15"/>
        <v>0</v>
      </c>
      <c r="P96" s="1593"/>
      <c r="Q96" s="1593"/>
      <c r="R96" s="1602">
        <f t="shared" si="22"/>
        <v>0</v>
      </c>
      <c r="S96" s="1864">
        <f>S97+S98</f>
        <v>0</v>
      </c>
      <c r="T96" s="1864">
        <f>T97+T98</f>
        <v>0</v>
      </c>
      <c r="U96" s="1602">
        <f t="shared" si="23"/>
        <v>0</v>
      </c>
      <c r="V96" s="1864">
        <f>V97+V98</f>
        <v>0</v>
      </c>
      <c r="W96" s="1864">
        <f>W97+W98</f>
        <v>0</v>
      </c>
      <c r="X96" s="1423">
        <f t="shared" si="24"/>
        <v>0</v>
      </c>
    </row>
    <row r="97" spans="1:24" s="484" customFormat="1" ht="23.25">
      <c r="A97" s="2041"/>
      <c r="B97" s="1619" t="s">
        <v>1620</v>
      </c>
      <c r="C97" s="1906" t="s">
        <v>1630</v>
      </c>
      <c r="D97" s="1602">
        <f t="shared" si="20"/>
        <v>10186.5</v>
      </c>
      <c r="E97" s="1864">
        <v>9575.2000000000007</v>
      </c>
      <c r="F97" s="1864">
        <v>611.29999999999995</v>
      </c>
      <c r="G97" s="1602">
        <f t="shared" si="11"/>
        <v>10186.5</v>
      </c>
      <c r="H97" s="1864">
        <f t="shared" si="18"/>
        <v>9575.2000000000007</v>
      </c>
      <c r="I97" s="1864">
        <f t="shared" si="18"/>
        <v>611.29999999999995</v>
      </c>
      <c r="J97" s="1602">
        <f t="shared" si="10"/>
        <v>0</v>
      </c>
      <c r="K97" s="1864"/>
      <c r="L97" s="1864"/>
      <c r="M97" s="1600">
        <f t="shared" si="15"/>
        <v>0</v>
      </c>
      <c r="N97" s="1907">
        <f t="shared" si="15"/>
        <v>0</v>
      </c>
      <c r="O97" s="1907">
        <f t="shared" si="15"/>
        <v>0</v>
      </c>
      <c r="P97" s="1593"/>
      <c r="Q97" s="1593"/>
      <c r="R97" s="1602">
        <f t="shared" si="22"/>
        <v>0</v>
      </c>
      <c r="S97" s="1614">
        <v>0</v>
      </c>
      <c r="T97" s="1614">
        <v>0</v>
      </c>
      <c r="U97" s="1602">
        <f t="shared" si="23"/>
        <v>0</v>
      </c>
      <c r="V97" s="1614">
        <v>0</v>
      </c>
      <c r="W97" s="1614">
        <v>0</v>
      </c>
      <c r="X97" s="1423">
        <f t="shared" si="24"/>
        <v>0</v>
      </c>
    </row>
    <row r="98" spans="1:24" s="484" customFormat="1" ht="23.25">
      <c r="A98" s="2041"/>
      <c r="B98" s="1619" t="s">
        <v>1621</v>
      </c>
      <c r="C98" s="1906" t="s">
        <v>1631</v>
      </c>
      <c r="D98" s="1602">
        <f t="shared" si="20"/>
        <v>5553.2</v>
      </c>
      <c r="E98" s="1864"/>
      <c r="F98" s="1864">
        <v>5553.2</v>
      </c>
      <c r="G98" s="1602">
        <f t="shared" si="11"/>
        <v>5553.2</v>
      </c>
      <c r="H98" s="1864">
        <f t="shared" si="18"/>
        <v>0</v>
      </c>
      <c r="I98" s="1864">
        <f t="shared" si="18"/>
        <v>5553.2</v>
      </c>
      <c r="J98" s="1602">
        <f t="shared" si="10"/>
        <v>0</v>
      </c>
      <c r="K98" s="1864"/>
      <c r="L98" s="1864"/>
      <c r="M98" s="1600">
        <f t="shared" si="15"/>
        <v>0</v>
      </c>
      <c r="N98" s="1907">
        <f t="shared" si="15"/>
        <v>0</v>
      </c>
      <c r="O98" s="1907">
        <f t="shared" si="15"/>
        <v>0</v>
      </c>
      <c r="P98" s="1593"/>
      <c r="Q98" s="1593"/>
      <c r="R98" s="1602">
        <f t="shared" si="22"/>
        <v>0</v>
      </c>
      <c r="S98" s="1614">
        <v>0</v>
      </c>
      <c r="T98" s="1614">
        <v>0</v>
      </c>
      <c r="U98" s="1602">
        <f t="shared" si="23"/>
        <v>0</v>
      </c>
      <c r="V98" s="1614">
        <v>0</v>
      </c>
      <c r="W98" s="1614">
        <v>0</v>
      </c>
      <c r="X98" s="1423">
        <f t="shared" si="24"/>
        <v>0</v>
      </c>
    </row>
    <row r="99" spans="1:24" s="484" customFormat="1" ht="23.25">
      <c r="A99" s="2041"/>
      <c r="B99" s="2040" t="s">
        <v>583</v>
      </c>
      <c r="C99" s="1882"/>
      <c r="D99" s="1602">
        <f t="shared" si="20"/>
        <v>17870.099999999999</v>
      </c>
      <c r="E99" s="1603">
        <f t="shared" ref="E99:W99" si="25">E100</f>
        <v>8460</v>
      </c>
      <c r="F99" s="1603">
        <f t="shared" si="25"/>
        <v>9410.1</v>
      </c>
      <c r="G99" s="1602">
        <f t="shared" si="11"/>
        <v>17870.099999999999</v>
      </c>
      <c r="H99" s="1603">
        <f t="shared" si="18"/>
        <v>8460</v>
      </c>
      <c r="I99" s="1603">
        <f t="shared" si="18"/>
        <v>9410.1</v>
      </c>
      <c r="J99" s="1602">
        <f t="shared" si="10"/>
        <v>3718.3</v>
      </c>
      <c r="K99" s="1603">
        <f t="shared" si="25"/>
        <v>0</v>
      </c>
      <c r="L99" s="1603">
        <f t="shared" si="25"/>
        <v>3718.3</v>
      </c>
      <c r="M99" s="1601">
        <f t="shared" si="15"/>
        <v>20.8</v>
      </c>
      <c r="N99" s="1601">
        <f t="shared" si="15"/>
        <v>0</v>
      </c>
      <c r="O99" s="1601">
        <f t="shared" si="15"/>
        <v>39.5</v>
      </c>
      <c r="P99" s="1601">
        <f t="shared" si="25"/>
        <v>0</v>
      </c>
      <c r="Q99" s="1601">
        <f t="shared" si="25"/>
        <v>0</v>
      </c>
      <c r="R99" s="1601">
        <f t="shared" si="25"/>
        <v>0</v>
      </c>
      <c r="S99" s="1601">
        <f t="shared" si="25"/>
        <v>0</v>
      </c>
      <c r="T99" s="1601">
        <f t="shared" si="25"/>
        <v>0</v>
      </c>
      <c r="U99" s="1601">
        <f t="shared" si="25"/>
        <v>0</v>
      </c>
      <c r="V99" s="1601">
        <f t="shared" si="25"/>
        <v>0</v>
      </c>
      <c r="W99" s="1601">
        <f t="shared" si="25"/>
        <v>0</v>
      </c>
      <c r="X99" s="1423">
        <f t="shared" si="24"/>
        <v>0</v>
      </c>
    </row>
    <row r="100" spans="1:24" s="484" customFormat="1" ht="27.75" customHeight="1">
      <c r="A100" s="2041">
        <f>A96+1</f>
        <v>45</v>
      </c>
      <c r="B100" s="1889" t="s">
        <v>1629</v>
      </c>
      <c r="C100" s="1882"/>
      <c r="D100" s="1602">
        <f t="shared" si="20"/>
        <v>17870.099999999999</v>
      </c>
      <c r="E100" s="1616">
        <f>E102+E101</f>
        <v>8460</v>
      </c>
      <c r="F100" s="1616">
        <f>F102+F101</f>
        <v>9410.1</v>
      </c>
      <c r="G100" s="1602">
        <f t="shared" si="11"/>
        <v>17870.099999999999</v>
      </c>
      <c r="H100" s="1616">
        <f t="shared" si="18"/>
        <v>8460</v>
      </c>
      <c r="I100" s="1616">
        <f t="shared" si="18"/>
        <v>9410.1</v>
      </c>
      <c r="J100" s="1602">
        <f t="shared" si="10"/>
        <v>3718.3</v>
      </c>
      <c r="K100" s="1616">
        <f>K102+K101</f>
        <v>0</v>
      </c>
      <c r="L100" s="1616">
        <f>L102+L101</f>
        <v>3718.3</v>
      </c>
      <c r="M100" s="1604">
        <f t="shared" si="15"/>
        <v>20.8</v>
      </c>
      <c r="N100" s="1881">
        <f t="shared" si="15"/>
        <v>0</v>
      </c>
      <c r="O100" s="1881">
        <f t="shared" si="15"/>
        <v>39.5</v>
      </c>
      <c r="P100" s="1593"/>
      <c r="Q100" s="1593"/>
      <c r="R100" s="1602">
        <f t="shared" ref="R100:R179" si="26">SUM(S100:T100)</f>
        <v>0</v>
      </c>
      <c r="S100" s="1616">
        <f>S102</f>
        <v>0</v>
      </c>
      <c r="T100" s="1616">
        <f>T102</f>
        <v>0</v>
      </c>
      <c r="U100" s="1602">
        <f t="shared" ref="U100:U179" si="27">SUM(V100:W100)</f>
        <v>0</v>
      </c>
      <c r="V100" s="1616">
        <f>V102</f>
        <v>0</v>
      </c>
      <c r="W100" s="1616">
        <f>W102</f>
        <v>0</v>
      </c>
      <c r="X100" s="1423">
        <f t="shared" si="24"/>
        <v>0</v>
      </c>
    </row>
    <row r="101" spans="1:24" s="484" customFormat="1" ht="27" customHeight="1">
      <c r="A101" s="2041"/>
      <c r="B101" s="1619" t="s">
        <v>1770</v>
      </c>
      <c r="C101" s="1882"/>
      <c r="D101" s="1602">
        <f>SUM(E101:F101)</f>
        <v>9000.1</v>
      </c>
      <c r="E101" s="1864">
        <f>4096.4+4363.6</f>
        <v>8460</v>
      </c>
      <c r="F101" s="1864">
        <f>261.5+278.6</f>
        <v>540.1</v>
      </c>
      <c r="G101" s="1602">
        <f>SUM(H101:I101)</f>
        <v>9000.1</v>
      </c>
      <c r="H101" s="1864">
        <f t="shared" si="18"/>
        <v>8460</v>
      </c>
      <c r="I101" s="1864">
        <f t="shared" si="18"/>
        <v>540.1</v>
      </c>
      <c r="J101" s="1602">
        <f>SUM(K101:L101)</f>
        <v>0</v>
      </c>
      <c r="K101" s="1864"/>
      <c r="L101" s="1864"/>
      <c r="M101" s="1600"/>
      <c r="N101" s="1907"/>
      <c r="O101" s="1907">
        <f t="shared" si="15"/>
        <v>0</v>
      </c>
      <c r="P101" s="1593"/>
      <c r="Q101" s="1593"/>
      <c r="R101" s="1602"/>
      <c r="S101" s="1616"/>
      <c r="T101" s="1616"/>
      <c r="U101" s="1602"/>
      <c r="V101" s="1616"/>
      <c r="W101" s="1616"/>
      <c r="X101" s="1423"/>
    </row>
    <row r="102" spans="1:24" s="484" customFormat="1" ht="23.25">
      <c r="A102" s="2041"/>
      <c r="B102" s="1619" t="s">
        <v>1621</v>
      </c>
      <c r="C102" s="1906"/>
      <c r="D102" s="1602">
        <f t="shared" si="20"/>
        <v>8870</v>
      </c>
      <c r="E102" s="1864"/>
      <c r="F102" s="1864">
        <v>8870</v>
      </c>
      <c r="G102" s="1602">
        <f t="shared" si="11"/>
        <v>8870</v>
      </c>
      <c r="H102" s="1864">
        <f t="shared" si="18"/>
        <v>0</v>
      </c>
      <c r="I102" s="1864">
        <f t="shared" si="18"/>
        <v>8870</v>
      </c>
      <c r="J102" s="1602">
        <f t="shared" si="10"/>
        <v>3718.3</v>
      </c>
      <c r="K102" s="1864"/>
      <c r="L102" s="1864">
        <v>3718.3</v>
      </c>
      <c r="M102" s="1600">
        <f t="shared" si="15"/>
        <v>41.9</v>
      </c>
      <c r="N102" s="1907">
        <f t="shared" si="15"/>
        <v>0</v>
      </c>
      <c r="O102" s="1907">
        <f t="shared" si="15"/>
        <v>41.9</v>
      </c>
      <c r="P102" s="1593"/>
      <c r="Q102" s="1593"/>
      <c r="R102" s="1602">
        <f t="shared" si="26"/>
        <v>0</v>
      </c>
      <c r="S102" s="1865">
        <v>0</v>
      </c>
      <c r="T102" s="1865">
        <v>0</v>
      </c>
      <c r="U102" s="1602">
        <f t="shared" si="27"/>
        <v>0</v>
      </c>
      <c r="V102" s="1865">
        <v>0</v>
      </c>
      <c r="W102" s="1865">
        <v>0</v>
      </c>
      <c r="X102" s="1423">
        <f t="shared" si="24"/>
        <v>0</v>
      </c>
    </row>
    <row r="103" spans="1:24" s="484" customFormat="1" ht="25.5" customHeight="1">
      <c r="A103" s="2041"/>
      <c r="B103" s="2040" t="s">
        <v>1624</v>
      </c>
      <c r="C103" s="1882"/>
      <c r="D103" s="1602">
        <f t="shared" si="20"/>
        <v>5448</v>
      </c>
      <c r="E103" s="1603">
        <f>E104</f>
        <v>2540.3000000000002</v>
      </c>
      <c r="F103" s="1603">
        <f>F104</f>
        <v>2907.7</v>
      </c>
      <c r="G103" s="1602">
        <f t="shared" si="11"/>
        <v>5448</v>
      </c>
      <c r="H103" s="1603">
        <f t="shared" si="18"/>
        <v>2540.3000000000002</v>
      </c>
      <c r="I103" s="1603">
        <f t="shared" si="18"/>
        <v>2907.7</v>
      </c>
      <c r="J103" s="1602">
        <f t="shared" si="10"/>
        <v>204</v>
      </c>
      <c r="K103" s="1603">
        <f>K104</f>
        <v>0</v>
      </c>
      <c r="L103" s="1603">
        <f>L104</f>
        <v>204</v>
      </c>
      <c r="M103" s="1601">
        <f t="shared" si="15"/>
        <v>3.7</v>
      </c>
      <c r="N103" s="1601">
        <f t="shared" si="15"/>
        <v>0</v>
      </c>
      <c r="O103" s="1601">
        <f t="shared" si="15"/>
        <v>7</v>
      </c>
      <c r="P103" s="1601">
        <f>P104</f>
        <v>0</v>
      </c>
      <c r="Q103" s="1601">
        <f>Q104</f>
        <v>0</v>
      </c>
      <c r="R103" s="1602">
        <f t="shared" si="26"/>
        <v>0</v>
      </c>
      <c r="S103" s="1603">
        <f>S104</f>
        <v>0</v>
      </c>
      <c r="T103" s="1603">
        <f>T104</f>
        <v>0</v>
      </c>
      <c r="U103" s="1602">
        <f t="shared" si="27"/>
        <v>0</v>
      </c>
      <c r="V103" s="1603">
        <f>V104</f>
        <v>0</v>
      </c>
      <c r="W103" s="1603">
        <f>W104</f>
        <v>0</v>
      </c>
      <c r="X103" s="1423">
        <f t="shared" si="24"/>
        <v>0</v>
      </c>
    </row>
    <row r="104" spans="1:24" s="484" customFormat="1" ht="45.75" customHeight="1">
      <c r="A104" s="2041">
        <f>A100+1</f>
        <v>46</v>
      </c>
      <c r="B104" s="1889" t="s">
        <v>1625</v>
      </c>
      <c r="C104" s="1882"/>
      <c r="D104" s="1602">
        <f t="shared" si="20"/>
        <v>5448</v>
      </c>
      <c r="E104" s="1616">
        <f>E105+E106</f>
        <v>2540.3000000000002</v>
      </c>
      <c r="F104" s="1616">
        <f>F105+F106</f>
        <v>2907.7</v>
      </c>
      <c r="G104" s="1602">
        <f t="shared" si="11"/>
        <v>5448</v>
      </c>
      <c r="H104" s="1616">
        <f t="shared" si="18"/>
        <v>2540.3000000000002</v>
      </c>
      <c r="I104" s="1616">
        <f t="shared" si="18"/>
        <v>2907.7</v>
      </c>
      <c r="J104" s="1602">
        <f t="shared" si="10"/>
        <v>204</v>
      </c>
      <c r="K104" s="1616">
        <f>K105+K106</f>
        <v>0</v>
      </c>
      <c r="L104" s="1616">
        <f>L105+L106</f>
        <v>204</v>
      </c>
      <c r="M104" s="1604">
        <f t="shared" si="15"/>
        <v>3.7</v>
      </c>
      <c r="N104" s="1881">
        <f t="shared" si="15"/>
        <v>0</v>
      </c>
      <c r="O104" s="1881">
        <f t="shared" si="15"/>
        <v>7</v>
      </c>
      <c r="P104" s="1593"/>
      <c r="Q104" s="1593"/>
      <c r="R104" s="1602">
        <f t="shared" si="26"/>
        <v>0</v>
      </c>
      <c r="S104" s="1616">
        <f>S106</f>
        <v>0</v>
      </c>
      <c r="T104" s="1616">
        <f>T106</f>
        <v>0</v>
      </c>
      <c r="U104" s="1602">
        <f t="shared" si="27"/>
        <v>0</v>
      </c>
      <c r="V104" s="1616">
        <f>V106</f>
        <v>0</v>
      </c>
      <c r="W104" s="1616">
        <f>W106</f>
        <v>0</v>
      </c>
      <c r="X104" s="1423">
        <f t="shared" si="24"/>
        <v>0</v>
      </c>
    </row>
    <row r="105" spans="1:24" s="484" customFormat="1" ht="28.5" customHeight="1">
      <c r="A105" s="2041"/>
      <c r="B105" s="1619" t="s">
        <v>1770</v>
      </c>
      <c r="C105" s="1882"/>
      <c r="D105" s="1602">
        <f>SUM(E105:F105)</f>
        <v>2702.5</v>
      </c>
      <c r="E105" s="1864">
        <v>2540.3000000000002</v>
      </c>
      <c r="F105" s="1864">
        <v>162.19999999999999</v>
      </c>
      <c r="G105" s="1602">
        <f>SUM(H105:I105)</f>
        <v>2702.5</v>
      </c>
      <c r="H105" s="1864">
        <f t="shared" si="18"/>
        <v>2540.3000000000002</v>
      </c>
      <c r="I105" s="1864">
        <f t="shared" si="18"/>
        <v>162.19999999999999</v>
      </c>
      <c r="J105" s="1602">
        <f>SUM(K105:L105)</f>
        <v>0</v>
      </c>
      <c r="K105" s="1864"/>
      <c r="L105" s="1864"/>
      <c r="M105" s="1600"/>
      <c r="N105" s="1907"/>
      <c r="O105" s="1907"/>
      <c r="P105" s="1593"/>
      <c r="Q105" s="1593"/>
      <c r="R105" s="1602"/>
      <c r="S105" s="1616"/>
      <c r="T105" s="1616"/>
      <c r="U105" s="1602"/>
      <c r="V105" s="1616"/>
      <c r="W105" s="1616"/>
      <c r="X105" s="1423"/>
    </row>
    <row r="106" spans="1:24" s="484" customFormat="1" ht="23.25">
      <c r="A106" s="2041"/>
      <c r="B106" s="1619" t="s">
        <v>1621</v>
      </c>
      <c r="C106" s="1906"/>
      <c r="D106" s="1602">
        <f t="shared" si="20"/>
        <v>2745.5</v>
      </c>
      <c r="E106" s="1864"/>
      <c r="F106" s="1864">
        <v>2745.5</v>
      </c>
      <c r="G106" s="1602">
        <f t="shared" si="11"/>
        <v>2745.5</v>
      </c>
      <c r="H106" s="1864">
        <f t="shared" si="18"/>
        <v>0</v>
      </c>
      <c r="I106" s="1864">
        <f t="shared" si="18"/>
        <v>2745.5</v>
      </c>
      <c r="J106" s="1602">
        <f t="shared" si="10"/>
        <v>204</v>
      </c>
      <c r="K106" s="1864"/>
      <c r="L106" s="1864">
        <v>204</v>
      </c>
      <c r="M106" s="1600">
        <f t="shared" si="15"/>
        <v>7.4</v>
      </c>
      <c r="N106" s="1907">
        <f t="shared" si="15"/>
        <v>0</v>
      </c>
      <c r="O106" s="1907">
        <f t="shared" si="15"/>
        <v>7.4</v>
      </c>
      <c r="P106" s="1593"/>
      <c r="Q106" s="1593"/>
      <c r="R106" s="1602">
        <f t="shared" si="26"/>
        <v>0</v>
      </c>
      <c r="S106" s="1614">
        <v>0</v>
      </c>
      <c r="T106" s="1614">
        <v>0</v>
      </c>
      <c r="U106" s="1602">
        <f t="shared" si="27"/>
        <v>0</v>
      </c>
      <c r="V106" s="1614">
        <v>0</v>
      </c>
      <c r="W106" s="1614">
        <v>0</v>
      </c>
      <c r="X106" s="1423">
        <f t="shared" si="24"/>
        <v>0</v>
      </c>
    </row>
    <row r="107" spans="1:24" s="484" customFormat="1" ht="19.5" customHeight="1">
      <c r="A107" s="2041"/>
      <c r="B107" s="2040" t="s">
        <v>1401</v>
      </c>
      <c r="C107" s="1882"/>
      <c r="D107" s="1602">
        <f t="shared" si="20"/>
        <v>87760</v>
      </c>
      <c r="E107" s="1603">
        <f>E108</f>
        <v>82493.5</v>
      </c>
      <c r="F107" s="1603">
        <f>F108</f>
        <v>5266.5</v>
      </c>
      <c r="G107" s="1602">
        <f t="shared" si="11"/>
        <v>87760</v>
      </c>
      <c r="H107" s="1603">
        <f t="shared" si="18"/>
        <v>82493.5</v>
      </c>
      <c r="I107" s="1603">
        <f t="shared" si="18"/>
        <v>5266.5</v>
      </c>
      <c r="J107" s="1602">
        <f t="shared" si="10"/>
        <v>0</v>
      </c>
      <c r="K107" s="1603">
        <f>K108</f>
        <v>0</v>
      </c>
      <c r="L107" s="1603">
        <f>L108</f>
        <v>0</v>
      </c>
      <c r="M107" s="1601">
        <f t="shared" si="15"/>
        <v>0</v>
      </c>
      <c r="N107" s="1601">
        <f t="shared" si="15"/>
        <v>0</v>
      </c>
      <c r="O107" s="1601">
        <f t="shared" si="15"/>
        <v>0</v>
      </c>
      <c r="P107" s="1601">
        <f>P108</f>
        <v>0</v>
      </c>
      <c r="Q107" s="1601">
        <f>Q108</f>
        <v>0</v>
      </c>
      <c r="R107" s="1602">
        <f t="shared" si="26"/>
        <v>0</v>
      </c>
      <c r="S107" s="1603">
        <f>S108</f>
        <v>0</v>
      </c>
      <c r="T107" s="1603">
        <f>T108</f>
        <v>0</v>
      </c>
      <c r="U107" s="1602">
        <f t="shared" si="27"/>
        <v>0</v>
      </c>
      <c r="V107" s="1603">
        <f>V108</f>
        <v>0</v>
      </c>
      <c r="W107" s="1603">
        <f>W108</f>
        <v>0</v>
      </c>
      <c r="X107" s="1423">
        <f t="shared" si="24"/>
        <v>0</v>
      </c>
    </row>
    <row r="108" spans="1:24" s="484" customFormat="1" ht="40.5" customHeight="1">
      <c r="A108" s="2041">
        <f>A104+1</f>
        <v>47</v>
      </c>
      <c r="B108" s="1889" t="s">
        <v>681</v>
      </c>
      <c r="C108" s="1882"/>
      <c r="D108" s="1602">
        <f t="shared" si="20"/>
        <v>87760</v>
      </c>
      <c r="E108" s="1616">
        <v>82493.5</v>
      </c>
      <c r="F108" s="1616">
        <v>5266.5</v>
      </c>
      <c r="G108" s="1602">
        <f t="shared" si="11"/>
        <v>87760</v>
      </c>
      <c r="H108" s="1616">
        <f t="shared" si="18"/>
        <v>82493.5</v>
      </c>
      <c r="I108" s="1616">
        <f t="shared" si="18"/>
        <v>5266.5</v>
      </c>
      <c r="J108" s="1602">
        <f t="shared" si="10"/>
        <v>0</v>
      </c>
      <c r="K108" s="1616"/>
      <c r="L108" s="1616"/>
      <c r="M108" s="1604">
        <f t="shared" si="15"/>
        <v>0</v>
      </c>
      <c r="N108" s="1881">
        <f t="shared" si="15"/>
        <v>0</v>
      </c>
      <c r="O108" s="1881">
        <f t="shared" si="15"/>
        <v>0</v>
      </c>
      <c r="P108" s="1593"/>
      <c r="Q108" s="1593"/>
      <c r="R108" s="1602">
        <f t="shared" si="26"/>
        <v>0</v>
      </c>
      <c r="S108" s="1614">
        <v>0</v>
      </c>
      <c r="T108" s="1614">
        <v>0</v>
      </c>
      <c r="U108" s="1602">
        <f t="shared" si="27"/>
        <v>0</v>
      </c>
      <c r="V108" s="1614">
        <v>0</v>
      </c>
      <c r="W108" s="1614">
        <v>0</v>
      </c>
      <c r="X108" s="1423">
        <f t="shared" si="24"/>
        <v>0</v>
      </c>
    </row>
    <row r="109" spans="1:24" s="484" customFormat="1" ht="27" customHeight="1">
      <c r="A109" s="2041"/>
      <c r="B109" s="2040" t="s">
        <v>1554</v>
      </c>
      <c r="C109" s="1882"/>
      <c r="D109" s="1602">
        <f t="shared" si="20"/>
        <v>75664.2</v>
      </c>
      <c r="E109" s="1603">
        <f>SUM(E110:E111)</f>
        <v>37567.599999999999</v>
      </c>
      <c r="F109" s="1603">
        <f>SUM(F110:F111)</f>
        <v>38096.6</v>
      </c>
      <c r="G109" s="1602">
        <f t="shared" si="11"/>
        <v>75664.2</v>
      </c>
      <c r="H109" s="1603">
        <f t="shared" si="18"/>
        <v>37567.599999999999</v>
      </c>
      <c r="I109" s="1603">
        <f t="shared" si="18"/>
        <v>38096.6</v>
      </c>
      <c r="J109" s="1602">
        <f t="shared" si="10"/>
        <v>0</v>
      </c>
      <c r="K109" s="1603">
        <f>SUM(K110:K111)</f>
        <v>0</v>
      </c>
      <c r="L109" s="1603">
        <f>SUM(L110:L111)</f>
        <v>0</v>
      </c>
      <c r="M109" s="1601">
        <f t="shared" si="15"/>
        <v>0</v>
      </c>
      <c r="N109" s="1601">
        <f t="shared" si="15"/>
        <v>0</v>
      </c>
      <c r="O109" s="1601">
        <f t="shared" si="15"/>
        <v>0</v>
      </c>
      <c r="P109" s="1593"/>
      <c r="Q109" s="1593"/>
      <c r="R109" s="1602">
        <f t="shared" si="26"/>
        <v>0</v>
      </c>
      <c r="S109" s="1603">
        <f>SUM(S110:S111)</f>
        <v>0</v>
      </c>
      <c r="T109" s="1603">
        <f>SUM(T110:T111)</f>
        <v>0</v>
      </c>
      <c r="U109" s="1602">
        <f t="shared" si="27"/>
        <v>0</v>
      </c>
      <c r="V109" s="1603">
        <f>SUM(V110:V111)</f>
        <v>0</v>
      </c>
      <c r="W109" s="1603">
        <f>SUM(W110:W111)</f>
        <v>0</v>
      </c>
      <c r="X109" s="1423">
        <f t="shared" si="24"/>
        <v>0</v>
      </c>
    </row>
    <row r="110" spans="1:24" s="484" customFormat="1" ht="42.75" customHeight="1">
      <c r="A110" s="2041">
        <f>A108+1</f>
        <v>48</v>
      </c>
      <c r="B110" s="1889" t="s">
        <v>1623</v>
      </c>
      <c r="C110" s="1882"/>
      <c r="D110" s="1602">
        <f t="shared" si="20"/>
        <v>39965.599999999999</v>
      </c>
      <c r="E110" s="1616">
        <v>37567.599999999999</v>
      </c>
      <c r="F110" s="1616">
        <v>2398</v>
      </c>
      <c r="G110" s="1602">
        <f t="shared" si="11"/>
        <v>39965.599999999999</v>
      </c>
      <c r="H110" s="1616">
        <f t="shared" si="18"/>
        <v>37567.599999999999</v>
      </c>
      <c r="I110" s="1616">
        <f t="shared" si="18"/>
        <v>2398</v>
      </c>
      <c r="J110" s="1602">
        <f t="shared" ref="J110:J164" si="28">SUM(K110:L110)</f>
        <v>0</v>
      </c>
      <c r="K110" s="1616"/>
      <c r="L110" s="1616"/>
      <c r="M110" s="1604">
        <f t="shared" si="15"/>
        <v>0</v>
      </c>
      <c r="N110" s="1881">
        <f t="shared" si="15"/>
        <v>0</v>
      </c>
      <c r="O110" s="1881">
        <f t="shared" si="15"/>
        <v>0</v>
      </c>
      <c r="P110" s="1593"/>
      <c r="Q110" s="1593"/>
      <c r="R110" s="1602">
        <f t="shared" si="26"/>
        <v>0</v>
      </c>
      <c r="S110" s="1614">
        <v>0</v>
      </c>
      <c r="T110" s="1614">
        <v>0</v>
      </c>
      <c r="U110" s="1602">
        <f t="shared" si="27"/>
        <v>0</v>
      </c>
      <c r="V110" s="1614">
        <v>0</v>
      </c>
      <c r="W110" s="1614">
        <v>0</v>
      </c>
      <c r="X110" s="1423">
        <f t="shared" si="24"/>
        <v>0</v>
      </c>
    </row>
    <row r="111" spans="1:24" s="484" customFormat="1" ht="44.25" customHeight="1">
      <c r="A111" s="2041">
        <f>A110+1</f>
        <v>49</v>
      </c>
      <c r="B111" s="1889" t="s">
        <v>1660</v>
      </c>
      <c r="C111" s="1882"/>
      <c r="D111" s="1616">
        <f t="shared" si="20"/>
        <v>35698.6</v>
      </c>
      <c r="E111" s="1616">
        <f t="shared" ref="E111:L111" si="29">E112</f>
        <v>0</v>
      </c>
      <c r="F111" s="1616">
        <f t="shared" si="29"/>
        <v>35698.6</v>
      </c>
      <c r="G111" s="1616">
        <f t="shared" ref="G111:G170" si="30">SUM(H111:I111)</f>
        <v>35698.6</v>
      </c>
      <c r="H111" s="1616">
        <f t="shared" si="18"/>
        <v>0</v>
      </c>
      <c r="I111" s="1616">
        <f t="shared" si="18"/>
        <v>35698.6</v>
      </c>
      <c r="J111" s="1616">
        <f t="shared" si="28"/>
        <v>0</v>
      </c>
      <c r="K111" s="1616">
        <f t="shared" si="29"/>
        <v>0</v>
      </c>
      <c r="L111" s="1616">
        <f t="shared" si="29"/>
        <v>0</v>
      </c>
      <c r="M111" s="1604">
        <f t="shared" si="15"/>
        <v>0</v>
      </c>
      <c r="N111" s="1881">
        <f t="shared" si="15"/>
        <v>0</v>
      </c>
      <c r="O111" s="1881">
        <f t="shared" si="15"/>
        <v>0</v>
      </c>
      <c r="P111" s="1593"/>
      <c r="Q111" s="1593"/>
      <c r="R111" s="1616">
        <f t="shared" si="26"/>
        <v>0</v>
      </c>
      <c r="S111" s="1616">
        <f>S112</f>
        <v>0</v>
      </c>
      <c r="T111" s="1616">
        <f>T112</f>
        <v>0</v>
      </c>
      <c r="U111" s="1616">
        <f t="shared" si="27"/>
        <v>0</v>
      </c>
      <c r="V111" s="1616">
        <f>V112</f>
        <v>0</v>
      </c>
      <c r="W111" s="1616">
        <f>W112</f>
        <v>0</v>
      </c>
      <c r="X111" s="1423">
        <f t="shared" si="24"/>
        <v>0</v>
      </c>
    </row>
    <row r="112" spans="1:24" s="484" customFormat="1" ht="23.25">
      <c r="A112" s="2041"/>
      <c r="B112" s="1619" t="s">
        <v>1621</v>
      </c>
      <c r="C112" s="1906"/>
      <c r="D112" s="1602">
        <f t="shared" si="20"/>
        <v>35698.6</v>
      </c>
      <c r="E112" s="1864"/>
      <c r="F112" s="1864">
        <v>35698.6</v>
      </c>
      <c r="G112" s="1602">
        <f t="shared" si="30"/>
        <v>35698.6</v>
      </c>
      <c r="H112" s="1864">
        <f t="shared" si="18"/>
        <v>0</v>
      </c>
      <c r="I112" s="1864">
        <f t="shared" si="18"/>
        <v>35698.6</v>
      </c>
      <c r="J112" s="1602">
        <f t="shared" si="28"/>
        <v>0</v>
      </c>
      <c r="K112" s="1864"/>
      <c r="L112" s="1864"/>
      <c r="M112" s="1600">
        <f t="shared" si="15"/>
        <v>0</v>
      </c>
      <c r="N112" s="1907">
        <f t="shared" si="15"/>
        <v>0</v>
      </c>
      <c r="O112" s="1907">
        <f t="shared" si="15"/>
        <v>0</v>
      </c>
      <c r="P112" s="1593"/>
      <c r="Q112" s="1593"/>
      <c r="R112" s="1609">
        <f t="shared" si="26"/>
        <v>0</v>
      </c>
      <c r="S112" s="1614">
        <v>0</v>
      </c>
      <c r="T112" s="1614">
        <v>0</v>
      </c>
      <c r="U112" s="1602">
        <f t="shared" si="27"/>
        <v>0</v>
      </c>
      <c r="V112" s="1614">
        <v>0</v>
      </c>
      <c r="W112" s="1614">
        <v>0</v>
      </c>
      <c r="X112" s="1423">
        <f t="shared" si="24"/>
        <v>0</v>
      </c>
    </row>
    <row r="113" spans="1:24" s="484" customFormat="1" ht="23.25">
      <c r="A113" s="2041"/>
      <c r="B113" s="2040" t="s">
        <v>1626</v>
      </c>
      <c r="C113" s="1882"/>
      <c r="D113" s="1602">
        <f t="shared" si="20"/>
        <v>2446</v>
      </c>
      <c r="E113" s="1603">
        <f>E114</f>
        <v>0</v>
      </c>
      <c r="F113" s="1603">
        <f>F114</f>
        <v>2446</v>
      </c>
      <c r="G113" s="1602">
        <f t="shared" si="30"/>
        <v>2446</v>
      </c>
      <c r="H113" s="1603">
        <f t="shared" si="18"/>
        <v>0</v>
      </c>
      <c r="I113" s="1603">
        <f t="shared" si="18"/>
        <v>2446</v>
      </c>
      <c r="J113" s="1602">
        <f t="shared" si="28"/>
        <v>0</v>
      </c>
      <c r="K113" s="1603">
        <f>K114</f>
        <v>0</v>
      </c>
      <c r="L113" s="1603">
        <f>L114</f>
        <v>0</v>
      </c>
      <c r="M113" s="1601">
        <f t="shared" si="15"/>
        <v>0</v>
      </c>
      <c r="N113" s="1601">
        <f t="shared" si="15"/>
        <v>0</v>
      </c>
      <c r="O113" s="1601">
        <f t="shared" si="15"/>
        <v>0</v>
      </c>
      <c r="P113" s="1593"/>
      <c r="Q113" s="1593"/>
      <c r="R113" s="1602">
        <f t="shared" si="26"/>
        <v>0</v>
      </c>
      <c r="S113" s="1603">
        <f>S114</f>
        <v>0</v>
      </c>
      <c r="T113" s="1603">
        <f>T114</f>
        <v>0</v>
      </c>
      <c r="U113" s="1602">
        <f t="shared" si="27"/>
        <v>0</v>
      </c>
      <c r="V113" s="1603">
        <f>V114</f>
        <v>0</v>
      </c>
      <c r="W113" s="1603">
        <f>W114</f>
        <v>0</v>
      </c>
      <c r="X113" s="1423">
        <f t="shared" si="24"/>
        <v>0</v>
      </c>
    </row>
    <row r="114" spans="1:24" s="484" customFormat="1" ht="37.5">
      <c r="A114" s="2041">
        <f>A111+1</f>
        <v>50</v>
      </c>
      <c r="B114" s="1889" t="s">
        <v>1627</v>
      </c>
      <c r="C114" s="1882"/>
      <c r="D114" s="1600">
        <f t="shared" si="20"/>
        <v>2446</v>
      </c>
      <c r="E114" s="1608">
        <f>E115</f>
        <v>0</v>
      </c>
      <c r="F114" s="1608">
        <f>F115</f>
        <v>2446</v>
      </c>
      <c r="G114" s="1600">
        <f t="shared" si="30"/>
        <v>2446</v>
      </c>
      <c r="H114" s="1608">
        <f t="shared" si="18"/>
        <v>0</v>
      </c>
      <c r="I114" s="1608">
        <f t="shared" si="18"/>
        <v>2446</v>
      </c>
      <c r="J114" s="1600">
        <f t="shared" si="28"/>
        <v>0</v>
      </c>
      <c r="K114" s="1608">
        <f>K115</f>
        <v>0</v>
      </c>
      <c r="L114" s="1608">
        <f>L115</f>
        <v>0</v>
      </c>
      <c r="M114" s="1604">
        <f t="shared" si="15"/>
        <v>0</v>
      </c>
      <c r="N114" s="1881">
        <f t="shared" si="15"/>
        <v>0</v>
      </c>
      <c r="O114" s="1881">
        <f t="shared" si="15"/>
        <v>0</v>
      </c>
      <c r="P114" s="1593"/>
      <c r="Q114" s="1593"/>
      <c r="R114" s="1600">
        <f t="shared" si="26"/>
        <v>0</v>
      </c>
      <c r="S114" s="1608">
        <f>S115</f>
        <v>0</v>
      </c>
      <c r="T114" s="1608">
        <f>T115</f>
        <v>0</v>
      </c>
      <c r="U114" s="1600">
        <f t="shared" si="27"/>
        <v>0</v>
      </c>
      <c r="V114" s="1608">
        <f>V115</f>
        <v>0</v>
      </c>
      <c r="W114" s="1608">
        <f>W115</f>
        <v>0</v>
      </c>
      <c r="X114" s="1423">
        <f t="shared" si="24"/>
        <v>0</v>
      </c>
    </row>
    <row r="115" spans="1:24" s="484" customFormat="1" ht="23.25">
      <c r="A115" s="2041"/>
      <c r="B115" s="1619" t="s">
        <v>1621</v>
      </c>
      <c r="C115" s="1906"/>
      <c r="D115" s="1600">
        <f t="shared" si="20"/>
        <v>2446</v>
      </c>
      <c r="E115" s="1865"/>
      <c r="F115" s="1865">
        <v>2446</v>
      </c>
      <c r="G115" s="1600">
        <f t="shared" si="30"/>
        <v>2446</v>
      </c>
      <c r="H115" s="1865">
        <f t="shared" si="18"/>
        <v>0</v>
      </c>
      <c r="I115" s="1865">
        <f t="shared" si="18"/>
        <v>2446</v>
      </c>
      <c r="J115" s="1600">
        <f t="shared" si="28"/>
        <v>0</v>
      </c>
      <c r="K115" s="1865"/>
      <c r="L115" s="1865"/>
      <c r="M115" s="1600">
        <f t="shared" si="15"/>
        <v>0</v>
      </c>
      <c r="N115" s="1907">
        <f t="shared" si="15"/>
        <v>0</v>
      </c>
      <c r="O115" s="1907">
        <f t="shared" si="15"/>
        <v>0</v>
      </c>
      <c r="P115" s="1593"/>
      <c r="Q115" s="1593"/>
      <c r="R115" s="1600">
        <f t="shared" si="26"/>
        <v>0</v>
      </c>
      <c r="S115" s="1614">
        <v>0</v>
      </c>
      <c r="T115" s="1614">
        <v>0</v>
      </c>
      <c r="U115" s="1600">
        <f t="shared" si="27"/>
        <v>0</v>
      </c>
      <c r="V115" s="1614">
        <v>0</v>
      </c>
      <c r="W115" s="1614">
        <v>0</v>
      </c>
      <c r="X115" s="1423">
        <f t="shared" si="24"/>
        <v>0</v>
      </c>
    </row>
    <row r="116" spans="1:24" ht="93.75">
      <c r="A116" s="2041" t="s">
        <v>2</v>
      </c>
      <c r="B116" s="2007" t="s">
        <v>1434</v>
      </c>
      <c r="C116" s="1873"/>
      <c r="D116" s="1596">
        <f t="shared" si="20"/>
        <v>5951414.5</v>
      </c>
      <c r="E116" s="1596">
        <f>SUM(E117,E163)</f>
        <v>4525832.8</v>
      </c>
      <c r="F116" s="1596">
        <f>SUM(F117,F163)</f>
        <v>1425581.7</v>
      </c>
      <c r="G116" s="1596">
        <f t="shared" si="30"/>
        <v>5866364.5</v>
      </c>
      <c r="H116" s="1596">
        <f>SUM(H117,H163)</f>
        <v>4440782.8</v>
      </c>
      <c r="I116" s="1596">
        <f>SUM(I117,I163)</f>
        <v>1425581.7</v>
      </c>
      <c r="J116" s="1596">
        <f t="shared" si="28"/>
        <v>840658.7</v>
      </c>
      <c r="K116" s="1596">
        <f>SUM(K117,K163)</f>
        <v>689746</v>
      </c>
      <c r="L116" s="1596">
        <f>SUM(L117,L163)</f>
        <v>150912.70000000001</v>
      </c>
      <c r="M116" s="2008">
        <f t="shared" si="15"/>
        <v>14.3</v>
      </c>
      <c r="N116" s="2009">
        <f t="shared" si="15"/>
        <v>15.5</v>
      </c>
      <c r="O116" s="2009">
        <f t="shared" si="15"/>
        <v>10.6</v>
      </c>
      <c r="P116" s="1622" t="s">
        <v>353</v>
      </c>
      <c r="Q116" s="1622" t="s">
        <v>353</v>
      </c>
      <c r="R116" s="1861" t="e">
        <f t="shared" si="26"/>
        <v>#REF!</v>
      </c>
      <c r="S116" s="1861" t="e">
        <f>SUM(S117,S163)</f>
        <v>#REF!</v>
      </c>
      <c r="T116" s="1861" t="e">
        <f>SUM(T117,T163)</f>
        <v>#REF!</v>
      </c>
      <c r="U116" s="1861" t="e">
        <f t="shared" si="27"/>
        <v>#REF!</v>
      </c>
      <c r="V116" s="1861" t="e">
        <f>SUM(V117,V163)</f>
        <v>#REF!</v>
      </c>
      <c r="W116" s="1861" t="e">
        <f>SUM(W117,W163)</f>
        <v>#REF!</v>
      </c>
      <c r="X116" s="1423">
        <f t="shared" si="24"/>
        <v>85050</v>
      </c>
    </row>
    <row r="117" spans="1:24" ht="23.25">
      <c r="A117" s="2041" t="s">
        <v>246</v>
      </c>
      <c r="B117" s="1876" t="s">
        <v>1393</v>
      </c>
      <c r="C117" s="1877"/>
      <c r="D117" s="1598">
        <f t="shared" si="20"/>
        <v>170814.3</v>
      </c>
      <c r="E117" s="1598">
        <f>SUM(E118,E153)</f>
        <v>0</v>
      </c>
      <c r="F117" s="1598">
        <f>SUM(F118,F153)</f>
        <v>170814.3</v>
      </c>
      <c r="G117" s="1598">
        <f t="shared" si="30"/>
        <v>170814.3</v>
      </c>
      <c r="H117" s="1598">
        <f>SUM(H118,H153)</f>
        <v>0</v>
      </c>
      <c r="I117" s="1598">
        <f>SUM(I118,I153)</f>
        <v>170814.3</v>
      </c>
      <c r="J117" s="1598">
        <f t="shared" si="28"/>
        <v>35796.800000000003</v>
      </c>
      <c r="K117" s="1598">
        <f>SUM(K118,K153)</f>
        <v>0</v>
      </c>
      <c r="L117" s="1598">
        <f>SUM(L118,L153)</f>
        <v>35796.800000000003</v>
      </c>
      <c r="M117" s="1908">
        <f t="shared" si="15"/>
        <v>21</v>
      </c>
      <c r="N117" s="1909">
        <f t="shared" si="15"/>
        <v>0</v>
      </c>
      <c r="O117" s="1909">
        <f t="shared" si="15"/>
        <v>21</v>
      </c>
      <c r="P117" s="1599" t="s">
        <v>353</v>
      </c>
      <c r="Q117" s="1599" t="s">
        <v>353</v>
      </c>
      <c r="R117" s="1598">
        <f t="shared" si="26"/>
        <v>39180</v>
      </c>
      <c r="S117" s="1598">
        <f>SUM(S118,S153)</f>
        <v>0</v>
      </c>
      <c r="T117" s="1598">
        <f>SUM(T118,T153)</f>
        <v>39180</v>
      </c>
      <c r="U117" s="1598">
        <f>SUM(V117:W117)</f>
        <v>0</v>
      </c>
      <c r="V117" s="1598">
        <f>SUM(V118,V153)</f>
        <v>0</v>
      </c>
      <c r="W117" s="1598">
        <f>SUM(W118,W153)</f>
        <v>0</v>
      </c>
      <c r="X117" s="1423">
        <f t="shared" si="24"/>
        <v>0</v>
      </c>
    </row>
    <row r="118" spans="1:24" ht="23.25">
      <c r="A118" s="2041" t="s">
        <v>247</v>
      </c>
      <c r="B118" s="1897" t="s">
        <v>529</v>
      </c>
      <c r="C118" s="1898"/>
      <c r="D118" s="1899">
        <f>SUM(E118:F118)</f>
        <v>127510.2</v>
      </c>
      <c r="E118" s="1899">
        <f>SUM(E119:E152)</f>
        <v>0</v>
      </c>
      <c r="F118" s="1899">
        <f>SUM(F119:F152)</f>
        <v>127510.2</v>
      </c>
      <c r="G118" s="1899">
        <f>SUM(H118:I118)</f>
        <v>127510.2</v>
      </c>
      <c r="H118" s="1899">
        <f>SUM(H119:H152)</f>
        <v>0</v>
      </c>
      <c r="I118" s="1899">
        <f>SUM(I119:I152)</f>
        <v>127510.2</v>
      </c>
      <c r="J118" s="1899">
        <f>SUM(K118:L118)</f>
        <v>33450</v>
      </c>
      <c r="K118" s="1899">
        <f>SUM(K119:K152)</f>
        <v>0</v>
      </c>
      <c r="L118" s="1899">
        <f>SUM(L119:L152)</f>
        <v>33450</v>
      </c>
      <c r="M118" s="1910">
        <f t="shared" si="15"/>
        <v>26.2</v>
      </c>
      <c r="N118" s="1911">
        <f t="shared" si="15"/>
        <v>0</v>
      </c>
      <c r="O118" s="1911">
        <f t="shared" si="15"/>
        <v>26.2</v>
      </c>
      <c r="P118" s="1599"/>
      <c r="Q118" s="1599"/>
      <c r="R118" s="1899">
        <f t="shared" si="26"/>
        <v>38180</v>
      </c>
      <c r="S118" s="1899">
        <f>SUM(S119:S148)</f>
        <v>0</v>
      </c>
      <c r="T118" s="1899">
        <f>SUM(T119:T148)</f>
        <v>38180</v>
      </c>
      <c r="U118" s="1899">
        <f t="shared" si="27"/>
        <v>0</v>
      </c>
      <c r="V118" s="1899">
        <f>SUM(V119:V148)</f>
        <v>0</v>
      </c>
      <c r="W118" s="1899">
        <f>SUM(W119:W148)</f>
        <v>0</v>
      </c>
      <c r="X118" s="1423">
        <f t="shared" si="24"/>
        <v>0</v>
      </c>
    </row>
    <row r="119" spans="1:24" s="1570" customFormat="1" ht="24.75" hidden="1" customHeight="1">
      <c r="A119" s="2041">
        <f>A114+1</f>
        <v>51</v>
      </c>
      <c r="B119" s="1885" t="s">
        <v>1588</v>
      </c>
      <c r="C119" s="2041" t="s">
        <v>1612</v>
      </c>
      <c r="D119" s="1600">
        <f t="shared" si="20"/>
        <v>0</v>
      </c>
      <c r="E119" s="1614"/>
      <c r="F119" s="1615">
        <v>0</v>
      </c>
      <c r="G119" s="1600">
        <f t="shared" si="30"/>
        <v>0</v>
      </c>
      <c r="H119" s="1614">
        <f t="shared" si="18"/>
        <v>0</v>
      </c>
      <c r="I119" s="1614">
        <f t="shared" si="18"/>
        <v>0</v>
      </c>
      <c r="J119" s="1600">
        <f t="shared" si="28"/>
        <v>0</v>
      </c>
      <c r="K119" s="1614"/>
      <c r="L119" s="1614"/>
      <c r="M119" s="1604">
        <f t="shared" si="15"/>
        <v>0</v>
      </c>
      <c r="N119" s="1881">
        <f t="shared" si="15"/>
        <v>0</v>
      </c>
      <c r="O119" s="1881">
        <f t="shared" si="15"/>
        <v>0</v>
      </c>
      <c r="P119" s="1593"/>
      <c r="Q119" s="1612"/>
      <c r="R119" s="1600">
        <f t="shared" si="26"/>
        <v>0</v>
      </c>
      <c r="S119" s="1614">
        <v>0</v>
      </c>
      <c r="T119" s="1614">
        <v>0</v>
      </c>
      <c r="U119" s="1600">
        <f t="shared" si="27"/>
        <v>0</v>
      </c>
      <c r="V119" s="1614">
        <v>0</v>
      </c>
      <c r="W119" s="1614">
        <v>0</v>
      </c>
    </row>
    <row r="120" spans="1:24" ht="23.25">
      <c r="A120" s="2041">
        <f>A114+1</f>
        <v>51</v>
      </c>
      <c r="B120" s="1912" t="s">
        <v>1592</v>
      </c>
      <c r="C120" s="1913">
        <v>14038</v>
      </c>
      <c r="D120" s="1600">
        <f t="shared" si="20"/>
        <v>2373</v>
      </c>
      <c r="E120" s="1608"/>
      <c r="F120" s="1616">
        <v>2373</v>
      </c>
      <c r="G120" s="1600">
        <f t="shared" si="30"/>
        <v>2373</v>
      </c>
      <c r="H120" s="1608">
        <f t="shared" si="18"/>
        <v>0</v>
      </c>
      <c r="I120" s="1608">
        <f t="shared" si="18"/>
        <v>2373</v>
      </c>
      <c r="J120" s="1600">
        <f t="shared" si="28"/>
        <v>0</v>
      </c>
      <c r="K120" s="1608"/>
      <c r="L120" s="1608"/>
      <c r="M120" s="1893">
        <f t="shared" si="15"/>
        <v>0</v>
      </c>
      <c r="N120" s="1894">
        <f t="shared" si="15"/>
        <v>0</v>
      </c>
      <c r="O120" s="1894">
        <f t="shared" si="15"/>
        <v>0</v>
      </c>
      <c r="P120" s="1593"/>
      <c r="Q120" s="1593"/>
      <c r="R120" s="1600">
        <f t="shared" si="26"/>
        <v>0</v>
      </c>
      <c r="S120" s="1614">
        <v>0</v>
      </c>
      <c r="T120" s="1614">
        <v>0</v>
      </c>
      <c r="U120" s="1600">
        <f t="shared" si="27"/>
        <v>0</v>
      </c>
      <c r="V120" s="1614">
        <v>0</v>
      </c>
      <c r="W120" s="1614">
        <v>0</v>
      </c>
      <c r="X120" s="1423">
        <f>D120-G120</f>
        <v>0</v>
      </c>
    </row>
    <row r="121" spans="1:24" ht="37.5">
      <c r="A121" s="2041">
        <f t="shared" ref="A121:A148" si="31">A120+1</f>
        <v>52</v>
      </c>
      <c r="B121" s="1889" t="s">
        <v>1657</v>
      </c>
      <c r="C121" s="2042"/>
      <c r="D121" s="1600">
        <f t="shared" si="20"/>
        <v>2085.3000000000002</v>
      </c>
      <c r="E121" s="1616"/>
      <c r="F121" s="1616">
        <f>2000+85.3</f>
        <v>2085.3000000000002</v>
      </c>
      <c r="G121" s="1600">
        <f t="shared" si="30"/>
        <v>2085.3000000000002</v>
      </c>
      <c r="H121" s="1616">
        <f t="shared" si="18"/>
        <v>0</v>
      </c>
      <c r="I121" s="1608">
        <f t="shared" si="18"/>
        <v>2085.3000000000002</v>
      </c>
      <c r="J121" s="1600">
        <f t="shared" si="28"/>
        <v>0</v>
      </c>
      <c r="K121" s="1616"/>
      <c r="L121" s="1616"/>
      <c r="M121" s="1604">
        <f t="shared" si="15"/>
        <v>0</v>
      </c>
      <c r="N121" s="1881">
        <f t="shared" si="15"/>
        <v>0</v>
      </c>
      <c r="O121" s="1881">
        <f t="shared" si="15"/>
        <v>0</v>
      </c>
      <c r="P121" s="1599"/>
      <c r="Q121" s="1599"/>
      <c r="R121" s="1600">
        <f t="shared" si="26"/>
        <v>0</v>
      </c>
      <c r="S121" s="1614">
        <v>0</v>
      </c>
      <c r="T121" s="1614">
        <v>0</v>
      </c>
      <c r="U121" s="1600">
        <f t="shared" si="27"/>
        <v>0</v>
      </c>
      <c r="V121" s="1614">
        <v>0</v>
      </c>
      <c r="W121" s="1614">
        <v>0</v>
      </c>
      <c r="X121" s="1423">
        <f>D121-G121</f>
        <v>0</v>
      </c>
    </row>
    <row r="122" spans="1:24" ht="45" hidden="1" customHeight="1">
      <c r="A122" s="2041">
        <f t="shared" si="31"/>
        <v>53</v>
      </c>
      <c r="B122" s="1883" t="s">
        <v>1443</v>
      </c>
      <c r="C122" s="2041">
        <v>14065</v>
      </c>
      <c r="D122" s="1600">
        <f t="shared" si="20"/>
        <v>0</v>
      </c>
      <c r="E122" s="1608"/>
      <c r="F122" s="1616">
        <v>0</v>
      </c>
      <c r="G122" s="1600">
        <f t="shared" si="30"/>
        <v>0</v>
      </c>
      <c r="H122" s="1608">
        <f t="shared" si="18"/>
        <v>0</v>
      </c>
      <c r="I122" s="1608">
        <f t="shared" si="18"/>
        <v>0</v>
      </c>
      <c r="J122" s="1600">
        <f t="shared" si="28"/>
        <v>0</v>
      </c>
      <c r="K122" s="1608"/>
      <c r="L122" s="1608"/>
      <c r="M122" s="1604">
        <f t="shared" si="15"/>
        <v>0</v>
      </c>
      <c r="N122" s="1881">
        <f t="shared" si="15"/>
        <v>0</v>
      </c>
      <c r="O122" s="1881">
        <f t="shared" si="15"/>
        <v>0</v>
      </c>
      <c r="P122" s="1593" t="s">
        <v>1290</v>
      </c>
      <c r="Q122" s="1593" t="s">
        <v>1240</v>
      </c>
      <c r="R122" s="1600">
        <f t="shared" si="26"/>
        <v>0</v>
      </c>
      <c r="S122" s="1614">
        <v>0</v>
      </c>
      <c r="T122" s="1614">
        <v>0</v>
      </c>
      <c r="U122" s="1600">
        <f t="shared" si="27"/>
        <v>0</v>
      </c>
      <c r="V122" s="1614">
        <v>0</v>
      </c>
      <c r="W122" s="1614">
        <v>0</v>
      </c>
    </row>
    <row r="123" spans="1:24" ht="77.25" customHeight="1">
      <c r="A123" s="2041">
        <f>A121+1</f>
        <v>53</v>
      </c>
      <c r="B123" s="1883" t="s">
        <v>1444</v>
      </c>
      <c r="C123" s="2041">
        <v>14066</v>
      </c>
      <c r="D123" s="1600">
        <f t="shared" si="20"/>
        <v>1191.2</v>
      </c>
      <c r="E123" s="1608"/>
      <c r="F123" s="1616">
        <v>1191.2</v>
      </c>
      <c r="G123" s="1600">
        <f t="shared" si="30"/>
        <v>1191.2</v>
      </c>
      <c r="H123" s="1608">
        <f t="shared" si="18"/>
        <v>0</v>
      </c>
      <c r="I123" s="1608">
        <f t="shared" si="18"/>
        <v>1191.2</v>
      </c>
      <c r="J123" s="1600">
        <f t="shared" si="28"/>
        <v>0</v>
      </c>
      <c r="K123" s="1608"/>
      <c r="L123" s="1608"/>
      <c r="M123" s="1604">
        <f t="shared" si="15"/>
        <v>0</v>
      </c>
      <c r="N123" s="1881">
        <f t="shared" si="15"/>
        <v>0</v>
      </c>
      <c r="O123" s="1881">
        <f t="shared" si="15"/>
        <v>0</v>
      </c>
      <c r="P123" s="1593" t="s">
        <v>1290</v>
      </c>
      <c r="Q123" s="1593" t="s">
        <v>1240</v>
      </c>
      <c r="R123" s="1600">
        <f t="shared" si="26"/>
        <v>0</v>
      </c>
      <c r="S123" s="1614">
        <v>0</v>
      </c>
      <c r="T123" s="1614">
        <v>0</v>
      </c>
      <c r="U123" s="1600">
        <f t="shared" si="27"/>
        <v>0</v>
      </c>
      <c r="V123" s="1614">
        <v>0</v>
      </c>
      <c r="W123" s="1614">
        <v>0</v>
      </c>
      <c r="X123" s="1423">
        <f t="shared" ref="X123:X128" si="32">D123-G123</f>
        <v>0</v>
      </c>
    </row>
    <row r="124" spans="1:24" ht="38.25" customHeight="1">
      <c r="A124" s="2041">
        <f t="shared" si="31"/>
        <v>54</v>
      </c>
      <c r="B124" s="1883" t="s">
        <v>1446</v>
      </c>
      <c r="C124" s="1880">
        <v>14076</v>
      </c>
      <c r="D124" s="1600">
        <f t="shared" si="20"/>
        <v>1026</v>
      </c>
      <c r="E124" s="1608"/>
      <c r="F124" s="1616">
        <f>3420-2394</f>
        <v>1026</v>
      </c>
      <c r="G124" s="1600">
        <f t="shared" si="30"/>
        <v>1026</v>
      </c>
      <c r="H124" s="1608">
        <f t="shared" si="18"/>
        <v>0</v>
      </c>
      <c r="I124" s="1608">
        <f t="shared" si="18"/>
        <v>1026</v>
      </c>
      <c r="J124" s="1600">
        <f t="shared" si="28"/>
        <v>0</v>
      </c>
      <c r="K124" s="1608"/>
      <c r="L124" s="1608"/>
      <c r="M124" s="1604">
        <f t="shared" si="15"/>
        <v>0</v>
      </c>
      <c r="N124" s="1881">
        <f t="shared" si="15"/>
        <v>0</v>
      </c>
      <c r="O124" s="1881">
        <f t="shared" si="15"/>
        <v>0</v>
      </c>
      <c r="P124" s="1593" t="s">
        <v>1290</v>
      </c>
      <c r="Q124" s="1593" t="s">
        <v>1240</v>
      </c>
      <c r="R124" s="1600">
        <f t="shared" si="26"/>
        <v>0</v>
      </c>
      <c r="S124" s="1614">
        <v>0</v>
      </c>
      <c r="T124" s="1614">
        <v>0</v>
      </c>
      <c r="U124" s="1600">
        <f t="shared" si="27"/>
        <v>0</v>
      </c>
      <c r="V124" s="1614">
        <v>0</v>
      </c>
      <c r="W124" s="1614">
        <v>0</v>
      </c>
      <c r="X124" s="1423">
        <f t="shared" si="32"/>
        <v>0</v>
      </c>
    </row>
    <row r="125" spans="1:24" ht="41.25" customHeight="1">
      <c r="A125" s="2041">
        <f t="shared" si="31"/>
        <v>55</v>
      </c>
      <c r="B125" s="1883" t="s">
        <v>1447</v>
      </c>
      <c r="C125" s="1880">
        <v>14077</v>
      </c>
      <c r="D125" s="1600">
        <f t="shared" si="20"/>
        <v>813</v>
      </c>
      <c r="E125" s="1608"/>
      <c r="F125" s="1616">
        <f>2710-1897</f>
        <v>813</v>
      </c>
      <c r="G125" s="1600">
        <f t="shared" si="30"/>
        <v>813</v>
      </c>
      <c r="H125" s="1608">
        <f t="shared" si="18"/>
        <v>0</v>
      </c>
      <c r="I125" s="1608">
        <f t="shared" si="18"/>
        <v>813</v>
      </c>
      <c r="J125" s="1600">
        <f t="shared" si="28"/>
        <v>0</v>
      </c>
      <c r="K125" s="1608"/>
      <c r="L125" s="1608"/>
      <c r="M125" s="1604">
        <f t="shared" si="15"/>
        <v>0</v>
      </c>
      <c r="N125" s="1881">
        <f t="shared" si="15"/>
        <v>0</v>
      </c>
      <c r="O125" s="1881">
        <f t="shared" si="15"/>
        <v>0</v>
      </c>
      <c r="P125" s="1593" t="s">
        <v>1290</v>
      </c>
      <c r="Q125" s="1593" t="s">
        <v>1240</v>
      </c>
      <c r="R125" s="1600">
        <f t="shared" si="26"/>
        <v>0</v>
      </c>
      <c r="S125" s="1614">
        <v>0</v>
      </c>
      <c r="T125" s="1614">
        <v>0</v>
      </c>
      <c r="U125" s="1600">
        <f t="shared" si="27"/>
        <v>0</v>
      </c>
      <c r="V125" s="1614">
        <v>0</v>
      </c>
      <c r="W125" s="1614">
        <v>0</v>
      </c>
      <c r="X125" s="1423">
        <f t="shared" si="32"/>
        <v>0</v>
      </c>
    </row>
    <row r="126" spans="1:24" ht="38.25" customHeight="1">
      <c r="A126" s="2041">
        <f t="shared" si="31"/>
        <v>56</v>
      </c>
      <c r="B126" s="1883" t="s">
        <v>1448</v>
      </c>
      <c r="C126" s="1880">
        <v>14079</v>
      </c>
      <c r="D126" s="1600">
        <f t="shared" si="20"/>
        <v>1026</v>
      </c>
      <c r="E126" s="1608"/>
      <c r="F126" s="1616">
        <f>2930-1904</f>
        <v>1026</v>
      </c>
      <c r="G126" s="1600">
        <f t="shared" si="30"/>
        <v>1026</v>
      </c>
      <c r="H126" s="1608">
        <f t="shared" si="18"/>
        <v>0</v>
      </c>
      <c r="I126" s="1608">
        <f t="shared" si="18"/>
        <v>1026</v>
      </c>
      <c r="J126" s="1600">
        <f t="shared" si="28"/>
        <v>0</v>
      </c>
      <c r="K126" s="1608"/>
      <c r="L126" s="1608"/>
      <c r="M126" s="1604">
        <f t="shared" si="15"/>
        <v>0</v>
      </c>
      <c r="N126" s="1881">
        <f t="shared" si="15"/>
        <v>0</v>
      </c>
      <c r="O126" s="1881">
        <f t="shared" si="15"/>
        <v>0</v>
      </c>
      <c r="P126" s="1593" t="s">
        <v>1290</v>
      </c>
      <c r="Q126" s="1593" t="s">
        <v>1240</v>
      </c>
      <c r="R126" s="1600">
        <f t="shared" si="26"/>
        <v>0</v>
      </c>
      <c r="S126" s="1614">
        <v>0</v>
      </c>
      <c r="T126" s="1614">
        <v>0</v>
      </c>
      <c r="U126" s="1600">
        <f t="shared" si="27"/>
        <v>0</v>
      </c>
      <c r="V126" s="1614">
        <v>0</v>
      </c>
      <c r="W126" s="1614">
        <v>0</v>
      </c>
      <c r="X126" s="1423">
        <f t="shared" si="32"/>
        <v>0</v>
      </c>
    </row>
    <row r="127" spans="1:24" ht="37.5" customHeight="1">
      <c r="A127" s="2041">
        <f t="shared" si="31"/>
        <v>57</v>
      </c>
      <c r="B127" s="1883" t="s">
        <v>1449</v>
      </c>
      <c r="C127" s="1880">
        <v>14080</v>
      </c>
      <c r="D127" s="1600">
        <f t="shared" si="20"/>
        <v>1554</v>
      </c>
      <c r="E127" s="1608"/>
      <c r="F127" s="1616">
        <f>5180-3626</f>
        <v>1554</v>
      </c>
      <c r="G127" s="1600">
        <f t="shared" si="30"/>
        <v>1554</v>
      </c>
      <c r="H127" s="1608">
        <f t="shared" si="18"/>
        <v>0</v>
      </c>
      <c r="I127" s="1608">
        <f t="shared" si="18"/>
        <v>1554</v>
      </c>
      <c r="J127" s="1600">
        <f t="shared" si="28"/>
        <v>0</v>
      </c>
      <c r="K127" s="1608"/>
      <c r="L127" s="1608"/>
      <c r="M127" s="1604">
        <f t="shared" si="15"/>
        <v>0</v>
      </c>
      <c r="N127" s="1881">
        <f t="shared" si="15"/>
        <v>0</v>
      </c>
      <c r="O127" s="1881">
        <f t="shared" si="15"/>
        <v>0</v>
      </c>
      <c r="P127" s="1593" t="s">
        <v>1290</v>
      </c>
      <c r="Q127" s="1593" t="s">
        <v>1240</v>
      </c>
      <c r="R127" s="1600">
        <f t="shared" si="26"/>
        <v>0</v>
      </c>
      <c r="S127" s="1614">
        <v>0</v>
      </c>
      <c r="T127" s="1614">
        <v>0</v>
      </c>
      <c r="U127" s="1600">
        <f t="shared" si="27"/>
        <v>0</v>
      </c>
      <c r="V127" s="1614">
        <v>0</v>
      </c>
      <c r="W127" s="1614">
        <v>0</v>
      </c>
      <c r="X127" s="1423">
        <f t="shared" si="32"/>
        <v>0</v>
      </c>
    </row>
    <row r="128" spans="1:24" ht="22.5" customHeight="1">
      <c r="A128" s="2041">
        <f t="shared" si="31"/>
        <v>58</v>
      </c>
      <c r="B128" s="1883" t="s">
        <v>1450</v>
      </c>
      <c r="C128" s="1880">
        <v>14081</v>
      </c>
      <c r="D128" s="1600">
        <f t="shared" si="20"/>
        <v>879</v>
      </c>
      <c r="E128" s="1608"/>
      <c r="F128" s="1616">
        <f>2930-2051</f>
        <v>879</v>
      </c>
      <c r="G128" s="1600">
        <f t="shared" si="30"/>
        <v>879</v>
      </c>
      <c r="H128" s="1608">
        <f t="shared" si="18"/>
        <v>0</v>
      </c>
      <c r="I128" s="1608">
        <f t="shared" si="18"/>
        <v>879</v>
      </c>
      <c r="J128" s="1600">
        <f t="shared" si="28"/>
        <v>0</v>
      </c>
      <c r="K128" s="1608"/>
      <c r="L128" s="1608"/>
      <c r="M128" s="1604">
        <f t="shared" si="15"/>
        <v>0</v>
      </c>
      <c r="N128" s="1881">
        <f t="shared" si="15"/>
        <v>0</v>
      </c>
      <c r="O128" s="1881">
        <f t="shared" si="15"/>
        <v>0</v>
      </c>
      <c r="P128" s="1593" t="s">
        <v>1290</v>
      </c>
      <c r="Q128" s="1593" t="s">
        <v>1240</v>
      </c>
      <c r="R128" s="1600">
        <f t="shared" si="26"/>
        <v>0</v>
      </c>
      <c r="S128" s="1614">
        <v>0</v>
      </c>
      <c r="T128" s="1614">
        <v>0</v>
      </c>
      <c r="U128" s="1600">
        <f t="shared" si="27"/>
        <v>0</v>
      </c>
      <c r="V128" s="1614">
        <v>0</v>
      </c>
      <c r="W128" s="1614">
        <v>0</v>
      </c>
      <c r="X128" s="1423">
        <f t="shared" si="32"/>
        <v>0</v>
      </c>
    </row>
    <row r="129" spans="1:24" ht="36" hidden="1" customHeight="1">
      <c r="A129" s="2041">
        <f t="shared" si="31"/>
        <v>59</v>
      </c>
      <c r="B129" s="1883" t="s">
        <v>1451</v>
      </c>
      <c r="C129" s="1880">
        <v>14082</v>
      </c>
      <c r="D129" s="1600">
        <f t="shared" si="20"/>
        <v>0</v>
      </c>
      <c r="E129" s="1608"/>
      <c r="F129" s="1616">
        <v>0</v>
      </c>
      <c r="G129" s="1600">
        <f t="shared" si="30"/>
        <v>0</v>
      </c>
      <c r="H129" s="1608">
        <f t="shared" si="18"/>
        <v>0</v>
      </c>
      <c r="I129" s="1608">
        <f t="shared" si="18"/>
        <v>0</v>
      </c>
      <c r="J129" s="1600">
        <f t="shared" si="28"/>
        <v>0</v>
      </c>
      <c r="K129" s="1608"/>
      <c r="L129" s="1608"/>
      <c r="M129" s="1604">
        <f t="shared" si="15"/>
        <v>0</v>
      </c>
      <c r="N129" s="1881">
        <f t="shared" si="15"/>
        <v>0</v>
      </c>
      <c r="O129" s="1881">
        <f t="shared" si="15"/>
        <v>0</v>
      </c>
      <c r="P129" s="1593" t="s">
        <v>1290</v>
      </c>
      <c r="Q129" s="1593" t="s">
        <v>1240</v>
      </c>
      <c r="R129" s="1600">
        <f t="shared" si="26"/>
        <v>0</v>
      </c>
      <c r="S129" s="1614">
        <v>0</v>
      </c>
      <c r="T129" s="1614">
        <v>0</v>
      </c>
      <c r="U129" s="1600">
        <f t="shared" si="27"/>
        <v>0</v>
      </c>
      <c r="V129" s="1614">
        <v>0</v>
      </c>
      <c r="W129" s="1614">
        <v>0</v>
      </c>
    </row>
    <row r="130" spans="1:24" ht="37.5" customHeight="1">
      <c r="A130" s="2041">
        <f>A128+1</f>
        <v>59</v>
      </c>
      <c r="B130" s="1883" t="s">
        <v>1452</v>
      </c>
      <c r="C130" s="1880">
        <v>14083</v>
      </c>
      <c r="D130" s="1600">
        <f t="shared" si="20"/>
        <v>669</v>
      </c>
      <c r="E130" s="1608"/>
      <c r="F130" s="1616">
        <f>2230-1561</f>
        <v>669</v>
      </c>
      <c r="G130" s="1600">
        <f t="shared" si="30"/>
        <v>669</v>
      </c>
      <c r="H130" s="1608">
        <f t="shared" si="18"/>
        <v>0</v>
      </c>
      <c r="I130" s="1608">
        <f t="shared" si="18"/>
        <v>669</v>
      </c>
      <c r="J130" s="1600">
        <f t="shared" si="28"/>
        <v>0</v>
      </c>
      <c r="K130" s="1608"/>
      <c r="L130" s="1608"/>
      <c r="M130" s="1604">
        <f t="shared" si="15"/>
        <v>0</v>
      </c>
      <c r="N130" s="1881">
        <f t="shared" si="15"/>
        <v>0</v>
      </c>
      <c r="O130" s="1881">
        <f t="shared" si="15"/>
        <v>0</v>
      </c>
      <c r="P130" s="1593" t="s">
        <v>1290</v>
      </c>
      <c r="Q130" s="1593" t="s">
        <v>1240</v>
      </c>
      <c r="R130" s="1600">
        <f t="shared" si="26"/>
        <v>0</v>
      </c>
      <c r="S130" s="1614">
        <v>0</v>
      </c>
      <c r="T130" s="1614">
        <v>0</v>
      </c>
      <c r="U130" s="1600">
        <f t="shared" si="27"/>
        <v>0</v>
      </c>
      <c r="V130" s="1614">
        <v>0</v>
      </c>
      <c r="W130" s="1614">
        <v>0</v>
      </c>
      <c r="X130" s="1423">
        <f>D130-G130</f>
        <v>0</v>
      </c>
    </row>
    <row r="131" spans="1:24" ht="40.5" hidden="1" customHeight="1">
      <c r="A131" s="2041">
        <f t="shared" si="31"/>
        <v>60</v>
      </c>
      <c r="B131" s="1883" t="s">
        <v>1453</v>
      </c>
      <c r="C131" s="1880">
        <v>14084</v>
      </c>
      <c r="D131" s="1600">
        <f t="shared" si="20"/>
        <v>0</v>
      </c>
      <c r="E131" s="1608"/>
      <c r="F131" s="1616">
        <v>0</v>
      </c>
      <c r="G131" s="1600">
        <f t="shared" si="30"/>
        <v>0</v>
      </c>
      <c r="H131" s="1608">
        <f t="shared" si="18"/>
        <v>0</v>
      </c>
      <c r="I131" s="1608">
        <f t="shared" si="18"/>
        <v>0</v>
      </c>
      <c r="J131" s="1600">
        <f t="shared" si="28"/>
        <v>0</v>
      </c>
      <c r="K131" s="1608"/>
      <c r="L131" s="1608"/>
      <c r="M131" s="1604">
        <f t="shared" si="15"/>
        <v>0</v>
      </c>
      <c r="N131" s="1881">
        <f t="shared" si="15"/>
        <v>0</v>
      </c>
      <c r="O131" s="1881">
        <f t="shared" si="15"/>
        <v>0</v>
      </c>
      <c r="P131" s="1593" t="s">
        <v>1290</v>
      </c>
      <c r="Q131" s="1593" t="s">
        <v>1240</v>
      </c>
      <c r="R131" s="1600">
        <f t="shared" si="26"/>
        <v>0</v>
      </c>
      <c r="S131" s="1614">
        <v>0</v>
      </c>
      <c r="T131" s="1614">
        <v>0</v>
      </c>
      <c r="U131" s="1600">
        <f t="shared" si="27"/>
        <v>0</v>
      </c>
      <c r="V131" s="1614">
        <v>0</v>
      </c>
      <c r="W131" s="1614">
        <v>0</v>
      </c>
    </row>
    <row r="132" spans="1:24" ht="38.25" hidden="1" customHeight="1">
      <c r="A132" s="2041">
        <f t="shared" si="31"/>
        <v>61</v>
      </c>
      <c r="B132" s="1883" t="s">
        <v>1454</v>
      </c>
      <c r="C132" s="1880">
        <v>14088</v>
      </c>
      <c r="D132" s="1600">
        <f t="shared" si="20"/>
        <v>0</v>
      </c>
      <c r="E132" s="1608"/>
      <c r="F132" s="1616">
        <v>0</v>
      </c>
      <c r="G132" s="1600">
        <f t="shared" si="30"/>
        <v>0</v>
      </c>
      <c r="H132" s="1608">
        <f t="shared" si="18"/>
        <v>0</v>
      </c>
      <c r="I132" s="1608">
        <f t="shared" si="18"/>
        <v>0</v>
      </c>
      <c r="J132" s="1600">
        <f t="shared" si="28"/>
        <v>0</v>
      </c>
      <c r="K132" s="1608"/>
      <c r="L132" s="1608"/>
      <c r="M132" s="1604">
        <f t="shared" si="15"/>
        <v>0</v>
      </c>
      <c r="N132" s="1881">
        <f t="shared" si="15"/>
        <v>0</v>
      </c>
      <c r="O132" s="1881">
        <f t="shared" si="15"/>
        <v>0</v>
      </c>
      <c r="P132" s="1593" t="s">
        <v>1290</v>
      </c>
      <c r="Q132" s="1593" t="s">
        <v>1240</v>
      </c>
      <c r="R132" s="1600">
        <f t="shared" si="26"/>
        <v>0</v>
      </c>
      <c r="S132" s="1614">
        <v>0</v>
      </c>
      <c r="T132" s="1614">
        <v>0</v>
      </c>
      <c r="U132" s="1600">
        <f t="shared" si="27"/>
        <v>0</v>
      </c>
      <c r="V132" s="1614">
        <v>0</v>
      </c>
      <c r="W132" s="1614">
        <v>0</v>
      </c>
    </row>
    <row r="133" spans="1:24" ht="61.5" customHeight="1">
      <c r="A133" s="2041">
        <f>A130+1</f>
        <v>60</v>
      </c>
      <c r="B133" s="1912" t="s">
        <v>1593</v>
      </c>
      <c r="C133" s="1913"/>
      <c r="D133" s="1600">
        <f t="shared" si="20"/>
        <v>455.7</v>
      </c>
      <c r="E133" s="1608"/>
      <c r="F133" s="1616">
        <f>1519-1063.3</f>
        <v>455.7</v>
      </c>
      <c r="G133" s="1600">
        <f t="shared" si="30"/>
        <v>455.7</v>
      </c>
      <c r="H133" s="1608">
        <f t="shared" si="18"/>
        <v>0</v>
      </c>
      <c r="I133" s="1608">
        <f t="shared" si="18"/>
        <v>455.7</v>
      </c>
      <c r="J133" s="1600">
        <f t="shared" si="28"/>
        <v>0</v>
      </c>
      <c r="K133" s="1608"/>
      <c r="L133" s="1608"/>
      <c r="M133" s="1893">
        <f t="shared" si="15"/>
        <v>0</v>
      </c>
      <c r="N133" s="1894">
        <f t="shared" si="15"/>
        <v>0</v>
      </c>
      <c r="O133" s="1894">
        <f t="shared" si="15"/>
        <v>0</v>
      </c>
      <c r="P133" s="1593"/>
      <c r="Q133" s="1593"/>
      <c r="R133" s="1600">
        <f t="shared" si="26"/>
        <v>0</v>
      </c>
      <c r="S133" s="1614">
        <v>0</v>
      </c>
      <c r="T133" s="1614">
        <v>0</v>
      </c>
      <c r="U133" s="1600">
        <f t="shared" si="27"/>
        <v>0</v>
      </c>
      <c r="V133" s="1614">
        <v>0</v>
      </c>
      <c r="W133" s="1614">
        <v>0</v>
      </c>
      <c r="X133" s="1423">
        <f>D133-G133</f>
        <v>0</v>
      </c>
    </row>
    <row r="134" spans="1:24" ht="58.5" hidden="1" customHeight="1">
      <c r="A134" s="2041">
        <f t="shared" si="31"/>
        <v>61</v>
      </c>
      <c r="B134" s="1912" t="s">
        <v>1608</v>
      </c>
      <c r="C134" s="1913"/>
      <c r="D134" s="1600">
        <f t="shared" si="20"/>
        <v>0</v>
      </c>
      <c r="E134" s="1608"/>
      <c r="F134" s="1616">
        <v>0</v>
      </c>
      <c r="G134" s="1600">
        <f t="shared" si="30"/>
        <v>0</v>
      </c>
      <c r="H134" s="1608">
        <f t="shared" si="18"/>
        <v>0</v>
      </c>
      <c r="I134" s="1608">
        <f t="shared" si="18"/>
        <v>0</v>
      </c>
      <c r="J134" s="1600">
        <f t="shared" si="28"/>
        <v>0</v>
      </c>
      <c r="K134" s="1608"/>
      <c r="L134" s="1608"/>
      <c r="M134" s="1893">
        <f t="shared" si="15"/>
        <v>0</v>
      </c>
      <c r="N134" s="1894">
        <f t="shared" si="15"/>
        <v>0</v>
      </c>
      <c r="O134" s="1894">
        <f t="shared" si="15"/>
        <v>0</v>
      </c>
      <c r="P134" s="1593"/>
      <c r="Q134" s="1593"/>
      <c r="R134" s="1600">
        <f t="shared" si="26"/>
        <v>0</v>
      </c>
      <c r="S134" s="1614">
        <v>0</v>
      </c>
      <c r="T134" s="1614">
        <v>0</v>
      </c>
      <c r="U134" s="1600">
        <f t="shared" si="27"/>
        <v>0</v>
      </c>
      <c r="V134" s="1614">
        <v>0</v>
      </c>
      <c r="W134" s="1614">
        <v>0</v>
      </c>
    </row>
    <row r="135" spans="1:24" ht="59.25" hidden="1" customHeight="1">
      <c r="A135" s="2041">
        <f t="shared" si="31"/>
        <v>62</v>
      </c>
      <c r="B135" s="1912" t="s">
        <v>1594</v>
      </c>
      <c r="C135" s="1913"/>
      <c r="D135" s="1600">
        <f t="shared" si="20"/>
        <v>0</v>
      </c>
      <c r="E135" s="1608"/>
      <c r="F135" s="1616">
        <v>0</v>
      </c>
      <c r="G135" s="1600">
        <f t="shared" si="30"/>
        <v>0</v>
      </c>
      <c r="H135" s="1608">
        <f t="shared" si="18"/>
        <v>0</v>
      </c>
      <c r="I135" s="1608">
        <f t="shared" si="18"/>
        <v>0</v>
      </c>
      <c r="J135" s="1600">
        <f t="shared" si="28"/>
        <v>0</v>
      </c>
      <c r="K135" s="1608"/>
      <c r="L135" s="1608"/>
      <c r="M135" s="1893">
        <f t="shared" si="15"/>
        <v>0</v>
      </c>
      <c r="N135" s="1894">
        <f t="shared" si="15"/>
        <v>0</v>
      </c>
      <c r="O135" s="1894">
        <f t="shared" si="15"/>
        <v>0</v>
      </c>
      <c r="P135" s="1593"/>
      <c r="Q135" s="1593"/>
      <c r="R135" s="1600">
        <f t="shared" si="26"/>
        <v>0</v>
      </c>
      <c r="S135" s="1614">
        <v>0</v>
      </c>
      <c r="T135" s="1614">
        <v>0</v>
      </c>
      <c r="U135" s="1600">
        <f t="shared" si="27"/>
        <v>0</v>
      </c>
      <c r="V135" s="1614">
        <v>0</v>
      </c>
      <c r="W135" s="1614">
        <v>0</v>
      </c>
    </row>
    <row r="136" spans="1:24" s="1607" customFormat="1" ht="79.5" customHeight="1">
      <c r="A136" s="2041">
        <f>A133+1</f>
        <v>61</v>
      </c>
      <c r="B136" s="1914" t="s">
        <v>1601</v>
      </c>
      <c r="C136" s="2041" t="s">
        <v>332</v>
      </c>
      <c r="D136" s="1600">
        <f t="shared" si="20"/>
        <v>8850</v>
      </c>
      <c r="E136" s="1608"/>
      <c r="F136" s="1616">
        <v>8850</v>
      </c>
      <c r="G136" s="1600">
        <f t="shared" si="30"/>
        <v>8850</v>
      </c>
      <c r="H136" s="1608">
        <f t="shared" si="18"/>
        <v>0</v>
      </c>
      <c r="I136" s="1608">
        <f t="shared" si="18"/>
        <v>8850</v>
      </c>
      <c r="J136" s="1600">
        <f t="shared" si="28"/>
        <v>0</v>
      </c>
      <c r="K136" s="1608"/>
      <c r="L136" s="1608"/>
      <c r="M136" s="1604">
        <f t="shared" si="15"/>
        <v>0</v>
      </c>
      <c r="N136" s="1881">
        <f t="shared" si="15"/>
        <v>0</v>
      </c>
      <c r="O136" s="1881">
        <f t="shared" si="15"/>
        <v>0</v>
      </c>
      <c r="P136" s="1593"/>
      <c r="Q136" s="1593"/>
      <c r="R136" s="1600">
        <f t="shared" si="26"/>
        <v>0</v>
      </c>
      <c r="S136" s="1614">
        <v>0</v>
      </c>
      <c r="T136" s="1614">
        <v>0</v>
      </c>
      <c r="U136" s="1600">
        <f t="shared" si="27"/>
        <v>0</v>
      </c>
      <c r="V136" s="1614">
        <v>0</v>
      </c>
      <c r="W136" s="1614">
        <v>0</v>
      </c>
      <c r="X136" s="1423">
        <f t="shared" ref="X136:X141" si="33">D136-G136</f>
        <v>0</v>
      </c>
    </row>
    <row r="137" spans="1:24" s="1607" customFormat="1" ht="66.75" customHeight="1">
      <c r="A137" s="2041">
        <f t="shared" si="31"/>
        <v>62</v>
      </c>
      <c r="B137" s="1914" t="s">
        <v>1523</v>
      </c>
      <c r="C137" s="2041" t="s">
        <v>1536</v>
      </c>
      <c r="D137" s="1600">
        <f t="shared" si="20"/>
        <v>11900</v>
      </c>
      <c r="E137" s="1608"/>
      <c r="F137" s="1616">
        <f>14000-2100</f>
        <v>11900</v>
      </c>
      <c r="G137" s="1600">
        <f t="shared" si="30"/>
        <v>11900</v>
      </c>
      <c r="H137" s="1608">
        <f t="shared" si="18"/>
        <v>0</v>
      </c>
      <c r="I137" s="1608">
        <f t="shared" si="18"/>
        <v>11900</v>
      </c>
      <c r="J137" s="1600">
        <f t="shared" si="28"/>
        <v>0</v>
      </c>
      <c r="K137" s="1608"/>
      <c r="L137" s="1608"/>
      <c r="M137" s="1604">
        <f t="shared" si="15"/>
        <v>0</v>
      </c>
      <c r="N137" s="1881">
        <f t="shared" si="15"/>
        <v>0</v>
      </c>
      <c r="O137" s="1881">
        <f t="shared" si="15"/>
        <v>0</v>
      </c>
      <c r="P137" s="1593" t="s">
        <v>1192</v>
      </c>
      <c r="Q137" s="1593" t="s">
        <v>1203</v>
      </c>
      <c r="R137" s="1600">
        <f t="shared" si="26"/>
        <v>0</v>
      </c>
      <c r="S137" s="1614">
        <v>0</v>
      </c>
      <c r="T137" s="1614">
        <v>0</v>
      </c>
      <c r="U137" s="1600">
        <f t="shared" si="27"/>
        <v>0</v>
      </c>
      <c r="V137" s="1614">
        <v>0</v>
      </c>
      <c r="W137" s="1614">
        <v>0</v>
      </c>
      <c r="X137" s="1423">
        <f t="shared" si="33"/>
        <v>0</v>
      </c>
    </row>
    <row r="138" spans="1:24" s="1607" customFormat="1" ht="48" customHeight="1">
      <c r="A138" s="2041">
        <f t="shared" si="31"/>
        <v>63</v>
      </c>
      <c r="B138" s="1914" t="s">
        <v>1602</v>
      </c>
      <c r="C138" s="2041"/>
      <c r="D138" s="1600">
        <f t="shared" si="20"/>
        <v>17550</v>
      </c>
      <c r="E138" s="1608"/>
      <c r="F138" s="1616">
        <v>17550</v>
      </c>
      <c r="G138" s="1600">
        <f t="shared" si="30"/>
        <v>17550</v>
      </c>
      <c r="H138" s="1608">
        <f t="shared" si="18"/>
        <v>0</v>
      </c>
      <c r="I138" s="1608">
        <f t="shared" si="18"/>
        <v>17550</v>
      </c>
      <c r="J138" s="1600">
        <f t="shared" si="28"/>
        <v>17550</v>
      </c>
      <c r="K138" s="1608"/>
      <c r="L138" s="1608">
        <v>17550</v>
      </c>
      <c r="M138" s="1604">
        <f t="shared" si="15"/>
        <v>100</v>
      </c>
      <c r="N138" s="1881">
        <f t="shared" si="15"/>
        <v>0</v>
      </c>
      <c r="O138" s="1881">
        <f t="shared" si="15"/>
        <v>100</v>
      </c>
      <c r="P138" s="1593"/>
      <c r="Q138" s="1593"/>
      <c r="R138" s="1600">
        <f t="shared" si="26"/>
        <v>0</v>
      </c>
      <c r="S138" s="1614">
        <v>0</v>
      </c>
      <c r="T138" s="1614">
        <v>0</v>
      </c>
      <c r="U138" s="1600">
        <f t="shared" si="27"/>
        <v>0</v>
      </c>
      <c r="V138" s="1614">
        <v>0</v>
      </c>
      <c r="W138" s="1614">
        <v>0</v>
      </c>
      <c r="X138" s="1423">
        <f t="shared" si="33"/>
        <v>0</v>
      </c>
    </row>
    <row r="139" spans="1:24" s="1607" customFormat="1" ht="60" customHeight="1">
      <c r="A139" s="2041">
        <f t="shared" si="31"/>
        <v>64</v>
      </c>
      <c r="B139" s="1914" t="s">
        <v>1485</v>
      </c>
      <c r="C139" s="2041" t="s">
        <v>1537</v>
      </c>
      <c r="D139" s="1600">
        <f t="shared" si="20"/>
        <v>11900</v>
      </c>
      <c r="E139" s="1608"/>
      <c r="F139" s="1616">
        <f>14000-2100</f>
        <v>11900</v>
      </c>
      <c r="G139" s="1600">
        <f t="shared" si="30"/>
        <v>11900</v>
      </c>
      <c r="H139" s="1608">
        <f t="shared" si="18"/>
        <v>0</v>
      </c>
      <c r="I139" s="1608">
        <f t="shared" si="18"/>
        <v>11900</v>
      </c>
      <c r="J139" s="1600">
        <f t="shared" si="28"/>
        <v>0</v>
      </c>
      <c r="K139" s="1608"/>
      <c r="L139" s="1608"/>
      <c r="M139" s="1604">
        <f t="shared" si="15"/>
        <v>0</v>
      </c>
      <c r="N139" s="1881">
        <f t="shared" si="15"/>
        <v>0</v>
      </c>
      <c r="O139" s="1881">
        <f t="shared" si="15"/>
        <v>0</v>
      </c>
      <c r="P139" s="1593" t="s">
        <v>1192</v>
      </c>
      <c r="Q139" s="1593" t="s">
        <v>1203</v>
      </c>
      <c r="R139" s="1600">
        <f t="shared" si="26"/>
        <v>0</v>
      </c>
      <c r="S139" s="1614">
        <v>0</v>
      </c>
      <c r="T139" s="1614">
        <v>0</v>
      </c>
      <c r="U139" s="1600">
        <f t="shared" si="27"/>
        <v>0</v>
      </c>
      <c r="V139" s="1614">
        <v>0</v>
      </c>
      <c r="W139" s="1614">
        <v>0</v>
      </c>
      <c r="X139" s="1423">
        <f t="shared" si="33"/>
        <v>0</v>
      </c>
    </row>
    <row r="140" spans="1:24" s="1607" customFormat="1" ht="78" customHeight="1">
      <c r="A140" s="2041">
        <f t="shared" si="31"/>
        <v>65</v>
      </c>
      <c r="B140" s="1915" t="s">
        <v>1486</v>
      </c>
      <c r="C140" s="2041">
        <v>14059</v>
      </c>
      <c r="D140" s="1600">
        <f t="shared" si="20"/>
        <v>16320</v>
      </c>
      <c r="E140" s="1608"/>
      <c r="F140" s="1616">
        <v>16320</v>
      </c>
      <c r="G140" s="1600">
        <f t="shared" si="30"/>
        <v>16320</v>
      </c>
      <c r="H140" s="1608">
        <f t="shared" si="18"/>
        <v>0</v>
      </c>
      <c r="I140" s="1608">
        <f t="shared" si="18"/>
        <v>16320</v>
      </c>
      <c r="J140" s="1600">
        <f t="shared" si="28"/>
        <v>15900</v>
      </c>
      <c r="K140" s="1608"/>
      <c r="L140" s="1608">
        <v>15900</v>
      </c>
      <c r="M140" s="1604">
        <f t="shared" ref="M140:O215" si="34">IF(J140=0,0,J140/G140*100)</f>
        <v>97.4</v>
      </c>
      <c r="N140" s="1881">
        <f t="shared" si="34"/>
        <v>0</v>
      </c>
      <c r="O140" s="1881">
        <f t="shared" si="34"/>
        <v>97.4</v>
      </c>
      <c r="P140" s="1593" t="s">
        <v>1192</v>
      </c>
      <c r="Q140" s="1593" t="s">
        <v>1204</v>
      </c>
      <c r="R140" s="1600">
        <f t="shared" si="26"/>
        <v>38080</v>
      </c>
      <c r="S140" s="1608">
        <v>0</v>
      </c>
      <c r="T140" s="1608">
        <v>38080</v>
      </c>
      <c r="U140" s="1600">
        <f t="shared" si="27"/>
        <v>0</v>
      </c>
      <c r="V140" s="1608">
        <v>0</v>
      </c>
      <c r="W140" s="1608">
        <v>0</v>
      </c>
      <c r="X140" s="1423">
        <f t="shared" si="33"/>
        <v>0</v>
      </c>
    </row>
    <row r="141" spans="1:24" s="1607" customFormat="1" ht="39" customHeight="1">
      <c r="A141" s="2041">
        <f t="shared" si="31"/>
        <v>66</v>
      </c>
      <c r="B141" s="1912" t="s">
        <v>1491</v>
      </c>
      <c r="C141" s="1880">
        <v>14089</v>
      </c>
      <c r="D141" s="1600">
        <f t="shared" si="20"/>
        <v>11200</v>
      </c>
      <c r="E141" s="1614"/>
      <c r="F141" s="1615">
        <v>11200</v>
      </c>
      <c r="G141" s="1600">
        <f t="shared" si="30"/>
        <v>11200</v>
      </c>
      <c r="H141" s="1614">
        <f t="shared" si="18"/>
        <v>0</v>
      </c>
      <c r="I141" s="1608">
        <f t="shared" si="18"/>
        <v>11200</v>
      </c>
      <c r="J141" s="1600">
        <f t="shared" si="28"/>
        <v>0</v>
      </c>
      <c r="K141" s="1614"/>
      <c r="L141" s="1614"/>
      <c r="M141" s="1604">
        <f t="shared" si="34"/>
        <v>0</v>
      </c>
      <c r="N141" s="1881">
        <f t="shared" si="34"/>
        <v>0</v>
      </c>
      <c r="O141" s="1881">
        <f t="shared" si="34"/>
        <v>0</v>
      </c>
      <c r="P141" s="1593" t="s">
        <v>1192</v>
      </c>
      <c r="Q141" s="1593" t="s">
        <v>1206</v>
      </c>
      <c r="R141" s="1600">
        <f t="shared" si="26"/>
        <v>0</v>
      </c>
      <c r="S141" s="1614">
        <v>0</v>
      </c>
      <c r="T141" s="1614">
        <v>0</v>
      </c>
      <c r="U141" s="1600">
        <f t="shared" si="27"/>
        <v>0</v>
      </c>
      <c r="V141" s="1608">
        <v>0</v>
      </c>
      <c r="W141" s="1608">
        <v>0</v>
      </c>
      <c r="X141" s="1423">
        <f t="shared" si="33"/>
        <v>0</v>
      </c>
    </row>
    <row r="142" spans="1:24" s="1607" customFormat="1" ht="60" hidden="1" customHeight="1">
      <c r="A142" s="2041">
        <f t="shared" si="31"/>
        <v>67</v>
      </c>
      <c r="B142" s="493" t="s">
        <v>1492</v>
      </c>
      <c r="C142" s="2041">
        <v>14091</v>
      </c>
      <c r="D142" s="1600">
        <f t="shared" si="20"/>
        <v>0</v>
      </c>
      <c r="E142" s="1614"/>
      <c r="F142" s="1615">
        <v>0</v>
      </c>
      <c r="G142" s="1600">
        <f t="shared" si="30"/>
        <v>0</v>
      </c>
      <c r="H142" s="1614">
        <f t="shared" si="18"/>
        <v>0</v>
      </c>
      <c r="I142" s="1614">
        <f t="shared" si="18"/>
        <v>0</v>
      </c>
      <c r="J142" s="1600">
        <f t="shared" si="28"/>
        <v>0</v>
      </c>
      <c r="K142" s="1614"/>
      <c r="L142" s="1614"/>
      <c r="M142" s="1604">
        <f t="shared" si="34"/>
        <v>0</v>
      </c>
      <c r="N142" s="1881">
        <f t="shared" si="34"/>
        <v>0</v>
      </c>
      <c r="O142" s="1881">
        <f t="shared" si="34"/>
        <v>0</v>
      </c>
      <c r="P142" s="1593" t="s">
        <v>1192</v>
      </c>
      <c r="Q142" s="1593" t="s">
        <v>1206</v>
      </c>
      <c r="R142" s="1600">
        <f t="shared" si="26"/>
        <v>0</v>
      </c>
      <c r="S142" s="1614">
        <v>0</v>
      </c>
      <c r="T142" s="1614">
        <v>0</v>
      </c>
      <c r="U142" s="1600">
        <f t="shared" si="27"/>
        <v>0</v>
      </c>
      <c r="V142" s="1608">
        <v>0</v>
      </c>
      <c r="W142" s="1608">
        <v>0</v>
      </c>
    </row>
    <row r="143" spans="1:24" ht="40.5" customHeight="1">
      <c r="A143" s="2041">
        <f>A141+1</f>
        <v>67</v>
      </c>
      <c r="B143" s="1888" t="s">
        <v>1473</v>
      </c>
      <c r="C143" s="2041">
        <v>14090</v>
      </c>
      <c r="D143" s="1600">
        <f t="shared" si="20"/>
        <v>5964.1</v>
      </c>
      <c r="E143" s="1614"/>
      <c r="F143" s="1615">
        <f>7941.5-1977.4</f>
        <v>5964.1</v>
      </c>
      <c r="G143" s="1600">
        <f t="shared" si="30"/>
        <v>5964.1</v>
      </c>
      <c r="H143" s="1614">
        <f t="shared" si="18"/>
        <v>0</v>
      </c>
      <c r="I143" s="1608">
        <f t="shared" si="18"/>
        <v>5964.1</v>
      </c>
      <c r="J143" s="1600">
        <f t="shared" si="28"/>
        <v>0</v>
      </c>
      <c r="K143" s="1614"/>
      <c r="L143" s="1614"/>
      <c r="M143" s="1604">
        <f t="shared" si="34"/>
        <v>0</v>
      </c>
      <c r="N143" s="1881">
        <f t="shared" si="34"/>
        <v>0</v>
      </c>
      <c r="O143" s="1881">
        <f t="shared" si="34"/>
        <v>0</v>
      </c>
      <c r="P143" s="1593" t="s">
        <v>1192</v>
      </c>
      <c r="Q143" s="1593" t="s">
        <v>1160</v>
      </c>
      <c r="R143" s="1600">
        <f t="shared" si="26"/>
        <v>0</v>
      </c>
      <c r="S143" s="1614">
        <v>0</v>
      </c>
      <c r="T143" s="1614">
        <v>0</v>
      </c>
      <c r="U143" s="1600">
        <f t="shared" si="27"/>
        <v>0</v>
      </c>
      <c r="V143" s="1608">
        <v>0</v>
      </c>
      <c r="W143" s="1608">
        <v>0</v>
      </c>
      <c r="X143" s="1423">
        <f t="shared" ref="X143:X148" si="35">D143-G143</f>
        <v>0</v>
      </c>
    </row>
    <row r="144" spans="1:24" s="1570" customFormat="1" ht="59.25" customHeight="1">
      <c r="A144" s="2041">
        <f t="shared" si="31"/>
        <v>68</v>
      </c>
      <c r="B144" s="1885" t="s">
        <v>1618</v>
      </c>
      <c r="C144" s="1880">
        <v>24366</v>
      </c>
      <c r="D144" s="1600">
        <f t="shared" si="20"/>
        <v>1788</v>
      </c>
      <c r="E144" s="1614"/>
      <c r="F144" s="1615">
        <v>1788</v>
      </c>
      <c r="G144" s="1600">
        <f t="shared" si="30"/>
        <v>1788</v>
      </c>
      <c r="H144" s="1614">
        <f t="shared" si="18"/>
        <v>0</v>
      </c>
      <c r="I144" s="1608">
        <f t="shared" si="18"/>
        <v>1788</v>
      </c>
      <c r="J144" s="1600">
        <f t="shared" si="28"/>
        <v>0</v>
      </c>
      <c r="K144" s="1614"/>
      <c r="L144" s="1614"/>
      <c r="M144" s="1604">
        <f t="shared" si="34"/>
        <v>0</v>
      </c>
      <c r="N144" s="1881">
        <f t="shared" si="34"/>
        <v>0</v>
      </c>
      <c r="O144" s="1881">
        <f t="shared" si="34"/>
        <v>0</v>
      </c>
      <c r="P144" s="1593"/>
      <c r="Q144" s="1612"/>
      <c r="R144" s="1600">
        <f t="shared" si="26"/>
        <v>0</v>
      </c>
      <c r="S144" s="1614">
        <v>0</v>
      </c>
      <c r="T144" s="1614">
        <v>0</v>
      </c>
      <c r="U144" s="1600">
        <f t="shared" si="27"/>
        <v>0</v>
      </c>
      <c r="V144" s="1608">
        <v>0</v>
      </c>
      <c r="W144" s="1608">
        <v>0</v>
      </c>
      <c r="X144" s="1423">
        <f t="shared" si="35"/>
        <v>0</v>
      </c>
    </row>
    <row r="145" spans="1:24" s="1570" customFormat="1" ht="63.75" customHeight="1">
      <c r="A145" s="2041">
        <f t="shared" si="31"/>
        <v>69</v>
      </c>
      <c r="B145" s="1885" t="s">
        <v>1634</v>
      </c>
      <c r="C145" s="1880"/>
      <c r="D145" s="1600">
        <f t="shared" si="20"/>
        <v>2714.8</v>
      </c>
      <c r="E145" s="1614"/>
      <c r="F145" s="1615">
        <v>2714.8</v>
      </c>
      <c r="G145" s="1600">
        <f t="shared" si="30"/>
        <v>2714.8</v>
      </c>
      <c r="H145" s="1614">
        <f t="shared" ref="H145:I162" si="36">E145</f>
        <v>0</v>
      </c>
      <c r="I145" s="1608">
        <f t="shared" si="36"/>
        <v>2714.8</v>
      </c>
      <c r="J145" s="1600">
        <f t="shared" si="28"/>
        <v>0</v>
      </c>
      <c r="K145" s="1614"/>
      <c r="L145" s="1614"/>
      <c r="M145" s="1604">
        <f t="shared" si="34"/>
        <v>0</v>
      </c>
      <c r="N145" s="1881">
        <f t="shared" si="34"/>
        <v>0</v>
      </c>
      <c r="O145" s="1881">
        <f t="shared" si="34"/>
        <v>0</v>
      </c>
      <c r="P145" s="1593"/>
      <c r="Q145" s="1612"/>
      <c r="R145" s="1600">
        <f t="shared" si="26"/>
        <v>0</v>
      </c>
      <c r="S145" s="1614">
        <v>0</v>
      </c>
      <c r="T145" s="1614">
        <v>0</v>
      </c>
      <c r="U145" s="1600">
        <f t="shared" si="27"/>
        <v>0</v>
      </c>
      <c r="V145" s="1608">
        <v>0</v>
      </c>
      <c r="W145" s="1608">
        <v>0</v>
      </c>
      <c r="X145" s="1423">
        <f t="shared" si="35"/>
        <v>0</v>
      </c>
    </row>
    <row r="146" spans="1:24" ht="42.75" customHeight="1">
      <c r="A146" s="2041">
        <f t="shared" si="31"/>
        <v>70</v>
      </c>
      <c r="B146" s="1879" t="s">
        <v>1615</v>
      </c>
      <c r="C146" s="1880"/>
      <c r="D146" s="1600">
        <f t="shared" si="20"/>
        <v>1769.7</v>
      </c>
      <c r="E146" s="1608"/>
      <c r="F146" s="1616">
        <v>1769.7</v>
      </c>
      <c r="G146" s="1600">
        <f t="shared" si="30"/>
        <v>1769.7</v>
      </c>
      <c r="H146" s="1608">
        <f t="shared" si="36"/>
        <v>0</v>
      </c>
      <c r="I146" s="1608">
        <f t="shared" si="36"/>
        <v>1769.7</v>
      </c>
      <c r="J146" s="1600">
        <f t="shared" si="28"/>
        <v>0</v>
      </c>
      <c r="K146" s="1608"/>
      <c r="L146" s="1608"/>
      <c r="M146" s="1604">
        <f t="shared" si="34"/>
        <v>0</v>
      </c>
      <c r="N146" s="1881">
        <f t="shared" si="34"/>
        <v>0</v>
      </c>
      <c r="O146" s="1881">
        <f t="shared" si="34"/>
        <v>0</v>
      </c>
      <c r="P146" s="1593"/>
      <c r="Q146" s="1593"/>
      <c r="R146" s="1600">
        <f t="shared" si="26"/>
        <v>0</v>
      </c>
      <c r="S146" s="1614">
        <v>0</v>
      </c>
      <c r="T146" s="1614">
        <v>0</v>
      </c>
      <c r="U146" s="1600">
        <f t="shared" si="27"/>
        <v>0</v>
      </c>
      <c r="V146" s="1608">
        <v>0</v>
      </c>
      <c r="W146" s="1608">
        <v>0</v>
      </c>
      <c r="X146" s="1423">
        <f t="shared" si="35"/>
        <v>0</v>
      </c>
    </row>
    <row r="147" spans="1:24" s="1607" customFormat="1" ht="41.25" customHeight="1">
      <c r="A147" s="2041">
        <f t="shared" si="31"/>
        <v>71</v>
      </c>
      <c r="B147" s="1890" t="s">
        <v>455</v>
      </c>
      <c r="C147" s="1880">
        <v>14057</v>
      </c>
      <c r="D147" s="1600">
        <f>SUM(E147:F147)</f>
        <v>9940</v>
      </c>
      <c r="E147" s="1614"/>
      <c r="F147" s="1615">
        <f>11287.5-1347.5</f>
        <v>9940</v>
      </c>
      <c r="G147" s="1600">
        <f t="shared" si="30"/>
        <v>9940</v>
      </c>
      <c r="H147" s="1614">
        <f t="shared" si="36"/>
        <v>0</v>
      </c>
      <c r="I147" s="1608">
        <f t="shared" si="36"/>
        <v>9940</v>
      </c>
      <c r="J147" s="1600">
        <f>SUM(K147:L147)</f>
        <v>0</v>
      </c>
      <c r="K147" s="1614"/>
      <c r="L147" s="1614"/>
      <c r="M147" s="1604">
        <f t="shared" si="34"/>
        <v>0</v>
      </c>
      <c r="N147" s="1881">
        <f t="shared" si="34"/>
        <v>0</v>
      </c>
      <c r="O147" s="1881">
        <f t="shared" si="34"/>
        <v>0</v>
      </c>
      <c r="P147" s="1593" t="s">
        <v>1192</v>
      </c>
      <c r="Q147" s="1593" t="s">
        <v>1206</v>
      </c>
      <c r="R147" s="1600">
        <f>SUM(S147:T147)</f>
        <v>0</v>
      </c>
      <c r="S147" s="1614">
        <v>0</v>
      </c>
      <c r="T147" s="1614">
        <v>0</v>
      </c>
      <c r="U147" s="1600">
        <f>SUM(V147:W147)</f>
        <v>0</v>
      </c>
      <c r="V147" s="1614">
        <v>0</v>
      </c>
      <c r="W147" s="1614">
        <v>0</v>
      </c>
      <c r="X147" s="1423">
        <f t="shared" si="35"/>
        <v>0</v>
      </c>
    </row>
    <row r="148" spans="1:24" ht="23.25" customHeight="1">
      <c r="A148" s="2041">
        <f t="shared" si="31"/>
        <v>72</v>
      </c>
      <c r="B148" s="1883" t="s">
        <v>1467</v>
      </c>
      <c r="C148" s="1880">
        <v>14074</v>
      </c>
      <c r="D148" s="1600">
        <f t="shared" si="20"/>
        <v>4400</v>
      </c>
      <c r="E148" s="1608"/>
      <c r="F148" s="1616">
        <v>4400</v>
      </c>
      <c r="G148" s="1600">
        <f t="shared" si="30"/>
        <v>4400</v>
      </c>
      <c r="H148" s="1608">
        <f t="shared" si="36"/>
        <v>0</v>
      </c>
      <c r="I148" s="1608">
        <f t="shared" si="36"/>
        <v>4400</v>
      </c>
      <c r="J148" s="1600">
        <f t="shared" si="28"/>
        <v>0</v>
      </c>
      <c r="K148" s="1608"/>
      <c r="L148" s="1608"/>
      <c r="M148" s="1604">
        <f t="shared" si="34"/>
        <v>0</v>
      </c>
      <c r="N148" s="1881">
        <f t="shared" si="34"/>
        <v>0</v>
      </c>
      <c r="O148" s="1881">
        <f t="shared" si="34"/>
        <v>0</v>
      </c>
      <c r="P148" s="1593" t="s">
        <v>1290</v>
      </c>
      <c r="Q148" s="1593" t="s">
        <v>1240</v>
      </c>
      <c r="R148" s="1600">
        <f t="shared" si="26"/>
        <v>100</v>
      </c>
      <c r="S148" s="1608">
        <v>0</v>
      </c>
      <c r="T148" s="1608">
        <v>100</v>
      </c>
      <c r="U148" s="1600">
        <f t="shared" si="27"/>
        <v>0</v>
      </c>
      <c r="V148" s="1608">
        <v>0</v>
      </c>
      <c r="W148" s="1608">
        <v>0</v>
      </c>
      <c r="X148" s="1423">
        <f t="shared" si="35"/>
        <v>0</v>
      </c>
    </row>
    <row r="149" spans="1:24" ht="42.75" hidden="1" customHeight="1">
      <c r="A149" s="2041"/>
      <c r="B149" s="1883" t="s">
        <v>1704</v>
      </c>
      <c r="C149" s="1880"/>
      <c r="D149" s="1600">
        <f>SUM(E149:F149)</f>
        <v>0</v>
      </c>
      <c r="E149" s="1608"/>
      <c r="F149" s="1616">
        <v>0</v>
      </c>
      <c r="G149" s="1600">
        <f>SUM(H149:I149)</f>
        <v>0</v>
      </c>
      <c r="H149" s="1608">
        <f t="shared" si="36"/>
        <v>0</v>
      </c>
      <c r="I149" s="1608">
        <f t="shared" si="36"/>
        <v>0</v>
      </c>
      <c r="J149" s="1600">
        <f>SUM(K149:L149)</f>
        <v>0</v>
      </c>
      <c r="K149" s="1608"/>
      <c r="L149" s="1608"/>
      <c r="M149" s="1604">
        <f t="shared" si="34"/>
        <v>0</v>
      </c>
      <c r="N149" s="1881">
        <f t="shared" si="34"/>
        <v>0</v>
      </c>
      <c r="O149" s="1881">
        <f t="shared" si="34"/>
        <v>0</v>
      </c>
      <c r="P149" s="1593"/>
      <c r="Q149" s="1593"/>
      <c r="R149" s="1600"/>
      <c r="S149" s="1608"/>
      <c r="T149" s="1608"/>
      <c r="U149" s="1600"/>
      <c r="V149" s="1608"/>
      <c r="W149" s="1608"/>
    </row>
    <row r="150" spans="1:24" ht="30" hidden="1" customHeight="1">
      <c r="A150" s="2041"/>
      <c r="B150" s="1883" t="s">
        <v>1705</v>
      </c>
      <c r="C150" s="1880"/>
      <c r="D150" s="1600">
        <f>SUM(E150:F150)</f>
        <v>0</v>
      </c>
      <c r="E150" s="1608"/>
      <c r="F150" s="1616">
        <v>0</v>
      </c>
      <c r="G150" s="1600">
        <f>SUM(H150:I150)</f>
        <v>0</v>
      </c>
      <c r="H150" s="1608">
        <f t="shared" si="36"/>
        <v>0</v>
      </c>
      <c r="I150" s="1608">
        <f t="shared" si="36"/>
        <v>0</v>
      </c>
      <c r="J150" s="1600">
        <f>SUM(K150:L150)</f>
        <v>0</v>
      </c>
      <c r="K150" s="1608"/>
      <c r="L150" s="1608"/>
      <c r="M150" s="1604">
        <f t="shared" si="34"/>
        <v>0</v>
      </c>
      <c r="N150" s="1881">
        <f t="shared" si="34"/>
        <v>0</v>
      </c>
      <c r="O150" s="1881">
        <f t="shared" si="34"/>
        <v>0</v>
      </c>
      <c r="P150" s="1593"/>
      <c r="Q150" s="1593"/>
      <c r="R150" s="1600"/>
      <c r="S150" s="1608"/>
      <c r="T150" s="1608"/>
      <c r="U150" s="1600"/>
      <c r="V150" s="1608"/>
      <c r="W150" s="1608"/>
    </row>
    <row r="151" spans="1:24" ht="30" customHeight="1">
      <c r="A151" s="2041">
        <f>A148+1</f>
        <v>73</v>
      </c>
      <c r="B151" s="1883" t="s">
        <v>1711</v>
      </c>
      <c r="C151" s="1880"/>
      <c r="D151" s="1600">
        <f>SUM(E151:F151)</f>
        <v>5635</v>
      </c>
      <c r="E151" s="1608"/>
      <c r="F151" s="1616">
        <v>5635</v>
      </c>
      <c r="G151" s="1600">
        <f>SUM(H151:I151)</f>
        <v>5635</v>
      </c>
      <c r="H151" s="1608">
        <f t="shared" si="36"/>
        <v>0</v>
      </c>
      <c r="I151" s="1608">
        <f t="shared" si="36"/>
        <v>5635</v>
      </c>
      <c r="J151" s="1600">
        <f>SUM(K151:L151)</f>
        <v>0</v>
      </c>
      <c r="K151" s="1608"/>
      <c r="L151" s="1608"/>
      <c r="M151" s="1604">
        <f t="shared" si="34"/>
        <v>0</v>
      </c>
      <c r="N151" s="1881">
        <f t="shared" si="34"/>
        <v>0</v>
      </c>
      <c r="O151" s="1881">
        <f t="shared" si="34"/>
        <v>0</v>
      </c>
      <c r="P151" s="1593"/>
      <c r="Q151" s="1593"/>
      <c r="R151" s="1600"/>
      <c r="S151" s="1608"/>
      <c r="T151" s="1608"/>
      <c r="U151" s="1600"/>
      <c r="V151" s="1608"/>
      <c r="W151" s="1608"/>
      <c r="X151" s="1423">
        <f>D151-G151</f>
        <v>0</v>
      </c>
    </row>
    <row r="152" spans="1:24" ht="97.5" customHeight="1">
      <c r="A152" s="2041">
        <f>A151+1</f>
        <v>74</v>
      </c>
      <c r="B152" s="1883" t="s">
        <v>1684</v>
      </c>
      <c r="C152" s="1880"/>
      <c r="D152" s="1600">
        <f t="shared" si="20"/>
        <v>5506.4</v>
      </c>
      <c r="E152" s="1608"/>
      <c r="F152" s="1616">
        <v>5506.4</v>
      </c>
      <c r="G152" s="1600">
        <f t="shared" si="30"/>
        <v>5506.4</v>
      </c>
      <c r="H152" s="1608">
        <f t="shared" si="36"/>
        <v>0</v>
      </c>
      <c r="I152" s="1608">
        <f t="shared" si="36"/>
        <v>5506.4</v>
      </c>
      <c r="J152" s="1600">
        <f t="shared" si="28"/>
        <v>0</v>
      </c>
      <c r="K152" s="1608"/>
      <c r="L152" s="1608"/>
      <c r="M152" s="1604">
        <f t="shared" si="34"/>
        <v>0</v>
      </c>
      <c r="N152" s="1881">
        <f t="shared" si="34"/>
        <v>0</v>
      </c>
      <c r="O152" s="1881">
        <f t="shared" si="34"/>
        <v>0</v>
      </c>
      <c r="P152" s="1593"/>
      <c r="Q152" s="1593"/>
      <c r="R152" s="1600"/>
      <c r="S152" s="1608"/>
      <c r="T152" s="1608"/>
      <c r="U152" s="1600"/>
      <c r="V152" s="1608"/>
      <c r="W152" s="1608"/>
      <c r="X152" s="1423">
        <f>D152-G152</f>
        <v>0</v>
      </c>
    </row>
    <row r="153" spans="1:24" s="484" customFormat="1" ht="63" customHeight="1">
      <c r="A153" s="2041" t="s">
        <v>248</v>
      </c>
      <c r="B153" s="1897" t="s">
        <v>1637</v>
      </c>
      <c r="C153" s="1898"/>
      <c r="D153" s="1899">
        <f>SUM(E153:F153)</f>
        <v>43304.1</v>
      </c>
      <c r="E153" s="1899">
        <f>SUM(E154:E162)</f>
        <v>0</v>
      </c>
      <c r="F153" s="1899">
        <f>SUM(F154:F162)</f>
        <v>43304.1</v>
      </c>
      <c r="G153" s="1899">
        <f t="shared" si="30"/>
        <v>43304.1</v>
      </c>
      <c r="H153" s="1899">
        <f t="shared" si="36"/>
        <v>0</v>
      </c>
      <c r="I153" s="1899">
        <f t="shared" si="36"/>
        <v>43304.1</v>
      </c>
      <c r="J153" s="1899">
        <f t="shared" si="28"/>
        <v>2346.8000000000002</v>
      </c>
      <c r="K153" s="1899">
        <f>SUM(K154:K162)</f>
        <v>0</v>
      </c>
      <c r="L153" s="1899">
        <f>SUM(L154:L162)</f>
        <v>2346.8000000000002</v>
      </c>
      <c r="M153" s="1900">
        <f t="shared" si="34"/>
        <v>5.4</v>
      </c>
      <c r="N153" s="1901">
        <f t="shared" si="34"/>
        <v>0</v>
      </c>
      <c r="O153" s="1901">
        <f t="shared" si="34"/>
        <v>5.4</v>
      </c>
      <c r="P153" s="2043" t="e">
        <f>SUM(P179+P169+P183)</f>
        <v>#REF!</v>
      </c>
      <c r="Q153" s="2043" t="e">
        <f>SUM(Q179+Q169+Q183)</f>
        <v>#REF!</v>
      </c>
      <c r="R153" s="1899">
        <f t="shared" si="26"/>
        <v>1000</v>
      </c>
      <c r="S153" s="1899">
        <f>SUM(S154:S162)</f>
        <v>0</v>
      </c>
      <c r="T153" s="1899">
        <f>SUM(T154:T162)</f>
        <v>1000</v>
      </c>
      <c r="U153" s="1899">
        <f t="shared" si="27"/>
        <v>0</v>
      </c>
      <c r="V153" s="1899">
        <f>SUM(V154:V162)</f>
        <v>0</v>
      </c>
      <c r="W153" s="1899">
        <f>SUM(W154:W162)</f>
        <v>0</v>
      </c>
      <c r="X153" s="1423">
        <f>D153-G153</f>
        <v>0</v>
      </c>
    </row>
    <row r="154" spans="1:24" ht="37.5" hidden="1" customHeight="1">
      <c r="A154" s="2041">
        <f>A152+1</f>
        <v>75</v>
      </c>
      <c r="B154" s="1912" t="s">
        <v>1591</v>
      </c>
      <c r="C154" s="1913">
        <v>14098</v>
      </c>
      <c r="D154" s="1600">
        <f>SUM(E154:F154)</f>
        <v>0</v>
      </c>
      <c r="E154" s="1608"/>
      <c r="F154" s="1616">
        <v>0</v>
      </c>
      <c r="G154" s="1600">
        <f t="shared" si="30"/>
        <v>0</v>
      </c>
      <c r="H154" s="1608">
        <f t="shared" si="36"/>
        <v>0</v>
      </c>
      <c r="I154" s="1608">
        <f t="shared" si="36"/>
        <v>0</v>
      </c>
      <c r="J154" s="1600">
        <f>SUM(K154:L154)</f>
        <v>0</v>
      </c>
      <c r="K154" s="1608"/>
      <c r="L154" s="1608"/>
      <c r="M154" s="1893">
        <f t="shared" si="34"/>
        <v>0</v>
      </c>
      <c r="N154" s="1894">
        <f t="shared" si="34"/>
        <v>0</v>
      </c>
      <c r="O154" s="1894">
        <f t="shared" si="34"/>
        <v>0</v>
      </c>
      <c r="P154" s="1593"/>
      <c r="Q154" s="1593"/>
      <c r="R154" s="1600">
        <f>SUM(S154:T154)</f>
        <v>0</v>
      </c>
      <c r="S154" s="1614">
        <v>0</v>
      </c>
      <c r="T154" s="1614">
        <v>0</v>
      </c>
      <c r="U154" s="1600">
        <f>SUM(V154:W154)</f>
        <v>0</v>
      </c>
      <c r="V154" s="1608">
        <v>0</v>
      </c>
      <c r="W154" s="1608">
        <v>0</v>
      </c>
    </row>
    <row r="155" spans="1:24" ht="37.5" customHeight="1">
      <c r="A155" s="2041">
        <f>A152+1</f>
        <v>75</v>
      </c>
      <c r="B155" s="2015" t="s">
        <v>766</v>
      </c>
      <c r="C155" s="1913"/>
      <c r="D155" s="1600">
        <f>SUM(E155:F155)</f>
        <v>670</v>
      </c>
      <c r="E155" s="1608"/>
      <c r="F155" s="1616">
        <v>670</v>
      </c>
      <c r="G155" s="1600">
        <f>SUM(H155:I155)</f>
        <v>670</v>
      </c>
      <c r="H155" s="1608">
        <f t="shared" si="36"/>
        <v>0</v>
      </c>
      <c r="I155" s="1608">
        <f t="shared" si="36"/>
        <v>670</v>
      </c>
      <c r="J155" s="1600">
        <f>SUM(K155:L155)</f>
        <v>0</v>
      </c>
      <c r="K155" s="1608"/>
      <c r="L155" s="1608"/>
      <c r="M155" s="1893">
        <f t="shared" si="34"/>
        <v>0</v>
      </c>
      <c r="N155" s="1894">
        <f t="shared" si="34"/>
        <v>0</v>
      </c>
      <c r="O155" s="1894">
        <f t="shared" si="34"/>
        <v>0</v>
      </c>
      <c r="P155" s="1593"/>
      <c r="Q155" s="1593"/>
      <c r="R155" s="1600"/>
      <c r="S155" s="1614"/>
      <c r="T155" s="1614"/>
      <c r="U155" s="1600"/>
      <c r="V155" s="1608"/>
      <c r="W155" s="1608"/>
      <c r="X155" s="1423">
        <f>D155-G155</f>
        <v>0</v>
      </c>
    </row>
    <row r="156" spans="1:24" s="1607" customFormat="1" ht="63" customHeight="1">
      <c r="A156" s="2041" t="s">
        <v>1726</v>
      </c>
      <c r="B156" s="521" t="s">
        <v>1661</v>
      </c>
      <c r="C156" s="1882"/>
      <c r="D156" s="1600">
        <f>SUM(E156:F156)</f>
        <v>1592.1</v>
      </c>
      <c r="E156" s="1608"/>
      <c r="F156" s="1616">
        <f>1000+592.1</f>
        <v>1592.1</v>
      </c>
      <c r="G156" s="1600">
        <f t="shared" si="30"/>
        <v>1592.1</v>
      </c>
      <c r="H156" s="1608">
        <f t="shared" si="36"/>
        <v>0</v>
      </c>
      <c r="I156" s="1608">
        <f t="shared" si="36"/>
        <v>1592.1</v>
      </c>
      <c r="J156" s="1600">
        <f>SUM(K156:L156)</f>
        <v>0</v>
      </c>
      <c r="K156" s="1608"/>
      <c r="L156" s="1608"/>
      <c r="M156" s="1604">
        <f t="shared" si="34"/>
        <v>0</v>
      </c>
      <c r="N156" s="1881">
        <f t="shared" si="34"/>
        <v>0</v>
      </c>
      <c r="O156" s="1881">
        <f t="shared" si="34"/>
        <v>0</v>
      </c>
      <c r="P156" s="1593"/>
      <c r="Q156" s="1593"/>
      <c r="R156" s="1600">
        <f>SUM(S156:T156)</f>
        <v>0</v>
      </c>
      <c r="S156" s="1614">
        <v>0</v>
      </c>
      <c r="T156" s="1614">
        <v>0</v>
      </c>
      <c r="U156" s="1600">
        <f>SUM(V156:W156)</f>
        <v>0</v>
      </c>
      <c r="V156" s="1608">
        <v>0</v>
      </c>
      <c r="W156" s="1608">
        <v>0</v>
      </c>
      <c r="X156" s="1423">
        <f>D156-G156</f>
        <v>0</v>
      </c>
    </row>
    <row r="157" spans="1:24" s="1570" customFormat="1" ht="42.75" customHeight="1">
      <c r="A157" s="2041" t="s">
        <v>1325</v>
      </c>
      <c r="B157" s="1885" t="s">
        <v>1676</v>
      </c>
      <c r="C157" s="1880"/>
      <c r="D157" s="1600">
        <f t="shared" si="20"/>
        <v>1910.9</v>
      </c>
      <c r="E157" s="1614"/>
      <c r="F157" s="1615">
        <f>1000+910.9</f>
        <v>1910.9</v>
      </c>
      <c r="G157" s="1600">
        <f t="shared" si="30"/>
        <v>1910.9</v>
      </c>
      <c r="H157" s="1614">
        <f t="shared" si="36"/>
        <v>0</v>
      </c>
      <c r="I157" s="1608">
        <f t="shared" si="36"/>
        <v>1910.9</v>
      </c>
      <c r="J157" s="1600">
        <f t="shared" si="28"/>
        <v>474.9</v>
      </c>
      <c r="K157" s="1614"/>
      <c r="L157" s="1614">
        <v>474.9</v>
      </c>
      <c r="M157" s="1604">
        <f t="shared" si="34"/>
        <v>24.9</v>
      </c>
      <c r="N157" s="1881">
        <f t="shared" si="34"/>
        <v>0</v>
      </c>
      <c r="O157" s="1881">
        <f t="shared" si="34"/>
        <v>24.9</v>
      </c>
      <c r="P157" s="1593"/>
      <c r="Q157" s="1612"/>
      <c r="R157" s="1600">
        <f t="shared" si="26"/>
        <v>0</v>
      </c>
      <c r="S157" s="1614">
        <v>0</v>
      </c>
      <c r="T157" s="1614">
        <v>0</v>
      </c>
      <c r="U157" s="1600">
        <f t="shared" si="27"/>
        <v>0</v>
      </c>
      <c r="V157" s="1608">
        <v>0</v>
      </c>
      <c r="W157" s="1608">
        <v>0</v>
      </c>
      <c r="X157" s="1423">
        <f>D157-G157</f>
        <v>0</v>
      </c>
    </row>
    <row r="158" spans="1:24" s="1570" customFormat="1" ht="43.5" customHeight="1">
      <c r="A158" s="2041" t="s">
        <v>1326</v>
      </c>
      <c r="B158" s="1888" t="s">
        <v>1596</v>
      </c>
      <c r="C158" s="1880"/>
      <c r="D158" s="1600">
        <f t="shared" si="20"/>
        <v>1571.9</v>
      </c>
      <c r="E158" s="1614"/>
      <c r="F158" s="1615">
        <f>1500+71.9</f>
        <v>1571.9</v>
      </c>
      <c r="G158" s="1600">
        <f t="shared" si="30"/>
        <v>1571.9</v>
      </c>
      <c r="H158" s="1614">
        <f t="shared" si="36"/>
        <v>0</v>
      </c>
      <c r="I158" s="1608">
        <f t="shared" si="36"/>
        <v>1571.9</v>
      </c>
      <c r="J158" s="1600">
        <f t="shared" si="28"/>
        <v>1571.9</v>
      </c>
      <c r="K158" s="1614"/>
      <c r="L158" s="1614">
        <v>1571.9</v>
      </c>
      <c r="M158" s="1604">
        <f t="shared" si="34"/>
        <v>100</v>
      </c>
      <c r="N158" s="1881">
        <f t="shared" si="34"/>
        <v>0</v>
      </c>
      <c r="O158" s="1881">
        <f t="shared" si="34"/>
        <v>100</v>
      </c>
      <c r="P158" s="1593"/>
      <c r="Q158" s="1612"/>
      <c r="R158" s="1600">
        <f t="shared" si="26"/>
        <v>0</v>
      </c>
      <c r="S158" s="1614">
        <v>0</v>
      </c>
      <c r="T158" s="1614">
        <v>0</v>
      </c>
      <c r="U158" s="1600">
        <f t="shared" si="27"/>
        <v>0</v>
      </c>
      <c r="V158" s="1608">
        <v>0</v>
      </c>
      <c r="W158" s="1608">
        <v>0</v>
      </c>
      <c r="X158" s="1423">
        <f>D158-G158</f>
        <v>0</v>
      </c>
    </row>
    <row r="159" spans="1:24" s="1570" customFormat="1" ht="69" hidden="1" customHeight="1">
      <c r="A159" s="2041">
        <v>79</v>
      </c>
      <c r="B159" s="1888" t="s">
        <v>1703</v>
      </c>
      <c r="C159" s="1880"/>
      <c r="D159" s="1600">
        <f>SUM(E159:F159)</f>
        <v>0</v>
      </c>
      <c r="E159" s="1614"/>
      <c r="F159" s="1615">
        <v>0</v>
      </c>
      <c r="G159" s="1600">
        <f>SUM(H159:I159)</f>
        <v>0</v>
      </c>
      <c r="H159" s="1614">
        <f t="shared" si="36"/>
        <v>0</v>
      </c>
      <c r="I159" s="1614">
        <f t="shared" si="36"/>
        <v>0</v>
      </c>
      <c r="J159" s="1600">
        <f>SUM(K159:L159)</f>
        <v>0</v>
      </c>
      <c r="K159" s="1614"/>
      <c r="L159" s="1614">
        <v>0</v>
      </c>
      <c r="M159" s="1604">
        <f t="shared" si="34"/>
        <v>0</v>
      </c>
      <c r="N159" s="1881">
        <f t="shared" si="34"/>
        <v>0</v>
      </c>
      <c r="O159" s="1881">
        <f t="shared" si="34"/>
        <v>0</v>
      </c>
      <c r="P159" s="1593"/>
      <c r="Q159" s="1612"/>
      <c r="R159" s="1600"/>
      <c r="S159" s="1614"/>
      <c r="T159" s="1614"/>
      <c r="U159" s="1600"/>
      <c r="V159" s="1608"/>
      <c r="W159" s="1608"/>
    </row>
    <row r="160" spans="1:24" s="484" customFormat="1" ht="49.5" customHeight="1">
      <c r="A160" s="2041" t="s">
        <v>1727</v>
      </c>
      <c r="B160" s="1915" t="s">
        <v>694</v>
      </c>
      <c r="C160" s="1866" t="s">
        <v>1548</v>
      </c>
      <c r="D160" s="1600">
        <f t="shared" si="20"/>
        <v>6000</v>
      </c>
      <c r="E160" s="1614"/>
      <c r="F160" s="1615">
        <f>19000-13000</f>
        <v>6000</v>
      </c>
      <c r="G160" s="1600">
        <f t="shared" si="30"/>
        <v>6000</v>
      </c>
      <c r="H160" s="1614">
        <f t="shared" si="36"/>
        <v>0</v>
      </c>
      <c r="I160" s="1608">
        <f t="shared" si="36"/>
        <v>6000</v>
      </c>
      <c r="J160" s="1600">
        <f t="shared" si="28"/>
        <v>0</v>
      </c>
      <c r="K160" s="1614"/>
      <c r="L160" s="1614"/>
      <c r="M160" s="1893">
        <f t="shared" si="34"/>
        <v>0</v>
      </c>
      <c r="N160" s="1894">
        <f t="shared" si="34"/>
        <v>0</v>
      </c>
      <c r="O160" s="1894">
        <f t="shared" si="34"/>
        <v>0</v>
      </c>
      <c r="P160" s="1593" t="s">
        <v>1272</v>
      </c>
      <c r="Q160" s="1593" t="s">
        <v>1273</v>
      </c>
      <c r="R160" s="1600">
        <f t="shared" si="26"/>
        <v>1000</v>
      </c>
      <c r="S160" s="1614">
        <v>0</v>
      </c>
      <c r="T160" s="1614">
        <v>1000</v>
      </c>
      <c r="U160" s="1600">
        <f t="shared" si="27"/>
        <v>0</v>
      </c>
      <c r="V160" s="1608">
        <v>0</v>
      </c>
      <c r="W160" s="1608">
        <v>0</v>
      </c>
      <c r="X160" s="1423">
        <f t="shared" ref="X160:X170" si="37">D160-G160</f>
        <v>0</v>
      </c>
    </row>
    <row r="161" spans="1:24" s="1607" customFormat="1" ht="66" customHeight="1">
      <c r="A161" s="2041" t="s">
        <v>1025</v>
      </c>
      <c r="B161" s="1914" t="s">
        <v>1600</v>
      </c>
      <c r="C161" s="2041"/>
      <c r="D161" s="1600">
        <f t="shared" si="20"/>
        <v>1559.2</v>
      </c>
      <c r="E161" s="1608"/>
      <c r="F161" s="1616">
        <f>1000+559.2</f>
        <v>1559.2</v>
      </c>
      <c r="G161" s="1600">
        <f t="shared" si="30"/>
        <v>1559.2</v>
      </c>
      <c r="H161" s="1608">
        <f t="shared" si="36"/>
        <v>0</v>
      </c>
      <c r="I161" s="1608">
        <f t="shared" si="36"/>
        <v>1559.2</v>
      </c>
      <c r="J161" s="1600">
        <f t="shared" si="28"/>
        <v>300</v>
      </c>
      <c r="K161" s="1608"/>
      <c r="L161" s="1608">
        <v>300</v>
      </c>
      <c r="M161" s="1604">
        <f t="shared" si="34"/>
        <v>19.2</v>
      </c>
      <c r="N161" s="1881">
        <f t="shared" si="34"/>
        <v>0</v>
      </c>
      <c r="O161" s="1881">
        <f t="shared" si="34"/>
        <v>19.2</v>
      </c>
      <c r="P161" s="1593"/>
      <c r="Q161" s="1593"/>
      <c r="R161" s="1600">
        <f t="shared" si="26"/>
        <v>0</v>
      </c>
      <c r="S161" s="1608">
        <v>0</v>
      </c>
      <c r="T161" s="1608">
        <v>0</v>
      </c>
      <c r="U161" s="1600">
        <f t="shared" si="27"/>
        <v>0</v>
      </c>
      <c r="V161" s="1608">
        <v>0</v>
      </c>
      <c r="W161" s="1608">
        <v>0</v>
      </c>
      <c r="X161" s="1423">
        <f t="shared" si="37"/>
        <v>0</v>
      </c>
    </row>
    <row r="162" spans="1:24" s="484" customFormat="1" ht="53.25" customHeight="1">
      <c r="A162" s="2041" t="s">
        <v>1728</v>
      </c>
      <c r="B162" s="1915" t="s">
        <v>698</v>
      </c>
      <c r="C162" s="1866"/>
      <c r="D162" s="1600">
        <f>SUM(E162:F162)</f>
        <v>30000</v>
      </c>
      <c r="E162" s="1614"/>
      <c r="F162" s="1615">
        <v>30000</v>
      </c>
      <c r="G162" s="1600">
        <f t="shared" si="30"/>
        <v>30000</v>
      </c>
      <c r="H162" s="1614">
        <f t="shared" si="36"/>
        <v>0</v>
      </c>
      <c r="I162" s="1608">
        <f t="shared" si="36"/>
        <v>30000</v>
      </c>
      <c r="J162" s="1600">
        <f t="shared" si="28"/>
        <v>0</v>
      </c>
      <c r="K162" s="1614"/>
      <c r="L162" s="1614"/>
      <c r="M162" s="1893">
        <f t="shared" si="34"/>
        <v>0</v>
      </c>
      <c r="N162" s="1894">
        <f t="shared" si="34"/>
        <v>0</v>
      </c>
      <c r="O162" s="1894">
        <f t="shared" si="34"/>
        <v>0</v>
      </c>
      <c r="P162" s="1593" t="s">
        <v>1306</v>
      </c>
      <c r="Q162" s="1593" t="s">
        <v>1277</v>
      </c>
      <c r="R162" s="1600">
        <f t="shared" si="26"/>
        <v>0</v>
      </c>
      <c r="S162" s="1608">
        <v>0</v>
      </c>
      <c r="T162" s="1608">
        <v>0</v>
      </c>
      <c r="U162" s="1600">
        <f t="shared" si="27"/>
        <v>0</v>
      </c>
      <c r="V162" s="1608">
        <v>0</v>
      </c>
      <c r="W162" s="1608">
        <v>0</v>
      </c>
      <c r="X162" s="1423">
        <f t="shared" si="37"/>
        <v>0</v>
      </c>
    </row>
    <row r="163" spans="1:24" ht="26.25" customHeight="1">
      <c r="A163" s="2041" t="s">
        <v>249</v>
      </c>
      <c r="B163" s="1876" t="s">
        <v>1394</v>
      </c>
      <c r="C163" s="1877"/>
      <c r="D163" s="1598">
        <f>SUM(E163:F163)</f>
        <v>5780600.2000000002</v>
      </c>
      <c r="E163" s="1903">
        <f>SUM(E164,E183,E276,E281,E278)</f>
        <v>4525832.8</v>
      </c>
      <c r="F163" s="1903">
        <f>SUM(F164,F183,F276,F281,F278)</f>
        <v>1254767.3999999999</v>
      </c>
      <c r="G163" s="1598">
        <f t="shared" si="30"/>
        <v>5695550.2000000002</v>
      </c>
      <c r="H163" s="1903">
        <f>SUM(H164,H183,H276,H281,H278)</f>
        <v>4440782.8</v>
      </c>
      <c r="I163" s="1903">
        <f>SUM(I164,I183,I276,I281,I278)</f>
        <v>1254767.3999999999</v>
      </c>
      <c r="J163" s="1598">
        <f t="shared" si="28"/>
        <v>804861.9</v>
      </c>
      <c r="K163" s="1903">
        <f>SUM(K164,K183,K276,K281,K278)</f>
        <v>689746</v>
      </c>
      <c r="L163" s="1903">
        <f>SUM(L164,L183,L276,L281,L278)</f>
        <v>115115.9</v>
      </c>
      <c r="M163" s="1908">
        <f t="shared" si="34"/>
        <v>14.1</v>
      </c>
      <c r="N163" s="1909">
        <f t="shared" si="34"/>
        <v>15.5</v>
      </c>
      <c r="O163" s="1909">
        <f t="shared" si="34"/>
        <v>9.1999999999999993</v>
      </c>
      <c r="P163" s="1599" t="s">
        <v>353</v>
      </c>
      <c r="Q163" s="1599" t="s">
        <v>353</v>
      </c>
      <c r="R163" s="1598" t="e">
        <f t="shared" si="26"/>
        <v>#REF!</v>
      </c>
      <c r="S163" s="1903" t="e">
        <f>SUM(S164,S183,S276,S281)</f>
        <v>#REF!</v>
      </c>
      <c r="T163" s="1903" t="e">
        <f>SUM(T164,T183,T276,T281)</f>
        <v>#REF!</v>
      </c>
      <c r="U163" s="1598" t="e">
        <f t="shared" si="27"/>
        <v>#REF!</v>
      </c>
      <c r="V163" s="1903" t="e">
        <f>SUM(V164,V183,V276,V281)</f>
        <v>#REF!</v>
      </c>
      <c r="W163" s="1903" t="e">
        <f>SUM(W164,W183,W276,W281)</f>
        <v>#REF!</v>
      </c>
      <c r="X163" s="1423">
        <f t="shared" si="37"/>
        <v>85050</v>
      </c>
    </row>
    <row r="164" spans="1:24" ht="37.5">
      <c r="A164" s="2041" t="s">
        <v>250</v>
      </c>
      <c r="B164" s="1897" t="s">
        <v>1395</v>
      </c>
      <c r="C164" s="1898"/>
      <c r="D164" s="1899">
        <f>SUM(E164:F164)</f>
        <v>2554631.5</v>
      </c>
      <c r="E164" s="1899">
        <f>SUM(E165,E169,E175,E179,E181,E167)</f>
        <v>1720932</v>
      </c>
      <c r="F164" s="1899">
        <f>SUM(F165,F169,F175,F179,F181,F167)</f>
        <v>833699.5</v>
      </c>
      <c r="G164" s="1899">
        <f>SUM(H164:I164)</f>
        <v>2554631.5</v>
      </c>
      <c r="H164" s="1899">
        <f>SUM(H165,H169,H175,H179,H181,H167)</f>
        <v>1720932</v>
      </c>
      <c r="I164" s="1899">
        <f>SUM(I165,I169,I175,I179,I181,I167)</f>
        <v>833699.5</v>
      </c>
      <c r="J164" s="1899">
        <f t="shared" si="28"/>
        <v>143484.29999999999</v>
      </c>
      <c r="K164" s="1899">
        <f>SUM(K165,K169,K175,K179,K181,K167)</f>
        <v>88073.1</v>
      </c>
      <c r="L164" s="1899">
        <f>SUM(L165,L169,L175,L179,L181,L167)</f>
        <v>55411.199999999997</v>
      </c>
      <c r="M164" s="1899">
        <f t="shared" si="34"/>
        <v>5.6</v>
      </c>
      <c r="N164" s="1899">
        <f t="shared" si="34"/>
        <v>5.0999999999999996</v>
      </c>
      <c r="O164" s="1899">
        <f t="shared" si="34"/>
        <v>6.6</v>
      </c>
      <c r="P164" s="1899">
        <f>SUM(P169,P179)+Q175</f>
        <v>0</v>
      </c>
      <c r="Q164" s="1899">
        <f>SUM(Q169,Q179)+R175</f>
        <v>182695.3</v>
      </c>
      <c r="R164" s="1899">
        <f>SUM(S164:T164)</f>
        <v>1266522.3999999999</v>
      </c>
      <c r="S164" s="1899">
        <f>SUM(S169,S175,S179,S181)</f>
        <v>926046.6</v>
      </c>
      <c r="T164" s="1899">
        <f>SUM(T169,T175,T179,T181)</f>
        <v>340475.8</v>
      </c>
      <c r="U164" s="1899">
        <f>SUM(V164:W164)</f>
        <v>1478103.7</v>
      </c>
      <c r="V164" s="1899">
        <f>SUM(V169,V175,V179,V181)</f>
        <v>1463322.7</v>
      </c>
      <c r="W164" s="1899">
        <f>SUM(W169,W175,W179,W181)</f>
        <v>14781</v>
      </c>
      <c r="X164" s="1423">
        <f t="shared" si="37"/>
        <v>0</v>
      </c>
    </row>
    <row r="165" spans="1:24" ht="23.25">
      <c r="A165" s="2041"/>
      <c r="B165" s="1897" t="s">
        <v>1650</v>
      </c>
      <c r="C165" s="1898"/>
      <c r="D165" s="1899">
        <f>E165+F165</f>
        <v>38316.699999999997</v>
      </c>
      <c r="E165" s="1899">
        <f>E166</f>
        <v>13988.1</v>
      </c>
      <c r="F165" s="1899">
        <f>F166</f>
        <v>24328.6</v>
      </c>
      <c r="G165" s="1899">
        <f>H165+I165</f>
        <v>38316.699999999997</v>
      </c>
      <c r="H165" s="1899">
        <f>H166</f>
        <v>13988.1</v>
      </c>
      <c r="I165" s="1899">
        <f>I166</f>
        <v>24328.6</v>
      </c>
      <c r="J165" s="1899">
        <f>K165+L165</f>
        <v>4834.8</v>
      </c>
      <c r="K165" s="1899">
        <f>K166</f>
        <v>1814.3</v>
      </c>
      <c r="L165" s="1899">
        <f>L166</f>
        <v>3020.5</v>
      </c>
      <c r="M165" s="1899">
        <f t="shared" si="34"/>
        <v>12.6</v>
      </c>
      <c r="N165" s="1899">
        <f t="shared" si="34"/>
        <v>13</v>
      </c>
      <c r="O165" s="1899">
        <f t="shared" si="34"/>
        <v>12.4</v>
      </c>
      <c r="P165" s="1899"/>
      <c r="Q165" s="1899"/>
      <c r="R165" s="1899"/>
      <c r="S165" s="1899"/>
      <c r="T165" s="1899"/>
      <c r="U165" s="1899"/>
      <c r="V165" s="1899"/>
      <c r="W165" s="1899"/>
      <c r="X165" s="1423">
        <f t="shared" si="37"/>
        <v>0</v>
      </c>
    </row>
    <row r="166" spans="1:24" ht="52.5" customHeight="1">
      <c r="A166" s="2041">
        <f>A155+1</f>
        <v>76</v>
      </c>
      <c r="B166" s="1919" t="s">
        <v>1469</v>
      </c>
      <c r="C166" s="1898"/>
      <c r="D166" s="1600">
        <f>SUM(E166:F166)</f>
        <v>38316.699999999997</v>
      </c>
      <c r="E166" s="1614">
        <v>13988.1</v>
      </c>
      <c r="F166" s="1614">
        <f>23288.3+1040.3</f>
        <v>24328.6</v>
      </c>
      <c r="G166" s="1600">
        <f>SUM(H166:I166)</f>
        <v>38316.699999999997</v>
      </c>
      <c r="H166" s="1614">
        <f>E166</f>
        <v>13988.1</v>
      </c>
      <c r="I166" s="1614">
        <f>F166</f>
        <v>24328.6</v>
      </c>
      <c r="J166" s="1600">
        <f>SUM(K166:L166)</f>
        <v>4834.8</v>
      </c>
      <c r="K166" s="1614">
        <v>1814.3</v>
      </c>
      <c r="L166" s="1614">
        <v>3020.5</v>
      </c>
      <c r="M166" s="1893">
        <f t="shared" si="34"/>
        <v>12.6</v>
      </c>
      <c r="N166" s="1894">
        <f t="shared" si="34"/>
        <v>13</v>
      </c>
      <c r="O166" s="1894">
        <f t="shared" si="34"/>
        <v>12.4</v>
      </c>
      <c r="P166" s="1899"/>
      <c r="Q166" s="1899"/>
      <c r="R166" s="1899"/>
      <c r="S166" s="1899"/>
      <c r="T166" s="1899"/>
      <c r="U166" s="1899"/>
      <c r="V166" s="1899"/>
      <c r="W166" s="1899"/>
      <c r="X166" s="1423">
        <f t="shared" si="37"/>
        <v>0</v>
      </c>
    </row>
    <row r="167" spans="1:24" ht="25.5" customHeight="1">
      <c r="A167" s="2041"/>
      <c r="B167" s="1897" t="s">
        <v>1396</v>
      </c>
      <c r="C167" s="1898"/>
      <c r="D167" s="1899">
        <f>SUM(E167:F167)</f>
        <v>109151.8</v>
      </c>
      <c r="E167" s="2043">
        <f>SUM(E168)</f>
        <v>99865.9</v>
      </c>
      <c r="F167" s="2043">
        <f>SUM(F168)</f>
        <v>9285.9</v>
      </c>
      <c r="G167" s="1899">
        <f>SUM(H167:I167)</f>
        <v>109151.8</v>
      </c>
      <c r="H167" s="2043">
        <f>SUM(H168)</f>
        <v>99865.9</v>
      </c>
      <c r="I167" s="2043">
        <f>SUM(I168)</f>
        <v>9285.9</v>
      </c>
      <c r="J167" s="1899">
        <f>SUM(K167:L167)</f>
        <v>0</v>
      </c>
      <c r="K167" s="2043">
        <f>SUM(K168)</f>
        <v>0</v>
      </c>
      <c r="L167" s="2043">
        <f>SUM(L168)</f>
        <v>0</v>
      </c>
      <c r="M167" s="1900">
        <f t="shared" si="34"/>
        <v>0</v>
      </c>
      <c r="N167" s="1901">
        <f t="shared" si="34"/>
        <v>0</v>
      </c>
      <c r="O167" s="1901">
        <f t="shared" si="34"/>
        <v>0</v>
      </c>
      <c r="P167" s="1899"/>
      <c r="Q167" s="1899"/>
      <c r="R167" s="1899"/>
      <c r="S167" s="1899"/>
      <c r="T167" s="1899"/>
      <c r="U167" s="1899"/>
      <c r="V167" s="1899"/>
      <c r="W167" s="1899"/>
      <c r="X167" s="1423">
        <f t="shared" si="37"/>
        <v>0</v>
      </c>
    </row>
    <row r="168" spans="1:24" ht="52.5" customHeight="1">
      <c r="A168" s="2041">
        <f>A166+1</f>
        <v>77</v>
      </c>
      <c r="B168" s="1885" t="s">
        <v>1392</v>
      </c>
      <c r="C168" s="1898"/>
      <c r="D168" s="1602">
        <f>SUM(E168:F168)</f>
        <v>109151.8</v>
      </c>
      <c r="E168" s="1615">
        <v>99865.9</v>
      </c>
      <c r="F168" s="1615">
        <v>9285.9</v>
      </c>
      <c r="G168" s="1602">
        <f>SUM(H168:I168)</f>
        <v>109151.8</v>
      </c>
      <c r="H168" s="1614">
        <f>E168</f>
        <v>99865.9</v>
      </c>
      <c r="I168" s="1614">
        <f>F168</f>
        <v>9285.9</v>
      </c>
      <c r="J168" s="1602">
        <f>SUM(K168:L168)</f>
        <v>0</v>
      </c>
      <c r="K168" s="1615">
        <v>0</v>
      </c>
      <c r="L168" s="1615">
        <v>0</v>
      </c>
      <c r="M168" s="1893">
        <f t="shared" si="34"/>
        <v>0</v>
      </c>
      <c r="N168" s="1894">
        <f t="shared" si="34"/>
        <v>0</v>
      </c>
      <c r="O168" s="1894">
        <f t="shared" si="34"/>
        <v>0</v>
      </c>
      <c r="P168" s="1899"/>
      <c r="Q168" s="1899"/>
      <c r="R168" s="1899"/>
      <c r="S168" s="1899"/>
      <c r="T168" s="1899"/>
      <c r="U168" s="1899"/>
      <c r="V168" s="1899"/>
      <c r="W168" s="1899"/>
      <c r="X168" s="1423">
        <f t="shared" si="37"/>
        <v>0</v>
      </c>
    </row>
    <row r="169" spans="1:24" ht="23.25">
      <c r="A169" s="2041"/>
      <c r="B169" s="1897" t="s">
        <v>1461</v>
      </c>
      <c r="C169" s="1898"/>
      <c r="D169" s="1899">
        <f>SUM(E169:F169)</f>
        <v>2358328.7999999998</v>
      </c>
      <c r="E169" s="1899">
        <f>SUM(E170:E174)</f>
        <v>1569072.1</v>
      </c>
      <c r="F169" s="1899">
        <f>SUM(F170:F174)</f>
        <v>789256.7</v>
      </c>
      <c r="G169" s="1899">
        <f>SUM(H169:I169)</f>
        <v>2358328.7999999998</v>
      </c>
      <c r="H169" s="1899">
        <f>SUM(H170:H174)</f>
        <v>1569072.1</v>
      </c>
      <c r="I169" s="1899">
        <f>SUM(I170:I174)</f>
        <v>789256.7</v>
      </c>
      <c r="J169" s="1899">
        <f>SUM(K169:L169)</f>
        <v>120123.3</v>
      </c>
      <c r="K169" s="1899">
        <f>SUM(K170:K174)</f>
        <v>71840.5</v>
      </c>
      <c r="L169" s="1899">
        <f>SUM(L170:L174)</f>
        <v>48282.8</v>
      </c>
      <c r="M169" s="1899">
        <f t="shared" si="34"/>
        <v>5.0999999999999996</v>
      </c>
      <c r="N169" s="1899">
        <f t="shared" si="34"/>
        <v>4.5999999999999996</v>
      </c>
      <c r="O169" s="1899">
        <f t="shared" si="34"/>
        <v>6.1</v>
      </c>
      <c r="P169" s="1899">
        <f t="shared" ref="P169:W169" si="38">SUM(P170:P174)</f>
        <v>0</v>
      </c>
      <c r="Q169" s="1899">
        <f t="shared" si="38"/>
        <v>0</v>
      </c>
      <c r="R169" s="1899">
        <f t="shared" si="38"/>
        <v>1083827.1000000001</v>
      </c>
      <c r="S169" s="1899">
        <f t="shared" si="38"/>
        <v>745178.3</v>
      </c>
      <c r="T169" s="1899">
        <f t="shared" si="38"/>
        <v>338648.8</v>
      </c>
      <c r="U169" s="1899">
        <f t="shared" si="38"/>
        <v>416896.2</v>
      </c>
      <c r="V169" s="1899">
        <f t="shared" si="38"/>
        <v>412727.2</v>
      </c>
      <c r="W169" s="1899">
        <f t="shared" si="38"/>
        <v>4169</v>
      </c>
      <c r="X169" s="1423">
        <f t="shared" si="37"/>
        <v>0</v>
      </c>
    </row>
    <row r="170" spans="1:24" ht="66" customHeight="1">
      <c r="A170" s="2041">
        <f>A168+1</f>
        <v>78</v>
      </c>
      <c r="B170" s="1888" t="s">
        <v>1459</v>
      </c>
      <c r="C170" s="1866" t="s">
        <v>1547</v>
      </c>
      <c r="D170" s="1600">
        <f>SUM(E170:F170)</f>
        <v>1038129.7</v>
      </c>
      <c r="E170" s="1614">
        <v>587130.1</v>
      </c>
      <c r="F170" s="1614">
        <f>384743.9+66255.7</f>
        <v>450999.6</v>
      </c>
      <c r="G170" s="1600">
        <f t="shared" si="30"/>
        <v>1038129.7</v>
      </c>
      <c r="H170" s="1614">
        <f>E170</f>
        <v>587130.1</v>
      </c>
      <c r="I170" s="1614">
        <f>F170</f>
        <v>450999.6</v>
      </c>
      <c r="J170" s="1600">
        <f>SUM(K170:L170)</f>
        <v>0</v>
      </c>
      <c r="K170" s="1614"/>
      <c r="L170" s="1614"/>
      <c r="M170" s="1893">
        <f t="shared" si="34"/>
        <v>0</v>
      </c>
      <c r="N170" s="1894">
        <f t="shared" si="34"/>
        <v>0</v>
      </c>
      <c r="O170" s="1894">
        <f t="shared" si="34"/>
        <v>0</v>
      </c>
      <c r="P170" s="1593" t="s">
        <v>1192</v>
      </c>
      <c r="Q170" s="1593" t="s">
        <v>1160</v>
      </c>
      <c r="R170" s="1600">
        <f t="shared" si="26"/>
        <v>0</v>
      </c>
      <c r="S170" s="1614">
        <v>0</v>
      </c>
      <c r="T170" s="1614">
        <v>0</v>
      </c>
      <c r="U170" s="1600">
        <f t="shared" si="27"/>
        <v>0</v>
      </c>
      <c r="V170" s="1614">
        <v>0</v>
      </c>
      <c r="W170" s="1614">
        <v>0</v>
      </c>
      <c r="X170" s="1423">
        <f t="shared" si="37"/>
        <v>0</v>
      </c>
    </row>
    <row r="171" spans="1:24" ht="37.5" hidden="1">
      <c r="A171" s="2041">
        <f>A170+1</f>
        <v>79</v>
      </c>
      <c r="B171" s="1888" t="s">
        <v>1645</v>
      </c>
      <c r="C171" s="1866"/>
      <c r="D171" s="1600">
        <f>E171+F171</f>
        <v>0</v>
      </c>
      <c r="E171" s="1614">
        <v>0</v>
      </c>
      <c r="F171" s="1614">
        <v>0</v>
      </c>
      <c r="G171" s="1600">
        <f>H171+I171</f>
        <v>0</v>
      </c>
      <c r="H171" s="1614">
        <v>0</v>
      </c>
      <c r="I171" s="1614">
        <v>0</v>
      </c>
      <c r="J171" s="1600">
        <f>K171+L171</f>
        <v>0</v>
      </c>
      <c r="K171" s="1614"/>
      <c r="L171" s="1614"/>
      <c r="M171" s="1600">
        <f t="shared" si="34"/>
        <v>0</v>
      </c>
      <c r="N171" s="1614">
        <f t="shared" si="34"/>
        <v>0</v>
      </c>
      <c r="O171" s="1614">
        <f t="shared" si="34"/>
        <v>0</v>
      </c>
      <c r="P171" s="1593"/>
      <c r="Q171" s="1593"/>
      <c r="R171" s="1600">
        <f>S171+T171</f>
        <v>416896.2</v>
      </c>
      <c r="S171" s="1614">
        <v>412727.2</v>
      </c>
      <c r="T171" s="1614">
        <v>4169</v>
      </c>
      <c r="U171" s="1600">
        <f>V171+W171</f>
        <v>416896.2</v>
      </c>
      <c r="V171" s="1614">
        <v>412727.2</v>
      </c>
      <c r="W171" s="1614">
        <v>4169</v>
      </c>
    </row>
    <row r="172" spans="1:24" ht="56.25" customHeight="1">
      <c r="A172" s="2041">
        <f>A170+1</f>
        <v>79</v>
      </c>
      <c r="B172" s="1888" t="s">
        <v>1460</v>
      </c>
      <c r="C172" s="1866" t="s">
        <v>1547</v>
      </c>
      <c r="D172" s="1600">
        <f>SUM(E172:F172)</f>
        <v>1107192.2</v>
      </c>
      <c r="E172" s="1614">
        <v>771065.2</v>
      </c>
      <c r="F172" s="1614">
        <v>336127</v>
      </c>
      <c r="G172" s="1600">
        <f>SUM(H172:I172)</f>
        <v>1107192.2</v>
      </c>
      <c r="H172" s="1614">
        <f t="shared" ref="H172:I174" si="39">E172</f>
        <v>771065.2</v>
      </c>
      <c r="I172" s="1614">
        <f t="shared" si="39"/>
        <v>336127</v>
      </c>
      <c r="J172" s="1600">
        <f>SUM(K172:L172)</f>
        <v>120123.3</v>
      </c>
      <c r="K172" s="1614">
        <v>71840.5</v>
      </c>
      <c r="L172" s="1614">
        <v>48282.8</v>
      </c>
      <c r="M172" s="1893">
        <f t="shared" si="34"/>
        <v>10.8</v>
      </c>
      <c r="N172" s="1894">
        <f t="shared" si="34"/>
        <v>9.3000000000000007</v>
      </c>
      <c r="O172" s="1894">
        <f t="shared" si="34"/>
        <v>14.4</v>
      </c>
      <c r="P172" s="1593" t="s">
        <v>1192</v>
      </c>
      <c r="Q172" s="1593" t="s">
        <v>1159</v>
      </c>
      <c r="R172" s="1600">
        <f t="shared" si="26"/>
        <v>331121.7</v>
      </c>
      <c r="S172" s="1614">
        <v>0</v>
      </c>
      <c r="T172" s="1614">
        <v>331121.7</v>
      </c>
      <c r="U172" s="1600">
        <f t="shared" si="27"/>
        <v>0</v>
      </c>
      <c r="V172" s="1614">
        <v>0</v>
      </c>
      <c r="W172" s="1614">
        <v>0</v>
      </c>
      <c r="X172" s="1423">
        <f>D172-G172</f>
        <v>0</v>
      </c>
    </row>
    <row r="173" spans="1:24" ht="39" customHeight="1">
      <c r="A173" s="2041">
        <f t="shared" ref="A173:A178" si="40">A172+1</f>
        <v>80</v>
      </c>
      <c r="B173" s="1916" t="s">
        <v>1465</v>
      </c>
      <c r="C173" s="1866" t="s">
        <v>1547</v>
      </c>
      <c r="D173" s="1600">
        <f>SUM(E173:F173)</f>
        <v>109222.6</v>
      </c>
      <c r="E173" s="1614">
        <v>108130.3</v>
      </c>
      <c r="F173" s="1614">
        <v>1092.3</v>
      </c>
      <c r="G173" s="1600">
        <f>SUM(H173:I173)</f>
        <v>109222.6</v>
      </c>
      <c r="H173" s="1614">
        <f t="shared" si="39"/>
        <v>108130.3</v>
      </c>
      <c r="I173" s="1614">
        <f t="shared" si="39"/>
        <v>1092.3</v>
      </c>
      <c r="J173" s="1600">
        <f>SUM(K173:L173)</f>
        <v>0</v>
      </c>
      <c r="K173" s="1614"/>
      <c r="L173" s="1614"/>
      <c r="M173" s="1893">
        <f t="shared" si="34"/>
        <v>0</v>
      </c>
      <c r="N173" s="1894">
        <f t="shared" si="34"/>
        <v>0</v>
      </c>
      <c r="O173" s="1894">
        <f t="shared" si="34"/>
        <v>0</v>
      </c>
      <c r="P173" s="1593" t="s">
        <v>1192</v>
      </c>
      <c r="Q173" s="1593" t="s">
        <v>1160</v>
      </c>
      <c r="R173" s="1600">
        <f t="shared" si="26"/>
        <v>172191.3</v>
      </c>
      <c r="S173" s="1614">
        <v>170469.4</v>
      </c>
      <c r="T173" s="1614">
        <v>1721.9</v>
      </c>
      <c r="U173" s="1600">
        <f t="shared" si="27"/>
        <v>0</v>
      </c>
      <c r="V173" s="1614">
        <v>0</v>
      </c>
      <c r="W173" s="1614">
        <v>0</v>
      </c>
      <c r="X173" s="1423">
        <f>D173-G173</f>
        <v>0</v>
      </c>
    </row>
    <row r="174" spans="1:24" ht="44.25" customHeight="1">
      <c r="A174" s="2041">
        <f t="shared" si="40"/>
        <v>81</v>
      </c>
      <c r="B174" s="1916" t="s">
        <v>1466</v>
      </c>
      <c r="C174" s="1866" t="s">
        <v>1547</v>
      </c>
      <c r="D174" s="1600">
        <f>SUM(E174:F174)</f>
        <v>103784.3</v>
      </c>
      <c r="E174" s="1614">
        <v>102746.5</v>
      </c>
      <c r="F174" s="1614">
        <v>1037.8</v>
      </c>
      <c r="G174" s="1600">
        <f>SUM(H174:I174)</f>
        <v>103784.3</v>
      </c>
      <c r="H174" s="1614">
        <f t="shared" si="39"/>
        <v>102746.5</v>
      </c>
      <c r="I174" s="1614">
        <f t="shared" si="39"/>
        <v>1037.8</v>
      </c>
      <c r="J174" s="1600">
        <f>SUM(K174:L174)</f>
        <v>0</v>
      </c>
      <c r="K174" s="1614"/>
      <c r="L174" s="1614"/>
      <c r="M174" s="1893">
        <f t="shared" si="34"/>
        <v>0</v>
      </c>
      <c r="N174" s="1894">
        <f t="shared" si="34"/>
        <v>0</v>
      </c>
      <c r="O174" s="1894">
        <f t="shared" si="34"/>
        <v>0</v>
      </c>
      <c r="P174" s="1593" t="s">
        <v>1192</v>
      </c>
      <c r="Q174" s="1593" t="s">
        <v>1159</v>
      </c>
      <c r="R174" s="1600">
        <f t="shared" si="26"/>
        <v>163617.9</v>
      </c>
      <c r="S174" s="1614">
        <v>161981.70000000001</v>
      </c>
      <c r="T174" s="1614">
        <v>1636.2</v>
      </c>
      <c r="U174" s="1600">
        <f t="shared" si="27"/>
        <v>0</v>
      </c>
      <c r="V174" s="1614">
        <v>0</v>
      </c>
      <c r="W174" s="1614">
        <v>0</v>
      </c>
      <c r="X174" s="1423">
        <f>D174-G174</f>
        <v>0</v>
      </c>
    </row>
    <row r="175" spans="1:24" ht="19.5" hidden="1" customHeight="1">
      <c r="A175" s="2041"/>
      <c r="B175" s="1897" t="s">
        <v>1648</v>
      </c>
      <c r="C175" s="1899">
        <v>47690.1</v>
      </c>
      <c r="D175" s="1899">
        <f>D176+D178+D177</f>
        <v>0</v>
      </c>
      <c r="E175" s="1899">
        <f t="shared" ref="E175:W175" si="41">E176+E178+E177</f>
        <v>0</v>
      </c>
      <c r="F175" s="1899">
        <f t="shared" si="41"/>
        <v>0</v>
      </c>
      <c r="G175" s="1899">
        <f t="shared" si="41"/>
        <v>0</v>
      </c>
      <c r="H175" s="1899">
        <f t="shared" si="41"/>
        <v>0</v>
      </c>
      <c r="I175" s="1899">
        <f t="shared" si="41"/>
        <v>0</v>
      </c>
      <c r="J175" s="1899">
        <f t="shared" si="41"/>
        <v>0</v>
      </c>
      <c r="K175" s="1899">
        <f t="shared" si="41"/>
        <v>0</v>
      </c>
      <c r="L175" s="1899">
        <f t="shared" si="41"/>
        <v>0</v>
      </c>
      <c r="M175" s="1899">
        <f t="shared" si="34"/>
        <v>0</v>
      </c>
      <c r="N175" s="1899">
        <f t="shared" si="34"/>
        <v>0</v>
      </c>
      <c r="O175" s="1899">
        <f t="shared" si="34"/>
        <v>0</v>
      </c>
      <c r="P175" s="1899">
        <f t="shared" si="41"/>
        <v>0</v>
      </c>
      <c r="Q175" s="1899">
        <f t="shared" si="41"/>
        <v>0</v>
      </c>
      <c r="R175" s="1899">
        <f t="shared" si="41"/>
        <v>182695.3</v>
      </c>
      <c r="S175" s="1899">
        <f t="shared" si="41"/>
        <v>180868.3</v>
      </c>
      <c r="T175" s="1899">
        <f t="shared" si="41"/>
        <v>1827</v>
      </c>
      <c r="U175" s="1899">
        <f t="shared" si="41"/>
        <v>272422.7</v>
      </c>
      <c r="V175" s="1899">
        <f t="shared" si="41"/>
        <v>269698.5</v>
      </c>
      <c r="W175" s="1899">
        <f t="shared" si="41"/>
        <v>2724.2</v>
      </c>
    </row>
    <row r="176" spans="1:24" ht="18" hidden="1" customHeight="1">
      <c r="A176" s="2041">
        <f>A174+1</f>
        <v>82</v>
      </c>
      <c r="B176" s="1916" t="s">
        <v>1467</v>
      </c>
      <c r="C176" s="1866"/>
      <c r="D176" s="1600">
        <v>0</v>
      </c>
      <c r="E176" s="1614">
        <v>0</v>
      </c>
      <c r="F176" s="1614">
        <v>0</v>
      </c>
      <c r="G176" s="1600">
        <v>0</v>
      </c>
      <c r="H176" s="1614">
        <v>0</v>
      </c>
      <c r="I176" s="1614">
        <v>0</v>
      </c>
      <c r="J176" s="1600">
        <v>0</v>
      </c>
      <c r="K176" s="1614">
        <v>0</v>
      </c>
      <c r="L176" s="1614">
        <v>0</v>
      </c>
      <c r="M176" s="1893">
        <f t="shared" si="34"/>
        <v>0</v>
      </c>
      <c r="N176" s="1894">
        <f t="shared" si="34"/>
        <v>0</v>
      </c>
      <c r="O176" s="1894">
        <f t="shared" si="34"/>
        <v>0</v>
      </c>
      <c r="P176" s="1593"/>
      <c r="Q176" s="1593"/>
      <c r="R176" s="1600">
        <f>S176+T176</f>
        <v>82695.3</v>
      </c>
      <c r="S176" s="1614">
        <v>81868.3</v>
      </c>
      <c r="T176" s="1614">
        <v>827</v>
      </c>
      <c r="U176" s="1600">
        <f>V176+W176</f>
        <v>69829.7</v>
      </c>
      <c r="V176" s="1614">
        <v>69131.7</v>
      </c>
      <c r="W176" s="1614">
        <v>698</v>
      </c>
    </row>
    <row r="177" spans="1:24" ht="18" hidden="1" customHeight="1">
      <c r="A177" s="2041">
        <f t="shared" si="40"/>
        <v>83</v>
      </c>
      <c r="B177" s="1916" t="s">
        <v>1647</v>
      </c>
      <c r="C177" s="1866"/>
      <c r="D177" s="1600">
        <v>0</v>
      </c>
      <c r="E177" s="1614">
        <v>0</v>
      </c>
      <c r="F177" s="1614">
        <v>0</v>
      </c>
      <c r="G177" s="1600">
        <v>0</v>
      </c>
      <c r="H177" s="1614">
        <v>0</v>
      </c>
      <c r="I177" s="1614">
        <v>0</v>
      </c>
      <c r="J177" s="1600">
        <v>0</v>
      </c>
      <c r="K177" s="1614">
        <v>0</v>
      </c>
      <c r="L177" s="1614">
        <v>0</v>
      </c>
      <c r="M177" s="1893">
        <f t="shared" si="34"/>
        <v>0</v>
      </c>
      <c r="N177" s="1894">
        <f t="shared" si="34"/>
        <v>0</v>
      </c>
      <c r="O177" s="1894">
        <f t="shared" si="34"/>
        <v>0</v>
      </c>
      <c r="P177" s="1593"/>
      <c r="Q177" s="1593"/>
      <c r="R177" s="1600">
        <f>S177+T177</f>
        <v>100000</v>
      </c>
      <c r="S177" s="1614">
        <v>99000</v>
      </c>
      <c r="T177" s="1614">
        <v>1000</v>
      </c>
      <c r="U177" s="1600">
        <f>V177+W177</f>
        <v>0</v>
      </c>
      <c r="V177" s="1614">
        <v>0</v>
      </c>
      <c r="W177" s="1614">
        <v>0</v>
      </c>
    </row>
    <row r="178" spans="1:24" ht="15.75" hidden="1" customHeight="1">
      <c r="A178" s="2041">
        <f t="shared" si="40"/>
        <v>84</v>
      </c>
      <c r="B178" s="1916" t="s">
        <v>1646</v>
      </c>
      <c r="C178" s="1866"/>
      <c r="D178" s="1600">
        <f t="shared" ref="D178:D185" si="42">SUM(E178:F178)</f>
        <v>0</v>
      </c>
      <c r="E178" s="1614">
        <v>0</v>
      </c>
      <c r="F178" s="1614">
        <v>0</v>
      </c>
      <c r="G178" s="1600">
        <f t="shared" ref="G178:G185" si="43">SUM(H178:I178)</f>
        <v>0</v>
      </c>
      <c r="H178" s="1614">
        <v>0</v>
      </c>
      <c r="I178" s="1614">
        <v>0</v>
      </c>
      <c r="J178" s="1600">
        <f t="shared" ref="J178:J185" si="44">SUM(K178:L178)</f>
        <v>0</v>
      </c>
      <c r="K178" s="1614">
        <v>0</v>
      </c>
      <c r="L178" s="1614">
        <v>0</v>
      </c>
      <c r="M178" s="1600">
        <f t="shared" si="34"/>
        <v>0</v>
      </c>
      <c r="N178" s="1614">
        <f t="shared" si="34"/>
        <v>0</v>
      </c>
      <c r="O178" s="1614">
        <f t="shared" si="34"/>
        <v>0</v>
      </c>
      <c r="P178" s="1593"/>
      <c r="Q178" s="1593"/>
      <c r="R178" s="1600">
        <f>S178+T178</f>
        <v>0</v>
      </c>
      <c r="S178" s="1614">
        <v>0</v>
      </c>
      <c r="T178" s="1614">
        <v>0</v>
      </c>
      <c r="U178" s="1600">
        <f>V178+W178</f>
        <v>202593</v>
      </c>
      <c r="V178" s="1614">
        <v>200566.8</v>
      </c>
      <c r="W178" s="1614">
        <v>2026.2</v>
      </c>
    </row>
    <row r="179" spans="1:24" ht="23.25">
      <c r="A179" s="2041"/>
      <c r="B179" s="1897" t="s">
        <v>1470</v>
      </c>
      <c r="C179" s="1898"/>
      <c r="D179" s="1899">
        <f t="shared" si="42"/>
        <v>48834.2</v>
      </c>
      <c r="E179" s="1899">
        <f>SUM(E180)</f>
        <v>38005.9</v>
      </c>
      <c r="F179" s="1899">
        <f>SUM(F180)</f>
        <v>10828.3</v>
      </c>
      <c r="G179" s="1899">
        <f t="shared" si="43"/>
        <v>48834.2</v>
      </c>
      <c r="H179" s="1899">
        <f>SUM(H180)</f>
        <v>38005.9</v>
      </c>
      <c r="I179" s="1899">
        <f>SUM(I180)</f>
        <v>10828.3</v>
      </c>
      <c r="J179" s="1899">
        <f t="shared" si="44"/>
        <v>18526.2</v>
      </c>
      <c r="K179" s="1899">
        <f>SUM(K180)</f>
        <v>14418.3</v>
      </c>
      <c r="L179" s="1899">
        <f>SUM(L180)</f>
        <v>4107.8999999999996</v>
      </c>
      <c r="M179" s="1910">
        <f t="shared" si="34"/>
        <v>37.9</v>
      </c>
      <c r="N179" s="1911">
        <f t="shared" si="34"/>
        <v>37.9</v>
      </c>
      <c r="O179" s="1911">
        <f t="shared" si="34"/>
        <v>37.9</v>
      </c>
      <c r="P179" s="1599"/>
      <c r="Q179" s="1599"/>
      <c r="R179" s="1899">
        <f t="shared" si="26"/>
        <v>0</v>
      </c>
      <c r="S179" s="1899">
        <f>SUM(S180)</f>
        <v>0</v>
      </c>
      <c r="T179" s="1899">
        <f>SUM(T180)</f>
        <v>0</v>
      </c>
      <c r="U179" s="1899">
        <f t="shared" si="27"/>
        <v>0</v>
      </c>
      <c r="V179" s="1899">
        <f>SUM(V180)</f>
        <v>0</v>
      </c>
      <c r="W179" s="1899">
        <f>SUM(W180)</f>
        <v>0</v>
      </c>
      <c r="X179" s="1423">
        <f>D179-G179</f>
        <v>0</v>
      </c>
    </row>
    <row r="180" spans="1:24" ht="44.25" customHeight="1">
      <c r="A180" s="2041">
        <f>A174+1</f>
        <v>82</v>
      </c>
      <c r="B180" s="1888" t="s">
        <v>1653</v>
      </c>
      <c r="C180" s="2041" t="s">
        <v>1549</v>
      </c>
      <c r="D180" s="1600">
        <f t="shared" si="42"/>
        <v>48834.2</v>
      </c>
      <c r="E180" s="1614">
        <v>38005.9</v>
      </c>
      <c r="F180" s="1614">
        <v>10828.3</v>
      </c>
      <c r="G180" s="1600">
        <f t="shared" si="43"/>
        <v>48834.2</v>
      </c>
      <c r="H180" s="1614">
        <f>E180</f>
        <v>38005.9</v>
      </c>
      <c r="I180" s="1614">
        <f>F180</f>
        <v>10828.3</v>
      </c>
      <c r="J180" s="1600">
        <f t="shared" si="44"/>
        <v>18526.2</v>
      </c>
      <c r="K180" s="1614">
        <v>14418.3</v>
      </c>
      <c r="L180" s="1614">
        <v>4107.8999999999996</v>
      </c>
      <c r="M180" s="1604">
        <f t="shared" si="34"/>
        <v>37.9</v>
      </c>
      <c r="N180" s="1881">
        <f t="shared" si="34"/>
        <v>37.9</v>
      </c>
      <c r="O180" s="1881">
        <f t="shared" si="34"/>
        <v>37.9</v>
      </c>
      <c r="P180" s="1593" t="s">
        <v>1192</v>
      </c>
      <c r="Q180" s="1593" t="s">
        <v>1160</v>
      </c>
      <c r="R180" s="1600">
        <f>SUM(S180:T180)</f>
        <v>0</v>
      </c>
      <c r="S180" s="1614">
        <v>0</v>
      </c>
      <c r="T180" s="1614">
        <v>0</v>
      </c>
      <c r="U180" s="1600">
        <f>SUM(V180:W180)</f>
        <v>0</v>
      </c>
      <c r="V180" s="1614">
        <v>0</v>
      </c>
      <c r="W180" s="1614">
        <v>0</v>
      </c>
      <c r="X180" s="1423">
        <f>D180-G180</f>
        <v>0</v>
      </c>
    </row>
    <row r="181" spans="1:24" ht="27" hidden="1" customHeight="1">
      <c r="A181" s="2041"/>
      <c r="B181" s="1897" t="s">
        <v>1650</v>
      </c>
      <c r="C181" s="1898"/>
      <c r="D181" s="1899">
        <f t="shared" si="42"/>
        <v>0</v>
      </c>
      <c r="E181" s="1899">
        <f>SUM(E182)</f>
        <v>0</v>
      </c>
      <c r="F181" s="1899">
        <f>SUM(F182)</f>
        <v>0</v>
      </c>
      <c r="G181" s="1899">
        <f t="shared" si="43"/>
        <v>0</v>
      </c>
      <c r="H181" s="1899">
        <f>SUM(H182)</f>
        <v>0</v>
      </c>
      <c r="I181" s="1899">
        <f>SUM(I182)</f>
        <v>0</v>
      </c>
      <c r="J181" s="1899">
        <f t="shared" si="44"/>
        <v>0</v>
      </c>
      <c r="K181" s="1899">
        <f>SUM(K182)</f>
        <v>0</v>
      </c>
      <c r="L181" s="1899">
        <f>SUM(L182)</f>
        <v>0</v>
      </c>
      <c r="M181" s="1910">
        <f t="shared" si="34"/>
        <v>0</v>
      </c>
      <c r="N181" s="1911">
        <f t="shared" si="34"/>
        <v>0</v>
      </c>
      <c r="O181" s="1911">
        <f t="shared" si="34"/>
        <v>0</v>
      </c>
      <c r="P181" s="1599"/>
      <c r="Q181" s="1599"/>
      <c r="R181" s="1899">
        <f>SUM(S181:T181)</f>
        <v>0</v>
      </c>
      <c r="S181" s="1899">
        <f>SUM(S182)</f>
        <v>0</v>
      </c>
      <c r="T181" s="1899">
        <f>SUM(T182)</f>
        <v>0</v>
      </c>
      <c r="U181" s="1899">
        <f>SUM(V181:W181)</f>
        <v>788784.8</v>
      </c>
      <c r="V181" s="1899">
        <f>SUM(V182)</f>
        <v>780897</v>
      </c>
      <c r="W181" s="1899">
        <f>SUM(W182)</f>
        <v>7887.8</v>
      </c>
    </row>
    <row r="182" spans="1:24" s="1607" customFormat="1" ht="37.5" hidden="1" customHeight="1">
      <c r="A182" s="2041">
        <f>A180+1</f>
        <v>83</v>
      </c>
      <c r="B182" s="1890" t="s">
        <v>455</v>
      </c>
      <c r="C182" s="1880">
        <v>14057</v>
      </c>
      <c r="D182" s="1600">
        <f t="shared" si="42"/>
        <v>0</v>
      </c>
      <c r="E182" s="1614"/>
      <c r="F182" s="1614"/>
      <c r="G182" s="1600">
        <f t="shared" si="43"/>
        <v>0</v>
      </c>
      <c r="H182" s="1614"/>
      <c r="I182" s="1614"/>
      <c r="J182" s="1600">
        <f t="shared" si="44"/>
        <v>0</v>
      </c>
      <c r="K182" s="1614"/>
      <c r="L182" s="1614"/>
      <c r="M182" s="1604">
        <f t="shared" si="34"/>
        <v>0</v>
      </c>
      <c r="N182" s="1881">
        <f t="shared" si="34"/>
        <v>0</v>
      </c>
      <c r="O182" s="1881">
        <f t="shared" si="34"/>
        <v>0</v>
      </c>
      <c r="P182" s="1593" t="s">
        <v>1192</v>
      </c>
      <c r="Q182" s="1593" t="s">
        <v>1206</v>
      </c>
      <c r="R182" s="1600">
        <f>SUM(S182:T182)</f>
        <v>0</v>
      </c>
      <c r="S182" s="1614">
        <v>0</v>
      </c>
      <c r="T182" s="1614">
        <v>0</v>
      </c>
      <c r="U182" s="1600">
        <f>SUM(V182:W182)</f>
        <v>788784.8</v>
      </c>
      <c r="V182" s="1614">
        <v>780897</v>
      </c>
      <c r="W182" s="1614">
        <v>7887.8</v>
      </c>
    </row>
    <row r="183" spans="1:24" ht="64.5" customHeight="1">
      <c r="A183" s="2044" t="s">
        <v>251</v>
      </c>
      <c r="B183" s="2046" t="s">
        <v>1435</v>
      </c>
      <c r="C183" s="2047"/>
      <c r="D183" s="2048">
        <f t="shared" si="42"/>
        <v>2999492.7</v>
      </c>
      <c r="E183" s="2048">
        <f>E184+E185+E186</f>
        <v>2719850.8</v>
      </c>
      <c r="F183" s="2048">
        <f>F184+F185+F186</f>
        <v>279641.90000000002</v>
      </c>
      <c r="G183" s="2048">
        <f t="shared" si="43"/>
        <v>2999492.7</v>
      </c>
      <c r="H183" s="2048">
        <f>H184+H185+H186</f>
        <v>2719850.8</v>
      </c>
      <c r="I183" s="2048">
        <f>I184+I185+I186</f>
        <v>279641.90000000002</v>
      </c>
      <c r="J183" s="2048">
        <f t="shared" si="44"/>
        <v>641815.69999999995</v>
      </c>
      <c r="K183" s="2048">
        <f>K184+K185+K186</f>
        <v>601672.9</v>
      </c>
      <c r="L183" s="2048">
        <f>L184+L185+L186</f>
        <v>40142.800000000003</v>
      </c>
      <c r="M183" s="2048">
        <f t="shared" si="34"/>
        <v>21.4</v>
      </c>
      <c r="N183" s="2048">
        <f t="shared" si="34"/>
        <v>22.1</v>
      </c>
      <c r="O183" s="2048">
        <f t="shared" si="34"/>
        <v>14.4</v>
      </c>
      <c r="P183" s="1860" t="e">
        <f>P187+P194+P197+P200+P203+P206+P209+P212+#REF!+#REF!+P215+P218+P221+P224+P230+P233+P236+P239+P242+P244+P247+P250+P253+P257+P259+P262+P265+P269+P270+P273</f>
        <v>#REF!</v>
      </c>
      <c r="Q183" s="1860" t="e">
        <f>Q187+Q194+Q197+Q200+Q203+Q206+Q209+Q212+#REF!+#REF!+Q215+Q218+Q221+Q224+Q230+Q233+Q236+Q239+Q242+Q244+Q247+Q250+Q253+Q257+Q259+Q262+Q265+Q269+Q270+Q273</f>
        <v>#REF!</v>
      </c>
      <c r="R183" s="1860" t="e">
        <f>R187+R194+R197+R200+R203+R206+R209+R212+#REF!+#REF!+R215+R218+R221+R224+R230+R233+R236+R239+R242+R244+R247+R250+R253+R257+R259+R262+R265+R269+R270+R273</f>
        <v>#REF!</v>
      </c>
      <c r="S183" s="1860" t="e">
        <f>S187+S194+S197+S200+S203+S206+S209+S212+#REF!+#REF!+S215+S218+S221+S224+S230+S233+S236+S239+S242+S244+S247+S250+S253+S257+S259+S262+S265+S269+S270+S273</f>
        <v>#REF!</v>
      </c>
      <c r="T183" s="1860" t="e">
        <f>T187+T194+T197+T200+T203+T206+T209+T212+#REF!+#REF!+T215+T218+T221+T224+T230+T233+T236+T239+T242+T244+T247+T250+T253+T257+T259+T262+T265+T269+T270+T273</f>
        <v>#REF!</v>
      </c>
      <c r="U183" s="1860" t="e">
        <f>U187+U194+U197+U200+U203+U206+U209+U212+#REF!+#REF!+U215+U218+U221+U224+U230+U233+U236+U239+U242+U244+U247+U250+U253+U257+U259+U262+U265+U269+U270+U273</f>
        <v>#REF!</v>
      </c>
      <c r="V183" s="1860" t="e">
        <f>V187+V194+V197+V200+V203+V206+V209+V212+#REF!+#REF!+V215+V218+V221+V224+V230+V233+V236+V239+V242+V244+V247+V250+V253+V257+V259+V262+V265+V269+V270+V273</f>
        <v>#REF!</v>
      </c>
      <c r="W183" s="1860" t="e">
        <f>W187+W194+W197+W200+W203+W206+W209+W212+#REF!+#REF!+W215+W218+W221+W224+W230+W233+W236+W239+W242+W244+W247+W250+W253+W257+W259+W262+W265+W269+W270+W273</f>
        <v>#REF!</v>
      </c>
      <c r="X183" s="1423">
        <f t="shared" ref="X183:X212" si="45">D183-G183</f>
        <v>0</v>
      </c>
    </row>
    <row r="184" spans="1:24" ht="23.25">
      <c r="A184" s="2044"/>
      <c r="B184" s="2049" t="s">
        <v>1699</v>
      </c>
      <c r="C184" s="2047"/>
      <c r="D184" s="2048">
        <f t="shared" si="42"/>
        <v>2588042</v>
      </c>
      <c r="E184" s="2048">
        <f>E191+E195+E198+E204+E210+E213+E219+E222+E231+E234+E237+E240+E243+E245+E248+E251+E254+E258+E260+E263+E266+E271+E274+E201+E207+E216</f>
        <v>2432463.7000000002</v>
      </c>
      <c r="F184" s="2048">
        <f>F191+F195+F198+F204+F210+F213+F219+F222+F231+F234+F237+F240+F243+F245+F248+F251+F254+F258+F260+F263+F266+F271+F274+F201+F207+F216</f>
        <v>155578.29999999999</v>
      </c>
      <c r="G184" s="2048">
        <f t="shared" si="43"/>
        <v>2588042</v>
      </c>
      <c r="H184" s="2048">
        <f>H191+H195+H198+H204+H210+H213+H219+H222+H231+H234+H237+H240+H243+H245+H248+H251+H254+H258+H260+H263+H266+H271+H274+H201+H207+H216</f>
        <v>2432463.7000000002</v>
      </c>
      <c r="I184" s="2048">
        <f>I191+I195+I198+I204+I210+I213+I219+I222+I231+I234+I237+I240+I243+I245+I248+I251+I254+I258+I260+I263+I266+I271+I274+I201+I207+I216</f>
        <v>155578.29999999999</v>
      </c>
      <c r="J184" s="2048">
        <f t="shared" si="44"/>
        <v>615725.30000000005</v>
      </c>
      <c r="K184" s="2048">
        <f>K191+K195+K198+K204+K210+K213+K219+K222+K231+K234+K237+K240+K243+K245+K248+K251+K254+K258+K260+K263+K266+K271+K274+K201+K207+K216</f>
        <v>578755</v>
      </c>
      <c r="L184" s="2048">
        <f>L191+L195+L198+L204+L210+L213+L219+L222+L231+L234+L237+L240+L243+L245+L248+L251+L254+L258+L260+L263+L266+L271+L274+L201+L207+L216</f>
        <v>36970.300000000003</v>
      </c>
      <c r="M184" s="2048">
        <f t="shared" si="34"/>
        <v>23.8</v>
      </c>
      <c r="N184" s="2048">
        <f t="shared" si="34"/>
        <v>23.8</v>
      </c>
      <c r="O184" s="2048">
        <f t="shared" si="34"/>
        <v>23.8</v>
      </c>
      <c r="P184" s="1860"/>
      <c r="Q184" s="1860"/>
      <c r="R184" s="1860"/>
      <c r="S184" s="1860"/>
      <c r="T184" s="1860"/>
      <c r="U184" s="1860"/>
      <c r="V184" s="1860"/>
      <c r="W184" s="1860"/>
      <c r="X184" s="1423">
        <f t="shared" si="45"/>
        <v>0</v>
      </c>
    </row>
    <row r="185" spans="1:24" ht="26.25" customHeight="1">
      <c r="A185" s="2044"/>
      <c r="B185" s="2049" t="s">
        <v>1770</v>
      </c>
      <c r="C185" s="2047"/>
      <c r="D185" s="2048">
        <f t="shared" si="42"/>
        <v>306147.5</v>
      </c>
      <c r="E185" s="2049">
        <f>E188+E192+E196+E199+E202+E205+E208+E211+E214+E220+E223+E225+E232+E238+E241+E255+E261+E267+E272+E275+E228</f>
        <v>287387.09999999998</v>
      </c>
      <c r="F185" s="2049">
        <f>F188+F192+F196+F199+F202+F205+F208+F211+F214+F220+F223+F225+F232+F238+F241+F255+F261+F267+F272+F275+F228</f>
        <v>18760.400000000001</v>
      </c>
      <c r="G185" s="2048">
        <f t="shared" si="43"/>
        <v>306147.5</v>
      </c>
      <c r="H185" s="2049">
        <f>H188+H192+H196+H199+H202+H205+H208+H211+H214+H220+H223+H225+H232+H238+H241+H255+H261+H267+H272+H275+H228</f>
        <v>287387.09999999998</v>
      </c>
      <c r="I185" s="2049">
        <f>I188+I192+I196+I199+I202+I205+I208+I211+I214+I220+I223+I225+I232+I238+I241+I255+I261+I267+I272+I275+I228</f>
        <v>18760.400000000001</v>
      </c>
      <c r="J185" s="2048">
        <f t="shared" si="44"/>
        <v>24381.200000000001</v>
      </c>
      <c r="K185" s="2049">
        <f>K188+K192+K196+K199+K202+K205+K208+K211+K214+K220+K223+K225+K232+K238+K241+K255+K261+K267+K272+K275+K228</f>
        <v>22917.9</v>
      </c>
      <c r="L185" s="2049">
        <f>L188+L192+L196+L199+L202+L205+L208+L211+L214+L220+L223+L225+L232+L238+L241+L255+L261+L267+L272+L275+L228</f>
        <v>1463.3</v>
      </c>
      <c r="M185" s="2049">
        <f>IF(J185=0,0,J185/G185*100)</f>
        <v>8</v>
      </c>
      <c r="N185" s="2049">
        <f>IF(K185=0,0,K185/H185*100)</f>
        <v>8</v>
      </c>
      <c r="O185" s="2049">
        <f>IF(L185=0,0,L185/I185*100)</f>
        <v>7.8</v>
      </c>
      <c r="P185" s="1593"/>
      <c r="Q185" s="1593"/>
      <c r="R185" s="1600"/>
      <c r="S185" s="1619"/>
      <c r="T185" s="1619"/>
      <c r="U185" s="1600"/>
      <c r="V185" s="1619"/>
      <c r="W185" s="1619"/>
      <c r="X185" s="1423">
        <f>D185-G185</f>
        <v>0</v>
      </c>
    </row>
    <row r="186" spans="1:24" ht="23.25">
      <c r="A186" s="2044"/>
      <c r="B186" s="2049" t="s">
        <v>1700</v>
      </c>
      <c r="C186" s="2047"/>
      <c r="D186" s="2048">
        <f t="shared" ref="D186:L186" si="46">D189+D193+D217+D226+D235+D249+D268+D229+D252+D256</f>
        <v>105303.2</v>
      </c>
      <c r="E186" s="2048">
        <f t="shared" si="46"/>
        <v>0</v>
      </c>
      <c r="F186" s="2048">
        <f t="shared" si="46"/>
        <v>105303.2</v>
      </c>
      <c r="G186" s="2048">
        <f t="shared" si="46"/>
        <v>105303.2</v>
      </c>
      <c r="H186" s="2048">
        <f t="shared" si="46"/>
        <v>0</v>
      </c>
      <c r="I186" s="2048">
        <f t="shared" si="46"/>
        <v>105303.2</v>
      </c>
      <c r="J186" s="2048">
        <f t="shared" si="46"/>
        <v>1709.2</v>
      </c>
      <c r="K186" s="2048">
        <f t="shared" si="46"/>
        <v>0</v>
      </c>
      <c r="L186" s="2048">
        <f t="shared" si="46"/>
        <v>1709.2</v>
      </c>
      <c r="M186" s="2048">
        <f t="shared" si="34"/>
        <v>1.6</v>
      </c>
      <c r="N186" s="2048">
        <f t="shared" si="34"/>
        <v>0</v>
      </c>
      <c r="O186" s="2048">
        <f t="shared" si="34"/>
        <v>1.6</v>
      </c>
      <c r="P186" s="1860"/>
      <c r="Q186" s="1860"/>
      <c r="R186" s="1860"/>
      <c r="S186" s="1860"/>
      <c r="T186" s="1860"/>
      <c r="U186" s="1860"/>
      <c r="V186" s="1860"/>
      <c r="W186" s="1860"/>
      <c r="X186" s="1423">
        <f t="shared" si="45"/>
        <v>0</v>
      </c>
    </row>
    <row r="187" spans="1:24" ht="67.5" customHeight="1">
      <c r="A187" s="2041">
        <f>A180+1</f>
        <v>83</v>
      </c>
      <c r="B187" s="1919" t="s">
        <v>1709</v>
      </c>
      <c r="C187" s="2042"/>
      <c r="D187" s="1602">
        <f>SUM(E187:F187)</f>
        <v>4641.7</v>
      </c>
      <c r="E187" s="1609">
        <f>E188+E189</f>
        <v>612.20000000000005</v>
      </c>
      <c r="F187" s="1609">
        <f>F188+F189</f>
        <v>4029.5</v>
      </c>
      <c r="G187" s="1600">
        <f>SUM(H187:I187)</f>
        <v>4641.7</v>
      </c>
      <c r="H187" s="1619">
        <f>H188+H189</f>
        <v>612.20000000000005</v>
      </c>
      <c r="I187" s="1619">
        <f>I188+I189</f>
        <v>4029.5</v>
      </c>
      <c r="J187" s="1600">
        <f>SUM(K187:L187)</f>
        <v>1334.4</v>
      </c>
      <c r="K187" s="1619">
        <f>K188+K189</f>
        <v>0</v>
      </c>
      <c r="L187" s="1619">
        <f>L188+L189</f>
        <v>1334.4</v>
      </c>
      <c r="M187" s="1602">
        <f t="shared" si="34"/>
        <v>28.7</v>
      </c>
      <c r="N187" s="1602">
        <f t="shared" si="34"/>
        <v>0</v>
      </c>
      <c r="O187" s="1602">
        <f t="shared" si="34"/>
        <v>33.1</v>
      </c>
      <c r="P187" s="1593"/>
      <c r="Q187" s="1593"/>
      <c r="R187" s="1600">
        <f>S187+T187</f>
        <v>0</v>
      </c>
      <c r="S187" s="1619">
        <v>0</v>
      </c>
      <c r="T187" s="1619">
        <v>0</v>
      </c>
      <c r="U187" s="1600">
        <f>V187+W187</f>
        <v>0</v>
      </c>
      <c r="V187" s="1619">
        <v>0</v>
      </c>
      <c r="W187" s="1619">
        <v>0</v>
      </c>
      <c r="X187" s="1423">
        <f t="shared" si="45"/>
        <v>0</v>
      </c>
    </row>
    <row r="188" spans="1:24" ht="26.25" customHeight="1">
      <c r="A188" s="2041"/>
      <c r="B188" s="1609" t="s">
        <v>1770</v>
      </c>
      <c r="C188" s="2042"/>
      <c r="D188" s="1602">
        <f>SUM(E188:F188)</f>
        <v>652.9</v>
      </c>
      <c r="E188" s="1609">
        <v>612.20000000000005</v>
      </c>
      <c r="F188" s="1609">
        <v>40.700000000000003</v>
      </c>
      <c r="G188" s="1600">
        <f>SUM(H188:I188)</f>
        <v>652.9</v>
      </c>
      <c r="H188" s="1619">
        <f t="shared" ref="H188:I251" si="47">E188</f>
        <v>612.20000000000005</v>
      </c>
      <c r="I188" s="1619">
        <f t="shared" si="47"/>
        <v>40.700000000000003</v>
      </c>
      <c r="J188" s="1600">
        <f>SUM(K188:L188)</f>
        <v>0</v>
      </c>
      <c r="K188" s="1619"/>
      <c r="L188" s="1619"/>
      <c r="M188" s="1619">
        <f t="shared" si="34"/>
        <v>0</v>
      </c>
      <c r="N188" s="1619">
        <f t="shared" si="34"/>
        <v>0</v>
      </c>
      <c r="O188" s="1619">
        <f t="shared" si="34"/>
        <v>0</v>
      </c>
      <c r="P188" s="1593"/>
      <c r="Q188" s="1593"/>
      <c r="R188" s="1600"/>
      <c r="S188" s="1619"/>
      <c r="T188" s="1619"/>
      <c r="U188" s="1600"/>
      <c r="V188" s="1619"/>
      <c r="W188" s="1619"/>
      <c r="X188" s="1423">
        <f t="shared" si="45"/>
        <v>0</v>
      </c>
    </row>
    <row r="189" spans="1:24" ht="23.25">
      <c r="A189" s="2041"/>
      <c r="B189" s="1609" t="s">
        <v>1621</v>
      </c>
      <c r="C189" s="2042"/>
      <c r="D189" s="1602">
        <f>SUM(E189:F189)</f>
        <v>3988.8</v>
      </c>
      <c r="E189" s="1609"/>
      <c r="F189" s="1609">
        <v>3988.8</v>
      </c>
      <c r="G189" s="1600">
        <f>SUM(H189:I189)</f>
        <v>3988.8</v>
      </c>
      <c r="H189" s="1619">
        <f t="shared" si="47"/>
        <v>0</v>
      </c>
      <c r="I189" s="1619">
        <f t="shared" si="47"/>
        <v>3988.8</v>
      </c>
      <c r="J189" s="1600">
        <f>SUM(K189:L189)</f>
        <v>1334.4</v>
      </c>
      <c r="K189" s="1619"/>
      <c r="L189" s="1619">
        <v>1334.4</v>
      </c>
      <c r="M189" s="1602">
        <f t="shared" si="34"/>
        <v>33.5</v>
      </c>
      <c r="N189" s="1602">
        <f t="shared" si="34"/>
        <v>0</v>
      </c>
      <c r="O189" s="1602">
        <f t="shared" si="34"/>
        <v>33.5</v>
      </c>
      <c r="P189" s="1593"/>
      <c r="Q189" s="1593"/>
      <c r="R189" s="1600">
        <f>S189+T189</f>
        <v>0</v>
      </c>
      <c r="S189" s="1619">
        <v>0</v>
      </c>
      <c r="T189" s="1619">
        <v>0</v>
      </c>
      <c r="U189" s="1600">
        <f>V189+W189</f>
        <v>0</v>
      </c>
      <c r="V189" s="1619">
        <v>0</v>
      </c>
      <c r="W189" s="1619">
        <v>0</v>
      </c>
      <c r="X189" s="1423">
        <f t="shared" si="45"/>
        <v>0</v>
      </c>
    </row>
    <row r="190" spans="1:24" ht="38.25" customHeight="1">
      <c r="A190" s="2041">
        <f>A187+1</f>
        <v>84</v>
      </c>
      <c r="B190" s="1919" t="s">
        <v>1702</v>
      </c>
      <c r="C190" s="2042"/>
      <c r="D190" s="1602">
        <f>SUM(E190:F190)</f>
        <v>125786.6</v>
      </c>
      <c r="E190" s="1609">
        <f>E191+E192+E193</f>
        <v>113479.7</v>
      </c>
      <c r="F190" s="1609">
        <f>F191+F192+F193</f>
        <v>12306.9</v>
      </c>
      <c r="G190" s="1600">
        <f>SUM(H190:I190)</f>
        <v>125786.6</v>
      </c>
      <c r="H190" s="1619">
        <f>H191+H192+H193</f>
        <v>113479.7</v>
      </c>
      <c r="I190" s="1619">
        <f>I191+I192+I193</f>
        <v>12306.9</v>
      </c>
      <c r="J190" s="1600">
        <f>SUM(K190:L190)</f>
        <v>30</v>
      </c>
      <c r="K190" s="1619">
        <f>K191+K192+K193</f>
        <v>0</v>
      </c>
      <c r="L190" s="1619">
        <f>L191+L192+L193</f>
        <v>30</v>
      </c>
      <c r="M190" s="1602">
        <f t="shared" si="34"/>
        <v>0</v>
      </c>
      <c r="N190" s="1602">
        <f t="shared" si="34"/>
        <v>0</v>
      </c>
      <c r="O190" s="1602">
        <f t="shared" si="34"/>
        <v>0.2</v>
      </c>
      <c r="P190" s="1593"/>
      <c r="Q190" s="1593"/>
      <c r="R190" s="1600"/>
      <c r="S190" s="1619"/>
      <c r="T190" s="1619"/>
      <c r="U190" s="1600"/>
      <c r="V190" s="1619"/>
      <c r="W190" s="1619"/>
      <c r="X190" s="1423">
        <f t="shared" si="45"/>
        <v>0</v>
      </c>
    </row>
    <row r="191" spans="1:24" ht="19.5" hidden="1" customHeight="1">
      <c r="A191" s="2041"/>
      <c r="B191" s="1609"/>
      <c r="C191" s="2042"/>
      <c r="D191" s="1602"/>
      <c r="E191" s="1609"/>
      <c r="F191" s="1609"/>
      <c r="G191" s="1600"/>
      <c r="H191" s="1619">
        <f t="shared" si="47"/>
        <v>0</v>
      </c>
      <c r="I191" s="1619">
        <f t="shared" si="47"/>
        <v>0</v>
      </c>
      <c r="J191" s="1600"/>
      <c r="K191" s="1619"/>
      <c r="L191" s="1619"/>
      <c r="M191" s="1619"/>
      <c r="N191" s="1619"/>
      <c r="O191" s="1619"/>
      <c r="P191" s="1593"/>
      <c r="Q191" s="1593"/>
      <c r="R191" s="1600"/>
      <c r="S191" s="1619"/>
      <c r="T191" s="1619"/>
      <c r="U191" s="1600"/>
      <c r="V191" s="1619"/>
      <c r="W191" s="1619"/>
      <c r="X191" s="1423"/>
    </row>
    <row r="192" spans="1:24" ht="26.25" customHeight="1">
      <c r="A192" s="2041"/>
      <c r="B192" s="1609" t="s">
        <v>1770</v>
      </c>
      <c r="C192" s="2042"/>
      <c r="D192" s="1602">
        <f t="shared" ref="D192:D255" si="48">SUM(E192:F192)</f>
        <v>121121.5</v>
      </c>
      <c r="E192" s="1609">
        <f>946.8+112532.9</f>
        <v>113479.7</v>
      </c>
      <c r="F192" s="1609">
        <f>63.8+7578</f>
        <v>7641.8</v>
      </c>
      <c r="G192" s="1600">
        <f t="shared" ref="G192:G244" si="49">SUM(H192:I192)</f>
        <v>121121.5</v>
      </c>
      <c r="H192" s="1619">
        <f t="shared" si="47"/>
        <v>113479.7</v>
      </c>
      <c r="I192" s="1619">
        <f t="shared" si="47"/>
        <v>7641.8</v>
      </c>
      <c r="J192" s="1600">
        <f t="shared" ref="J192:J255" si="50">SUM(K192:L192)</f>
        <v>0</v>
      </c>
      <c r="K192" s="1619"/>
      <c r="L192" s="1619"/>
      <c r="M192" s="1619">
        <f>IF(J192=0,0,J192/G192*100)</f>
        <v>0</v>
      </c>
      <c r="N192" s="1619">
        <f>IF(K192=0,0,K192/H192*100)</f>
        <v>0</v>
      </c>
      <c r="O192" s="1619">
        <f>IF(L192=0,0,L192/I192*100)</f>
        <v>0</v>
      </c>
      <c r="P192" s="1593"/>
      <c r="Q192" s="1593"/>
      <c r="R192" s="1600"/>
      <c r="S192" s="1619"/>
      <c r="T192" s="1619"/>
      <c r="U192" s="1600"/>
      <c r="V192" s="1619"/>
      <c r="W192" s="1619"/>
      <c r="X192" s="1423">
        <f>D192-G192</f>
        <v>0</v>
      </c>
    </row>
    <row r="193" spans="1:24" ht="23.25">
      <c r="A193" s="2041"/>
      <c r="B193" s="1609" t="s">
        <v>1621</v>
      </c>
      <c r="C193" s="2042"/>
      <c r="D193" s="1602">
        <f t="shared" si="48"/>
        <v>4665.1000000000004</v>
      </c>
      <c r="E193" s="1609"/>
      <c r="F193" s="1609">
        <f>4443.3+221.8</f>
        <v>4665.1000000000004</v>
      </c>
      <c r="G193" s="1600">
        <f t="shared" si="49"/>
        <v>4665.1000000000004</v>
      </c>
      <c r="H193" s="1619">
        <f t="shared" si="47"/>
        <v>0</v>
      </c>
      <c r="I193" s="1619">
        <f t="shared" si="47"/>
        <v>4665.1000000000004</v>
      </c>
      <c r="J193" s="1600">
        <f t="shared" si="50"/>
        <v>30</v>
      </c>
      <c r="K193" s="1619"/>
      <c r="L193" s="1619">
        <v>30</v>
      </c>
      <c r="M193" s="1602">
        <f t="shared" si="34"/>
        <v>0.6</v>
      </c>
      <c r="N193" s="1602">
        <f t="shared" si="34"/>
        <v>0</v>
      </c>
      <c r="O193" s="1602">
        <f t="shared" si="34"/>
        <v>0.6</v>
      </c>
      <c r="P193" s="1593"/>
      <c r="Q193" s="1593"/>
      <c r="R193" s="1600"/>
      <c r="S193" s="1619"/>
      <c r="T193" s="1619"/>
      <c r="U193" s="1600"/>
      <c r="V193" s="1619"/>
      <c r="W193" s="1619"/>
      <c r="X193" s="1423">
        <f t="shared" si="45"/>
        <v>0</v>
      </c>
    </row>
    <row r="194" spans="1:24" ht="40.5" customHeight="1">
      <c r="A194" s="2041">
        <f>A190+1</f>
        <v>85</v>
      </c>
      <c r="B194" s="1919" t="s">
        <v>1590</v>
      </c>
      <c r="C194" s="2042"/>
      <c r="D194" s="1602">
        <f t="shared" si="48"/>
        <v>20824.900000000001</v>
      </c>
      <c r="E194" s="1609">
        <f>SUM(E195:E196)</f>
        <v>19575.5</v>
      </c>
      <c r="F194" s="1609">
        <f>SUM(F195:F196)</f>
        <v>1249.4000000000001</v>
      </c>
      <c r="G194" s="1600">
        <f t="shared" si="49"/>
        <v>20824.900000000001</v>
      </c>
      <c r="H194" s="1619">
        <f>SUM(H195:H196)</f>
        <v>19575.5</v>
      </c>
      <c r="I194" s="1619">
        <f>SUM(I195:I196)</f>
        <v>1249.4000000000001</v>
      </c>
      <c r="J194" s="1600">
        <f t="shared" si="50"/>
        <v>85.4</v>
      </c>
      <c r="K194" s="1619">
        <f>SUM(K195:K196)</f>
        <v>80.3</v>
      </c>
      <c r="L194" s="1619">
        <f>SUM(L195:L196)</f>
        <v>5.0999999999999996</v>
      </c>
      <c r="M194" s="1619">
        <f t="shared" si="34"/>
        <v>0.4</v>
      </c>
      <c r="N194" s="1619">
        <f t="shared" si="34"/>
        <v>0.4</v>
      </c>
      <c r="O194" s="1619">
        <f t="shared" si="34"/>
        <v>0.4</v>
      </c>
      <c r="P194" s="1619">
        <v>0</v>
      </c>
      <c r="Q194" s="1619">
        <v>0</v>
      </c>
      <c r="R194" s="1600">
        <f>S194+T194</f>
        <v>0</v>
      </c>
      <c r="S194" s="1619">
        <v>0</v>
      </c>
      <c r="T194" s="1619">
        <v>0</v>
      </c>
      <c r="U194" s="1600">
        <f>V194+W194</f>
        <v>0</v>
      </c>
      <c r="V194" s="1619">
        <v>0</v>
      </c>
      <c r="W194" s="1619">
        <v>0</v>
      </c>
      <c r="X194" s="1423">
        <f t="shared" si="45"/>
        <v>0</v>
      </c>
    </row>
    <row r="195" spans="1:24" ht="40.5" customHeight="1">
      <c r="A195" s="2041"/>
      <c r="B195" s="1609" t="s">
        <v>1620</v>
      </c>
      <c r="C195" s="2042"/>
      <c r="D195" s="1602">
        <f t="shared" si="48"/>
        <v>9872.7000000000007</v>
      </c>
      <c r="E195" s="1609">
        <v>9280.4</v>
      </c>
      <c r="F195" s="1609">
        <v>592.29999999999995</v>
      </c>
      <c r="G195" s="1600">
        <f t="shared" si="49"/>
        <v>9872.7000000000007</v>
      </c>
      <c r="H195" s="1619">
        <f t="shared" si="47"/>
        <v>9280.4</v>
      </c>
      <c r="I195" s="1619">
        <f t="shared" si="47"/>
        <v>592.29999999999995</v>
      </c>
      <c r="J195" s="1600">
        <f t="shared" si="50"/>
        <v>85.4</v>
      </c>
      <c r="K195" s="1619">
        <v>80.3</v>
      </c>
      <c r="L195" s="1619">
        <v>5.0999999999999996</v>
      </c>
      <c r="M195" s="1619"/>
      <c r="N195" s="1619"/>
      <c r="O195" s="1619"/>
      <c r="P195" s="1619"/>
      <c r="Q195" s="1619"/>
      <c r="R195" s="1600"/>
      <c r="S195" s="1619"/>
      <c r="T195" s="1619"/>
      <c r="U195" s="1600"/>
      <c r="V195" s="1619"/>
      <c r="W195" s="1619"/>
      <c r="X195" s="1423"/>
    </row>
    <row r="196" spans="1:24" ht="40.5" customHeight="1">
      <c r="A196" s="2041"/>
      <c r="B196" s="1609" t="s">
        <v>1770</v>
      </c>
      <c r="C196" s="2042"/>
      <c r="D196" s="1602">
        <f t="shared" si="48"/>
        <v>10952.2</v>
      </c>
      <c r="E196" s="1609">
        <f>8974.9+1320.2</f>
        <v>10295.1</v>
      </c>
      <c r="F196" s="1609">
        <f>572.8+84.3</f>
        <v>657.1</v>
      </c>
      <c r="G196" s="1600">
        <f t="shared" si="49"/>
        <v>10952.2</v>
      </c>
      <c r="H196" s="1619">
        <f t="shared" si="47"/>
        <v>10295.1</v>
      </c>
      <c r="I196" s="1619">
        <f t="shared" si="47"/>
        <v>657.1</v>
      </c>
      <c r="J196" s="1600">
        <f t="shared" si="50"/>
        <v>0</v>
      </c>
      <c r="K196" s="1619"/>
      <c r="L196" s="1619"/>
      <c r="M196" s="1619"/>
      <c r="N196" s="1619"/>
      <c r="O196" s="1619"/>
      <c r="P196" s="1619"/>
      <c r="Q196" s="1619"/>
      <c r="R196" s="1600"/>
      <c r="S196" s="1619"/>
      <c r="T196" s="1619"/>
      <c r="U196" s="1600"/>
      <c r="V196" s="1619"/>
      <c r="W196" s="1619"/>
      <c r="X196" s="1423"/>
    </row>
    <row r="197" spans="1:24" ht="58.5" customHeight="1">
      <c r="A197" s="2041">
        <f>A194+1</f>
        <v>86</v>
      </c>
      <c r="B197" s="1915" t="s">
        <v>1655</v>
      </c>
      <c r="C197" s="2041" t="s">
        <v>1544</v>
      </c>
      <c r="D197" s="1602">
        <f t="shared" si="48"/>
        <v>1408.4</v>
      </c>
      <c r="E197" s="1615">
        <f>E198+E199</f>
        <v>1323.9</v>
      </c>
      <c r="F197" s="1615">
        <f>F198+F199</f>
        <v>84.5</v>
      </c>
      <c r="G197" s="1600">
        <f t="shared" si="49"/>
        <v>1408.4</v>
      </c>
      <c r="H197" s="1614">
        <f>H198+H199</f>
        <v>1323.9</v>
      </c>
      <c r="I197" s="1614">
        <f>I198+I199</f>
        <v>84.5</v>
      </c>
      <c r="J197" s="1600">
        <f t="shared" si="50"/>
        <v>0</v>
      </c>
      <c r="K197" s="1614">
        <f>K198+K199</f>
        <v>0</v>
      </c>
      <c r="L197" s="1614">
        <f>L198+L199</f>
        <v>0</v>
      </c>
      <c r="M197" s="1893">
        <f t="shared" si="34"/>
        <v>0</v>
      </c>
      <c r="N197" s="1894">
        <f t="shared" si="34"/>
        <v>0</v>
      </c>
      <c r="O197" s="1894">
        <f t="shared" si="34"/>
        <v>0</v>
      </c>
      <c r="P197" s="1593"/>
      <c r="Q197" s="1593"/>
      <c r="R197" s="1600">
        <f>S197+T197</f>
        <v>0</v>
      </c>
      <c r="S197" s="1619">
        <v>0</v>
      </c>
      <c r="T197" s="1619">
        <v>0</v>
      </c>
      <c r="U197" s="1600">
        <f>V197+W197</f>
        <v>0</v>
      </c>
      <c r="V197" s="1619">
        <v>0</v>
      </c>
      <c r="W197" s="1619">
        <v>0</v>
      </c>
      <c r="X197" s="1423">
        <f t="shared" si="45"/>
        <v>0</v>
      </c>
    </row>
    <row r="198" spans="1:24" ht="40.5" customHeight="1">
      <c r="A198" s="2041"/>
      <c r="B198" s="1609" t="s">
        <v>1620</v>
      </c>
      <c r="C198" s="2042"/>
      <c r="D198" s="1602">
        <f t="shared" si="48"/>
        <v>1388.4</v>
      </c>
      <c r="E198" s="1609">
        <v>1305.0999999999999</v>
      </c>
      <c r="F198" s="1609">
        <v>83.3</v>
      </c>
      <c r="G198" s="1600">
        <f t="shared" si="49"/>
        <v>1388.4</v>
      </c>
      <c r="H198" s="1619">
        <f t="shared" si="47"/>
        <v>1305.0999999999999</v>
      </c>
      <c r="I198" s="1619">
        <f t="shared" si="47"/>
        <v>83.3</v>
      </c>
      <c r="J198" s="1600">
        <f t="shared" si="50"/>
        <v>0</v>
      </c>
      <c r="K198" s="1619"/>
      <c r="L198" s="1619"/>
      <c r="M198" s="1619"/>
      <c r="N198" s="1619"/>
      <c r="O198" s="1619"/>
      <c r="P198" s="1619"/>
      <c r="Q198" s="1619"/>
      <c r="R198" s="1600"/>
      <c r="S198" s="1619"/>
      <c r="T198" s="1619"/>
      <c r="U198" s="1600"/>
      <c r="V198" s="1619"/>
      <c r="W198" s="1619"/>
      <c r="X198" s="1423"/>
    </row>
    <row r="199" spans="1:24" ht="40.5" customHeight="1">
      <c r="A199" s="2041"/>
      <c r="B199" s="1609" t="s">
        <v>1770</v>
      </c>
      <c r="C199" s="2042"/>
      <c r="D199" s="1602">
        <f t="shared" si="48"/>
        <v>20</v>
      </c>
      <c r="E199" s="1609">
        <v>18.8</v>
      </c>
      <c r="F199" s="1609">
        <v>1.2</v>
      </c>
      <c r="G199" s="1600">
        <f t="shared" si="49"/>
        <v>20</v>
      </c>
      <c r="H199" s="1619">
        <f t="shared" si="47"/>
        <v>18.8</v>
      </c>
      <c r="I199" s="1619">
        <f t="shared" si="47"/>
        <v>1.2</v>
      </c>
      <c r="J199" s="1600">
        <f t="shared" si="50"/>
        <v>0</v>
      </c>
      <c r="K199" s="1619"/>
      <c r="L199" s="1619"/>
      <c r="M199" s="1619"/>
      <c r="N199" s="1619"/>
      <c r="O199" s="1619"/>
      <c r="P199" s="1619"/>
      <c r="Q199" s="1619"/>
      <c r="R199" s="1600"/>
      <c r="S199" s="1619"/>
      <c r="T199" s="1619"/>
      <c r="U199" s="1600"/>
      <c r="V199" s="1619"/>
      <c r="W199" s="1619"/>
      <c r="X199" s="1423"/>
    </row>
    <row r="200" spans="1:24" ht="85.5" customHeight="1">
      <c r="A200" s="2041">
        <f>A197+1</f>
        <v>87</v>
      </c>
      <c r="B200" s="1919" t="s">
        <v>1656</v>
      </c>
      <c r="C200" s="2042"/>
      <c r="D200" s="1602">
        <f t="shared" si="48"/>
        <v>35045.9</v>
      </c>
      <c r="E200" s="1609">
        <f>E201+E202</f>
        <v>32942.9</v>
      </c>
      <c r="F200" s="1609">
        <f>F201+F202</f>
        <v>2103</v>
      </c>
      <c r="G200" s="1600">
        <f t="shared" si="49"/>
        <v>35045.9</v>
      </c>
      <c r="H200" s="1609">
        <f>H201+H202</f>
        <v>32942.9</v>
      </c>
      <c r="I200" s="1609">
        <f>I201+I202</f>
        <v>2103</v>
      </c>
      <c r="J200" s="1600">
        <f t="shared" si="50"/>
        <v>18.399999999999999</v>
      </c>
      <c r="K200" s="1609">
        <f>K201+K202</f>
        <v>17.3</v>
      </c>
      <c r="L200" s="1609">
        <f>L201+L202</f>
        <v>1.1000000000000001</v>
      </c>
      <c r="M200" s="1893">
        <f t="shared" si="34"/>
        <v>0.1</v>
      </c>
      <c r="N200" s="1893">
        <f t="shared" si="34"/>
        <v>0.1</v>
      </c>
      <c r="O200" s="1893">
        <f t="shared" si="34"/>
        <v>0.1</v>
      </c>
      <c r="P200" s="1593"/>
      <c r="Q200" s="1593"/>
      <c r="R200" s="1600">
        <f>S200+T200</f>
        <v>0</v>
      </c>
      <c r="S200" s="1619">
        <v>0</v>
      </c>
      <c r="T200" s="1619">
        <v>0</v>
      </c>
      <c r="U200" s="1600">
        <f>V200+W200</f>
        <v>0</v>
      </c>
      <c r="V200" s="1619">
        <v>0</v>
      </c>
      <c r="W200" s="1619">
        <v>0</v>
      </c>
      <c r="X200" s="1423">
        <f t="shared" si="45"/>
        <v>0</v>
      </c>
    </row>
    <row r="201" spans="1:24" ht="23.25">
      <c r="A201" s="2041"/>
      <c r="B201" s="1609" t="s">
        <v>1620</v>
      </c>
      <c r="C201" s="2042"/>
      <c r="D201" s="1602">
        <f t="shared" si="48"/>
        <v>17204.7</v>
      </c>
      <c r="E201" s="1609">
        <v>16172.3</v>
      </c>
      <c r="F201" s="1609">
        <v>1032.4000000000001</v>
      </c>
      <c r="G201" s="1600">
        <f t="shared" si="49"/>
        <v>17204.7</v>
      </c>
      <c r="H201" s="1619">
        <f t="shared" si="47"/>
        <v>16172.3</v>
      </c>
      <c r="I201" s="1619">
        <f t="shared" si="47"/>
        <v>1032.4000000000001</v>
      </c>
      <c r="J201" s="1600">
        <f t="shared" si="50"/>
        <v>18.399999999999999</v>
      </c>
      <c r="K201" s="1619">
        <v>17.3</v>
      </c>
      <c r="L201" s="1619">
        <v>1.1000000000000001</v>
      </c>
      <c r="M201" s="1619"/>
      <c r="N201" s="1619"/>
      <c r="O201" s="1619"/>
      <c r="P201" s="1619"/>
      <c r="Q201" s="1619"/>
      <c r="R201" s="1600"/>
      <c r="S201" s="1619"/>
      <c r="T201" s="1619"/>
      <c r="U201" s="1600"/>
      <c r="V201" s="1619"/>
      <c r="W201" s="1619"/>
      <c r="X201" s="1423"/>
    </row>
    <row r="202" spans="1:24" ht="23.25">
      <c r="A202" s="2041"/>
      <c r="B202" s="1609" t="s">
        <v>1770</v>
      </c>
      <c r="C202" s="2042"/>
      <c r="D202" s="1602">
        <f t="shared" si="48"/>
        <v>17841.2</v>
      </c>
      <c r="E202" s="1609">
        <f>16053.6+717</f>
        <v>16770.599999999999</v>
      </c>
      <c r="F202" s="1609">
        <f>1024.8+45.8</f>
        <v>1070.5999999999999</v>
      </c>
      <c r="G202" s="1600">
        <f t="shared" si="49"/>
        <v>17841.2</v>
      </c>
      <c r="H202" s="1619">
        <f t="shared" si="47"/>
        <v>16770.599999999999</v>
      </c>
      <c r="I202" s="1619">
        <f t="shared" si="47"/>
        <v>1070.5999999999999</v>
      </c>
      <c r="J202" s="1600">
        <f t="shared" si="50"/>
        <v>0</v>
      </c>
      <c r="K202" s="1619"/>
      <c r="L202" s="1619"/>
      <c r="M202" s="1619"/>
      <c r="N202" s="1619"/>
      <c r="O202" s="1619"/>
      <c r="P202" s="1619"/>
      <c r="Q202" s="1619"/>
      <c r="R202" s="1600"/>
      <c r="S202" s="1619"/>
      <c r="T202" s="1619"/>
      <c r="U202" s="1600"/>
      <c r="V202" s="1619"/>
      <c r="W202" s="1619"/>
      <c r="X202" s="1423"/>
    </row>
    <row r="203" spans="1:24" ht="68.25" customHeight="1">
      <c r="A203" s="2041">
        <f>A200+1</f>
        <v>88</v>
      </c>
      <c r="B203" s="1919" t="s">
        <v>1583</v>
      </c>
      <c r="C203" s="2042"/>
      <c r="D203" s="1602">
        <f t="shared" si="48"/>
        <v>9677.2999999999993</v>
      </c>
      <c r="E203" s="1609">
        <f>E204+E205</f>
        <v>9096.6</v>
      </c>
      <c r="F203" s="1609">
        <f>F204+F205</f>
        <v>580.70000000000005</v>
      </c>
      <c r="G203" s="1600">
        <f t="shared" si="49"/>
        <v>9677.2999999999993</v>
      </c>
      <c r="H203" s="1609">
        <f>H204+H205</f>
        <v>9096.6</v>
      </c>
      <c r="I203" s="1609">
        <f>I204+I205</f>
        <v>580.70000000000005</v>
      </c>
      <c r="J203" s="1600">
        <f t="shared" si="50"/>
        <v>0</v>
      </c>
      <c r="K203" s="1609">
        <f>K204+K205</f>
        <v>0</v>
      </c>
      <c r="L203" s="1609">
        <f>L204+L205</f>
        <v>0</v>
      </c>
      <c r="M203" s="1893">
        <f t="shared" si="34"/>
        <v>0</v>
      </c>
      <c r="N203" s="1893">
        <f t="shared" si="34"/>
        <v>0</v>
      </c>
      <c r="O203" s="1893">
        <f t="shared" si="34"/>
        <v>0</v>
      </c>
      <c r="P203" s="1593"/>
      <c r="Q203" s="1593"/>
      <c r="R203" s="1600">
        <f>S203+T203</f>
        <v>0</v>
      </c>
      <c r="S203" s="1619">
        <v>0</v>
      </c>
      <c r="T203" s="1619">
        <v>0</v>
      </c>
      <c r="U203" s="1600">
        <f>V203+W203</f>
        <v>0</v>
      </c>
      <c r="V203" s="1619">
        <v>0</v>
      </c>
      <c r="W203" s="1619">
        <v>0</v>
      </c>
      <c r="X203" s="1423">
        <f t="shared" si="45"/>
        <v>0</v>
      </c>
    </row>
    <row r="204" spans="1:24" ht="23.25">
      <c r="A204" s="2041"/>
      <c r="B204" s="1609" t="s">
        <v>1620</v>
      </c>
      <c r="C204" s="2042"/>
      <c r="D204" s="1602">
        <f t="shared" si="48"/>
        <v>4597</v>
      </c>
      <c r="E204" s="1609">
        <v>4321.2</v>
      </c>
      <c r="F204" s="1609">
        <v>275.8</v>
      </c>
      <c r="G204" s="1600">
        <f t="shared" si="49"/>
        <v>4597</v>
      </c>
      <c r="H204" s="1619">
        <f t="shared" si="47"/>
        <v>4321.2</v>
      </c>
      <c r="I204" s="1619">
        <f t="shared" si="47"/>
        <v>275.8</v>
      </c>
      <c r="J204" s="1600">
        <f t="shared" si="50"/>
        <v>0</v>
      </c>
      <c r="K204" s="1619"/>
      <c r="L204" s="1619"/>
      <c r="M204" s="1619"/>
      <c r="N204" s="1619"/>
      <c r="O204" s="1619"/>
      <c r="P204" s="1619"/>
      <c r="Q204" s="1619"/>
      <c r="R204" s="1600"/>
      <c r="S204" s="1619"/>
      <c r="T204" s="1619"/>
      <c r="U204" s="1600"/>
      <c r="V204" s="1619"/>
      <c r="W204" s="1619"/>
      <c r="X204" s="1423"/>
    </row>
    <row r="205" spans="1:24" ht="23.25">
      <c r="A205" s="2041"/>
      <c r="B205" s="1609" t="s">
        <v>1770</v>
      </c>
      <c r="C205" s="2042"/>
      <c r="D205" s="1602">
        <f t="shared" si="48"/>
        <v>5080.3</v>
      </c>
      <c r="E205" s="1609">
        <f>3503+1272.4</f>
        <v>4775.3999999999996</v>
      </c>
      <c r="F205" s="1609">
        <f>223.6+81.3</f>
        <v>304.89999999999998</v>
      </c>
      <c r="G205" s="1600">
        <f t="shared" si="49"/>
        <v>5080.3</v>
      </c>
      <c r="H205" s="1619">
        <f t="shared" si="47"/>
        <v>4775.3999999999996</v>
      </c>
      <c r="I205" s="1619">
        <f t="shared" si="47"/>
        <v>304.89999999999998</v>
      </c>
      <c r="J205" s="1600">
        <f t="shared" si="50"/>
        <v>0</v>
      </c>
      <c r="K205" s="1619"/>
      <c r="L205" s="1619"/>
      <c r="M205" s="1619"/>
      <c r="N205" s="1619"/>
      <c r="O205" s="1619"/>
      <c r="P205" s="1619"/>
      <c r="Q205" s="1619"/>
      <c r="R205" s="1600"/>
      <c r="S205" s="1619"/>
      <c r="T205" s="1619"/>
      <c r="U205" s="1600"/>
      <c r="V205" s="1619"/>
      <c r="W205" s="1619"/>
      <c r="X205" s="1423"/>
    </row>
    <row r="206" spans="1:24" ht="66.75" customHeight="1">
      <c r="A206" s="2041">
        <f>A203+1</f>
        <v>89</v>
      </c>
      <c r="B206" s="1919" t="s">
        <v>1585</v>
      </c>
      <c r="C206" s="2042"/>
      <c r="D206" s="1602">
        <f t="shared" si="48"/>
        <v>5026.7</v>
      </c>
      <c r="E206" s="1609">
        <f>E207+E208</f>
        <v>4725.1000000000004</v>
      </c>
      <c r="F206" s="1609">
        <f>F207+F208</f>
        <v>301.60000000000002</v>
      </c>
      <c r="G206" s="1600">
        <f t="shared" si="49"/>
        <v>5026.7</v>
      </c>
      <c r="H206" s="1619">
        <f t="shared" si="47"/>
        <v>4725.1000000000004</v>
      </c>
      <c r="I206" s="1619">
        <f t="shared" si="47"/>
        <v>301.60000000000002</v>
      </c>
      <c r="J206" s="1600">
        <f t="shared" si="50"/>
        <v>115.6</v>
      </c>
      <c r="K206" s="1609">
        <f>K207+K208</f>
        <v>108.7</v>
      </c>
      <c r="L206" s="1609">
        <f>L207+L208</f>
        <v>6.9</v>
      </c>
      <c r="M206" s="1893">
        <f t="shared" si="34"/>
        <v>2.2999999999999998</v>
      </c>
      <c r="N206" s="1893">
        <f t="shared" si="34"/>
        <v>2.2999999999999998</v>
      </c>
      <c r="O206" s="1893">
        <f t="shared" si="34"/>
        <v>2.2999999999999998</v>
      </c>
      <c r="P206" s="1593"/>
      <c r="Q206" s="1593"/>
      <c r="R206" s="1600">
        <f>S206+T206</f>
        <v>0</v>
      </c>
      <c r="S206" s="1619">
        <v>0</v>
      </c>
      <c r="T206" s="1619">
        <v>0</v>
      </c>
      <c r="U206" s="1600">
        <f>V206+W206</f>
        <v>0</v>
      </c>
      <c r="V206" s="1619">
        <v>0</v>
      </c>
      <c r="W206" s="1619">
        <v>0</v>
      </c>
      <c r="X206" s="1423">
        <f t="shared" si="45"/>
        <v>0</v>
      </c>
    </row>
    <row r="207" spans="1:24" ht="23.25">
      <c r="A207" s="2041"/>
      <c r="B207" s="1609" t="s">
        <v>1620</v>
      </c>
      <c r="C207" s="2042"/>
      <c r="D207" s="1602">
        <f t="shared" si="48"/>
        <v>3935.3</v>
      </c>
      <c r="E207" s="1609">
        <v>3699.2</v>
      </c>
      <c r="F207" s="1609">
        <v>236.1</v>
      </c>
      <c r="G207" s="1600">
        <f t="shared" si="49"/>
        <v>3935.3</v>
      </c>
      <c r="H207" s="1619">
        <f t="shared" si="47"/>
        <v>3699.2</v>
      </c>
      <c r="I207" s="1619">
        <f t="shared" si="47"/>
        <v>236.1</v>
      </c>
      <c r="J207" s="1600">
        <f t="shared" si="50"/>
        <v>115.6</v>
      </c>
      <c r="K207" s="1619">
        <v>108.7</v>
      </c>
      <c r="L207" s="1619">
        <v>6.9</v>
      </c>
      <c r="M207" s="1619"/>
      <c r="N207" s="1619"/>
      <c r="O207" s="1619"/>
      <c r="P207" s="1619"/>
      <c r="Q207" s="1619"/>
      <c r="R207" s="1600"/>
      <c r="S207" s="1619"/>
      <c r="T207" s="1619"/>
      <c r="U207" s="1600"/>
      <c r="V207" s="1619"/>
      <c r="W207" s="1619"/>
      <c r="X207" s="1423"/>
    </row>
    <row r="208" spans="1:24" ht="23.25">
      <c r="A208" s="2041"/>
      <c r="B208" s="1609" t="s">
        <v>1770</v>
      </c>
      <c r="C208" s="2042"/>
      <c r="D208" s="1602">
        <f t="shared" si="48"/>
        <v>1091.4000000000001</v>
      </c>
      <c r="E208" s="1609">
        <v>1025.9000000000001</v>
      </c>
      <c r="F208" s="1609">
        <v>65.5</v>
      </c>
      <c r="G208" s="1600">
        <f t="shared" si="49"/>
        <v>1091.4000000000001</v>
      </c>
      <c r="H208" s="1619">
        <f t="shared" si="47"/>
        <v>1025.9000000000001</v>
      </c>
      <c r="I208" s="1619">
        <f t="shared" si="47"/>
        <v>65.5</v>
      </c>
      <c r="J208" s="1600">
        <f t="shared" si="50"/>
        <v>0</v>
      </c>
      <c r="K208" s="1619"/>
      <c r="L208" s="1619"/>
      <c r="M208" s="1619"/>
      <c r="N208" s="1619"/>
      <c r="O208" s="1619"/>
      <c r="P208" s="1619"/>
      <c r="Q208" s="1619"/>
      <c r="R208" s="1600"/>
      <c r="S208" s="1619"/>
      <c r="T208" s="1619"/>
      <c r="U208" s="1600"/>
      <c r="V208" s="1619"/>
      <c r="W208" s="1619"/>
      <c r="X208" s="1423"/>
    </row>
    <row r="209" spans="1:24" ht="57.75" customHeight="1">
      <c r="A209" s="2041">
        <f>A206+1</f>
        <v>90</v>
      </c>
      <c r="B209" s="1919" t="s">
        <v>1586</v>
      </c>
      <c r="C209" s="2042"/>
      <c r="D209" s="1602">
        <f t="shared" si="48"/>
        <v>1246.9000000000001</v>
      </c>
      <c r="E209" s="1609">
        <f>E210+E211</f>
        <v>1172.0999999999999</v>
      </c>
      <c r="F209" s="1609">
        <f>F210+F211</f>
        <v>74.8</v>
      </c>
      <c r="G209" s="1600">
        <f t="shared" si="49"/>
        <v>1246.9000000000001</v>
      </c>
      <c r="H209" s="1609">
        <f>H210+H211</f>
        <v>1172.0999999999999</v>
      </c>
      <c r="I209" s="1609">
        <f>I210+I211</f>
        <v>74.8</v>
      </c>
      <c r="J209" s="1600">
        <f t="shared" si="50"/>
        <v>0</v>
      </c>
      <c r="K209" s="1609">
        <f>K210+K211</f>
        <v>0</v>
      </c>
      <c r="L209" s="1609">
        <f>L210+L211</f>
        <v>0</v>
      </c>
      <c r="M209" s="1893">
        <f t="shared" si="34"/>
        <v>0</v>
      </c>
      <c r="N209" s="1893">
        <f t="shared" si="34"/>
        <v>0</v>
      </c>
      <c r="O209" s="1893">
        <f t="shared" si="34"/>
        <v>0</v>
      </c>
      <c r="P209" s="1593"/>
      <c r="Q209" s="1593"/>
      <c r="R209" s="1600">
        <f>S209+T209</f>
        <v>0</v>
      </c>
      <c r="S209" s="1619">
        <v>0</v>
      </c>
      <c r="T209" s="1619">
        <v>0</v>
      </c>
      <c r="U209" s="1600">
        <f>V209+W209</f>
        <v>0</v>
      </c>
      <c r="V209" s="1619">
        <v>0</v>
      </c>
      <c r="W209" s="1619">
        <v>0</v>
      </c>
      <c r="X209" s="1423">
        <f t="shared" si="45"/>
        <v>0</v>
      </c>
    </row>
    <row r="210" spans="1:24" ht="23.25">
      <c r="A210" s="2041"/>
      <c r="B210" s="1609" t="s">
        <v>1620</v>
      </c>
      <c r="C210" s="2042"/>
      <c r="D210" s="1602">
        <f t="shared" si="48"/>
        <v>1226.9000000000001</v>
      </c>
      <c r="E210" s="1609">
        <v>1153.3</v>
      </c>
      <c r="F210" s="1609">
        <v>73.599999999999994</v>
      </c>
      <c r="G210" s="1600">
        <f t="shared" si="49"/>
        <v>1226.9000000000001</v>
      </c>
      <c r="H210" s="1619">
        <f t="shared" si="47"/>
        <v>1153.3</v>
      </c>
      <c r="I210" s="1619">
        <f t="shared" si="47"/>
        <v>73.599999999999994</v>
      </c>
      <c r="J210" s="1600">
        <f t="shared" si="50"/>
        <v>0</v>
      </c>
      <c r="K210" s="1619"/>
      <c r="L210" s="1619"/>
      <c r="M210" s="1619"/>
      <c r="N210" s="1619"/>
      <c r="O210" s="1619"/>
      <c r="P210" s="1619"/>
      <c r="Q210" s="1619"/>
      <c r="R210" s="1600"/>
      <c r="S210" s="1619"/>
      <c r="T210" s="1619"/>
      <c r="U210" s="1600"/>
      <c r="V210" s="1619"/>
      <c r="W210" s="1619"/>
      <c r="X210" s="1423"/>
    </row>
    <row r="211" spans="1:24" ht="23.25">
      <c r="A211" s="2041"/>
      <c r="B211" s="1609" t="s">
        <v>1770</v>
      </c>
      <c r="C211" s="2042"/>
      <c r="D211" s="1602">
        <f t="shared" si="48"/>
        <v>20</v>
      </c>
      <c r="E211" s="1609">
        <v>18.8</v>
      </c>
      <c r="F211" s="1609">
        <v>1.2</v>
      </c>
      <c r="G211" s="1600">
        <f t="shared" si="49"/>
        <v>20</v>
      </c>
      <c r="H211" s="1619">
        <f t="shared" si="47"/>
        <v>18.8</v>
      </c>
      <c r="I211" s="1619">
        <f t="shared" si="47"/>
        <v>1.2</v>
      </c>
      <c r="J211" s="1600">
        <f t="shared" si="50"/>
        <v>0</v>
      </c>
      <c r="K211" s="1619"/>
      <c r="L211" s="1619"/>
      <c r="M211" s="1619"/>
      <c r="N211" s="1619"/>
      <c r="O211" s="1619"/>
      <c r="P211" s="1619"/>
      <c r="Q211" s="1619"/>
      <c r="R211" s="1600"/>
      <c r="S211" s="1619"/>
      <c r="T211" s="1619"/>
      <c r="U211" s="1600"/>
      <c r="V211" s="1619"/>
      <c r="W211" s="1619"/>
      <c r="X211" s="1423"/>
    </row>
    <row r="212" spans="1:24" ht="81" customHeight="1">
      <c r="A212" s="2041">
        <f>A209+1</f>
        <v>91</v>
      </c>
      <c r="B212" s="1912" t="s">
        <v>1662</v>
      </c>
      <c r="C212" s="1880"/>
      <c r="D212" s="1602">
        <f t="shared" si="48"/>
        <v>21566.9</v>
      </c>
      <c r="E212" s="1616">
        <f>E213+E214</f>
        <v>20272.7</v>
      </c>
      <c r="F212" s="1616">
        <f>F213+F214</f>
        <v>1294.2</v>
      </c>
      <c r="G212" s="1602">
        <f t="shared" si="49"/>
        <v>21566.9</v>
      </c>
      <c r="H212" s="1616">
        <f>H213+H214</f>
        <v>20272.7</v>
      </c>
      <c r="I212" s="1616">
        <f>I213+I214</f>
        <v>1294.2</v>
      </c>
      <c r="J212" s="1602">
        <f t="shared" si="50"/>
        <v>210.9</v>
      </c>
      <c r="K212" s="1616">
        <f>K213+K214</f>
        <v>198.2</v>
      </c>
      <c r="L212" s="1616">
        <f>L213+L214</f>
        <v>12.7</v>
      </c>
      <c r="M212" s="1893">
        <f t="shared" si="34"/>
        <v>1</v>
      </c>
      <c r="N212" s="1894">
        <f t="shared" si="34"/>
        <v>1</v>
      </c>
      <c r="O212" s="1894">
        <f t="shared" si="34"/>
        <v>1</v>
      </c>
      <c r="P212" s="1593"/>
      <c r="Q212" s="1593"/>
      <c r="R212" s="1600">
        <f>S212+T212</f>
        <v>0</v>
      </c>
      <c r="S212" s="1619">
        <v>0</v>
      </c>
      <c r="T212" s="1619">
        <v>0</v>
      </c>
      <c r="U212" s="1600">
        <f>V212+W212</f>
        <v>0</v>
      </c>
      <c r="V212" s="1619">
        <v>0</v>
      </c>
      <c r="W212" s="1619">
        <v>0</v>
      </c>
      <c r="X212" s="1423">
        <f t="shared" si="45"/>
        <v>0</v>
      </c>
    </row>
    <row r="213" spans="1:24" ht="23.25">
      <c r="A213" s="2041"/>
      <c r="B213" s="1609" t="s">
        <v>1620</v>
      </c>
      <c r="C213" s="2042"/>
      <c r="D213" s="1602">
        <f t="shared" si="48"/>
        <v>14615.1</v>
      </c>
      <c r="E213" s="1609">
        <v>13738.1</v>
      </c>
      <c r="F213" s="1609">
        <v>877</v>
      </c>
      <c r="G213" s="1600">
        <f t="shared" si="49"/>
        <v>14615.1</v>
      </c>
      <c r="H213" s="1619">
        <f t="shared" si="47"/>
        <v>13738.1</v>
      </c>
      <c r="I213" s="1619">
        <f t="shared" si="47"/>
        <v>877</v>
      </c>
      <c r="J213" s="1600">
        <f t="shared" si="50"/>
        <v>210.9</v>
      </c>
      <c r="K213" s="1619">
        <v>198.2</v>
      </c>
      <c r="L213" s="1619">
        <v>12.7</v>
      </c>
      <c r="M213" s="1619"/>
      <c r="N213" s="1619"/>
      <c r="O213" s="1619"/>
      <c r="P213" s="1619"/>
      <c r="Q213" s="1619"/>
      <c r="R213" s="1600"/>
      <c r="S213" s="1619"/>
      <c r="T213" s="1619"/>
      <c r="U213" s="1600"/>
      <c r="V213" s="1619"/>
      <c r="W213" s="1619"/>
      <c r="X213" s="1423"/>
    </row>
    <row r="214" spans="1:24" ht="23.25">
      <c r="A214" s="2041"/>
      <c r="B214" s="1609" t="s">
        <v>1770</v>
      </c>
      <c r="C214" s="2042"/>
      <c r="D214" s="1602">
        <f t="shared" si="48"/>
        <v>6951.8</v>
      </c>
      <c r="E214" s="1609">
        <f>5138.2+1396.4</f>
        <v>6534.6</v>
      </c>
      <c r="F214" s="1609">
        <f>328+89.2</f>
        <v>417.2</v>
      </c>
      <c r="G214" s="1600">
        <f t="shared" si="49"/>
        <v>6951.8</v>
      </c>
      <c r="H214" s="1619">
        <f t="shared" si="47"/>
        <v>6534.6</v>
      </c>
      <c r="I214" s="1619">
        <f t="shared" si="47"/>
        <v>417.2</v>
      </c>
      <c r="J214" s="1600">
        <f t="shared" si="50"/>
        <v>0</v>
      </c>
      <c r="K214" s="1619"/>
      <c r="L214" s="1619"/>
      <c r="M214" s="1619"/>
      <c r="N214" s="1619"/>
      <c r="O214" s="1619"/>
      <c r="P214" s="1619"/>
      <c r="Q214" s="1619"/>
      <c r="R214" s="1600"/>
      <c r="S214" s="1619"/>
      <c r="T214" s="1619"/>
      <c r="U214" s="1600"/>
      <c r="V214" s="1619"/>
      <c r="W214" s="1619"/>
      <c r="X214" s="1423"/>
    </row>
    <row r="215" spans="1:24" s="484" customFormat="1" ht="65.25" customHeight="1">
      <c r="A215" s="2041">
        <f>A212+1</f>
        <v>92</v>
      </c>
      <c r="B215" s="1920" t="s">
        <v>1437</v>
      </c>
      <c r="C215" s="1880" t="s">
        <v>1544</v>
      </c>
      <c r="D215" s="1602">
        <f t="shared" si="48"/>
        <v>105852.6</v>
      </c>
      <c r="E215" s="1616">
        <f>SUM(E216:E217)</f>
        <v>69668.800000000003</v>
      </c>
      <c r="F215" s="1616">
        <f>SUM(F216:F217)</f>
        <v>36183.800000000003</v>
      </c>
      <c r="G215" s="1600">
        <f t="shared" si="49"/>
        <v>105852.6</v>
      </c>
      <c r="H215" s="1616">
        <f>SUM(H216:H217)</f>
        <v>69668.800000000003</v>
      </c>
      <c r="I215" s="1616">
        <f>SUM(I216:I217)</f>
        <v>36183.800000000003</v>
      </c>
      <c r="J215" s="1600">
        <f t="shared" si="50"/>
        <v>62089.3</v>
      </c>
      <c r="K215" s="1616">
        <f>SUM(K216:K217)</f>
        <v>58363.9</v>
      </c>
      <c r="L215" s="1616">
        <f>SUM(L216:L217)</f>
        <v>3725.4</v>
      </c>
      <c r="M215" s="1893">
        <f t="shared" si="34"/>
        <v>58.7</v>
      </c>
      <c r="N215" s="1894">
        <f t="shared" si="34"/>
        <v>83.8</v>
      </c>
      <c r="O215" s="1894">
        <f t="shared" si="34"/>
        <v>10.3</v>
      </c>
      <c r="P215" s="1593" t="s">
        <v>1293</v>
      </c>
      <c r="Q215" s="1593" t="s">
        <v>1101</v>
      </c>
      <c r="R215" s="1600">
        <f>S215+T215</f>
        <v>0</v>
      </c>
      <c r="S215" s="1608">
        <v>0</v>
      </c>
      <c r="T215" s="1608">
        <v>0</v>
      </c>
      <c r="U215" s="1600">
        <f>V215+W215</f>
        <v>0</v>
      </c>
      <c r="V215" s="1608">
        <v>0</v>
      </c>
      <c r="W215" s="1608">
        <v>0</v>
      </c>
      <c r="X215" s="1423">
        <f>D215-G215</f>
        <v>0</v>
      </c>
    </row>
    <row r="216" spans="1:24" s="484" customFormat="1" ht="23.25">
      <c r="A216" s="2041"/>
      <c r="B216" s="1609" t="s">
        <v>1620</v>
      </c>
      <c r="C216" s="1880"/>
      <c r="D216" s="1602">
        <f t="shared" si="48"/>
        <v>74115.8</v>
      </c>
      <c r="E216" s="1616">
        <v>69668.800000000003</v>
      </c>
      <c r="F216" s="1616">
        <f>4447</f>
        <v>4447</v>
      </c>
      <c r="G216" s="1600">
        <f t="shared" si="49"/>
        <v>74115.8</v>
      </c>
      <c r="H216" s="1619">
        <f t="shared" si="47"/>
        <v>69668.800000000003</v>
      </c>
      <c r="I216" s="1619">
        <f t="shared" si="47"/>
        <v>4447</v>
      </c>
      <c r="J216" s="1600">
        <f t="shared" si="50"/>
        <v>62089.3</v>
      </c>
      <c r="K216" s="1608">
        <v>58363.9</v>
      </c>
      <c r="L216" s="1608">
        <v>3725.4</v>
      </c>
      <c r="M216" s="1921">
        <f t="shared" ref="M216:O300" si="51">IF(J216=0,0,J216/G216*100)</f>
        <v>83.8</v>
      </c>
      <c r="N216" s="1922">
        <f t="shared" si="51"/>
        <v>83.8</v>
      </c>
      <c r="O216" s="1922">
        <f t="shared" si="51"/>
        <v>83.8</v>
      </c>
      <c r="P216" s="1593"/>
      <c r="Q216" s="1593"/>
      <c r="R216" s="1600">
        <f t="shared" ref="R216:R224" si="52">S216+T216</f>
        <v>0</v>
      </c>
      <c r="S216" s="1608">
        <v>0</v>
      </c>
      <c r="T216" s="1608">
        <v>0</v>
      </c>
      <c r="U216" s="1600">
        <f>V216+W216</f>
        <v>0</v>
      </c>
      <c r="V216" s="1608">
        <v>0</v>
      </c>
      <c r="W216" s="1608">
        <v>0</v>
      </c>
      <c r="X216" s="1423">
        <f>D216-G216</f>
        <v>0</v>
      </c>
    </row>
    <row r="217" spans="1:24" s="484" customFormat="1" ht="23.25">
      <c r="A217" s="2041"/>
      <c r="B217" s="1609" t="s">
        <v>1621</v>
      </c>
      <c r="C217" s="1880"/>
      <c r="D217" s="1602">
        <f t="shared" si="48"/>
        <v>31736.799999999999</v>
      </c>
      <c r="E217" s="1616"/>
      <c r="F217" s="1616">
        <f>31736.8</f>
        <v>31736.799999999999</v>
      </c>
      <c r="G217" s="1600">
        <f t="shared" si="49"/>
        <v>31736.799999999999</v>
      </c>
      <c r="H217" s="1619">
        <f t="shared" si="47"/>
        <v>0</v>
      </c>
      <c r="I217" s="1619">
        <f t="shared" si="47"/>
        <v>31736.799999999999</v>
      </c>
      <c r="J217" s="1600">
        <f t="shared" si="50"/>
        <v>0</v>
      </c>
      <c r="K217" s="1608"/>
      <c r="L217" s="1608"/>
      <c r="M217" s="1921">
        <f t="shared" si="51"/>
        <v>0</v>
      </c>
      <c r="N217" s="1922">
        <f t="shared" si="51"/>
        <v>0</v>
      </c>
      <c r="O217" s="1922">
        <f t="shared" si="51"/>
        <v>0</v>
      </c>
      <c r="P217" s="1593"/>
      <c r="Q217" s="1593"/>
      <c r="R217" s="1600">
        <f t="shared" si="52"/>
        <v>0</v>
      </c>
      <c r="S217" s="1608">
        <v>0</v>
      </c>
      <c r="T217" s="1608">
        <v>0</v>
      </c>
      <c r="U217" s="1600">
        <f>V217+W217</f>
        <v>0</v>
      </c>
      <c r="V217" s="1608">
        <v>0</v>
      </c>
      <c r="W217" s="1608">
        <v>0</v>
      </c>
      <c r="X217" s="1423">
        <f>D217-G217</f>
        <v>0</v>
      </c>
    </row>
    <row r="218" spans="1:24" ht="63" customHeight="1">
      <c r="A218" s="2041">
        <f>A215+1</f>
        <v>93</v>
      </c>
      <c r="B218" s="1912" t="s">
        <v>1441</v>
      </c>
      <c r="C218" s="1880" t="s">
        <v>1544</v>
      </c>
      <c r="D218" s="1602">
        <f t="shared" si="48"/>
        <v>18702.400000000001</v>
      </c>
      <c r="E218" s="1616">
        <f>E219+E220</f>
        <v>17580.099999999999</v>
      </c>
      <c r="F218" s="1616">
        <f>F219+F220</f>
        <v>1122.3</v>
      </c>
      <c r="G218" s="1600">
        <f t="shared" si="49"/>
        <v>18702.400000000001</v>
      </c>
      <c r="H218" s="1619">
        <f t="shared" si="47"/>
        <v>17580.099999999999</v>
      </c>
      <c r="I218" s="1619">
        <f t="shared" si="47"/>
        <v>1122.3</v>
      </c>
      <c r="J218" s="1600">
        <f t="shared" si="50"/>
        <v>14.6</v>
      </c>
      <c r="K218" s="1616">
        <f>K219+K220</f>
        <v>13.7</v>
      </c>
      <c r="L218" s="1616">
        <f>L219+L220</f>
        <v>0.9</v>
      </c>
      <c r="M218" s="1893">
        <f t="shared" si="51"/>
        <v>0.1</v>
      </c>
      <c r="N218" s="1894">
        <f t="shared" si="51"/>
        <v>0.1</v>
      </c>
      <c r="O218" s="1894">
        <f t="shared" si="51"/>
        <v>0.1</v>
      </c>
      <c r="P218" s="1593" t="s">
        <v>1192</v>
      </c>
      <c r="Q218" s="1593" t="s">
        <v>1663</v>
      </c>
      <c r="R218" s="1600">
        <f t="shared" si="52"/>
        <v>0</v>
      </c>
      <c r="S218" s="1614">
        <v>0</v>
      </c>
      <c r="T218" s="1614">
        <v>0</v>
      </c>
      <c r="U218" s="1600">
        <f>V218+W218</f>
        <v>0</v>
      </c>
      <c r="V218" s="1614">
        <v>0</v>
      </c>
      <c r="W218" s="1614">
        <v>0</v>
      </c>
      <c r="X218" s="1423">
        <f>D218-G218</f>
        <v>0</v>
      </c>
    </row>
    <row r="219" spans="1:24" ht="23.25">
      <c r="A219" s="2041"/>
      <c r="B219" s="1609" t="s">
        <v>1620</v>
      </c>
      <c r="C219" s="2042"/>
      <c r="D219" s="1602">
        <f t="shared" si="48"/>
        <v>18682.400000000001</v>
      </c>
      <c r="E219" s="1609">
        <v>17561.3</v>
      </c>
      <c r="F219" s="1609">
        <v>1121.0999999999999</v>
      </c>
      <c r="G219" s="1600">
        <f t="shared" si="49"/>
        <v>18682.400000000001</v>
      </c>
      <c r="H219" s="1619">
        <f t="shared" si="47"/>
        <v>17561.3</v>
      </c>
      <c r="I219" s="1619">
        <f t="shared" si="47"/>
        <v>1121.0999999999999</v>
      </c>
      <c r="J219" s="1600">
        <f t="shared" si="50"/>
        <v>14.6</v>
      </c>
      <c r="K219" s="1619">
        <v>13.7</v>
      </c>
      <c r="L219" s="1619">
        <v>0.9</v>
      </c>
      <c r="M219" s="1619"/>
      <c r="N219" s="1619"/>
      <c r="O219" s="1619"/>
      <c r="P219" s="1619"/>
      <c r="Q219" s="1619"/>
      <c r="R219" s="1600"/>
      <c r="S219" s="1619"/>
      <c r="T219" s="1619"/>
      <c r="U219" s="1600"/>
      <c r="V219" s="1619"/>
      <c r="W219" s="1619"/>
      <c r="X219" s="1423"/>
    </row>
    <row r="220" spans="1:24" ht="23.25">
      <c r="A220" s="2041"/>
      <c r="B220" s="1609" t="s">
        <v>1770</v>
      </c>
      <c r="C220" s="2042"/>
      <c r="D220" s="1602">
        <f t="shared" si="48"/>
        <v>20</v>
      </c>
      <c r="E220" s="1609">
        <v>18.8</v>
      </c>
      <c r="F220" s="1609">
        <v>1.2</v>
      </c>
      <c r="G220" s="1600">
        <f t="shared" si="49"/>
        <v>20</v>
      </c>
      <c r="H220" s="1619">
        <f t="shared" si="47"/>
        <v>18.8</v>
      </c>
      <c r="I220" s="1619">
        <f t="shared" si="47"/>
        <v>1.2</v>
      </c>
      <c r="J220" s="1600">
        <f t="shared" si="50"/>
        <v>0</v>
      </c>
      <c r="K220" s="1619"/>
      <c r="L220" s="1619"/>
      <c r="M220" s="1619"/>
      <c r="N220" s="1619"/>
      <c r="O220" s="1619"/>
      <c r="P220" s="1619"/>
      <c r="Q220" s="1619"/>
      <c r="R220" s="1600"/>
      <c r="S220" s="1619"/>
      <c r="T220" s="1619"/>
      <c r="U220" s="1600"/>
      <c r="V220" s="1619"/>
      <c r="W220" s="1619"/>
      <c r="X220" s="1423"/>
    </row>
    <row r="221" spans="1:24" ht="58.5" customHeight="1">
      <c r="A221" s="2041">
        <f>A218+1</f>
        <v>94</v>
      </c>
      <c r="B221" s="1912" t="s">
        <v>1442</v>
      </c>
      <c r="C221" s="1880" t="s">
        <v>1544</v>
      </c>
      <c r="D221" s="1602">
        <f t="shared" si="48"/>
        <v>14406.9</v>
      </c>
      <c r="E221" s="1616">
        <f>E222+E223</f>
        <v>13542.4</v>
      </c>
      <c r="F221" s="1616">
        <f>F222+F223</f>
        <v>864.5</v>
      </c>
      <c r="G221" s="1600">
        <f t="shared" si="49"/>
        <v>14406.9</v>
      </c>
      <c r="H221" s="1616">
        <f>H222+H223</f>
        <v>13542.4</v>
      </c>
      <c r="I221" s="1616">
        <f>I222+I223</f>
        <v>864.5</v>
      </c>
      <c r="J221" s="1600">
        <f t="shared" si="50"/>
        <v>5116.6000000000004</v>
      </c>
      <c r="K221" s="1616">
        <f>K222+K223</f>
        <v>4809.6000000000004</v>
      </c>
      <c r="L221" s="1616">
        <f>L222+L223</f>
        <v>307</v>
      </c>
      <c r="M221" s="1893">
        <f t="shared" si="51"/>
        <v>35.5</v>
      </c>
      <c r="N221" s="1894">
        <f t="shared" si="51"/>
        <v>35.5</v>
      </c>
      <c r="O221" s="1894">
        <f t="shared" si="51"/>
        <v>35.5</v>
      </c>
      <c r="P221" s="1593" t="s">
        <v>1285</v>
      </c>
      <c r="Q221" s="1593" t="s">
        <v>1252</v>
      </c>
      <c r="R221" s="1600">
        <f t="shared" si="52"/>
        <v>0</v>
      </c>
      <c r="S221" s="1614">
        <v>0</v>
      </c>
      <c r="T221" s="1614">
        <v>0</v>
      </c>
      <c r="U221" s="1600">
        <f>V221+W221</f>
        <v>0</v>
      </c>
      <c r="V221" s="1614">
        <v>0</v>
      </c>
      <c r="W221" s="1614">
        <v>0</v>
      </c>
      <c r="X221" s="1423">
        <f>D221-G221</f>
        <v>0</v>
      </c>
    </row>
    <row r="222" spans="1:24" ht="19.5" customHeight="1">
      <c r="A222" s="2041"/>
      <c r="B222" s="1609" t="s">
        <v>1620</v>
      </c>
      <c r="C222" s="2042"/>
      <c r="D222" s="1602">
        <f t="shared" si="48"/>
        <v>12956.3</v>
      </c>
      <c r="E222" s="1609">
        <v>12178.9</v>
      </c>
      <c r="F222" s="1609">
        <v>777.4</v>
      </c>
      <c r="G222" s="1600">
        <f t="shared" si="49"/>
        <v>12956.3</v>
      </c>
      <c r="H222" s="1619">
        <f t="shared" si="47"/>
        <v>12178.9</v>
      </c>
      <c r="I222" s="1619">
        <f t="shared" si="47"/>
        <v>777.4</v>
      </c>
      <c r="J222" s="1600">
        <f t="shared" si="50"/>
        <v>5116.6000000000004</v>
      </c>
      <c r="K222" s="1619">
        <v>4809.6000000000004</v>
      </c>
      <c r="L222" s="1619">
        <v>307</v>
      </c>
      <c r="M222" s="1619">
        <f t="shared" si="51"/>
        <v>39.5</v>
      </c>
      <c r="N222" s="1619">
        <f t="shared" si="51"/>
        <v>39.5</v>
      </c>
      <c r="O222" s="1619">
        <f t="shared" si="51"/>
        <v>39.5</v>
      </c>
      <c r="P222" s="1593"/>
      <c r="Q222" s="1593"/>
      <c r="R222" s="1600"/>
      <c r="S222" s="1619"/>
      <c r="T222" s="1619"/>
      <c r="U222" s="1600"/>
      <c r="V222" s="1619"/>
      <c r="W222" s="1619"/>
      <c r="X222" s="1423">
        <f>D222-G222</f>
        <v>0</v>
      </c>
    </row>
    <row r="223" spans="1:24" ht="26.25" customHeight="1">
      <c r="A223" s="2041"/>
      <c r="B223" s="1609" t="s">
        <v>1770</v>
      </c>
      <c r="C223" s="2042"/>
      <c r="D223" s="1602">
        <f t="shared" si="48"/>
        <v>1450.6</v>
      </c>
      <c r="E223" s="1609">
        <v>1363.5</v>
      </c>
      <c r="F223" s="1609">
        <v>87.1</v>
      </c>
      <c r="G223" s="1600">
        <f t="shared" si="49"/>
        <v>1450.6</v>
      </c>
      <c r="H223" s="1619">
        <f t="shared" si="47"/>
        <v>1363.5</v>
      </c>
      <c r="I223" s="1619">
        <f t="shared" si="47"/>
        <v>87.1</v>
      </c>
      <c r="J223" s="1600">
        <f t="shared" si="50"/>
        <v>0</v>
      </c>
      <c r="K223" s="1619"/>
      <c r="L223" s="1619"/>
      <c r="M223" s="1619">
        <f t="shared" si="51"/>
        <v>0</v>
      </c>
      <c r="N223" s="1619">
        <f t="shared" si="51"/>
        <v>0</v>
      </c>
      <c r="O223" s="1619">
        <f t="shared" si="51"/>
        <v>0</v>
      </c>
      <c r="P223" s="1593"/>
      <c r="Q223" s="1593"/>
      <c r="R223" s="1600"/>
      <c r="S223" s="1619"/>
      <c r="T223" s="1619"/>
      <c r="U223" s="1600"/>
      <c r="V223" s="1619"/>
      <c r="W223" s="1619"/>
      <c r="X223" s="1423">
        <f>D223-G223</f>
        <v>0</v>
      </c>
    </row>
    <row r="224" spans="1:24" ht="23.25" customHeight="1">
      <c r="A224" s="2041">
        <f>A221+1</f>
        <v>95</v>
      </c>
      <c r="B224" s="1883" t="s">
        <v>1587</v>
      </c>
      <c r="C224" s="1880"/>
      <c r="D224" s="1602">
        <f t="shared" si="48"/>
        <v>37898.1</v>
      </c>
      <c r="E224" s="1616">
        <f>E225+E226</f>
        <v>2403.9</v>
      </c>
      <c r="F224" s="1616">
        <f>F225+F226</f>
        <v>35494.199999999997</v>
      </c>
      <c r="G224" s="1600">
        <f t="shared" si="49"/>
        <v>37898.1</v>
      </c>
      <c r="H224" s="1616">
        <f>H225+H226</f>
        <v>2403.9</v>
      </c>
      <c r="I224" s="1616">
        <f>I225+I226</f>
        <v>35494.199999999997</v>
      </c>
      <c r="J224" s="1600">
        <f t="shared" si="50"/>
        <v>179</v>
      </c>
      <c r="K224" s="1616">
        <f>K225+K226</f>
        <v>0</v>
      </c>
      <c r="L224" s="1616">
        <f>L225+L226</f>
        <v>179</v>
      </c>
      <c r="M224" s="1604">
        <f t="shared" si="51"/>
        <v>0.5</v>
      </c>
      <c r="N224" s="1881">
        <f t="shared" si="51"/>
        <v>0</v>
      </c>
      <c r="O224" s="1881">
        <f t="shared" si="51"/>
        <v>0.5</v>
      </c>
      <c r="P224" s="1593"/>
      <c r="Q224" s="1593"/>
      <c r="R224" s="1600">
        <f t="shared" si="52"/>
        <v>0</v>
      </c>
      <c r="S224" s="1614">
        <v>0</v>
      </c>
      <c r="T224" s="1614">
        <v>0</v>
      </c>
      <c r="U224" s="1600">
        <f>V224+W224</f>
        <v>0</v>
      </c>
      <c r="V224" s="1614">
        <v>0</v>
      </c>
      <c r="W224" s="1614">
        <v>0</v>
      </c>
      <c r="X224" s="1423">
        <f>D224-G224</f>
        <v>0</v>
      </c>
    </row>
    <row r="225" spans="1:24" ht="26.25" customHeight="1">
      <c r="A225" s="2041"/>
      <c r="B225" s="1609" t="s">
        <v>1770</v>
      </c>
      <c r="C225" s="2042"/>
      <c r="D225" s="1602">
        <f t="shared" si="48"/>
        <v>2557.4</v>
      </c>
      <c r="E225" s="1609">
        <v>2403.9</v>
      </c>
      <c r="F225" s="1609">
        <v>153.5</v>
      </c>
      <c r="G225" s="1600">
        <f t="shared" si="49"/>
        <v>2557.4</v>
      </c>
      <c r="H225" s="1619">
        <f t="shared" si="47"/>
        <v>2403.9</v>
      </c>
      <c r="I225" s="1619">
        <f t="shared" si="47"/>
        <v>153.5</v>
      </c>
      <c r="J225" s="1600">
        <f t="shared" si="50"/>
        <v>0</v>
      </c>
      <c r="K225" s="1619"/>
      <c r="L225" s="1619"/>
      <c r="M225" s="1619">
        <f>IF(J225=0,0,J225/G225*100)</f>
        <v>0</v>
      </c>
      <c r="N225" s="1619">
        <f>IF(K225=0,0,K225/H225*100)</f>
        <v>0</v>
      </c>
      <c r="O225" s="1619">
        <f>IF(L225=0,0,L225/I225*100)</f>
        <v>0</v>
      </c>
      <c r="P225" s="1593"/>
      <c r="Q225" s="1593"/>
      <c r="R225" s="1600"/>
      <c r="S225" s="1619"/>
      <c r="T225" s="1619"/>
      <c r="U225" s="1600"/>
      <c r="V225" s="1619"/>
      <c r="W225" s="1619"/>
      <c r="X225" s="1423">
        <f>D225-G225</f>
        <v>0</v>
      </c>
    </row>
    <row r="226" spans="1:24" s="484" customFormat="1" ht="23.25">
      <c r="A226" s="2041"/>
      <c r="B226" s="1609" t="s">
        <v>1621</v>
      </c>
      <c r="C226" s="2042"/>
      <c r="D226" s="1602">
        <f t="shared" si="48"/>
        <v>35340.699999999997</v>
      </c>
      <c r="E226" s="1616"/>
      <c r="F226" s="1616">
        <v>35340.699999999997</v>
      </c>
      <c r="G226" s="1600">
        <f t="shared" si="49"/>
        <v>35340.699999999997</v>
      </c>
      <c r="H226" s="1619">
        <f t="shared" si="47"/>
        <v>0</v>
      </c>
      <c r="I226" s="1619">
        <f t="shared" si="47"/>
        <v>35340.699999999997</v>
      </c>
      <c r="J226" s="1600">
        <f t="shared" si="50"/>
        <v>179</v>
      </c>
      <c r="K226" s="1608"/>
      <c r="L226" s="1608">
        <v>179</v>
      </c>
      <c r="M226" s="1604">
        <f t="shared" si="51"/>
        <v>0.5</v>
      </c>
      <c r="N226" s="1907">
        <f t="shared" si="51"/>
        <v>0</v>
      </c>
      <c r="O226" s="1907">
        <f t="shared" si="51"/>
        <v>0.5</v>
      </c>
      <c r="P226" s="1593"/>
      <c r="Q226" s="1593"/>
      <c r="R226" s="1600">
        <f>S226+T226</f>
        <v>0</v>
      </c>
      <c r="S226" s="1608">
        <v>0</v>
      </c>
      <c r="T226" s="1608">
        <v>0</v>
      </c>
      <c r="U226" s="1600">
        <f>V226+W226</f>
        <v>0</v>
      </c>
      <c r="V226" s="1608">
        <v>0</v>
      </c>
      <c r="W226" s="1608">
        <v>0</v>
      </c>
      <c r="X226" s="1423">
        <f t="shared" ref="X226:X245" si="53">D226-G226</f>
        <v>0</v>
      </c>
    </row>
    <row r="227" spans="1:24" s="484" customFormat="1" ht="46.5" customHeight="1">
      <c r="A227" s="2041">
        <v>98</v>
      </c>
      <c r="B227" s="1919" t="s">
        <v>1591</v>
      </c>
      <c r="C227" s="2042"/>
      <c r="D227" s="1602">
        <f t="shared" si="48"/>
        <v>314.10000000000002</v>
      </c>
      <c r="E227" s="1616">
        <f>E228+E229</f>
        <v>147.6</v>
      </c>
      <c r="F227" s="1616">
        <f>F228+F229</f>
        <v>166.5</v>
      </c>
      <c r="G227" s="1600">
        <f t="shared" si="49"/>
        <v>314.10000000000002</v>
      </c>
      <c r="H227" s="1608">
        <f>H228+H229</f>
        <v>147.6</v>
      </c>
      <c r="I227" s="1608">
        <f>I228+I229</f>
        <v>166.5</v>
      </c>
      <c r="J227" s="1600">
        <f t="shared" si="50"/>
        <v>157</v>
      </c>
      <c r="K227" s="1608">
        <f>K228+K229</f>
        <v>0</v>
      </c>
      <c r="L227" s="1608">
        <f>L228+L229</f>
        <v>157</v>
      </c>
      <c r="M227" s="1604">
        <f t="shared" si="51"/>
        <v>50</v>
      </c>
      <c r="N227" s="1881">
        <f t="shared" si="51"/>
        <v>0</v>
      </c>
      <c r="O227" s="1881">
        <f t="shared" si="51"/>
        <v>94.3</v>
      </c>
      <c r="P227" s="1593"/>
      <c r="Q227" s="1593"/>
      <c r="R227" s="1600"/>
      <c r="S227" s="1608"/>
      <c r="T227" s="1608"/>
      <c r="U227" s="1600"/>
      <c r="V227" s="1608"/>
      <c r="W227" s="1608"/>
      <c r="X227" s="1423">
        <f t="shared" si="53"/>
        <v>0</v>
      </c>
    </row>
    <row r="228" spans="1:24" s="484" customFormat="1" ht="24" customHeight="1">
      <c r="A228" s="2041"/>
      <c r="B228" s="1609" t="s">
        <v>1770</v>
      </c>
      <c r="C228" s="2042"/>
      <c r="D228" s="1602">
        <f t="shared" si="48"/>
        <v>157.1</v>
      </c>
      <c r="E228" s="1616">
        <v>147.6</v>
      </c>
      <c r="F228" s="1616">
        <v>9.5</v>
      </c>
      <c r="G228" s="1600">
        <f t="shared" si="49"/>
        <v>157.1</v>
      </c>
      <c r="H228" s="1619">
        <f t="shared" si="47"/>
        <v>147.6</v>
      </c>
      <c r="I228" s="1619">
        <f t="shared" si="47"/>
        <v>9.5</v>
      </c>
      <c r="J228" s="1600">
        <f t="shared" si="50"/>
        <v>0</v>
      </c>
      <c r="K228" s="1608"/>
      <c r="L228" s="1608"/>
      <c r="M228" s="1604">
        <f t="shared" si="51"/>
        <v>0</v>
      </c>
      <c r="N228" s="1881">
        <f t="shared" si="51"/>
        <v>0</v>
      </c>
      <c r="O228" s="1881">
        <f t="shared" si="51"/>
        <v>0</v>
      </c>
      <c r="P228" s="1593"/>
      <c r="Q228" s="1593"/>
      <c r="R228" s="1600"/>
      <c r="S228" s="1608"/>
      <c r="T228" s="1608"/>
      <c r="U228" s="1600"/>
      <c r="V228" s="1608"/>
      <c r="W228" s="1608"/>
      <c r="X228" s="1423">
        <f t="shared" si="53"/>
        <v>0</v>
      </c>
    </row>
    <row r="229" spans="1:24" s="484" customFormat="1" ht="27" customHeight="1">
      <c r="A229" s="2041"/>
      <c r="B229" s="1609" t="s">
        <v>1621</v>
      </c>
      <c r="C229" s="2042"/>
      <c r="D229" s="1602">
        <f t="shared" si="48"/>
        <v>157</v>
      </c>
      <c r="E229" s="1616">
        <v>0</v>
      </c>
      <c r="F229" s="1616">
        <v>157</v>
      </c>
      <c r="G229" s="1600">
        <f t="shared" si="49"/>
        <v>157</v>
      </c>
      <c r="H229" s="1619">
        <f t="shared" si="47"/>
        <v>0</v>
      </c>
      <c r="I229" s="1619">
        <f t="shared" si="47"/>
        <v>157</v>
      </c>
      <c r="J229" s="1600">
        <f t="shared" si="50"/>
        <v>157</v>
      </c>
      <c r="K229" s="1608"/>
      <c r="L229" s="1608">
        <v>157</v>
      </c>
      <c r="M229" s="1604">
        <f t="shared" si="51"/>
        <v>100</v>
      </c>
      <c r="N229" s="1881">
        <f t="shared" si="51"/>
        <v>0</v>
      </c>
      <c r="O229" s="1881">
        <f t="shared" si="51"/>
        <v>100</v>
      </c>
      <c r="P229" s="1593"/>
      <c r="Q229" s="1593"/>
      <c r="R229" s="1600"/>
      <c r="S229" s="1608"/>
      <c r="T229" s="1608"/>
      <c r="U229" s="1600"/>
      <c r="V229" s="1608"/>
      <c r="W229" s="1608"/>
      <c r="X229" s="1423">
        <f t="shared" si="53"/>
        <v>0</v>
      </c>
    </row>
    <row r="230" spans="1:24" s="1607" customFormat="1" ht="61.5" customHeight="1">
      <c r="A230" s="2041">
        <v>99</v>
      </c>
      <c r="B230" s="1914" t="s">
        <v>1600</v>
      </c>
      <c r="C230" s="2041"/>
      <c r="D230" s="1602">
        <f t="shared" si="48"/>
        <v>13576</v>
      </c>
      <c r="E230" s="1616">
        <f>E231+E232</f>
        <v>12757.3</v>
      </c>
      <c r="F230" s="1616">
        <f>F231+F232</f>
        <v>818.7</v>
      </c>
      <c r="G230" s="1600">
        <f t="shared" si="49"/>
        <v>13576</v>
      </c>
      <c r="H230" s="1608">
        <f>H231+H232</f>
        <v>12757.3</v>
      </c>
      <c r="I230" s="1608">
        <f>I231+I232</f>
        <v>818.7</v>
      </c>
      <c r="J230" s="1600">
        <f t="shared" si="50"/>
        <v>0</v>
      </c>
      <c r="K230" s="1608">
        <f>K231+K232</f>
        <v>0</v>
      </c>
      <c r="L230" s="1608">
        <f>L231+L232</f>
        <v>0</v>
      </c>
      <c r="M230" s="1608">
        <f>M231+M232</f>
        <v>0</v>
      </c>
      <c r="N230" s="1881">
        <f t="shared" si="51"/>
        <v>0</v>
      </c>
      <c r="O230" s="1881">
        <f t="shared" si="51"/>
        <v>0</v>
      </c>
      <c r="P230" s="1593"/>
      <c r="Q230" s="1593"/>
      <c r="R230" s="1600">
        <f>S230+T230</f>
        <v>0</v>
      </c>
      <c r="S230" s="1608">
        <v>0</v>
      </c>
      <c r="T230" s="1608">
        <v>0</v>
      </c>
      <c r="U230" s="1600">
        <f>V230+W230</f>
        <v>0</v>
      </c>
      <c r="V230" s="1608">
        <v>0</v>
      </c>
      <c r="W230" s="1608">
        <v>0</v>
      </c>
      <c r="X230" s="1423">
        <f t="shared" si="53"/>
        <v>0</v>
      </c>
    </row>
    <row r="231" spans="1:24" ht="19.5" customHeight="1">
      <c r="A231" s="2041"/>
      <c r="B231" s="1609" t="s">
        <v>1620</v>
      </c>
      <c r="C231" s="2042"/>
      <c r="D231" s="1602">
        <f t="shared" si="48"/>
        <v>13415.9</v>
      </c>
      <c r="E231" s="1609">
        <v>12606.9</v>
      </c>
      <c r="F231" s="1609">
        <v>809</v>
      </c>
      <c r="G231" s="1600">
        <f t="shared" si="49"/>
        <v>13415.9</v>
      </c>
      <c r="H231" s="1619">
        <f t="shared" si="47"/>
        <v>12606.9</v>
      </c>
      <c r="I231" s="1619">
        <f t="shared" si="47"/>
        <v>809</v>
      </c>
      <c r="J231" s="1600">
        <f t="shared" si="50"/>
        <v>0</v>
      </c>
      <c r="K231" s="1619"/>
      <c r="L231" s="1619"/>
      <c r="M231" s="1619">
        <f t="shared" ref="M231:O232" si="54">IF(J231=0,0,J231/G231*100)</f>
        <v>0</v>
      </c>
      <c r="N231" s="1619">
        <f t="shared" si="54"/>
        <v>0</v>
      </c>
      <c r="O231" s="1619">
        <f t="shared" si="54"/>
        <v>0</v>
      </c>
      <c r="P231" s="1593"/>
      <c r="Q231" s="1593"/>
      <c r="R231" s="1600"/>
      <c r="S231" s="1619"/>
      <c r="T231" s="1619"/>
      <c r="U231" s="1600"/>
      <c r="V231" s="1619"/>
      <c r="W231" s="1619"/>
      <c r="X231" s="1423">
        <f t="shared" si="53"/>
        <v>0</v>
      </c>
    </row>
    <row r="232" spans="1:24" ht="26.25" customHeight="1">
      <c r="A232" s="2041"/>
      <c r="B232" s="1609" t="s">
        <v>1770</v>
      </c>
      <c r="C232" s="2042"/>
      <c r="D232" s="1602">
        <f t="shared" si="48"/>
        <v>160.1</v>
      </c>
      <c r="E232" s="1609">
        <v>150.4</v>
      </c>
      <c r="F232" s="1609">
        <v>9.6999999999999993</v>
      </c>
      <c r="G232" s="1600">
        <f t="shared" si="49"/>
        <v>160.1</v>
      </c>
      <c r="H232" s="1619">
        <f t="shared" si="47"/>
        <v>150.4</v>
      </c>
      <c r="I232" s="1619">
        <f t="shared" si="47"/>
        <v>9.6999999999999993</v>
      </c>
      <c r="J232" s="1600">
        <f t="shared" si="50"/>
        <v>0</v>
      </c>
      <c r="K232" s="1619"/>
      <c r="L232" s="1619"/>
      <c r="M232" s="1619">
        <f t="shared" si="54"/>
        <v>0</v>
      </c>
      <c r="N232" s="1619">
        <f t="shared" si="54"/>
        <v>0</v>
      </c>
      <c r="O232" s="1619">
        <f t="shared" si="54"/>
        <v>0</v>
      </c>
      <c r="P232" s="1593"/>
      <c r="Q232" s="1593"/>
      <c r="R232" s="1600"/>
      <c r="S232" s="1619"/>
      <c r="T232" s="1619"/>
      <c r="U232" s="1600"/>
      <c r="V232" s="1619"/>
      <c r="W232" s="1619"/>
      <c r="X232" s="1423">
        <f t="shared" si="53"/>
        <v>0</v>
      </c>
    </row>
    <row r="233" spans="1:24" s="484" customFormat="1" ht="54" customHeight="1">
      <c r="A233" s="2041">
        <f>A230+1</f>
        <v>100</v>
      </c>
      <c r="B233" s="1914" t="s">
        <v>776</v>
      </c>
      <c r="C233" s="2041" t="s">
        <v>1545</v>
      </c>
      <c r="D233" s="1602">
        <f t="shared" si="48"/>
        <v>179059.7</v>
      </c>
      <c r="E233" s="1615">
        <f>E234+E235</f>
        <v>166418.20000000001</v>
      </c>
      <c r="F233" s="1615">
        <f>F234+F235</f>
        <v>12641.5</v>
      </c>
      <c r="G233" s="1600">
        <f t="shared" si="49"/>
        <v>179059.7</v>
      </c>
      <c r="H233" s="1614">
        <f>H234+H235</f>
        <v>166418.20000000001</v>
      </c>
      <c r="I233" s="1614">
        <f>I234+I235</f>
        <v>12641.5</v>
      </c>
      <c r="J233" s="1600">
        <f t="shared" si="50"/>
        <v>35522</v>
      </c>
      <c r="K233" s="1614">
        <f>K234+K235</f>
        <v>33390.699999999997</v>
      </c>
      <c r="L233" s="1614">
        <f>L234+L235</f>
        <v>2131.3000000000002</v>
      </c>
      <c r="M233" s="1893">
        <f t="shared" si="51"/>
        <v>19.8</v>
      </c>
      <c r="N233" s="1894">
        <f t="shared" si="51"/>
        <v>20.100000000000001</v>
      </c>
      <c r="O233" s="1894">
        <f t="shared" si="51"/>
        <v>16.899999999999999</v>
      </c>
      <c r="P233" s="1593" t="s">
        <v>1272</v>
      </c>
      <c r="Q233" s="1593" t="s">
        <v>1273</v>
      </c>
      <c r="R233" s="1600">
        <f>S233+T233</f>
        <v>0</v>
      </c>
      <c r="S233" s="1608">
        <v>0</v>
      </c>
      <c r="T233" s="1608">
        <v>0</v>
      </c>
      <c r="U233" s="1600">
        <f>V233+W233</f>
        <v>0</v>
      </c>
      <c r="V233" s="1608">
        <v>0</v>
      </c>
      <c r="W233" s="1608">
        <v>0</v>
      </c>
      <c r="X233" s="1423">
        <f t="shared" si="53"/>
        <v>0</v>
      </c>
    </row>
    <row r="234" spans="1:24" s="484" customFormat="1" ht="28.5" customHeight="1">
      <c r="A234" s="2041"/>
      <c r="B234" s="1609" t="s">
        <v>1620</v>
      </c>
      <c r="C234" s="2041"/>
      <c r="D234" s="1602">
        <f t="shared" si="48"/>
        <v>177040.7</v>
      </c>
      <c r="E234" s="1615">
        <v>166418.20000000001</v>
      </c>
      <c r="F234" s="1615">
        <v>10622.5</v>
      </c>
      <c r="G234" s="1600">
        <f t="shared" si="49"/>
        <v>177040.7</v>
      </c>
      <c r="H234" s="1619">
        <f t="shared" si="47"/>
        <v>166418.20000000001</v>
      </c>
      <c r="I234" s="1619">
        <f t="shared" si="47"/>
        <v>10622.5</v>
      </c>
      <c r="J234" s="1600">
        <f t="shared" si="50"/>
        <v>35522</v>
      </c>
      <c r="K234" s="1614">
        <v>33390.699999999997</v>
      </c>
      <c r="L234" s="1614">
        <v>2131.3000000000002</v>
      </c>
      <c r="M234" s="1893">
        <f t="shared" si="51"/>
        <v>20.100000000000001</v>
      </c>
      <c r="N234" s="1894">
        <f t="shared" si="51"/>
        <v>20.100000000000001</v>
      </c>
      <c r="O234" s="1894">
        <f t="shared" si="51"/>
        <v>20.100000000000001</v>
      </c>
      <c r="P234" s="1593"/>
      <c r="Q234" s="1593"/>
      <c r="R234" s="1600"/>
      <c r="S234" s="1608"/>
      <c r="T234" s="1608"/>
      <c r="U234" s="1600"/>
      <c r="V234" s="1608"/>
      <c r="W234" s="1608"/>
      <c r="X234" s="1423">
        <f t="shared" si="53"/>
        <v>0</v>
      </c>
    </row>
    <row r="235" spans="1:24" s="484" customFormat="1" ht="29.25" customHeight="1">
      <c r="A235" s="2041"/>
      <c r="B235" s="1609" t="s">
        <v>1621</v>
      </c>
      <c r="C235" s="2041"/>
      <c r="D235" s="1602">
        <f t="shared" si="48"/>
        <v>2019</v>
      </c>
      <c r="E235" s="1616">
        <v>0</v>
      </c>
      <c r="F235" s="1616">
        <v>2019</v>
      </c>
      <c r="G235" s="1600">
        <f t="shared" si="49"/>
        <v>2019</v>
      </c>
      <c r="H235" s="1619">
        <f t="shared" si="47"/>
        <v>0</v>
      </c>
      <c r="I235" s="1619">
        <f t="shared" si="47"/>
        <v>2019</v>
      </c>
      <c r="J235" s="1600">
        <f t="shared" si="50"/>
        <v>0</v>
      </c>
      <c r="K235" s="1608"/>
      <c r="L235" s="1608"/>
      <c r="M235" s="1604">
        <f t="shared" si="51"/>
        <v>0</v>
      </c>
      <c r="N235" s="1881">
        <f t="shared" si="51"/>
        <v>0</v>
      </c>
      <c r="O235" s="1881">
        <f t="shared" si="51"/>
        <v>0</v>
      </c>
      <c r="P235" s="1593"/>
      <c r="Q235" s="1593"/>
      <c r="R235" s="1600"/>
      <c r="S235" s="1608"/>
      <c r="T235" s="1608"/>
      <c r="U235" s="1600"/>
      <c r="V235" s="1608"/>
      <c r="W235" s="1608"/>
      <c r="X235" s="1423">
        <f t="shared" si="53"/>
        <v>0</v>
      </c>
    </row>
    <row r="236" spans="1:24" ht="50.25" customHeight="1">
      <c r="A236" s="2041">
        <f>A233+1</f>
        <v>101</v>
      </c>
      <c r="B236" s="1888" t="s">
        <v>1595</v>
      </c>
      <c r="C236" s="2041"/>
      <c r="D236" s="1602">
        <f t="shared" si="48"/>
        <v>10217.700000000001</v>
      </c>
      <c r="E236" s="1615">
        <f>E237+E238</f>
        <v>9604.6</v>
      </c>
      <c r="F236" s="1615">
        <f>F237+F238</f>
        <v>613.1</v>
      </c>
      <c r="G236" s="1600">
        <f t="shared" si="49"/>
        <v>10217.700000000001</v>
      </c>
      <c r="H236" s="1614">
        <f>H237+H238</f>
        <v>9604.6</v>
      </c>
      <c r="I236" s="1614">
        <f>I237+I238</f>
        <v>613.1</v>
      </c>
      <c r="J236" s="1600">
        <f t="shared" si="50"/>
        <v>0</v>
      </c>
      <c r="K236" s="1614">
        <f>K237+K238</f>
        <v>0</v>
      </c>
      <c r="L236" s="1614">
        <f>L237+L238</f>
        <v>0</v>
      </c>
      <c r="M236" s="1893">
        <f t="shared" si="51"/>
        <v>0</v>
      </c>
      <c r="N236" s="1894">
        <f t="shared" si="51"/>
        <v>0</v>
      </c>
      <c r="O236" s="1894">
        <f t="shared" si="51"/>
        <v>0</v>
      </c>
      <c r="P236" s="1593"/>
      <c r="Q236" s="1593"/>
      <c r="R236" s="1600">
        <f>S236+T236</f>
        <v>0</v>
      </c>
      <c r="S236" s="1608">
        <v>0</v>
      </c>
      <c r="T236" s="1608">
        <v>0</v>
      </c>
      <c r="U236" s="1600">
        <f>V236+W236</f>
        <v>0</v>
      </c>
      <c r="V236" s="1608">
        <v>0</v>
      </c>
      <c r="W236" s="1608">
        <v>0</v>
      </c>
      <c r="X236" s="1423">
        <f t="shared" si="53"/>
        <v>0</v>
      </c>
    </row>
    <row r="237" spans="1:24" ht="19.5" customHeight="1">
      <c r="A237" s="2041"/>
      <c r="B237" s="1609" t="s">
        <v>1620</v>
      </c>
      <c r="C237" s="2042"/>
      <c r="D237" s="1602">
        <f t="shared" si="48"/>
        <v>9921.2000000000007</v>
      </c>
      <c r="E237" s="1609">
        <v>9325.9</v>
      </c>
      <c r="F237" s="1609">
        <v>595.29999999999995</v>
      </c>
      <c r="G237" s="1600">
        <f t="shared" si="49"/>
        <v>9921.2000000000007</v>
      </c>
      <c r="H237" s="1619">
        <f t="shared" si="47"/>
        <v>9325.9</v>
      </c>
      <c r="I237" s="1619">
        <f t="shared" si="47"/>
        <v>595.29999999999995</v>
      </c>
      <c r="J237" s="1600">
        <f t="shared" si="50"/>
        <v>0</v>
      </c>
      <c r="K237" s="1619"/>
      <c r="L237" s="1619"/>
      <c r="M237" s="1619">
        <f t="shared" si="51"/>
        <v>0</v>
      </c>
      <c r="N237" s="1619">
        <f t="shared" si="51"/>
        <v>0</v>
      </c>
      <c r="O237" s="1619">
        <f t="shared" si="51"/>
        <v>0</v>
      </c>
      <c r="P237" s="1593"/>
      <c r="Q237" s="1593"/>
      <c r="R237" s="1600"/>
      <c r="S237" s="1619"/>
      <c r="T237" s="1619"/>
      <c r="U237" s="1600"/>
      <c r="V237" s="1619"/>
      <c r="W237" s="1619"/>
      <c r="X237" s="1423">
        <f t="shared" si="53"/>
        <v>0</v>
      </c>
    </row>
    <row r="238" spans="1:24" ht="26.25" customHeight="1">
      <c r="A238" s="2041"/>
      <c r="B238" s="1609" t="s">
        <v>1770</v>
      </c>
      <c r="C238" s="2042"/>
      <c r="D238" s="1602">
        <f t="shared" si="48"/>
        <v>296.5</v>
      </c>
      <c r="E238" s="1609">
        <v>278.7</v>
      </c>
      <c r="F238" s="1609">
        <v>17.8</v>
      </c>
      <c r="G238" s="1600">
        <f t="shared" si="49"/>
        <v>296.5</v>
      </c>
      <c r="H238" s="1619">
        <f t="shared" si="47"/>
        <v>278.7</v>
      </c>
      <c r="I238" s="1619">
        <f t="shared" si="47"/>
        <v>17.8</v>
      </c>
      <c r="J238" s="1600">
        <f t="shared" si="50"/>
        <v>0</v>
      </c>
      <c r="K238" s="1619"/>
      <c r="L238" s="1619"/>
      <c r="M238" s="1619">
        <f t="shared" si="51"/>
        <v>0</v>
      </c>
      <c r="N238" s="1619">
        <f t="shared" si="51"/>
        <v>0</v>
      </c>
      <c r="O238" s="1619">
        <f t="shared" si="51"/>
        <v>0</v>
      </c>
      <c r="P238" s="1593"/>
      <c r="Q238" s="1593"/>
      <c r="R238" s="1600"/>
      <c r="S238" s="1619"/>
      <c r="T238" s="1619"/>
      <c r="U238" s="1600"/>
      <c r="V238" s="1619"/>
      <c r="W238" s="1619"/>
      <c r="X238" s="1423">
        <f t="shared" si="53"/>
        <v>0</v>
      </c>
    </row>
    <row r="239" spans="1:24" ht="50.25" customHeight="1">
      <c r="A239" s="2041">
        <f>A236+1</f>
        <v>102</v>
      </c>
      <c r="B239" s="1888" t="s">
        <v>1596</v>
      </c>
      <c r="C239" s="2041"/>
      <c r="D239" s="1602">
        <f t="shared" si="48"/>
        <v>6626.8</v>
      </c>
      <c r="E239" s="1615">
        <f>E240+E241</f>
        <v>6229.1</v>
      </c>
      <c r="F239" s="1615">
        <f>F240+F241</f>
        <v>397.7</v>
      </c>
      <c r="G239" s="1600">
        <f t="shared" si="49"/>
        <v>6626.8</v>
      </c>
      <c r="H239" s="1614">
        <f>H240+H241</f>
        <v>6229.1</v>
      </c>
      <c r="I239" s="1614">
        <f>I240+I241</f>
        <v>397.7</v>
      </c>
      <c r="J239" s="1600">
        <f t="shared" si="50"/>
        <v>0</v>
      </c>
      <c r="K239" s="1614">
        <f>K240+K241</f>
        <v>0</v>
      </c>
      <c r="L239" s="1614">
        <f>L240+L241</f>
        <v>0</v>
      </c>
      <c r="M239" s="1893">
        <f t="shared" si="51"/>
        <v>0</v>
      </c>
      <c r="N239" s="1894">
        <f t="shared" si="51"/>
        <v>0</v>
      </c>
      <c r="O239" s="1894">
        <f t="shared" si="51"/>
        <v>0</v>
      </c>
      <c r="P239" s="1593"/>
      <c r="Q239" s="1593"/>
      <c r="R239" s="1600">
        <f>S239+T239</f>
        <v>0</v>
      </c>
      <c r="S239" s="1608">
        <v>0</v>
      </c>
      <c r="T239" s="1608">
        <v>0</v>
      </c>
      <c r="U239" s="1600">
        <f>V239+W239</f>
        <v>0</v>
      </c>
      <c r="V239" s="1608">
        <v>0</v>
      </c>
      <c r="W239" s="1608">
        <v>0</v>
      </c>
      <c r="X239" s="1423">
        <f t="shared" si="53"/>
        <v>0</v>
      </c>
    </row>
    <row r="240" spans="1:24" ht="19.5" customHeight="1">
      <c r="A240" s="2041"/>
      <c r="B240" s="1609" t="s">
        <v>1620</v>
      </c>
      <c r="C240" s="2042"/>
      <c r="D240" s="1602">
        <f t="shared" si="48"/>
        <v>6302.6</v>
      </c>
      <c r="E240" s="1609">
        <v>5924.4</v>
      </c>
      <c r="F240" s="1609">
        <v>378.2</v>
      </c>
      <c r="G240" s="1600">
        <f t="shared" si="49"/>
        <v>6302.6</v>
      </c>
      <c r="H240" s="1619">
        <f t="shared" si="47"/>
        <v>5924.4</v>
      </c>
      <c r="I240" s="1619">
        <f t="shared" si="47"/>
        <v>378.2</v>
      </c>
      <c r="J240" s="1600">
        <f t="shared" si="50"/>
        <v>0</v>
      </c>
      <c r="K240" s="1619"/>
      <c r="L240" s="1619"/>
      <c r="M240" s="1619">
        <f t="shared" si="51"/>
        <v>0</v>
      </c>
      <c r="N240" s="1619">
        <f t="shared" si="51"/>
        <v>0</v>
      </c>
      <c r="O240" s="1619">
        <f t="shared" si="51"/>
        <v>0</v>
      </c>
      <c r="P240" s="1593"/>
      <c r="Q240" s="1593"/>
      <c r="R240" s="1600"/>
      <c r="S240" s="1619"/>
      <c r="T240" s="1619"/>
      <c r="U240" s="1600"/>
      <c r="V240" s="1619"/>
      <c r="W240" s="1619"/>
      <c r="X240" s="1423">
        <f>D240-G240</f>
        <v>0</v>
      </c>
    </row>
    <row r="241" spans="1:24" ht="26.25" customHeight="1">
      <c r="A241" s="2041"/>
      <c r="B241" s="1609" t="s">
        <v>1770</v>
      </c>
      <c r="C241" s="2042"/>
      <c r="D241" s="1602">
        <f t="shared" si="48"/>
        <v>324.2</v>
      </c>
      <c r="E241" s="1609">
        <v>304.7</v>
      </c>
      <c r="F241" s="1609">
        <v>19.5</v>
      </c>
      <c r="G241" s="1600">
        <f t="shared" si="49"/>
        <v>324.2</v>
      </c>
      <c r="H241" s="1619">
        <f t="shared" si="47"/>
        <v>304.7</v>
      </c>
      <c r="I241" s="1619">
        <f t="shared" si="47"/>
        <v>19.5</v>
      </c>
      <c r="J241" s="1600">
        <f t="shared" si="50"/>
        <v>0</v>
      </c>
      <c r="K241" s="1619"/>
      <c r="L241" s="1619"/>
      <c r="M241" s="1619">
        <f t="shared" si="51"/>
        <v>0</v>
      </c>
      <c r="N241" s="1619">
        <f t="shared" si="51"/>
        <v>0</v>
      </c>
      <c r="O241" s="1619">
        <f t="shared" si="51"/>
        <v>0</v>
      </c>
      <c r="P241" s="1593"/>
      <c r="Q241" s="1593"/>
      <c r="R241" s="1600"/>
      <c r="S241" s="1619"/>
      <c r="T241" s="1619"/>
      <c r="U241" s="1600"/>
      <c r="V241" s="1619"/>
      <c r="W241" s="1619"/>
      <c r="X241" s="1423">
        <f>D241-G241</f>
        <v>0</v>
      </c>
    </row>
    <row r="242" spans="1:24" s="484" customFormat="1" ht="78.75" customHeight="1">
      <c r="A242" s="2041">
        <f>A239+1</f>
        <v>103</v>
      </c>
      <c r="B242" s="1914" t="s">
        <v>1599</v>
      </c>
      <c r="C242" s="2041" t="s">
        <v>1611</v>
      </c>
      <c r="D242" s="1602">
        <f t="shared" si="48"/>
        <v>171408.9</v>
      </c>
      <c r="E242" s="1616">
        <f>E243</f>
        <v>161122.70000000001</v>
      </c>
      <c r="F242" s="1616">
        <f>F243</f>
        <v>10286.200000000001</v>
      </c>
      <c r="G242" s="1600">
        <f t="shared" si="49"/>
        <v>171408.9</v>
      </c>
      <c r="H242" s="1608">
        <f>H243</f>
        <v>161122.70000000001</v>
      </c>
      <c r="I242" s="1608">
        <f>I243</f>
        <v>10286.200000000001</v>
      </c>
      <c r="J242" s="1600">
        <f t="shared" si="50"/>
        <v>0</v>
      </c>
      <c r="K242" s="1608">
        <f>K243</f>
        <v>0</v>
      </c>
      <c r="L242" s="1608">
        <f>L243</f>
        <v>0</v>
      </c>
      <c r="M242" s="1893">
        <f t="shared" si="51"/>
        <v>0</v>
      </c>
      <c r="N242" s="1894">
        <f t="shared" si="51"/>
        <v>0</v>
      </c>
      <c r="O242" s="1894">
        <f t="shared" si="51"/>
        <v>0</v>
      </c>
      <c r="P242" s="1593"/>
      <c r="Q242" s="1593"/>
      <c r="R242" s="1600">
        <f>S242+T242</f>
        <v>0</v>
      </c>
      <c r="S242" s="1608">
        <v>0</v>
      </c>
      <c r="T242" s="1608">
        <v>0</v>
      </c>
      <c r="U242" s="1600">
        <f>V242+W242</f>
        <v>0</v>
      </c>
      <c r="V242" s="1608">
        <v>0</v>
      </c>
      <c r="W242" s="1608">
        <v>0</v>
      </c>
      <c r="X242" s="1423">
        <f t="shared" si="53"/>
        <v>0</v>
      </c>
    </row>
    <row r="243" spans="1:24" s="484" customFormat="1" ht="23.25">
      <c r="A243" s="2041"/>
      <c r="B243" s="1609" t="s">
        <v>1620</v>
      </c>
      <c r="C243" s="1882"/>
      <c r="D243" s="1602">
        <f t="shared" si="48"/>
        <v>171408.9</v>
      </c>
      <c r="E243" s="1616">
        <v>161122.70000000001</v>
      </c>
      <c r="F243" s="1616">
        <v>10286.200000000001</v>
      </c>
      <c r="G243" s="1600">
        <f t="shared" si="49"/>
        <v>171408.9</v>
      </c>
      <c r="H243" s="1619">
        <f t="shared" si="47"/>
        <v>161122.70000000001</v>
      </c>
      <c r="I243" s="1619">
        <f t="shared" si="47"/>
        <v>10286.200000000001</v>
      </c>
      <c r="J243" s="1600">
        <f t="shared" si="50"/>
        <v>0</v>
      </c>
      <c r="K243" s="1608"/>
      <c r="L243" s="1608"/>
      <c r="M243" s="1893">
        <f>IF(J243=0,0,J243/G243*100)</f>
        <v>0</v>
      </c>
      <c r="N243" s="1894">
        <f>IF(K243=0,0,K243/H243*100)</f>
        <v>0</v>
      </c>
      <c r="O243" s="1894">
        <f>IF(L243=0,0,L243/I243*100)</f>
        <v>0</v>
      </c>
      <c r="P243" s="1593"/>
      <c r="Q243" s="1593"/>
      <c r="R243" s="1600">
        <f>S243+T243</f>
        <v>0</v>
      </c>
      <c r="S243" s="1608">
        <v>0</v>
      </c>
      <c r="T243" s="1608">
        <v>0</v>
      </c>
      <c r="U243" s="1600">
        <f>V243+W243</f>
        <v>0</v>
      </c>
      <c r="V243" s="1608">
        <v>0</v>
      </c>
      <c r="W243" s="1624">
        <v>0</v>
      </c>
      <c r="X243" s="1423">
        <f>D243-G243</f>
        <v>0</v>
      </c>
    </row>
    <row r="244" spans="1:24" s="484" customFormat="1" ht="30.75" customHeight="1">
      <c r="A244" s="2041">
        <f>A242+1</f>
        <v>104</v>
      </c>
      <c r="B244" s="516" t="s">
        <v>763</v>
      </c>
      <c r="C244" s="2050" t="s">
        <v>1550</v>
      </c>
      <c r="D244" s="1602">
        <f t="shared" si="48"/>
        <v>172153.3</v>
      </c>
      <c r="E244" s="1616">
        <f>E245+E246</f>
        <v>161822.39999999999</v>
      </c>
      <c r="F244" s="1616">
        <f>F245+F246</f>
        <v>10330.9</v>
      </c>
      <c r="G244" s="1600">
        <f t="shared" si="49"/>
        <v>172153.3</v>
      </c>
      <c r="H244" s="1608">
        <f>H245+H246</f>
        <v>161822.39999999999</v>
      </c>
      <c r="I244" s="1608">
        <f>I245+I246</f>
        <v>10330.9</v>
      </c>
      <c r="J244" s="1600">
        <f t="shared" si="50"/>
        <v>0</v>
      </c>
      <c r="K244" s="1608">
        <f>K245+K246</f>
        <v>0</v>
      </c>
      <c r="L244" s="1608">
        <f>L245+L246</f>
        <v>0</v>
      </c>
      <c r="M244" s="1608">
        <f t="shared" si="51"/>
        <v>0</v>
      </c>
      <c r="N244" s="1608">
        <f t="shared" si="51"/>
        <v>0</v>
      </c>
      <c r="O244" s="1608">
        <f t="shared" si="51"/>
        <v>0</v>
      </c>
      <c r="P244" s="1608">
        <f t="shared" ref="P244:W244" si="55">P245+P246</f>
        <v>0</v>
      </c>
      <c r="Q244" s="1608">
        <f t="shared" si="55"/>
        <v>0</v>
      </c>
      <c r="R244" s="1941">
        <f t="shared" si="55"/>
        <v>109549.9</v>
      </c>
      <c r="S244" s="1608">
        <f t="shared" si="55"/>
        <v>0</v>
      </c>
      <c r="T244" s="1608">
        <f t="shared" si="55"/>
        <v>109549.9</v>
      </c>
      <c r="U244" s="1608">
        <f t="shared" si="55"/>
        <v>0</v>
      </c>
      <c r="V244" s="1608">
        <f t="shared" si="55"/>
        <v>0</v>
      </c>
      <c r="W244" s="1608">
        <f t="shared" si="55"/>
        <v>0</v>
      </c>
      <c r="X244" s="1423">
        <f t="shared" si="53"/>
        <v>0</v>
      </c>
    </row>
    <row r="245" spans="1:24" s="484" customFormat="1" ht="23.25">
      <c r="A245" s="2041"/>
      <c r="B245" s="1609" t="s">
        <v>1620</v>
      </c>
      <c r="C245" s="1882"/>
      <c r="D245" s="1602">
        <f t="shared" si="48"/>
        <v>172153.3</v>
      </c>
      <c r="E245" s="1616">
        <v>161822.39999999999</v>
      </c>
      <c r="F245" s="1616">
        <v>10330.9</v>
      </c>
      <c r="G245" s="1600">
        <f t="shared" ref="G245:G318" si="56">SUM(H245:I245)</f>
        <v>172153.3</v>
      </c>
      <c r="H245" s="1619">
        <f t="shared" si="47"/>
        <v>161822.39999999999</v>
      </c>
      <c r="I245" s="1619">
        <f t="shared" si="47"/>
        <v>10330.9</v>
      </c>
      <c r="J245" s="1600">
        <f t="shared" si="50"/>
        <v>0</v>
      </c>
      <c r="K245" s="1608"/>
      <c r="L245" s="1608"/>
      <c r="M245" s="1893">
        <f t="shared" si="51"/>
        <v>0</v>
      </c>
      <c r="N245" s="1894">
        <f t="shared" si="51"/>
        <v>0</v>
      </c>
      <c r="O245" s="1894">
        <f t="shared" si="51"/>
        <v>0</v>
      </c>
      <c r="P245" s="1593"/>
      <c r="Q245" s="1593"/>
      <c r="R245" s="1600">
        <f t="shared" ref="R245:R265" si="57">S245+T245</f>
        <v>0</v>
      </c>
      <c r="S245" s="1608">
        <v>0</v>
      </c>
      <c r="T245" s="1608">
        <v>0</v>
      </c>
      <c r="U245" s="1600">
        <f t="shared" ref="U245:U265" si="58">V245+W245</f>
        <v>0</v>
      </c>
      <c r="V245" s="1608">
        <v>0</v>
      </c>
      <c r="W245" s="1624">
        <v>0</v>
      </c>
      <c r="X245" s="1423">
        <f t="shared" si="53"/>
        <v>0</v>
      </c>
    </row>
    <row r="246" spans="1:24" s="484" customFormat="1" ht="19.5" hidden="1" customHeight="1">
      <c r="A246" s="2041"/>
      <c r="B246" s="1609" t="s">
        <v>1621</v>
      </c>
      <c r="C246" s="1882"/>
      <c r="D246" s="1602">
        <f t="shared" si="48"/>
        <v>0</v>
      </c>
      <c r="E246" s="1616"/>
      <c r="F246" s="2045">
        <v>0</v>
      </c>
      <c r="G246" s="1600">
        <f t="shared" si="56"/>
        <v>0</v>
      </c>
      <c r="H246" s="1619">
        <f t="shared" si="47"/>
        <v>0</v>
      </c>
      <c r="I246" s="1619">
        <f t="shared" si="47"/>
        <v>0</v>
      </c>
      <c r="J246" s="1600">
        <f t="shared" si="50"/>
        <v>0</v>
      </c>
      <c r="K246" s="1608"/>
      <c r="L246" s="1624"/>
      <c r="M246" s="1893">
        <f t="shared" si="51"/>
        <v>0</v>
      </c>
      <c r="N246" s="1894">
        <f t="shared" si="51"/>
        <v>0</v>
      </c>
      <c r="O246" s="1894">
        <f t="shared" si="51"/>
        <v>0</v>
      </c>
      <c r="P246" s="1593"/>
      <c r="Q246" s="1593"/>
      <c r="R246" s="1600">
        <f t="shared" si="57"/>
        <v>109549.9</v>
      </c>
      <c r="S246" s="1608">
        <v>0</v>
      </c>
      <c r="T246" s="1608">
        <v>109549.9</v>
      </c>
      <c r="U246" s="1600">
        <f t="shared" si="58"/>
        <v>0</v>
      </c>
      <c r="V246" s="1608">
        <v>0</v>
      </c>
      <c r="W246" s="1624">
        <v>0</v>
      </c>
    </row>
    <row r="247" spans="1:24" s="484" customFormat="1" ht="20.25" customHeight="1">
      <c r="A247" s="2041">
        <f>A244+1</f>
        <v>105</v>
      </c>
      <c r="B247" s="516" t="s">
        <v>765</v>
      </c>
      <c r="C247" s="2050" t="s">
        <v>1550</v>
      </c>
      <c r="D247" s="1602">
        <f t="shared" si="48"/>
        <v>33286.699999999997</v>
      </c>
      <c r="E247" s="1616">
        <f>SUM(E248:E249)</f>
        <v>21902.5</v>
      </c>
      <c r="F247" s="1616">
        <f>SUM(F248:F249)</f>
        <v>11384.2</v>
      </c>
      <c r="G247" s="1600">
        <f t="shared" si="56"/>
        <v>33286.699999999997</v>
      </c>
      <c r="H247" s="1608">
        <f>SUM(H248:H249)</f>
        <v>21902.5</v>
      </c>
      <c r="I247" s="1608">
        <f>SUM(I248:I249)</f>
        <v>11384.2</v>
      </c>
      <c r="J247" s="1600">
        <f t="shared" si="50"/>
        <v>0</v>
      </c>
      <c r="K247" s="1608">
        <f>SUM(K248:K249)</f>
        <v>0</v>
      </c>
      <c r="L247" s="1608">
        <f>SUM(L248:L249)</f>
        <v>0</v>
      </c>
      <c r="M247" s="1893">
        <f t="shared" si="51"/>
        <v>0</v>
      </c>
      <c r="N247" s="1894">
        <f t="shared" si="51"/>
        <v>0</v>
      </c>
      <c r="O247" s="1894">
        <f t="shared" si="51"/>
        <v>0</v>
      </c>
      <c r="P247" s="1593" t="s">
        <v>1267</v>
      </c>
      <c r="Q247" s="1593" t="s">
        <v>1219</v>
      </c>
      <c r="R247" s="1600">
        <f t="shared" si="57"/>
        <v>0</v>
      </c>
      <c r="S247" s="1608">
        <v>0</v>
      </c>
      <c r="T247" s="1608">
        <v>0</v>
      </c>
      <c r="U247" s="1600">
        <f t="shared" si="58"/>
        <v>0</v>
      </c>
      <c r="V247" s="1608">
        <v>0</v>
      </c>
      <c r="W247" s="1624">
        <v>0</v>
      </c>
      <c r="X247" s="1423">
        <f t="shared" ref="X247:X263" si="59">D247-G247</f>
        <v>0</v>
      </c>
    </row>
    <row r="248" spans="1:24" ht="23.25">
      <c r="A248" s="2041"/>
      <c r="B248" s="1609" t="s">
        <v>1620</v>
      </c>
      <c r="C248" s="1882"/>
      <c r="D248" s="1602">
        <f t="shared" si="48"/>
        <v>23300.799999999999</v>
      </c>
      <c r="E248" s="1616">
        <v>21902.5</v>
      </c>
      <c r="F248" s="1616">
        <v>1398.3</v>
      </c>
      <c r="G248" s="1600">
        <f t="shared" si="56"/>
        <v>23300.799999999999</v>
      </c>
      <c r="H248" s="1619">
        <f t="shared" si="47"/>
        <v>21902.5</v>
      </c>
      <c r="I248" s="1619">
        <f t="shared" si="47"/>
        <v>1398.3</v>
      </c>
      <c r="J248" s="1600">
        <f t="shared" si="50"/>
        <v>0</v>
      </c>
      <c r="K248" s="1608"/>
      <c r="L248" s="1608"/>
      <c r="M248" s="1893">
        <f t="shared" si="51"/>
        <v>0</v>
      </c>
      <c r="N248" s="1894">
        <f t="shared" si="51"/>
        <v>0</v>
      </c>
      <c r="O248" s="1894">
        <f t="shared" si="51"/>
        <v>0</v>
      </c>
      <c r="P248" s="1593"/>
      <c r="Q248" s="1593"/>
      <c r="R248" s="1600">
        <f t="shared" si="57"/>
        <v>0</v>
      </c>
      <c r="S248" s="1608">
        <v>0</v>
      </c>
      <c r="T248" s="1608">
        <v>0</v>
      </c>
      <c r="U248" s="1600">
        <f t="shared" si="58"/>
        <v>0</v>
      </c>
      <c r="V248" s="1608">
        <v>0</v>
      </c>
      <c r="W248" s="1624">
        <v>0</v>
      </c>
      <c r="X248" s="1423">
        <f t="shared" si="59"/>
        <v>0</v>
      </c>
    </row>
    <row r="249" spans="1:24" ht="23.25">
      <c r="A249" s="2041"/>
      <c r="B249" s="1609" t="s">
        <v>1621</v>
      </c>
      <c r="C249" s="1882"/>
      <c r="D249" s="1602">
        <f t="shared" si="48"/>
        <v>9985.9</v>
      </c>
      <c r="E249" s="1616"/>
      <c r="F249" s="2045">
        <v>9985.9</v>
      </c>
      <c r="G249" s="1600">
        <f t="shared" si="56"/>
        <v>9985.9</v>
      </c>
      <c r="H249" s="1619">
        <f t="shared" si="47"/>
        <v>0</v>
      </c>
      <c r="I249" s="1619">
        <f t="shared" si="47"/>
        <v>9985.9</v>
      </c>
      <c r="J249" s="1600">
        <f t="shared" si="50"/>
        <v>0</v>
      </c>
      <c r="K249" s="1608"/>
      <c r="L249" s="1624"/>
      <c r="M249" s="1893">
        <f t="shared" si="51"/>
        <v>0</v>
      </c>
      <c r="N249" s="1894">
        <f t="shared" si="51"/>
        <v>0</v>
      </c>
      <c r="O249" s="1894">
        <f t="shared" si="51"/>
        <v>0</v>
      </c>
      <c r="P249" s="1593"/>
      <c r="Q249" s="1593"/>
      <c r="R249" s="1600">
        <f t="shared" si="57"/>
        <v>0</v>
      </c>
      <c r="S249" s="1608">
        <v>0</v>
      </c>
      <c r="T249" s="1608">
        <v>0</v>
      </c>
      <c r="U249" s="1600">
        <f t="shared" si="58"/>
        <v>0</v>
      </c>
      <c r="V249" s="1608">
        <v>0</v>
      </c>
      <c r="W249" s="1624">
        <v>0</v>
      </c>
      <c r="X249" s="1423">
        <f t="shared" si="59"/>
        <v>0</v>
      </c>
    </row>
    <row r="250" spans="1:24" s="484" customFormat="1" ht="24.75" customHeight="1">
      <c r="A250" s="2041">
        <f>A247+1</f>
        <v>106</v>
      </c>
      <c r="B250" s="516" t="s">
        <v>766</v>
      </c>
      <c r="C250" s="2050" t="s">
        <v>1550</v>
      </c>
      <c r="D250" s="1602">
        <f t="shared" si="48"/>
        <v>20841.599999999999</v>
      </c>
      <c r="E250" s="1616">
        <f>SUM(E251:E252)</f>
        <v>13713.9</v>
      </c>
      <c r="F250" s="1616">
        <f>SUM(F251:F252)</f>
        <v>7127.7</v>
      </c>
      <c r="G250" s="1600">
        <f t="shared" si="56"/>
        <v>20841.599999999999</v>
      </c>
      <c r="H250" s="1608">
        <f>SUM(H251:H252)</f>
        <v>13713.9</v>
      </c>
      <c r="I250" s="1608">
        <f>SUM(I251:I252)</f>
        <v>7127.7</v>
      </c>
      <c r="J250" s="1600">
        <f t="shared" si="50"/>
        <v>0</v>
      </c>
      <c r="K250" s="1608">
        <f>SUM(K251:K252)</f>
        <v>0</v>
      </c>
      <c r="L250" s="1608">
        <f>SUM(L251:L252)</f>
        <v>0</v>
      </c>
      <c r="M250" s="1893">
        <f t="shared" si="51"/>
        <v>0</v>
      </c>
      <c r="N250" s="1894">
        <f t="shared" si="51"/>
        <v>0</v>
      </c>
      <c r="O250" s="1894">
        <f t="shared" si="51"/>
        <v>0</v>
      </c>
      <c r="P250" s="1593" t="s">
        <v>1303</v>
      </c>
      <c r="Q250" s="1593" t="s">
        <v>1268</v>
      </c>
      <c r="R250" s="1600">
        <f t="shared" si="57"/>
        <v>0</v>
      </c>
      <c r="S250" s="1608">
        <v>0</v>
      </c>
      <c r="T250" s="1608">
        <v>0</v>
      </c>
      <c r="U250" s="1600">
        <f t="shared" si="58"/>
        <v>0</v>
      </c>
      <c r="V250" s="1608">
        <v>0</v>
      </c>
      <c r="W250" s="1624">
        <v>0</v>
      </c>
      <c r="X250" s="1423">
        <f t="shared" si="59"/>
        <v>0</v>
      </c>
    </row>
    <row r="251" spans="1:24" ht="23.25">
      <c r="A251" s="2041"/>
      <c r="B251" s="1609" t="s">
        <v>1620</v>
      </c>
      <c r="C251" s="1882"/>
      <c r="D251" s="1602">
        <f t="shared" si="48"/>
        <v>14589.4</v>
      </c>
      <c r="E251" s="1616">
        <v>13713.9</v>
      </c>
      <c r="F251" s="1616">
        <v>875.5</v>
      </c>
      <c r="G251" s="1600">
        <f t="shared" si="56"/>
        <v>14589.4</v>
      </c>
      <c r="H251" s="1619">
        <f t="shared" si="47"/>
        <v>13713.9</v>
      </c>
      <c r="I251" s="1619">
        <f t="shared" si="47"/>
        <v>875.5</v>
      </c>
      <c r="J251" s="1600">
        <f t="shared" si="50"/>
        <v>0</v>
      </c>
      <c r="K251" s="1608"/>
      <c r="L251" s="1608"/>
      <c r="M251" s="1893">
        <f t="shared" si="51"/>
        <v>0</v>
      </c>
      <c r="N251" s="1894">
        <f t="shared" si="51"/>
        <v>0</v>
      </c>
      <c r="O251" s="1894">
        <f t="shared" si="51"/>
        <v>0</v>
      </c>
      <c r="P251" s="1593"/>
      <c r="Q251" s="1593"/>
      <c r="R251" s="1600">
        <f t="shared" si="57"/>
        <v>0</v>
      </c>
      <c r="S251" s="1608">
        <v>0</v>
      </c>
      <c r="T251" s="1608">
        <v>0</v>
      </c>
      <c r="U251" s="1600">
        <f t="shared" si="58"/>
        <v>0</v>
      </c>
      <c r="V251" s="1608">
        <v>0</v>
      </c>
      <c r="W251" s="1624">
        <v>0</v>
      </c>
      <c r="X251" s="1423">
        <f t="shared" si="59"/>
        <v>0</v>
      </c>
    </row>
    <row r="252" spans="1:24" ht="23.25">
      <c r="A252" s="2041"/>
      <c r="B252" s="1609" t="s">
        <v>1621</v>
      </c>
      <c r="C252" s="1882"/>
      <c r="D252" s="1602">
        <f t="shared" si="48"/>
        <v>6252.2</v>
      </c>
      <c r="E252" s="1616"/>
      <c r="F252" s="2045">
        <v>6252.2</v>
      </c>
      <c r="G252" s="1600">
        <f t="shared" si="56"/>
        <v>6252.2</v>
      </c>
      <c r="H252" s="1619">
        <f t="shared" ref="H252:I275" si="60">E252</f>
        <v>0</v>
      </c>
      <c r="I252" s="1619">
        <f t="shared" si="60"/>
        <v>6252.2</v>
      </c>
      <c r="J252" s="1600">
        <f t="shared" si="50"/>
        <v>0</v>
      </c>
      <c r="K252" s="1608"/>
      <c r="L252" s="1624"/>
      <c r="M252" s="1893">
        <f t="shared" si="51"/>
        <v>0</v>
      </c>
      <c r="N252" s="1894">
        <f t="shared" si="51"/>
        <v>0</v>
      </c>
      <c r="O252" s="1894">
        <f t="shared" si="51"/>
        <v>0</v>
      </c>
      <c r="P252" s="1593"/>
      <c r="Q252" s="1593"/>
      <c r="R252" s="1600">
        <f t="shared" si="57"/>
        <v>0</v>
      </c>
      <c r="S252" s="1608">
        <v>0</v>
      </c>
      <c r="T252" s="1608">
        <v>0</v>
      </c>
      <c r="U252" s="1600">
        <f t="shared" si="58"/>
        <v>0</v>
      </c>
      <c r="V252" s="1608">
        <v>0</v>
      </c>
      <c r="W252" s="1624">
        <v>0</v>
      </c>
      <c r="X252" s="1423">
        <f t="shared" si="59"/>
        <v>0</v>
      </c>
    </row>
    <row r="253" spans="1:24" ht="39" customHeight="1">
      <c r="A253" s="2041">
        <f>A250+1</f>
        <v>107</v>
      </c>
      <c r="B253" s="521" t="s">
        <v>478</v>
      </c>
      <c r="C253" s="1882" t="s">
        <v>1610</v>
      </c>
      <c r="D253" s="1602">
        <f t="shared" si="48"/>
        <v>450378.9</v>
      </c>
      <c r="E253" s="1616">
        <f>E254+E255+E256</f>
        <v>423069.5</v>
      </c>
      <c r="F253" s="1616">
        <f>F254+F255+F256</f>
        <v>27309.4</v>
      </c>
      <c r="G253" s="1600">
        <f t="shared" si="56"/>
        <v>450378.9</v>
      </c>
      <c r="H253" s="1608">
        <f>H254+H255+H256</f>
        <v>423069.5</v>
      </c>
      <c r="I253" s="1608">
        <f>I254+I255+I256</f>
        <v>27309.4</v>
      </c>
      <c r="J253" s="1600">
        <f t="shared" si="50"/>
        <v>324966.90000000002</v>
      </c>
      <c r="K253" s="1608">
        <f>K254+K255+K256</f>
        <v>305460.59999999998</v>
      </c>
      <c r="L253" s="1608">
        <f>L254+L255+L256</f>
        <v>19506.3</v>
      </c>
      <c r="M253" s="1893">
        <f t="shared" si="51"/>
        <v>72.2</v>
      </c>
      <c r="N253" s="1894">
        <f t="shared" si="51"/>
        <v>72.2</v>
      </c>
      <c r="O253" s="1894">
        <f t="shared" si="51"/>
        <v>71.400000000000006</v>
      </c>
      <c r="P253" s="1593" t="s">
        <v>1298</v>
      </c>
      <c r="Q253" s="1593" t="s">
        <v>1261</v>
      </c>
      <c r="R253" s="1600">
        <f t="shared" si="57"/>
        <v>0</v>
      </c>
      <c r="S253" s="1608">
        <v>0</v>
      </c>
      <c r="T253" s="1608">
        <v>0</v>
      </c>
      <c r="U253" s="1600">
        <f t="shared" si="58"/>
        <v>0</v>
      </c>
      <c r="V253" s="1608">
        <v>0</v>
      </c>
      <c r="W253" s="1624">
        <v>0</v>
      </c>
      <c r="X253" s="1423">
        <f t="shared" si="59"/>
        <v>0</v>
      </c>
    </row>
    <row r="254" spans="1:24" ht="23.25">
      <c r="A254" s="2041"/>
      <c r="B254" s="1609" t="s">
        <v>1620</v>
      </c>
      <c r="C254" s="1882"/>
      <c r="D254" s="1602">
        <f t="shared" si="48"/>
        <v>449049.8</v>
      </c>
      <c r="E254" s="1616">
        <v>422106.8</v>
      </c>
      <c r="F254" s="2045">
        <v>26943</v>
      </c>
      <c r="G254" s="1600">
        <f t="shared" si="56"/>
        <v>449049.8</v>
      </c>
      <c r="H254" s="1619">
        <f t="shared" si="60"/>
        <v>422106.8</v>
      </c>
      <c r="I254" s="1619">
        <f t="shared" si="60"/>
        <v>26943</v>
      </c>
      <c r="J254" s="1600">
        <f t="shared" si="50"/>
        <v>324958.09999999998</v>
      </c>
      <c r="K254" s="1608">
        <v>305460.59999999998</v>
      </c>
      <c r="L254" s="1624">
        <v>19497.5</v>
      </c>
      <c r="M254" s="1893">
        <f t="shared" si="51"/>
        <v>72.400000000000006</v>
      </c>
      <c r="N254" s="1894">
        <f t="shared" si="51"/>
        <v>72.400000000000006</v>
      </c>
      <c r="O254" s="1894">
        <f t="shared" si="51"/>
        <v>72.400000000000006</v>
      </c>
      <c r="P254" s="1593"/>
      <c r="Q254" s="1593"/>
      <c r="R254" s="1600">
        <f t="shared" si="57"/>
        <v>0</v>
      </c>
      <c r="S254" s="1608">
        <v>0</v>
      </c>
      <c r="T254" s="1608">
        <v>0</v>
      </c>
      <c r="U254" s="1600">
        <f t="shared" si="58"/>
        <v>0</v>
      </c>
      <c r="V254" s="1608">
        <v>0</v>
      </c>
      <c r="W254" s="1624">
        <v>0</v>
      </c>
      <c r="X254" s="1423">
        <f t="shared" si="59"/>
        <v>0</v>
      </c>
    </row>
    <row r="255" spans="1:24" ht="23.25">
      <c r="A255" s="2041"/>
      <c r="B255" s="1609" t="s">
        <v>1770</v>
      </c>
      <c r="C255" s="1882"/>
      <c r="D255" s="1602">
        <f t="shared" si="48"/>
        <v>1024.2</v>
      </c>
      <c r="E255" s="1616">
        <f>256.6+706.1</f>
        <v>962.7</v>
      </c>
      <c r="F255" s="2045">
        <f>16.4+45.1</f>
        <v>61.5</v>
      </c>
      <c r="G255" s="1600">
        <f>SUM(H255:I255)</f>
        <v>1024.2</v>
      </c>
      <c r="H255" s="1619">
        <f t="shared" si="60"/>
        <v>962.7</v>
      </c>
      <c r="I255" s="1619">
        <f t="shared" si="60"/>
        <v>61.5</v>
      </c>
      <c r="J255" s="1600">
        <f t="shared" si="50"/>
        <v>0</v>
      </c>
      <c r="K255" s="1608"/>
      <c r="L255" s="1624"/>
      <c r="M255" s="1893">
        <f>IF(J255=0,0,J255/G255*100)</f>
        <v>0</v>
      </c>
      <c r="N255" s="1894">
        <f>IF(K255=0,0,K255/H255*100)</f>
        <v>0</v>
      </c>
      <c r="O255" s="1894">
        <f>IF(L255=0,0,L255/I255*100)</f>
        <v>0</v>
      </c>
      <c r="P255" s="1593"/>
      <c r="Q255" s="1593"/>
      <c r="R255" s="1600">
        <f t="shared" si="57"/>
        <v>0</v>
      </c>
      <c r="S255" s="1608">
        <v>0</v>
      </c>
      <c r="T255" s="1608">
        <v>0</v>
      </c>
      <c r="U255" s="1600">
        <f t="shared" si="58"/>
        <v>0</v>
      </c>
      <c r="V255" s="1614"/>
      <c r="W255" s="1614"/>
      <c r="X255" s="1423">
        <f>D255-G255</f>
        <v>0</v>
      </c>
    </row>
    <row r="256" spans="1:24" ht="23.25">
      <c r="A256" s="2041"/>
      <c r="B256" s="1609" t="s">
        <v>1621</v>
      </c>
      <c r="C256" s="1882"/>
      <c r="D256" s="1602">
        <f t="shared" ref="D256:D289" si="61">SUM(E256:F256)</f>
        <v>304.89999999999998</v>
      </c>
      <c r="E256" s="1616"/>
      <c r="F256" s="2045">
        <v>304.89999999999998</v>
      </c>
      <c r="G256" s="1600">
        <f t="shared" si="56"/>
        <v>304.89999999999998</v>
      </c>
      <c r="H256" s="1619">
        <f t="shared" si="60"/>
        <v>0</v>
      </c>
      <c r="I256" s="1619">
        <f t="shared" si="60"/>
        <v>304.89999999999998</v>
      </c>
      <c r="J256" s="1600">
        <f t="shared" ref="J256:J308" si="62">SUM(K256:L256)</f>
        <v>8.8000000000000007</v>
      </c>
      <c r="K256" s="1608"/>
      <c r="L256" s="1624">
        <v>8.8000000000000007</v>
      </c>
      <c r="M256" s="1893">
        <f t="shared" si="51"/>
        <v>2.9</v>
      </c>
      <c r="N256" s="1894">
        <f t="shared" si="51"/>
        <v>0</v>
      </c>
      <c r="O256" s="1894">
        <f t="shared" si="51"/>
        <v>2.9</v>
      </c>
      <c r="P256" s="1593"/>
      <c r="Q256" s="1593"/>
      <c r="R256" s="1600">
        <f t="shared" si="57"/>
        <v>0</v>
      </c>
      <c r="S256" s="1608">
        <v>0</v>
      </c>
      <c r="T256" s="1608">
        <v>0</v>
      </c>
      <c r="U256" s="1600">
        <f t="shared" si="58"/>
        <v>0</v>
      </c>
      <c r="V256" s="1614"/>
      <c r="W256" s="1614"/>
      <c r="X256" s="1423">
        <f t="shared" si="59"/>
        <v>0</v>
      </c>
    </row>
    <row r="257" spans="1:24" s="484" customFormat="1" ht="39.75" customHeight="1">
      <c r="A257" s="2041">
        <f>A253+1</f>
        <v>108</v>
      </c>
      <c r="B257" s="1915" t="s">
        <v>694</v>
      </c>
      <c r="C257" s="2041" t="s">
        <v>1548</v>
      </c>
      <c r="D257" s="1602">
        <f t="shared" si="61"/>
        <v>315323.09999999998</v>
      </c>
      <c r="E257" s="1615">
        <f>E258</f>
        <v>296403.8</v>
      </c>
      <c r="F257" s="1615">
        <f>F258</f>
        <v>18919.3</v>
      </c>
      <c r="G257" s="1600">
        <f t="shared" si="56"/>
        <v>315323.09999999998</v>
      </c>
      <c r="H257" s="1614">
        <f>H258</f>
        <v>296403.8</v>
      </c>
      <c r="I257" s="1614">
        <f>I258</f>
        <v>18919.3</v>
      </c>
      <c r="J257" s="1600">
        <f t="shared" si="62"/>
        <v>0</v>
      </c>
      <c r="K257" s="1614">
        <f>K258</f>
        <v>0</v>
      </c>
      <c r="L257" s="1614">
        <f>L258</f>
        <v>0</v>
      </c>
      <c r="M257" s="1893">
        <f t="shared" si="51"/>
        <v>0</v>
      </c>
      <c r="N257" s="1894">
        <f t="shared" si="51"/>
        <v>0</v>
      </c>
      <c r="O257" s="1894">
        <f t="shared" si="51"/>
        <v>0</v>
      </c>
      <c r="P257" s="1593" t="s">
        <v>1272</v>
      </c>
      <c r="Q257" s="1593" t="s">
        <v>1273</v>
      </c>
      <c r="R257" s="1600">
        <f t="shared" si="57"/>
        <v>0</v>
      </c>
      <c r="S257" s="1614">
        <v>0</v>
      </c>
      <c r="T257" s="1614">
        <v>0</v>
      </c>
      <c r="U257" s="1600">
        <f t="shared" si="58"/>
        <v>0</v>
      </c>
      <c r="V257" s="1614">
        <v>0</v>
      </c>
      <c r="W257" s="1614">
        <v>0</v>
      </c>
      <c r="X257" s="1423">
        <f t="shared" si="59"/>
        <v>0</v>
      </c>
    </row>
    <row r="258" spans="1:24" s="484" customFormat="1" ht="23.25">
      <c r="A258" s="2041"/>
      <c r="B258" s="1609" t="s">
        <v>1620</v>
      </c>
      <c r="C258" s="1882"/>
      <c r="D258" s="1602">
        <f t="shared" si="61"/>
        <v>315323.09999999998</v>
      </c>
      <c r="E258" s="1615">
        <v>296403.8</v>
      </c>
      <c r="F258" s="1615">
        <f>18919.3</f>
        <v>18919.3</v>
      </c>
      <c r="G258" s="1600">
        <f t="shared" si="56"/>
        <v>315323.09999999998</v>
      </c>
      <c r="H258" s="1619">
        <f t="shared" si="60"/>
        <v>296403.8</v>
      </c>
      <c r="I258" s="1619">
        <f t="shared" si="60"/>
        <v>18919.3</v>
      </c>
      <c r="J258" s="1600">
        <f t="shared" si="62"/>
        <v>0</v>
      </c>
      <c r="K258" s="1608"/>
      <c r="L258" s="1608"/>
      <c r="M258" s="1893">
        <f t="shared" si="51"/>
        <v>0</v>
      </c>
      <c r="N258" s="1894">
        <f t="shared" si="51"/>
        <v>0</v>
      </c>
      <c r="O258" s="1894">
        <f t="shared" si="51"/>
        <v>0</v>
      </c>
      <c r="P258" s="1593"/>
      <c r="Q258" s="1593"/>
      <c r="R258" s="1600">
        <f t="shared" si="57"/>
        <v>0</v>
      </c>
      <c r="S258" s="1608">
        <v>0</v>
      </c>
      <c r="T258" s="1608">
        <v>0</v>
      </c>
      <c r="U258" s="1600">
        <f t="shared" si="58"/>
        <v>0</v>
      </c>
      <c r="V258" s="1608">
        <v>0</v>
      </c>
      <c r="W258" s="1624">
        <v>0</v>
      </c>
      <c r="X258" s="1423">
        <f t="shared" si="59"/>
        <v>0</v>
      </c>
    </row>
    <row r="259" spans="1:24" s="484" customFormat="1" ht="42" customHeight="1">
      <c r="A259" s="2041">
        <f>A257+1</f>
        <v>109</v>
      </c>
      <c r="B259" s="1915" t="s">
        <v>695</v>
      </c>
      <c r="C259" s="2041"/>
      <c r="D259" s="1602">
        <f t="shared" si="61"/>
        <v>191952</v>
      </c>
      <c r="E259" s="1615">
        <f>E260+E261</f>
        <v>180434.8</v>
      </c>
      <c r="F259" s="1615">
        <f>F260+F261</f>
        <v>11517.2</v>
      </c>
      <c r="G259" s="1600">
        <f t="shared" si="56"/>
        <v>191952</v>
      </c>
      <c r="H259" s="1614">
        <f>H260+H261</f>
        <v>180434.8</v>
      </c>
      <c r="I259" s="1614">
        <f>I260+I261</f>
        <v>11517.2</v>
      </c>
      <c r="J259" s="1600">
        <f t="shared" si="62"/>
        <v>121554.5</v>
      </c>
      <c r="K259" s="1614">
        <f>K260+K261</f>
        <v>114261.2</v>
      </c>
      <c r="L259" s="1614">
        <f>L260+L261</f>
        <v>7293.3</v>
      </c>
      <c r="M259" s="1893">
        <f t="shared" si="51"/>
        <v>63.3</v>
      </c>
      <c r="N259" s="1894">
        <f t="shared" si="51"/>
        <v>63.3</v>
      </c>
      <c r="O259" s="1894">
        <f t="shared" si="51"/>
        <v>63.3</v>
      </c>
      <c r="P259" s="1593" t="s">
        <v>1272</v>
      </c>
      <c r="Q259" s="1593" t="s">
        <v>1273</v>
      </c>
      <c r="R259" s="1600">
        <f t="shared" si="57"/>
        <v>0</v>
      </c>
      <c r="S259" s="1614">
        <v>0</v>
      </c>
      <c r="T259" s="1614">
        <v>0</v>
      </c>
      <c r="U259" s="1600">
        <f t="shared" si="58"/>
        <v>0</v>
      </c>
      <c r="V259" s="1614">
        <v>0</v>
      </c>
      <c r="W259" s="1614">
        <v>0</v>
      </c>
      <c r="X259" s="1423">
        <f t="shared" si="59"/>
        <v>0</v>
      </c>
    </row>
    <row r="260" spans="1:24" ht="23.25">
      <c r="A260" s="2041"/>
      <c r="B260" s="1609" t="s">
        <v>1620</v>
      </c>
      <c r="C260" s="1882"/>
      <c r="D260" s="1602">
        <f t="shared" si="61"/>
        <v>104813.3</v>
      </c>
      <c r="E260" s="1616">
        <v>98524.5</v>
      </c>
      <c r="F260" s="2045">
        <v>6288.8</v>
      </c>
      <c r="G260" s="1600">
        <f>SUM(H260:I260)</f>
        <v>104813.3</v>
      </c>
      <c r="H260" s="1619">
        <f t="shared" si="60"/>
        <v>98524.5</v>
      </c>
      <c r="I260" s="1619">
        <f t="shared" si="60"/>
        <v>6288.8</v>
      </c>
      <c r="J260" s="1600">
        <f t="shared" si="62"/>
        <v>98304.6</v>
      </c>
      <c r="K260" s="1608">
        <v>92406.3</v>
      </c>
      <c r="L260" s="1624">
        <v>5898.3</v>
      </c>
      <c r="M260" s="1893">
        <f t="shared" si="51"/>
        <v>93.8</v>
      </c>
      <c r="N260" s="1894">
        <f t="shared" si="51"/>
        <v>93.8</v>
      </c>
      <c r="O260" s="1894">
        <f t="shared" si="51"/>
        <v>93.8</v>
      </c>
      <c r="P260" s="1593"/>
      <c r="Q260" s="1593"/>
      <c r="R260" s="1600">
        <f t="shared" si="57"/>
        <v>0</v>
      </c>
      <c r="S260" s="1608">
        <v>0</v>
      </c>
      <c r="T260" s="1608">
        <v>0</v>
      </c>
      <c r="U260" s="1600">
        <f t="shared" si="58"/>
        <v>0</v>
      </c>
      <c r="V260" s="1608">
        <v>0</v>
      </c>
      <c r="W260" s="1624">
        <v>0</v>
      </c>
      <c r="X260" s="1423">
        <f>D260-G260</f>
        <v>0</v>
      </c>
    </row>
    <row r="261" spans="1:24" ht="23.25">
      <c r="A261" s="2041"/>
      <c r="B261" s="1609" t="s">
        <v>1770</v>
      </c>
      <c r="C261" s="1882"/>
      <c r="D261" s="1602">
        <f t="shared" si="61"/>
        <v>87138.7</v>
      </c>
      <c r="E261" s="1616">
        <v>81910.3</v>
      </c>
      <c r="F261" s="2045">
        <v>5228.3999999999996</v>
      </c>
      <c r="G261" s="1600">
        <f>SUM(H261:I261)</f>
        <v>87138.7</v>
      </c>
      <c r="H261" s="1619">
        <f t="shared" si="60"/>
        <v>81910.3</v>
      </c>
      <c r="I261" s="1619">
        <f t="shared" si="60"/>
        <v>5228.3999999999996</v>
      </c>
      <c r="J261" s="1600">
        <f t="shared" si="62"/>
        <v>23249.9</v>
      </c>
      <c r="K261" s="1608">
        <v>21854.9</v>
      </c>
      <c r="L261" s="1624">
        <v>1395</v>
      </c>
      <c r="M261" s="1893">
        <f t="shared" si="51"/>
        <v>26.7</v>
      </c>
      <c r="N261" s="1894">
        <f t="shared" si="51"/>
        <v>26.7</v>
      </c>
      <c r="O261" s="1894">
        <f t="shared" si="51"/>
        <v>26.7</v>
      </c>
      <c r="P261" s="1593"/>
      <c r="Q261" s="1593"/>
      <c r="R261" s="1600">
        <f t="shared" si="57"/>
        <v>0</v>
      </c>
      <c r="S261" s="1608">
        <v>0</v>
      </c>
      <c r="T261" s="1608">
        <v>0</v>
      </c>
      <c r="U261" s="1600">
        <f t="shared" si="58"/>
        <v>0</v>
      </c>
      <c r="V261" s="1614"/>
      <c r="W261" s="1614"/>
      <c r="X261" s="1423">
        <f>D261-G261</f>
        <v>0</v>
      </c>
    </row>
    <row r="262" spans="1:24" s="484" customFormat="1" ht="42" customHeight="1">
      <c r="A262" s="2041">
        <f>A259+1</f>
        <v>110</v>
      </c>
      <c r="B262" s="1915" t="s">
        <v>698</v>
      </c>
      <c r="C262" s="2041"/>
      <c r="D262" s="1602">
        <f t="shared" si="61"/>
        <v>668866.80000000005</v>
      </c>
      <c r="E262" s="1615">
        <f>E263</f>
        <v>628534.1</v>
      </c>
      <c r="F262" s="1615">
        <f>F263</f>
        <v>40332.699999999997</v>
      </c>
      <c r="G262" s="1600">
        <f>SUM(H262:I262)</f>
        <v>668866.80000000005</v>
      </c>
      <c r="H262" s="1614">
        <f>H263</f>
        <v>628534.1</v>
      </c>
      <c r="I262" s="1614">
        <f>I263</f>
        <v>40332.699999999997</v>
      </c>
      <c r="J262" s="1600">
        <f t="shared" si="62"/>
        <v>0</v>
      </c>
      <c r="K262" s="1614">
        <f>K263</f>
        <v>0</v>
      </c>
      <c r="L262" s="1614">
        <f>L263</f>
        <v>0</v>
      </c>
      <c r="M262" s="1893">
        <f t="shared" si="51"/>
        <v>0</v>
      </c>
      <c r="N262" s="1894">
        <f t="shared" si="51"/>
        <v>0</v>
      </c>
      <c r="O262" s="1894">
        <f t="shared" si="51"/>
        <v>0</v>
      </c>
      <c r="P262" s="1593" t="s">
        <v>1306</v>
      </c>
      <c r="Q262" s="1593" t="s">
        <v>1277</v>
      </c>
      <c r="R262" s="1600">
        <f t="shared" si="57"/>
        <v>778086</v>
      </c>
      <c r="S262" s="1615">
        <v>0</v>
      </c>
      <c r="T262" s="1615">
        <v>778086</v>
      </c>
      <c r="U262" s="1600">
        <f t="shared" si="58"/>
        <v>0</v>
      </c>
      <c r="V262" s="1615">
        <v>0</v>
      </c>
      <c r="W262" s="1615">
        <v>0</v>
      </c>
      <c r="X262" s="1423">
        <f t="shared" si="59"/>
        <v>0</v>
      </c>
    </row>
    <row r="263" spans="1:24" s="484" customFormat="1" ht="23.25">
      <c r="A263" s="2041"/>
      <c r="B263" s="1609" t="s">
        <v>1620</v>
      </c>
      <c r="C263" s="1882"/>
      <c r="D263" s="1602">
        <f t="shared" si="61"/>
        <v>668866.80000000005</v>
      </c>
      <c r="E263" s="1616">
        <v>628534.1</v>
      </c>
      <c r="F263" s="2045">
        <v>40332.699999999997</v>
      </c>
      <c r="G263" s="1600">
        <f t="shared" si="56"/>
        <v>668866.80000000005</v>
      </c>
      <c r="H263" s="1619">
        <f t="shared" si="60"/>
        <v>628534.1</v>
      </c>
      <c r="I263" s="1619">
        <f t="shared" si="60"/>
        <v>40332.699999999997</v>
      </c>
      <c r="J263" s="1600">
        <f t="shared" si="62"/>
        <v>0</v>
      </c>
      <c r="K263" s="1608"/>
      <c r="L263" s="1624"/>
      <c r="M263" s="1893">
        <f t="shared" si="51"/>
        <v>0</v>
      </c>
      <c r="N263" s="1894">
        <f t="shared" si="51"/>
        <v>0</v>
      </c>
      <c r="O263" s="1894">
        <f t="shared" si="51"/>
        <v>0</v>
      </c>
      <c r="P263" s="1593"/>
      <c r="Q263" s="1593"/>
      <c r="R263" s="1600">
        <f t="shared" si="57"/>
        <v>0</v>
      </c>
      <c r="S263" s="1608">
        <v>0</v>
      </c>
      <c r="T263" s="1608">
        <v>0</v>
      </c>
      <c r="U263" s="1600">
        <f t="shared" si="58"/>
        <v>0</v>
      </c>
      <c r="V263" s="1608">
        <v>0</v>
      </c>
      <c r="W263" s="1624">
        <v>0</v>
      </c>
      <c r="X263" s="1423">
        <f t="shared" si="59"/>
        <v>0</v>
      </c>
    </row>
    <row r="264" spans="1:24" s="484" customFormat="1" hidden="1">
      <c r="A264" s="2041"/>
      <c r="B264" s="1609" t="s">
        <v>1621</v>
      </c>
      <c r="C264" s="1882"/>
      <c r="D264" s="1602">
        <f t="shared" si="61"/>
        <v>0</v>
      </c>
      <c r="E264" s="1616"/>
      <c r="F264" s="2045">
        <v>0</v>
      </c>
      <c r="G264" s="1600">
        <f t="shared" si="56"/>
        <v>0</v>
      </c>
      <c r="H264" s="1619">
        <f t="shared" si="60"/>
        <v>0</v>
      </c>
      <c r="I264" s="1619">
        <f t="shared" si="60"/>
        <v>0</v>
      </c>
      <c r="J264" s="1600">
        <f t="shared" si="62"/>
        <v>0</v>
      </c>
      <c r="K264" s="1608"/>
      <c r="L264" s="1624"/>
      <c r="M264" s="1893">
        <f t="shared" si="51"/>
        <v>0</v>
      </c>
      <c r="N264" s="1894">
        <f t="shared" si="51"/>
        <v>0</v>
      </c>
      <c r="O264" s="1894">
        <f t="shared" si="51"/>
        <v>0</v>
      </c>
      <c r="P264" s="1593"/>
      <c r="Q264" s="1593"/>
      <c r="R264" s="1600">
        <f t="shared" si="57"/>
        <v>778086</v>
      </c>
      <c r="S264" s="1608">
        <v>0</v>
      </c>
      <c r="T264" s="1608">
        <v>778086</v>
      </c>
      <c r="U264" s="1600">
        <f t="shared" si="58"/>
        <v>0</v>
      </c>
      <c r="V264" s="1614"/>
      <c r="W264" s="1614"/>
    </row>
    <row r="265" spans="1:24" ht="70.5" customHeight="1">
      <c r="A265" s="2041">
        <f>A262+1</f>
        <v>111</v>
      </c>
      <c r="B265" s="1915" t="s">
        <v>697</v>
      </c>
      <c r="C265" s="2041"/>
      <c r="D265" s="1602">
        <f t="shared" si="61"/>
        <v>129890.7</v>
      </c>
      <c r="E265" s="1615">
        <f>E266+E267+E268</f>
        <v>111860</v>
      </c>
      <c r="F265" s="1615">
        <f>F266+F267+F268</f>
        <v>18030.7</v>
      </c>
      <c r="G265" s="1600">
        <f t="shared" si="56"/>
        <v>129890.7</v>
      </c>
      <c r="H265" s="1614">
        <f>H266+H267+H268</f>
        <v>111860</v>
      </c>
      <c r="I265" s="1614">
        <f>I266+I267+I268</f>
        <v>18030.7</v>
      </c>
      <c r="J265" s="1600">
        <f t="shared" si="62"/>
        <v>29333.599999999999</v>
      </c>
      <c r="K265" s="1614">
        <f>K266+K267+K268</f>
        <v>27564.799999999999</v>
      </c>
      <c r="L265" s="1614">
        <f>L266+L267+L268</f>
        <v>1768.8</v>
      </c>
      <c r="M265" s="1893">
        <f t="shared" si="51"/>
        <v>22.6</v>
      </c>
      <c r="N265" s="1894">
        <f t="shared" si="51"/>
        <v>24.6</v>
      </c>
      <c r="O265" s="1894">
        <f t="shared" si="51"/>
        <v>9.8000000000000007</v>
      </c>
      <c r="P265" s="1593" t="s">
        <v>1192</v>
      </c>
      <c r="Q265" s="1593" t="s">
        <v>1658</v>
      </c>
      <c r="R265" s="1600">
        <f t="shared" si="57"/>
        <v>0</v>
      </c>
      <c r="S265" s="1614">
        <v>0</v>
      </c>
      <c r="T265" s="1614">
        <v>0</v>
      </c>
      <c r="U265" s="1600">
        <f t="shared" si="58"/>
        <v>0</v>
      </c>
      <c r="V265" s="1615">
        <v>0</v>
      </c>
      <c r="W265" s="1615">
        <v>0</v>
      </c>
      <c r="X265" s="1423">
        <f>D265-G265</f>
        <v>0</v>
      </c>
    </row>
    <row r="266" spans="1:24" ht="23.25">
      <c r="A266" s="2041"/>
      <c r="B266" s="1609" t="s">
        <v>1620</v>
      </c>
      <c r="C266" s="2041"/>
      <c r="D266" s="1602">
        <f t="shared" si="61"/>
        <v>87999.8</v>
      </c>
      <c r="E266" s="1615">
        <v>82693.5</v>
      </c>
      <c r="F266" s="1615">
        <v>5306.3</v>
      </c>
      <c r="G266" s="1600">
        <f>SUM(H266:I266)</f>
        <v>87999.8</v>
      </c>
      <c r="H266" s="1619">
        <f t="shared" si="60"/>
        <v>82693.5</v>
      </c>
      <c r="I266" s="1619">
        <f t="shared" si="60"/>
        <v>5306.3</v>
      </c>
      <c r="J266" s="1600">
        <f t="shared" si="62"/>
        <v>28231.4</v>
      </c>
      <c r="K266" s="1614">
        <v>26529.1</v>
      </c>
      <c r="L266" s="1614">
        <v>1702.3</v>
      </c>
      <c r="M266" s="1893">
        <f t="shared" si="51"/>
        <v>32.1</v>
      </c>
      <c r="N266" s="1894">
        <f t="shared" si="51"/>
        <v>32.1</v>
      </c>
      <c r="O266" s="1894">
        <f t="shared" si="51"/>
        <v>32.1</v>
      </c>
      <c r="P266" s="1593"/>
      <c r="Q266" s="1593"/>
      <c r="R266" s="1600"/>
      <c r="S266" s="1614"/>
      <c r="T266" s="1614"/>
      <c r="U266" s="1600"/>
      <c r="V266" s="1615"/>
      <c r="W266" s="1615"/>
      <c r="X266" s="1423">
        <f>D266-G266</f>
        <v>0</v>
      </c>
    </row>
    <row r="267" spans="1:24" ht="23.25">
      <c r="A267" s="2041"/>
      <c r="B267" s="1609" t="s">
        <v>1770</v>
      </c>
      <c r="C267" s="1882"/>
      <c r="D267" s="1602">
        <f t="shared" si="61"/>
        <v>31038.1</v>
      </c>
      <c r="E267" s="1616">
        <v>29166.5</v>
      </c>
      <c r="F267" s="2045">
        <v>1871.6</v>
      </c>
      <c r="G267" s="1600">
        <f>SUM(H267:I267)</f>
        <v>31038.1</v>
      </c>
      <c r="H267" s="1619">
        <f t="shared" si="60"/>
        <v>29166.5</v>
      </c>
      <c r="I267" s="1619">
        <f t="shared" si="60"/>
        <v>1871.6</v>
      </c>
      <c r="J267" s="1600">
        <f t="shared" si="62"/>
        <v>1102.2</v>
      </c>
      <c r="K267" s="1608">
        <v>1035.7</v>
      </c>
      <c r="L267" s="1624">
        <v>66.5</v>
      </c>
      <c r="M267" s="1893">
        <f t="shared" si="51"/>
        <v>3.6</v>
      </c>
      <c r="N267" s="1894">
        <f t="shared" si="51"/>
        <v>3.6</v>
      </c>
      <c r="O267" s="1894">
        <f t="shared" si="51"/>
        <v>3.6</v>
      </c>
      <c r="P267" s="1593"/>
      <c r="Q267" s="1593"/>
      <c r="R267" s="1600">
        <f>S267+T267</f>
        <v>0</v>
      </c>
      <c r="S267" s="1608">
        <v>0</v>
      </c>
      <c r="T267" s="1608">
        <v>0</v>
      </c>
      <c r="U267" s="1600">
        <f>V267+W267</f>
        <v>0</v>
      </c>
      <c r="V267" s="1614"/>
      <c r="W267" s="1614"/>
      <c r="X267" s="1423">
        <f>D267-G267</f>
        <v>0</v>
      </c>
    </row>
    <row r="268" spans="1:24" ht="23.25">
      <c r="A268" s="2041"/>
      <c r="B268" s="1609" t="s">
        <v>1621</v>
      </c>
      <c r="C268" s="2041"/>
      <c r="D268" s="1602">
        <f t="shared" si="61"/>
        <v>10852.8</v>
      </c>
      <c r="E268" s="1615">
        <v>0</v>
      </c>
      <c r="F268" s="1615">
        <v>10852.8</v>
      </c>
      <c r="G268" s="1600">
        <f>SUM(H268:I268)</f>
        <v>10852.8</v>
      </c>
      <c r="H268" s="1619">
        <f t="shared" si="60"/>
        <v>0</v>
      </c>
      <c r="I268" s="1619">
        <f t="shared" si="60"/>
        <v>10852.8</v>
      </c>
      <c r="J268" s="1600">
        <f t="shared" si="62"/>
        <v>0</v>
      </c>
      <c r="K268" s="1614">
        <v>0</v>
      </c>
      <c r="L268" s="1614">
        <v>0</v>
      </c>
      <c r="M268" s="1893">
        <f t="shared" si="51"/>
        <v>0</v>
      </c>
      <c r="N268" s="1894">
        <f t="shared" si="51"/>
        <v>0</v>
      </c>
      <c r="O268" s="1894">
        <f t="shared" si="51"/>
        <v>0</v>
      </c>
      <c r="P268" s="1593"/>
      <c r="Q268" s="1593"/>
      <c r="R268" s="1600"/>
      <c r="S268" s="1614"/>
      <c r="T268" s="1614"/>
      <c r="U268" s="1600"/>
      <c r="V268" s="1615"/>
      <c r="W268" s="1615"/>
      <c r="X268" s="1423">
        <f>D268-G268</f>
        <v>0</v>
      </c>
    </row>
    <row r="269" spans="1:24" ht="78.75" customHeight="1">
      <c r="A269" s="2041">
        <f>A265+1</f>
        <v>112</v>
      </c>
      <c r="B269" s="1915" t="s">
        <v>942</v>
      </c>
      <c r="C269" s="2041"/>
      <c r="D269" s="1602">
        <f t="shared" si="61"/>
        <v>219861.4</v>
      </c>
      <c r="E269" s="1615">
        <f>E271+E272</f>
        <v>206603.8</v>
      </c>
      <c r="F269" s="1615">
        <f>F271+F272</f>
        <v>13257.6</v>
      </c>
      <c r="G269" s="1600">
        <f>SUM(H269:I269)</f>
        <v>219861.4</v>
      </c>
      <c r="H269" s="1614">
        <f>H271+H272</f>
        <v>206603.8</v>
      </c>
      <c r="I269" s="1614">
        <f>I271+I272</f>
        <v>13257.6</v>
      </c>
      <c r="J269" s="1600">
        <f t="shared" si="62"/>
        <v>61087.5</v>
      </c>
      <c r="K269" s="1614">
        <f>K271+K272</f>
        <v>57403.9</v>
      </c>
      <c r="L269" s="1614">
        <f>L271+L272</f>
        <v>3683.6</v>
      </c>
      <c r="M269" s="1893">
        <f t="shared" si="51"/>
        <v>27.8</v>
      </c>
      <c r="N269" s="1894">
        <f t="shared" si="51"/>
        <v>27.8</v>
      </c>
      <c r="O269" s="1894">
        <f t="shared" si="51"/>
        <v>27.8</v>
      </c>
      <c r="P269" s="1593" t="s">
        <v>1192</v>
      </c>
      <c r="Q269" s="1593" t="s">
        <v>1279</v>
      </c>
      <c r="R269" s="1600">
        <f>S269+T269</f>
        <v>0</v>
      </c>
      <c r="S269" s="1614">
        <v>0</v>
      </c>
      <c r="T269" s="1614">
        <v>0</v>
      </c>
      <c r="U269" s="1600">
        <f>V269+W269</f>
        <v>0</v>
      </c>
      <c r="V269" s="1615">
        <v>0</v>
      </c>
      <c r="W269" s="1615">
        <v>0</v>
      </c>
      <c r="X269" s="1423">
        <f>D269-G269</f>
        <v>0</v>
      </c>
    </row>
    <row r="270" spans="1:24" s="1626" customFormat="1" ht="23.25" hidden="1" customHeight="1">
      <c r="A270" s="2041">
        <v>117</v>
      </c>
      <c r="B270" s="1879" t="s">
        <v>1488</v>
      </c>
      <c r="C270" s="1880"/>
      <c r="D270" s="1602">
        <f t="shared" si="61"/>
        <v>0</v>
      </c>
      <c r="E270" s="1615">
        <v>0</v>
      </c>
      <c r="F270" s="1615">
        <v>0</v>
      </c>
      <c r="G270" s="1600">
        <f t="shared" si="56"/>
        <v>0</v>
      </c>
      <c r="H270" s="1619">
        <f t="shared" si="60"/>
        <v>0</v>
      </c>
      <c r="I270" s="1619">
        <f t="shared" si="60"/>
        <v>0</v>
      </c>
      <c r="J270" s="1600">
        <f t="shared" si="62"/>
        <v>0</v>
      </c>
      <c r="K270" s="1614"/>
      <c r="L270" s="1614"/>
      <c r="M270" s="1893">
        <f t="shared" si="51"/>
        <v>0</v>
      </c>
      <c r="N270" s="1894">
        <f t="shared" si="51"/>
        <v>0</v>
      </c>
      <c r="O270" s="1894">
        <f t="shared" si="51"/>
        <v>0</v>
      </c>
      <c r="P270" s="1593" t="s">
        <v>1299</v>
      </c>
      <c r="Q270" s="1593" t="s">
        <v>1262</v>
      </c>
      <c r="R270" s="1600">
        <f>S270+T270</f>
        <v>0</v>
      </c>
      <c r="S270" s="1614">
        <v>0</v>
      </c>
      <c r="T270" s="1614">
        <v>0</v>
      </c>
      <c r="U270" s="1600">
        <f>V270+W270</f>
        <v>0</v>
      </c>
      <c r="V270" s="1615">
        <v>0</v>
      </c>
      <c r="W270" s="1615">
        <v>0</v>
      </c>
    </row>
    <row r="271" spans="1:24" ht="23.25">
      <c r="A271" s="2041"/>
      <c r="B271" s="1609" t="s">
        <v>1620</v>
      </c>
      <c r="C271" s="2041"/>
      <c r="D271" s="1602">
        <f t="shared" si="61"/>
        <v>201856.9</v>
      </c>
      <c r="E271" s="1615">
        <v>189685</v>
      </c>
      <c r="F271" s="1615">
        <v>12171.9</v>
      </c>
      <c r="G271" s="1600">
        <f>SUM(H271:I271)</f>
        <v>201856.9</v>
      </c>
      <c r="H271" s="1619">
        <f t="shared" si="60"/>
        <v>189685</v>
      </c>
      <c r="I271" s="1619">
        <f t="shared" si="60"/>
        <v>12171.9</v>
      </c>
      <c r="J271" s="1600">
        <f>SUM(K271:L271)</f>
        <v>61058.400000000001</v>
      </c>
      <c r="K271" s="1614">
        <v>57376.6</v>
      </c>
      <c r="L271" s="1614">
        <v>3681.8</v>
      </c>
      <c r="M271" s="1893">
        <f t="shared" si="51"/>
        <v>30.2</v>
      </c>
      <c r="N271" s="1894">
        <f t="shared" si="51"/>
        <v>30.2</v>
      </c>
      <c r="O271" s="1894">
        <f t="shared" si="51"/>
        <v>30.2</v>
      </c>
      <c r="P271" s="1593"/>
      <c r="Q271" s="1593"/>
      <c r="R271" s="1600"/>
      <c r="S271" s="1614"/>
      <c r="T271" s="1614"/>
      <c r="U271" s="1600"/>
      <c r="V271" s="1615"/>
      <c r="W271" s="1615"/>
      <c r="X271" s="1423">
        <f>D271-G271</f>
        <v>0</v>
      </c>
    </row>
    <row r="272" spans="1:24" ht="23.25">
      <c r="A272" s="2041"/>
      <c r="B272" s="1609" t="s">
        <v>1770</v>
      </c>
      <c r="C272" s="1882"/>
      <c r="D272" s="1602">
        <f t="shared" si="61"/>
        <v>18004.5</v>
      </c>
      <c r="E272" s="1616">
        <v>16918.8</v>
      </c>
      <c r="F272" s="2045">
        <v>1085.7</v>
      </c>
      <c r="G272" s="1600">
        <f>SUM(H272:I272)</f>
        <v>18004.5</v>
      </c>
      <c r="H272" s="1619">
        <f t="shared" si="60"/>
        <v>16918.8</v>
      </c>
      <c r="I272" s="1619">
        <f t="shared" si="60"/>
        <v>1085.7</v>
      </c>
      <c r="J272" s="1600">
        <f>SUM(K272:L272)</f>
        <v>29.1</v>
      </c>
      <c r="K272" s="1608">
        <v>27.3</v>
      </c>
      <c r="L272" s="1624">
        <v>1.8</v>
      </c>
      <c r="M272" s="1893">
        <f t="shared" si="51"/>
        <v>0.2</v>
      </c>
      <c r="N272" s="1894">
        <f t="shared" si="51"/>
        <v>0.2</v>
      </c>
      <c r="O272" s="1894">
        <f t="shared" si="51"/>
        <v>0.2</v>
      </c>
      <c r="P272" s="1593"/>
      <c r="Q272" s="1593"/>
      <c r="R272" s="1600">
        <f>S272+T272</f>
        <v>0</v>
      </c>
      <c r="S272" s="1608">
        <v>0</v>
      </c>
      <c r="T272" s="1608">
        <v>0</v>
      </c>
      <c r="U272" s="1600">
        <f>V272+W272</f>
        <v>0</v>
      </c>
      <c r="V272" s="1614"/>
      <c r="W272" s="1614"/>
      <c r="X272" s="1423">
        <f>D272-G272</f>
        <v>0</v>
      </c>
    </row>
    <row r="273" spans="1:24" ht="82.5" customHeight="1">
      <c r="A273" s="2041">
        <f>A269+1</f>
        <v>113</v>
      </c>
      <c r="B273" s="1915" t="s">
        <v>1635</v>
      </c>
      <c r="C273" s="2041"/>
      <c r="D273" s="1602">
        <f t="shared" si="61"/>
        <v>13649.7</v>
      </c>
      <c r="E273" s="1615">
        <f>E274+E275</f>
        <v>12830.6</v>
      </c>
      <c r="F273" s="1615">
        <f>F274+F275</f>
        <v>819.1</v>
      </c>
      <c r="G273" s="1600">
        <f>SUM(H273:I273)</f>
        <v>13649.7</v>
      </c>
      <c r="H273" s="1614">
        <f>H274+H275</f>
        <v>12830.6</v>
      </c>
      <c r="I273" s="1614">
        <f>I274+I275</f>
        <v>819.1</v>
      </c>
      <c r="J273" s="1600">
        <f>SUM(K273:L273)</f>
        <v>0</v>
      </c>
      <c r="K273" s="1614">
        <f>K274+K275</f>
        <v>0</v>
      </c>
      <c r="L273" s="1614">
        <f>L274+L275</f>
        <v>0</v>
      </c>
      <c r="M273" s="1893">
        <f t="shared" si="51"/>
        <v>0</v>
      </c>
      <c r="N273" s="1894">
        <f t="shared" si="51"/>
        <v>0</v>
      </c>
      <c r="O273" s="1894">
        <f t="shared" si="51"/>
        <v>0</v>
      </c>
      <c r="P273" s="1593" t="s">
        <v>1192</v>
      </c>
      <c r="Q273" s="1593" t="s">
        <v>1279</v>
      </c>
      <c r="R273" s="1600">
        <f>S273+T273</f>
        <v>0</v>
      </c>
      <c r="S273" s="1614">
        <v>0</v>
      </c>
      <c r="T273" s="1614">
        <v>0</v>
      </c>
      <c r="U273" s="1600">
        <f>V273+W273</f>
        <v>0</v>
      </c>
      <c r="V273" s="1615">
        <v>0</v>
      </c>
      <c r="W273" s="1615">
        <v>0</v>
      </c>
      <c r="X273" s="1423">
        <f t="shared" ref="X273:X283" si="63">D273-G273</f>
        <v>0</v>
      </c>
    </row>
    <row r="274" spans="1:24" ht="23.25">
      <c r="A274" s="2041"/>
      <c r="B274" s="1609" t="s">
        <v>1620</v>
      </c>
      <c r="C274" s="2041"/>
      <c r="D274" s="1602">
        <f t="shared" si="61"/>
        <v>13404.9</v>
      </c>
      <c r="E274" s="1615">
        <v>12600.5</v>
      </c>
      <c r="F274" s="1615">
        <v>804.4</v>
      </c>
      <c r="G274" s="1600">
        <f>SUM(H274:I274)</f>
        <v>13404.9</v>
      </c>
      <c r="H274" s="1619">
        <f t="shared" si="60"/>
        <v>12600.5</v>
      </c>
      <c r="I274" s="1619">
        <f t="shared" si="60"/>
        <v>804.4</v>
      </c>
      <c r="J274" s="1600">
        <f>SUM(K274:L274)</f>
        <v>0</v>
      </c>
      <c r="K274" s="1614"/>
      <c r="L274" s="1614"/>
      <c r="M274" s="1893">
        <f t="shared" si="51"/>
        <v>0</v>
      </c>
      <c r="N274" s="1894">
        <f t="shared" si="51"/>
        <v>0</v>
      </c>
      <c r="O274" s="1894">
        <f t="shared" si="51"/>
        <v>0</v>
      </c>
      <c r="P274" s="1593"/>
      <c r="Q274" s="1593"/>
      <c r="R274" s="1600"/>
      <c r="S274" s="1614"/>
      <c r="T274" s="1614"/>
      <c r="U274" s="1600"/>
      <c r="V274" s="1615"/>
      <c r="W274" s="1615"/>
      <c r="X274" s="1423">
        <f>D274-G274</f>
        <v>0</v>
      </c>
    </row>
    <row r="275" spans="1:24" ht="23.25">
      <c r="A275" s="2041"/>
      <c r="B275" s="1609" t="s">
        <v>1770</v>
      </c>
      <c r="C275" s="1882"/>
      <c r="D275" s="1602">
        <f t="shared" si="61"/>
        <v>244.8</v>
      </c>
      <c r="E275" s="1616">
        <v>230.1</v>
      </c>
      <c r="F275" s="2045">
        <v>14.7</v>
      </c>
      <c r="G275" s="1600">
        <f>SUM(H275:I275)</f>
        <v>244.8</v>
      </c>
      <c r="H275" s="1619">
        <f t="shared" si="60"/>
        <v>230.1</v>
      </c>
      <c r="I275" s="1619">
        <f t="shared" si="60"/>
        <v>14.7</v>
      </c>
      <c r="J275" s="1600">
        <f>SUM(K275:L275)</f>
        <v>0</v>
      </c>
      <c r="K275" s="1608"/>
      <c r="L275" s="1624"/>
      <c r="M275" s="1893">
        <f t="shared" si="51"/>
        <v>0</v>
      </c>
      <c r="N275" s="1894">
        <f t="shared" si="51"/>
        <v>0</v>
      </c>
      <c r="O275" s="1894">
        <f t="shared" si="51"/>
        <v>0</v>
      </c>
      <c r="P275" s="1593"/>
      <c r="Q275" s="1593"/>
      <c r="R275" s="1600">
        <f>S275+T275</f>
        <v>0</v>
      </c>
      <c r="S275" s="1608">
        <v>0</v>
      </c>
      <c r="T275" s="1608">
        <v>0</v>
      </c>
      <c r="U275" s="1600">
        <f>V275+W275</f>
        <v>0</v>
      </c>
      <c r="V275" s="1614"/>
      <c r="W275" s="1614"/>
      <c r="X275" s="1423">
        <f>D275-G275</f>
        <v>0</v>
      </c>
    </row>
    <row r="276" spans="1:24" ht="77.25" customHeight="1">
      <c r="A276" s="2041" t="s">
        <v>1515</v>
      </c>
      <c r="B276" s="1897" t="s">
        <v>1513</v>
      </c>
      <c r="C276" s="1898"/>
      <c r="D276" s="1899">
        <f t="shared" si="61"/>
        <v>15004.3</v>
      </c>
      <c r="E276" s="1899">
        <f>E277</f>
        <v>0</v>
      </c>
      <c r="F276" s="1899">
        <f>F277</f>
        <v>15004.3</v>
      </c>
      <c r="G276" s="1899">
        <f t="shared" si="56"/>
        <v>15004.3</v>
      </c>
      <c r="H276" s="1899">
        <f>H277</f>
        <v>0</v>
      </c>
      <c r="I276" s="1899">
        <f>I277</f>
        <v>15004.3</v>
      </c>
      <c r="J276" s="1899">
        <f t="shared" si="62"/>
        <v>180</v>
      </c>
      <c r="K276" s="1899">
        <f>K277</f>
        <v>0</v>
      </c>
      <c r="L276" s="1899">
        <f>L277</f>
        <v>180</v>
      </c>
      <c r="M276" s="1900">
        <f t="shared" si="51"/>
        <v>1.2</v>
      </c>
      <c r="N276" s="1900">
        <f t="shared" si="51"/>
        <v>0</v>
      </c>
      <c r="O276" s="1900">
        <f t="shared" si="51"/>
        <v>1.2</v>
      </c>
      <c r="P276" s="1593"/>
      <c r="Q276" s="1593"/>
      <c r="R276" s="1899">
        <f t="shared" ref="R276:R285" si="64">SUM(S276:T276)</f>
        <v>0</v>
      </c>
      <c r="S276" s="1899">
        <f>S277</f>
        <v>0</v>
      </c>
      <c r="T276" s="1899">
        <f>T277</f>
        <v>0</v>
      </c>
      <c r="U276" s="1899">
        <f t="shared" ref="U276:U285" si="65">SUM(V276:W276)</f>
        <v>0</v>
      </c>
      <c r="V276" s="1899">
        <f>V277</f>
        <v>0</v>
      </c>
      <c r="W276" s="1899">
        <f>W277</f>
        <v>0</v>
      </c>
      <c r="X276" s="1423">
        <f t="shared" si="63"/>
        <v>0</v>
      </c>
    </row>
    <row r="277" spans="1:24" ht="57" customHeight="1">
      <c r="A277" s="2041">
        <f>A273+1</f>
        <v>114</v>
      </c>
      <c r="B277" s="1889" t="s">
        <v>1495</v>
      </c>
      <c r="C277" s="2041">
        <v>30131</v>
      </c>
      <c r="D277" s="1600">
        <f t="shared" si="61"/>
        <v>15004.3</v>
      </c>
      <c r="E277" s="1608"/>
      <c r="F277" s="1608">
        <v>15004.3</v>
      </c>
      <c r="G277" s="1600">
        <f t="shared" si="56"/>
        <v>15004.3</v>
      </c>
      <c r="H277" s="1608"/>
      <c r="I277" s="1608">
        <v>15004.3</v>
      </c>
      <c r="J277" s="1600">
        <f t="shared" si="62"/>
        <v>180</v>
      </c>
      <c r="K277" s="1608"/>
      <c r="L277" s="1608">
        <v>180</v>
      </c>
      <c r="M277" s="1604">
        <f t="shared" si="51"/>
        <v>1.2</v>
      </c>
      <c r="N277" s="1881">
        <f t="shared" si="51"/>
        <v>0</v>
      </c>
      <c r="O277" s="1881">
        <f t="shared" si="51"/>
        <v>1.2</v>
      </c>
      <c r="P277" s="1593" t="s">
        <v>1290</v>
      </c>
      <c r="Q277" s="1593" t="s">
        <v>1240</v>
      </c>
      <c r="R277" s="1600">
        <f t="shared" si="64"/>
        <v>0</v>
      </c>
      <c r="S277" s="1608">
        <v>0</v>
      </c>
      <c r="T277" s="1608">
        <v>0</v>
      </c>
      <c r="U277" s="1600">
        <f t="shared" si="65"/>
        <v>0</v>
      </c>
      <c r="V277" s="1608">
        <v>0</v>
      </c>
      <c r="W277" s="1608">
        <v>0</v>
      </c>
      <c r="X277" s="1423">
        <f t="shared" si="63"/>
        <v>0</v>
      </c>
    </row>
    <row r="278" spans="1:24" s="484" customFormat="1" ht="77.25" customHeight="1">
      <c r="A278" s="1896" t="s">
        <v>1778</v>
      </c>
      <c r="B278" s="1897" t="s">
        <v>1771</v>
      </c>
      <c r="C278" s="1898"/>
      <c r="D278" s="1899">
        <f t="shared" si="61"/>
        <v>85050</v>
      </c>
      <c r="E278" s="1899">
        <f>E279+E280</f>
        <v>85050</v>
      </c>
      <c r="F278" s="1899">
        <f>F279+F280</f>
        <v>0</v>
      </c>
      <c r="G278" s="1899">
        <f t="shared" si="56"/>
        <v>0</v>
      </c>
      <c r="H278" s="1899">
        <f>H279+H280</f>
        <v>0</v>
      </c>
      <c r="I278" s="1899">
        <f>I279+I280</f>
        <v>0</v>
      </c>
      <c r="J278" s="1899">
        <f t="shared" si="62"/>
        <v>0</v>
      </c>
      <c r="K278" s="1899">
        <f>K279+K280</f>
        <v>0</v>
      </c>
      <c r="L278" s="1899">
        <f>L279+L280</f>
        <v>0</v>
      </c>
      <c r="M278" s="1900">
        <f t="shared" si="51"/>
        <v>0</v>
      </c>
      <c r="N278" s="1900">
        <f t="shared" si="51"/>
        <v>0</v>
      </c>
      <c r="O278" s="1900">
        <f t="shared" si="51"/>
        <v>0</v>
      </c>
      <c r="P278" s="1593"/>
      <c r="Q278" s="1593"/>
      <c r="R278" s="1600" t="e">
        <f>SUM(S278:T278)</f>
        <v>#REF!</v>
      </c>
      <c r="S278" s="1600" t="e">
        <f>#REF!</f>
        <v>#REF!</v>
      </c>
      <c r="T278" s="1600" t="e">
        <f>#REF!</f>
        <v>#REF!</v>
      </c>
      <c r="U278" s="1600" t="e">
        <f>SUM(V278:W278)</f>
        <v>#REF!</v>
      </c>
      <c r="V278" s="1600" t="e">
        <f>#REF!</f>
        <v>#REF!</v>
      </c>
      <c r="W278" s="1600" t="e">
        <f>#REF!</f>
        <v>#REF!</v>
      </c>
      <c r="X278" s="1760">
        <f>D278-G278</f>
        <v>85050</v>
      </c>
    </row>
    <row r="279" spans="1:24" s="484" customFormat="1" ht="57" customHeight="1">
      <c r="A279" s="1866">
        <f>A270+1</f>
        <v>118</v>
      </c>
      <c r="B279" s="2051" t="s">
        <v>1775</v>
      </c>
      <c r="C279" s="1866">
        <v>30131</v>
      </c>
      <c r="D279" s="1600">
        <f t="shared" si="61"/>
        <v>15050</v>
      </c>
      <c r="E279" s="1608">
        <v>15050</v>
      </c>
      <c r="F279" s="1608"/>
      <c r="G279" s="1600">
        <f>SUM(H279:I279)</f>
        <v>0</v>
      </c>
      <c r="H279" s="1608"/>
      <c r="I279" s="1608">
        <f>F279</f>
        <v>0</v>
      </c>
      <c r="J279" s="1600">
        <f t="shared" si="62"/>
        <v>0</v>
      </c>
      <c r="K279" s="1608"/>
      <c r="L279" s="1608"/>
      <c r="M279" s="1893">
        <f t="shared" si="51"/>
        <v>0</v>
      </c>
      <c r="N279" s="1894">
        <f t="shared" si="51"/>
        <v>0</v>
      </c>
      <c r="O279" s="1894">
        <f t="shared" si="51"/>
        <v>0</v>
      </c>
      <c r="P279" s="1593" t="s">
        <v>1290</v>
      </c>
      <c r="Q279" s="1593" t="s">
        <v>1240</v>
      </c>
      <c r="R279" s="1600">
        <f>SUM(S279:T279)</f>
        <v>0</v>
      </c>
      <c r="S279" s="1608">
        <v>0</v>
      </c>
      <c r="T279" s="1608">
        <v>0</v>
      </c>
      <c r="U279" s="1600">
        <f>SUM(V279:W279)</f>
        <v>0</v>
      </c>
      <c r="V279" s="1608">
        <v>0</v>
      </c>
      <c r="W279" s="1608">
        <v>0</v>
      </c>
      <c r="X279" s="1760">
        <f>D279-G279</f>
        <v>15050</v>
      </c>
    </row>
    <row r="280" spans="1:24" s="484" customFormat="1" ht="57" customHeight="1">
      <c r="A280" s="1866">
        <f>A279+1</f>
        <v>119</v>
      </c>
      <c r="B280" s="2051" t="s">
        <v>1776</v>
      </c>
      <c r="C280" s="1866">
        <v>30131</v>
      </c>
      <c r="D280" s="1600">
        <f t="shared" si="61"/>
        <v>70000</v>
      </c>
      <c r="E280" s="1608">
        <v>70000</v>
      </c>
      <c r="F280" s="1608"/>
      <c r="G280" s="1600">
        <f>SUM(H280:I280)</f>
        <v>0</v>
      </c>
      <c r="H280" s="1608"/>
      <c r="I280" s="1608">
        <f>F280</f>
        <v>0</v>
      </c>
      <c r="J280" s="1600">
        <f t="shared" si="62"/>
        <v>0</v>
      </c>
      <c r="K280" s="1608"/>
      <c r="L280" s="1608"/>
      <c r="M280" s="1893">
        <f t="shared" si="51"/>
        <v>0</v>
      </c>
      <c r="N280" s="1894">
        <f t="shared" si="51"/>
        <v>0</v>
      </c>
      <c r="O280" s="1894">
        <f t="shared" si="51"/>
        <v>0</v>
      </c>
      <c r="P280" s="1593" t="s">
        <v>1290</v>
      </c>
      <c r="Q280" s="1593" t="s">
        <v>1240</v>
      </c>
      <c r="R280" s="1600">
        <f>SUM(S280:T280)</f>
        <v>0</v>
      </c>
      <c r="S280" s="1608">
        <v>0</v>
      </c>
      <c r="T280" s="1608">
        <v>0</v>
      </c>
      <c r="U280" s="1600">
        <f>SUM(V280:W280)</f>
        <v>0</v>
      </c>
      <c r="V280" s="1608">
        <v>0</v>
      </c>
      <c r="W280" s="1608">
        <v>0</v>
      </c>
      <c r="X280" s="1760">
        <f>D280-G280</f>
        <v>70000</v>
      </c>
    </row>
    <row r="281" spans="1:24" ht="24.75" customHeight="1">
      <c r="A281" s="2041" t="s">
        <v>1636</v>
      </c>
      <c r="B281" s="1897" t="s">
        <v>529</v>
      </c>
      <c r="C281" s="1898"/>
      <c r="D281" s="1899">
        <f t="shared" si="61"/>
        <v>126421.7</v>
      </c>
      <c r="E281" s="1899">
        <f>SUM(E282:E286)</f>
        <v>0</v>
      </c>
      <c r="F281" s="1899">
        <f>SUM(F282:F286)</f>
        <v>126421.7</v>
      </c>
      <c r="G281" s="1899">
        <f t="shared" si="56"/>
        <v>126421.7</v>
      </c>
      <c r="H281" s="1899">
        <f>SUM(H282:H286)</f>
        <v>0</v>
      </c>
      <c r="I281" s="1899">
        <f>SUM(I282:I286)</f>
        <v>126421.7</v>
      </c>
      <c r="J281" s="1899">
        <f>SUM(K281:L281)</f>
        <v>19381.900000000001</v>
      </c>
      <c r="K281" s="1899">
        <f>SUM(K282:K286)</f>
        <v>0</v>
      </c>
      <c r="L281" s="1899">
        <f>SUM(L282:L286)</f>
        <v>19381.900000000001</v>
      </c>
      <c r="M281" s="1899">
        <f t="shared" si="51"/>
        <v>15.3</v>
      </c>
      <c r="N281" s="1899">
        <f t="shared" si="51"/>
        <v>0</v>
      </c>
      <c r="O281" s="1899">
        <f t="shared" si="51"/>
        <v>15.3</v>
      </c>
      <c r="P281" s="1599"/>
      <c r="Q281" s="1599"/>
      <c r="R281" s="1899">
        <f>SUM(S281:T281)</f>
        <v>220985.5</v>
      </c>
      <c r="S281" s="1899">
        <f>SUM(S282:S286)</f>
        <v>0</v>
      </c>
      <c r="T281" s="1899">
        <f>SUM(T282:T286)</f>
        <v>220985.5</v>
      </c>
      <c r="U281" s="1899">
        <f>SUM(V281:W281)</f>
        <v>0</v>
      </c>
      <c r="V281" s="1899">
        <f>SUM(V282:V286)</f>
        <v>0</v>
      </c>
      <c r="W281" s="1899">
        <f>SUM(W282:W286)</f>
        <v>0</v>
      </c>
      <c r="X281" s="1423">
        <f t="shared" si="63"/>
        <v>0</v>
      </c>
    </row>
    <row r="282" spans="1:24" ht="66" customHeight="1">
      <c r="A282" s="2041">
        <f>A277+1</f>
        <v>115</v>
      </c>
      <c r="B282" s="1925" t="s">
        <v>707</v>
      </c>
      <c r="C282" s="1866">
        <v>10120</v>
      </c>
      <c r="D282" s="1600">
        <f t="shared" si="61"/>
        <v>111741.3</v>
      </c>
      <c r="E282" s="1608"/>
      <c r="F282" s="1608">
        <v>111741.3</v>
      </c>
      <c r="G282" s="1600">
        <f t="shared" si="56"/>
        <v>111741.3</v>
      </c>
      <c r="H282" s="1608"/>
      <c r="I282" s="1608">
        <v>111741.3</v>
      </c>
      <c r="J282" s="1600">
        <f t="shared" si="62"/>
        <v>15607.4</v>
      </c>
      <c r="K282" s="1608"/>
      <c r="L282" s="1608">
        <v>15607.4</v>
      </c>
      <c r="M282" s="1893">
        <f t="shared" si="51"/>
        <v>14</v>
      </c>
      <c r="N282" s="1894">
        <f t="shared" si="51"/>
        <v>0</v>
      </c>
      <c r="O282" s="1894">
        <f t="shared" si="51"/>
        <v>14</v>
      </c>
      <c r="P282" s="1593" t="s">
        <v>1192</v>
      </c>
      <c r="Q282" s="1593" t="s">
        <v>1163</v>
      </c>
      <c r="R282" s="1600">
        <f t="shared" si="64"/>
        <v>0</v>
      </c>
      <c r="S282" s="1608">
        <v>0</v>
      </c>
      <c r="T282" s="1608">
        <v>0</v>
      </c>
      <c r="U282" s="1600">
        <f t="shared" si="65"/>
        <v>0</v>
      </c>
      <c r="V282" s="1608">
        <v>0</v>
      </c>
      <c r="W282" s="1608">
        <v>0</v>
      </c>
      <c r="X282" s="1423">
        <f t="shared" si="63"/>
        <v>0</v>
      </c>
    </row>
    <row r="283" spans="1:24" ht="84" customHeight="1">
      <c r="A283" s="2041">
        <f>A282+1</f>
        <v>116</v>
      </c>
      <c r="B283" s="1883" t="s">
        <v>1478</v>
      </c>
      <c r="C283" s="1866">
        <v>10122</v>
      </c>
      <c r="D283" s="1600">
        <f t="shared" si="61"/>
        <v>14680.4</v>
      </c>
      <c r="E283" s="1608"/>
      <c r="F283" s="1624">
        <v>14680.4</v>
      </c>
      <c r="G283" s="1600">
        <f t="shared" si="56"/>
        <v>14680.4</v>
      </c>
      <c r="H283" s="1608"/>
      <c r="I283" s="1624">
        <v>14680.4</v>
      </c>
      <c r="J283" s="1600">
        <f t="shared" si="62"/>
        <v>3774.5</v>
      </c>
      <c r="K283" s="1608"/>
      <c r="L283" s="1624">
        <v>3774.5</v>
      </c>
      <c r="M283" s="1893">
        <f t="shared" si="51"/>
        <v>25.7</v>
      </c>
      <c r="N283" s="1894">
        <f t="shared" si="51"/>
        <v>0</v>
      </c>
      <c r="O283" s="1894">
        <f t="shared" si="51"/>
        <v>25.7</v>
      </c>
      <c r="P283" s="1593" t="s">
        <v>1298</v>
      </c>
      <c r="Q283" s="1593" t="s">
        <v>1261</v>
      </c>
      <c r="R283" s="1600">
        <f t="shared" si="64"/>
        <v>0</v>
      </c>
      <c r="S283" s="1608">
        <v>0</v>
      </c>
      <c r="T283" s="1608">
        <v>0</v>
      </c>
      <c r="U283" s="1600">
        <f t="shared" si="65"/>
        <v>0</v>
      </c>
      <c r="V283" s="1608">
        <v>0</v>
      </c>
      <c r="W283" s="1608">
        <v>0</v>
      </c>
      <c r="X283" s="1423">
        <f t="shared" si="63"/>
        <v>0</v>
      </c>
    </row>
    <row r="284" spans="1:24" ht="59.25" hidden="1" customHeight="1">
      <c r="A284" s="2041">
        <f>A283+1</f>
        <v>117</v>
      </c>
      <c r="B284" s="493" t="s">
        <v>1492</v>
      </c>
      <c r="C284" s="2041">
        <v>14091</v>
      </c>
      <c r="D284" s="1600">
        <f t="shared" si="61"/>
        <v>0</v>
      </c>
      <c r="E284" s="1614"/>
      <c r="F284" s="1614">
        <v>0</v>
      </c>
      <c r="G284" s="1600">
        <f t="shared" si="56"/>
        <v>0</v>
      </c>
      <c r="H284" s="1614"/>
      <c r="I284" s="1614">
        <v>0</v>
      </c>
      <c r="J284" s="1600">
        <f t="shared" si="62"/>
        <v>0</v>
      </c>
      <c r="K284" s="1614"/>
      <c r="L284" s="1614"/>
      <c r="M284" s="1604">
        <f t="shared" si="51"/>
        <v>0</v>
      </c>
      <c r="N284" s="1881">
        <f t="shared" si="51"/>
        <v>0</v>
      </c>
      <c r="O284" s="1881">
        <f t="shared" si="51"/>
        <v>0</v>
      </c>
      <c r="P284" s="1593" t="s">
        <v>1192</v>
      </c>
      <c r="Q284" s="1593" t="s">
        <v>1206</v>
      </c>
      <c r="R284" s="1600">
        <f t="shared" si="64"/>
        <v>200000</v>
      </c>
      <c r="S284" s="1614">
        <v>0</v>
      </c>
      <c r="T284" s="1614">
        <v>200000</v>
      </c>
      <c r="U284" s="1600">
        <f t="shared" si="65"/>
        <v>0</v>
      </c>
      <c r="V284" s="1608">
        <v>0</v>
      </c>
      <c r="W284" s="1608">
        <v>0</v>
      </c>
    </row>
    <row r="285" spans="1:24" s="484" customFormat="1" ht="45.75" hidden="1" customHeight="1">
      <c r="A285" s="2041">
        <v>117</v>
      </c>
      <c r="B285" s="1912" t="s">
        <v>1712</v>
      </c>
      <c r="C285" s="1913" t="s">
        <v>1546</v>
      </c>
      <c r="D285" s="1600">
        <f t="shared" si="61"/>
        <v>0</v>
      </c>
      <c r="E285" s="1608"/>
      <c r="F285" s="1608">
        <v>0</v>
      </c>
      <c r="G285" s="1600">
        <f t="shared" si="56"/>
        <v>0</v>
      </c>
      <c r="H285" s="1608"/>
      <c r="I285" s="1608">
        <v>0</v>
      </c>
      <c r="J285" s="1600">
        <f t="shared" si="62"/>
        <v>0</v>
      </c>
      <c r="K285" s="1608"/>
      <c r="L285" s="1608"/>
      <c r="M285" s="1893">
        <f t="shared" si="51"/>
        <v>0</v>
      </c>
      <c r="N285" s="1894">
        <f t="shared" si="51"/>
        <v>0</v>
      </c>
      <c r="O285" s="1894">
        <f t="shared" si="51"/>
        <v>0</v>
      </c>
      <c r="P285" s="1593" t="s">
        <v>1291</v>
      </c>
      <c r="Q285" s="1593" t="s">
        <v>1241</v>
      </c>
      <c r="R285" s="1600">
        <f t="shared" si="64"/>
        <v>0</v>
      </c>
      <c r="S285" s="1608">
        <v>0</v>
      </c>
      <c r="T285" s="1608">
        <v>0</v>
      </c>
      <c r="U285" s="1600">
        <f t="shared" si="65"/>
        <v>0</v>
      </c>
      <c r="V285" s="1608">
        <v>0</v>
      </c>
      <c r="W285" s="1608">
        <v>0</v>
      </c>
    </row>
    <row r="286" spans="1:24" ht="225" hidden="1" customHeight="1">
      <c r="A286" s="1946" t="s">
        <v>1671</v>
      </c>
      <c r="B286" s="1888" t="s">
        <v>1669</v>
      </c>
      <c r="C286" s="2041" t="s">
        <v>1549</v>
      </c>
      <c r="D286" s="1600">
        <f t="shared" si="61"/>
        <v>0</v>
      </c>
      <c r="E286" s="1614"/>
      <c r="F286" s="1614"/>
      <c r="G286" s="1600">
        <f t="shared" si="56"/>
        <v>0</v>
      </c>
      <c r="H286" s="1614"/>
      <c r="I286" s="1614"/>
      <c r="J286" s="1600">
        <f>SUM(K286:L286)</f>
        <v>0</v>
      </c>
      <c r="K286" s="1614"/>
      <c r="L286" s="1614"/>
      <c r="M286" s="1604">
        <f t="shared" si="51"/>
        <v>0</v>
      </c>
      <c r="N286" s="1881">
        <f t="shared" si="51"/>
        <v>0</v>
      </c>
      <c r="O286" s="1881">
        <f t="shared" si="51"/>
        <v>0</v>
      </c>
      <c r="P286" s="1593" t="s">
        <v>1192</v>
      </c>
      <c r="Q286" s="1593" t="s">
        <v>1160</v>
      </c>
      <c r="R286" s="1600">
        <f>SUM(S286:T286)</f>
        <v>20985.5</v>
      </c>
      <c r="S286" s="1614">
        <v>0</v>
      </c>
      <c r="T286" s="1614">
        <v>20985.5</v>
      </c>
      <c r="U286" s="1600">
        <f>SUM(V286:W286)</f>
        <v>0</v>
      </c>
      <c r="V286" s="1614">
        <v>0</v>
      </c>
      <c r="W286" s="1614">
        <v>0</v>
      </c>
    </row>
    <row r="287" spans="1:24" s="791" customFormat="1" ht="46.5" hidden="1" customHeight="1">
      <c r="A287" s="2565" t="s">
        <v>456</v>
      </c>
      <c r="B287" s="2565"/>
      <c r="C287" s="1869"/>
      <c r="D287" s="1594">
        <f t="shared" si="61"/>
        <v>2252367.1</v>
      </c>
      <c r="E287" s="1594">
        <f>SUM(E288,E309)</f>
        <v>1657407.1</v>
      </c>
      <c r="F287" s="1594">
        <f>SUM(F288,F309)</f>
        <v>594960</v>
      </c>
      <c r="G287" s="1594">
        <f t="shared" si="56"/>
        <v>2247367.1</v>
      </c>
      <c r="H287" s="1594">
        <f>SUM(H288,H309)</f>
        <v>1652457.1</v>
      </c>
      <c r="I287" s="1594">
        <f>SUM(I288,I309)</f>
        <v>594910</v>
      </c>
      <c r="J287" s="1594">
        <f t="shared" si="62"/>
        <v>491972.4</v>
      </c>
      <c r="K287" s="1594">
        <f>SUM(K288,K309)</f>
        <v>297626.7</v>
      </c>
      <c r="L287" s="1594">
        <f>SUM(L288,L309)</f>
        <v>194345.7</v>
      </c>
      <c r="M287" s="1870">
        <f t="shared" si="51"/>
        <v>21.9</v>
      </c>
      <c r="N287" s="1871">
        <f t="shared" si="51"/>
        <v>18</v>
      </c>
      <c r="O287" s="1871">
        <f t="shared" si="51"/>
        <v>32.700000000000003</v>
      </c>
      <c r="P287" s="1940"/>
      <c r="Q287" s="1593" t="s">
        <v>1104</v>
      </c>
      <c r="R287" s="1594">
        <f t="shared" ref="R287:R302" si="66">SUM(S287:T287)</f>
        <v>998248</v>
      </c>
      <c r="S287" s="1594">
        <f>SUM(S288,S309)</f>
        <v>658766.30000000005</v>
      </c>
      <c r="T287" s="1594">
        <f>SUM(T288,T309)</f>
        <v>339481.7</v>
      </c>
      <c r="U287" s="1594">
        <f t="shared" ref="U287:U302" si="67">SUM(V287:W287)</f>
        <v>359443.8</v>
      </c>
      <c r="V287" s="1594">
        <f>SUM(V288,V309)</f>
        <v>15000</v>
      </c>
      <c r="W287" s="1594">
        <f>SUM(W288,W309)</f>
        <v>344443.8</v>
      </c>
      <c r="X287" s="1423">
        <f t="shared" ref="X287:X324" si="68">D287-G287</f>
        <v>5000</v>
      </c>
    </row>
    <row r="288" spans="1:24" ht="91.5" hidden="1" customHeight="1">
      <c r="A288" s="2041" t="s">
        <v>6</v>
      </c>
      <c r="B288" s="1872" t="s">
        <v>439</v>
      </c>
      <c r="C288" s="1873"/>
      <c r="D288" s="1861">
        <f t="shared" si="61"/>
        <v>113151.5</v>
      </c>
      <c r="E288" s="1861">
        <f>E289</f>
        <v>0</v>
      </c>
      <c r="F288" s="1861">
        <f>F289</f>
        <v>113151.5</v>
      </c>
      <c r="G288" s="1861">
        <f>SUM(H288:I288)</f>
        <v>113151.5</v>
      </c>
      <c r="H288" s="1861">
        <f>H289</f>
        <v>0</v>
      </c>
      <c r="I288" s="1861">
        <f>I289</f>
        <v>113151.5</v>
      </c>
      <c r="J288" s="1861">
        <f>SUM(K288:L288)</f>
        <v>1490</v>
      </c>
      <c r="K288" s="1861">
        <f>K289</f>
        <v>0</v>
      </c>
      <c r="L288" s="1861">
        <f>L289</f>
        <v>1490</v>
      </c>
      <c r="M288" s="1874">
        <f t="shared" si="51"/>
        <v>1.3</v>
      </c>
      <c r="N288" s="1875">
        <f t="shared" si="51"/>
        <v>0</v>
      </c>
      <c r="O288" s="1875">
        <f t="shared" si="51"/>
        <v>1.3</v>
      </c>
      <c r="P288" s="1597" t="s">
        <v>353</v>
      </c>
      <c r="Q288" s="1597" t="s">
        <v>353</v>
      </c>
      <c r="R288" s="1861">
        <f t="shared" si="66"/>
        <v>1700</v>
      </c>
      <c r="S288" s="1861">
        <f>S289</f>
        <v>0</v>
      </c>
      <c r="T288" s="1861">
        <f>SUM(T289)</f>
        <v>1700</v>
      </c>
      <c r="U288" s="1861">
        <f t="shared" si="67"/>
        <v>0</v>
      </c>
      <c r="V288" s="1861">
        <f>V289</f>
        <v>0</v>
      </c>
      <c r="W288" s="1861">
        <f>SUM(W289)</f>
        <v>0</v>
      </c>
      <c r="X288" s="1423">
        <f t="shared" si="68"/>
        <v>0</v>
      </c>
    </row>
    <row r="289" spans="1:24" ht="21.75" hidden="1" customHeight="1">
      <c r="A289" s="2041" t="s">
        <v>253</v>
      </c>
      <c r="B289" s="1876" t="s">
        <v>1393</v>
      </c>
      <c r="C289" s="1877"/>
      <c r="D289" s="1598">
        <f t="shared" si="61"/>
        <v>113151.5</v>
      </c>
      <c r="E289" s="1598">
        <f>E303+E290+E301+E307+E305</f>
        <v>0</v>
      </c>
      <c r="F289" s="1598">
        <f>F303+F290+F301+F307+F305</f>
        <v>113151.5</v>
      </c>
      <c r="G289" s="1598">
        <f>SUM(H289:I289)</f>
        <v>113151.5</v>
      </c>
      <c r="H289" s="1598">
        <f>H303+H290+H301+H307+H305</f>
        <v>0</v>
      </c>
      <c r="I289" s="1598">
        <f>I303+I290+I301+I307+I305</f>
        <v>113151.5</v>
      </c>
      <c r="J289" s="1598">
        <f>SUM(K289:L289)</f>
        <v>1490</v>
      </c>
      <c r="K289" s="1598">
        <f>K303+K290+K301+K307+K305</f>
        <v>0</v>
      </c>
      <c r="L289" s="1598">
        <f>L303+L290+L301+L307+L305</f>
        <v>1490</v>
      </c>
      <c r="M289" s="1598">
        <f t="shared" si="51"/>
        <v>1.3</v>
      </c>
      <c r="N289" s="1598">
        <f t="shared" si="51"/>
        <v>0</v>
      </c>
      <c r="O289" s="1598">
        <f t="shared" si="51"/>
        <v>1.3</v>
      </c>
      <c r="P289" s="1598">
        <f>P303+P290</f>
        <v>0</v>
      </c>
      <c r="Q289" s="1598">
        <f>Q303+Q290</f>
        <v>0</v>
      </c>
      <c r="R289" s="1598">
        <f t="shared" si="66"/>
        <v>1700</v>
      </c>
      <c r="S289" s="1598">
        <f>S303+S290+S301+S307</f>
        <v>0</v>
      </c>
      <c r="T289" s="1598">
        <f>T303+T290+T301+T307+1000</f>
        <v>1700</v>
      </c>
      <c r="U289" s="1598">
        <f t="shared" si="67"/>
        <v>0</v>
      </c>
      <c r="V289" s="1598">
        <f>V303+V290+V301+V307</f>
        <v>0</v>
      </c>
      <c r="W289" s="1598">
        <f>W303+W290+W301+W307</f>
        <v>0</v>
      </c>
      <c r="X289" s="1423">
        <f t="shared" si="68"/>
        <v>0</v>
      </c>
    </row>
    <row r="290" spans="1:24" ht="23.25" hidden="1" customHeight="1">
      <c r="A290" s="2041"/>
      <c r="B290" s="2040" t="s">
        <v>283</v>
      </c>
      <c r="C290" s="1866"/>
      <c r="D290" s="1602">
        <f t="shared" ref="D290:D355" si="69">SUM(E290:F290)</f>
        <v>106821.5</v>
      </c>
      <c r="E290" s="1601">
        <f>SUM(E291:E299)</f>
        <v>0</v>
      </c>
      <c r="F290" s="1601">
        <f>SUM(F291:F300)</f>
        <v>106821.5</v>
      </c>
      <c r="G290" s="1602">
        <f>SUBTOTAL(9,G291:G300)</f>
        <v>106821.5</v>
      </c>
      <c r="H290" s="1601">
        <f>SUM(H291:H299)</f>
        <v>0</v>
      </c>
      <c r="I290" s="1602">
        <f>SUBTOTAL(9,I291:I300)</f>
        <v>106821.5</v>
      </c>
      <c r="J290" s="1602">
        <f t="shared" si="62"/>
        <v>0</v>
      </c>
      <c r="K290" s="1601">
        <f>SUM(K291:K299)</f>
        <v>0</v>
      </c>
      <c r="L290" s="1601">
        <f>SUM(L291:L299)</f>
        <v>0</v>
      </c>
      <c r="M290" s="1603">
        <f t="shared" si="51"/>
        <v>0</v>
      </c>
      <c r="N290" s="1603">
        <f t="shared" si="51"/>
        <v>0</v>
      </c>
      <c r="O290" s="1603">
        <f t="shared" si="51"/>
        <v>0</v>
      </c>
      <c r="P290" s="1603">
        <f>SUM(P291:P299)</f>
        <v>0</v>
      </c>
      <c r="Q290" s="1603">
        <f>SUM(Q291:Q299)</f>
        <v>0</v>
      </c>
      <c r="R290" s="1602">
        <f t="shared" si="66"/>
        <v>0</v>
      </c>
      <c r="S290" s="1601">
        <f>SUM(S291:S299)</f>
        <v>0</v>
      </c>
      <c r="T290" s="1601">
        <f>SUM(T291:T299)</f>
        <v>0</v>
      </c>
      <c r="U290" s="1602">
        <f t="shared" si="67"/>
        <v>0</v>
      </c>
      <c r="V290" s="1601">
        <f>SUM(V291:V299)</f>
        <v>0</v>
      </c>
      <c r="W290" s="1601">
        <f>SUM(W291:W299)</f>
        <v>0</v>
      </c>
      <c r="X290" s="1423">
        <f t="shared" si="68"/>
        <v>0</v>
      </c>
    </row>
    <row r="291" spans="1:24" s="1566" customFormat="1" ht="62.25" hidden="1" customHeight="1">
      <c r="A291" s="2041">
        <v>1</v>
      </c>
      <c r="B291" s="1889" t="s">
        <v>1571</v>
      </c>
      <c r="C291" s="1866"/>
      <c r="D291" s="1602">
        <f t="shared" si="69"/>
        <v>10852.7</v>
      </c>
      <c r="E291" s="1601"/>
      <c r="F291" s="1619">
        <f>10687+165.7</f>
        <v>10852.7</v>
      </c>
      <c r="G291" s="1602">
        <f t="shared" si="56"/>
        <v>10852.7</v>
      </c>
      <c r="H291" s="1601"/>
      <c r="I291" s="1619">
        <f>F291</f>
        <v>10852.7</v>
      </c>
      <c r="J291" s="1602">
        <f t="shared" si="62"/>
        <v>0</v>
      </c>
      <c r="K291" s="1601"/>
      <c r="L291" s="1619"/>
      <c r="M291" s="1602">
        <f t="shared" si="51"/>
        <v>0</v>
      </c>
      <c r="N291" s="1600">
        <f t="shared" si="51"/>
        <v>0</v>
      </c>
      <c r="O291" s="1619">
        <f t="shared" si="51"/>
        <v>0</v>
      </c>
      <c r="P291" s="1599"/>
      <c r="Q291" s="1599"/>
      <c r="R291" s="1602">
        <f t="shared" si="66"/>
        <v>0</v>
      </c>
      <c r="S291" s="1619">
        <v>0</v>
      </c>
      <c r="T291" s="1619">
        <v>0</v>
      </c>
      <c r="U291" s="1602">
        <f t="shared" si="67"/>
        <v>0</v>
      </c>
      <c r="V291" s="1619">
        <v>0</v>
      </c>
      <c r="W291" s="1619">
        <v>0</v>
      </c>
      <c r="X291" s="1423">
        <f t="shared" si="68"/>
        <v>0</v>
      </c>
    </row>
    <row r="292" spans="1:24" s="1566" customFormat="1" ht="60.75" hidden="1" customHeight="1">
      <c r="A292" s="2041">
        <f>A291+1</f>
        <v>2</v>
      </c>
      <c r="B292" s="1889" t="s">
        <v>1665</v>
      </c>
      <c r="C292" s="1866"/>
      <c r="D292" s="1602">
        <f t="shared" si="69"/>
        <v>19800</v>
      </c>
      <c r="E292" s="1601"/>
      <c r="F292" s="1619">
        <v>19800</v>
      </c>
      <c r="G292" s="1602">
        <f t="shared" si="56"/>
        <v>19800</v>
      </c>
      <c r="H292" s="1601"/>
      <c r="I292" s="1619">
        <f t="shared" ref="I292:I300" si="70">F292</f>
        <v>19800</v>
      </c>
      <c r="J292" s="1602">
        <f t="shared" si="62"/>
        <v>0</v>
      </c>
      <c r="K292" s="1601"/>
      <c r="L292" s="1619"/>
      <c r="M292" s="1602">
        <f t="shared" si="51"/>
        <v>0</v>
      </c>
      <c r="N292" s="1600">
        <f t="shared" si="51"/>
        <v>0</v>
      </c>
      <c r="O292" s="1619">
        <f t="shared" si="51"/>
        <v>0</v>
      </c>
      <c r="P292" s="1599"/>
      <c r="Q292" s="1599"/>
      <c r="R292" s="1602">
        <f t="shared" si="66"/>
        <v>0</v>
      </c>
      <c r="S292" s="1619">
        <v>0</v>
      </c>
      <c r="T292" s="1619">
        <v>0</v>
      </c>
      <c r="U292" s="1602">
        <f t="shared" si="67"/>
        <v>0</v>
      </c>
      <c r="V292" s="1619">
        <v>0</v>
      </c>
      <c r="W292" s="1619">
        <v>0</v>
      </c>
      <c r="X292" s="1423">
        <f t="shared" si="68"/>
        <v>0</v>
      </c>
    </row>
    <row r="293" spans="1:24" s="1566" customFormat="1" ht="66.75" hidden="1" customHeight="1">
      <c r="A293" s="2041">
        <f t="shared" ref="A293:A298" si="71">A292+1</f>
        <v>3</v>
      </c>
      <c r="B293" s="1889" t="s">
        <v>1575</v>
      </c>
      <c r="C293" s="1866"/>
      <c r="D293" s="1602">
        <f t="shared" si="69"/>
        <v>7650</v>
      </c>
      <c r="E293" s="1601"/>
      <c r="F293" s="1619">
        <v>7650</v>
      </c>
      <c r="G293" s="1602">
        <f t="shared" si="56"/>
        <v>7650</v>
      </c>
      <c r="H293" s="1601"/>
      <c r="I293" s="1619">
        <f t="shared" si="70"/>
        <v>7650</v>
      </c>
      <c r="J293" s="1602">
        <f t="shared" si="62"/>
        <v>0</v>
      </c>
      <c r="K293" s="1601"/>
      <c r="L293" s="1619"/>
      <c r="M293" s="1602">
        <f t="shared" si="51"/>
        <v>0</v>
      </c>
      <c r="N293" s="1600">
        <f t="shared" si="51"/>
        <v>0</v>
      </c>
      <c r="O293" s="1619">
        <f t="shared" si="51"/>
        <v>0</v>
      </c>
      <c r="P293" s="1599"/>
      <c r="Q293" s="1599"/>
      <c r="R293" s="1602">
        <f t="shared" si="66"/>
        <v>0</v>
      </c>
      <c r="S293" s="1619">
        <v>0</v>
      </c>
      <c r="T293" s="1619">
        <v>0</v>
      </c>
      <c r="U293" s="1602">
        <f t="shared" si="67"/>
        <v>0</v>
      </c>
      <c r="V293" s="1619">
        <v>0</v>
      </c>
      <c r="W293" s="1619">
        <v>0</v>
      </c>
      <c r="X293" s="1423">
        <f t="shared" si="68"/>
        <v>0</v>
      </c>
    </row>
    <row r="294" spans="1:24" s="1566" customFormat="1" ht="76.5" hidden="1" customHeight="1">
      <c r="A294" s="2041">
        <f t="shared" si="71"/>
        <v>4</v>
      </c>
      <c r="B294" s="1889" t="s">
        <v>1666</v>
      </c>
      <c r="C294" s="1866"/>
      <c r="D294" s="1602">
        <f t="shared" si="69"/>
        <v>19800</v>
      </c>
      <c r="E294" s="1601"/>
      <c r="F294" s="1619">
        <v>19800</v>
      </c>
      <c r="G294" s="1602">
        <f t="shared" si="56"/>
        <v>19800</v>
      </c>
      <c r="H294" s="1601"/>
      <c r="I294" s="1619">
        <f t="shared" si="70"/>
        <v>19800</v>
      </c>
      <c r="J294" s="1602">
        <f t="shared" si="62"/>
        <v>0</v>
      </c>
      <c r="K294" s="1601"/>
      <c r="L294" s="1619"/>
      <c r="M294" s="1602">
        <f t="shared" si="51"/>
        <v>0</v>
      </c>
      <c r="N294" s="1600">
        <f t="shared" si="51"/>
        <v>0</v>
      </c>
      <c r="O294" s="1619">
        <f t="shared" si="51"/>
        <v>0</v>
      </c>
      <c r="P294" s="1599"/>
      <c r="Q294" s="1599"/>
      <c r="R294" s="1602">
        <f t="shared" si="66"/>
        <v>0</v>
      </c>
      <c r="S294" s="1619">
        <v>0</v>
      </c>
      <c r="T294" s="1619">
        <v>0</v>
      </c>
      <c r="U294" s="1602">
        <f t="shared" si="67"/>
        <v>0</v>
      </c>
      <c r="V294" s="1619">
        <v>0</v>
      </c>
      <c r="W294" s="1619">
        <v>0</v>
      </c>
      <c r="X294" s="1423">
        <f t="shared" si="68"/>
        <v>0</v>
      </c>
    </row>
    <row r="295" spans="1:24" s="1566" customFormat="1" ht="63" hidden="1" customHeight="1">
      <c r="A295" s="2041">
        <f t="shared" si="71"/>
        <v>5</v>
      </c>
      <c r="B295" s="1889" t="s">
        <v>1573</v>
      </c>
      <c r="C295" s="1866"/>
      <c r="D295" s="1602">
        <f t="shared" si="69"/>
        <v>17670</v>
      </c>
      <c r="E295" s="1601"/>
      <c r="F295" s="1619">
        <v>17670</v>
      </c>
      <c r="G295" s="1602">
        <f t="shared" si="56"/>
        <v>17670</v>
      </c>
      <c r="H295" s="1601"/>
      <c r="I295" s="1619">
        <f t="shared" si="70"/>
        <v>17670</v>
      </c>
      <c r="J295" s="1602">
        <f t="shared" si="62"/>
        <v>0</v>
      </c>
      <c r="K295" s="1601"/>
      <c r="L295" s="1619"/>
      <c r="M295" s="1602">
        <f t="shared" si="51"/>
        <v>0</v>
      </c>
      <c r="N295" s="1600">
        <f t="shared" si="51"/>
        <v>0</v>
      </c>
      <c r="O295" s="1619">
        <f t="shared" si="51"/>
        <v>0</v>
      </c>
      <c r="P295" s="1599"/>
      <c r="Q295" s="1599"/>
      <c r="R295" s="1602">
        <f t="shared" si="66"/>
        <v>0</v>
      </c>
      <c r="S295" s="1619">
        <v>0</v>
      </c>
      <c r="T295" s="1619">
        <v>0</v>
      </c>
      <c r="U295" s="1602">
        <f t="shared" si="67"/>
        <v>0</v>
      </c>
      <c r="V295" s="1619">
        <v>0</v>
      </c>
      <c r="W295" s="1619">
        <v>0</v>
      </c>
      <c r="X295" s="1423">
        <f t="shared" si="68"/>
        <v>0</v>
      </c>
    </row>
    <row r="296" spans="1:24" s="1566" customFormat="1" ht="57.75" hidden="1" customHeight="1">
      <c r="A296" s="2041">
        <f t="shared" si="71"/>
        <v>6</v>
      </c>
      <c r="B296" s="1889" t="s">
        <v>1605</v>
      </c>
      <c r="C296" s="1866"/>
      <c r="D296" s="1602">
        <f t="shared" si="69"/>
        <v>1176</v>
      </c>
      <c r="E296" s="1601"/>
      <c r="F296" s="1619">
        <v>1176</v>
      </c>
      <c r="G296" s="1602">
        <f t="shared" si="56"/>
        <v>1176</v>
      </c>
      <c r="H296" s="1601"/>
      <c r="I296" s="1619">
        <f t="shared" si="70"/>
        <v>1176</v>
      </c>
      <c r="J296" s="1602">
        <f t="shared" si="62"/>
        <v>0</v>
      </c>
      <c r="K296" s="1601"/>
      <c r="L296" s="1619"/>
      <c r="M296" s="1604">
        <f t="shared" si="51"/>
        <v>0</v>
      </c>
      <c r="N296" s="1600">
        <f t="shared" si="51"/>
        <v>0</v>
      </c>
      <c r="O296" s="1619">
        <f t="shared" si="51"/>
        <v>0</v>
      </c>
      <c r="P296" s="1599"/>
      <c r="Q296" s="1599"/>
      <c r="R296" s="1602">
        <f t="shared" si="66"/>
        <v>0</v>
      </c>
      <c r="S296" s="1619">
        <v>0</v>
      </c>
      <c r="T296" s="1619">
        <v>0</v>
      </c>
      <c r="U296" s="1602">
        <f t="shared" si="67"/>
        <v>0</v>
      </c>
      <c r="V296" s="1619">
        <v>0</v>
      </c>
      <c r="W296" s="1619">
        <v>0</v>
      </c>
      <c r="X296" s="1423">
        <f t="shared" si="68"/>
        <v>0</v>
      </c>
    </row>
    <row r="297" spans="1:24" s="1566" customFormat="1" ht="55.5" hidden="1" customHeight="1">
      <c r="A297" s="2041">
        <f t="shared" si="71"/>
        <v>7</v>
      </c>
      <c r="B297" s="1889" t="s">
        <v>1572</v>
      </c>
      <c r="C297" s="1866"/>
      <c r="D297" s="1602">
        <f t="shared" si="69"/>
        <v>3822</v>
      </c>
      <c r="E297" s="1601"/>
      <c r="F297" s="1619">
        <v>3822</v>
      </c>
      <c r="G297" s="1602">
        <f t="shared" si="56"/>
        <v>3822</v>
      </c>
      <c r="H297" s="1601"/>
      <c r="I297" s="1619">
        <f t="shared" si="70"/>
        <v>3822</v>
      </c>
      <c r="J297" s="1602">
        <f t="shared" si="62"/>
        <v>0</v>
      </c>
      <c r="K297" s="1601"/>
      <c r="L297" s="1619"/>
      <c r="M297" s="1602">
        <f t="shared" si="51"/>
        <v>0</v>
      </c>
      <c r="N297" s="1600">
        <f t="shared" si="51"/>
        <v>0</v>
      </c>
      <c r="O297" s="1619">
        <f t="shared" si="51"/>
        <v>0</v>
      </c>
      <c r="P297" s="1599"/>
      <c r="Q297" s="1599"/>
      <c r="R297" s="1602">
        <f t="shared" si="66"/>
        <v>0</v>
      </c>
      <c r="S297" s="1619">
        <v>0</v>
      </c>
      <c r="T297" s="1619">
        <v>0</v>
      </c>
      <c r="U297" s="1602">
        <f t="shared" si="67"/>
        <v>0</v>
      </c>
      <c r="V297" s="1619">
        <v>0</v>
      </c>
      <c r="W297" s="1619">
        <v>0</v>
      </c>
      <c r="X297" s="1423">
        <f t="shared" si="68"/>
        <v>0</v>
      </c>
    </row>
    <row r="298" spans="1:24" s="1566" customFormat="1" ht="39.75" hidden="1" customHeight="1">
      <c r="A298" s="2041">
        <f t="shared" si="71"/>
        <v>8</v>
      </c>
      <c r="B298" s="1889" t="s">
        <v>1570</v>
      </c>
      <c r="C298" s="1866"/>
      <c r="D298" s="1602">
        <f t="shared" si="69"/>
        <v>4116</v>
      </c>
      <c r="E298" s="1601"/>
      <c r="F298" s="1619">
        <v>4116</v>
      </c>
      <c r="G298" s="1602">
        <f t="shared" si="56"/>
        <v>4116</v>
      </c>
      <c r="H298" s="1601"/>
      <c r="I298" s="1619">
        <f t="shared" si="70"/>
        <v>4116</v>
      </c>
      <c r="J298" s="1602">
        <f t="shared" si="62"/>
        <v>0</v>
      </c>
      <c r="K298" s="1601"/>
      <c r="L298" s="1619"/>
      <c r="M298" s="1602">
        <f t="shared" si="51"/>
        <v>0</v>
      </c>
      <c r="N298" s="1600">
        <f t="shared" si="51"/>
        <v>0</v>
      </c>
      <c r="O298" s="1619">
        <f t="shared" si="51"/>
        <v>0</v>
      </c>
      <c r="P298" s="1599"/>
      <c r="Q298" s="1599"/>
      <c r="R298" s="1602">
        <f t="shared" si="66"/>
        <v>0</v>
      </c>
      <c r="S298" s="1619">
        <v>0</v>
      </c>
      <c r="T298" s="1619">
        <v>0</v>
      </c>
      <c r="U298" s="1602">
        <f t="shared" si="67"/>
        <v>0</v>
      </c>
      <c r="V298" s="1619">
        <v>0</v>
      </c>
      <c r="W298" s="1619">
        <v>0</v>
      </c>
      <c r="X298" s="1423">
        <f t="shared" si="68"/>
        <v>0</v>
      </c>
    </row>
    <row r="299" spans="1:24" s="1566" customFormat="1" ht="39" hidden="1" customHeight="1">
      <c r="A299" s="2041">
        <f>A298+1</f>
        <v>9</v>
      </c>
      <c r="B299" s="1905" t="s">
        <v>1569</v>
      </c>
      <c r="C299" s="1906"/>
      <c r="D299" s="1602">
        <f t="shared" si="69"/>
        <v>19450</v>
      </c>
      <c r="E299" s="1600"/>
      <c r="F299" s="1619">
        <v>19450</v>
      </c>
      <c r="G299" s="1602">
        <f t="shared" si="56"/>
        <v>19450</v>
      </c>
      <c r="H299" s="1600"/>
      <c r="I299" s="1619">
        <f t="shared" si="70"/>
        <v>19450</v>
      </c>
      <c r="J299" s="1602">
        <f t="shared" si="62"/>
        <v>0</v>
      </c>
      <c r="K299" s="1600"/>
      <c r="L299" s="1619"/>
      <c r="M299" s="1602">
        <f t="shared" si="51"/>
        <v>0</v>
      </c>
      <c r="N299" s="1600">
        <f t="shared" si="51"/>
        <v>0</v>
      </c>
      <c r="O299" s="1619">
        <f t="shared" si="51"/>
        <v>0</v>
      </c>
      <c r="P299" s="1599"/>
      <c r="Q299" s="1599"/>
      <c r="R299" s="1602">
        <f t="shared" si="66"/>
        <v>0</v>
      </c>
      <c r="S299" s="1619">
        <v>0</v>
      </c>
      <c r="T299" s="1619">
        <v>0</v>
      </c>
      <c r="U299" s="1602">
        <f t="shared" si="67"/>
        <v>0</v>
      </c>
      <c r="V299" s="1619">
        <v>0</v>
      </c>
      <c r="W299" s="1619">
        <v>0</v>
      </c>
      <c r="X299" s="1423">
        <f t="shared" si="68"/>
        <v>0</v>
      </c>
    </row>
    <row r="300" spans="1:24" s="1566" customFormat="1" ht="63.75" hidden="1" customHeight="1">
      <c r="A300" s="2041">
        <v>10</v>
      </c>
      <c r="B300" s="1926" t="s">
        <v>1708</v>
      </c>
      <c r="C300" s="1906"/>
      <c r="D300" s="1602">
        <f>SUM(E300:F300)</f>
        <v>2484.8000000000002</v>
      </c>
      <c r="E300" s="1600"/>
      <c r="F300" s="1619">
        <v>2484.8000000000002</v>
      </c>
      <c r="G300" s="1602">
        <f>SUM(H300:I300)</f>
        <v>2484.8000000000002</v>
      </c>
      <c r="H300" s="1600"/>
      <c r="I300" s="1619">
        <f t="shared" si="70"/>
        <v>2484.8000000000002</v>
      </c>
      <c r="J300" s="1602">
        <f>SUM(K300:L300)</f>
        <v>0</v>
      </c>
      <c r="K300" s="1600"/>
      <c r="L300" s="1619"/>
      <c r="M300" s="1602">
        <f t="shared" si="51"/>
        <v>0</v>
      </c>
      <c r="N300" s="1600">
        <f t="shared" si="51"/>
        <v>0</v>
      </c>
      <c r="O300" s="1619">
        <f t="shared" si="51"/>
        <v>0</v>
      </c>
      <c r="P300" s="1599"/>
      <c r="Q300" s="1599"/>
      <c r="R300" s="1602"/>
      <c r="S300" s="1619"/>
      <c r="T300" s="1619"/>
      <c r="U300" s="1602"/>
      <c r="V300" s="1619"/>
      <c r="W300" s="1619"/>
      <c r="X300" s="1423">
        <f t="shared" si="68"/>
        <v>0</v>
      </c>
    </row>
    <row r="301" spans="1:24" s="1566" customFormat="1" ht="23.25" hidden="1">
      <c r="A301" s="2041"/>
      <c r="B301" s="2040" t="s">
        <v>615</v>
      </c>
      <c r="C301" s="1866">
        <v>24340</v>
      </c>
      <c r="D301" s="1600">
        <f t="shared" si="69"/>
        <v>3840</v>
      </c>
      <c r="E301" s="1601">
        <f>SUM(E302)</f>
        <v>0</v>
      </c>
      <c r="F301" s="1601">
        <f>SUM(F302)</f>
        <v>3840</v>
      </c>
      <c r="G301" s="1600">
        <f t="shared" si="56"/>
        <v>3840</v>
      </c>
      <c r="H301" s="1601">
        <f>SUM(H302)</f>
        <v>0</v>
      </c>
      <c r="I301" s="1601">
        <f>SUM(I302)</f>
        <v>3840</v>
      </c>
      <c r="J301" s="1600">
        <f t="shared" si="62"/>
        <v>0</v>
      </c>
      <c r="K301" s="1601">
        <f>SUM(K302)</f>
        <v>0</v>
      </c>
      <c r="L301" s="1601">
        <f>SUM(L302)</f>
        <v>0</v>
      </c>
      <c r="M301" s="1604">
        <f t="shared" ref="M301:O367" si="72">IF(J301=0,0,J301/G301*100)</f>
        <v>0</v>
      </c>
      <c r="N301" s="1881">
        <f t="shared" si="72"/>
        <v>0</v>
      </c>
      <c r="O301" s="1881">
        <f t="shared" si="72"/>
        <v>0</v>
      </c>
      <c r="P301" s="1599"/>
      <c r="Q301" s="1599"/>
      <c r="R301" s="1602">
        <f t="shared" si="66"/>
        <v>0</v>
      </c>
      <c r="S301" s="1619">
        <v>0</v>
      </c>
      <c r="T301" s="1619">
        <v>0</v>
      </c>
      <c r="U301" s="1602">
        <f t="shared" si="67"/>
        <v>0</v>
      </c>
      <c r="V301" s="1600">
        <v>0</v>
      </c>
      <c r="W301" s="1600">
        <v>0</v>
      </c>
      <c r="X301" s="1423">
        <f t="shared" si="68"/>
        <v>0</v>
      </c>
    </row>
    <row r="302" spans="1:24" s="1566" customFormat="1" ht="96" hidden="1" customHeight="1">
      <c r="A302" s="2041">
        <v>11</v>
      </c>
      <c r="B302" s="1926" t="s">
        <v>1420</v>
      </c>
      <c r="C302" s="1866">
        <v>24340</v>
      </c>
      <c r="D302" s="1600">
        <f t="shared" si="69"/>
        <v>3840</v>
      </c>
      <c r="E302" s="1608"/>
      <c r="F302" s="1608">
        <v>3840</v>
      </c>
      <c r="G302" s="1600">
        <f t="shared" si="56"/>
        <v>3840</v>
      </c>
      <c r="H302" s="1608"/>
      <c r="I302" s="1608">
        <v>3840</v>
      </c>
      <c r="J302" s="1600">
        <f t="shared" si="62"/>
        <v>0</v>
      </c>
      <c r="K302" s="1608"/>
      <c r="L302" s="1608"/>
      <c r="M302" s="1604">
        <f t="shared" si="72"/>
        <v>0</v>
      </c>
      <c r="N302" s="1881">
        <f t="shared" si="72"/>
        <v>0</v>
      </c>
      <c r="O302" s="1881">
        <f t="shared" si="72"/>
        <v>0</v>
      </c>
      <c r="P302" s="1599"/>
      <c r="Q302" s="1599"/>
      <c r="R302" s="1602">
        <f t="shared" si="66"/>
        <v>0</v>
      </c>
      <c r="S302" s="1619">
        <v>0</v>
      </c>
      <c r="T302" s="1619">
        <v>0</v>
      </c>
      <c r="U302" s="1602">
        <f t="shared" si="67"/>
        <v>0</v>
      </c>
      <c r="V302" s="1619">
        <v>0</v>
      </c>
      <c r="W302" s="1619">
        <v>0</v>
      </c>
      <c r="X302" s="1423">
        <f t="shared" si="68"/>
        <v>0</v>
      </c>
    </row>
    <row r="303" spans="1:24" s="1566" customFormat="1" ht="21" hidden="1" customHeight="1">
      <c r="A303" s="2041"/>
      <c r="B303" s="2040" t="s">
        <v>431</v>
      </c>
      <c r="C303" s="1866"/>
      <c r="D303" s="1602">
        <f t="shared" si="69"/>
        <v>500</v>
      </c>
      <c r="E303" s="1601">
        <f>SUM(E304)</f>
        <v>0</v>
      </c>
      <c r="F303" s="1601">
        <f>SUM(F304)</f>
        <v>500</v>
      </c>
      <c r="G303" s="1602">
        <f t="shared" si="56"/>
        <v>500</v>
      </c>
      <c r="H303" s="1601">
        <f>SUM(H304)</f>
        <v>0</v>
      </c>
      <c r="I303" s="1601">
        <f>SUM(I304)</f>
        <v>500</v>
      </c>
      <c r="J303" s="1602">
        <f t="shared" si="62"/>
        <v>0</v>
      </c>
      <c r="K303" s="1601">
        <f>SUM(K304)</f>
        <v>0</v>
      </c>
      <c r="L303" s="1601">
        <f>SUM(L304)</f>
        <v>0</v>
      </c>
      <c r="M303" s="1604">
        <f t="shared" si="72"/>
        <v>0</v>
      </c>
      <c r="N303" s="1881">
        <f t="shared" si="72"/>
        <v>0</v>
      </c>
      <c r="O303" s="1881">
        <f t="shared" si="72"/>
        <v>0</v>
      </c>
      <c r="P303" s="1940"/>
      <c r="Q303" s="1593"/>
      <c r="R303" s="1602">
        <f>SUM(S303:T303)</f>
        <v>700</v>
      </c>
      <c r="S303" s="1601">
        <f>SUM(S304)</f>
        <v>0</v>
      </c>
      <c r="T303" s="1601">
        <f>SUM(T304)</f>
        <v>700</v>
      </c>
      <c r="U303" s="1602">
        <f>SUM(V303:W303)</f>
        <v>0</v>
      </c>
      <c r="V303" s="1601">
        <f>SUM(V304)</f>
        <v>0</v>
      </c>
      <c r="W303" s="1601">
        <f>SUM(W304)</f>
        <v>0</v>
      </c>
      <c r="X303" s="1423">
        <f t="shared" si="68"/>
        <v>0</v>
      </c>
    </row>
    <row r="304" spans="1:24" s="1566" customFormat="1" ht="38.25" hidden="1" customHeight="1">
      <c r="A304" s="2041">
        <f>A302+1</f>
        <v>12</v>
      </c>
      <c r="B304" s="1926" t="s">
        <v>1664</v>
      </c>
      <c r="C304" s="1866">
        <v>24340</v>
      </c>
      <c r="D304" s="1602">
        <f t="shared" si="69"/>
        <v>500</v>
      </c>
      <c r="E304" s="1608"/>
      <c r="F304" s="1608">
        <v>500</v>
      </c>
      <c r="G304" s="1602">
        <f t="shared" si="56"/>
        <v>500</v>
      </c>
      <c r="H304" s="1608"/>
      <c r="I304" s="1608">
        <v>500</v>
      </c>
      <c r="J304" s="1602">
        <f t="shared" si="62"/>
        <v>0</v>
      </c>
      <c r="K304" s="1608"/>
      <c r="L304" s="1608"/>
      <c r="M304" s="1604">
        <f t="shared" si="72"/>
        <v>0</v>
      </c>
      <c r="N304" s="1881">
        <f t="shared" si="72"/>
        <v>0</v>
      </c>
      <c r="O304" s="1881">
        <f t="shared" si="72"/>
        <v>0</v>
      </c>
      <c r="P304" s="1940"/>
      <c r="Q304" s="1593"/>
      <c r="R304" s="1602">
        <f>SUM(S304:T304)</f>
        <v>700</v>
      </c>
      <c r="S304" s="1616">
        <v>0</v>
      </c>
      <c r="T304" s="1616">
        <v>700</v>
      </c>
      <c r="U304" s="1602">
        <f>SUM(V304:W304)</f>
        <v>0</v>
      </c>
      <c r="V304" s="1616">
        <v>0</v>
      </c>
      <c r="W304" s="1616">
        <v>0</v>
      </c>
      <c r="X304" s="1423">
        <f t="shared" si="68"/>
        <v>0</v>
      </c>
    </row>
    <row r="305" spans="1:24" s="1566" customFormat="1" ht="23.25" hidden="1">
      <c r="A305" s="2041"/>
      <c r="B305" s="1974" t="s">
        <v>1688</v>
      </c>
      <c r="C305" s="1866"/>
      <c r="D305" s="1602">
        <f>SUM(E305:F305)</f>
        <v>1490</v>
      </c>
      <c r="E305" s="1601">
        <f>SUM(E306)</f>
        <v>0</v>
      </c>
      <c r="F305" s="1601">
        <f>SUM(F306)</f>
        <v>1490</v>
      </c>
      <c r="G305" s="1602">
        <f>SUM(H305:I305)</f>
        <v>1490</v>
      </c>
      <c r="H305" s="1601">
        <f>SUM(H306)</f>
        <v>0</v>
      </c>
      <c r="I305" s="1601">
        <f>SUM(I306)</f>
        <v>1490</v>
      </c>
      <c r="J305" s="1602">
        <f>SUM(K305:L305)</f>
        <v>1490</v>
      </c>
      <c r="K305" s="1601">
        <f>SUM(K306)</f>
        <v>0</v>
      </c>
      <c r="L305" s="1601">
        <f>SUM(L306)</f>
        <v>1490</v>
      </c>
      <c r="M305" s="1604">
        <f t="shared" si="72"/>
        <v>100</v>
      </c>
      <c r="N305" s="1881">
        <f t="shared" si="72"/>
        <v>0</v>
      </c>
      <c r="O305" s="1881">
        <f t="shared" si="72"/>
        <v>100</v>
      </c>
      <c r="P305" s="1940"/>
      <c r="Q305" s="1593"/>
      <c r="R305" s="1602"/>
      <c r="S305" s="1616"/>
      <c r="T305" s="1616"/>
      <c r="U305" s="1602"/>
      <c r="V305" s="1616"/>
      <c r="W305" s="1616"/>
      <c r="X305" s="1423">
        <f t="shared" si="68"/>
        <v>0</v>
      </c>
    </row>
    <row r="306" spans="1:24" s="1566" customFormat="1" ht="75" hidden="1">
      <c r="A306" s="2041">
        <v>13</v>
      </c>
      <c r="B306" s="1926" t="s">
        <v>1689</v>
      </c>
      <c r="C306" s="1866"/>
      <c r="D306" s="1602">
        <f>SUM(E306:F306)</f>
        <v>1490</v>
      </c>
      <c r="E306" s="1608"/>
      <c r="F306" s="1608">
        <v>1490</v>
      </c>
      <c r="G306" s="1602">
        <f>SUM(H306:I306)</f>
        <v>1490</v>
      </c>
      <c r="H306" s="1608"/>
      <c r="I306" s="1608">
        <v>1490</v>
      </c>
      <c r="J306" s="1602">
        <f>SUM(K306:L306)</f>
        <v>1490</v>
      </c>
      <c r="K306" s="1608"/>
      <c r="L306" s="1608">
        <v>1490</v>
      </c>
      <c r="M306" s="1604">
        <f t="shared" si="72"/>
        <v>100</v>
      </c>
      <c r="N306" s="1881">
        <f t="shared" si="72"/>
        <v>0</v>
      </c>
      <c r="O306" s="1881">
        <f t="shared" si="72"/>
        <v>100</v>
      </c>
      <c r="P306" s="1940"/>
      <c r="Q306" s="1593"/>
      <c r="R306" s="1602"/>
      <c r="S306" s="1616"/>
      <c r="T306" s="1616"/>
      <c r="U306" s="1602"/>
      <c r="V306" s="1616"/>
      <c r="W306" s="1616"/>
      <c r="X306" s="1423">
        <f t="shared" si="68"/>
        <v>0</v>
      </c>
    </row>
    <row r="307" spans="1:24" s="1566" customFormat="1" ht="24" hidden="1" customHeight="1">
      <c r="A307" s="2041"/>
      <c r="B307" s="2040" t="s">
        <v>46</v>
      </c>
      <c r="C307" s="1866"/>
      <c r="D307" s="1602">
        <f t="shared" si="69"/>
        <v>500</v>
      </c>
      <c r="E307" s="1601">
        <f>SUM(E308)</f>
        <v>0</v>
      </c>
      <c r="F307" s="1601">
        <f>SUM(F308)</f>
        <v>500</v>
      </c>
      <c r="G307" s="1602">
        <f t="shared" si="56"/>
        <v>500</v>
      </c>
      <c r="H307" s="1601">
        <f>SUM(H308)</f>
        <v>0</v>
      </c>
      <c r="I307" s="1601">
        <f>SUM(I308)</f>
        <v>500</v>
      </c>
      <c r="J307" s="1602">
        <f t="shared" si="62"/>
        <v>0</v>
      </c>
      <c r="K307" s="1601">
        <f>SUM(K308)</f>
        <v>0</v>
      </c>
      <c r="L307" s="1601">
        <f>SUM(L308)</f>
        <v>0</v>
      </c>
      <c r="M307" s="1604">
        <f t="shared" si="72"/>
        <v>0</v>
      </c>
      <c r="N307" s="1881">
        <f t="shared" si="72"/>
        <v>0</v>
      </c>
      <c r="O307" s="1881">
        <f t="shared" si="72"/>
        <v>0</v>
      </c>
      <c r="P307" s="1940"/>
      <c r="Q307" s="1593"/>
      <c r="R307" s="1602">
        <f>SUM(S307:T307)</f>
        <v>0</v>
      </c>
      <c r="S307" s="1601">
        <f>SUM(S308)</f>
        <v>0</v>
      </c>
      <c r="T307" s="1601">
        <f>SUM(T308)</f>
        <v>0</v>
      </c>
      <c r="U307" s="1602">
        <f>SUM(V307:W307)</f>
        <v>0</v>
      </c>
      <c r="V307" s="1601">
        <f>SUM(V308)</f>
        <v>0</v>
      </c>
      <c r="W307" s="1601">
        <f>SUM(W308)</f>
        <v>0</v>
      </c>
      <c r="X307" s="1423">
        <f t="shared" si="68"/>
        <v>0</v>
      </c>
    </row>
    <row r="308" spans="1:24" s="1566" customFormat="1" ht="64.5" hidden="1" customHeight="1">
      <c r="A308" s="2041">
        <v>14</v>
      </c>
      <c r="B308" s="1926" t="s">
        <v>1638</v>
      </c>
      <c r="C308" s="1866">
        <v>24340</v>
      </c>
      <c r="D308" s="1602">
        <f t="shared" si="69"/>
        <v>500</v>
      </c>
      <c r="E308" s="1608"/>
      <c r="F308" s="1608">
        <v>500</v>
      </c>
      <c r="G308" s="1602">
        <f t="shared" si="56"/>
        <v>500</v>
      </c>
      <c r="H308" s="1608"/>
      <c r="I308" s="1608">
        <v>500</v>
      </c>
      <c r="J308" s="1602">
        <f t="shared" si="62"/>
        <v>0</v>
      </c>
      <c r="K308" s="1608"/>
      <c r="L308" s="1608"/>
      <c r="M308" s="1604">
        <f t="shared" si="72"/>
        <v>0</v>
      </c>
      <c r="N308" s="1881">
        <f t="shared" si="72"/>
        <v>0</v>
      </c>
      <c r="O308" s="1881">
        <f t="shared" si="72"/>
        <v>0</v>
      </c>
      <c r="P308" s="1940"/>
      <c r="Q308" s="1593"/>
      <c r="R308" s="1602">
        <f>SUM(S308:T308)</f>
        <v>0</v>
      </c>
      <c r="S308" s="1616">
        <v>0</v>
      </c>
      <c r="T308" s="1616">
        <v>0</v>
      </c>
      <c r="U308" s="1602">
        <f>SUM(V308:W308)</f>
        <v>0</v>
      </c>
      <c r="V308" s="1616">
        <v>0</v>
      </c>
      <c r="W308" s="1616">
        <v>0</v>
      </c>
      <c r="X308" s="1423">
        <f t="shared" si="68"/>
        <v>0</v>
      </c>
    </row>
    <row r="309" spans="1:24" s="1566" customFormat="1" ht="56.25" hidden="1">
      <c r="A309" s="2041" t="s">
        <v>2</v>
      </c>
      <c r="B309" s="1927" t="s">
        <v>222</v>
      </c>
      <c r="C309" s="1873"/>
      <c r="D309" s="1861">
        <f>SUM(E309:F309)</f>
        <v>2139215.6</v>
      </c>
      <c r="E309" s="1861">
        <f>SUM(E313,E310)</f>
        <v>1657407.1</v>
      </c>
      <c r="F309" s="1861">
        <f>SUM(F313,F310)</f>
        <v>481808.5</v>
      </c>
      <c r="G309" s="1861">
        <f>SUM(H309:I309)</f>
        <v>2134215.6</v>
      </c>
      <c r="H309" s="1861">
        <f>SUM(H313,H310)</f>
        <v>1652457.1</v>
      </c>
      <c r="I309" s="1861">
        <f>SUM(I313,I310)</f>
        <v>481758.5</v>
      </c>
      <c r="J309" s="1861">
        <f>SUM(K309:L309)</f>
        <v>490482.4</v>
      </c>
      <c r="K309" s="1861">
        <f>SUM(K313,K310)</f>
        <v>297626.7</v>
      </c>
      <c r="L309" s="1861">
        <f>SUM(L313,L310)</f>
        <v>192855.7</v>
      </c>
      <c r="M309" s="1861">
        <f t="shared" si="72"/>
        <v>23</v>
      </c>
      <c r="N309" s="1861">
        <f t="shared" si="72"/>
        <v>18</v>
      </c>
      <c r="O309" s="1861">
        <f t="shared" si="72"/>
        <v>40</v>
      </c>
      <c r="P309" s="1861">
        <f>SUM(P313,P310)</f>
        <v>0</v>
      </c>
      <c r="Q309" s="1861">
        <f>SUM(Q313,Q310)</f>
        <v>0</v>
      </c>
      <c r="R309" s="1861">
        <f>SUM(S309:T309)</f>
        <v>996548</v>
      </c>
      <c r="S309" s="1861">
        <f>SUM(S313,S310)</f>
        <v>658766.30000000005</v>
      </c>
      <c r="T309" s="1861">
        <f>SUM(T313,T310)</f>
        <v>337781.7</v>
      </c>
      <c r="U309" s="1861">
        <f>SUM(V309:W309)</f>
        <v>359443.8</v>
      </c>
      <c r="V309" s="1861">
        <f>SUM(V313,V310)</f>
        <v>15000</v>
      </c>
      <c r="W309" s="1861">
        <f>SUM(W313,W310)</f>
        <v>344443.8</v>
      </c>
      <c r="X309" s="1423">
        <f t="shared" si="68"/>
        <v>5000</v>
      </c>
    </row>
    <row r="310" spans="1:24" s="1566" customFormat="1" ht="23.25" hidden="1">
      <c r="A310" s="2041" t="s">
        <v>246</v>
      </c>
      <c r="B310" s="1876" t="s">
        <v>1393</v>
      </c>
      <c r="C310" s="1877"/>
      <c r="D310" s="1598">
        <f>SUM(E310:F310)</f>
        <v>138750</v>
      </c>
      <c r="E310" s="1598">
        <f>SUM(E311:E312)</f>
        <v>0</v>
      </c>
      <c r="F310" s="1598">
        <f>SUM(F311:F312)</f>
        <v>138750</v>
      </c>
      <c r="G310" s="1598">
        <f t="shared" si="56"/>
        <v>138750</v>
      </c>
      <c r="H310" s="1598">
        <f>SUM(H311:H312)</f>
        <v>0</v>
      </c>
      <c r="I310" s="1598">
        <f>SUM(I311:I312)</f>
        <v>138750</v>
      </c>
      <c r="J310" s="1598">
        <f t="shared" ref="J310:J359" si="73">SUM(K310:L310)</f>
        <v>16603.8</v>
      </c>
      <c r="K310" s="1598">
        <f>SUM(K311:K312)</f>
        <v>0</v>
      </c>
      <c r="L310" s="1598">
        <f>SUM(L311:L312)</f>
        <v>16603.8</v>
      </c>
      <c r="M310" s="1598">
        <f t="shared" si="72"/>
        <v>12</v>
      </c>
      <c r="N310" s="1598">
        <f t="shared" si="72"/>
        <v>0</v>
      </c>
      <c r="O310" s="1598">
        <f t="shared" si="72"/>
        <v>12</v>
      </c>
      <c r="P310" s="1598">
        <f t="shared" ref="P310:V310" si="74">SUM(P311:P312)</f>
        <v>0</v>
      </c>
      <c r="Q310" s="1598">
        <f t="shared" si="74"/>
        <v>0</v>
      </c>
      <c r="R310" s="1598">
        <f t="shared" si="74"/>
        <v>60800</v>
      </c>
      <c r="S310" s="1598">
        <f t="shared" si="74"/>
        <v>0</v>
      </c>
      <c r="T310" s="1598">
        <f t="shared" si="74"/>
        <v>60800</v>
      </c>
      <c r="U310" s="1598">
        <f t="shared" si="74"/>
        <v>60800</v>
      </c>
      <c r="V310" s="1598">
        <f t="shared" si="74"/>
        <v>0</v>
      </c>
      <c r="W310" s="1598">
        <f>W311+W312</f>
        <v>60800</v>
      </c>
      <c r="X310" s="1423">
        <f t="shared" si="68"/>
        <v>0</v>
      </c>
    </row>
    <row r="311" spans="1:24" ht="25.5" hidden="1" customHeight="1">
      <c r="A311" s="2041"/>
      <c r="B311" s="524" t="s">
        <v>263</v>
      </c>
      <c r="C311" s="1928">
        <v>10001</v>
      </c>
      <c r="D311" s="1602">
        <f>SUM(E311:F311)</f>
        <v>138050</v>
      </c>
      <c r="E311" s="1629">
        <v>0</v>
      </c>
      <c r="F311" s="1629">
        <v>138050</v>
      </c>
      <c r="G311" s="1602">
        <f t="shared" si="56"/>
        <v>138050</v>
      </c>
      <c r="H311" s="1629">
        <v>0</v>
      </c>
      <c r="I311" s="1629">
        <f>F311</f>
        <v>138050</v>
      </c>
      <c r="J311" s="1602">
        <f t="shared" si="73"/>
        <v>16585.8</v>
      </c>
      <c r="K311" s="1629">
        <v>0</v>
      </c>
      <c r="L311" s="1629">
        <v>16585.8</v>
      </c>
      <c r="M311" s="1893">
        <f t="shared" si="72"/>
        <v>12</v>
      </c>
      <c r="N311" s="1894">
        <f t="shared" si="72"/>
        <v>0</v>
      </c>
      <c r="O311" s="1894">
        <f t="shared" si="72"/>
        <v>12</v>
      </c>
      <c r="P311" s="1940"/>
      <c r="Q311" s="1593" t="s">
        <v>1103</v>
      </c>
      <c r="R311" s="1600">
        <f t="shared" ref="R311:R323" si="75">SUM(S311:T311)</f>
        <v>60000</v>
      </c>
      <c r="S311" s="1629"/>
      <c r="T311" s="1629">
        <v>60000</v>
      </c>
      <c r="U311" s="1600">
        <f t="shared" ref="U311:U323" si="76">SUM(V311:W311)</f>
        <v>60000</v>
      </c>
      <c r="V311" s="1629">
        <v>0</v>
      </c>
      <c r="W311" s="1629">
        <v>60000</v>
      </c>
      <c r="X311" s="1423">
        <f t="shared" si="68"/>
        <v>0</v>
      </c>
    </row>
    <row r="312" spans="1:24" ht="42" hidden="1" customHeight="1">
      <c r="A312" s="2041"/>
      <c r="B312" s="524" t="s">
        <v>268</v>
      </c>
      <c r="C312" s="1928">
        <v>10044</v>
      </c>
      <c r="D312" s="1602">
        <f t="shared" si="69"/>
        <v>700</v>
      </c>
      <c r="E312" s="1629">
        <v>0</v>
      </c>
      <c r="F312" s="1629">
        <f>700</f>
        <v>700</v>
      </c>
      <c r="G312" s="1602">
        <f t="shared" si="56"/>
        <v>700</v>
      </c>
      <c r="H312" s="1629">
        <v>0</v>
      </c>
      <c r="I312" s="1629">
        <v>700</v>
      </c>
      <c r="J312" s="1602">
        <f t="shared" si="73"/>
        <v>18</v>
      </c>
      <c r="K312" s="1629">
        <v>0</v>
      </c>
      <c r="L312" s="1629">
        <v>18</v>
      </c>
      <c r="M312" s="1893">
        <f t="shared" si="72"/>
        <v>2.6</v>
      </c>
      <c r="N312" s="1894">
        <f t="shared" si="72"/>
        <v>0</v>
      </c>
      <c r="O312" s="1894">
        <f t="shared" si="72"/>
        <v>2.6</v>
      </c>
      <c r="P312" s="1940"/>
      <c r="Q312" s="1593" t="s">
        <v>1103</v>
      </c>
      <c r="R312" s="1602">
        <f>SUM(S312:T312)</f>
        <v>800</v>
      </c>
      <c r="S312" s="1629">
        <v>0</v>
      </c>
      <c r="T312" s="1629">
        <v>800</v>
      </c>
      <c r="U312" s="1602">
        <f t="shared" si="76"/>
        <v>800</v>
      </c>
      <c r="V312" s="1629">
        <v>0</v>
      </c>
      <c r="W312" s="1629">
        <v>800</v>
      </c>
      <c r="X312" s="1423">
        <f t="shared" si="68"/>
        <v>0</v>
      </c>
    </row>
    <row r="313" spans="1:24" ht="40.5" hidden="1" customHeight="1">
      <c r="A313" s="2041" t="s">
        <v>249</v>
      </c>
      <c r="B313" s="1876" t="s">
        <v>1394</v>
      </c>
      <c r="C313" s="1877"/>
      <c r="D313" s="1598">
        <f t="shared" si="69"/>
        <v>2000465.6</v>
      </c>
      <c r="E313" s="1598">
        <f>E314+E322+E324+E327+E332+E329</f>
        <v>1657407.1</v>
      </c>
      <c r="F313" s="1598">
        <f>F314+F322+F324+F327+F332+F329</f>
        <v>343058.5</v>
      </c>
      <c r="G313" s="1598">
        <f>SUM(H313:I313)</f>
        <v>1995465.6</v>
      </c>
      <c r="H313" s="1598">
        <f>H314+H322+H324+H327+H332+H329</f>
        <v>1652457.1</v>
      </c>
      <c r="I313" s="1598">
        <f>I314+I322+I324+I327+I332+I329</f>
        <v>343008.5</v>
      </c>
      <c r="J313" s="1598">
        <f t="shared" si="73"/>
        <v>473878.6</v>
      </c>
      <c r="K313" s="1598">
        <f>K314+K322+K324+K327+K332+K329</f>
        <v>297626.7</v>
      </c>
      <c r="L313" s="1598">
        <f>L314+L322+L324+L327+L332+L329</f>
        <v>176251.9</v>
      </c>
      <c r="M313" s="1598">
        <f t="shared" si="72"/>
        <v>23.7</v>
      </c>
      <c r="N313" s="1598">
        <f t="shared" si="72"/>
        <v>18</v>
      </c>
      <c r="O313" s="1598">
        <f t="shared" si="72"/>
        <v>51.4</v>
      </c>
      <c r="P313" s="1599" t="s">
        <v>353</v>
      </c>
      <c r="Q313" s="1599" t="s">
        <v>353</v>
      </c>
      <c r="R313" s="1598">
        <f>SUM(S313:T313)</f>
        <v>935748</v>
      </c>
      <c r="S313" s="1598">
        <f>S314+S322+S324+S327+S332</f>
        <v>658766.30000000005</v>
      </c>
      <c r="T313" s="1598">
        <f>T314+T322+T324+T327+T332</f>
        <v>276981.7</v>
      </c>
      <c r="U313" s="1598">
        <f t="shared" si="76"/>
        <v>298643.8</v>
      </c>
      <c r="V313" s="1598">
        <f>V314+V322+V324+V327+V332</f>
        <v>15000</v>
      </c>
      <c r="W313" s="1598">
        <f>W314+W322+W324+W327+W332</f>
        <v>283643.8</v>
      </c>
      <c r="X313" s="1423">
        <f t="shared" si="68"/>
        <v>5000</v>
      </c>
    </row>
    <row r="314" spans="1:24" s="1570" customFormat="1" ht="39" hidden="1" customHeight="1">
      <c r="A314" s="2041" t="s">
        <v>250</v>
      </c>
      <c r="B314" s="1929" t="s">
        <v>1642</v>
      </c>
      <c r="C314" s="1930"/>
      <c r="D314" s="1899">
        <f t="shared" si="69"/>
        <v>574020.9</v>
      </c>
      <c r="E314" s="1931">
        <f>SUM(E315:E321)</f>
        <v>437900</v>
      </c>
      <c r="F314" s="1931">
        <f>SUM(F315:F321)</f>
        <v>136120.9</v>
      </c>
      <c r="G314" s="1899">
        <f t="shared" si="56"/>
        <v>574020.9</v>
      </c>
      <c r="H314" s="1931">
        <f>SUM(H315:H321)</f>
        <v>437900</v>
      </c>
      <c r="I314" s="1931">
        <f>SUM(I315:I321)</f>
        <v>136120.9</v>
      </c>
      <c r="J314" s="1899">
        <f t="shared" si="73"/>
        <v>54643.199999999997</v>
      </c>
      <c r="K314" s="1931">
        <f>SUM(K315:K321)</f>
        <v>51363.4</v>
      </c>
      <c r="L314" s="1931">
        <f>SUM(L315:L321)</f>
        <v>3279.8</v>
      </c>
      <c r="M314" s="1931">
        <f t="shared" si="72"/>
        <v>9.5</v>
      </c>
      <c r="N314" s="1931">
        <f t="shared" si="72"/>
        <v>11.7</v>
      </c>
      <c r="O314" s="1931">
        <f t="shared" si="72"/>
        <v>2.4</v>
      </c>
      <c r="P314" s="1940"/>
      <c r="Q314" s="1593"/>
      <c r="R314" s="1899">
        <f>SUM(S314:T314)</f>
        <v>0</v>
      </c>
      <c r="S314" s="1931">
        <f>SUM(S315:S321)</f>
        <v>0</v>
      </c>
      <c r="T314" s="1931">
        <f>SUM(T315:T321)</f>
        <v>0</v>
      </c>
      <c r="U314" s="1899">
        <f t="shared" si="76"/>
        <v>0</v>
      </c>
      <c r="V314" s="1931">
        <f>SUM(V315:V321)</f>
        <v>0</v>
      </c>
      <c r="W314" s="1931">
        <f>SUM(W315:W321)</f>
        <v>0</v>
      </c>
      <c r="X314" s="1423">
        <f t="shared" si="68"/>
        <v>0</v>
      </c>
    </row>
    <row r="315" spans="1:24" ht="45" hidden="1" customHeight="1">
      <c r="A315" s="2041">
        <f>A308+1</f>
        <v>15</v>
      </c>
      <c r="B315" s="1879" t="s">
        <v>1497</v>
      </c>
      <c r="C315" s="1880" t="s">
        <v>1543</v>
      </c>
      <c r="D315" s="1600">
        <f t="shared" si="69"/>
        <v>5804.9</v>
      </c>
      <c r="E315" s="1631">
        <v>5203.8999999999996</v>
      </c>
      <c r="F315" s="1629">
        <v>601</v>
      </c>
      <c r="G315" s="1602">
        <f t="shared" si="56"/>
        <v>5804.9</v>
      </c>
      <c r="H315" s="1631">
        <v>5203.8999999999996</v>
      </c>
      <c r="I315" s="1629">
        <f>332.5+268.5</f>
        <v>601</v>
      </c>
      <c r="J315" s="1602">
        <f t="shared" si="73"/>
        <v>300</v>
      </c>
      <c r="K315" s="1629">
        <v>282</v>
      </c>
      <c r="L315" s="1629">
        <v>18</v>
      </c>
      <c r="M315" s="1604">
        <f t="shared" si="72"/>
        <v>5.2</v>
      </c>
      <c r="N315" s="1881">
        <f t="shared" si="72"/>
        <v>5.4</v>
      </c>
      <c r="O315" s="1881">
        <f t="shared" si="72"/>
        <v>3</v>
      </c>
      <c r="P315" s="1940"/>
      <c r="Q315" s="1593"/>
      <c r="R315" s="1600">
        <f t="shared" si="75"/>
        <v>0</v>
      </c>
      <c r="S315" s="1631">
        <v>0</v>
      </c>
      <c r="T315" s="1629">
        <v>0</v>
      </c>
      <c r="U315" s="1600">
        <f t="shared" si="76"/>
        <v>0</v>
      </c>
      <c r="V315" s="1631">
        <v>0</v>
      </c>
      <c r="W315" s="1629">
        <v>0</v>
      </c>
      <c r="X315" s="1423">
        <f t="shared" si="68"/>
        <v>0</v>
      </c>
    </row>
    <row r="316" spans="1:24" ht="39.75" hidden="1" customHeight="1">
      <c r="A316" s="2041">
        <f t="shared" ref="A316:A321" si="77">A315+1</f>
        <v>16</v>
      </c>
      <c r="B316" s="1879" t="s">
        <v>1498</v>
      </c>
      <c r="C316" s="1880" t="s">
        <v>1543</v>
      </c>
      <c r="D316" s="1600">
        <f t="shared" si="69"/>
        <v>10770.1</v>
      </c>
      <c r="E316" s="1631">
        <v>9912.2999999999993</v>
      </c>
      <c r="F316" s="1629">
        <v>857.8</v>
      </c>
      <c r="G316" s="1602">
        <f t="shared" si="56"/>
        <v>10770.1</v>
      </c>
      <c r="H316" s="1631">
        <v>9912.2999999999993</v>
      </c>
      <c r="I316" s="1629">
        <f>633.3+224.5</f>
        <v>857.8</v>
      </c>
      <c r="J316" s="1602">
        <f t="shared" si="73"/>
        <v>300</v>
      </c>
      <c r="K316" s="1629">
        <v>282</v>
      </c>
      <c r="L316" s="1629">
        <v>18</v>
      </c>
      <c r="M316" s="1604">
        <f t="shared" si="72"/>
        <v>2.8</v>
      </c>
      <c r="N316" s="1881">
        <f t="shared" si="72"/>
        <v>2.8</v>
      </c>
      <c r="O316" s="1881">
        <f t="shared" si="72"/>
        <v>2.1</v>
      </c>
      <c r="P316" s="1940"/>
      <c r="Q316" s="1593"/>
      <c r="R316" s="1600">
        <f t="shared" si="75"/>
        <v>0</v>
      </c>
      <c r="S316" s="1631">
        <v>0</v>
      </c>
      <c r="T316" s="1629">
        <v>0</v>
      </c>
      <c r="U316" s="1600">
        <f t="shared" si="76"/>
        <v>0</v>
      </c>
      <c r="V316" s="1631">
        <v>0</v>
      </c>
      <c r="W316" s="1629">
        <v>0</v>
      </c>
      <c r="X316" s="1423">
        <f t="shared" si="68"/>
        <v>0</v>
      </c>
    </row>
    <row r="317" spans="1:24" ht="57" hidden="1" customHeight="1">
      <c r="A317" s="2041">
        <f t="shared" si="77"/>
        <v>17</v>
      </c>
      <c r="B317" s="1879" t="s">
        <v>1499</v>
      </c>
      <c r="C317" s="1880" t="s">
        <v>1543</v>
      </c>
      <c r="D317" s="1600">
        <f t="shared" si="69"/>
        <v>50668.2</v>
      </c>
      <c r="E317" s="1629">
        <v>47625.599999999999</v>
      </c>
      <c r="F317" s="1629">
        <v>3042.6</v>
      </c>
      <c r="G317" s="1602">
        <f t="shared" si="56"/>
        <v>50668.2</v>
      </c>
      <c r="H317" s="1629">
        <v>47625.599999999999</v>
      </c>
      <c r="I317" s="1629">
        <v>3042.6</v>
      </c>
      <c r="J317" s="1602">
        <f t="shared" si="73"/>
        <v>13704.1</v>
      </c>
      <c r="K317" s="1629">
        <f>8080.1+1623.7+2507.9+669.5</f>
        <v>12881.2</v>
      </c>
      <c r="L317" s="1629">
        <v>822.9</v>
      </c>
      <c r="M317" s="1893">
        <f t="shared" si="72"/>
        <v>27</v>
      </c>
      <c r="N317" s="1894">
        <f t="shared" si="72"/>
        <v>27</v>
      </c>
      <c r="O317" s="1894">
        <f t="shared" si="72"/>
        <v>27</v>
      </c>
      <c r="P317" s="1940"/>
      <c r="Q317" s="1593"/>
      <c r="R317" s="1600">
        <f t="shared" si="75"/>
        <v>0</v>
      </c>
      <c r="S317" s="1631">
        <v>0</v>
      </c>
      <c r="T317" s="1629">
        <v>0</v>
      </c>
      <c r="U317" s="1600">
        <f t="shared" si="76"/>
        <v>0</v>
      </c>
      <c r="V317" s="1631">
        <v>0</v>
      </c>
      <c r="W317" s="1629">
        <v>0</v>
      </c>
      <c r="X317" s="1423">
        <f t="shared" si="68"/>
        <v>0</v>
      </c>
    </row>
    <row r="318" spans="1:24" ht="58.5" hidden="1" customHeight="1">
      <c r="A318" s="2041">
        <f t="shared" si="77"/>
        <v>18</v>
      </c>
      <c r="B318" s="1879" t="s">
        <v>1500</v>
      </c>
      <c r="C318" s="1880" t="s">
        <v>1543</v>
      </c>
      <c r="D318" s="1600">
        <f t="shared" si="69"/>
        <v>19943</v>
      </c>
      <c r="E318" s="1629">
        <v>18629.8</v>
      </c>
      <c r="F318" s="1629">
        <v>1313.2</v>
      </c>
      <c r="G318" s="1602">
        <f t="shared" si="56"/>
        <v>19943</v>
      </c>
      <c r="H318" s="1629">
        <v>18629.8</v>
      </c>
      <c r="I318" s="1629">
        <f>1190.2+123</f>
        <v>1313.2</v>
      </c>
      <c r="J318" s="1602">
        <f t="shared" si="73"/>
        <v>5363.5</v>
      </c>
      <c r="K318" s="1629">
        <v>5041.3999999999996</v>
      </c>
      <c r="L318" s="1629">
        <v>322.10000000000002</v>
      </c>
      <c r="M318" s="1893">
        <f t="shared" si="72"/>
        <v>26.9</v>
      </c>
      <c r="N318" s="1894">
        <f t="shared" si="72"/>
        <v>27.1</v>
      </c>
      <c r="O318" s="1894">
        <f t="shared" si="72"/>
        <v>24.5</v>
      </c>
      <c r="P318" s="1940"/>
      <c r="Q318" s="1593"/>
      <c r="R318" s="1600">
        <f t="shared" si="75"/>
        <v>0</v>
      </c>
      <c r="S318" s="1631">
        <v>0</v>
      </c>
      <c r="T318" s="1629">
        <v>0</v>
      </c>
      <c r="U318" s="1600">
        <f t="shared" si="76"/>
        <v>0</v>
      </c>
      <c r="V318" s="1631">
        <v>0</v>
      </c>
      <c r="W318" s="1629">
        <v>0</v>
      </c>
      <c r="X318" s="1423">
        <f t="shared" si="68"/>
        <v>0</v>
      </c>
    </row>
    <row r="319" spans="1:24" ht="63.75" hidden="1" customHeight="1">
      <c r="A319" s="2041">
        <f t="shared" si="77"/>
        <v>19</v>
      </c>
      <c r="B319" s="1879" t="s">
        <v>1501</v>
      </c>
      <c r="C319" s="1880" t="s">
        <v>1505</v>
      </c>
      <c r="D319" s="1600">
        <f t="shared" si="69"/>
        <v>38330</v>
      </c>
      <c r="E319" s="1629">
        <v>36028.400000000001</v>
      </c>
      <c r="F319" s="1629">
        <v>2301.6</v>
      </c>
      <c r="G319" s="1602">
        <f t="shared" ref="G319:G328" si="78">SUM(H319:I319)</f>
        <v>38330</v>
      </c>
      <c r="H319" s="1629">
        <v>36028.400000000001</v>
      </c>
      <c r="I319" s="1629">
        <v>2301.6</v>
      </c>
      <c r="J319" s="1602">
        <f t="shared" si="73"/>
        <v>5577.5</v>
      </c>
      <c r="K319" s="1629">
        <f>3935.1+1307.5</f>
        <v>5242.6000000000004</v>
      </c>
      <c r="L319" s="1629">
        <f>251.4+83.5</f>
        <v>334.9</v>
      </c>
      <c r="M319" s="1893">
        <f t="shared" si="72"/>
        <v>14.6</v>
      </c>
      <c r="N319" s="1894">
        <f t="shared" si="72"/>
        <v>14.6</v>
      </c>
      <c r="O319" s="1894">
        <f t="shared" si="72"/>
        <v>14.6</v>
      </c>
      <c r="P319" s="1940"/>
      <c r="Q319" s="1593"/>
      <c r="R319" s="1600">
        <f t="shared" si="75"/>
        <v>0</v>
      </c>
      <c r="S319" s="1631">
        <v>0</v>
      </c>
      <c r="T319" s="1629">
        <v>0</v>
      </c>
      <c r="U319" s="1600">
        <f t="shared" si="76"/>
        <v>0</v>
      </c>
      <c r="V319" s="1631">
        <v>0</v>
      </c>
      <c r="W319" s="1629">
        <v>0</v>
      </c>
      <c r="X319" s="1423">
        <f t="shared" si="68"/>
        <v>0</v>
      </c>
    </row>
    <row r="320" spans="1:24" ht="48" hidden="1" customHeight="1">
      <c r="A320" s="2041">
        <f t="shared" si="77"/>
        <v>20</v>
      </c>
      <c r="B320" s="1879" t="s">
        <v>1502</v>
      </c>
      <c r="C320" s="1880" t="s">
        <v>1542</v>
      </c>
      <c r="D320" s="1600">
        <f t="shared" si="69"/>
        <v>98504.7</v>
      </c>
      <c r="E320" s="1629">
        <v>74778.8</v>
      </c>
      <c r="F320" s="1629">
        <v>23725.9</v>
      </c>
      <c r="G320" s="1602">
        <f t="shared" si="78"/>
        <v>98504.7</v>
      </c>
      <c r="H320" s="1629">
        <v>74778.8</v>
      </c>
      <c r="I320" s="1629">
        <v>23725.9</v>
      </c>
      <c r="J320" s="1602">
        <f t="shared" si="73"/>
        <v>29398.1</v>
      </c>
      <c r="K320" s="1629">
        <v>27634.2</v>
      </c>
      <c r="L320" s="1629">
        <v>1763.9</v>
      </c>
      <c r="M320" s="1893">
        <f t="shared" si="72"/>
        <v>29.8</v>
      </c>
      <c r="N320" s="1894">
        <f t="shared" si="72"/>
        <v>37</v>
      </c>
      <c r="O320" s="1894">
        <f t="shared" si="72"/>
        <v>7.4</v>
      </c>
      <c r="P320" s="1940"/>
      <c r="Q320" s="1593"/>
      <c r="R320" s="1600">
        <f t="shared" si="75"/>
        <v>0</v>
      </c>
      <c r="S320" s="1631">
        <v>0</v>
      </c>
      <c r="T320" s="1629">
        <v>0</v>
      </c>
      <c r="U320" s="1600">
        <f t="shared" si="76"/>
        <v>0</v>
      </c>
      <c r="V320" s="1631">
        <v>0</v>
      </c>
      <c r="W320" s="1629">
        <v>0</v>
      </c>
      <c r="X320" s="1423">
        <f t="shared" si="68"/>
        <v>0</v>
      </c>
    </row>
    <row r="321" spans="1:24" ht="39" hidden="1" customHeight="1">
      <c r="A321" s="2041">
        <f t="shared" si="77"/>
        <v>21</v>
      </c>
      <c r="B321" s="1932" t="s">
        <v>1503</v>
      </c>
      <c r="C321" s="1913" t="s">
        <v>1542</v>
      </c>
      <c r="D321" s="1600">
        <f t="shared" si="69"/>
        <v>350000</v>
      </c>
      <c r="E321" s="1629">
        <v>245721.2</v>
      </c>
      <c r="F321" s="1629">
        <f>156900-52621.2</f>
        <v>104278.8</v>
      </c>
      <c r="G321" s="1602">
        <f t="shared" si="78"/>
        <v>350000</v>
      </c>
      <c r="H321" s="1629">
        <v>245721.2</v>
      </c>
      <c r="I321" s="1629">
        <f>156900-52621.2</f>
        <v>104278.8</v>
      </c>
      <c r="J321" s="1602">
        <f t="shared" si="73"/>
        <v>0</v>
      </c>
      <c r="K321" s="1629">
        <v>0</v>
      </c>
      <c r="L321" s="1629">
        <v>0</v>
      </c>
      <c r="M321" s="1893">
        <f t="shared" si="72"/>
        <v>0</v>
      </c>
      <c r="N321" s="1894">
        <f t="shared" si="72"/>
        <v>0</v>
      </c>
      <c r="O321" s="1894">
        <f t="shared" si="72"/>
        <v>0</v>
      </c>
      <c r="P321" s="1940"/>
      <c r="Q321" s="1593"/>
      <c r="R321" s="1600">
        <f t="shared" si="75"/>
        <v>0</v>
      </c>
      <c r="S321" s="1631">
        <v>0</v>
      </c>
      <c r="T321" s="1629">
        <v>0</v>
      </c>
      <c r="U321" s="1600">
        <f t="shared" si="76"/>
        <v>0</v>
      </c>
      <c r="V321" s="1631">
        <v>0</v>
      </c>
      <c r="W321" s="1629">
        <v>0</v>
      </c>
      <c r="X321" s="1423">
        <f t="shared" si="68"/>
        <v>0</v>
      </c>
    </row>
    <row r="322" spans="1:24" ht="72" hidden="1" customHeight="1">
      <c r="A322" s="2041" t="s">
        <v>251</v>
      </c>
      <c r="B322" s="1933" t="s">
        <v>1640</v>
      </c>
      <c r="C322" s="1898"/>
      <c r="D322" s="1899">
        <f t="shared" si="69"/>
        <v>63829.8</v>
      </c>
      <c r="E322" s="1899">
        <f>E323</f>
        <v>60000</v>
      </c>
      <c r="F322" s="1899">
        <f>F323</f>
        <v>3829.8</v>
      </c>
      <c r="G322" s="1899">
        <f t="shared" si="78"/>
        <v>63829.8</v>
      </c>
      <c r="H322" s="1899">
        <f>H323</f>
        <v>60000</v>
      </c>
      <c r="I322" s="1899">
        <f>I323</f>
        <v>3829.8</v>
      </c>
      <c r="J322" s="1899">
        <f t="shared" si="73"/>
        <v>52467.5</v>
      </c>
      <c r="K322" s="1899">
        <f>K323</f>
        <v>49319.4</v>
      </c>
      <c r="L322" s="1899">
        <f>L323</f>
        <v>3148.1</v>
      </c>
      <c r="M322" s="1899">
        <f t="shared" si="72"/>
        <v>82.2</v>
      </c>
      <c r="N322" s="1899">
        <f t="shared" si="72"/>
        <v>82.2</v>
      </c>
      <c r="O322" s="1899">
        <f t="shared" si="72"/>
        <v>82.2</v>
      </c>
      <c r="P322" s="1940"/>
      <c r="Q322" s="1593"/>
      <c r="R322" s="1899">
        <f>SUM(S322:T322)</f>
        <v>55062.400000000001</v>
      </c>
      <c r="S322" s="1899">
        <f>S323</f>
        <v>51758.6</v>
      </c>
      <c r="T322" s="1899">
        <f>T323</f>
        <v>3303.8</v>
      </c>
      <c r="U322" s="1899">
        <f t="shared" si="76"/>
        <v>0</v>
      </c>
      <c r="V322" s="1899">
        <f>V323</f>
        <v>0</v>
      </c>
      <c r="W322" s="1899">
        <f>W323</f>
        <v>0</v>
      </c>
      <c r="X322" s="1423">
        <f t="shared" si="68"/>
        <v>0</v>
      </c>
    </row>
    <row r="323" spans="1:24" ht="39.75" hidden="1" customHeight="1">
      <c r="A323" s="2041">
        <f>A321+1</f>
        <v>22</v>
      </c>
      <c r="B323" s="1879" t="s">
        <v>623</v>
      </c>
      <c r="C323" s="1880" t="s">
        <v>1541</v>
      </c>
      <c r="D323" s="1600">
        <f t="shared" si="69"/>
        <v>63829.8</v>
      </c>
      <c r="E323" s="1631">
        <v>60000</v>
      </c>
      <c r="F323" s="1629">
        <v>3829.8</v>
      </c>
      <c r="G323" s="1602">
        <f t="shared" si="78"/>
        <v>63829.8</v>
      </c>
      <c r="H323" s="1631">
        <v>60000</v>
      </c>
      <c r="I323" s="1629">
        <v>3829.8</v>
      </c>
      <c r="J323" s="1602">
        <f t="shared" si="73"/>
        <v>52467.5</v>
      </c>
      <c r="K323" s="1629">
        <v>49319.4</v>
      </c>
      <c r="L323" s="1629">
        <v>3148.1</v>
      </c>
      <c r="M323" s="1604">
        <f t="shared" si="72"/>
        <v>82.2</v>
      </c>
      <c r="N323" s="1881">
        <f t="shared" si="72"/>
        <v>82.2</v>
      </c>
      <c r="O323" s="1881">
        <f t="shared" si="72"/>
        <v>82.2</v>
      </c>
      <c r="P323" s="1940"/>
      <c r="Q323" s="1593"/>
      <c r="R323" s="1600">
        <f t="shared" si="75"/>
        <v>55062.400000000001</v>
      </c>
      <c r="S323" s="1631">
        <v>51758.6</v>
      </c>
      <c r="T323" s="1629">
        <v>3303.8</v>
      </c>
      <c r="U323" s="1600">
        <f t="shared" si="76"/>
        <v>0</v>
      </c>
      <c r="V323" s="1631">
        <v>0</v>
      </c>
      <c r="W323" s="1629">
        <v>0</v>
      </c>
      <c r="X323" s="1423">
        <f t="shared" si="68"/>
        <v>0</v>
      </c>
    </row>
    <row r="324" spans="1:24" ht="56.25" hidden="1">
      <c r="A324" s="2041" t="s">
        <v>1515</v>
      </c>
      <c r="B324" s="1933" t="s">
        <v>1641</v>
      </c>
      <c r="C324" s="1898"/>
      <c r="D324" s="1899">
        <f>SUM(E324:F324)</f>
        <v>267210.90000000002</v>
      </c>
      <c r="E324" s="1899">
        <f>E326+E325</f>
        <v>114557.1</v>
      </c>
      <c r="F324" s="1899">
        <f t="shared" ref="F324:W324" si="79">F326+F325</f>
        <v>152653.79999999999</v>
      </c>
      <c r="G324" s="1899">
        <f t="shared" si="78"/>
        <v>267210.90000000002</v>
      </c>
      <c r="H324" s="1899">
        <f>H326+H325</f>
        <v>114557.1</v>
      </c>
      <c r="I324" s="1899">
        <f>I326+I325</f>
        <v>152653.79999999999</v>
      </c>
      <c r="J324" s="1899">
        <f t="shared" si="73"/>
        <v>227160.1</v>
      </c>
      <c r="K324" s="1899">
        <f>K326+K325</f>
        <v>97715.9</v>
      </c>
      <c r="L324" s="1899">
        <f>L326+L325</f>
        <v>129444.2</v>
      </c>
      <c r="M324" s="1899">
        <f t="shared" si="72"/>
        <v>85</v>
      </c>
      <c r="N324" s="1899">
        <f t="shared" si="72"/>
        <v>85.3</v>
      </c>
      <c r="O324" s="1899">
        <f t="shared" si="72"/>
        <v>84.8</v>
      </c>
      <c r="P324" s="1899">
        <f t="shared" si="79"/>
        <v>0</v>
      </c>
      <c r="Q324" s="1899">
        <f t="shared" si="79"/>
        <v>0</v>
      </c>
      <c r="R324" s="1899">
        <f t="shared" si="79"/>
        <v>0</v>
      </c>
      <c r="S324" s="1899">
        <f t="shared" si="79"/>
        <v>0</v>
      </c>
      <c r="T324" s="1899">
        <f t="shared" si="79"/>
        <v>0</v>
      </c>
      <c r="U324" s="1899">
        <f t="shared" si="79"/>
        <v>0</v>
      </c>
      <c r="V324" s="1899">
        <f t="shared" si="79"/>
        <v>0</v>
      </c>
      <c r="W324" s="1899">
        <f t="shared" si="79"/>
        <v>0</v>
      </c>
      <c r="X324" s="1423">
        <f t="shared" si="68"/>
        <v>0</v>
      </c>
    </row>
    <row r="325" spans="1:24" ht="37.5" hidden="1">
      <c r="A325" s="2041">
        <f>A323+1</f>
        <v>23</v>
      </c>
      <c r="B325" s="1934" t="s">
        <v>1649</v>
      </c>
      <c r="C325" s="1906"/>
      <c r="D325" s="1602">
        <f>SUM(E325:F325)</f>
        <v>900</v>
      </c>
      <c r="E325" s="1631">
        <v>0</v>
      </c>
      <c r="F325" s="1629">
        <v>900</v>
      </c>
      <c r="G325" s="1602">
        <f t="shared" si="78"/>
        <v>900</v>
      </c>
      <c r="H325" s="1631">
        <v>0</v>
      </c>
      <c r="I325" s="1629">
        <f>F325</f>
        <v>900</v>
      </c>
      <c r="J325" s="1602">
        <f t="shared" si="73"/>
        <v>0</v>
      </c>
      <c r="K325" s="1631">
        <v>0</v>
      </c>
      <c r="L325" s="1629">
        <v>0</v>
      </c>
      <c r="M325" s="1604">
        <f t="shared" si="72"/>
        <v>0</v>
      </c>
      <c r="N325" s="1881">
        <f t="shared" si="72"/>
        <v>0</v>
      </c>
      <c r="O325" s="1881">
        <f t="shared" si="72"/>
        <v>0</v>
      </c>
      <c r="P325" s="1940"/>
      <c r="Q325" s="1593"/>
      <c r="R325" s="1600">
        <f t="shared" ref="R325:R333" si="80">SUM(S325:T325)</f>
        <v>0</v>
      </c>
      <c r="S325" s="1631">
        <v>0</v>
      </c>
      <c r="T325" s="1629"/>
      <c r="U325" s="1600">
        <f t="shared" ref="U325:U333" si="81">SUM(V325:W325)</f>
        <v>0</v>
      </c>
      <c r="V325" s="1631">
        <v>0</v>
      </c>
      <c r="W325" s="1629"/>
    </row>
    <row r="326" spans="1:24" ht="60" hidden="1" customHeight="1">
      <c r="A326" s="2041">
        <f>A325+1</f>
        <v>24</v>
      </c>
      <c r="B326" s="1879" t="s">
        <v>1509</v>
      </c>
      <c r="C326" s="1880" t="s">
        <v>1540</v>
      </c>
      <c r="D326" s="1600">
        <f t="shared" si="69"/>
        <v>266310.90000000002</v>
      </c>
      <c r="E326" s="1631">
        <v>114557.1</v>
      </c>
      <c r="F326" s="1629">
        <v>151753.79999999999</v>
      </c>
      <c r="G326" s="1602">
        <f t="shared" si="78"/>
        <v>266310.90000000002</v>
      </c>
      <c r="H326" s="1631">
        <v>114557.1</v>
      </c>
      <c r="I326" s="1629">
        <v>151753.79999999999</v>
      </c>
      <c r="J326" s="1602">
        <f t="shared" si="73"/>
        <v>227160.1</v>
      </c>
      <c r="K326" s="1631">
        <v>97715.9</v>
      </c>
      <c r="L326" s="1629">
        <v>129444.2</v>
      </c>
      <c r="M326" s="1604">
        <f t="shared" si="72"/>
        <v>85.3</v>
      </c>
      <c r="N326" s="1881">
        <f t="shared" si="72"/>
        <v>85.3</v>
      </c>
      <c r="O326" s="1881">
        <f t="shared" si="72"/>
        <v>85.3</v>
      </c>
      <c r="P326" s="1940"/>
      <c r="Q326" s="1593"/>
      <c r="R326" s="1600">
        <f t="shared" si="80"/>
        <v>0</v>
      </c>
      <c r="S326" s="1631">
        <v>0</v>
      </c>
      <c r="T326" s="1629">
        <v>0</v>
      </c>
      <c r="U326" s="1600">
        <f t="shared" si="81"/>
        <v>0</v>
      </c>
      <c r="V326" s="1631">
        <v>0</v>
      </c>
      <c r="W326" s="1629">
        <v>0</v>
      </c>
      <c r="X326" s="1423">
        <f>D326-G326</f>
        <v>0</v>
      </c>
    </row>
    <row r="327" spans="1:24" ht="56.25" hidden="1">
      <c r="A327" s="2041" t="s">
        <v>1516</v>
      </c>
      <c r="B327" s="1897" t="s">
        <v>1513</v>
      </c>
      <c r="C327" s="1896">
        <v>10119</v>
      </c>
      <c r="D327" s="1899">
        <f t="shared" si="69"/>
        <v>0</v>
      </c>
      <c r="E327" s="1899">
        <f>E328</f>
        <v>0</v>
      </c>
      <c r="F327" s="1899">
        <f>F328</f>
        <v>0</v>
      </c>
      <c r="G327" s="1899">
        <f t="shared" si="78"/>
        <v>0</v>
      </c>
      <c r="H327" s="1899">
        <f>H328</f>
        <v>0</v>
      </c>
      <c r="I327" s="1899">
        <f>I328</f>
        <v>0</v>
      </c>
      <c r="J327" s="1899">
        <f t="shared" si="73"/>
        <v>0</v>
      </c>
      <c r="K327" s="1899">
        <f>K328</f>
        <v>0</v>
      </c>
      <c r="L327" s="1899">
        <f>L328</f>
        <v>0</v>
      </c>
      <c r="M327" s="1900">
        <f t="shared" si="72"/>
        <v>0</v>
      </c>
      <c r="N327" s="1900">
        <f t="shared" si="72"/>
        <v>0</v>
      </c>
      <c r="O327" s="1900">
        <f t="shared" si="72"/>
        <v>0</v>
      </c>
      <c r="P327" s="1593"/>
      <c r="Q327" s="1593"/>
      <c r="R327" s="1899">
        <f t="shared" si="80"/>
        <v>0</v>
      </c>
      <c r="S327" s="1899">
        <f>S328</f>
        <v>0</v>
      </c>
      <c r="T327" s="1899">
        <f>T328</f>
        <v>0</v>
      </c>
      <c r="U327" s="1899">
        <f t="shared" si="81"/>
        <v>0</v>
      </c>
      <c r="V327" s="1899">
        <f>V328</f>
        <v>0</v>
      </c>
      <c r="W327" s="1899">
        <f>W328</f>
        <v>0</v>
      </c>
    </row>
    <row r="328" spans="1:24" ht="63" hidden="1" customHeight="1">
      <c r="A328" s="2041">
        <f>A326+1</f>
        <v>25</v>
      </c>
      <c r="B328" s="1879" t="s">
        <v>1511</v>
      </c>
      <c r="C328" s="2041">
        <v>10119</v>
      </c>
      <c r="D328" s="1600">
        <f t="shared" si="69"/>
        <v>0</v>
      </c>
      <c r="E328" s="1608">
        <v>0</v>
      </c>
      <c r="F328" s="1608">
        <v>0</v>
      </c>
      <c r="G328" s="1602">
        <f t="shared" si="78"/>
        <v>0</v>
      </c>
      <c r="H328" s="1608">
        <v>0</v>
      </c>
      <c r="I328" s="1608">
        <v>0</v>
      </c>
      <c r="J328" s="1602">
        <f t="shared" si="73"/>
        <v>0</v>
      </c>
      <c r="K328" s="1608">
        <v>0</v>
      </c>
      <c r="L328" s="1608">
        <v>0</v>
      </c>
      <c r="M328" s="1604">
        <f t="shared" si="72"/>
        <v>0</v>
      </c>
      <c r="N328" s="1881">
        <f t="shared" si="72"/>
        <v>0</v>
      </c>
      <c r="O328" s="1881">
        <f t="shared" si="72"/>
        <v>0</v>
      </c>
      <c r="P328" s="1593" t="s">
        <v>1290</v>
      </c>
      <c r="Q328" s="1593" t="s">
        <v>1240</v>
      </c>
      <c r="R328" s="1600">
        <f t="shared" si="80"/>
        <v>0</v>
      </c>
      <c r="S328" s="1608">
        <v>0</v>
      </c>
      <c r="T328" s="1608">
        <v>0</v>
      </c>
      <c r="U328" s="1600">
        <f t="shared" si="81"/>
        <v>0</v>
      </c>
      <c r="V328" s="1608">
        <v>0</v>
      </c>
      <c r="W328" s="1608">
        <v>0</v>
      </c>
    </row>
    <row r="329" spans="1:24" ht="68.25" hidden="1" customHeight="1">
      <c r="A329" s="2041" t="s">
        <v>1516</v>
      </c>
      <c r="B329" s="1897" t="s">
        <v>1721</v>
      </c>
      <c r="C329" s="2041"/>
      <c r="D329" s="1899">
        <v>40404</v>
      </c>
      <c r="E329" s="1899">
        <f>E330+E331</f>
        <v>44950</v>
      </c>
      <c r="F329" s="1899">
        <f>F330+F331</f>
        <v>454</v>
      </c>
      <c r="G329" s="1899">
        <v>40404</v>
      </c>
      <c r="H329" s="1899">
        <f>H330+H331</f>
        <v>40000</v>
      </c>
      <c r="I329" s="1899">
        <f>I330+I331</f>
        <v>404</v>
      </c>
      <c r="J329" s="1899">
        <v>40404</v>
      </c>
      <c r="K329" s="1899">
        <f>K330+K331</f>
        <v>0</v>
      </c>
      <c r="L329" s="1899">
        <f>L330+L331</f>
        <v>0</v>
      </c>
      <c r="M329" s="2020">
        <f t="shared" si="72"/>
        <v>100</v>
      </c>
      <c r="N329" s="2021">
        <f t="shared" si="72"/>
        <v>0</v>
      </c>
      <c r="O329" s="2021">
        <f t="shared" si="72"/>
        <v>0</v>
      </c>
      <c r="P329" s="1593"/>
      <c r="Q329" s="1593"/>
      <c r="R329" s="1600"/>
      <c r="S329" s="1608"/>
      <c r="T329" s="1608"/>
      <c r="U329" s="1600"/>
      <c r="V329" s="1608"/>
      <c r="W329" s="1608"/>
      <c r="X329" s="1423">
        <f>D329-G329</f>
        <v>0</v>
      </c>
    </row>
    <row r="330" spans="1:24" ht="75" hidden="1" customHeight="1">
      <c r="A330" s="2041">
        <f>A326+1</f>
        <v>25</v>
      </c>
      <c r="B330" s="1934" t="s">
        <v>1772</v>
      </c>
      <c r="C330" s="2041"/>
      <c r="D330" s="2019">
        <f>E330+F330</f>
        <v>40404</v>
      </c>
      <c r="E330" s="1629">
        <v>40000</v>
      </c>
      <c r="F330" s="1609">
        <v>404</v>
      </c>
      <c r="G330" s="2019">
        <f>H330+I330</f>
        <v>40404</v>
      </c>
      <c r="H330" s="1629">
        <v>40000</v>
      </c>
      <c r="I330" s="1609">
        <v>404</v>
      </c>
      <c r="J330" s="2019">
        <f>K330+L330</f>
        <v>0</v>
      </c>
      <c r="K330" s="1629">
        <v>0</v>
      </c>
      <c r="L330" s="1616">
        <v>0</v>
      </c>
      <c r="M330" s="1604">
        <f t="shared" si="72"/>
        <v>0</v>
      </c>
      <c r="N330" s="1881">
        <f t="shared" si="72"/>
        <v>0</v>
      </c>
      <c r="O330" s="1881">
        <f t="shared" si="72"/>
        <v>0</v>
      </c>
      <c r="P330" s="1593"/>
      <c r="Q330" s="1593"/>
      <c r="R330" s="1600"/>
      <c r="S330" s="1608"/>
      <c r="T330" s="1608"/>
      <c r="U330" s="1600"/>
      <c r="V330" s="1608"/>
      <c r="W330" s="1608"/>
      <c r="X330" s="1423">
        <f>D330-G330</f>
        <v>0</v>
      </c>
    </row>
    <row r="331" spans="1:24" ht="75" hidden="1" customHeight="1">
      <c r="A331" s="2041">
        <f>A330+1</f>
        <v>26</v>
      </c>
      <c r="B331" s="1934" t="s">
        <v>1773</v>
      </c>
      <c r="C331" s="2041"/>
      <c r="D331" s="2019">
        <f>E331+F331</f>
        <v>5000</v>
      </c>
      <c r="E331" s="1629">
        <v>4950</v>
      </c>
      <c r="F331" s="1609">
        <v>50</v>
      </c>
      <c r="G331" s="2019">
        <f>H331+I331</f>
        <v>0</v>
      </c>
      <c r="H331" s="1629"/>
      <c r="I331" s="1609"/>
      <c r="J331" s="2019">
        <f>K331+L331</f>
        <v>0</v>
      </c>
      <c r="K331" s="1629"/>
      <c r="L331" s="1616"/>
      <c r="M331" s="1604">
        <f t="shared" si="72"/>
        <v>0</v>
      </c>
      <c r="N331" s="1881">
        <f t="shared" si="72"/>
        <v>0</v>
      </c>
      <c r="O331" s="1881">
        <f t="shared" si="72"/>
        <v>0</v>
      </c>
      <c r="P331" s="1593"/>
      <c r="Q331" s="1593"/>
      <c r="R331" s="1600"/>
      <c r="S331" s="1608"/>
      <c r="T331" s="1608"/>
      <c r="U331" s="1600"/>
      <c r="V331" s="1608"/>
      <c r="W331" s="1608"/>
      <c r="X331" s="1423">
        <f>D331-G331</f>
        <v>5000</v>
      </c>
    </row>
    <row r="332" spans="1:24" ht="23.25" hidden="1">
      <c r="A332" s="2041" t="s">
        <v>1636</v>
      </c>
      <c r="B332" s="1897" t="s">
        <v>529</v>
      </c>
      <c r="C332" s="1896">
        <v>10119</v>
      </c>
      <c r="D332" s="1899">
        <f t="shared" si="69"/>
        <v>1050000</v>
      </c>
      <c r="E332" s="1899">
        <f>E334+E335+E336+E337</f>
        <v>1000000</v>
      </c>
      <c r="F332" s="1899">
        <f>F334+F335+F336+F337</f>
        <v>50000</v>
      </c>
      <c r="G332" s="1899">
        <f>SUM(H332:I332)</f>
        <v>1050000</v>
      </c>
      <c r="H332" s="1899">
        <f>H334+H335+H336+H337</f>
        <v>1000000</v>
      </c>
      <c r="I332" s="1899">
        <f>I334+I335+I336+I337</f>
        <v>50000</v>
      </c>
      <c r="J332" s="1899">
        <f t="shared" si="73"/>
        <v>139607.79999999999</v>
      </c>
      <c r="K332" s="1899">
        <f>K334+K335+K336+K337</f>
        <v>99228</v>
      </c>
      <c r="L332" s="1899">
        <f>L334+L335+L336+L337</f>
        <v>40379.800000000003</v>
      </c>
      <c r="M332" s="1899">
        <f t="shared" si="72"/>
        <v>13.3</v>
      </c>
      <c r="N332" s="1899">
        <f t="shared" si="72"/>
        <v>9.9</v>
      </c>
      <c r="O332" s="1899">
        <f t="shared" si="72"/>
        <v>80.8</v>
      </c>
      <c r="P332" s="1899">
        <f>P335+P336+P333</f>
        <v>0</v>
      </c>
      <c r="Q332" s="1899">
        <f>Q335+Q336+Q333</f>
        <v>0</v>
      </c>
      <c r="R332" s="1899">
        <f t="shared" si="80"/>
        <v>880685.6</v>
      </c>
      <c r="S332" s="1899">
        <f>S335+S336+S333+S337</f>
        <v>607007.69999999995</v>
      </c>
      <c r="T332" s="1899">
        <f>T335+T336+T333+T337</f>
        <v>273677.90000000002</v>
      </c>
      <c r="U332" s="1899">
        <f t="shared" si="81"/>
        <v>298643.8</v>
      </c>
      <c r="V332" s="1899">
        <f>V335+V336+V333+V337</f>
        <v>15000</v>
      </c>
      <c r="W332" s="1899">
        <f>W335+W336+W333+W337</f>
        <v>283643.8</v>
      </c>
      <c r="X332" s="1423">
        <f>D332-G332</f>
        <v>0</v>
      </c>
    </row>
    <row r="333" spans="1:24" ht="57.75" hidden="1" customHeight="1">
      <c r="A333" s="2041"/>
      <c r="B333" s="1934" t="s">
        <v>1649</v>
      </c>
      <c r="C333" s="1906"/>
      <c r="D333" s="1602">
        <f>SUM(E333:F333)</f>
        <v>0</v>
      </c>
      <c r="E333" s="1631">
        <v>0</v>
      </c>
      <c r="F333" s="1629">
        <v>0</v>
      </c>
      <c r="G333" s="1602">
        <f>SUM(H333:I333)</f>
        <v>0</v>
      </c>
      <c r="H333" s="1631">
        <v>0</v>
      </c>
      <c r="I333" s="1629">
        <v>0</v>
      </c>
      <c r="J333" s="1602">
        <f t="shared" si="73"/>
        <v>0</v>
      </c>
      <c r="K333" s="1631">
        <v>0</v>
      </c>
      <c r="L333" s="1629">
        <v>0</v>
      </c>
      <c r="M333" s="1604">
        <f t="shared" si="72"/>
        <v>0</v>
      </c>
      <c r="N333" s="1881">
        <f t="shared" si="72"/>
        <v>0</v>
      </c>
      <c r="O333" s="1881">
        <f t="shared" si="72"/>
        <v>0</v>
      </c>
      <c r="P333" s="1940"/>
      <c r="Q333" s="1593"/>
      <c r="R333" s="1600">
        <f t="shared" si="80"/>
        <v>50000</v>
      </c>
      <c r="S333" s="1631">
        <v>0</v>
      </c>
      <c r="T333" s="1629">
        <v>50000</v>
      </c>
      <c r="U333" s="1600">
        <f t="shared" si="81"/>
        <v>50000</v>
      </c>
      <c r="V333" s="1631">
        <v>0</v>
      </c>
      <c r="W333" s="1629">
        <v>50000</v>
      </c>
    </row>
    <row r="334" spans="1:24" ht="51" hidden="1" customHeight="1">
      <c r="A334" s="2041"/>
      <c r="B334" s="1934"/>
      <c r="C334" s="1906"/>
      <c r="D334" s="1600"/>
      <c r="E334" s="1631"/>
      <c r="F334" s="1629"/>
      <c r="G334" s="1602"/>
      <c r="H334" s="1631"/>
      <c r="I334" s="1629"/>
      <c r="J334" s="1602">
        <f t="shared" si="73"/>
        <v>0</v>
      </c>
      <c r="K334" s="1631"/>
      <c r="L334" s="1629"/>
      <c r="M334" s="1604">
        <f t="shared" si="72"/>
        <v>0</v>
      </c>
      <c r="N334" s="1881">
        <f t="shared" si="72"/>
        <v>0</v>
      </c>
      <c r="O334" s="1881">
        <f t="shared" si="72"/>
        <v>0</v>
      </c>
      <c r="P334" s="1940"/>
      <c r="Q334" s="1593"/>
      <c r="R334" s="1600"/>
      <c r="S334" s="1631"/>
      <c r="T334" s="1629"/>
      <c r="U334" s="1600"/>
      <c r="V334" s="1631"/>
      <c r="W334" s="1629"/>
    </row>
    <row r="335" spans="1:24" ht="27" hidden="1" customHeight="1">
      <c r="A335" s="2041">
        <f>A331+1</f>
        <v>27</v>
      </c>
      <c r="B335" s="1934" t="s">
        <v>1606</v>
      </c>
      <c r="C335" s="1866" t="s">
        <v>1609</v>
      </c>
      <c r="D335" s="1600">
        <f t="shared" si="69"/>
        <v>100000</v>
      </c>
      <c r="E335" s="1631">
        <v>100000</v>
      </c>
      <c r="F335" s="1629">
        <v>0</v>
      </c>
      <c r="G335" s="1602">
        <f t="shared" ref="G335:G358" si="82">SUM(H335:I335)</f>
        <v>100000</v>
      </c>
      <c r="H335" s="1631">
        <v>100000</v>
      </c>
      <c r="I335" s="1629">
        <v>0</v>
      </c>
      <c r="J335" s="1602">
        <f t="shared" si="73"/>
        <v>99228</v>
      </c>
      <c r="K335" s="1631">
        <v>99228</v>
      </c>
      <c r="L335" s="1629"/>
      <c r="M335" s="1604">
        <f t="shared" si="72"/>
        <v>99.2</v>
      </c>
      <c r="N335" s="1881">
        <f t="shared" si="72"/>
        <v>99.2</v>
      </c>
      <c r="O335" s="1881">
        <f t="shared" si="72"/>
        <v>0</v>
      </c>
      <c r="P335" s="1940"/>
      <c r="Q335" s="1593"/>
      <c r="R335" s="1602">
        <f t="shared" ref="R335:R354" si="83">SUM(S335:T335)</f>
        <v>600000</v>
      </c>
      <c r="S335" s="1629">
        <v>600000</v>
      </c>
      <c r="T335" s="1862">
        <v>0</v>
      </c>
      <c r="U335" s="1602">
        <f t="shared" ref="U335:U354" si="84">SUM(V335:W335)</f>
        <v>0</v>
      </c>
      <c r="V335" s="1629">
        <v>0</v>
      </c>
      <c r="W335" s="1629">
        <v>0</v>
      </c>
      <c r="X335" s="1423">
        <f t="shared" ref="X335:X340" si="85">D335-G335</f>
        <v>0</v>
      </c>
    </row>
    <row r="336" spans="1:24" ht="37.5" hidden="1">
      <c r="A336" s="2041">
        <f>A335+1</f>
        <v>28</v>
      </c>
      <c r="B336" s="1934" t="s">
        <v>1607</v>
      </c>
      <c r="C336" s="1866">
        <v>10134</v>
      </c>
      <c r="D336" s="1600">
        <f t="shared" si="69"/>
        <v>50000</v>
      </c>
      <c r="E336" s="1631">
        <v>0</v>
      </c>
      <c r="F336" s="1629">
        <v>50000</v>
      </c>
      <c r="G336" s="1602">
        <f t="shared" si="82"/>
        <v>50000</v>
      </c>
      <c r="H336" s="1631">
        <v>0</v>
      </c>
      <c r="I336" s="1629">
        <v>50000</v>
      </c>
      <c r="J336" s="1602">
        <f t="shared" si="73"/>
        <v>40379.800000000003</v>
      </c>
      <c r="K336" s="1631"/>
      <c r="L336" s="1629">
        <v>40379.800000000003</v>
      </c>
      <c r="M336" s="1604">
        <f t="shared" si="72"/>
        <v>80.8</v>
      </c>
      <c r="N336" s="1881">
        <f t="shared" si="72"/>
        <v>0</v>
      </c>
      <c r="O336" s="1881">
        <f t="shared" si="72"/>
        <v>80.8</v>
      </c>
      <c r="P336" s="1940"/>
      <c r="Q336" s="1593"/>
      <c r="R336" s="1602">
        <f t="shared" si="83"/>
        <v>116064.7</v>
      </c>
      <c r="S336" s="1629">
        <v>0</v>
      </c>
      <c r="T336" s="1629">
        <v>116064.7</v>
      </c>
      <c r="U336" s="1602">
        <f t="shared" si="84"/>
        <v>121543.6</v>
      </c>
      <c r="V336" s="1629">
        <v>0</v>
      </c>
      <c r="W336" s="1629">
        <v>121543.6</v>
      </c>
      <c r="X336" s="1423">
        <f t="shared" si="85"/>
        <v>0</v>
      </c>
    </row>
    <row r="337" spans="1:24" ht="41.25" hidden="1" customHeight="1">
      <c r="A337" s="2041">
        <f>A336+1</f>
        <v>29</v>
      </c>
      <c r="B337" s="1934" t="s">
        <v>1730</v>
      </c>
      <c r="C337" s="1866"/>
      <c r="D337" s="1602">
        <f t="shared" si="69"/>
        <v>900000</v>
      </c>
      <c r="E337" s="1631">
        <v>900000</v>
      </c>
      <c r="F337" s="1629"/>
      <c r="G337" s="1602">
        <f t="shared" si="82"/>
        <v>900000</v>
      </c>
      <c r="H337" s="1631">
        <f>E337</f>
        <v>900000</v>
      </c>
      <c r="I337" s="1629"/>
      <c r="J337" s="1602">
        <f t="shared" si="73"/>
        <v>0</v>
      </c>
      <c r="K337" s="1631"/>
      <c r="L337" s="1629"/>
      <c r="M337" s="1604">
        <f t="shared" si="72"/>
        <v>0</v>
      </c>
      <c r="N337" s="1881">
        <f t="shared" si="72"/>
        <v>0</v>
      </c>
      <c r="O337" s="1881">
        <f t="shared" si="72"/>
        <v>0</v>
      </c>
      <c r="P337" s="1940"/>
      <c r="Q337" s="1593"/>
      <c r="R337" s="1602">
        <f t="shared" si="83"/>
        <v>114620.9</v>
      </c>
      <c r="S337" s="1629">
        <v>7007.7</v>
      </c>
      <c r="T337" s="1629">
        <v>107613.2</v>
      </c>
      <c r="U337" s="1602">
        <f t="shared" si="84"/>
        <v>127100.2</v>
      </c>
      <c r="V337" s="1629">
        <v>15000</v>
      </c>
      <c r="W337" s="1629">
        <v>112100.2</v>
      </c>
      <c r="X337" s="1423">
        <f t="shared" si="85"/>
        <v>0</v>
      </c>
    </row>
    <row r="338" spans="1:24" s="791" customFormat="1" ht="51.75" hidden="1" customHeight="1">
      <c r="A338" s="2565" t="s">
        <v>1421</v>
      </c>
      <c r="B338" s="2565"/>
      <c r="C338" s="1869"/>
      <c r="D338" s="1594">
        <f t="shared" si="69"/>
        <v>67500</v>
      </c>
      <c r="E338" s="1594">
        <f>E339+E356</f>
        <v>30000</v>
      </c>
      <c r="F338" s="1594">
        <f>SUM(F339)</f>
        <v>37500</v>
      </c>
      <c r="G338" s="1594">
        <f>SUM(H338:I338)</f>
        <v>37500</v>
      </c>
      <c r="H338" s="1594">
        <f>H339+H356</f>
        <v>0</v>
      </c>
      <c r="I338" s="1594">
        <f>SUM(I339)</f>
        <v>37500</v>
      </c>
      <c r="J338" s="1594">
        <f>SUM(K338:L338)</f>
        <v>0</v>
      </c>
      <c r="K338" s="1594">
        <f>K339+K356</f>
        <v>0</v>
      </c>
      <c r="L338" s="1594">
        <f>SUM(L339)</f>
        <v>0</v>
      </c>
      <c r="M338" s="1870">
        <f t="shared" si="72"/>
        <v>0</v>
      </c>
      <c r="N338" s="1871">
        <f t="shared" si="72"/>
        <v>0</v>
      </c>
      <c r="O338" s="1871">
        <f t="shared" si="72"/>
        <v>0</v>
      </c>
      <c r="P338" s="1940"/>
      <c r="Q338" s="1593" t="s">
        <v>1104</v>
      </c>
      <c r="R338" s="1594">
        <f t="shared" si="83"/>
        <v>0</v>
      </c>
      <c r="S338" s="1594">
        <f>S339</f>
        <v>0</v>
      </c>
      <c r="T338" s="1594">
        <f>SUM(T339)</f>
        <v>0</v>
      </c>
      <c r="U338" s="1594">
        <f t="shared" si="84"/>
        <v>0</v>
      </c>
      <c r="V338" s="1594">
        <f>V339</f>
        <v>0</v>
      </c>
      <c r="W338" s="1594">
        <f>SUM(W339)</f>
        <v>0</v>
      </c>
      <c r="X338" s="1423">
        <f t="shared" si="85"/>
        <v>30000</v>
      </c>
    </row>
    <row r="339" spans="1:24" ht="75" hidden="1">
      <c r="A339" s="2041" t="s">
        <v>6</v>
      </c>
      <c r="B339" s="1872" t="s">
        <v>439</v>
      </c>
      <c r="C339" s="1873"/>
      <c r="D339" s="1861">
        <f t="shared" si="69"/>
        <v>37500</v>
      </c>
      <c r="E339" s="1861">
        <f>SUM(E340,E353)</f>
        <v>0</v>
      </c>
      <c r="F339" s="1861">
        <f>SUM(F340,F353)</f>
        <v>37500</v>
      </c>
      <c r="G339" s="1861">
        <f t="shared" si="82"/>
        <v>37500</v>
      </c>
      <c r="H339" s="1861">
        <f>SUM(H340,H353)</f>
        <v>0</v>
      </c>
      <c r="I339" s="1861">
        <f>SUM(I340,I353)</f>
        <v>37500</v>
      </c>
      <c r="J339" s="1861">
        <f t="shared" si="73"/>
        <v>0</v>
      </c>
      <c r="K339" s="1861">
        <f>SUM(K340,K353)</f>
        <v>0</v>
      </c>
      <c r="L339" s="1861">
        <f>SUM(L340,L353)</f>
        <v>0</v>
      </c>
      <c r="M339" s="1874">
        <f t="shared" si="72"/>
        <v>0</v>
      </c>
      <c r="N339" s="1875">
        <f t="shared" si="72"/>
        <v>0</v>
      </c>
      <c r="O339" s="1875">
        <f t="shared" si="72"/>
        <v>0</v>
      </c>
      <c r="P339" s="1597" t="s">
        <v>353</v>
      </c>
      <c r="Q339" s="1597" t="s">
        <v>353</v>
      </c>
      <c r="R339" s="1861">
        <f t="shared" si="83"/>
        <v>0</v>
      </c>
      <c r="S339" s="1861">
        <f>SUM(S340,S353)</f>
        <v>0</v>
      </c>
      <c r="T339" s="1861">
        <f>SUM(T340,T353)</f>
        <v>0</v>
      </c>
      <c r="U339" s="1861">
        <f t="shared" si="84"/>
        <v>0</v>
      </c>
      <c r="V339" s="1861">
        <f>SUM(V340,V353)</f>
        <v>0</v>
      </c>
      <c r="W339" s="1861">
        <f>SUM(W340,W353)</f>
        <v>0</v>
      </c>
      <c r="X339" s="1423">
        <f t="shared" si="85"/>
        <v>0</v>
      </c>
    </row>
    <row r="340" spans="1:24" ht="23.25" hidden="1">
      <c r="A340" s="2041" t="s">
        <v>253</v>
      </c>
      <c r="B340" s="1876" t="s">
        <v>1393</v>
      </c>
      <c r="C340" s="1877"/>
      <c r="D340" s="1598">
        <f t="shared" si="69"/>
        <v>23000</v>
      </c>
      <c r="E340" s="1598">
        <f>SUM(E351,E345+E341+E343+E347+E349)</f>
        <v>0</v>
      </c>
      <c r="F340" s="1598">
        <f>SUM(F351,F345+F341+F343+F347+F349)</f>
        <v>23000</v>
      </c>
      <c r="G340" s="1598">
        <f t="shared" si="82"/>
        <v>23000</v>
      </c>
      <c r="H340" s="1598">
        <f>SUM(H351,H345+H341+H343+H347+H349)</f>
        <v>0</v>
      </c>
      <c r="I340" s="1598">
        <f>SUM(I351,I345+I341+I343+I347+I349)</f>
        <v>23000</v>
      </c>
      <c r="J340" s="1598">
        <f t="shared" si="73"/>
        <v>0</v>
      </c>
      <c r="K340" s="1598">
        <f>SUM(K351,K345+K341+K343+K347+K349)</f>
        <v>0</v>
      </c>
      <c r="L340" s="1598">
        <f>SUM(L351,L345+L341+L343+L347+L349)</f>
        <v>0</v>
      </c>
      <c r="M340" s="1598">
        <f t="shared" si="72"/>
        <v>0</v>
      </c>
      <c r="N340" s="1598">
        <f t="shared" si="72"/>
        <v>0</v>
      </c>
      <c r="O340" s="1598">
        <f t="shared" si="72"/>
        <v>0</v>
      </c>
      <c r="P340" s="1599" t="s">
        <v>353</v>
      </c>
      <c r="Q340" s="1599" t="s">
        <v>353</v>
      </c>
      <c r="R340" s="1598">
        <f t="shared" si="83"/>
        <v>0</v>
      </c>
      <c r="S340" s="1598">
        <f>SUM(S351,S345+S341+S343+S347+S349)</f>
        <v>0</v>
      </c>
      <c r="T340" s="1598">
        <f>SUM(T351,T345+T341+T343+T347+T349)</f>
        <v>0</v>
      </c>
      <c r="U340" s="1598">
        <f t="shared" si="84"/>
        <v>0</v>
      </c>
      <c r="V340" s="1598">
        <f>SUM(V351,V345+V341+V343+V347+V349)</f>
        <v>0</v>
      </c>
      <c r="W340" s="1598">
        <f>SUM(W351,W345+W341+W343+W347+W349)</f>
        <v>0</v>
      </c>
      <c r="X340" s="1423">
        <f t="shared" si="85"/>
        <v>0</v>
      </c>
    </row>
    <row r="341" spans="1:24" s="484" customFormat="1" hidden="1">
      <c r="A341" s="2041"/>
      <c r="B341" s="1935" t="s">
        <v>46</v>
      </c>
      <c r="C341" s="1906"/>
      <c r="D341" s="1602">
        <f t="shared" si="69"/>
        <v>0</v>
      </c>
      <c r="E341" s="1603">
        <f>SUM(E342)</f>
        <v>0</v>
      </c>
      <c r="F341" s="1603">
        <f>SUM(F342)</f>
        <v>0</v>
      </c>
      <c r="G341" s="1602">
        <f t="shared" si="82"/>
        <v>0</v>
      </c>
      <c r="H341" s="1603">
        <f>SUM(H342)</f>
        <v>0</v>
      </c>
      <c r="I341" s="1603">
        <f>SUM(I342)</f>
        <v>0</v>
      </c>
      <c r="J341" s="1602">
        <f t="shared" si="73"/>
        <v>0</v>
      </c>
      <c r="K341" s="1603">
        <f>SUM(K342)</f>
        <v>0</v>
      </c>
      <c r="L341" s="1603">
        <f>SUM(L342)</f>
        <v>0</v>
      </c>
      <c r="M341" s="1604">
        <f t="shared" si="72"/>
        <v>0</v>
      </c>
      <c r="N341" s="1881">
        <f t="shared" si="72"/>
        <v>0</v>
      </c>
      <c r="O341" s="1881">
        <f t="shared" si="72"/>
        <v>0</v>
      </c>
      <c r="P341" s="1593"/>
      <c r="Q341" s="1593"/>
      <c r="R341" s="1602">
        <f t="shared" si="83"/>
        <v>0</v>
      </c>
      <c r="S341" s="1603">
        <f>SUM(S342)</f>
        <v>0</v>
      </c>
      <c r="T341" s="1603">
        <f>SUM(T342)</f>
        <v>0</v>
      </c>
      <c r="U341" s="1602">
        <f t="shared" si="84"/>
        <v>0</v>
      </c>
      <c r="V341" s="1603">
        <f>SUM(V342)</f>
        <v>0</v>
      </c>
      <c r="W341" s="1603">
        <f>SUM(W342)</f>
        <v>0</v>
      </c>
    </row>
    <row r="342" spans="1:24" s="484" customFormat="1" ht="56.25" hidden="1">
      <c r="A342" s="2041">
        <v>1</v>
      </c>
      <c r="B342" s="1905" t="s">
        <v>1677</v>
      </c>
      <c r="C342" s="1866">
        <v>24381</v>
      </c>
      <c r="D342" s="1602">
        <f t="shared" si="69"/>
        <v>0</v>
      </c>
      <c r="E342" s="1616">
        <v>0</v>
      </c>
      <c r="F342" s="1616">
        <v>0</v>
      </c>
      <c r="G342" s="1602">
        <f t="shared" si="82"/>
        <v>0</v>
      </c>
      <c r="H342" s="1616">
        <v>0</v>
      </c>
      <c r="I342" s="1616">
        <v>0</v>
      </c>
      <c r="J342" s="1602">
        <f t="shared" si="73"/>
        <v>0</v>
      </c>
      <c r="K342" s="1616">
        <v>0</v>
      </c>
      <c r="L342" s="1616"/>
      <c r="M342" s="1604">
        <f t="shared" si="72"/>
        <v>0</v>
      </c>
      <c r="N342" s="1881">
        <f t="shared" si="72"/>
        <v>0</v>
      </c>
      <c r="O342" s="1881">
        <f t="shared" si="72"/>
        <v>0</v>
      </c>
      <c r="P342" s="1593"/>
      <c r="Q342" s="1593"/>
      <c r="R342" s="1602">
        <f t="shared" si="83"/>
        <v>0</v>
      </c>
      <c r="S342" s="1600"/>
      <c r="T342" s="1600"/>
      <c r="U342" s="1602">
        <f t="shared" si="84"/>
        <v>0</v>
      </c>
      <c r="V342" s="1600"/>
      <c r="W342" s="1600"/>
    </row>
    <row r="343" spans="1:24" s="484" customFormat="1" ht="23.25" hidden="1">
      <c r="A343" s="2041"/>
      <c r="B343" s="1935" t="s">
        <v>583</v>
      </c>
      <c r="C343" s="1906"/>
      <c r="D343" s="1602">
        <f t="shared" si="69"/>
        <v>3500</v>
      </c>
      <c r="E343" s="1603">
        <f>SUM(E344)</f>
        <v>0</v>
      </c>
      <c r="F343" s="1603">
        <f>SUM(F344)</f>
        <v>3500</v>
      </c>
      <c r="G343" s="1602">
        <f t="shared" si="82"/>
        <v>3500</v>
      </c>
      <c r="H343" s="1603">
        <f>SUM(H344)</f>
        <v>0</v>
      </c>
      <c r="I343" s="1603">
        <f>SUM(I344)</f>
        <v>3500</v>
      </c>
      <c r="J343" s="1602">
        <f t="shared" si="73"/>
        <v>0</v>
      </c>
      <c r="K343" s="1603">
        <f>SUM(K344)</f>
        <v>0</v>
      </c>
      <c r="L343" s="1603">
        <f>SUM(L344)</f>
        <v>0</v>
      </c>
      <c r="M343" s="1604">
        <f t="shared" si="72"/>
        <v>0</v>
      </c>
      <c r="N343" s="1881">
        <f t="shared" si="72"/>
        <v>0</v>
      </c>
      <c r="O343" s="1881">
        <f t="shared" si="72"/>
        <v>0</v>
      </c>
      <c r="P343" s="1593"/>
      <c r="Q343" s="1593"/>
      <c r="R343" s="1602">
        <f t="shared" si="83"/>
        <v>0</v>
      </c>
      <c r="S343" s="1603">
        <f>SUM(S344)</f>
        <v>0</v>
      </c>
      <c r="T343" s="1603">
        <f>SUM(T344)</f>
        <v>0</v>
      </c>
      <c r="U343" s="1602">
        <f t="shared" si="84"/>
        <v>0</v>
      </c>
      <c r="V343" s="1603">
        <f>SUM(V344)</f>
        <v>0</v>
      </c>
      <c r="W343" s="1603">
        <f>SUM(W344)</f>
        <v>0</v>
      </c>
      <c r="X343" s="1423">
        <f t="shared" ref="X343:X380" si="86">D343-G343</f>
        <v>0</v>
      </c>
    </row>
    <row r="344" spans="1:24" s="484" customFormat="1" ht="37.5" hidden="1">
      <c r="A344" s="2041">
        <f>A342+1</f>
        <v>2</v>
      </c>
      <c r="B344" s="1905" t="s">
        <v>1579</v>
      </c>
      <c r="C344" s="1906"/>
      <c r="D344" s="1602">
        <f t="shared" si="69"/>
        <v>3500</v>
      </c>
      <c r="E344" s="1616">
        <v>0</v>
      </c>
      <c r="F344" s="1616">
        <v>3500</v>
      </c>
      <c r="G344" s="1602">
        <f t="shared" si="82"/>
        <v>3500</v>
      </c>
      <c r="H344" s="1616">
        <v>0</v>
      </c>
      <c r="I344" s="1616">
        <v>3500</v>
      </c>
      <c r="J344" s="1602">
        <f t="shared" si="73"/>
        <v>0</v>
      </c>
      <c r="K344" s="1616">
        <v>0</v>
      </c>
      <c r="L344" s="1616"/>
      <c r="M344" s="1604">
        <f t="shared" si="72"/>
        <v>0</v>
      </c>
      <c r="N344" s="1881">
        <f t="shared" si="72"/>
        <v>0</v>
      </c>
      <c r="O344" s="1881">
        <f t="shared" si="72"/>
        <v>0</v>
      </c>
      <c r="P344" s="1593"/>
      <c r="Q344" s="1593"/>
      <c r="R344" s="1602">
        <f t="shared" si="83"/>
        <v>0</v>
      </c>
      <c r="S344" s="1616">
        <v>0</v>
      </c>
      <c r="T344" s="1616">
        <v>0</v>
      </c>
      <c r="U344" s="1602">
        <f t="shared" si="84"/>
        <v>0</v>
      </c>
      <c r="V344" s="1616">
        <v>0</v>
      </c>
      <c r="W344" s="1616">
        <v>0</v>
      </c>
      <c r="X344" s="1423">
        <f t="shared" si="86"/>
        <v>0</v>
      </c>
    </row>
    <row r="345" spans="1:24" ht="23.25" hidden="1">
      <c r="A345" s="2041"/>
      <c r="B345" s="2040" t="s">
        <v>68</v>
      </c>
      <c r="C345" s="2041"/>
      <c r="D345" s="1602">
        <f t="shared" si="69"/>
        <v>2500</v>
      </c>
      <c r="E345" s="1603">
        <f>SUM(E346)</f>
        <v>0</v>
      </c>
      <c r="F345" s="1603">
        <f>SUM(F346)</f>
        <v>2500</v>
      </c>
      <c r="G345" s="1602">
        <f t="shared" si="82"/>
        <v>2500</v>
      </c>
      <c r="H345" s="1603">
        <f>SUM(H346)</f>
        <v>0</v>
      </c>
      <c r="I345" s="1603">
        <f>SUM(I346)</f>
        <v>2500</v>
      </c>
      <c r="J345" s="1602">
        <f t="shared" si="73"/>
        <v>0</v>
      </c>
      <c r="K345" s="1603">
        <f>SUM(K346)</f>
        <v>0</v>
      </c>
      <c r="L345" s="1603">
        <f>SUM(L346)</f>
        <v>0</v>
      </c>
      <c r="M345" s="1604">
        <f t="shared" si="72"/>
        <v>0</v>
      </c>
      <c r="N345" s="1881">
        <f t="shared" si="72"/>
        <v>0</v>
      </c>
      <c r="O345" s="1881">
        <f t="shared" si="72"/>
        <v>0</v>
      </c>
      <c r="P345" s="1940"/>
      <c r="Q345" s="1593"/>
      <c r="R345" s="1602">
        <f t="shared" si="83"/>
        <v>0</v>
      </c>
      <c r="S345" s="1603">
        <f>SUM(S346)</f>
        <v>0</v>
      </c>
      <c r="T345" s="1603">
        <f>SUM(T346)</f>
        <v>0</v>
      </c>
      <c r="U345" s="1602">
        <f t="shared" si="84"/>
        <v>0</v>
      </c>
      <c r="V345" s="1603">
        <f>SUM(V346)</f>
        <v>0</v>
      </c>
      <c r="W345" s="1603">
        <f>SUM(W346)</f>
        <v>0</v>
      </c>
      <c r="X345" s="1423">
        <f t="shared" si="86"/>
        <v>0</v>
      </c>
    </row>
    <row r="346" spans="1:24" ht="37.5" hidden="1">
      <c r="A346" s="2041">
        <f>A344+1</f>
        <v>3</v>
      </c>
      <c r="B346" s="1879" t="s">
        <v>1422</v>
      </c>
      <c r="C346" s="2041"/>
      <c r="D346" s="1602">
        <f t="shared" si="69"/>
        <v>2500</v>
      </c>
      <c r="E346" s="1616">
        <v>0</v>
      </c>
      <c r="F346" s="1616">
        <v>2500</v>
      </c>
      <c r="G346" s="1602">
        <f t="shared" si="82"/>
        <v>2500</v>
      </c>
      <c r="H346" s="1616">
        <v>0</v>
      </c>
      <c r="I346" s="1616">
        <v>2500</v>
      </c>
      <c r="J346" s="1602">
        <f t="shared" si="73"/>
        <v>0</v>
      </c>
      <c r="K346" s="1616">
        <v>0</v>
      </c>
      <c r="L346" s="1616"/>
      <c r="M346" s="1604">
        <f t="shared" si="72"/>
        <v>0</v>
      </c>
      <c r="N346" s="1881">
        <f t="shared" si="72"/>
        <v>0</v>
      </c>
      <c r="O346" s="1881">
        <f t="shared" si="72"/>
        <v>0</v>
      </c>
      <c r="P346" s="1940"/>
      <c r="Q346" s="1593"/>
      <c r="R346" s="1602">
        <f t="shared" si="83"/>
        <v>0</v>
      </c>
      <c r="S346" s="1616"/>
      <c r="T346" s="1616"/>
      <c r="U346" s="1602">
        <f t="shared" si="84"/>
        <v>0</v>
      </c>
      <c r="V346" s="1616"/>
      <c r="W346" s="1616"/>
      <c r="X346" s="1423">
        <f t="shared" si="86"/>
        <v>0</v>
      </c>
    </row>
    <row r="347" spans="1:24" ht="23.25" hidden="1">
      <c r="A347" s="2041"/>
      <c r="B347" s="2040" t="s">
        <v>431</v>
      </c>
      <c r="C347" s="2041"/>
      <c r="D347" s="1602">
        <f t="shared" si="69"/>
        <v>4000</v>
      </c>
      <c r="E347" s="1603">
        <f>SUM(E348)</f>
        <v>0</v>
      </c>
      <c r="F347" s="1603">
        <f>SUM(F348)</f>
        <v>4000</v>
      </c>
      <c r="G347" s="1602">
        <f t="shared" si="82"/>
        <v>4000</v>
      </c>
      <c r="H347" s="1603">
        <f>SUM(H348)</f>
        <v>0</v>
      </c>
      <c r="I347" s="1603">
        <f>SUM(I348)</f>
        <v>4000</v>
      </c>
      <c r="J347" s="1602">
        <f t="shared" si="73"/>
        <v>0</v>
      </c>
      <c r="K347" s="1603">
        <f>SUM(K348)</f>
        <v>0</v>
      </c>
      <c r="L347" s="1603">
        <f>SUM(L348)</f>
        <v>0</v>
      </c>
      <c r="M347" s="1604">
        <f t="shared" si="72"/>
        <v>0</v>
      </c>
      <c r="N347" s="1881">
        <f t="shared" si="72"/>
        <v>0</v>
      </c>
      <c r="O347" s="1881">
        <f t="shared" si="72"/>
        <v>0</v>
      </c>
      <c r="P347" s="1940"/>
      <c r="Q347" s="1593"/>
      <c r="R347" s="1602">
        <f t="shared" si="83"/>
        <v>0</v>
      </c>
      <c r="S347" s="1603">
        <f>SUM(S348)</f>
        <v>0</v>
      </c>
      <c r="T347" s="1603">
        <f>SUM(T348)</f>
        <v>0</v>
      </c>
      <c r="U347" s="1602">
        <f t="shared" si="84"/>
        <v>0</v>
      </c>
      <c r="V347" s="1603">
        <f>SUM(V348)</f>
        <v>0</v>
      </c>
      <c r="W347" s="1603">
        <f>SUM(W348)</f>
        <v>0</v>
      </c>
      <c r="X347" s="1423">
        <f t="shared" si="86"/>
        <v>0</v>
      </c>
    </row>
    <row r="348" spans="1:24" ht="37.5" hidden="1">
      <c r="A348" s="2041">
        <f>A346+1</f>
        <v>4</v>
      </c>
      <c r="B348" s="1879" t="s">
        <v>1580</v>
      </c>
      <c r="C348" s="2041"/>
      <c r="D348" s="1602">
        <f t="shared" si="69"/>
        <v>4000</v>
      </c>
      <c r="E348" s="1616">
        <v>0</v>
      </c>
      <c r="F348" s="1616">
        <v>4000</v>
      </c>
      <c r="G348" s="1602">
        <f t="shared" si="82"/>
        <v>4000</v>
      </c>
      <c r="H348" s="1616">
        <v>0</v>
      </c>
      <c r="I348" s="1616">
        <v>4000</v>
      </c>
      <c r="J348" s="1602">
        <f t="shared" si="73"/>
        <v>0</v>
      </c>
      <c r="K348" s="1616">
        <v>0</v>
      </c>
      <c r="L348" s="1616"/>
      <c r="M348" s="1604">
        <f t="shared" si="72"/>
        <v>0</v>
      </c>
      <c r="N348" s="1881">
        <f t="shared" si="72"/>
        <v>0</v>
      </c>
      <c r="O348" s="1881">
        <f t="shared" si="72"/>
        <v>0</v>
      </c>
      <c r="P348" s="1940"/>
      <c r="Q348" s="1593"/>
      <c r="R348" s="1602">
        <f t="shared" si="83"/>
        <v>0</v>
      </c>
      <c r="S348" s="1616">
        <v>0</v>
      </c>
      <c r="T348" s="1616">
        <v>0</v>
      </c>
      <c r="U348" s="1602">
        <f t="shared" si="84"/>
        <v>0</v>
      </c>
      <c r="V348" s="1616">
        <v>0</v>
      </c>
      <c r="W348" s="1616">
        <v>0</v>
      </c>
      <c r="X348" s="1423">
        <f t="shared" si="86"/>
        <v>0</v>
      </c>
    </row>
    <row r="349" spans="1:24" ht="23.25" hidden="1">
      <c r="A349" s="2041"/>
      <c r="B349" s="2040" t="s">
        <v>90</v>
      </c>
      <c r="C349" s="2041"/>
      <c r="D349" s="1602">
        <f t="shared" si="69"/>
        <v>3000</v>
      </c>
      <c r="E349" s="1603">
        <f>SUM(E350)</f>
        <v>0</v>
      </c>
      <c r="F349" s="1603">
        <f>SUM(F350)</f>
        <v>3000</v>
      </c>
      <c r="G349" s="1602">
        <f t="shared" si="82"/>
        <v>3000</v>
      </c>
      <c r="H349" s="1603">
        <f>SUM(H350)</f>
        <v>0</v>
      </c>
      <c r="I349" s="1603">
        <f>SUM(I350)</f>
        <v>3000</v>
      </c>
      <c r="J349" s="1602">
        <f t="shared" si="73"/>
        <v>0</v>
      </c>
      <c r="K349" s="1603">
        <f>SUM(K350)</f>
        <v>0</v>
      </c>
      <c r="L349" s="1603">
        <f>SUM(L350)</f>
        <v>0</v>
      </c>
      <c r="M349" s="1604">
        <f t="shared" si="72"/>
        <v>0</v>
      </c>
      <c r="N349" s="1881">
        <f t="shared" si="72"/>
        <v>0</v>
      </c>
      <c r="O349" s="1881">
        <f t="shared" si="72"/>
        <v>0</v>
      </c>
      <c r="P349" s="1940"/>
      <c r="Q349" s="1593"/>
      <c r="R349" s="1602">
        <f t="shared" si="83"/>
        <v>0</v>
      </c>
      <c r="S349" s="1603">
        <f>SUM(S350)</f>
        <v>0</v>
      </c>
      <c r="T349" s="1603">
        <f>SUM(T350)</f>
        <v>0</v>
      </c>
      <c r="U349" s="1602">
        <f t="shared" si="84"/>
        <v>0</v>
      </c>
      <c r="V349" s="1603">
        <f>SUM(V350)</f>
        <v>0</v>
      </c>
      <c r="W349" s="1603">
        <f>SUM(W350)</f>
        <v>0</v>
      </c>
      <c r="X349" s="1423">
        <f t="shared" si="86"/>
        <v>0</v>
      </c>
    </row>
    <row r="350" spans="1:24" ht="42.75" hidden="1" customHeight="1">
      <c r="A350" s="2041">
        <f>A348+1</f>
        <v>5</v>
      </c>
      <c r="B350" s="1879" t="s">
        <v>1581</v>
      </c>
      <c r="C350" s="2041"/>
      <c r="D350" s="1602">
        <f t="shared" si="69"/>
        <v>3000</v>
      </c>
      <c r="E350" s="1616">
        <v>0</v>
      </c>
      <c r="F350" s="1616">
        <v>3000</v>
      </c>
      <c r="G350" s="1602">
        <f t="shared" si="82"/>
        <v>3000</v>
      </c>
      <c r="H350" s="1616">
        <v>0</v>
      </c>
      <c r="I350" s="1616">
        <v>3000</v>
      </c>
      <c r="J350" s="1602">
        <f t="shared" si="73"/>
        <v>0</v>
      </c>
      <c r="K350" s="1616">
        <v>0</v>
      </c>
      <c r="L350" s="1616"/>
      <c r="M350" s="1604">
        <f t="shared" si="72"/>
        <v>0</v>
      </c>
      <c r="N350" s="1881">
        <f t="shared" si="72"/>
        <v>0</v>
      </c>
      <c r="O350" s="1881">
        <f t="shared" si="72"/>
        <v>0</v>
      </c>
      <c r="P350" s="1940"/>
      <c r="Q350" s="1593"/>
      <c r="R350" s="1602">
        <f t="shared" si="83"/>
        <v>0</v>
      </c>
      <c r="S350" s="1616">
        <v>0</v>
      </c>
      <c r="T350" s="1616"/>
      <c r="U350" s="1602">
        <f t="shared" si="84"/>
        <v>0</v>
      </c>
      <c r="V350" s="1616">
        <v>0</v>
      </c>
      <c r="W350" s="1616">
        <v>0</v>
      </c>
      <c r="X350" s="1423">
        <f t="shared" si="86"/>
        <v>0</v>
      </c>
    </row>
    <row r="351" spans="1:24" ht="23.25" hidden="1">
      <c r="A351" s="2041"/>
      <c r="B351" s="2040" t="s">
        <v>457</v>
      </c>
      <c r="C351" s="2041">
        <v>24371</v>
      </c>
      <c r="D351" s="1602">
        <f t="shared" si="69"/>
        <v>10000</v>
      </c>
      <c r="E351" s="1603">
        <f>SUM(E352)</f>
        <v>0</v>
      </c>
      <c r="F351" s="1603">
        <f>SUM(F352)</f>
        <v>10000</v>
      </c>
      <c r="G351" s="1602">
        <f t="shared" si="82"/>
        <v>10000</v>
      </c>
      <c r="H351" s="1603">
        <f>SUM(H352)</f>
        <v>0</v>
      </c>
      <c r="I351" s="1603">
        <f>SUM(I352)</f>
        <v>10000</v>
      </c>
      <c r="J351" s="1602">
        <f t="shared" si="73"/>
        <v>0</v>
      </c>
      <c r="K351" s="1603">
        <f>SUM(K352)</f>
        <v>0</v>
      </c>
      <c r="L351" s="1603">
        <f>SUM(L352)</f>
        <v>0</v>
      </c>
      <c r="M351" s="1604">
        <f t="shared" si="72"/>
        <v>0</v>
      </c>
      <c r="N351" s="1881">
        <f t="shared" si="72"/>
        <v>0</v>
      </c>
      <c r="O351" s="1881">
        <f t="shared" si="72"/>
        <v>0</v>
      </c>
      <c r="P351" s="1940"/>
      <c r="Q351" s="1593"/>
      <c r="R351" s="1602">
        <f t="shared" si="83"/>
        <v>0</v>
      </c>
      <c r="S351" s="1603">
        <f>SUM(S352)</f>
        <v>0</v>
      </c>
      <c r="T351" s="1603">
        <f>SUM(T352)</f>
        <v>0</v>
      </c>
      <c r="U351" s="1602">
        <f t="shared" si="84"/>
        <v>0</v>
      </c>
      <c r="V351" s="1603">
        <f>SUM(V352)</f>
        <v>0</v>
      </c>
      <c r="W351" s="1603">
        <f>SUM(W352)</f>
        <v>0</v>
      </c>
      <c r="X351" s="1423">
        <f t="shared" si="86"/>
        <v>0</v>
      </c>
    </row>
    <row r="352" spans="1:24" ht="85.5" hidden="1" customHeight="1">
      <c r="A352" s="2041">
        <f>A350+1</f>
        <v>6</v>
      </c>
      <c r="B352" s="1879" t="s">
        <v>1424</v>
      </c>
      <c r="C352" s="2041">
        <v>24371</v>
      </c>
      <c r="D352" s="1602">
        <f t="shared" si="69"/>
        <v>10000</v>
      </c>
      <c r="E352" s="1616">
        <v>0</v>
      </c>
      <c r="F352" s="1616">
        <v>10000</v>
      </c>
      <c r="G352" s="1602">
        <f t="shared" si="82"/>
        <v>10000</v>
      </c>
      <c r="H352" s="1616">
        <v>0</v>
      </c>
      <c r="I352" s="1616">
        <v>10000</v>
      </c>
      <c r="J352" s="1602">
        <f t="shared" si="73"/>
        <v>0</v>
      </c>
      <c r="K352" s="1616">
        <v>0</v>
      </c>
      <c r="L352" s="1616"/>
      <c r="M352" s="1604">
        <f t="shared" si="72"/>
        <v>0</v>
      </c>
      <c r="N352" s="1881">
        <f t="shared" si="72"/>
        <v>0</v>
      </c>
      <c r="O352" s="1881">
        <f t="shared" si="72"/>
        <v>0</v>
      </c>
      <c r="P352" s="1940"/>
      <c r="Q352" s="1593"/>
      <c r="R352" s="1602">
        <f t="shared" si="83"/>
        <v>0</v>
      </c>
      <c r="S352" s="1616">
        <v>0</v>
      </c>
      <c r="T352" s="1616">
        <v>0</v>
      </c>
      <c r="U352" s="1602">
        <f t="shared" si="84"/>
        <v>0</v>
      </c>
      <c r="V352" s="1616">
        <v>0</v>
      </c>
      <c r="W352" s="1616">
        <v>0</v>
      </c>
      <c r="X352" s="1423">
        <f t="shared" si="86"/>
        <v>0</v>
      </c>
    </row>
    <row r="353" spans="1:24" ht="23.25" hidden="1">
      <c r="A353" s="2041" t="s">
        <v>254</v>
      </c>
      <c r="B353" s="1876" t="s">
        <v>1394</v>
      </c>
      <c r="C353" s="1936">
        <v>24372</v>
      </c>
      <c r="D353" s="1598">
        <f t="shared" si="69"/>
        <v>14500</v>
      </c>
      <c r="E353" s="1598">
        <f>E354</f>
        <v>0</v>
      </c>
      <c r="F353" s="1598">
        <f>F354</f>
        <v>14500</v>
      </c>
      <c r="G353" s="1598">
        <f t="shared" si="82"/>
        <v>14500</v>
      </c>
      <c r="H353" s="1598">
        <f>H354</f>
        <v>0</v>
      </c>
      <c r="I353" s="1598">
        <f>I354</f>
        <v>14500</v>
      </c>
      <c r="J353" s="1598">
        <f t="shared" si="73"/>
        <v>0</v>
      </c>
      <c r="K353" s="1598">
        <f>K354</f>
        <v>0</v>
      </c>
      <c r="L353" s="1598">
        <f>L354</f>
        <v>0</v>
      </c>
      <c r="M353" s="1937">
        <f t="shared" si="72"/>
        <v>0</v>
      </c>
      <c r="N353" s="1938">
        <f t="shared" si="72"/>
        <v>0</v>
      </c>
      <c r="O353" s="1938">
        <f t="shared" si="72"/>
        <v>0</v>
      </c>
      <c r="P353" s="1599" t="s">
        <v>353</v>
      </c>
      <c r="Q353" s="1599" t="s">
        <v>353</v>
      </c>
      <c r="R353" s="1598">
        <f t="shared" si="83"/>
        <v>0</v>
      </c>
      <c r="S353" s="1598">
        <f>S354</f>
        <v>0</v>
      </c>
      <c r="T353" s="1598">
        <f>T354</f>
        <v>0</v>
      </c>
      <c r="U353" s="1598">
        <f t="shared" si="84"/>
        <v>0</v>
      </c>
      <c r="V353" s="1598">
        <f>V354</f>
        <v>0</v>
      </c>
      <c r="W353" s="1598">
        <f>W354</f>
        <v>0</v>
      </c>
      <c r="X353" s="1423">
        <f t="shared" si="86"/>
        <v>0</v>
      </c>
    </row>
    <row r="354" spans="1:24" ht="23.25" hidden="1">
      <c r="A354" s="2041"/>
      <c r="B354" s="2040" t="s">
        <v>615</v>
      </c>
      <c r="C354" s="2042"/>
      <c r="D354" s="1602">
        <f t="shared" si="69"/>
        <v>14500</v>
      </c>
      <c r="E354" s="1603">
        <f>SUM(E355)</f>
        <v>0</v>
      </c>
      <c r="F354" s="1603">
        <f>SUM(F355)</f>
        <v>14500</v>
      </c>
      <c r="G354" s="1602">
        <f t="shared" si="82"/>
        <v>14500</v>
      </c>
      <c r="H354" s="1603">
        <f>SUM(H355)</f>
        <v>0</v>
      </c>
      <c r="I354" s="1603">
        <f>SUM(I355)</f>
        <v>14500</v>
      </c>
      <c r="J354" s="1602">
        <f t="shared" si="73"/>
        <v>0</v>
      </c>
      <c r="K354" s="1603">
        <f>SUM(K355)</f>
        <v>0</v>
      </c>
      <c r="L354" s="1603">
        <f>SUM(L355)</f>
        <v>0</v>
      </c>
      <c r="M354" s="1604">
        <f t="shared" si="72"/>
        <v>0</v>
      </c>
      <c r="N354" s="1881">
        <f t="shared" si="72"/>
        <v>0</v>
      </c>
      <c r="O354" s="1881">
        <f t="shared" si="72"/>
        <v>0</v>
      </c>
      <c r="P354" s="1940"/>
      <c r="Q354" s="1593"/>
      <c r="R354" s="1602">
        <f t="shared" si="83"/>
        <v>0</v>
      </c>
      <c r="S354" s="1603">
        <f>SUM(S355)</f>
        <v>0</v>
      </c>
      <c r="T354" s="1603">
        <f>SUM(T355)</f>
        <v>0</v>
      </c>
      <c r="U354" s="1602">
        <f t="shared" si="84"/>
        <v>0</v>
      </c>
      <c r="V354" s="1603">
        <f>SUM(V355)</f>
        <v>0</v>
      </c>
      <c r="W354" s="1603">
        <f>SUM(W355)</f>
        <v>0</v>
      </c>
      <c r="X354" s="1423">
        <f t="shared" si="86"/>
        <v>0</v>
      </c>
    </row>
    <row r="355" spans="1:24" ht="23.25" hidden="1">
      <c r="A355" s="2041">
        <f>A352+1</f>
        <v>7</v>
      </c>
      <c r="B355" s="1879" t="s">
        <v>1423</v>
      </c>
      <c r="C355" s="1880">
        <v>24372</v>
      </c>
      <c r="D355" s="1602">
        <f t="shared" si="69"/>
        <v>14500</v>
      </c>
      <c r="E355" s="1616">
        <v>0</v>
      </c>
      <c r="F355" s="1616">
        <v>14500</v>
      </c>
      <c r="G355" s="1602">
        <f t="shared" si="82"/>
        <v>14500</v>
      </c>
      <c r="H355" s="1616">
        <v>0</v>
      </c>
      <c r="I355" s="1616">
        <v>14500</v>
      </c>
      <c r="J355" s="1602">
        <f t="shared" si="73"/>
        <v>0</v>
      </c>
      <c r="K355" s="1616">
        <v>0</v>
      </c>
      <c r="L355" s="1616"/>
      <c r="M355" s="1604">
        <f t="shared" si="72"/>
        <v>0</v>
      </c>
      <c r="N355" s="1881">
        <f t="shared" si="72"/>
        <v>0</v>
      </c>
      <c r="O355" s="1881">
        <f t="shared" si="72"/>
        <v>0</v>
      </c>
      <c r="P355" s="1940"/>
      <c r="Q355" s="1593"/>
      <c r="R355" s="1602">
        <f>SUM(S355:T355)</f>
        <v>0</v>
      </c>
      <c r="S355" s="1616">
        <v>0</v>
      </c>
      <c r="T355" s="1616">
        <v>0</v>
      </c>
      <c r="U355" s="1602">
        <f>SUM(V355:W355)</f>
        <v>0</v>
      </c>
      <c r="V355" s="1616">
        <v>0</v>
      </c>
      <c r="W355" s="1616">
        <v>0</v>
      </c>
      <c r="X355" s="1423">
        <f t="shared" si="86"/>
        <v>0</v>
      </c>
    </row>
    <row r="356" spans="1:24" ht="93.75" hidden="1">
      <c r="A356" s="2041" t="s">
        <v>2</v>
      </c>
      <c r="B356" s="1872" t="s">
        <v>1434</v>
      </c>
      <c r="C356" s="1873"/>
      <c r="D356" s="1861">
        <f>SUM(E356:F356)</f>
        <v>30000</v>
      </c>
      <c r="E356" s="1861">
        <f>E358</f>
        <v>30000</v>
      </c>
      <c r="F356" s="1861">
        <f>F358</f>
        <v>0</v>
      </c>
      <c r="G356" s="1861">
        <f t="shared" si="82"/>
        <v>0</v>
      </c>
      <c r="H356" s="1861">
        <f>H358</f>
        <v>0</v>
      </c>
      <c r="I356" s="1861">
        <f>I358</f>
        <v>0</v>
      </c>
      <c r="J356" s="1861">
        <f t="shared" si="73"/>
        <v>0</v>
      </c>
      <c r="K356" s="1861">
        <f>K358</f>
        <v>0</v>
      </c>
      <c r="L356" s="1861">
        <f>L358</f>
        <v>0</v>
      </c>
      <c r="M356" s="1874">
        <f t="shared" si="72"/>
        <v>0</v>
      </c>
      <c r="N356" s="1875">
        <f t="shared" si="72"/>
        <v>0</v>
      </c>
      <c r="O356" s="1875">
        <f t="shared" si="72"/>
        <v>0</v>
      </c>
      <c r="P356" s="1622" t="s">
        <v>353</v>
      </c>
      <c r="Q356" s="1622" t="s">
        <v>353</v>
      </c>
      <c r="R356" s="1861" t="e">
        <f>SUM(S356:T356)</f>
        <v>#REF!</v>
      </c>
      <c r="S356" s="1861" t="e">
        <f>SUM(S358,S409)</f>
        <v>#REF!</v>
      </c>
      <c r="T356" s="1861" t="e">
        <f>SUM(T358,T409)</f>
        <v>#REF!</v>
      </c>
      <c r="U356" s="1861" t="e">
        <f>SUM(V356:W356)</f>
        <v>#REF!</v>
      </c>
      <c r="V356" s="1861" t="e">
        <f>SUM(V358,V409)</f>
        <v>#REF!</v>
      </c>
      <c r="W356" s="1861" t="e">
        <f>SUM(W358,W409)</f>
        <v>#REF!</v>
      </c>
      <c r="X356" s="1423">
        <f t="shared" si="86"/>
        <v>30000</v>
      </c>
    </row>
    <row r="357" spans="1:24" ht="23.25" hidden="1">
      <c r="A357" s="2041" t="s">
        <v>253</v>
      </c>
      <c r="B357" s="1876" t="s">
        <v>1393</v>
      </c>
      <c r="C357" s="1877"/>
      <c r="D357" s="1598">
        <f>SUM(E357:F357)</f>
        <v>30000</v>
      </c>
      <c r="E357" s="1598">
        <f>E358</f>
        <v>30000</v>
      </c>
      <c r="F357" s="1598">
        <f>F358</f>
        <v>0</v>
      </c>
      <c r="G357" s="1598">
        <f>SUM(H357:I357)</f>
        <v>0</v>
      </c>
      <c r="H357" s="1598">
        <f>H358</f>
        <v>0</v>
      </c>
      <c r="I357" s="1598">
        <f>I358</f>
        <v>0</v>
      </c>
      <c r="J357" s="1598">
        <f>SUM(K357:L357)</f>
        <v>0</v>
      </c>
      <c r="K357" s="1598">
        <f>K358</f>
        <v>0</v>
      </c>
      <c r="L357" s="1598">
        <f>L358</f>
        <v>0</v>
      </c>
      <c r="M357" s="1598">
        <f t="shared" si="72"/>
        <v>0</v>
      </c>
      <c r="N357" s="1598">
        <f t="shared" si="72"/>
        <v>0</v>
      </c>
      <c r="O357" s="1598">
        <f t="shared" si="72"/>
        <v>0</v>
      </c>
      <c r="P357" s="1599" t="s">
        <v>353</v>
      </c>
      <c r="Q357" s="1599" t="s">
        <v>353</v>
      </c>
      <c r="R357" s="1598" t="e">
        <f>SUM(S357:T357)</f>
        <v>#REF!</v>
      </c>
      <c r="S357" s="1598" t="e">
        <f>SUM(S368,S362+S358+S360+S364+S366)</f>
        <v>#REF!</v>
      </c>
      <c r="T357" s="1598" t="e">
        <f>SUM(T368,T362+T358+T360+T364+T366)</f>
        <v>#REF!</v>
      </c>
      <c r="U357" s="1598" t="e">
        <f>SUM(V357:W357)</f>
        <v>#REF!</v>
      </c>
      <c r="V357" s="1598" t="e">
        <f>SUM(V368,V362+V358+V360+V364+V366)</f>
        <v>#REF!</v>
      </c>
      <c r="W357" s="1598" t="e">
        <f>SUM(W368,W362+W358+W360+W364+W366)</f>
        <v>#REF!</v>
      </c>
      <c r="X357" s="1423">
        <f t="shared" si="86"/>
        <v>30000</v>
      </c>
    </row>
    <row r="358" spans="1:24" ht="61.5" hidden="1" customHeight="1">
      <c r="A358" s="2041" t="s">
        <v>246</v>
      </c>
      <c r="B358" s="1897" t="s">
        <v>1771</v>
      </c>
      <c r="C358" s="1898"/>
      <c r="D358" s="1899">
        <f>SUM(E358:F358)</f>
        <v>30000</v>
      </c>
      <c r="E358" s="1899">
        <f>E359</f>
        <v>30000</v>
      </c>
      <c r="F358" s="1899">
        <f>F359</f>
        <v>0</v>
      </c>
      <c r="G358" s="1899">
        <f t="shared" si="82"/>
        <v>0</v>
      </c>
      <c r="H358" s="1899">
        <f>H359</f>
        <v>0</v>
      </c>
      <c r="I358" s="1899">
        <f>I359</f>
        <v>0</v>
      </c>
      <c r="J358" s="1899">
        <f t="shared" si="73"/>
        <v>0</v>
      </c>
      <c r="K358" s="1899">
        <f>K359</f>
        <v>0</v>
      </c>
      <c r="L358" s="1899">
        <f>L359</f>
        <v>0</v>
      </c>
      <c r="M358" s="1900">
        <f t="shared" si="72"/>
        <v>0</v>
      </c>
      <c r="N358" s="1900">
        <f t="shared" si="72"/>
        <v>0</v>
      </c>
      <c r="O358" s="1900">
        <f t="shared" si="72"/>
        <v>0</v>
      </c>
      <c r="P358" s="1593"/>
      <c r="Q358" s="1593"/>
      <c r="R358" s="1899" t="e">
        <f>SUM(S358:T358)</f>
        <v>#REF!</v>
      </c>
      <c r="S358" s="1899" t="e">
        <f>#REF!</f>
        <v>#REF!</v>
      </c>
      <c r="T358" s="1899" t="e">
        <f>#REF!</f>
        <v>#REF!</v>
      </c>
      <c r="U358" s="1899" t="e">
        <f>SUM(V358:W358)</f>
        <v>#REF!</v>
      </c>
      <c r="V358" s="1899" t="e">
        <f>#REF!</f>
        <v>#REF!</v>
      </c>
      <c r="W358" s="1899" t="e">
        <f>#REF!</f>
        <v>#REF!</v>
      </c>
      <c r="X358" s="1423">
        <f>D358-G358</f>
        <v>30000</v>
      </c>
    </row>
    <row r="359" spans="1:24" ht="57" hidden="1" customHeight="1">
      <c r="A359" s="2041">
        <f>A355+1</f>
        <v>8</v>
      </c>
      <c r="B359" s="1889" t="s">
        <v>1774</v>
      </c>
      <c r="C359" s="2041">
        <v>30131</v>
      </c>
      <c r="D359" s="1600">
        <f>SUM(E359:F359)</f>
        <v>30000</v>
      </c>
      <c r="E359" s="1608">
        <v>30000</v>
      </c>
      <c r="F359" s="1608"/>
      <c r="G359" s="1600">
        <f>SUM(H359:I359)</f>
        <v>0</v>
      </c>
      <c r="H359" s="1608"/>
      <c r="I359" s="1608"/>
      <c r="J359" s="1600">
        <f t="shared" si="73"/>
        <v>0</v>
      </c>
      <c r="K359" s="1608"/>
      <c r="L359" s="1608"/>
      <c r="M359" s="1604">
        <f t="shared" si="72"/>
        <v>0</v>
      </c>
      <c r="N359" s="1881">
        <f t="shared" si="72"/>
        <v>0</v>
      </c>
      <c r="O359" s="1881">
        <f t="shared" si="72"/>
        <v>0</v>
      </c>
      <c r="P359" s="1593" t="s">
        <v>1290</v>
      </c>
      <c r="Q359" s="1593" t="s">
        <v>1240</v>
      </c>
      <c r="R359" s="1600">
        <f>SUM(S359:T359)</f>
        <v>0</v>
      </c>
      <c r="S359" s="1608">
        <v>0</v>
      </c>
      <c r="T359" s="1608">
        <v>0</v>
      </c>
      <c r="U359" s="1600">
        <f>SUM(V359:W359)</f>
        <v>0</v>
      </c>
      <c r="V359" s="1608">
        <v>0</v>
      </c>
      <c r="W359" s="1608">
        <v>0</v>
      </c>
      <c r="X359" s="1423">
        <f>D359-G359</f>
        <v>30000</v>
      </c>
    </row>
    <row r="360" spans="1:24" ht="41.25" hidden="1" customHeight="1">
      <c r="A360" s="2565" t="s">
        <v>1369</v>
      </c>
      <c r="B360" s="2565"/>
      <c r="C360" s="1594">
        <v>62500</v>
      </c>
      <c r="D360" s="1594">
        <f>D361</f>
        <v>9236.2999999999993</v>
      </c>
      <c r="E360" s="1594">
        <f t="shared" ref="E360:L361" si="87">E361</f>
        <v>0</v>
      </c>
      <c r="F360" s="1594">
        <f t="shared" si="87"/>
        <v>9236.2999999999993</v>
      </c>
      <c r="G360" s="1594">
        <f t="shared" si="87"/>
        <v>9236.2999999999993</v>
      </c>
      <c r="H360" s="1594">
        <f t="shared" si="87"/>
        <v>0</v>
      </c>
      <c r="I360" s="1594">
        <f t="shared" si="87"/>
        <v>9236.2999999999993</v>
      </c>
      <c r="J360" s="1594">
        <f t="shared" si="87"/>
        <v>2044.1</v>
      </c>
      <c r="K360" s="1594">
        <f t="shared" si="87"/>
        <v>0</v>
      </c>
      <c r="L360" s="1594">
        <f t="shared" si="87"/>
        <v>2044.1</v>
      </c>
      <c r="M360" s="1966">
        <f t="shared" si="72"/>
        <v>22.1</v>
      </c>
      <c r="N360" s="1967">
        <f t="shared" si="72"/>
        <v>0</v>
      </c>
      <c r="O360" s="1967">
        <f t="shared" si="72"/>
        <v>22.1</v>
      </c>
      <c r="P360" s="1659"/>
      <c r="Q360" s="1794"/>
      <c r="R360" s="1964"/>
      <c r="S360" s="1965"/>
      <c r="T360" s="1965"/>
      <c r="U360" s="1964"/>
      <c r="V360" s="1965"/>
      <c r="W360" s="1965"/>
      <c r="X360" s="1423">
        <f t="shared" si="86"/>
        <v>0</v>
      </c>
    </row>
    <row r="361" spans="1:24" ht="75" hidden="1">
      <c r="A361" s="2041" t="s">
        <v>1681</v>
      </c>
      <c r="B361" s="1872" t="s">
        <v>439</v>
      </c>
      <c r="C361" s="1860">
        <v>2675651.2999999998</v>
      </c>
      <c r="D361" s="1861">
        <f>E361+F361</f>
        <v>9236.2999999999993</v>
      </c>
      <c r="E361" s="1861">
        <f>E362</f>
        <v>0</v>
      </c>
      <c r="F361" s="1861">
        <f t="shared" si="87"/>
        <v>9236.2999999999993</v>
      </c>
      <c r="G361" s="1861">
        <f t="shared" si="87"/>
        <v>9236.2999999999993</v>
      </c>
      <c r="H361" s="1861">
        <f t="shared" si="87"/>
        <v>0</v>
      </c>
      <c r="I361" s="1861">
        <f t="shared" si="87"/>
        <v>9236.2999999999993</v>
      </c>
      <c r="J361" s="1861">
        <f t="shared" si="87"/>
        <v>2044.1</v>
      </c>
      <c r="K361" s="1861">
        <f t="shared" si="87"/>
        <v>0</v>
      </c>
      <c r="L361" s="1861">
        <f t="shared" si="87"/>
        <v>2044.1</v>
      </c>
      <c r="M361" s="1968">
        <f t="shared" si="72"/>
        <v>22.1</v>
      </c>
      <c r="N361" s="1969">
        <f t="shared" si="72"/>
        <v>0</v>
      </c>
      <c r="O361" s="1969">
        <f t="shared" si="72"/>
        <v>22.1</v>
      </c>
      <c r="P361" s="1659"/>
      <c r="Q361" s="1794"/>
      <c r="R361" s="1964"/>
      <c r="S361" s="1965"/>
      <c r="T361" s="1965"/>
      <c r="U361" s="1964"/>
      <c r="V361" s="1965"/>
      <c r="W361" s="1965"/>
      <c r="X361" s="1423">
        <f t="shared" si="86"/>
        <v>0</v>
      </c>
    </row>
    <row r="362" spans="1:24" ht="23.25" hidden="1">
      <c r="A362" s="2041" t="s">
        <v>253</v>
      </c>
      <c r="B362" s="1876" t="s">
        <v>1393</v>
      </c>
      <c r="C362" s="1598">
        <v>14500</v>
      </c>
      <c r="D362" s="1598">
        <f>E362+F362</f>
        <v>9236.2999999999993</v>
      </c>
      <c r="E362" s="1598">
        <f>E365</f>
        <v>0</v>
      </c>
      <c r="F362" s="1598">
        <f t="shared" ref="F362:L362" si="88">F363+F365</f>
        <v>9236.2999999999993</v>
      </c>
      <c r="G362" s="1598">
        <f t="shared" si="88"/>
        <v>9236.2999999999993</v>
      </c>
      <c r="H362" s="1598">
        <f t="shared" si="88"/>
        <v>0</v>
      </c>
      <c r="I362" s="1598">
        <f t="shared" si="88"/>
        <v>9236.2999999999993</v>
      </c>
      <c r="J362" s="1598">
        <f t="shared" si="88"/>
        <v>2044.1</v>
      </c>
      <c r="K362" s="1598">
        <f t="shared" si="88"/>
        <v>0</v>
      </c>
      <c r="L362" s="1598">
        <f t="shared" si="88"/>
        <v>2044.1</v>
      </c>
      <c r="M362" s="1937">
        <f t="shared" si="72"/>
        <v>22.1</v>
      </c>
      <c r="N362" s="1938">
        <f t="shared" si="72"/>
        <v>0</v>
      </c>
      <c r="O362" s="1938">
        <f t="shared" si="72"/>
        <v>22.1</v>
      </c>
      <c r="P362" s="1659"/>
      <c r="Q362" s="1794"/>
      <c r="R362" s="1964"/>
      <c r="S362" s="1965"/>
      <c r="T362" s="1965"/>
      <c r="U362" s="1964"/>
      <c r="V362" s="1965"/>
      <c r="W362" s="1965"/>
      <c r="X362" s="1423">
        <f t="shared" si="86"/>
        <v>0</v>
      </c>
    </row>
    <row r="363" spans="1:24" ht="23.25" hidden="1">
      <c r="A363" s="2041"/>
      <c r="B363" s="2006" t="s">
        <v>283</v>
      </c>
      <c r="C363" s="1598"/>
      <c r="D363" s="1602">
        <f>D364</f>
        <v>3150</v>
      </c>
      <c r="E363" s="1602">
        <f>E364</f>
        <v>0</v>
      </c>
      <c r="F363" s="1602">
        <f>F364</f>
        <v>3150</v>
      </c>
      <c r="G363" s="1602">
        <f>H363+I363</f>
        <v>3150</v>
      </c>
      <c r="H363" s="1602"/>
      <c r="I363" s="1602">
        <f>I364</f>
        <v>3150</v>
      </c>
      <c r="J363" s="1602">
        <f>K363+L363</f>
        <v>0</v>
      </c>
      <c r="K363" s="1602"/>
      <c r="L363" s="1602">
        <f>L364</f>
        <v>0</v>
      </c>
      <c r="M363" s="1893">
        <f t="shared" si="72"/>
        <v>0</v>
      </c>
      <c r="N363" s="1894">
        <f t="shared" si="72"/>
        <v>0</v>
      </c>
      <c r="O363" s="1894">
        <f t="shared" si="72"/>
        <v>0</v>
      </c>
      <c r="P363" s="1659"/>
      <c r="Q363" s="1794"/>
      <c r="R363" s="1964"/>
      <c r="S363" s="1965"/>
      <c r="T363" s="1965"/>
      <c r="U363" s="1964"/>
      <c r="V363" s="1965"/>
      <c r="W363" s="1965"/>
      <c r="X363" s="1423">
        <f t="shared" si="86"/>
        <v>0</v>
      </c>
    </row>
    <row r="364" spans="1:24" ht="42" hidden="1" customHeight="1">
      <c r="A364" s="2041">
        <v>1</v>
      </c>
      <c r="B364" s="1919" t="s">
        <v>1701</v>
      </c>
      <c r="C364" s="1598"/>
      <c r="D364" s="1603">
        <f>E364+F364</f>
        <v>3150</v>
      </c>
      <c r="E364" s="1603"/>
      <c r="F364" s="1609">
        <v>3150</v>
      </c>
      <c r="G364" s="1603">
        <f>H364+I364</f>
        <v>3150</v>
      </c>
      <c r="H364" s="1603"/>
      <c r="I364" s="1609">
        <v>3150</v>
      </c>
      <c r="J364" s="1603">
        <f>K364+L364</f>
        <v>0</v>
      </c>
      <c r="K364" s="1603"/>
      <c r="L364" s="1609"/>
      <c r="M364" s="1893">
        <f t="shared" si="72"/>
        <v>0</v>
      </c>
      <c r="N364" s="1894">
        <f t="shared" si="72"/>
        <v>0</v>
      </c>
      <c r="O364" s="1894">
        <f t="shared" si="72"/>
        <v>0</v>
      </c>
      <c r="P364" s="1659"/>
      <c r="Q364" s="1794"/>
      <c r="R364" s="1964"/>
      <c r="S364" s="1965"/>
      <c r="T364" s="1965"/>
      <c r="U364" s="1964"/>
      <c r="V364" s="1965"/>
      <c r="W364" s="1965"/>
      <c r="X364" s="1423">
        <f t="shared" si="86"/>
        <v>0</v>
      </c>
    </row>
    <row r="365" spans="1:24" ht="23.25" hidden="1">
      <c r="A365" s="2041"/>
      <c r="B365" s="2040" t="s">
        <v>457</v>
      </c>
      <c r="C365" s="1602">
        <v>10000</v>
      </c>
      <c r="D365" s="1603">
        <f t="shared" ref="D365:L365" si="89">D366+D367</f>
        <v>6086.3</v>
      </c>
      <c r="E365" s="1603">
        <f t="shared" si="89"/>
        <v>0</v>
      </c>
      <c r="F365" s="1603">
        <f t="shared" si="89"/>
        <v>6086.3</v>
      </c>
      <c r="G365" s="1603">
        <f t="shared" si="89"/>
        <v>6086.3</v>
      </c>
      <c r="H365" s="1603">
        <f t="shared" si="89"/>
        <v>0</v>
      </c>
      <c r="I365" s="1603">
        <f t="shared" si="89"/>
        <v>6086.3</v>
      </c>
      <c r="J365" s="1603">
        <f t="shared" si="89"/>
        <v>2044.1</v>
      </c>
      <c r="K365" s="1603">
        <f t="shared" si="89"/>
        <v>0</v>
      </c>
      <c r="L365" s="1603">
        <f t="shared" si="89"/>
        <v>2044.1</v>
      </c>
      <c r="M365" s="1893">
        <f t="shared" si="72"/>
        <v>33.6</v>
      </c>
      <c r="N365" s="1894">
        <f>IF(K365=0,0,K365/H365*100)</f>
        <v>0</v>
      </c>
      <c r="O365" s="1894">
        <f>IF(L365=0,0,L365/I365*100)</f>
        <v>33.6</v>
      </c>
      <c r="P365" s="1659"/>
      <c r="Q365" s="1794"/>
      <c r="R365" s="1964"/>
      <c r="S365" s="1965"/>
      <c r="T365" s="1965"/>
      <c r="U365" s="1964"/>
      <c r="V365" s="1965"/>
      <c r="W365" s="1965"/>
      <c r="X365" s="1423">
        <f t="shared" si="86"/>
        <v>0</v>
      </c>
    </row>
    <row r="366" spans="1:24" ht="37.5" hidden="1">
      <c r="A366" s="2041">
        <v>2</v>
      </c>
      <c r="B366" s="1889" t="s">
        <v>1690</v>
      </c>
      <c r="C366" s="1602"/>
      <c r="D366" s="1603">
        <f>E366+F366</f>
        <v>2044.2</v>
      </c>
      <c r="E366" s="1603"/>
      <c r="F366" s="1609">
        <f>2044.1+0.1</f>
        <v>2044.2</v>
      </c>
      <c r="G366" s="1603">
        <f>H366+I366</f>
        <v>2044.2</v>
      </c>
      <c r="H366" s="1603"/>
      <c r="I366" s="1609">
        <v>2044.2</v>
      </c>
      <c r="J366" s="1603">
        <f>K366+L366</f>
        <v>2044.1</v>
      </c>
      <c r="K366" s="1603"/>
      <c r="L366" s="1609">
        <v>2044.1</v>
      </c>
      <c r="M366" s="1893">
        <f t="shared" si="72"/>
        <v>100</v>
      </c>
      <c r="N366" s="1894">
        <f>IF(K366=0,0,K366/H366*100)</f>
        <v>0</v>
      </c>
      <c r="O366" s="1894">
        <f>IF(L366=0,0,L366/I366*100)</f>
        <v>100</v>
      </c>
      <c r="P366" s="1659"/>
      <c r="Q366" s="1794"/>
      <c r="R366" s="1964"/>
      <c r="S366" s="1965"/>
      <c r="T366" s="1965"/>
      <c r="U366" s="1964"/>
      <c r="V366" s="1965"/>
      <c r="W366" s="1965"/>
      <c r="X366" s="1423">
        <f t="shared" si="86"/>
        <v>0</v>
      </c>
    </row>
    <row r="367" spans="1:24" ht="37.5" hidden="1">
      <c r="A367" s="2041">
        <f>A366+1</f>
        <v>3</v>
      </c>
      <c r="B367" s="1889" t="s">
        <v>1691</v>
      </c>
      <c r="C367" s="1602">
        <v>10000</v>
      </c>
      <c r="D367" s="1603">
        <f>E367+F367</f>
        <v>4042.1</v>
      </c>
      <c r="E367" s="1616"/>
      <c r="F367" s="1609">
        <v>4042.1</v>
      </c>
      <c r="G367" s="1603">
        <f>H367+I367</f>
        <v>4042.1</v>
      </c>
      <c r="H367" s="1616"/>
      <c r="I367" s="1609">
        <v>4042.1</v>
      </c>
      <c r="J367" s="1603">
        <f>K367+L367</f>
        <v>0</v>
      </c>
      <c r="K367" s="1616"/>
      <c r="L367" s="1609"/>
      <c r="M367" s="1893">
        <f t="shared" si="72"/>
        <v>0</v>
      </c>
      <c r="N367" s="1894">
        <f t="shared" si="72"/>
        <v>0</v>
      </c>
      <c r="O367" s="1894">
        <f t="shared" si="72"/>
        <v>0</v>
      </c>
      <c r="P367" s="1659"/>
      <c r="Q367" s="1794"/>
      <c r="R367" s="1964"/>
      <c r="S367" s="1965"/>
      <c r="T367" s="1965"/>
      <c r="U367" s="1964"/>
      <c r="V367" s="1965"/>
      <c r="W367" s="1965"/>
      <c r="X367" s="1423">
        <f t="shared" si="86"/>
        <v>0</v>
      </c>
    </row>
    <row r="368" spans="1:24" ht="23.25" hidden="1">
      <c r="A368" s="1856"/>
      <c r="B368" s="1962"/>
      <c r="C368" s="1963"/>
      <c r="D368" s="1964"/>
      <c r="E368" s="1965"/>
      <c r="F368" s="1965"/>
      <c r="G368" s="1964"/>
      <c r="H368" s="1965"/>
      <c r="I368" s="1965"/>
      <c r="J368" s="1964"/>
      <c r="K368" s="1965"/>
      <c r="L368" s="1965"/>
      <c r="M368" s="1648"/>
      <c r="N368" s="1647"/>
      <c r="O368" s="1647"/>
      <c r="P368" s="1659"/>
      <c r="Q368" s="1794"/>
      <c r="R368" s="1964"/>
      <c r="S368" s="1965"/>
      <c r="T368" s="1965"/>
      <c r="U368" s="1964"/>
      <c r="V368" s="1965"/>
      <c r="W368" s="1965"/>
      <c r="X368" s="1423">
        <f t="shared" si="86"/>
        <v>0</v>
      </c>
    </row>
    <row r="369" spans="1:24" ht="23.25" hidden="1">
      <c r="A369" s="1856"/>
      <c r="D369" s="1648"/>
      <c r="E369" s="1647"/>
      <c r="F369" s="1647"/>
      <c r="G369" s="1647"/>
      <c r="H369" s="1650"/>
      <c r="I369" s="1650"/>
      <c r="J369" s="1651"/>
      <c r="K369" s="1650"/>
      <c r="L369" s="2535"/>
      <c r="M369" s="2535"/>
      <c r="N369" s="1647"/>
      <c r="O369" s="1647"/>
      <c r="X369" s="1423">
        <f t="shared" si="86"/>
        <v>0</v>
      </c>
    </row>
    <row r="370" spans="1:24" ht="23.25" hidden="1">
      <c r="D370" s="1648"/>
      <c r="E370" s="1648"/>
      <c r="F370" s="1204"/>
      <c r="G370" s="1647"/>
      <c r="H370" s="1647"/>
      <c r="I370" s="1652"/>
      <c r="J370" s="1648"/>
      <c r="K370" s="1648"/>
      <c r="L370" s="1652"/>
      <c r="X370" s="1423">
        <f t="shared" si="86"/>
        <v>0</v>
      </c>
    </row>
    <row r="371" spans="1:24" ht="28.5" hidden="1" customHeight="1">
      <c r="A371" s="2566" t="s">
        <v>1520</v>
      </c>
      <c r="B371" s="2566"/>
      <c r="C371" s="1840"/>
      <c r="D371" s="1620">
        <f t="shared" ref="D371:D380" si="90">SUM(E371:F371)</f>
        <v>4027208</v>
      </c>
      <c r="E371" s="1600">
        <f>E164+E80</f>
        <v>3164460.2</v>
      </c>
      <c r="F371" s="1600">
        <f>F164+F80</f>
        <v>862747.8</v>
      </c>
      <c r="G371" s="1620">
        <f>SUM(H371:I371)</f>
        <v>4027208</v>
      </c>
      <c r="H371" s="1600">
        <f>H164+H80</f>
        <v>3164460.2</v>
      </c>
      <c r="I371" s="1600">
        <f>I164+I80</f>
        <v>862747.8</v>
      </c>
      <c r="J371" s="1620">
        <f>SUM(K371:L371)</f>
        <v>680978.2</v>
      </c>
      <c r="K371" s="1600">
        <f>K164+K80</f>
        <v>619357.9</v>
      </c>
      <c r="L371" s="1600">
        <f>L164+L80</f>
        <v>61620.3</v>
      </c>
      <c r="M371" s="1620">
        <f>IF(J371=0,0,J371/G371*100)</f>
        <v>16.899999999999999</v>
      </c>
      <c r="N371" s="1600">
        <f>IF(K371=0,0,K371/H371*100)</f>
        <v>19.600000000000001</v>
      </c>
      <c r="O371" s="1600">
        <f>IF(L371=0,0,L371/I371*100)</f>
        <v>7.1</v>
      </c>
      <c r="X371" s="1423">
        <f t="shared" si="86"/>
        <v>0</v>
      </c>
    </row>
    <row r="372" spans="1:24" ht="37.5" hidden="1">
      <c r="A372" s="1947"/>
      <c r="B372" s="1889" t="s">
        <v>1521</v>
      </c>
      <c r="C372" s="1836"/>
      <c r="D372" s="1620">
        <f t="shared" si="90"/>
        <v>1471640.4</v>
      </c>
      <c r="E372" s="1619">
        <f>SUBTOTAL(9,E89)</f>
        <v>1442671.7</v>
      </c>
      <c r="F372" s="1619">
        <f>SUBTOTAL(9,F89)</f>
        <v>28968.7</v>
      </c>
      <c r="G372" s="1620">
        <f t="shared" ref="G372:G380" si="91">SUM(H372:I372)</f>
        <v>1471640.4</v>
      </c>
      <c r="H372" s="1619">
        <f>SUBTOTAL(9,H89)</f>
        <v>1442671.7</v>
      </c>
      <c r="I372" s="1619">
        <f>SUBTOTAL(9,I89)</f>
        <v>28968.7</v>
      </c>
      <c r="J372" s="1620">
        <f t="shared" ref="J372:J380" si="92">SUM(K372:L372)</f>
        <v>536557.80000000005</v>
      </c>
      <c r="K372" s="1619">
        <f>SUBTOTAL(9,K89)</f>
        <v>530428.30000000005</v>
      </c>
      <c r="L372" s="1619">
        <f>SUBTOTAL(9,L89)</f>
        <v>6129.5</v>
      </c>
      <c r="M372" s="1620">
        <f t="shared" ref="M372:O380" si="93">IF(J372=0,0,J372/G372*100)</f>
        <v>36.5</v>
      </c>
      <c r="N372" s="1600">
        <f t="shared" si="93"/>
        <v>36.799999999999997</v>
      </c>
      <c r="O372" s="1600">
        <f t="shared" si="93"/>
        <v>21.2</v>
      </c>
      <c r="X372" s="1423">
        <f t="shared" si="86"/>
        <v>0</v>
      </c>
    </row>
    <row r="373" spans="1:24" ht="71.25" hidden="1" customHeight="1">
      <c r="A373" s="2566" t="s">
        <v>1528</v>
      </c>
      <c r="B373" s="2566"/>
      <c r="C373" s="1840"/>
      <c r="D373" s="1620">
        <f>SUM(E373:F373)</f>
        <v>5334940.5999999996</v>
      </c>
      <c r="E373" s="1600">
        <f>SUM(E91,E183,E276,E314,E322,E324,E327,E329,E332,E358,E278)</f>
        <v>4632944.5</v>
      </c>
      <c r="F373" s="1600">
        <f>SUM(F91,F183,F276,F314,F322,F324,F327,F329,F332,F358,F278)</f>
        <v>701996.1</v>
      </c>
      <c r="G373" s="1620">
        <f>SUM(H373:I373)</f>
        <v>5214890.5999999996</v>
      </c>
      <c r="H373" s="1600">
        <f>SUM(H91,H183,H276,H314,H322,H324,H327,H329,H332,H358,H278)</f>
        <v>4512944.5</v>
      </c>
      <c r="I373" s="1600">
        <f>SUM(I91,I183,I276,I314,I322,I324,I327,I329,I332,I358,I278)</f>
        <v>701946.1</v>
      </c>
      <c r="J373" s="1620">
        <f>SUM(K373:L373)</f>
        <v>1119796.6000000001</v>
      </c>
      <c r="K373" s="1600">
        <f>SUM(K91,K183,K276,K314,K322,K324,K327,K329,K332,K358,K278)</f>
        <v>899299.6</v>
      </c>
      <c r="L373" s="1600">
        <f>SUM(L91,L183,L276,L314,L322,L324,L327,L329,L332,L358,L278)</f>
        <v>220497</v>
      </c>
      <c r="M373" s="1620">
        <f t="shared" si="93"/>
        <v>21.5</v>
      </c>
      <c r="N373" s="1600">
        <f t="shared" si="93"/>
        <v>19.899999999999999</v>
      </c>
      <c r="O373" s="1600">
        <f t="shared" si="93"/>
        <v>31.4</v>
      </c>
      <c r="X373" s="1423">
        <f t="shared" si="86"/>
        <v>120050</v>
      </c>
    </row>
    <row r="374" spans="1:24" ht="49.5" hidden="1" customHeight="1">
      <c r="A374" s="1948"/>
      <c r="B374" s="493" t="s">
        <v>1527</v>
      </c>
      <c r="C374" s="1836"/>
      <c r="D374" s="1640">
        <f t="shared" si="90"/>
        <v>3778441.6</v>
      </c>
      <c r="E374" s="1609">
        <f>SUBTOTAL(9,E91,E183,E314)</f>
        <v>3298387.4</v>
      </c>
      <c r="F374" s="1609">
        <f>SUBTOTAL(9,F91,F183,F314)</f>
        <v>480054.2</v>
      </c>
      <c r="G374" s="1640">
        <f>SUM(H374:I374)</f>
        <v>3778441.6</v>
      </c>
      <c r="H374" s="1609">
        <f>SUBTOTAL(9,H91,H183,H314)</f>
        <v>3298387.4</v>
      </c>
      <c r="I374" s="1609">
        <f>SUBTOTAL(9,I91,I183,I314)</f>
        <v>480054.2</v>
      </c>
      <c r="J374" s="1640">
        <f>SUM(K374:L374)</f>
        <v>700381.2</v>
      </c>
      <c r="K374" s="1609">
        <f>SUBTOTAL(9,K91,K183,K314)</f>
        <v>653036.30000000005</v>
      </c>
      <c r="L374" s="1609">
        <f>SUBTOTAL(9,L91,L183,L314)</f>
        <v>47344.9</v>
      </c>
      <c r="M374" s="1620">
        <f t="shared" si="93"/>
        <v>18.5</v>
      </c>
      <c r="N374" s="1600">
        <f t="shared" si="93"/>
        <v>19.8</v>
      </c>
      <c r="O374" s="1600">
        <f t="shared" si="93"/>
        <v>9.9</v>
      </c>
      <c r="X374" s="1423">
        <f t="shared" si="86"/>
        <v>0</v>
      </c>
    </row>
    <row r="375" spans="1:24" ht="23.25" hidden="1">
      <c r="A375" s="1948"/>
      <c r="B375" s="1619" t="s">
        <v>1620</v>
      </c>
      <c r="C375" s="1836"/>
      <c r="D375" s="1640">
        <f>SUM(E375:F375)</f>
        <v>3299975</v>
      </c>
      <c r="E375" s="1609">
        <f>E184+E92+E314</f>
        <v>3000000</v>
      </c>
      <c r="F375" s="1609">
        <f>F184+F92+F314</f>
        <v>299975</v>
      </c>
      <c r="G375" s="1640">
        <f t="shared" si="91"/>
        <v>3299975</v>
      </c>
      <c r="H375" s="1609">
        <f>H184+H92+H314</f>
        <v>3000000</v>
      </c>
      <c r="I375" s="1609">
        <f>I184+I92+I314</f>
        <v>299975</v>
      </c>
      <c r="J375" s="1640">
        <f t="shared" si="92"/>
        <v>670368.5</v>
      </c>
      <c r="K375" s="1609">
        <f>K184+K92+K314</f>
        <v>630118.40000000002</v>
      </c>
      <c r="L375" s="1609">
        <f>L184+L92+L314</f>
        <v>40250.1</v>
      </c>
      <c r="M375" s="1620">
        <f t="shared" si="93"/>
        <v>20.3</v>
      </c>
      <c r="N375" s="1600">
        <f t="shared" si="93"/>
        <v>21</v>
      </c>
      <c r="O375" s="1600">
        <f t="shared" si="93"/>
        <v>13.4</v>
      </c>
      <c r="X375" s="1423">
        <f t="shared" si="86"/>
        <v>0</v>
      </c>
    </row>
    <row r="376" spans="1:24" ht="23.25" hidden="1">
      <c r="A376" s="2041"/>
      <c r="B376" s="1609" t="s">
        <v>1770</v>
      </c>
      <c r="C376" s="2042"/>
      <c r="D376" s="1602">
        <f>SUM(E376:F376)</f>
        <v>317850.09999999998</v>
      </c>
      <c r="E376" s="1609">
        <f>E185+E93</f>
        <v>298387.40000000002</v>
      </c>
      <c r="F376" s="1609">
        <f>F185+F93</f>
        <v>19462.7</v>
      </c>
      <c r="G376" s="1602">
        <f t="shared" si="91"/>
        <v>317850.09999999998</v>
      </c>
      <c r="H376" s="1609">
        <f>H185+H93</f>
        <v>298387.40000000002</v>
      </c>
      <c r="I376" s="1609">
        <f>I185+I93</f>
        <v>19462.7</v>
      </c>
      <c r="J376" s="1602">
        <f t="shared" si="92"/>
        <v>24381.200000000001</v>
      </c>
      <c r="K376" s="1609">
        <f>K185+K93</f>
        <v>22917.9</v>
      </c>
      <c r="L376" s="1609">
        <f>L185+L93</f>
        <v>1463.3</v>
      </c>
      <c r="M376" s="1620">
        <f t="shared" si="93"/>
        <v>7.7</v>
      </c>
      <c r="N376" s="1600">
        <f t="shared" si="93"/>
        <v>7.7</v>
      </c>
      <c r="O376" s="1600">
        <f t="shared" si="93"/>
        <v>7.5</v>
      </c>
      <c r="P376" s="1619"/>
      <c r="Q376" s="1619"/>
      <c r="R376" s="1600"/>
      <c r="S376" s="1619"/>
      <c r="T376" s="1619"/>
      <c r="U376" s="1600"/>
      <c r="V376" s="1619"/>
      <c r="W376" s="1619"/>
      <c r="X376" s="1423"/>
    </row>
    <row r="377" spans="1:24" ht="23.25" hidden="1">
      <c r="A377" s="1948"/>
      <c r="B377" s="1619" t="s">
        <v>1621</v>
      </c>
      <c r="C377" s="1836"/>
      <c r="D377" s="1640">
        <f t="shared" si="90"/>
        <v>160616.5</v>
      </c>
      <c r="E377" s="1609">
        <f>E186+E94</f>
        <v>0</v>
      </c>
      <c r="F377" s="1609">
        <f>F186+F94</f>
        <v>160616.5</v>
      </c>
      <c r="G377" s="1640">
        <f t="shared" si="91"/>
        <v>160616.5</v>
      </c>
      <c r="H377" s="1609">
        <f>H186+H94</f>
        <v>0</v>
      </c>
      <c r="I377" s="1609">
        <f>I186+I94</f>
        <v>160616.5</v>
      </c>
      <c r="J377" s="1640">
        <f t="shared" si="92"/>
        <v>5631.5</v>
      </c>
      <c r="K377" s="1609">
        <f>K186+K94</f>
        <v>0</v>
      </c>
      <c r="L377" s="1609">
        <f>L186+L94</f>
        <v>5631.5</v>
      </c>
      <c r="M377" s="1620">
        <f t="shared" si="93"/>
        <v>3.5</v>
      </c>
      <c r="N377" s="1600">
        <f t="shared" si="93"/>
        <v>0</v>
      </c>
      <c r="O377" s="1600">
        <f t="shared" si="93"/>
        <v>3.5</v>
      </c>
      <c r="X377" s="1423">
        <f t="shared" si="86"/>
        <v>0</v>
      </c>
    </row>
    <row r="378" spans="1:24" ht="23.25" hidden="1">
      <c r="A378" s="2566" t="s">
        <v>1529</v>
      </c>
      <c r="B378" s="2566"/>
      <c r="C378" s="1840"/>
      <c r="D378" s="1640">
        <f t="shared" si="90"/>
        <v>664123.6</v>
      </c>
      <c r="E378" s="1602">
        <f>SUM(E15,E117,E289,E310,E340,E362)-E18-E34</f>
        <v>0</v>
      </c>
      <c r="F378" s="1602">
        <f>SUM(F15,F117,F289,F310,F340,F362)</f>
        <v>664123.6</v>
      </c>
      <c r="G378" s="1640">
        <f t="shared" si="91"/>
        <v>665088.4</v>
      </c>
      <c r="H378" s="1602">
        <f>SUBTOTAL(9,H15,H117,H289,H310,H340,H365)</f>
        <v>964.8</v>
      </c>
      <c r="I378" s="1602">
        <f>SUBTOTAL(9,I15,I117,I289,I310,I340,I362)</f>
        <v>664123.6</v>
      </c>
      <c r="J378" s="1640">
        <f t="shared" si="92"/>
        <v>68954.100000000006</v>
      </c>
      <c r="K378" s="1602">
        <f>SUBTOTAL(9,K15,K117,K289,K310,K340,K365)</f>
        <v>0</v>
      </c>
      <c r="L378" s="1602">
        <f>SUBTOTAL(9,L15,L117,L289,L310,L340,L362)</f>
        <v>68954.100000000006</v>
      </c>
      <c r="M378" s="1620">
        <f t="shared" si="93"/>
        <v>10.4</v>
      </c>
      <c r="N378" s="1600">
        <f t="shared" si="93"/>
        <v>0</v>
      </c>
      <c r="O378" s="1600">
        <f t="shared" si="93"/>
        <v>10.4</v>
      </c>
      <c r="X378" s="1423">
        <f t="shared" si="86"/>
        <v>-964.8</v>
      </c>
    </row>
    <row r="379" spans="1:24" ht="37.5" hidden="1">
      <c r="A379" s="1948"/>
      <c r="B379" s="1619" t="s">
        <v>1777</v>
      </c>
      <c r="C379" s="1836"/>
      <c r="D379" s="1640">
        <f>SUM(E379:F379)</f>
        <v>46204.1</v>
      </c>
      <c r="E379" s="1609">
        <f>E153+E74</f>
        <v>0</v>
      </c>
      <c r="F379" s="1609">
        <f>F153+F74</f>
        <v>46204.1</v>
      </c>
      <c r="G379" s="1640">
        <f>SUM(H379:I379)</f>
        <v>46204.1</v>
      </c>
      <c r="H379" s="1609">
        <f>H153+H74</f>
        <v>0</v>
      </c>
      <c r="I379" s="1609">
        <f>I153+I74</f>
        <v>46204.1</v>
      </c>
      <c r="J379" s="1640">
        <f>SUM(K379:L379)</f>
        <v>4370.8</v>
      </c>
      <c r="K379" s="1609">
        <f>K153+K74</f>
        <v>0</v>
      </c>
      <c r="L379" s="1609">
        <f>L153+L74</f>
        <v>4370.8</v>
      </c>
      <c r="M379" s="1620">
        <f>IF(J379=0,0,J379/G379*100)</f>
        <v>9.5</v>
      </c>
      <c r="N379" s="1600">
        <f>IF(K379=0,0,K379/H379*100)</f>
        <v>0</v>
      </c>
      <c r="O379" s="1600">
        <f>IF(L379=0,0,L379/I379*100)</f>
        <v>9.5</v>
      </c>
      <c r="X379" s="1423"/>
    </row>
    <row r="380" spans="1:24" ht="23.25" hidden="1">
      <c r="A380" s="2567" t="s">
        <v>529</v>
      </c>
      <c r="B380" s="2567"/>
      <c r="C380" s="1840"/>
      <c r="D380" s="1604">
        <f t="shared" si="90"/>
        <v>141886.5</v>
      </c>
      <c r="E380" s="1611">
        <f>E12-E371-E373-E378</f>
        <v>964.8</v>
      </c>
      <c r="F380" s="1611">
        <f>F12-F371-F373-F378</f>
        <v>140921.70000000001</v>
      </c>
      <c r="G380" s="1604">
        <f t="shared" si="91"/>
        <v>140921.70000000001</v>
      </c>
      <c r="H380" s="1611">
        <f>H12-H371-H373-H378</f>
        <v>0</v>
      </c>
      <c r="I380" s="1611">
        <f>I12-I371-I373-I378</f>
        <v>140921.70000000001</v>
      </c>
      <c r="J380" s="1604">
        <f t="shared" si="92"/>
        <v>19381.900000000001</v>
      </c>
      <c r="K380" s="1611">
        <f>K12-K371-K373-K378</f>
        <v>0</v>
      </c>
      <c r="L380" s="1611">
        <f>L12-L371-L373-L378</f>
        <v>19381.900000000001</v>
      </c>
      <c r="M380" s="1620">
        <f t="shared" si="93"/>
        <v>13.8</v>
      </c>
      <c r="N380" s="1600">
        <f t="shared" si="93"/>
        <v>0</v>
      </c>
      <c r="O380" s="1600">
        <f t="shared" si="93"/>
        <v>13.8</v>
      </c>
      <c r="X380" s="1423">
        <f t="shared" si="86"/>
        <v>964.8</v>
      </c>
    </row>
    <row r="381" spans="1:24" ht="60.75" hidden="1" customHeight="1">
      <c r="A381" s="853" t="s">
        <v>1722</v>
      </c>
      <c r="B381" s="1950"/>
      <c r="C381" s="1556"/>
      <c r="D381" s="1951"/>
      <c r="E381" s="1952"/>
      <c r="F381" s="1953"/>
      <c r="G381" s="1953"/>
      <c r="H381" s="1954"/>
      <c r="I381" s="1955"/>
      <c r="J381" s="1956"/>
      <c r="K381" s="1955"/>
      <c r="L381" s="1957" t="s">
        <v>1723</v>
      </c>
      <c r="M381" s="1958"/>
    </row>
    <row r="382" spans="1:24" hidden="1">
      <c r="A382" s="712"/>
      <c r="B382" s="1648"/>
      <c r="C382" s="1647"/>
      <c r="D382" s="1649"/>
      <c r="E382" s="1649"/>
      <c r="F382" s="1650"/>
      <c r="G382" s="1650"/>
      <c r="H382" s="1651"/>
      <c r="I382" s="1650"/>
      <c r="J382" s="2535"/>
      <c r="K382" s="2535"/>
      <c r="L382" s="1647"/>
      <c r="M382" s="1647"/>
    </row>
    <row r="383" spans="1:24" hidden="1"/>
  </sheetData>
  <mergeCells count="35">
    <mergeCell ref="J382:K382"/>
    <mergeCell ref="A360:B360"/>
    <mergeCell ref="L369:M369"/>
    <mergeCell ref="A371:B371"/>
    <mergeCell ref="A373:B373"/>
    <mergeCell ref="A378:B378"/>
    <mergeCell ref="A380:B380"/>
    <mergeCell ref="A287:B287"/>
    <mergeCell ref="A338:B338"/>
    <mergeCell ref="M9:M10"/>
    <mergeCell ref="N9:O9"/>
    <mergeCell ref="P9:P10"/>
    <mergeCell ref="A13:B13"/>
    <mergeCell ref="Q67:Q68"/>
    <mergeCell ref="B9:B10"/>
    <mergeCell ref="C9:C10"/>
    <mergeCell ref="D9:D10"/>
    <mergeCell ref="E9:F9"/>
    <mergeCell ref="G9:G10"/>
    <mergeCell ref="H9:I9"/>
    <mergeCell ref="Q9:Q10"/>
    <mergeCell ref="J9:J10"/>
    <mergeCell ref="K9:L9"/>
    <mergeCell ref="A7:W7"/>
    <mergeCell ref="N8:O8"/>
    <mergeCell ref="A9:A10"/>
    <mergeCell ref="A1:B1"/>
    <mergeCell ref="L1:O1"/>
    <mergeCell ref="J3:M3"/>
    <mergeCell ref="A5:W5"/>
    <mergeCell ref="A6:W6"/>
    <mergeCell ref="U9:U10"/>
    <mergeCell ref="V9:W9"/>
    <mergeCell ref="R9:R10"/>
    <mergeCell ref="S9:T9"/>
  </mergeCells>
  <pageMargins left="0.31496062992125984" right="0.11811023622047245" top="0.55118110236220474" bottom="0.35433070866141736" header="0.31496062992125984" footer="0.15748031496062992"/>
  <pageSetup paperSize="9" scale="55" fitToHeight="17" orientation="landscape" r:id="rId1"/>
  <headerFooter>
    <oddFooter>&amp;C&amp;P</oddFooter>
  </headerFooter>
  <rowBreaks count="1" manualBreakCount="1">
    <brk id="367" max="17" man="1"/>
  </rowBreaks>
</worksheet>
</file>

<file path=xl/worksheets/sheet51.xml><?xml version="1.0" encoding="utf-8"?>
<worksheet xmlns="http://schemas.openxmlformats.org/spreadsheetml/2006/main" xmlns:r="http://schemas.openxmlformats.org/officeDocument/2006/relationships">
  <sheetPr filterMode="1">
    <pageSetUpPr fitToPage="1"/>
  </sheetPr>
  <dimension ref="A1:X143"/>
  <sheetViews>
    <sheetView view="pageBreakPreview" topLeftCell="A5" zoomScale="60" zoomScaleNormal="80" workbookViewId="0">
      <selection activeCell="E16" sqref="E16"/>
    </sheetView>
  </sheetViews>
  <sheetFormatPr defaultColWidth="9.140625" defaultRowHeight="18.75"/>
  <cols>
    <col min="1" max="1" width="10.42578125" style="1942" customWidth="1"/>
    <col min="2" max="2" width="82.5703125" style="712" customWidth="1"/>
    <col min="3" max="3" width="13.42578125" style="1834" hidden="1" customWidth="1"/>
    <col min="4" max="4" width="14.85546875" style="1570" customWidth="1"/>
    <col min="5" max="6" width="14.85546875" style="712" customWidth="1"/>
    <col min="7" max="7" width="14.85546875" style="1570" customWidth="1"/>
    <col min="8" max="8" width="15.42578125" style="712" customWidth="1"/>
    <col min="9" max="9" width="14.85546875" style="712" customWidth="1"/>
    <col min="10" max="10" width="14.85546875" style="1569" customWidth="1"/>
    <col min="11" max="12" width="14.85546875" style="712" customWidth="1"/>
    <col min="13" max="13" width="9.28515625" style="1570" customWidth="1"/>
    <col min="14" max="15" width="9.28515625" style="712" customWidth="1"/>
    <col min="16" max="16" width="43" style="1564" hidden="1" customWidth="1"/>
    <col min="17" max="17" width="25.140625" style="1564" hidden="1" customWidth="1"/>
    <col min="18" max="18" width="16.28515625" style="1564" hidden="1" customWidth="1"/>
    <col min="19" max="19" width="16.85546875" style="1564" hidden="1" customWidth="1"/>
    <col min="20" max="22" width="18" style="1564" hidden="1" customWidth="1"/>
    <col min="23" max="23" width="15.7109375" style="1564" hidden="1" customWidth="1"/>
    <col min="24" max="24" width="15.28515625" style="712" bestFit="1" customWidth="1"/>
    <col min="25" max="16384" width="9.140625" style="712"/>
  </cols>
  <sheetData>
    <row r="1" spans="1:24" ht="20.25" hidden="1">
      <c r="A1" s="2537"/>
      <c r="B1" s="2537"/>
      <c r="D1" s="1563"/>
      <c r="E1" s="1563"/>
      <c r="F1" s="1563"/>
      <c r="G1" s="1563"/>
      <c r="H1" s="1563"/>
      <c r="I1" s="1563"/>
      <c r="J1" s="1563"/>
      <c r="L1" s="2384"/>
      <c r="M1" s="2384"/>
      <c r="N1" s="2384"/>
      <c r="O1" s="2384"/>
    </row>
    <row r="2" spans="1:24" hidden="1">
      <c r="B2" s="1982"/>
      <c r="D2" s="1569"/>
      <c r="E2" s="1982"/>
      <c r="F2" s="1982"/>
      <c r="M2" s="1569"/>
    </row>
    <row r="3" spans="1:24" s="1575" customFormat="1" hidden="1">
      <c r="A3" s="1943"/>
      <c r="B3" s="1572"/>
      <c r="C3" s="1835"/>
      <c r="D3" s="1573"/>
      <c r="E3" s="1574"/>
      <c r="F3" s="1574"/>
      <c r="G3" s="1573"/>
      <c r="H3" s="1574"/>
      <c r="I3" s="1574"/>
      <c r="J3" s="2538"/>
      <c r="K3" s="2538"/>
      <c r="L3" s="2538"/>
      <c r="M3" s="2538"/>
      <c r="O3" s="1576"/>
      <c r="P3" s="1577"/>
      <c r="Q3" s="1577"/>
      <c r="R3" s="1577"/>
      <c r="S3" s="1577"/>
      <c r="T3" s="1577"/>
      <c r="U3" s="1577"/>
      <c r="V3" s="1577"/>
      <c r="W3" s="1577"/>
    </row>
    <row r="4" spans="1:24" s="1575" customFormat="1" ht="43.5" hidden="1" customHeight="1">
      <c r="A4" s="1943"/>
      <c r="B4" s="1572"/>
      <c r="C4" s="1835"/>
      <c r="D4" s="1581"/>
      <c r="E4" s="1574"/>
      <c r="F4" s="1574"/>
      <c r="G4" s="1581"/>
      <c r="H4" s="1582"/>
      <c r="I4" s="1582"/>
      <c r="J4" s="1583"/>
      <c r="K4" s="1582"/>
      <c r="L4" s="1582"/>
      <c r="M4" s="1584"/>
      <c r="O4" s="1576"/>
      <c r="P4" s="1577"/>
      <c r="Q4" s="1577"/>
      <c r="R4" s="1577"/>
      <c r="S4" s="1577"/>
      <c r="T4" s="1577"/>
      <c r="U4" s="1577"/>
      <c r="V4" s="1577"/>
      <c r="W4" s="1577"/>
    </row>
    <row r="5" spans="1:24" s="1575" customFormat="1" ht="28.5" customHeight="1">
      <c r="A5" s="2562" t="s">
        <v>1693</v>
      </c>
      <c r="B5" s="2562"/>
      <c r="C5" s="2562"/>
      <c r="D5" s="2562"/>
      <c r="E5" s="2562"/>
      <c r="F5" s="2562"/>
      <c r="G5" s="2562"/>
      <c r="H5" s="2562"/>
      <c r="I5" s="2562"/>
      <c r="J5" s="2562"/>
      <c r="K5" s="2562"/>
      <c r="L5" s="2562"/>
      <c r="M5" s="2562"/>
      <c r="N5" s="2562"/>
      <c r="O5" s="2562"/>
      <c r="P5" s="2562"/>
      <c r="Q5" s="2562"/>
      <c r="R5" s="2562"/>
      <c r="S5" s="2562"/>
      <c r="T5" s="2562"/>
      <c r="U5" s="2562"/>
      <c r="V5" s="2562"/>
      <c r="W5" s="2562"/>
    </row>
    <row r="6" spans="1:24" s="1575" customFormat="1" ht="38.25" customHeight="1">
      <c r="A6" s="2562" t="s">
        <v>1694</v>
      </c>
      <c r="B6" s="2562"/>
      <c r="C6" s="2562"/>
      <c r="D6" s="2562"/>
      <c r="E6" s="2562"/>
      <c r="F6" s="2562"/>
      <c r="G6" s="2562"/>
      <c r="H6" s="2562"/>
      <c r="I6" s="2562"/>
      <c r="J6" s="2562"/>
      <c r="K6" s="2562"/>
      <c r="L6" s="2562"/>
      <c r="M6" s="2562"/>
      <c r="N6" s="2562"/>
      <c r="O6" s="2562"/>
      <c r="P6" s="2562"/>
      <c r="Q6" s="2562"/>
      <c r="R6" s="2562"/>
      <c r="S6" s="2562"/>
      <c r="T6" s="2562"/>
      <c r="U6" s="2562"/>
      <c r="V6" s="2562"/>
      <c r="W6" s="2562"/>
    </row>
    <row r="7" spans="1:24" s="1575" customFormat="1" ht="27">
      <c r="A7" s="2562" t="s">
        <v>1698</v>
      </c>
      <c r="B7" s="2562"/>
      <c r="C7" s="2562"/>
      <c r="D7" s="2562"/>
      <c r="E7" s="2562"/>
      <c r="F7" s="2562"/>
      <c r="G7" s="2562"/>
      <c r="H7" s="2562"/>
      <c r="I7" s="2562"/>
      <c r="J7" s="2562"/>
      <c r="K7" s="2562"/>
      <c r="L7" s="2562"/>
      <c r="M7" s="2562"/>
      <c r="N7" s="2562"/>
      <c r="O7" s="2562"/>
      <c r="P7" s="2562"/>
      <c r="Q7" s="2562"/>
      <c r="R7" s="2562"/>
      <c r="S7" s="2562"/>
      <c r="T7" s="2562"/>
      <c r="U7" s="2562"/>
      <c r="V7" s="2562"/>
      <c r="W7" s="2562"/>
    </row>
    <row r="8" spans="1:24" s="1575" customFormat="1" ht="18.75" customHeight="1">
      <c r="A8" s="1943"/>
      <c r="B8" s="1571"/>
      <c r="C8" s="1835"/>
      <c r="D8" s="1661"/>
      <c r="E8" s="1661"/>
      <c r="F8" s="1661"/>
      <c r="H8" s="1661"/>
      <c r="I8" s="1589"/>
      <c r="J8" s="1587"/>
      <c r="K8" s="1591"/>
      <c r="L8" s="1591"/>
      <c r="M8" s="1585"/>
      <c r="N8" s="2533" t="s">
        <v>377</v>
      </c>
      <c r="O8" s="2533"/>
      <c r="P8" s="1577"/>
      <c r="Q8" s="1863"/>
      <c r="R8" s="1591"/>
      <c r="S8" s="1591"/>
      <c r="T8" s="1591"/>
      <c r="U8" s="1661"/>
      <c r="V8" s="1661"/>
      <c r="W8" s="1661" t="s">
        <v>1314</v>
      </c>
    </row>
    <row r="9" spans="1:24" ht="70.5" customHeight="1">
      <c r="A9" s="2563" t="s">
        <v>18</v>
      </c>
      <c r="B9" s="2380" t="s">
        <v>0</v>
      </c>
      <c r="C9" s="2564" t="s">
        <v>1535</v>
      </c>
      <c r="D9" s="2374" t="s">
        <v>1374</v>
      </c>
      <c r="E9" s="2542" t="s">
        <v>257</v>
      </c>
      <c r="F9" s="2542"/>
      <c r="G9" s="2374" t="s">
        <v>442</v>
      </c>
      <c r="H9" s="2542" t="s">
        <v>257</v>
      </c>
      <c r="I9" s="2542"/>
      <c r="J9" s="2374" t="s">
        <v>1672</v>
      </c>
      <c r="K9" s="2542" t="s">
        <v>257</v>
      </c>
      <c r="L9" s="2542"/>
      <c r="M9" s="2374" t="s">
        <v>1313</v>
      </c>
      <c r="N9" s="2542" t="s">
        <v>257</v>
      </c>
      <c r="O9" s="2542"/>
      <c r="P9" s="2550" t="s">
        <v>1110</v>
      </c>
      <c r="Q9" s="2550" t="s">
        <v>1106</v>
      </c>
      <c r="R9" s="2374" t="s">
        <v>1643</v>
      </c>
      <c r="S9" s="2542" t="s">
        <v>257</v>
      </c>
      <c r="T9" s="2542"/>
      <c r="U9" s="2374" t="s">
        <v>1644</v>
      </c>
      <c r="V9" s="2542" t="s">
        <v>257</v>
      </c>
      <c r="W9" s="2542"/>
    </row>
    <row r="10" spans="1:24" ht="150" customHeight="1">
      <c r="A10" s="2563"/>
      <c r="B10" s="2380"/>
      <c r="C10" s="2564"/>
      <c r="D10" s="2374"/>
      <c r="E10" s="709" t="s">
        <v>1074</v>
      </c>
      <c r="F10" s="709" t="s">
        <v>258</v>
      </c>
      <c r="G10" s="2374"/>
      <c r="H10" s="709" t="s">
        <v>1074</v>
      </c>
      <c r="I10" s="709" t="s">
        <v>258</v>
      </c>
      <c r="J10" s="2374"/>
      <c r="K10" s="709" t="s">
        <v>1074</v>
      </c>
      <c r="L10" s="709" t="s">
        <v>258</v>
      </c>
      <c r="M10" s="2374"/>
      <c r="N10" s="709" t="s">
        <v>1074</v>
      </c>
      <c r="O10" s="709" t="s">
        <v>258</v>
      </c>
      <c r="P10" s="2550"/>
      <c r="Q10" s="2550"/>
      <c r="R10" s="2374"/>
      <c r="S10" s="709" t="s">
        <v>1074</v>
      </c>
      <c r="T10" s="709" t="s">
        <v>258</v>
      </c>
      <c r="U10" s="2374"/>
      <c r="V10" s="709" t="s">
        <v>1074</v>
      </c>
      <c r="W10" s="709" t="s">
        <v>258</v>
      </c>
    </row>
    <row r="11" spans="1:24">
      <c r="A11" s="1984">
        <v>1</v>
      </c>
      <c r="B11" s="507">
        <v>2</v>
      </c>
      <c r="C11" s="1984"/>
      <c r="D11" s="507">
        <v>3</v>
      </c>
      <c r="E11" s="507">
        <v>4</v>
      </c>
      <c r="F11" s="507">
        <v>5</v>
      </c>
      <c r="G11" s="1868">
        <v>7</v>
      </c>
      <c r="H11" s="1868">
        <v>8</v>
      </c>
      <c r="I11" s="1868">
        <v>9</v>
      </c>
      <c r="J11" s="1868">
        <v>6</v>
      </c>
      <c r="K11" s="1868">
        <v>7</v>
      </c>
      <c r="L11" s="1868">
        <v>8</v>
      </c>
      <c r="M11" s="1868">
        <v>13</v>
      </c>
      <c r="N11" s="1868">
        <v>14</v>
      </c>
      <c r="O11" s="1868">
        <v>15</v>
      </c>
      <c r="P11" s="1593">
        <v>10</v>
      </c>
      <c r="Q11" s="1593">
        <v>11</v>
      </c>
      <c r="R11" s="1593">
        <v>9</v>
      </c>
      <c r="S11" s="1593">
        <v>10</v>
      </c>
      <c r="T11" s="1593">
        <v>11</v>
      </c>
      <c r="U11" s="1593">
        <v>12</v>
      </c>
      <c r="V11" s="1593">
        <v>13</v>
      </c>
      <c r="W11" s="1593">
        <v>14</v>
      </c>
    </row>
    <row r="12" spans="1:24" s="791" customFormat="1" ht="23.25">
      <c r="A12" s="1945"/>
      <c r="B12" s="487" t="s">
        <v>1697</v>
      </c>
      <c r="C12" s="1869"/>
      <c r="D12" s="1594">
        <f t="shared" ref="D12:L12" si="0">D16+D116</f>
        <v>3553718.8</v>
      </c>
      <c r="E12" s="1594">
        <f t="shared" si="0"/>
        <v>3000000</v>
      </c>
      <c r="F12" s="1594">
        <f t="shared" si="0"/>
        <v>553718.80000000005</v>
      </c>
      <c r="G12" s="1594">
        <f t="shared" si="0"/>
        <v>3553718.8</v>
      </c>
      <c r="H12" s="1594">
        <f t="shared" si="0"/>
        <v>3000000</v>
      </c>
      <c r="I12" s="1594">
        <f t="shared" si="0"/>
        <v>553718.80000000005</v>
      </c>
      <c r="J12" s="1594">
        <f t="shared" si="0"/>
        <v>94750.1</v>
      </c>
      <c r="K12" s="1594">
        <f t="shared" si="0"/>
        <v>89063.6</v>
      </c>
      <c r="L12" s="1594">
        <f t="shared" si="0"/>
        <v>5686.5</v>
      </c>
      <c r="M12" s="1870">
        <f t="shared" ref="M12:O15" si="1">IF(J12=0,0,J12/G12*100)</f>
        <v>2.7</v>
      </c>
      <c r="N12" s="1870">
        <f t="shared" si="1"/>
        <v>3</v>
      </c>
      <c r="O12" s="1870">
        <f t="shared" si="1"/>
        <v>1</v>
      </c>
      <c r="P12" s="643" t="s">
        <v>353</v>
      </c>
      <c r="Q12" s="643"/>
      <c r="R12" s="1594" t="e">
        <f t="shared" ref="R12:R17" si="2">SUM(S12:T12)</f>
        <v>#REF!</v>
      </c>
      <c r="S12" s="1594" t="e">
        <f>SUM(S16,S116,#REF!)</f>
        <v>#REF!</v>
      </c>
      <c r="T12" s="1594" t="e">
        <f>SUM(T16,T116,#REF!)</f>
        <v>#REF!</v>
      </c>
      <c r="U12" s="1594" t="e">
        <f>SUM(V12:W12)</f>
        <v>#REF!</v>
      </c>
      <c r="V12" s="1594" t="e">
        <f>SUM(V16,V116,#REF!)</f>
        <v>#REF!</v>
      </c>
      <c r="W12" s="1594" t="e">
        <f>SUM(W16,W116,#REF!)</f>
        <v>#REF!</v>
      </c>
    </row>
    <row r="13" spans="1:24" s="791" customFormat="1" ht="23.25">
      <c r="A13" s="1945"/>
      <c r="B13" s="487" t="s">
        <v>1620</v>
      </c>
      <c r="C13" s="1869"/>
      <c r="D13" s="1594" t="e">
        <f>D137</f>
        <v>#REF!</v>
      </c>
      <c r="E13" s="1594" t="e">
        <f t="shared" ref="E13:L13" si="3">E137</f>
        <v>#REF!</v>
      </c>
      <c r="F13" s="1594">
        <f t="shared" si="3"/>
        <v>352596.2</v>
      </c>
      <c r="G13" s="1594" t="e">
        <f t="shared" si="3"/>
        <v>#REF!</v>
      </c>
      <c r="H13" s="1594" t="e">
        <f t="shared" si="3"/>
        <v>#REF!</v>
      </c>
      <c r="I13" s="1594">
        <f t="shared" si="3"/>
        <v>352596.2</v>
      </c>
      <c r="J13" s="1594" t="e">
        <f t="shared" si="3"/>
        <v>#REF!</v>
      </c>
      <c r="K13" s="1594" t="e">
        <f t="shared" si="3"/>
        <v>#REF!</v>
      </c>
      <c r="L13" s="1594" t="e">
        <f t="shared" si="3"/>
        <v>#REF!</v>
      </c>
      <c r="M13" s="1870" t="e">
        <f t="shared" si="1"/>
        <v>#REF!</v>
      </c>
      <c r="N13" s="1870" t="e">
        <f t="shared" si="1"/>
        <v>#REF!</v>
      </c>
      <c r="O13" s="1870" t="e">
        <f t="shared" si="1"/>
        <v>#REF!</v>
      </c>
      <c r="P13" s="643"/>
      <c r="Q13" s="643"/>
      <c r="R13" s="1594"/>
      <c r="S13" s="1594"/>
      <c r="T13" s="1594"/>
      <c r="U13" s="1594"/>
      <c r="V13" s="1594"/>
      <c r="W13" s="1594"/>
    </row>
    <row r="14" spans="1:24" s="791" customFormat="1" ht="23.25">
      <c r="A14" s="1945"/>
      <c r="B14" s="487" t="s">
        <v>1621</v>
      </c>
      <c r="C14" s="1869"/>
      <c r="D14" s="1594" t="e">
        <f>D138</f>
        <v>#REF!</v>
      </c>
      <c r="E14" s="1594" t="e">
        <f t="shared" ref="E14:L14" si="4">E138</f>
        <v>#REF!</v>
      </c>
      <c r="F14" s="1594">
        <f t="shared" si="4"/>
        <v>142922.6</v>
      </c>
      <c r="G14" s="1594" t="e">
        <f t="shared" si="4"/>
        <v>#REF!</v>
      </c>
      <c r="H14" s="1594" t="e">
        <f t="shared" si="4"/>
        <v>#REF!</v>
      </c>
      <c r="I14" s="1594">
        <f t="shared" si="4"/>
        <v>142922.6</v>
      </c>
      <c r="J14" s="1594" t="e">
        <f t="shared" si="4"/>
        <v>#REF!</v>
      </c>
      <c r="K14" s="1594" t="e">
        <f t="shared" si="4"/>
        <v>#REF!</v>
      </c>
      <c r="L14" s="1594" t="e">
        <f t="shared" si="4"/>
        <v>#REF!</v>
      </c>
      <c r="M14" s="1870" t="e">
        <f t="shared" si="1"/>
        <v>#REF!</v>
      </c>
      <c r="N14" s="1870" t="e">
        <f t="shared" si="1"/>
        <v>#REF!</v>
      </c>
      <c r="O14" s="1870" t="e">
        <f t="shared" si="1"/>
        <v>#REF!</v>
      </c>
      <c r="P14" s="643"/>
      <c r="Q14" s="643"/>
      <c r="R14" s="1594"/>
      <c r="S14" s="1594"/>
      <c r="T14" s="1594"/>
      <c r="U14" s="1594"/>
      <c r="V14" s="1594"/>
      <c r="W14" s="1594"/>
    </row>
    <row r="15" spans="1:24" s="791" customFormat="1" ht="23.25">
      <c r="A15" s="1945"/>
      <c r="B15" s="487" t="s">
        <v>1696</v>
      </c>
      <c r="C15" s="1869"/>
      <c r="D15" s="1594">
        <f>D19+D50</f>
        <v>58200</v>
      </c>
      <c r="E15" s="1594">
        <f t="shared" ref="E15:L15" si="5">E19+E50</f>
        <v>0</v>
      </c>
      <c r="F15" s="1594">
        <f t="shared" si="5"/>
        <v>58200</v>
      </c>
      <c r="G15" s="1594">
        <f t="shared" si="5"/>
        <v>58200</v>
      </c>
      <c r="H15" s="1594">
        <f t="shared" si="5"/>
        <v>0</v>
      </c>
      <c r="I15" s="1594">
        <f t="shared" si="5"/>
        <v>58200</v>
      </c>
      <c r="J15" s="1594">
        <f t="shared" si="5"/>
        <v>0</v>
      </c>
      <c r="K15" s="1594">
        <f t="shared" si="5"/>
        <v>0</v>
      </c>
      <c r="L15" s="1594">
        <f t="shared" si="5"/>
        <v>0</v>
      </c>
      <c r="M15" s="1870">
        <f t="shared" si="1"/>
        <v>0</v>
      </c>
      <c r="N15" s="1870">
        <f t="shared" si="1"/>
        <v>0</v>
      </c>
      <c r="O15" s="1870">
        <f t="shared" si="1"/>
        <v>0</v>
      </c>
      <c r="P15" s="643"/>
      <c r="Q15" s="643"/>
      <c r="R15" s="1594"/>
      <c r="S15" s="1594"/>
      <c r="T15" s="1594"/>
      <c r="U15" s="1594"/>
      <c r="V15" s="1594"/>
      <c r="W15" s="1594"/>
    </row>
    <row r="16" spans="1:24" s="791" customFormat="1" ht="44.25" customHeight="1">
      <c r="A16" s="2565" t="s">
        <v>453</v>
      </c>
      <c r="B16" s="2565"/>
      <c r="C16" s="1869"/>
      <c r="D16" s="1594">
        <f>D18+D49</f>
        <v>2927076.7</v>
      </c>
      <c r="E16" s="1594">
        <f t="shared" ref="E16:L16" si="6">E18+E49</f>
        <v>2562100</v>
      </c>
      <c r="F16" s="1594">
        <f t="shared" si="6"/>
        <v>364976.7</v>
      </c>
      <c r="G16" s="1594">
        <f t="shared" si="6"/>
        <v>2927076.7</v>
      </c>
      <c r="H16" s="1594">
        <f t="shared" si="6"/>
        <v>2562100</v>
      </c>
      <c r="I16" s="1594">
        <f t="shared" si="6"/>
        <v>364976.7</v>
      </c>
      <c r="J16" s="1594">
        <f t="shared" si="6"/>
        <v>94750.1</v>
      </c>
      <c r="K16" s="1594">
        <f t="shared" si="6"/>
        <v>89063.6</v>
      </c>
      <c r="L16" s="1594">
        <f t="shared" si="6"/>
        <v>5686.5</v>
      </c>
      <c r="M16" s="1870">
        <f t="shared" ref="M16:O23" si="7">IF(J16=0,0,J16/G16*100)</f>
        <v>3.2</v>
      </c>
      <c r="N16" s="1871">
        <f t="shared" si="7"/>
        <v>3.5</v>
      </c>
      <c r="O16" s="1871">
        <f t="shared" si="7"/>
        <v>1.6</v>
      </c>
      <c r="P16" s="643" t="s">
        <v>353</v>
      </c>
      <c r="Q16" s="643" t="s">
        <v>353</v>
      </c>
      <c r="R16" s="1594" t="e">
        <f t="shared" si="2"/>
        <v>#REF!</v>
      </c>
      <c r="S16" s="1594" t="e">
        <f>SUM(#REF!,S49)</f>
        <v>#REF!</v>
      </c>
      <c r="T16" s="1594" t="e">
        <f>SUM(#REF!,T49)</f>
        <v>#REF!</v>
      </c>
      <c r="U16" s="1594" t="e">
        <f>SUM(V16:W16)</f>
        <v>#REF!</v>
      </c>
      <c r="V16" s="1594" t="e">
        <f>SUM(#REF!,V49)</f>
        <v>#REF!</v>
      </c>
      <c r="W16" s="1594" t="e">
        <f>SUM(#REF!,W49)</f>
        <v>#REF!</v>
      </c>
      <c r="X16" s="1423"/>
    </row>
    <row r="17" spans="1:23" ht="54.75" hidden="1" customHeight="1">
      <c r="A17" s="1984">
        <v>16</v>
      </c>
      <c r="B17" s="1892" t="s">
        <v>1653</v>
      </c>
      <c r="C17" s="1880"/>
      <c r="D17" s="1602">
        <f>SUM(E17:F17)</f>
        <v>0</v>
      </c>
      <c r="E17" s="1615">
        <v>0</v>
      </c>
      <c r="F17" s="1615">
        <v>0</v>
      </c>
      <c r="G17" s="1602">
        <f t="shared" ref="G17:G25" si="8">SUM(H17:I17)</f>
        <v>0</v>
      </c>
      <c r="H17" s="1615">
        <v>0</v>
      </c>
      <c r="I17" s="1615">
        <v>0</v>
      </c>
      <c r="J17" s="1602">
        <f t="shared" ref="J17:J25" si="9">SUM(K17:L17)</f>
        <v>0</v>
      </c>
      <c r="K17" s="1615">
        <v>0</v>
      </c>
      <c r="L17" s="1615">
        <v>0</v>
      </c>
      <c r="M17" s="1604">
        <f>IF(J17=0,0,J17/G17*100)</f>
        <v>0</v>
      </c>
      <c r="N17" s="1881">
        <f>IF(K17=0,0,K17/H17*100)</f>
        <v>0</v>
      </c>
      <c r="O17" s="1881">
        <f>IF(L17=0,0,L17/I17*100)</f>
        <v>0</v>
      </c>
      <c r="P17" s="1593"/>
      <c r="Q17" s="1593"/>
      <c r="R17" s="1602">
        <f t="shared" si="2"/>
        <v>0</v>
      </c>
      <c r="S17" s="1614">
        <v>0</v>
      </c>
      <c r="T17" s="1614">
        <v>0</v>
      </c>
      <c r="U17" s="1602">
        <f>SUM(V17:W17)</f>
        <v>0</v>
      </c>
      <c r="V17" s="1614">
        <v>0</v>
      </c>
      <c r="W17" s="1614">
        <v>0</v>
      </c>
    </row>
    <row r="18" spans="1:23" s="1570" customFormat="1" ht="24" customHeight="1">
      <c r="A18" s="1991" t="s">
        <v>6</v>
      </c>
      <c r="B18" s="1992" t="s">
        <v>321</v>
      </c>
      <c r="C18" s="1880"/>
      <c r="D18" s="1987">
        <f>D19+D29</f>
        <v>196125.4</v>
      </c>
      <c r="E18" s="1987">
        <f t="shared" ref="E18:L18" si="10">E19+E29</f>
        <v>129636.3</v>
      </c>
      <c r="F18" s="1987">
        <f t="shared" si="10"/>
        <v>66489.100000000006</v>
      </c>
      <c r="G18" s="1987">
        <f t="shared" si="10"/>
        <v>196125.4</v>
      </c>
      <c r="H18" s="1987">
        <f t="shared" si="10"/>
        <v>129636.3</v>
      </c>
      <c r="I18" s="1987">
        <f t="shared" si="10"/>
        <v>66489.100000000006</v>
      </c>
      <c r="J18" s="1987">
        <f t="shared" si="10"/>
        <v>0</v>
      </c>
      <c r="K18" s="1987">
        <f t="shared" si="10"/>
        <v>0</v>
      </c>
      <c r="L18" s="1987">
        <f t="shared" si="10"/>
        <v>0</v>
      </c>
      <c r="M18" s="1988"/>
      <c r="N18" s="1988"/>
      <c r="O18" s="1988"/>
      <c r="P18" s="1593"/>
      <c r="Q18" s="1593"/>
      <c r="R18" s="1602"/>
      <c r="S18" s="1614"/>
      <c r="T18" s="1614"/>
      <c r="U18" s="1602"/>
      <c r="V18" s="1614"/>
      <c r="W18" s="1614"/>
    </row>
    <row r="19" spans="1:23" s="484" customFormat="1">
      <c r="A19" s="1984" t="s">
        <v>50</v>
      </c>
      <c r="B19" s="1876" t="s">
        <v>1692</v>
      </c>
      <c r="C19" s="1898"/>
      <c r="D19" s="1598">
        <f t="shared" ref="D19:D29" si="11">SUM(E19:F19)</f>
        <v>2900</v>
      </c>
      <c r="E19" s="1598">
        <f>SUM(E20,E22)</f>
        <v>0</v>
      </c>
      <c r="F19" s="1598">
        <f>SUM(F20,F22)</f>
        <v>2900</v>
      </c>
      <c r="G19" s="1598">
        <f t="shared" si="8"/>
        <v>2900</v>
      </c>
      <c r="H19" s="1598">
        <f>SUM(H20,H22)</f>
        <v>0</v>
      </c>
      <c r="I19" s="1598">
        <f>SUM(I20,I22)</f>
        <v>2900</v>
      </c>
      <c r="J19" s="1598">
        <f t="shared" si="9"/>
        <v>0</v>
      </c>
      <c r="K19" s="1598">
        <f>SUM(K20,K22)</f>
        <v>0</v>
      </c>
      <c r="L19" s="1598">
        <f>SUM(L20,L22)</f>
        <v>0</v>
      </c>
      <c r="M19" s="1937">
        <f t="shared" si="7"/>
        <v>0</v>
      </c>
      <c r="N19" s="1938">
        <f t="shared" si="7"/>
        <v>0</v>
      </c>
      <c r="O19" s="1938">
        <f t="shared" si="7"/>
        <v>0</v>
      </c>
      <c r="P19" s="1902" t="e">
        <f>SUM(P29+#REF!+P31)</f>
        <v>#REF!</v>
      </c>
      <c r="Q19" s="1902" t="e">
        <f>SUM(Q29+#REF!+Q31)</f>
        <v>#REF!</v>
      </c>
      <c r="R19" s="1899">
        <f>SUM(S19:T19)</f>
        <v>0</v>
      </c>
      <c r="S19" s="1899">
        <f>SUM(S20,S22)</f>
        <v>0</v>
      </c>
      <c r="T19" s="1899">
        <f>SUM(T20,T22)</f>
        <v>0</v>
      </c>
      <c r="U19" s="1899">
        <f>SUM(V19:W19)</f>
        <v>0</v>
      </c>
      <c r="V19" s="1899">
        <f>SUM(V20,V22)</f>
        <v>0</v>
      </c>
      <c r="W19" s="1899">
        <f>SUM(W20,W22)</f>
        <v>0</v>
      </c>
    </row>
    <row r="20" spans="1:23" s="484" customFormat="1" ht="27" customHeight="1">
      <c r="A20" s="1984"/>
      <c r="B20" s="1983" t="s">
        <v>1401</v>
      </c>
      <c r="C20" s="1882"/>
      <c r="D20" s="1602">
        <f t="shared" si="11"/>
        <v>1400</v>
      </c>
      <c r="E20" s="1603">
        <f>E21</f>
        <v>0</v>
      </c>
      <c r="F20" s="1603">
        <f>F21</f>
        <v>1400</v>
      </c>
      <c r="G20" s="1602">
        <f t="shared" si="8"/>
        <v>1400</v>
      </c>
      <c r="H20" s="1603">
        <f>H21</f>
        <v>0</v>
      </c>
      <c r="I20" s="1603">
        <f>I21</f>
        <v>1400</v>
      </c>
      <c r="J20" s="1602">
        <f t="shared" si="9"/>
        <v>0</v>
      </c>
      <c r="K20" s="1603">
        <f>K21</f>
        <v>0</v>
      </c>
      <c r="L20" s="1603">
        <f>L21</f>
        <v>0</v>
      </c>
      <c r="M20" s="1604">
        <f t="shared" si="7"/>
        <v>0</v>
      </c>
      <c r="N20" s="1881">
        <f t="shared" si="7"/>
        <v>0</v>
      </c>
      <c r="O20" s="1881">
        <f t="shared" si="7"/>
        <v>0</v>
      </c>
      <c r="P20" s="1601">
        <f t="shared" ref="P20:W20" si="12">P21</f>
        <v>0</v>
      </c>
      <c r="Q20" s="1601">
        <f t="shared" si="12"/>
        <v>0</v>
      </c>
      <c r="R20" s="1601">
        <f t="shared" si="12"/>
        <v>0</v>
      </c>
      <c r="S20" s="1601">
        <f t="shared" si="12"/>
        <v>0</v>
      </c>
      <c r="T20" s="1601">
        <f t="shared" si="12"/>
        <v>0</v>
      </c>
      <c r="U20" s="1601">
        <f t="shared" si="12"/>
        <v>0</v>
      </c>
      <c r="V20" s="1601">
        <f t="shared" si="12"/>
        <v>0</v>
      </c>
      <c r="W20" s="1601">
        <f t="shared" si="12"/>
        <v>0</v>
      </c>
    </row>
    <row r="21" spans="1:23" s="484" customFormat="1" ht="39.75" customHeight="1">
      <c r="A21" s="1984"/>
      <c r="B21" s="1889" t="s">
        <v>681</v>
      </c>
      <c r="C21" s="1882">
        <v>90420</v>
      </c>
      <c r="D21" s="1602">
        <f t="shared" si="11"/>
        <v>1400</v>
      </c>
      <c r="E21" s="1616"/>
      <c r="F21" s="1616">
        <v>1400</v>
      </c>
      <c r="G21" s="1602">
        <f t="shared" si="8"/>
        <v>1400</v>
      </c>
      <c r="H21" s="1616"/>
      <c r="I21" s="1616">
        <v>1400</v>
      </c>
      <c r="J21" s="1602">
        <f t="shared" si="9"/>
        <v>0</v>
      </c>
      <c r="K21" s="1616"/>
      <c r="L21" s="1616"/>
      <c r="M21" s="1604">
        <f t="shared" si="7"/>
        <v>0</v>
      </c>
      <c r="N21" s="1881">
        <f t="shared" si="7"/>
        <v>0</v>
      </c>
      <c r="O21" s="1881">
        <f t="shared" si="7"/>
        <v>0</v>
      </c>
      <c r="P21" s="1593"/>
      <c r="Q21" s="1593"/>
      <c r="R21" s="1600">
        <f>S21+T21</f>
        <v>0</v>
      </c>
      <c r="S21" s="1614"/>
      <c r="T21" s="1614"/>
      <c r="U21" s="1600">
        <f>V21+W21</f>
        <v>0</v>
      </c>
      <c r="V21" s="1614"/>
      <c r="W21" s="1614"/>
    </row>
    <row r="22" spans="1:23" s="484" customFormat="1" ht="23.25" customHeight="1">
      <c r="A22" s="1984"/>
      <c r="B22" s="1983" t="s">
        <v>1554</v>
      </c>
      <c r="C22" s="1882"/>
      <c r="D22" s="1602">
        <f t="shared" si="11"/>
        <v>1500</v>
      </c>
      <c r="E22" s="1603">
        <f>E23</f>
        <v>0</v>
      </c>
      <c r="F22" s="1603">
        <f>F23</f>
        <v>1500</v>
      </c>
      <c r="G22" s="1602">
        <f t="shared" si="8"/>
        <v>1500</v>
      </c>
      <c r="H22" s="1603">
        <f>H23</f>
        <v>0</v>
      </c>
      <c r="I22" s="1603">
        <f>I23</f>
        <v>1500</v>
      </c>
      <c r="J22" s="1602">
        <f t="shared" si="9"/>
        <v>0</v>
      </c>
      <c r="K22" s="1603">
        <f>K23</f>
        <v>0</v>
      </c>
      <c r="L22" s="1603">
        <f>L23</f>
        <v>0</v>
      </c>
      <c r="M22" s="1604">
        <f t="shared" si="7"/>
        <v>0</v>
      </c>
      <c r="N22" s="1881">
        <f t="shared" si="7"/>
        <v>0</v>
      </c>
      <c r="O22" s="1881">
        <f t="shared" si="7"/>
        <v>0</v>
      </c>
      <c r="P22" s="1593"/>
      <c r="Q22" s="1593"/>
      <c r="R22" s="1602">
        <f>SUM(S22:T22)</f>
        <v>0</v>
      </c>
      <c r="S22" s="1603">
        <f>S23</f>
        <v>0</v>
      </c>
      <c r="T22" s="1603">
        <f>T23</f>
        <v>0</v>
      </c>
      <c r="U22" s="1602">
        <f>SUM(V22:W22)</f>
        <v>0</v>
      </c>
      <c r="V22" s="1603">
        <f>V23</f>
        <v>0</v>
      </c>
      <c r="W22" s="1603">
        <f>W23</f>
        <v>0</v>
      </c>
    </row>
    <row r="23" spans="1:23" s="484" customFormat="1" ht="39.75" customHeight="1">
      <c r="A23" s="1984"/>
      <c r="B23" s="1889" t="s">
        <v>1623</v>
      </c>
      <c r="C23" s="1882">
        <v>90420</v>
      </c>
      <c r="D23" s="1602">
        <f t="shared" si="11"/>
        <v>1500</v>
      </c>
      <c r="E23" s="1616"/>
      <c r="F23" s="1616">
        <v>1500</v>
      </c>
      <c r="G23" s="1602">
        <f t="shared" si="8"/>
        <v>1500</v>
      </c>
      <c r="H23" s="1616"/>
      <c r="I23" s="1616">
        <v>1500</v>
      </c>
      <c r="J23" s="1602">
        <f t="shared" si="9"/>
        <v>0</v>
      </c>
      <c r="K23" s="1616"/>
      <c r="L23" s="1616"/>
      <c r="M23" s="1604">
        <f t="shared" si="7"/>
        <v>0</v>
      </c>
      <c r="N23" s="1881">
        <f t="shared" si="7"/>
        <v>0</v>
      </c>
      <c r="O23" s="1881">
        <f t="shared" si="7"/>
        <v>0</v>
      </c>
      <c r="P23" s="1593"/>
      <c r="Q23" s="1593"/>
      <c r="R23" s="1600">
        <f>S23+T23</f>
        <v>0</v>
      </c>
      <c r="S23" s="1614"/>
      <c r="T23" s="1614"/>
      <c r="U23" s="1600">
        <f>V23+W23</f>
        <v>0</v>
      </c>
      <c r="V23" s="1614"/>
      <c r="W23" s="1614"/>
    </row>
    <row r="24" spans="1:23" hidden="1">
      <c r="A24" s="1984"/>
      <c r="B24" s="1983" t="s">
        <v>1667</v>
      </c>
      <c r="C24" s="1985"/>
      <c r="D24" s="1602">
        <f t="shared" si="11"/>
        <v>0</v>
      </c>
      <c r="E24" s="1603">
        <f>SUM(E25)</f>
        <v>0</v>
      </c>
      <c r="F24" s="1603">
        <f>SUM(F25)</f>
        <v>0</v>
      </c>
      <c r="G24" s="1602">
        <f t="shared" si="8"/>
        <v>0</v>
      </c>
      <c r="H24" s="1603">
        <f>SUM(H25)</f>
        <v>0</v>
      </c>
      <c r="I24" s="1603">
        <f>SUM(I25)</f>
        <v>0</v>
      </c>
      <c r="J24" s="1602">
        <f t="shared" si="9"/>
        <v>0</v>
      </c>
      <c r="K24" s="1603">
        <f>SUM(K25)</f>
        <v>0</v>
      </c>
      <c r="L24" s="1603">
        <f>SUM(L25)</f>
        <v>0</v>
      </c>
      <c r="M24" s="1604">
        <f t="shared" ref="M24:O25" si="13">IF(J24=0,0,J24/G24*100)</f>
        <v>0</v>
      </c>
      <c r="N24" s="1881">
        <f t="shared" si="13"/>
        <v>0</v>
      </c>
      <c r="O24" s="1881">
        <f t="shared" si="13"/>
        <v>0</v>
      </c>
      <c r="P24" s="1593" t="s">
        <v>353</v>
      </c>
      <c r="Q24" s="1593" t="s">
        <v>353</v>
      </c>
      <c r="R24" s="1602">
        <f>SUM(S24:T24)</f>
        <v>216010.9</v>
      </c>
      <c r="S24" s="1603">
        <f>SUM(S25)</f>
        <v>213850.8</v>
      </c>
      <c r="T24" s="1603">
        <f>SUM(T25)</f>
        <v>2160.1</v>
      </c>
      <c r="U24" s="1602">
        <f>SUM(V24:W24)</f>
        <v>327265.90000000002</v>
      </c>
      <c r="V24" s="1603">
        <f>SUM(V25)</f>
        <v>323993.2</v>
      </c>
      <c r="W24" s="1603">
        <f>SUM(W25)</f>
        <v>3272.7</v>
      </c>
    </row>
    <row r="25" spans="1:23" ht="59.25" hidden="1" customHeight="1">
      <c r="A25" s="1984" t="e">
        <f>#REF!+1</f>
        <v>#REF!</v>
      </c>
      <c r="B25" s="1885" t="s">
        <v>672</v>
      </c>
      <c r="C25" s="1904" t="s">
        <v>1539</v>
      </c>
      <c r="D25" s="1602">
        <f t="shared" si="11"/>
        <v>0</v>
      </c>
      <c r="E25" s="1615">
        <v>0</v>
      </c>
      <c r="F25" s="1615">
        <v>0</v>
      </c>
      <c r="G25" s="1602">
        <f t="shared" si="8"/>
        <v>0</v>
      </c>
      <c r="H25" s="1615">
        <v>0</v>
      </c>
      <c r="I25" s="1615">
        <v>0</v>
      </c>
      <c r="J25" s="1602">
        <f t="shared" si="9"/>
        <v>0</v>
      </c>
      <c r="K25" s="1615">
        <v>0</v>
      </c>
      <c r="L25" s="1615">
        <v>0</v>
      </c>
      <c r="M25" s="1893">
        <f t="shared" si="13"/>
        <v>0</v>
      </c>
      <c r="N25" s="1894">
        <f t="shared" si="13"/>
        <v>0</v>
      </c>
      <c r="O25" s="1894">
        <f t="shared" si="13"/>
        <v>0</v>
      </c>
      <c r="P25" s="1593" t="s">
        <v>1171</v>
      </c>
      <c r="Q25" s="1593" t="s">
        <v>1659</v>
      </c>
      <c r="R25" s="1600">
        <f>SUM(S25:T25)</f>
        <v>216010.9</v>
      </c>
      <c r="S25" s="1614">
        <v>213850.8</v>
      </c>
      <c r="T25" s="1614">
        <v>2160.1</v>
      </c>
      <c r="U25" s="1600">
        <f>SUM(V25:W25)</f>
        <v>327265.90000000002</v>
      </c>
      <c r="V25" s="1614">
        <v>323993.2</v>
      </c>
      <c r="W25" s="1614">
        <v>3272.7</v>
      </c>
    </row>
    <row r="26" spans="1:23" s="484" customFormat="1" ht="25.5" hidden="1" customHeight="1">
      <c r="A26" s="1984"/>
      <c r="B26" s="1897" t="s">
        <v>1650</v>
      </c>
      <c r="C26" s="1898"/>
      <c r="D26" s="1899">
        <f t="shared" si="11"/>
        <v>0</v>
      </c>
      <c r="E26" s="1902">
        <f t="shared" ref="E26:W26" si="14">SUM(E27)</f>
        <v>0</v>
      </c>
      <c r="F26" s="1902">
        <f t="shared" si="14"/>
        <v>0</v>
      </c>
      <c r="G26" s="1899">
        <f>SUM(H26:I26)</f>
        <v>0</v>
      </c>
      <c r="H26" s="1902">
        <f t="shared" si="14"/>
        <v>0</v>
      </c>
      <c r="I26" s="1902">
        <f t="shared" si="14"/>
        <v>0</v>
      </c>
      <c r="J26" s="1899">
        <f t="shared" ref="J26:J50" si="15">SUM(K26:L26)</f>
        <v>0</v>
      </c>
      <c r="K26" s="1902">
        <f t="shared" si="14"/>
        <v>0</v>
      </c>
      <c r="L26" s="1902">
        <f t="shared" si="14"/>
        <v>0</v>
      </c>
      <c r="M26" s="1902">
        <f t="shared" si="14"/>
        <v>0</v>
      </c>
      <c r="N26" s="1902">
        <f t="shared" si="14"/>
        <v>0</v>
      </c>
      <c r="O26" s="1902">
        <f t="shared" si="14"/>
        <v>0</v>
      </c>
      <c r="P26" s="1902">
        <f t="shared" si="14"/>
        <v>0</v>
      </c>
      <c r="Q26" s="1902">
        <f t="shared" si="14"/>
        <v>0</v>
      </c>
      <c r="R26" s="1902">
        <f t="shared" si="14"/>
        <v>0</v>
      </c>
      <c r="S26" s="1902">
        <f t="shared" si="14"/>
        <v>0</v>
      </c>
      <c r="T26" s="1902">
        <f t="shared" si="14"/>
        <v>0</v>
      </c>
      <c r="U26" s="1902">
        <f t="shared" si="14"/>
        <v>0</v>
      </c>
      <c r="V26" s="1902">
        <f t="shared" si="14"/>
        <v>0</v>
      </c>
      <c r="W26" s="1902">
        <f t="shared" si="14"/>
        <v>0</v>
      </c>
    </row>
    <row r="27" spans="1:23" s="484" customFormat="1" ht="88.5" hidden="1" customHeight="1">
      <c r="A27" s="1984"/>
      <c r="B27" s="1885" t="s">
        <v>455</v>
      </c>
      <c r="C27" s="1904"/>
      <c r="D27" s="1602">
        <f t="shared" si="11"/>
        <v>0</v>
      </c>
      <c r="E27" s="1615">
        <v>0</v>
      </c>
      <c r="F27" s="1615">
        <v>0</v>
      </c>
      <c r="G27" s="1602">
        <f>SUM(H27:I27)</f>
        <v>0</v>
      </c>
      <c r="H27" s="1615">
        <v>0</v>
      </c>
      <c r="I27" s="1615">
        <v>0</v>
      </c>
      <c r="J27" s="1602">
        <f t="shared" si="15"/>
        <v>0</v>
      </c>
      <c r="K27" s="1615">
        <v>0</v>
      </c>
      <c r="L27" s="1615">
        <v>0</v>
      </c>
      <c r="M27" s="1893">
        <f>IF(J27=0,0,J27/G27*100)</f>
        <v>0</v>
      </c>
      <c r="N27" s="1894">
        <f>IF(K27=0,0,K27/H27*100)</f>
        <v>0</v>
      </c>
      <c r="O27" s="1894">
        <f>IF(L27=0,0,L27/I27*100)</f>
        <v>0</v>
      </c>
      <c r="P27" s="1593" t="s">
        <v>1171</v>
      </c>
      <c r="Q27" s="1593" t="s">
        <v>1659</v>
      </c>
      <c r="R27" s="1602">
        <f t="shared" ref="R27:R33" si="16">SUM(S27:T27)</f>
        <v>0</v>
      </c>
      <c r="S27" s="1615">
        <v>0</v>
      </c>
      <c r="T27" s="1615">
        <v>0</v>
      </c>
      <c r="U27" s="1602">
        <f t="shared" ref="U27:U33" si="17">SUM(V27:W27)</f>
        <v>0</v>
      </c>
      <c r="V27" s="1615">
        <v>0</v>
      </c>
      <c r="W27" s="1615">
        <v>0</v>
      </c>
    </row>
    <row r="28" spans="1:23" ht="75.75" hidden="1" customHeight="1">
      <c r="A28" s="1984" t="e">
        <f>#REF!+1</f>
        <v>#REF!</v>
      </c>
      <c r="B28" s="1879" t="s">
        <v>1668</v>
      </c>
      <c r="C28" s="1880"/>
      <c r="D28" s="1602">
        <f t="shared" si="11"/>
        <v>0</v>
      </c>
      <c r="E28" s="1616">
        <v>0</v>
      </c>
      <c r="F28" s="1616">
        <v>0</v>
      </c>
      <c r="G28" s="1602">
        <f>SUM(H28:I28)</f>
        <v>0</v>
      </c>
      <c r="H28" s="1616">
        <v>0</v>
      </c>
      <c r="I28" s="1616">
        <v>0</v>
      </c>
      <c r="J28" s="1602">
        <f>SUM(K28:L28)</f>
        <v>0</v>
      </c>
      <c r="K28" s="1616">
        <v>0</v>
      </c>
      <c r="L28" s="1616">
        <v>0</v>
      </c>
      <c r="M28" s="1604"/>
      <c r="N28" s="1881"/>
      <c r="O28" s="1881"/>
      <c r="P28" s="1599"/>
      <c r="Q28" s="1599"/>
      <c r="R28" s="1602">
        <f t="shared" si="16"/>
        <v>0</v>
      </c>
      <c r="S28" s="1619">
        <v>0</v>
      </c>
      <c r="T28" s="1619">
        <v>0</v>
      </c>
      <c r="U28" s="1602">
        <f t="shared" si="17"/>
        <v>30453.8</v>
      </c>
      <c r="V28" s="1619">
        <v>30149.3</v>
      </c>
      <c r="W28" s="1619">
        <v>304.5</v>
      </c>
    </row>
    <row r="29" spans="1:23" s="484" customFormat="1">
      <c r="A29" s="1984" t="s">
        <v>4</v>
      </c>
      <c r="B29" s="1876" t="s">
        <v>1394</v>
      </c>
      <c r="C29" s="1877"/>
      <c r="D29" s="1598">
        <f t="shared" si="11"/>
        <v>193225.4</v>
      </c>
      <c r="E29" s="1903">
        <f>SUM(E30,E34,E37,E40,E42,E46)</f>
        <v>129636.3</v>
      </c>
      <c r="F29" s="1903">
        <f>SUM(F30,F34,F37,F40,F42,F46)</f>
        <v>63589.1</v>
      </c>
      <c r="G29" s="1598">
        <f t="shared" ref="G29:G57" si="18">SUM(H29:I29)</f>
        <v>193225.4</v>
      </c>
      <c r="H29" s="1903">
        <f>SUM(H30,H34,H37,H40,H42,H46)</f>
        <v>129636.3</v>
      </c>
      <c r="I29" s="1903">
        <f>SUM(I30,I34,I37,I40,I42,I46)</f>
        <v>63589.1</v>
      </c>
      <c r="J29" s="1598">
        <f t="shared" si="15"/>
        <v>0</v>
      </c>
      <c r="K29" s="1903">
        <f>SUM(K30,K34,K37,K40,K42,K46)</f>
        <v>0</v>
      </c>
      <c r="L29" s="1903">
        <f>SUM(L30,L34,L37,L40,L42,L46)</f>
        <v>0</v>
      </c>
      <c r="M29" s="1903">
        <f t="shared" ref="M29:O57" si="19">IF(J29=0,0,J29/G29*100)</f>
        <v>0</v>
      </c>
      <c r="N29" s="1903">
        <f t="shared" si="19"/>
        <v>0</v>
      </c>
      <c r="O29" s="1903">
        <f t="shared" si="19"/>
        <v>0</v>
      </c>
      <c r="P29" s="1902">
        <f>SUM(P40+P30+P42)</f>
        <v>0</v>
      </c>
      <c r="Q29" s="2570">
        <f>SUM(Q40+Q30+Q42)</f>
        <v>0</v>
      </c>
      <c r="R29" s="1598">
        <f t="shared" si="16"/>
        <v>0</v>
      </c>
      <c r="S29" s="1903">
        <f>SUM(S30,S34,S37,S40,S42,S46)</f>
        <v>0</v>
      </c>
      <c r="T29" s="1903">
        <f>SUM(T30,T34,T37,T40,T42,T46)</f>
        <v>0</v>
      </c>
      <c r="U29" s="1598">
        <f t="shared" si="17"/>
        <v>0</v>
      </c>
      <c r="V29" s="1903">
        <f>SUM(V30,V34,V37,V40,V42,V46)</f>
        <v>0</v>
      </c>
      <c r="W29" s="1903">
        <f>SUM(W30,W34,W37,W40,W42,W46)</f>
        <v>0</v>
      </c>
    </row>
    <row r="30" spans="1:23" s="484" customFormat="1">
      <c r="A30" s="1984"/>
      <c r="B30" s="1983" t="s">
        <v>433</v>
      </c>
      <c r="C30" s="1882"/>
      <c r="D30" s="1602">
        <f t="shared" ref="D30:D56" si="20">SUM(E30:F30)</f>
        <v>15739.7</v>
      </c>
      <c r="E30" s="1603">
        <f>E31</f>
        <v>9575.2000000000007</v>
      </c>
      <c r="F30" s="1603">
        <f>F31</f>
        <v>6164.5</v>
      </c>
      <c r="G30" s="1602">
        <f t="shared" si="18"/>
        <v>15739.7</v>
      </c>
      <c r="H30" s="1603">
        <f>H31</f>
        <v>9575.2000000000007</v>
      </c>
      <c r="I30" s="1603">
        <f>I31</f>
        <v>6164.5</v>
      </c>
      <c r="J30" s="1602">
        <f t="shared" si="15"/>
        <v>0</v>
      </c>
      <c r="K30" s="1603">
        <f>K31</f>
        <v>0</v>
      </c>
      <c r="L30" s="1603">
        <f>L31</f>
        <v>0</v>
      </c>
      <c r="M30" s="1601">
        <f t="shared" si="19"/>
        <v>0</v>
      </c>
      <c r="N30" s="1601">
        <f t="shared" si="19"/>
        <v>0</v>
      </c>
      <c r="O30" s="1601">
        <f t="shared" si="19"/>
        <v>0</v>
      </c>
      <c r="P30" s="1601">
        <f>SUM(P31)</f>
        <v>0</v>
      </c>
      <c r="Q30" s="2571">
        <f>SUM(Q31)</f>
        <v>0</v>
      </c>
      <c r="R30" s="1602">
        <f t="shared" si="16"/>
        <v>0</v>
      </c>
      <c r="S30" s="1603">
        <f>S31</f>
        <v>0</v>
      </c>
      <c r="T30" s="1603">
        <f>T31</f>
        <v>0</v>
      </c>
      <c r="U30" s="1602">
        <f t="shared" si="17"/>
        <v>0</v>
      </c>
      <c r="V30" s="1603">
        <f>V31</f>
        <v>0</v>
      </c>
      <c r="W30" s="1603">
        <f>W31</f>
        <v>0</v>
      </c>
    </row>
    <row r="31" spans="1:23" s="484" customFormat="1" ht="40.5" customHeight="1">
      <c r="A31" s="1984"/>
      <c r="B31" s="1905" t="s">
        <v>1563</v>
      </c>
      <c r="C31" s="1906"/>
      <c r="D31" s="1602">
        <f t="shared" si="20"/>
        <v>15739.7</v>
      </c>
      <c r="E31" s="1864">
        <f>E32+E33</f>
        <v>9575.2000000000007</v>
      </c>
      <c r="F31" s="1864">
        <f>F32+F33</f>
        <v>6164.5</v>
      </c>
      <c r="G31" s="1602">
        <f t="shared" si="18"/>
        <v>15739.7</v>
      </c>
      <c r="H31" s="1864">
        <f>H32+H33</f>
        <v>9575.2000000000007</v>
      </c>
      <c r="I31" s="1864">
        <f>I32+I33</f>
        <v>6164.5</v>
      </c>
      <c r="J31" s="1602">
        <f t="shared" si="15"/>
        <v>0</v>
      </c>
      <c r="K31" s="1864">
        <f>K32+K33</f>
        <v>0</v>
      </c>
      <c r="L31" s="1864">
        <f>L32+L33</f>
        <v>0</v>
      </c>
      <c r="M31" s="1600">
        <f t="shared" si="19"/>
        <v>0</v>
      </c>
      <c r="N31" s="1907">
        <f t="shared" si="19"/>
        <v>0</v>
      </c>
      <c r="O31" s="1907">
        <f t="shared" si="19"/>
        <v>0</v>
      </c>
      <c r="P31" s="1593"/>
      <c r="Q31" s="1593"/>
      <c r="R31" s="1602">
        <f t="shared" si="16"/>
        <v>0</v>
      </c>
      <c r="S31" s="1864">
        <f>S32+S33</f>
        <v>0</v>
      </c>
      <c r="T31" s="1864">
        <f>T32+T33</f>
        <v>0</v>
      </c>
      <c r="U31" s="1602">
        <f t="shared" si="17"/>
        <v>0</v>
      </c>
      <c r="V31" s="1864">
        <f>V32+V33</f>
        <v>0</v>
      </c>
      <c r="W31" s="1864">
        <f>W32+W33</f>
        <v>0</v>
      </c>
    </row>
    <row r="32" spans="1:23" s="484" customFormat="1" ht="18" customHeight="1">
      <c r="A32" s="1984"/>
      <c r="B32" s="1619" t="s">
        <v>1620</v>
      </c>
      <c r="C32" s="1906" t="s">
        <v>1630</v>
      </c>
      <c r="D32" s="1602">
        <f t="shared" si="20"/>
        <v>10186.5</v>
      </c>
      <c r="E32" s="1864">
        <v>9575.2000000000007</v>
      </c>
      <c r="F32" s="1864">
        <v>611.29999999999995</v>
      </c>
      <c r="G32" s="1602">
        <f t="shared" si="18"/>
        <v>10186.5</v>
      </c>
      <c r="H32" s="1864">
        <v>9575.2000000000007</v>
      </c>
      <c r="I32" s="1864">
        <v>611.29999999999995</v>
      </c>
      <c r="J32" s="1602">
        <f t="shared" si="15"/>
        <v>0</v>
      </c>
      <c r="K32" s="1864"/>
      <c r="L32" s="1864"/>
      <c r="M32" s="1600">
        <f t="shared" si="19"/>
        <v>0</v>
      </c>
      <c r="N32" s="1907">
        <f t="shared" si="19"/>
        <v>0</v>
      </c>
      <c r="O32" s="1907">
        <f t="shared" si="19"/>
        <v>0</v>
      </c>
      <c r="P32" s="1593"/>
      <c r="Q32" s="1593"/>
      <c r="R32" s="1602">
        <f t="shared" si="16"/>
        <v>0</v>
      </c>
      <c r="S32" s="1614">
        <v>0</v>
      </c>
      <c r="T32" s="1614">
        <v>0</v>
      </c>
      <c r="U32" s="1602">
        <f t="shared" si="17"/>
        <v>0</v>
      </c>
      <c r="V32" s="1614">
        <v>0</v>
      </c>
      <c r="W32" s="1614">
        <v>0</v>
      </c>
    </row>
    <row r="33" spans="1:23" s="484" customFormat="1">
      <c r="A33" s="1984"/>
      <c r="B33" s="1619" t="s">
        <v>1621</v>
      </c>
      <c r="C33" s="1906" t="s">
        <v>1631</v>
      </c>
      <c r="D33" s="1602">
        <f t="shared" si="20"/>
        <v>5553.2</v>
      </c>
      <c r="E33" s="1864"/>
      <c r="F33" s="1864">
        <v>5553.2</v>
      </c>
      <c r="G33" s="1602">
        <f t="shared" si="18"/>
        <v>5553.2</v>
      </c>
      <c r="H33" s="1864"/>
      <c r="I33" s="1864">
        <v>5553.2</v>
      </c>
      <c r="J33" s="1602">
        <f t="shared" si="15"/>
        <v>0</v>
      </c>
      <c r="K33" s="1864"/>
      <c r="L33" s="1864"/>
      <c r="M33" s="1600">
        <f t="shared" si="19"/>
        <v>0</v>
      </c>
      <c r="N33" s="1907">
        <f t="shared" si="19"/>
        <v>0</v>
      </c>
      <c r="O33" s="1907">
        <f t="shared" si="19"/>
        <v>0</v>
      </c>
      <c r="P33" s="1593"/>
      <c r="Q33" s="1593"/>
      <c r="R33" s="1602">
        <f t="shared" si="16"/>
        <v>0</v>
      </c>
      <c r="S33" s="1614">
        <v>0</v>
      </c>
      <c r="T33" s="1614">
        <v>0</v>
      </c>
      <c r="U33" s="1602">
        <f t="shared" si="17"/>
        <v>0</v>
      </c>
      <c r="V33" s="1614">
        <v>0</v>
      </c>
      <c r="W33" s="1614">
        <v>0</v>
      </c>
    </row>
    <row r="34" spans="1:23" s="484" customFormat="1">
      <c r="A34" s="1984"/>
      <c r="B34" s="1983" t="s">
        <v>583</v>
      </c>
      <c r="C34" s="1882"/>
      <c r="D34" s="1602">
        <f t="shared" si="20"/>
        <v>8870</v>
      </c>
      <c r="E34" s="1603">
        <f t="shared" ref="E34:W34" si="21">E35</f>
        <v>0</v>
      </c>
      <c r="F34" s="1603">
        <f t="shared" si="21"/>
        <v>8870</v>
      </c>
      <c r="G34" s="1602">
        <f t="shared" si="18"/>
        <v>8870</v>
      </c>
      <c r="H34" s="1603">
        <f t="shared" si="21"/>
        <v>0</v>
      </c>
      <c r="I34" s="1603">
        <f t="shared" si="21"/>
        <v>8870</v>
      </c>
      <c r="J34" s="1602">
        <f t="shared" si="15"/>
        <v>0</v>
      </c>
      <c r="K34" s="1603">
        <f t="shared" si="21"/>
        <v>0</v>
      </c>
      <c r="L34" s="1603">
        <f t="shared" si="21"/>
        <v>0</v>
      </c>
      <c r="M34" s="1601">
        <f t="shared" si="19"/>
        <v>0</v>
      </c>
      <c r="N34" s="1601">
        <f t="shared" si="19"/>
        <v>0</v>
      </c>
      <c r="O34" s="1601">
        <f t="shared" si="19"/>
        <v>0</v>
      </c>
      <c r="P34" s="1601">
        <f t="shared" si="21"/>
        <v>0</v>
      </c>
      <c r="Q34" s="1601">
        <f t="shared" si="21"/>
        <v>0</v>
      </c>
      <c r="R34" s="1601">
        <f t="shared" si="21"/>
        <v>0</v>
      </c>
      <c r="S34" s="1601">
        <f t="shared" si="21"/>
        <v>0</v>
      </c>
      <c r="T34" s="1601">
        <f t="shared" si="21"/>
        <v>0</v>
      </c>
      <c r="U34" s="1601">
        <f t="shared" si="21"/>
        <v>0</v>
      </c>
      <c r="V34" s="1601">
        <f t="shared" si="21"/>
        <v>0</v>
      </c>
      <c r="W34" s="1601">
        <f t="shared" si="21"/>
        <v>0</v>
      </c>
    </row>
    <row r="35" spans="1:23" s="484" customFormat="1" ht="27.75" customHeight="1">
      <c r="A35" s="1984"/>
      <c r="B35" s="1889" t="s">
        <v>1629</v>
      </c>
      <c r="C35" s="1882"/>
      <c r="D35" s="1602">
        <f t="shared" si="20"/>
        <v>8870</v>
      </c>
      <c r="E35" s="1616">
        <f>E36</f>
        <v>0</v>
      </c>
      <c r="F35" s="1616">
        <f>F36</f>
        <v>8870</v>
      </c>
      <c r="G35" s="1602">
        <f t="shared" si="18"/>
        <v>8870</v>
      </c>
      <c r="H35" s="1616">
        <f>H36</f>
        <v>0</v>
      </c>
      <c r="I35" s="1616">
        <f>I36</f>
        <v>8870</v>
      </c>
      <c r="J35" s="1602">
        <f t="shared" si="15"/>
        <v>0</v>
      </c>
      <c r="K35" s="1616">
        <f>K36</f>
        <v>0</v>
      </c>
      <c r="L35" s="1616"/>
      <c r="M35" s="1604">
        <f t="shared" si="19"/>
        <v>0</v>
      </c>
      <c r="N35" s="1881">
        <f t="shared" si="19"/>
        <v>0</v>
      </c>
      <c r="O35" s="1881">
        <f t="shared" si="19"/>
        <v>0</v>
      </c>
      <c r="P35" s="1593"/>
      <c r="Q35" s="1593"/>
      <c r="R35" s="1602">
        <f t="shared" ref="R35:R57" si="22">SUM(S35:T35)</f>
        <v>0</v>
      </c>
      <c r="S35" s="1616">
        <f>S36</f>
        <v>0</v>
      </c>
      <c r="T35" s="1616">
        <f>T36</f>
        <v>0</v>
      </c>
      <c r="U35" s="1602">
        <f t="shared" ref="U35:U57" si="23">SUM(V35:W35)</f>
        <v>0</v>
      </c>
      <c r="V35" s="1616">
        <f>V36</f>
        <v>0</v>
      </c>
      <c r="W35" s="1616">
        <f>W36</f>
        <v>0</v>
      </c>
    </row>
    <row r="36" spans="1:23" s="484" customFormat="1">
      <c r="A36" s="1984"/>
      <c r="B36" s="1619" t="s">
        <v>1621</v>
      </c>
      <c r="C36" s="1906"/>
      <c r="D36" s="1602">
        <f t="shared" si="20"/>
        <v>8870</v>
      </c>
      <c r="E36" s="1864"/>
      <c r="F36" s="1864">
        <v>8870</v>
      </c>
      <c r="G36" s="1602">
        <f t="shared" si="18"/>
        <v>8870</v>
      </c>
      <c r="H36" s="1864"/>
      <c r="I36" s="1864">
        <v>8870</v>
      </c>
      <c r="J36" s="1602">
        <f t="shared" si="15"/>
        <v>0</v>
      </c>
      <c r="K36" s="1864"/>
      <c r="L36" s="1864"/>
      <c r="M36" s="1600">
        <f t="shared" si="19"/>
        <v>0</v>
      </c>
      <c r="N36" s="1907">
        <f t="shared" si="19"/>
        <v>0</v>
      </c>
      <c r="O36" s="1907">
        <f t="shared" si="19"/>
        <v>0</v>
      </c>
      <c r="P36" s="1593"/>
      <c r="Q36" s="1593"/>
      <c r="R36" s="1602">
        <f t="shared" si="22"/>
        <v>0</v>
      </c>
      <c r="S36" s="1865">
        <v>0</v>
      </c>
      <c r="T36" s="1865">
        <v>0</v>
      </c>
      <c r="U36" s="1602">
        <f t="shared" si="23"/>
        <v>0</v>
      </c>
      <c r="V36" s="1865">
        <v>0</v>
      </c>
      <c r="W36" s="1865">
        <v>0</v>
      </c>
    </row>
    <row r="37" spans="1:23" s="484" customFormat="1" ht="25.5" customHeight="1">
      <c r="A37" s="1984"/>
      <c r="B37" s="1983" t="s">
        <v>1624</v>
      </c>
      <c r="C37" s="1882"/>
      <c r="D37" s="1602">
        <f t="shared" si="20"/>
        <v>2745.5</v>
      </c>
      <c r="E37" s="1603">
        <f>E38</f>
        <v>0</v>
      </c>
      <c r="F37" s="1603">
        <f>F38</f>
        <v>2745.5</v>
      </c>
      <c r="G37" s="1602">
        <f t="shared" si="18"/>
        <v>2745.5</v>
      </c>
      <c r="H37" s="1603">
        <f>H38</f>
        <v>0</v>
      </c>
      <c r="I37" s="1603">
        <f>I38</f>
        <v>2745.5</v>
      </c>
      <c r="J37" s="1602">
        <f t="shared" si="15"/>
        <v>0</v>
      </c>
      <c r="K37" s="1603">
        <f>K38</f>
        <v>0</v>
      </c>
      <c r="L37" s="1603">
        <f>L38</f>
        <v>0</v>
      </c>
      <c r="M37" s="1601">
        <f t="shared" si="19"/>
        <v>0</v>
      </c>
      <c r="N37" s="1601">
        <f t="shared" si="19"/>
        <v>0</v>
      </c>
      <c r="O37" s="1601">
        <f t="shared" si="19"/>
        <v>0</v>
      </c>
      <c r="P37" s="1601">
        <f>P38</f>
        <v>0</v>
      </c>
      <c r="Q37" s="1601">
        <f>Q38</f>
        <v>0</v>
      </c>
      <c r="R37" s="1602">
        <f t="shared" si="22"/>
        <v>0</v>
      </c>
      <c r="S37" s="1603">
        <f>S38</f>
        <v>0</v>
      </c>
      <c r="T37" s="1603">
        <f>T38</f>
        <v>0</v>
      </c>
      <c r="U37" s="1602">
        <f t="shared" si="23"/>
        <v>0</v>
      </c>
      <c r="V37" s="1603">
        <f>V38</f>
        <v>0</v>
      </c>
      <c r="W37" s="1603">
        <f>W38</f>
        <v>0</v>
      </c>
    </row>
    <row r="38" spans="1:23" s="484" customFormat="1" ht="45.75" customHeight="1">
      <c r="A38" s="1984"/>
      <c r="B38" s="1889" t="s">
        <v>1625</v>
      </c>
      <c r="C38" s="1882"/>
      <c r="D38" s="1602">
        <f t="shared" si="20"/>
        <v>2745.5</v>
      </c>
      <c r="E38" s="1616">
        <f>E39</f>
        <v>0</v>
      </c>
      <c r="F38" s="1616">
        <f>F39</f>
        <v>2745.5</v>
      </c>
      <c r="G38" s="1602">
        <f t="shared" si="18"/>
        <v>2745.5</v>
      </c>
      <c r="H38" s="1616">
        <f>H39</f>
        <v>0</v>
      </c>
      <c r="I38" s="1616">
        <f>I39</f>
        <v>2745.5</v>
      </c>
      <c r="J38" s="1602">
        <f t="shared" si="15"/>
        <v>0</v>
      </c>
      <c r="K38" s="1616">
        <f>K39</f>
        <v>0</v>
      </c>
      <c r="L38" s="1616">
        <f>L39</f>
        <v>0</v>
      </c>
      <c r="M38" s="1604">
        <f t="shared" si="19"/>
        <v>0</v>
      </c>
      <c r="N38" s="1881">
        <f t="shared" si="19"/>
        <v>0</v>
      </c>
      <c r="O38" s="1881">
        <f t="shared" si="19"/>
        <v>0</v>
      </c>
      <c r="P38" s="1593"/>
      <c r="Q38" s="1593"/>
      <c r="R38" s="1602">
        <f t="shared" si="22"/>
        <v>0</v>
      </c>
      <c r="S38" s="1616">
        <f>S39</f>
        <v>0</v>
      </c>
      <c r="T38" s="1616">
        <f>T39</f>
        <v>0</v>
      </c>
      <c r="U38" s="1602">
        <f t="shared" si="23"/>
        <v>0</v>
      </c>
      <c r="V38" s="1616">
        <f>V39</f>
        <v>0</v>
      </c>
      <c r="W38" s="1616">
        <f>W39</f>
        <v>0</v>
      </c>
    </row>
    <row r="39" spans="1:23" s="484" customFormat="1">
      <c r="A39" s="1984"/>
      <c r="B39" s="1619" t="s">
        <v>1621</v>
      </c>
      <c r="C39" s="1906"/>
      <c r="D39" s="1602">
        <f t="shared" si="20"/>
        <v>2745.5</v>
      </c>
      <c r="E39" s="1864"/>
      <c r="F39" s="1864">
        <v>2745.5</v>
      </c>
      <c r="G39" s="1602">
        <f t="shared" si="18"/>
        <v>2745.5</v>
      </c>
      <c r="H39" s="1864"/>
      <c r="I39" s="1864">
        <v>2745.5</v>
      </c>
      <c r="J39" s="1602">
        <f t="shared" si="15"/>
        <v>0</v>
      </c>
      <c r="K39" s="1864"/>
      <c r="L39" s="1864"/>
      <c r="M39" s="1600">
        <f t="shared" si="19"/>
        <v>0</v>
      </c>
      <c r="N39" s="1907">
        <f t="shared" si="19"/>
        <v>0</v>
      </c>
      <c r="O39" s="1907">
        <f t="shared" si="19"/>
        <v>0</v>
      </c>
      <c r="P39" s="1593"/>
      <c r="Q39" s="1593"/>
      <c r="R39" s="1602">
        <f t="shared" si="22"/>
        <v>0</v>
      </c>
      <c r="S39" s="1614">
        <v>0</v>
      </c>
      <c r="T39" s="1614">
        <v>0</v>
      </c>
      <c r="U39" s="1602">
        <f t="shared" si="23"/>
        <v>0</v>
      </c>
      <c r="V39" s="1614">
        <v>0</v>
      </c>
      <c r="W39" s="1614">
        <v>0</v>
      </c>
    </row>
    <row r="40" spans="1:23" s="484" customFormat="1" ht="19.5" customHeight="1">
      <c r="A40" s="1984"/>
      <c r="B40" s="1983" t="s">
        <v>1401</v>
      </c>
      <c r="C40" s="1882"/>
      <c r="D40" s="1602">
        <f t="shared" si="20"/>
        <v>87760</v>
      </c>
      <c r="E40" s="1603">
        <f>E41</f>
        <v>82493.5</v>
      </c>
      <c r="F40" s="1603">
        <f>F41</f>
        <v>5266.5</v>
      </c>
      <c r="G40" s="1602">
        <f t="shared" si="18"/>
        <v>87760</v>
      </c>
      <c r="H40" s="1603">
        <f>H41</f>
        <v>82493.5</v>
      </c>
      <c r="I40" s="1603">
        <f>I41</f>
        <v>5266.5</v>
      </c>
      <c r="J40" s="1602">
        <f t="shared" si="15"/>
        <v>0</v>
      </c>
      <c r="K40" s="1603">
        <f>K41</f>
        <v>0</v>
      </c>
      <c r="L40" s="1603">
        <f>L41</f>
        <v>0</v>
      </c>
      <c r="M40" s="1601">
        <f t="shared" si="19"/>
        <v>0</v>
      </c>
      <c r="N40" s="1601">
        <f t="shared" si="19"/>
        <v>0</v>
      </c>
      <c r="O40" s="1601">
        <f t="shared" si="19"/>
        <v>0</v>
      </c>
      <c r="P40" s="1601">
        <f>P41</f>
        <v>0</v>
      </c>
      <c r="Q40" s="1601">
        <f>Q41</f>
        <v>0</v>
      </c>
      <c r="R40" s="1602">
        <f t="shared" si="22"/>
        <v>0</v>
      </c>
      <c r="S40" s="1603">
        <f>S41</f>
        <v>0</v>
      </c>
      <c r="T40" s="1603">
        <f>T41</f>
        <v>0</v>
      </c>
      <c r="U40" s="1602">
        <f t="shared" si="23"/>
        <v>0</v>
      </c>
      <c r="V40" s="1603">
        <f>V41</f>
        <v>0</v>
      </c>
      <c r="W40" s="1603">
        <f>W41</f>
        <v>0</v>
      </c>
    </row>
    <row r="41" spans="1:23" s="484" customFormat="1" ht="40.5" customHeight="1">
      <c r="A41" s="1984"/>
      <c r="B41" s="1889" t="s">
        <v>681</v>
      </c>
      <c r="C41" s="1882"/>
      <c r="D41" s="1602">
        <f t="shared" si="20"/>
        <v>87760</v>
      </c>
      <c r="E41" s="1616">
        <v>82493.5</v>
      </c>
      <c r="F41" s="1616">
        <v>5266.5</v>
      </c>
      <c r="G41" s="1602">
        <f t="shared" si="18"/>
        <v>87760</v>
      </c>
      <c r="H41" s="1616">
        <v>82493.5</v>
      </c>
      <c r="I41" s="1616">
        <v>5266.5</v>
      </c>
      <c r="J41" s="1602">
        <f t="shared" si="15"/>
        <v>0</v>
      </c>
      <c r="K41" s="1616"/>
      <c r="L41" s="1616"/>
      <c r="M41" s="1604">
        <f t="shared" si="19"/>
        <v>0</v>
      </c>
      <c r="N41" s="1881">
        <f t="shared" si="19"/>
        <v>0</v>
      </c>
      <c r="O41" s="1881">
        <f t="shared" si="19"/>
        <v>0</v>
      </c>
      <c r="P41" s="1593"/>
      <c r="Q41" s="1593"/>
      <c r="R41" s="1602">
        <f t="shared" si="22"/>
        <v>0</v>
      </c>
      <c r="S41" s="1614">
        <v>0</v>
      </c>
      <c r="T41" s="1614">
        <v>0</v>
      </c>
      <c r="U41" s="1602">
        <f t="shared" si="23"/>
        <v>0</v>
      </c>
      <c r="V41" s="1614">
        <v>0</v>
      </c>
      <c r="W41" s="1614">
        <v>0</v>
      </c>
    </row>
    <row r="42" spans="1:23" s="484" customFormat="1" ht="27" customHeight="1">
      <c r="A42" s="1984"/>
      <c r="B42" s="1983" t="s">
        <v>1554</v>
      </c>
      <c r="C42" s="1882"/>
      <c r="D42" s="1602">
        <f t="shared" si="20"/>
        <v>75664.2</v>
      </c>
      <c r="E42" s="1603">
        <f>SUM(E43:E44)</f>
        <v>37567.599999999999</v>
      </c>
      <c r="F42" s="1603">
        <f>SUM(F43:F44)</f>
        <v>38096.6</v>
      </c>
      <c r="G42" s="1602">
        <f t="shared" si="18"/>
        <v>75664.2</v>
      </c>
      <c r="H42" s="1603">
        <f>SUM(H43:H44)</f>
        <v>37567.599999999999</v>
      </c>
      <c r="I42" s="1603">
        <f>SUM(I43:I44)</f>
        <v>38096.6</v>
      </c>
      <c r="J42" s="1602">
        <f t="shared" si="15"/>
        <v>0</v>
      </c>
      <c r="K42" s="1603">
        <f>SUM(K43:K44)</f>
        <v>0</v>
      </c>
      <c r="L42" s="1603">
        <f>SUM(L43:L44)</f>
        <v>0</v>
      </c>
      <c r="M42" s="1601">
        <f t="shared" si="19"/>
        <v>0</v>
      </c>
      <c r="N42" s="1601">
        <f t="shared" si="19"/>
        <v>0</v>
      </c>
      <c r="O42" s="1601">
        <f t="shared" si="19"/>
        <v>0</v>
      </c>
      <c r="P42" s="1593"/>
      <c r="Q42" s="1593"/>
      <c r="R42" s="1602">
        <f t="shared" si="22"/>
        <v>0</v>
      </c>
      <c r="S42" s="1603">
        <f>SUM(S43:S44)</f>
        <v>0</v>
      </c>
      <c r="T42" s="1603">
        <f>SUM(T43:T44)</f>
        <v>0</v>
      </c>
      <c r="U42" s="1602">
        <f t="shared" si="23"/>
        <v>0</v>
      </c>
      <c r="V42" s="1603">
        <f>SUM(V43:V44)</f>
        <v>0</v>
      </c>
      <c r="W42" s="1603">
        <f>SUM(W43:W44)</f>
        <v>0</v>
      </c>
    </row>
    <row r="43" spans="1:23" s="484" customFormat="1" ht="42.75" customHeight="1">
      <c r="A43" s="1984"/>
      <c r="B43" s="1889" t="s">
        <v>1623</v>
      </c>
      <c r="C43" s="1882"/>
      <c r="D43" s="1602">
        <f t="shared" si="20"/>
        <v>39965.599999999999</v>
      </c>
      <c r="E43" s="1616">
        <v>37567.599999999999</v>
      </c>
      <c r="F43" s="1616">
        <v>2398</v>
      </c>
      <c r="G43" s="1602">
        <f t="shared" si="18"/>
        <v>39965.599999999999</v>
      </c>
      <c r="H43" s="1616">
        <v>37567.599999999999</v>
      </c>
      <c r="I43" s="1616">
        <v>2398</v>
      </c>
      <c r="J43" s="1602">
        <f t="shared" si="15"/>
        <v>0</v>
      </c>
      <c r="K43" s="1616"/>
      <c r="L43" s="1616"/>
      <c r="M43" s="1604">
        <f t="shared" si="19"/>
        <v>0</v>
      </c>
      <c r="N43" s="1881">
        <f t="shared" si="19"/>
        <v>0</v>
      </c>
      <c r="O43" s="1881">
        <f t="shared" si="19"/>
        <v>0</v>
      </c>
      <c r="P43" s="1593"/>
      <c r="Q43" s="1593"/>
      <c r="R43" s="1602">
        <f t="shared" si="22"/>
        <v>0</v>
      </c>
      <c r="S43" s="1614">
        <v>0</v>
      </c>
      <c r="T43" s="1614">
        <v>0</v>
      </c>
      <c r="U43" s="1602">
        <f t="shared" si="23"/>
        <v>0</v>
      </c>
      <c r="V43" s="1614">
        <v>0</v>
      </c>
      <c r="W43" s="1614">
        <v>0</v>
      </c>
    </row>
    <row r="44" spans="1:23" s="484" customFormat="1" ht="44.25" customHeight="1">
      <c r="A44" s="1984"/>
      <c r="B44" s="1889" t="s">
        <v>1660</v>
      </c>
      <c r="C44" s="1882"/>
      <c r="D44" s="1616">
        <f t="shared" si="20"/>
        <v>35698.6</v>
      </c>
      <c r="E44" s="1616">
        <f t="shared" ref="E44:L44" si="24">E45</f>
        <v>0</v>
      </c>
      <c r="F44" s="1616">
        <f t="shared" si="24"/>
        <v>35698.6</v>
      </c>
      <c r="G44" s="1616">
        <f t="shared" si="18"/>
        <v>35698.6</v>
      </c>
      <c r="H44" s="1616">
        <f t="shared" si="24"/>
        <v>0</v>
      </c>
      <c r="I44" s="1616">
        <f t="shared" si="24"/>
        <v>35698.6</v>
      </c>
      <c r="J44" s="1616">
        <f t="shared" si="15"/>
        <v>0</v>
      </c>
      <c r="K44" s="1616">
        <f t="shared" si="24"/>
        <v>0</v>
      </c>
      <c r="L44" s="1616">
        <f t="shared" si="24"/>
        <v>0</v>
      </c>
      <c r="M44" s="1604">
        <f t="shared" si="19"/>
        <v>0</v>
      </c>
      <c r="N44" s="1881">
        <f t="shared" si="19"/>
        <v>0</v>
      </c>
      <c r="O44" s="1881">
        <f t="shared" si="19"/>
        <v>0</v>
      </c>
      <c r="P44" s="1593"/>
      <c r="Q44" s="1593"/>
      <c r="R44" s="1616">
        <f t="shared" si="22"/>
        <v>0</v>
      </c>
      <c r="S44" s="1616">
        <f>S45</f>
        <v>0</v>
      </c>
      <c r="T44" s="1616">
        <f>T45</f>
        <v>0</v>
      </c>
      <c r="U44" s="1616">
        <f t="shared" si="23"/>
        <v>0</v>
      </c>
      <c r="V44" s="1616">
        <f>V45</f>
        <v>0</v>
      </c>
      <c r="W44" s="1616">
        <f>W45</f>
        <v>0</v>
      </c>
    </row>
    <row r="45" spans="1:23" s="484" customFormat="1">
      <c r="A45" s="1984"/>
      <c r="B45" s="1619" t="s">
        <v>1621</v>
      </c>
      <c r="C45" s="1906"/>
      <c r="D45" s="1602">
        <f t="shared" si="20"/>
        <v>35698.6</v>
      </c>
      <c r="E45" s="1864"/>
      <c r="F45" s="1864">
        <v>35698.6</v>
      </c>
      <c r="G45" s="1602">
        <f t="shared" si="18"/>
        <v>35698.6</v>
      </c>
      <c r="H45" s="1864"/>
      <c r="I45" s="1864">
        <v>35698.6</v>
      </c>
      <c r="J45" s="1602">
        <f t="shared" si="15"/>
        <v>0</v>
      </c>
      <c r="K45" s="1864"/>
      <c r="L45" s="1864"/>
      <c r="M45" s="1600">
        <f t="shared" si="19"/>
        <v>0</v>
      </c>
      <c r="N45" s="1907">
        <f t="shared" si="19"/>
        <v>0</v>
      </c>
      <c r="O45" s="1907">
        <f t="shared" si="19"/>
        <v>0</v>
      </c>
      <c r="P45" s="1593"/>
      <c r="Q45" s="1593"/>
      <c r="R45" s="1609">
        <f t="shared" si="22"/>
        <v>0</v>
      </c>
      <c r="S45" s="1614">
        <v>0</v>
      </c>
      <c r="T45" s="1614">
        <v>0</v>
      </c>
      <c r="U45" s="1602">
        <f t="shared" si="23"/>
        <v>0</v>
      </c>
      <c r="V45" s="1614">
        <v>0</v>
      </c>
      <c r="W45" s="1614">
        <v>0</v>
      </c>
    </row>
    <row r="46" spans="1:23" s="484" customFormat="1">
      <c r="A46" s="1984"/>
      <c r="B46" s="1983" t="s">
        <v>1626</v>
      </c>
      <c r="C46" s="1882"/>
      <c r="D46" s="1602">
        <f t="shared" si="20"/>
        <v>2446</v>
      </c>
      <c r="E46" s="1603">
        <f>E47</f>
        <v>0</v>
      </c>
      <c r="F46" s="1603">
        <f>F47</f>
        <v>2446</v>
      </c>
      <c r="G46" s="1602">
        <f t="shared" si="18"/>
        <v>2446</v>
      </c>
      <c r="H46" s="1603">
        <f>H47</f>
        <v>0</v>
      </c>
      <c r="I46" s="1603">
        <f>I47</f>
        <v>2446</v>
      </c>
      <c r="J46" s="1602">
        <f t="shared" si="15"/>
        <v>0</v>
      </c>
      <c r="K46" s="1603">
        <f>K47</f>
        <v>0</v>
      </c>
      <c r="L46" s="1603">
        <f>L47</f>
        <v>0</v>
      </c>
      <c r="M46" s="1601">
        <f t="shared" si="19"/>
        <v>0</v>
      </c>
      <c r="N46" s="1601">
        <f t="shared" si="19"/>
        <v>0</v>
      </c>
      <c r="O46" s="1601">
        <f t="shared" si="19"/>
        <v>0</v>
      </c>
      <c r="P46" s="1593"/>
      <c r="Q46" s="1593"/>
      <c r="R46" s="1602">
        <f t="shared" si="22"/>
        <v>0</v>
      </c>
      <c r="S46" s="1603">
        <f>S47</f>
        <v>0</v>
      </c>
      <c r="T46" s="1603">
        <f>T47</f>
        <v>0</v>
      </c>
      <c r="U46" s="1602">
        <f t="shared" si="23"/>
        <v>0</v>
      </c>
      <c r="V46" s="1603">
        <f>V47</f>
        <v>0</v>
      </c>
      <c r="W46" s="1603">
        <f>W47</f>
        <v>0</v>
      </c>
    </row>
    <row r="47" spans="1:23" s="484" customFormat="1" ht="37.5">
      <c r="A47" s="1984"/>
      <c r="B47" s="1889" t="s">
        <v>1627</v>
      </c>
      <c r="C47" s="1882"/>
      <c r="D47" s="1600">
        <f t="shared" si="20"/>
        <v>2446</v>
      </c>
      <c r="E47" s="1608">
        <f>E48</f>
        <v>0</v>
      </c>
      <c r="F47" s="1608">
        <f>F48</f>
        <v>2446</v>
      </c>
      <c r="G47" s="1600">
        <f t="shared" si="18"/>
        <v>2446</v>
      </c>
      <c r="H47" s="1608">
        <f>H48</f>
        <v>0</v>
      </c>
      <c r="I47" s="1608">
        <f>I48</f>
        <v>2446</v>
      </c>
      <c r="J47" s="1600">
        <f t="shared" si="15"/>
        <v>0</v>
      </c>
      <c r="K47" s="1608">
        <f>K48</f>
        <v>0</v>
      </c>
      <c r="L47" s="1608">
        <f>L48</f>
        <v>0</v>
      </c>
      <c r="M47" s="1604">
        <f t="shared" si="19"/>
        <v>0</v>
      </c>
      <c r="N47" s="1881">
        <f t="shared" si="19"/>
        <v>0</v>
      </c>
      <c r="O47" s="1881">
        <f t="shared" si="19"/>
        <v>0</v>
      </c>
      <c r="P47" s="1593"/>
      <c r="Q47" s="1593"/>
      <c r="R47" s="1600">
        <f t="shared" si="22"/>
        <v>0</v>
      </c>
      <c r="S47" s="1608">
        <f>S48</f>
        <v>0</v>
      </c>
      <c r="T47" s="1608">
        <f>T48</f>
        <v>0</v>
      </c>
      <c r="U47" s="1600">
        <f t="shared" si="23"/>
        <v>0</v>
      </c>
      <c r="V47" s="1608">
        <f>V48</f>
        <v>0</v>
      </c>
      <c r="W47" s="1608">
        <f>W48</f>
        <v>0</v>
      </c>
    </row>
    <row r="48" spans="1:23" s="484" customFormat="1">
      <c r="A48" s="1984"/>
      <c r="B48" s="1619" t="s">
        <v>1621</v>
      </c>
      <c r="C48" s="1906"/>
      <c r="D48" s="1600">
        <f t="shared" si="20"/>
        <v>2446</v>
      </c>
      <c r="E48" s="1865"/>
      <c r="F48" s="1865">
        <v>2446</v>
      </c>
      <c r="G48" s="1600">
        <f t="shared" si="18"/>
        <v>2446</v>
      </c>
      <c r="H48" s="1865"/>
      <c r="I48" s="1865">
        <v>2446</v>
      </c>
      <c r="J48" s="1600">
        <f t="shared" si="15"/>
        <v>0</v>
      </c>
      <c r="K48" s="1865"/>
      <c r="L48" s="1865"/>
      <c r="M48" s="1600">
        <f t="shared" si="19"/>
        <v>0</v>
      </c>
      <c r="N48" s="1907">
        <f t="shared" si="19"/>
        <v>0</v>
      </c>
      <c r="O48" s="1907">
        <f t="shared" si="19"/>
        <v>0</v>
      </c>
      <c r="P48" s="1593"/>
      <c r="Q48" s="1593"/>
      <c r="R48" s="1600">
        <f t="shared" si="22"/>
        <v>0</v>
      </c>
      <c r="S48" s="1614">
        <v>0</v>
      </c>
      <c r="T48" s="1614">
        <v>0</v>
      </c>
      <c r="U48" s="1600">
        <f t="shared" si="23"/>
        <v>0</v>
      </c>
      <c r="V48" s="1614">
        <v>0</v>
      </c>
      <c r="W48" s="1614">
        <v>0</v>
      </c>
    </row>
    <row r="49" spans="1:23">
      <c r="A49" s="1991" t="s">
        <v>2</v>
      </c>
      <c r="B49" s="1992" t="s">
        <v>1695</v>
      </c>
      <c r="C49" s="1873"/>
      <c r="D49" s="1987">
        <f>D50+D65</f>
        <v>2730951.3</v>
      </c>
      <c r="E49" s="1987">
        <f t="shared" ref="E49:L49" si="25">E50+E65</f>
        <v>2432463.7000000002</v>
      </c>
      <c r="F49" s="1987">
        <f>F50+F65</f>
        <v>298487.59999999998</v>
      </c>
      <c r="G49" s="1987">
        <f t="shared" si="25"/>
        <v>2730951.3</v>
      </c>
      <c r="H49" s="1987">
        <f t="shared" si="25"/>
        <v>2432463.7000000002</v>
      </c>
      <c r="I49" s="1987">
        <f t="shared" si="25"/>
        <v>298487.59999999998</v>
      </c>
      <c r="J49" s="1987">
        <f t="shared" si="25"/>
        <v>94750.1</v>
      </c>
      <c r="K49" s="1987">
        <f t="shared" si="25"/>
        <v>89063.6</v>
      </c>
      <c r="L49" s="1987">
        <f t="shared" si="25"/>
        <v>5686.5</v>
      </c>
      <c r="M49" s="1993">
        <f t="shared" si="19"/>
        <v>3.5</v>
      </c>
      <c r="N49" s="1994">
        <f t="shared" si="19"/>
        <v>3.7</v>
      </c>
      <c r="O49" s="1994">
        <f t="shared" si="19"/>
        <v>1.9</v>
      </c>
      <c r="P49" s="1622" t="s">
        <v>353</v>
      </c>
      <c r="Q49" s="1622" t="s">
        <v>353</v>
      </c>
      <c r="R49" s="1861" t="e">
        <f t="shared" si="22"/>
        <v>#REF!</v>
      </c>
      <c r="S49" s="1861" t="e">
        <f>SUM(#REF!,#REF!)</f>
        <v>#REF!</v>
      </c>
      <c r="T49" s="1861" t="e">
        <f>SUM(#REF!,#REF!)</f>
        <v>#REF!</v>
      </c>
      <c r="U49" s="1861" t="e">
        <f t="shared" si="23"/>
        <v>#REF!</v>
      </c>
      <c r="V49" s="1861" t="e">
        <f>SUM(#REF!,#REF!)</f>
        <v>#REF!</v>
      </c>
      <c r="W49" s="1861" t="e">
        <f>SUM(#REF!,#REF!)</f>
        <v>#REF!</v>
      </c>
    </row>
    <row r="50" spans="1:23" s="484" customFormat="1">
      <c r="A50" s="1984" t="s">
        <v>50</v>
      </c>
      <c r="B50" s="1917" t="s">
        <v>1692</v>
      </c>
      <c r="C50" s="1898"/>
      <c r="D50" s="1860">
        <f>SUM(E50:F50)</f>
        <v>55300</v>
      </c>
      <c r="E50" s="1860">
        <f>SUM(E51:E57)</f>
        <v>0</v>
      </c>
      <c r="F50" s="1860">
        <f>SUM(F51:F57)</f>
        <v>55300</v>
      </c>
      <c r="G50" s="1860">
        <f t="shared" si="18"/>
        <v>55300</v>
      </c>
      <c r="H50" s="1860">
        <f>SUM(H51:H57)</f>
        <v>0</v>
      </c>
      <c r="I50" s="1860">
        <f>SUM(I51:I57)</f>
        <v>55300</v>
      </c>
      <c r="J50" s="1860">
        <f t="shared" si="15"/>
        <v>0</v>
      </c>
      <c r="K50" s="1860">
        <f>SUM(K51:K57)</f>
        <v>0</v>
      </c>
      <c r="L50" s="1860">
        <f>SUM(L51:L57)</f>
        <v>0</v>
      </c>
      <c r="M50" s="1989">
        <f t="shared" si="19"/>
        <v>0</v>
      </c>
      <c r="N50" s="1990">
        <f t="shared" si="19"/>
        <v>0</v>
      </c>
      <c r="O50" s="1990">
        <f t="shared" si="19"/>
        <v>0</v>
      </c>
      <c r="P50" s="1902" t="e">
        <f>SUM(#REF!+#REF!+P65)</f>
        <v>#REF!</v>
      </c>
      <c r="Q50" s="1902" t="e">
        <f>SUM(#REF!+#REF!+Q65)</f>
        <v>#REF!</v>
      </c>
      <c r="R50" s="1899">
        <f t="shared" si="22"/>
        <v>1000</v>
      </c>
      <c r="S50" s="1899">
        <f>SUM(S51:S57)</f>
        <v>0</v>
      </c>
      <c r="T50" s="1899">
        <f>SUM(T51:T57)</f>
        <v>1000</v>
      </c>
      <c r="U50" s="1899">
        <f t="shared" si="23"/>
        <v>0</v>
      </c>
      <c r="V50" s="1899">
        <f>SUM(V51:V57)</f>
        <v>0</v>
      </c>
      <c r="W50" s="1899">
        <f>SUM(W51:W57)</f>
        <v>0</v>
      </c>
    </row>
    <row r="51" spans="1:23" ht="37.5" customHeight="1">
      <c r="A51" s="1984"/>
      <c r="B51" s="1912" t="s">
        <v>1591</v>
      </c>
      <c r="C51" s="1913">
        <v>14098</v>
      </c>
      <c r="D51" s="1600">
        <f>SUM(E51:F51)</f>
        <v>1800</v>
      </c>
      <c r="E51" s="1608"/>
      <c r="F51" s="1608">
        <v>1800</v>
      </c>
      <c r="G51" s="1600">
        <f t="shared" si="18"/>
        <v>1800</v>
      </c>
      <c r="H51" s="1608"/>
      <c r="I51" s="1608">
        <v>1800</v>
      </c>
      <c r="J51" s="1600">
        <f t="shared" ref="J51:J57" si="26">SUM(K51:L51)</f>
        <v>0</v>
      </c>
      <c r="K51" s="1608"/>
      <c r="L51" s="1608"/>
      <c r="M51" s="1893">
        <f t="shared" si="19"/>
        <v>0</v>
      </c>
      <c r="N51" s="1894">
        <f t="shared" si="19"/>
        <v>0</v>
      </c>
      <c r="O51" s="1894">
        <f t="shared" si="19"/>
        <v>0</v>
      </c>
      <c r="P51" s="1593"/>
      <c r="Q51" s="1593"/>
      <c r="R51" s="1600">
        <f>SUM(S51:T51)</f>
        <v>0</v>
      </c>
      <c r="S51" s="1614">
        <v>0</v>
      </c>
      <c r="T51" s="1614">
        <v>0</v>
      </c>
      <c r="U51" s="1600">
        <f>SUM(V51:W51)</f>
        <v>0</v>
      </c>
      <c r="V51" s="1608">
        <v>0</v>
      </c>
      <c r="W51" s="1608">
        <v>0</v>
      </c>
    </row>
    <row r="52" spans="1:23" s="1607" customFormat="1" ht="63" customHeight="1">
      <c r="A52" s="1984"/>
      <c r="B52" s="521" t="s">
        <v>1661</v>
      </c>
      <c r="C52" s="1882"/>
      <c r="D52" s="1600">
        <f>SUM(E52:F52)</f>
        <v>1000</v>
      </c>
      <c r="E52" s="1608"/>
      <c r="F52" s="1608">
        <v>1000</v>
      </c>
      <c r="G52" s="1600">
        <f t="shared" si="18"/>
        <v>1000</v>
      </c>
      <c r="H52" s="1608"/>
      <c r="I52" s="1608">
        <v>1000</v>
      </c>
      <c r="J52" s="1600">
        <f t="shared" si="26"/>
        <v>0</v>
      </c>
      <c r="K52" s="1608"/>
      <c r="L52" s="1608"/>
      <c r="M52" s="1604">
        <f t="shared" si="19"/>
        <v>0</v>
      </c>
      <c r="N52" s="1881">
        <f t="shared" si="19"/>
        <v>0</v>
      </c>
      <c r="O52" s="1881">
        <f t="shared" si="19"/>
        <v>0</v>
      </c>
      <c r="P52" s="1593"/>
      <c r="Q52" s="1593"/>
      <c r="R52" s="1600">
        <f>SUM(S52:T52)</f>
        <v>0</v>
      </c>
      <c r="S52" s="1614">
        <v>0</v>
      </c>
      <c r="T52" s="1614">
        <v>0</v>
      </c>
      <c r="U52" s="1600">
        <f>SUM(V52:W52)</f>
        <v>0</v>
      </c>
      <c r="V52" s="1608">
        <v>0</v>
      </c>
      <c r="W52" s="1608">
        <v>0</v>
      </c>
    </row>
    <row r="53" spans="1:23" s="1570" customFormat="1" ht="42.75" customHeight="1">
      <c r="A53" s="1984"/>
      <c r="B53" s="1885" t="s">
        <v>1676</v>
      </c>
      <c r="C53" s="1880"/>
      <c r="D53" s="1600">
        <f t="shared" si="20"/>
        <v>1000</v>
      </c>
      <c r="E53" s="1614"/>
      <c r="F53" s="1614">
        <v>1000</v>
      </c>
      <c r="G53" s="1600">
        <f t="shared" si="18"/>
        <v>1000</v>
      </c>
      <c r="H53" s="1614"/>
      <c r="I53" s="1614">
        <v>1000</v>
      </c>
      <c r="J53" s="1600">
        <f t="shared" si="26"/>
        <v>0</v>
      </c>
      <c r="K53" s="1614"/>
      <c r="L53" s="1614"/>
      <c r="M53" s="1604">
        <f t="shared" si="19"/>
        <v>0</v>
      </c>
      <c r="N53" s="1881">
        <f t="shared" si="19"/>
        <v>0</v>
      </c>
      <c r="O53" s="1881">
        <f t="shared" si="19"/>
        <v>0</v>
      </c>
      <c r="P53" s="1593"/>
      <c r="Q53" s="1612"/>
      <c r="R53" s="1600">
        <f t="shared" si="22"/>
        <v>0</v>
      </c>
      <c r="S53" s="1614">
        <v>0</v>
      </c>
      <c r="T53" s="1614">
        <v>0</v>
      </c>
      <c r="U53" s="1600">
        <f t="shared" si="23"/>
        <v>0</v>
      </c>
      <c r="V53" s="1608">
        <v>0</v>
      </c>
      <c r="W53" s="1608">
        <v>0</v>
      </c>
    </row>
    <row r="54" spans="1:23" s="1570" customFormat="1" ht="43.5" customHeight="1">
      <c r="A54" s="1984"/>
      <c r="B54" s="1888" t="s">
        <v>1596</v>
      </c>
      <c r="C54" s="1880"/>
      <c r="D54" s="1600">
        <f t="shared" si="20"/>
        <v>1500</v>
      </c>
      <c r="E54" s="1614"/>
      <c r="F54" s="1614">
        <f>1500</f>
        <v>1500</v>
      </c>
      <c r="G54" s="1600">
        <f t="shared" si="18"/>
        <v>1500</v>
      </c>
      <c r="H54" s="1614"/>
      <c r="I54" s="1614">
        <v>1500</v>
      </c>
      <c r="J54" s="1600">
        <f t="shared" si="26"/>
        <v>0</v>
      </c>
      <c r="K54" s="1614"/>
      <c r="L54" s="1614"/>
      <c r="M54" s="1604">
        <f t="shared" si="19"/>
        <v>0</v>
      </c>
      <c r="N54" s="1881">
        <f t="shared" si="19"/>
        <v>0</v>
      </c>
      <c r="O54" s="1881">
        <f t="shared" si="19"/>
        <v>0</v>
      </c>
      <c r="P54" s="1593"/>
      <c r="Q54" s="1612"/>
      <c r="R54" s="1600">
        <f t="shared" si="22"/>
        <v>0</v>
      </c>
      <c r="S54" s="1614">
        <v>0</v>
      </c>
      <c r="T54" s="1614">
        <v>0</v>
      </c>
      <c r="U54" s="1600">
        <f t="shared" si="23"/>
        <v>0</v>
      </c>
      <c r="V54" s="1608">
        <v>0</v>
      </c>
      <c r="W54" s="1608">
        <v>0</v>
      </c>
    </row>
    <row r="55" spans="1:23" s="484" customFormat="1" ht="49.5" customHeight="1">
      <c r="A55" s="1984"/>
      <c r="B55" s="1915" t="s">
        <v>694</v>
      </c>
      <c r="C55" s="1866" t="s">
        <v>1548</v>
      </c>
      <c r="D55" s="1600">
        <f t="shared" si="20"/>
        <v>19000</v>
      </c>
      <c r="E55" s="1614"/>
      <c r="F55" s="1614">
        <v>19000</v>
      </c>
      <c r="G55" s="1600">
        <f t="shared" si="18"/>
        <v>19000</v>
      </c>
      <c r="H55" s="1614"/>
      <c r="I55" s="1614">
        <v>19000</v>
      </c>
      <c r="J55" s="1600">
        <f t="shared" si="26"/>
        <v>0</v>
      </c>
      <c r="K55" s="1614"/>
      <c r="L55" s="1614"/>
      <c r="M55" s="1893">
        <f t="shared" si="19"/>
        <v>0</v>
      </c>
      <c r="N55" s="1894">
        <f t="shared" si="19"/>
        <v>0</v>
      </c>
      <c r="O55" s="1894">
        <f t="shared" si="19"/>
        <v>0</v>
      </c>
      <c r="P55" s="1593" t="s">
        <v>1272</v>
      </c>
      <c r="Q55" s="1593" t="s">
        <v>1273</v>
      </c>
      <c r="R55" s="1600">
        <f t="shared" si="22"/>
        <v>1000</v>
      </c>
      <c r="S55" s="1614">
        <v>0</v>
      </c>
      <c r="T55" s="1614">
        <v>1000</v>
      </c>
      <c r="U55" s="1600">
        <f t="shared" si="23"/>
        <v>0</v>
      </c>
      <c r="V55" s="1608">
        <v>0</v>
      </c>
      <c r="W55" s="1608">
        <v>0</v>
      </c>
    </row>
    <row r="56" spans="1:23" s="1607" customFormat="1" ht="55.5" customHeight="1">
      <c r="A56" s="1984"/>
      <c r="B56" s="1914" t="s">
        <v>1600</v>
      </c>
      <c r="C56" s="1984"/>
      <c r="D56" s="1600">
        <f t="shared" si="20"/>
        <v>1000</v>
      </c>
      <c r="E56" s="1608"/>
      <c r="F56" s="1608">
        <v>1000</v>
      </c>
      <c r="G56" s="1600">
        <f t="shared" si="18"/>
        <v>1000</v>
      </c>
      <c r="H56" s="1608"/>
      <c r="I56" s="1608">
        <v>1000</v>
      </c>
      <c r="J56" s="1600">
        <f t="shared" si="26"/>
        <v>0</v>
      </c>
      <c r="K56" s="1608"/>
      <c r="L56" s="1608"/>
      <c r="M56" s="1604">
        <f t="shared" si="19"/>
        <v>0</v>
      </c>
      <c r="N56" s="1881">
        <f t="shared" si="19"/>
        <v>0</v>
      </c>
      <c r="O56" s="1881">
        <f t="shared" si="19"/>
        <v>0</v>
      </c>
      <c r="P56" s="1593"/>
      <c r="Q56" s="1593"/>
      <c r="R56" s="1600">
        <f t="shared" si="22"/>
        <v>0</v>
      </c>
      <c r="S56" s="1608">
        <v>0</v>
      </c>
      <c r="T56" s="1608">
        <v>0</v>
      </c>
      <c r="U56" s="1600">
        <f t="shared" si="23"/>
        <v>0</v>
      </c>
      <c r="V56" s="1608">
        <v>0</v>
      </c>
      <c r="W56" s="1608">
        <v>0</v>
      </c>
    </row>
    <row r="57" spans="1:23" s="484" customFormat="1" ht="53.25" customHeight="1">
      <c r="A57" s="1984"/>
      <c r="B57" s="1915" t="s">
        <v>698</v>
      </c>
      <c r="C57" s="1866"/>
      <c r="D57" s="1600">
        <f t="shared" ref="D57:D114" si="27">SUM(E57:F57)</f>
        <v>30000</v>
      </c>
      <c r="E57" s="1614"/>
      <c r="F57" s="1614">
        <v>30000</v>
      </c>
      <c r="G57" s="1600">
        <f t="shared" si="18"/>
        <v>30000</v>
      </c>
      <c r="H57" s="1614"/>
      <c r="I57" s="1614">
        <v>30000</v>
      </c>
      <c r="J57" s="1600">
        <f t="shared" si="26"/>
        <v>0</v>
      </c>
      <c r="K57" s="1614"/>
      <c r="L57" s="1614"/>
      <c r="M57" s="1893">
        <f t="shared" si="19"/>
        <v>0</v>
      </c>
      <c r="N57" s="1894">
        <f t="shared" si="19"/>
        <v>0</v>
      </c>
      <c r="O57" s="1894">
        <f t="shared" si="19"/>
        <v>0</v>
      </c>
      <c r="P57" s="1593" t="s">
        <v>1306</v>
      </c>
      <c r="Q57" s="1593" t="s">
        <v>1277</v>
      </c>
      <c r="R57" s="1600">
        <f t="shared" si="22"/>
        <v>0</v>
      </c>
      <c r="S57" s="1608">
        <v>0</v>
      </c>
      <c r="T57" s="1608">
        <v>0</v>
      </c>
      <c r="U57" s="1600">
        <f t="shared" si="23"/>
        <v>0</v>
      </c>
      <c r="V57" s="1608">
        <v>0</v>
      </c>
      <c r="W57" s="1608">
        <v>0</v>
      </c>
    </row>
    <row r="58" spans="1:23" ht="37.5" hidden="1">
      <c r="A58" s="1984" t="e">
        <f>#REF!+1</f>
        <v>#REF!</v>
      </c>
      <c r="B58" s="1888" t="s">
        <v>1645</v>
      </c>
      <c r="C58" s="1866"/>
      <c r="D58" s="1600">
        <f>E58+F58</f>
        <v>0</v>
      </c>
      <c r="E58" s="1614">
        <v>0</v>
      </c>
      <c r="F58" s="1614">
        <v>0</v>
      </c>
      <c r="G58" s="1600">
        <f>H58+I58</f>
        <v>0</v>
      </c>
      <c r="H58" s="1614">
        <v>0</v>
      </c>
      <c r="I58" s="1614">
        <v>0</v>
      </c>
      <c r="J58" s="1600">
        <f>K58+L58</f>
        <v>0</v>
      </c>
      <c r="K58" s="1614"/>
      <c r="L58" s="1614"/>
      <c r="M58" s="1600">
        <v>0</v>
      </c>
      <c r="N58" s="1614">
        <v>0</v>
      </c>
      <c r="O58" s="1614">
        <v>0</v>
      </c>
      <c r="P58" s="1593"/>
      <c r="Q58" s="1593"/>
      <c r="R58" s="1600">
        <f>S58+T58</f>
        <v>416896.2</v>
      </c>
      <c r="S58" s="1614">
        <v>412727.2</v>
      </c>
      <c r="T58" s="1614">
        <v>4169</v>
      </c>
      <c r="U58" s="1600">
        <f>V58+W58</f>
        <v>416896.2</v>
      </c>
      <c r="V58" s="1614">
        <v>412727.2</v>
      </c>
      <c r="W58" s="1614">
        <v>4169</v>
      </c>
    </row>
    <row r="59" spans="1:23" ht="43.5" hidden="1" customHeight="1">
      <c r="A59" s="1984"/>
      <c r="B59" s="1897" t="s">
        <v>1648</v>
      </c>
      <c r="C59" s="1899">
        <v>47690.1</v>
      </c>
      <c r="D59" s="1899">
        <f>D60+D62+D61</f>
        <v>0</v>
      </c>
      <c r="E59" s="1899">
        <f t="shared" ref="E59:W59" si="28">E60+E62+E61</f>
        <v>0</v>
      </c>
      <c r="F59" s="1899">
        <f t="shared" si="28"/>
        <v>0</v>
      </c>
      <c r="G59" s="1899">
        <f t="shared" si="28"/>
        <v>0</v>
      </c>
      <c r="H59" s="1899">
        <f t="shared" si="28"/>
        <v>0</v>
      </c>
      <c r="I59" s="1899">
        <f t="shared" si="28"/>
        <v>0</v>
      </c>
      <c r="J59" s="1899">
        <f t="shared" si="28"/>
        <v>0</v>
      </c>
      <c r="K59" s="1899">
        <f t="shared" si="28"/>
        <v>0</v>
      </c>
      <c r="L59" s="1899">
        <f t="shared" si="28"/>
        <v>0</v>
      </c>
      <c r="M59" s="1899">
        <f t="shared" si="28"/>
        <v>0</v>
      </c>
      <c r="N59" s="1899">
        <f t="shared" si="28"/>
        <v>0</v>
      </c>
      <c r="O59" s="1899">
        <f t="shared" si="28"/>
        <v>0</v>
      </c>
      <c r="P59" s="1899">
        <f t="shared" si="28"/>
        <v>0</v>
      </c>
      <c r="Q59" s="1899">
        <f t="shared" si="28"/>
        <v>0</v>
      </c>
      <c r="R59" s="1899">
        <f t="shared" si="28"/>
        <v>182695.3</v>
      </c>
      <c r="S59" s="1899">
        <f t="shared" si="28"/>
        <v>180868.3</v>
      </c>
      <c r="T59" s="1899">
        <f t="shared" si="28"/>
        <v>1827</v>
      </c>
      <c r="U59" s="1899">
        <f t="shared" si="28"/>
        <v>272422.7</v>
      </c>
      <c r="V59" s="1899">
        <f t="shared" si="28"/>
        <v>269698.5</v>
      </c>
      <c r="W59" s="1899">
        <f t="shared" si="28"/>
        <v>2724.2</v>
      </c>
    </row>
    <row r="60" spans="1:23" ht="39.75" hidden="1" customHeight="1">
      <c r="A60" s="1984" t="e">
        <f>#REF!+1</f>
        <v>#REF!</v>
      </c>
      <c r="B60" s="1916" t="s">
        <v>1467</v>
      </c>
      <c r="C60" s="1866"/>
      <c r="D60" s="1600">
        <v>0</v>
      </c>
      <c r="E60" s="1614">
        <v>0</v>
      </c>
      <c r="F60" s="1614">
        <v>0</v>
      </c>
      <c r="G60" s="1600">
        <v>0</v>
      </c>
      <c r="H60" s="1614">
        <v>0</v>
      </c>
      <c r="I60" s="1614">
        <v>0</v>
      </c>
      <c r="J60" s="1600">
        <v>0</v>
      </c>
      <c r="K60" s="1614">
        <v>0</v>
      </c>
      <c r="L60" s="1614">
        <v>0</v>
      </c>
      <c r="M60" s="1893"/>
      <c r="N60" s="1894"/>
      <c r="O60" s="1894"/>
      <c r="P60" s="1593"/>
      <c r="Q60" s="1593"/>
      <c r="R60" s="1600">
        <f>S60+T60</f>
        <v>82695.3</v>
      </c>
      <c r="S60" s="1614">
        <v>81868.3</v>
      </c>
      <c r="T60" s="1614">
        <v>827</v>
      </c>
      <c r="U60" s="1600">
        <f>V60+W60</f>
        <v>69829.7</v>
      </c>
      <c r="V60" s="1614">
        <v>69131.7</v>
      </c>
      <c r="W60" s="1614">
        <v>698</v>
      </c>
    </row>
    <row r="61" spans="1:23" ht="56.25" hidden="1" customHeight="1">
      <c r="A61" s="1984" t="e">
        <f>A60+1</f>
        <v>#REF!</v>
      </c>
      <c r="B61" s="1916" t="s">
        <v>1647</v>
      </c>
      <c r="C61" s="1866"/>
      <c r="D61" s="1600">
        <v>0</v>
      </c>
      <c r="E61" s="1614">
        <v>0</v>
      </c>
      <c r="F61" s="1614">
        <v>0</v>
      </c>
      <c r="G61" s="1600">
        <v>0</v>
      </c>
      <c r="H61" s="1614">
        <v>0</v>
      </c>
      <c r="I61" s="1614">
        <v>0</v>
      </c>
      <c r="J61" s="1600">
        <v>0</v>
      </c>
      <c r="K61" s="1614">
        <v>0</v>
      </c>
      <c r="L61" s="1614">
        <v>0</v>
      </c>
      <c r="M61" s="1893"/>
      <c r="N61" s="1894"/>
      <c r="O61" s="1894"/>
      <c r="P61" s="1593"/>
      <c r="Q61" s="1593"/>
      <c r="R61" s="1600">
        <f>S61+T61</f>
        <v>100000</v>
      </c>
      <c r="S61" s="1614">
        <v>99000</v>
      </c>
      <c r="T61" s="1614">
        <v>1000</v>
      </c>
      <c r="U61" s="1600">
        <f>V61+W61</f>
        <v>0</v>
      </c>
      <c r="V61" s="1614">
        <v>0</v>
      </c>
      <c r="W61" s="1614">
        <v>0</v>
      </c>
    </row>
    <row r="62" spans="1:23" ht="36.75" hidden="1" customHeight="1">
      <c r="A62" s="1984" t="e">
        <f>A61+1</f>
        <v>#REF!</v>
      </c>
      <c r="B62" s="1916" t="s">
        <v>1646</v>
      </c>
      <c r="C62" s="1866"/>
      <c r="D62" s="1600">
        <f t="shared" si="27"/>
        <v>0</v>
      </c>
      <c r="E62" s="1614">
        <v>0</v>
      </c>
      <c r="F62" s="1614">
        <v>0</v>
      </c>
      <c r="G62" s="1600">
        <f t="shared" ref="G62:G115" si="29">SUM(H62:I62)</f>
        <v>0</v>
      </c>
      <c r="H62" s="1614">
        <v>0</v>
      </c>
      <c r="I62" s="1614">
        <v>0</v>
      </c>
      <c r="J62" s="1600">
        <f t="shared" ref="J62:J79" si="30">SUM(K62:L62)</f>
        <v>0</v>
      </c>
      <c r="K62" s="1614">
        <v>0</v>
      </c>
      <c r="L62" s="1614">
        <v>0</v>
      </c>
      <c r="M62" s="1600">
        <v>0</v>
      </c>
      <c r="N62" s="1614">
        <v>0</v>
      </c>
      <c r="O62" s="1614">
        <v>0</v>
      </c>
      <c r="P62" s="1593"/>
      <c r="Q62" s="1593"/>
      <c r="R62" s="1600">
        <f>S62+T62</f>
        <v>0</v>
      </c>
      <c r="S62" s="1614">
        <v>0</v>
      </c>
      <c r="T62" s="1614">
        <v>0</v>
      </c>
      <c r="U62" s="1600">
        <f>V62+W62</f>
        <v>202593</v>
      </c>
      <c r="V62" s="1614">
        <v>200566.8</v>
      </c>
      <c r="W62" s="1614">
        <v>2026.2</v>
      </c>
    </row>
    <row r="63" spans="1:23" ht="25.5" hidden="1" customHeight="1">
      <c r="A63" s="1984"/>
      <c r="B63" s="1897" t="s">
        <v>1650</v>
      </c>
      <c r="C63" s="1898"/>
      <c r="D63" s="1899">
        <f>SUM(E63:F63)</f>
        <v>0</v>
      </c>
      <c r="E63" s="1899">
        <f>SUM(E64)</f>
        <v>0</v>
      </c>
      <c r="F63" s="1899">
        <f>SUM(F64)</f>
        <v>0</v>
      </c>
      <c r="G63" s="1899">
        <f t="shared" si="29"/>
        <v>0</v>
      </c>
      <c r="H63" s="1899">
        <f>SUM(H64)</f>
        <v>0</v>
      </c>
      <c r="I63" s="1899">
        <f>SUM(I64)</f>
        <v>0</v>
      </c>
      <c r="J63" s="1899">
        <f>SUM(K63:L63)</f>
        <v>0</v>
      </c>
      <c r="K63" s="1899">
        <f>SUM(K64)</f>
        <v>0</v>
      </c>
      <c r="L63" s="1899">
        <f>SUM(L64)</f>
        <v>0</v>
      </c>
      <c r="M63" s="1910">
        <f>IF(J63=0,0,J63/G63*100)</f>
        <v>0</v>
      </c>
      <c r="N63" s="1911">
        <f>IF(K63=0,0,K63/H63*100)</f>
        <v>0</v>
      </c>
      <c r="O63" s="1911">
        <f>IF(L63=0,0,L63/I63*100)</f>
        <v>0</v>
      </c>
      <c r="P63" s="1599"/>
      <c r="Q63" s="1599"/>
      <c r="R63" s="1899">
        <f>SUM(S63:T63)</f>
        <v>0</v>
      </c>
      <c r="S63" s="1899">
        <f>SUM(S64)</f>
        <v>0</v>
      </c>
      <c r="T63" s="1899">
        <f>SUM(T64)</f>
        <v>0</v>
      </c>
      <c r="U63" s="1899">
        <f>SUM(V63:W63)</f>
        <v>788784.8</v>
      </c>
      <c r="V63" s="1899">
        <f>SUM(V64)</f>
        <v>780897</v>
      </c>
      <c r="W63" s="1899">
        <f>SUM(W64)</f>
        <v>7887.8</v>
      </c>
    </row>
    <row r="64" spans="1:23" s="1607" customFormat="1" ht="75" hidden="1">
      <c r="A64" s="1984" t="e">
        <f>#REF!+1</f>
        <v>#REF!</v>
      </c>
      <c r="B64" s="1890" t="s">
        <v>455</v>
      </c>
      <c r="C64" s="1880">
        <v>14057</v>
      </c>
      <c r="D64" s="1600">
        <f t="shared" si="27"/>
        <v>0</v>
      </c>
      <c r="E64" s="1614"/>
      <c r="F64" s="1614"/>
      <c r="G64" s="1600">
        <f t="shared" si="29"/>
        <v>0</v>
      </c>
      <c r="H64" s="1614"/>
      <c r="I64" s="1614"/>
      <c r="J64" s="1600">
        <f t="shared" si="30"/>
        <v>0</v>
      </c>
      <c r="K64" s="1614"/>
      <c r="L64" s="1614"/>
      <c r="M64" s="1604">
        <f t="shared" ref="M64:O116" si="31">IF(J64=0,0,J64/G64*100)</f>
        <v>0</v>
      </c>
      <c r="N64" s="1881">
        <f t="shared" si="31"/>
        <v>0</v>
      </c>
      <c r="O64" s="1881">
        <f t="shared" si="31"/>
        <v>0</v>
      </c>
      <c r="P64" s="1593" t="s">
        <v>1192</v>
      </c>
      <c r="Q64" s="1593" t="s">
        <v>1206</v>
      </c>
      <c r="R64" s="1600">
        <f>SUM(S64:T64)</f>
        <v>0</v>
      </c>
      <c r="S64" s="1614">
        <v>0</v>
      </c>
      <c r="T64" s="1614">
        <v>0</v>
      </c>
      <c r="U64" s="1600">
        <f>SUM(V64:W64)</f>
        <v>788784.8</v>
      </c>
      <c r="V64" s="1614">
        <v>780897</v>
      </c>
      <c r="W64" s="1614">
        <v>7887.8</v>
      </c>
    </row>
    <row r="65" spans="1:23">
      <c r="A65" s="1984" t="s">
        <v>4</v>
      </c>
      <c r="B65" s="1917" t="s">
        <v>1394</v>
      </c>
      <c r="C65" s="1918"/>
      <c r="D65" s="1860">
        <f>SUM(E65:F65)</f>
        <v>2675651.2999999998</v>
      </c>
      <c r="E65" s="1860">
        <f>E66+E68+E69+E70+E71+E72+E73+E74+E75+E76+E77+E83+E84+E85+E88+E89+E90+E91+E92+E93+E96+E99+E102+E105+E106+E107+E110+E111+E112+E113</f>
        <v>2432463.7000000002</v>
      </c>
      <c r="F65" s="1860">
        <f t="shared" ref="F65:W65" si="32">F66+F68+F69+F70+F71+F72+F73+F74+F75+F76+F77+F83+F84+F85+F88+F89+F90+F91+F92+F93+F96+F99+F102+F105+F106+F107+F110+F111+F112+F113</f>
        <v>243187.6</v>
      </c>
      <c r="G65" s="1860">
        <f t="shared" si="29"/>
        <v>2675651.2999999998</v>
      </c>
      <c r="H65" s="1860">
        <f>H66+H68+H69+H70+H71+H72+H73+H74+H75+H76+H77+H83+H84+H85+H88+H89+H90+H91+H92+H93+H96+H99+H102+H105+H106+H107+H110+H111+H112+H113</f>
        <v>2432463.7000000002</v>
      </c>
      <c r="I65" s="1860">
        <f>I66+I68+I69+I70+I71+I72+I73+I74+I75+I76+I77+I83+I84+I85+I88+I89+I90+I91+I92+I93+I96+I99+I102+I105+I106+I107+I110+I111+I112+I113</f>
        <v>243187.6</v>
      </c>
      <c r="J65" s="1860">
        <f t="shared" si="32"/>
        <v>94750.1</v>
      </c>
      <c r="K65" s="1860">
        <f t="shared" si="32"/>
        <v>89063.6</v>
      </c>
      <c r="L65" s="1860">
        <f t="shared" si="32"/>
        <v>5686.5</v>
      </c>
      <c r="M65" s="1860">
        <f t="shared" si="32"/>
        <v>81.099999999999994</v>
      </c>
      <c r="N65" s="1860">
        <f t="shared" si="32"/>
        <v>93.2</v>
      </c>
      <c r="O65" s="1860">
        <f t="shared" si="32"/>
        <v>57.6</v>
      </c>
      <c r="P65" s="1860" t="e">
        <f t="shared" si="32"/>
        <v>#VALUE!</v>
      </c>
      <c r="Q65" s="1860" t="e">
        <f t="shared" si="32"/>
        <v>#VALUE!</v>
      </c>
      <c r="R65" s="1860">
        <f t="shared" si="32"/>
        <v>887635.9</v>
      </c>
      <c r="S65" s="1860">
        <f t="shared" si="32"/>
        <v>0</v>
      </c>
      <c r="T65" s="1860">
        <f t="shared" si="32"/>
        <v>887635.9</v>
      </c>
      <c r="U65" s="1860">
        <f t="shared" si="32"/>
        <v>0</v>
      </c>
      <c r="V65" s="1860">
        <f t="shared" si="32"/>
        <v>0</v>
      </c>
      <c r="W65" s="1860">
        <f t="shared" si="32"/>
        <v>0</v>
      </c>
    </row>
    <row r="66" spans="1:23" ht="67.5" customHeight="1">
      <c r="A66" s="1984"/>
      <c r="B66" s="1919" t="s">
        <v>1633</v>
      </c>
      <c r="C66" s="1985"/>
      <c r="D66" s="1600">
        <f t="shared" si="27"/>
        <v>3988.8</v>
      </c>
      <c r="E66" s="1619">
        <f>E67</f>
        <v>0</v>
      </c>
      <c r="F66" s="1619">
        <f>F67</f>
        <v>3988.8</v>
      </c>
      <c r="G66" s="1600">
        <f t="shared" si="29"/>
        <v>3988.8</v>
      </c>
      <c r="H66" s="1619">
        <f>H67</f>
        <v>0</v>
      </c>
      <c r="I66" s="1619">
        <f>I67</f>
        <v>3988.8</v>
      </c>
      <c r="J66" s="1600">
        <f t="shared" si="30"/>
        <v>0</v>
      </c>
      <c r="K66" s="1619">
        <f>K67</f>
        <v>0</v>
      </c>
      <c r="L66" s="1619">
        <f>L67</f>
        <v>0</v>
      </c>
      <c r="M66" s="1602">
        <f t="shared" si="31"/>
        <v>0</v>
      </c>
      <c r="N66" s="1602">
        <f t="shared" si="31"/>
        <v>0</v>
      </c>
      <c r="O66" s="1602">
        <f t="shared" si="31"/>
        <v>0</v>
      </c>
      <c r="P66" s="1593"/>
      <c r="Q66" s="1593"/>
      <c r="R66" s="1600">
        <f>S66+T66</f>
        <v>0</v>
      </c>
      <c r="S66" s="1619">
        <v>0</v>
      </c>
      <c r="T66" s="1619">
        <v>0</v>
      </c>
      <c r="U66" s="1600">
        <f>V66+W66</f>
        <v>0</v>
      </c>
      <c r="V66" s="1619">
        <v>0</v>
      </c>
      <c r="W66" s="1619">
        <v>0</v>
      </c>
    </row>
    <row r="67" spans="1:23">
      <c r="A67" s="1984"/>
      <c r="B67" s="1619" t="s">
        <v>1621</v>
      </c>
      <c r="C67" s="1985"/>
      <c r="D67" s="1600">
        <f t="shared" si="27"/>
        <v>3988.8</v>
      </c>
      <c r="E67" s="1619"/>
      <c r="F67" s="1619">
        <v>3988.8</v>
      </c>
      <c r="G67" s="1600">
        <f t="shared" si="29"/>
        <v>3988.8</v>
      </c>
      <c r="H67" s="1619"/>
      <c r="I67" s="1619">
        <v>3988.8</v>
      </c>
      <c r="J67" s="1600">
        <f t="shared" si="30"/>
        <v>0</v>
      </c>
      <c r="K67" s="1619"/>
      <c r="L67" s="1619"/>
      <c r="M67" s="1602">
        <f t="shared" si="31"/>
        <v>0</v>
      </c>
      <c r="N67" s="1602">
        <f t="shared" si="31"/>
        <v>0</v>
      </c>
      <c r="O67" s="1602">
        <f t="shared" si="31"/>
        <v>0</v>
      </c>
      <c r="P67" s="1593"/>
      <c r="Q67" s="1593"/>
      <c r="R67" s="1600">
        <f t="shared" ref="R67:R76" si="33">S67+T67</f>
        <v>0</v>
      </c>
      <c r="S67" s="1619">
        <v>0</v>
      </c>
      <c r="T67" s="1619">
        <v>0</v>
      </c>
      <c r="U67" s="1600">
        <f t="shared" ref="U67:U76" si="34">V67+W67</f>
        <v>0</v>
      </c>
      <c r="V67" s="1619">
        <v>0</v>
      </c>
      <c r="W67" s="1619">
        <v>0</v>
      </c>
    </row>
    <row r="68" spans="1:23" ht="40.5" customHeight="1">
      <c r="A68" s="1984"/>
      <c r="B68" s="1905" t="s">
        <v>1590</v>
      </c>
      <c r="C68" s="1985"/>
      <c r="D68" s="1600">
        <f t="shared" si="27"/>
        <v>9872.7000000000007</v>
      </c>
      <c r="E68" s="1619">
        <v>9280.4</v>
      </c>
      <c r="F68" s="1619">
        <v>592.29999999999995</v>
      </c>
      <c r="G68" s="1600">
        <f t="shared" si="29"/>
        <v>9872.7000000000007</v>
      </c>
      <c r="H68" s="1619">
        <v>9280.4</v>
      </c>
      <c r="I68" s="1619">
        <v>592.29999999999995</v>
      </c>
      <c r="J68" s="1600">
        <f t="shared" si="30"/>
        <v>0</v>
      </c>
      <c r="K68" s="1619"/>
      <c r="L68" s="1619"/>
      <c r="M68" s="1619">
        <v>0</v>
      </c>
      <c r="N68" s="1619">
        <v>0</v>
      </c>
      <c r="O68" s="1619">
        <v>0</v>
      </c>
      <c r="P68" s="1619">
        <v>0</v>
      </c>
      <c r="Q68" s="1619">
        <v>0</v>
      </c>
      <c r="R68" s="1600">
        <f t="shared" si="33"/>
        <v>0</v>
      </c>
      <c r="S68" s="1619">
        <v>0</v>
      </c>
      <c r="T68" s="1619">
        <v>0</v>
      </c>
      <c r="U68" s="1600">
        <f t="shared" si="34"/>
        <v>0</v>
      </c>
      <c r="V68" s="1619">
        <v>0</v>
      </c>
      <c r="W68" s="1619">
        <v>0</v>
      </c>
    </row>
    <row r="69" spans="1:23" ht="58.5" customHeight="1">
      <c r="A69" s="1984"/>
      <c r="B69" s="1915" t="s">
        <v>1655</v>
      </c>
      <c r="C69" s="1866" t="s">
        <v>1544</v>
      </c>
      <c r="D69" s="1600">
        <f t="shared" si="27"/>
        <v>1388.4</v>
      </c>
      <c r="E69" s="1614">
        <v>1305.0999999999999</v>
      </c>
      <c r="F69" s="1614">
        <v>83.3</v>
      </c>
      <c r="G69" s="1600">
        <f t="shared" si="29"/>
        <v>1388.4</v>
      </c>
      <c r="H69" s="1614">
        <v>1305.0999999999999</v>
      </c>
      <c r="I69" s="1614">
        <v>83.3</v>
      </c>
      <c r="J69" s="1600">
        <f t="shared" si="30"/>
        <v>0</v>
      </c>
      <c r="K69" s="1614"/>
      <c r="L69" s="1614"/>
      <c r="M69" s="1893">
        <f t="shared" si="31"/>
        <v>0</v>
      </c>
      <c r="N69" s="1894">
        <f t="shared" si="31"/>
        <v>0</v>
      </c>
      <c r="O69" s="1894">
        <f t="shared" si="31"/>
        <v>0</v>
      </c>
      <c r="P69" s="1593"/>
      <c r="Q69" s="1593"/>
      <c r="R69" s="1600">
        <f t="shared" si="33"/>
        <v>0</v>
      </c>
      <c r="S69" s="1619">
        <v>0</v>
      </c>
      <c r="T69" s="1619">
        <v>0</v>
      </c>
      <c r="U69" s="1600">
        <f t="shared" si="34"/>
        <v>0</v>
      </c>
      <c r="V69" s="1619">
        <v>0</v>
      </c>
      <c r="W69" s="1619">
        <v>0</v>
      </c>
    </row>
    <row r="70" spans="1:23" ht="85.5" customHeight="1">
      <c r="A70" s="1984"/>
      <c r="B70" s="1905" t="s">
        <v>1656</v>
      </c>
      <c r="C70" s="1906"/>
      <c r="D70" s="1600">
        <f t="shared" si="27"/>
        <v>17204.7</v>
      </c>
      <c r="E70" s="1619">
        <v>16172.3</v>
      </c>
      <c r="F70" s="1619">
        <v>1032.4000000000001</v>
      </c>
      <c r="G70" s="1600">
        <f t="shared" si="29"/>
        <v>17204.7</v>
      </c>
      <c r="H70" s="1619">
        <v>16172.3</v>
      </c>
      <c r="I70" s="1619">
        <v>1032.4000000000001</v>
      </c>
      <c r="J70" s="1600">
        <f t="shared" si="30"/>
        <v>0</v>
      </c>
      <c r="K70" s="1619"/>
      <c r="L70" s="1619"/>
      <c r="M70" s="1893">
        <f t="shared" si="31"/>
        <v>0</v>
      </c>
      <c r="N70" s="1893">
        <f t="shared" si="31"/>
        <v>0</v>
      </c>
      <c r="O70" s="1893">
        <f t="shared" si="31"/>
        <v>0</v>
      </c>
      <c r="P70" s="1593"/>
      <c r="Q70" s="1593"/>
      <c r="R70" s="1600">
        <f t="shared" si="33"/>
        <v>0</v>
      </c>
      <c r="S70" s="1619">
        <v>0</v>
      </c>
      <c r="T70" s="1619">
        <v>0</v>
      </c>
      <c r="U70" s="1600">
        <f t="shared" si="34"/>
        <v>0</v>
      </c>
      <c r="V70" s="1619">
        <v>0</v>
      </c>
      <c r="W70" s="1619">
        <v>0</v>
      </c>
    </row>
    <row r="71" spans="1:23" ht="68.25" customHeight="1">
      <c r="A71" s="1984"/>
      <c r="B71" s="1905" t="s">
        <v>1583</v>
      </c>
      <c r="C71" s="1906"/>
      <c r="D71" s="1600">
        <f t="shared" si="27"/>
        <v>4597</v>
      </c>
      <c r="E71" s="1619">
        <v>4321.2</v>
      </c>
      <c r="F71" s="1619">
        <v>275.8</v>
      </c>
      <c r="G71" s="1600">
        <f t="shared" si="29"/>
        <v>4597</v>
      </c>
      <c r="H71" s="1619">
        <v>4321.2</v>
      </c>
      <c r="I71" s="1619">
        <v>275.8</v>
      </c>
      <c r="J71" s="1600">
        <f t="shared" si="30"/>
        <v>0</v>
      </c>
      <c r="K71" s="1619"/>
      <c r="L71" s="1619"/>
      <c r="M71" s="1893">
        <f t="shared" si="31"/>
        <v>0</v>
      </c>
      <c r="N71" s="1893">
        <f t="shared" si="31"/>
        <v>0</v>
      </c>
      <c r="O71" s="1893">
        <f t="shared" si="31"/>
        <v>0</v>
      </c>
      <c r="P71" s="1593"/>
      <c r="Q71" s="1593"/>
      <c r="R71" s="1600">
        <f t="shared" si="33"/>
        <v>0</v>
      </c>
      <c r="S71" s="1619">
        <v>0</v>
      </c>
      <c r="T71" s="1619">
        <v>0</v>
      </c>
      <c r="U71" s="1600">
        <f t="shared" si="34"/>
        <v>0</v>
      </c>
      <c r="V71" s="1619">
        <v>0</v>
      </c>
      <c r="W71" s="1619">
        <v>0</v>
      </c>
    </row>
    <row r="72" spans="1:23" ht="66.75" customHeight="1">
      <c r="A72" s="1984"/>
      <c r="B72" s="1905" t="s">
        <v>1585</v>
      </c>
      <c r="C72" s="1906"/>
      <c r="D72" s="1600">
        <f t="shared" si="27"/>
        <v>3935.3</v>
      </c>
      <c r="E72" s="1619">
        <v>3699.2</v>
      </c>
      <c r="F72" s="1619">
        <v>236.1</v>
      </c>
      <c r="G72" s="1600">
        <f t="shared" si="29"/>
        <v>3935.3</v>
      </c>
      <c r="H72" s="1619">
        <v>3699.2</v>
      </c>
      <c r="I72" s="1619">
        <v>236.1</v>
      </c>
      <c r="J72" s="1600">
        <f t="shared" si="30"/>
        <v>0</v>
      </c>
      <c r="K72" s="1619"/>
      <c r="L72" s="1619"/>
      <c r="M72" s="1893">
        <f t="shared" si="31"/>
        <v>0</v>
      </c>
      <c r="N72" s="1893">
        <f t="shared" si="31"/>
        <v>0</v>
      </c>
      <c r="O72" s="1893">
        <f t="shared" si="31"/>
        <v>0</v>
      </c>
      <c r="P72" s="1593"/>
      <c r="Q72" s="1593"/>
      <c r="R72" s="1600">
        <f t="shared" si="33"/>
        <v>0</v>
      </c>
      <c r="S72" s="1619">
        <v>0</v>
      </c>
      <c r="T72" s="1619">
        <v>0</v>
      </c>
      <c r="U72" s="1600">
        <f t="shared" si="34"/>
        <v>0</v>
      </c>
      <c r="V72" s="1619">
        <v>0</v>
      </c>
      <c r="W72" s="1619">
        <v>0</v>
      </c>
    </row>
    <row r="73" spans="1:23" ht="57.75" customHeight="1">
      <c r="A73" s="1984"/>
      <c r="B73" s="1905" t="s">
        <v>1586</v>
      </c>
      <c r="C73" s="1906"/>
      <c r="D73" s="1600">
        <f t="shared" si="27"/>
        <v>1226.9000000000001</v>
      </c>
      <c r="E73" s="1619">
        <v>1153.3</v>
      </c>
      <c r="F73" s="1619">
        <v>73.599999999999994</v>
      </c>
      <c r="G73" s="1600">
        <f t="shared" si="29"/>
        <v>1226.9000000000001</v>
      </c>
      <c r="H73" s="1619">
        <v>1153.3</v>
      </c>
      <c r="I73" s="1619">
        <v>73.599999999999994</v>
      </c>
      <c r="J73" s="1600">
        <f t="shared" si="30"/>
        <v>0</v>
      </c>
      <c r="K73" s="1619"/>
      <c r="L73" s="1619"/>
      <c r="M73" s="1893">
        <f t="shared" si="31"/>
        <v>0</v>
      </c>
      <c r="N73" s="1893">
        <f t="shared" si="31"/>
        <v>0</v>
      </c>
      <c r="O73" s="1893">
        <f t="shared" si="31"/>
        <v>0</v>
      </c>
      <c r="P73" s="1593"/>
      <c r="Q73" s="1593"/>
      <c r="R73" s="1600">
        <f t="shared" si="33"/>
        <v>0</v>
      </c>
      <c r="S73" s="1619">
        <v>0</v>
      </c>
      <c r="T73" s="1619">
        <v>0</v>
      </c>
      <c r="U73" s="1600">
        <f t="shared" si="34"/>
        <v>0</v>
      </c>
      <c r="V73" s="1619">
        <v>0</v>
      </c>
      <c r="W73" s="1619">
        <v>0</v>
      </c>
    </row>
    <row r="74" spans="1:23" ht="75.75" customHeight="1">
      <c r="A74" s="1984"/>
      <c r="B74" s="1912" t="s">
        <v>1662</v>
      </c>
      <c r="C74" s="1913"/>
      <c r="D74" s="1602">
        <f t="shared" si="27"/>
        <v>14615.1</v>
      </c>
      <c r="E74" s="1616">
        <v>13738.1</v>
      </c>
      <c r="F74" s="1616">
        <v>877</v>
      </c>
      <c r="G74" s="1602">
        <f t="shared" si="29"/>
        <v>14615.1</v>
      </c>
      <c r="H74" s="1616">
        <v>13738.1</v>
      </c>
      <c r="I74" s="1616">
        <v>877</v>
      </c>
      <c r="J74" s="1602">
        <f t="shared" si="30"/>
        <v>0</v>
      </c>
      <c r="K74" s="1616"/>
      <c r="L74" s="1616"/>
      <c r="M74" s="1893">
        <f t="shared" si="31"/>
        <v>0</v>
      </c>
      <c r="N74" s="1894">
        <f t="shared" si="31"/>
        <v>0</v>
      </c>
      <c r="O74" s="1894">
        <f t="shared" si="31"/>
        <v>0</v>
      </c>
      <c r="P74" s="1593"/>
      <c r="Q74" s="1593"/>
      <c r="R74" s="1600">
        <f t="shared" si="33"/>
        <v>0</v>
      </c>
      <c r="S74" s="1619">
        <v>0</v>
      </c>
      <c r="T74" s="1619">
        <v>0</v>
      </c>
      <c r="U74" s="1600">
        <f t="shared" si="34"/>
        <v>0</v>
      </c>
      <c r="V74" s="1619">
        <v>0</v>
      </c>
      <c r="W74" s="1619">
        <v>0</v>
      </c>
    </row>
    <row r="75" spans="1:23" s="484" customFormat="1" ht="93.75" hidden="1">
      <c r="A75" s="1984">
        <f t="shared" ref="A75:A80" si="35">A74+1</f>
        <v>1</v>
      </c>
      <c r="B75" s="1912" t="s">
        <v>704</v>
      </c>
      <c r="C75" s="1866">
        <v>14092</v>
      </c>
      <c r="D75" s="1600">
        <f t="shared" si="27"/>
        <v>0</v>
      </c>
      <c r="E75" s="1608">
        <v>0</v>
      </c>
      <c r="F75" s="1608">
        <v>0</v>
      </c>
      <c r="G75" s="1600">
        <f t="shared" si="29"/>
        <v>0</v>
      </c>
      <c r="H75" s="1608">
        <v>0</v>
      </c>
      <c r="I75" s="1608">
        <v>0</v>
      </c>
      <c r="J75" s="1600">
        <f t="shared" si="30"/>
        <v>0</v>
      </c>
      <c r="K75" s="1608"/>
      <c r="L75" s="1608"/>
      <c r="M75" s="1893">
        <f t="shared" si="31"/>
        <v>0</v>
      </c>
      <c r="N75" s="1894">
        <f t="shared" si="31"/>
        <v>0</v>
      </c>
      <c r="O75" s="1894">
        <f t="shared" si="31"/>
        <v>0</v>
      </c>
      <c r="P75" s="1593" t="s">
        <v>1291</v>
      </c>
      <c r="Q75" s="1593" t="s">
        <v>1241</v>
      </c>
      <c r="R75" s="1600">
        <f t="shared" si="33"/>
        <v>0</v>
      </c>
      <c r="S75" s="1619">
        <v>0</v>
      </c>
      <c r="T75" s="1619">
        <v>0</v>
      </c>
      <c r="U75" s="1600">
        <f t="shared" si="34"/>
        <v>0</v>
      </c>
      <c r="V75" s="1619">
        <v>0</v>
      </c>
      <c r="W75" s="1619">
        <v>0</v>
      </c>
    </row>
    <row r="76" spans="1:23" s="484" customFormat="1" ht="93.75" hidden="1">
      <c r="A76" s="1984">
        <f t="shared" si="35"/>
        <v>2</v>
      </c>
      <c r="B76" s="1912" t="s">
        <v>703</v>
      </c>
      <c r="C76" s="1913"/>
      <c r="D76" s="1600">
        <f t="shared" si="27"/>
        <v>0</v>
      </c>
      <c r="E76" s="1608">
        <v>0</v>
      </c>
      <c r="F76" s="1608">
        <v>0</v>
      </c>
      <c r="G76" s="1600">
        <f t="shared" si="29"/>
        <v>0</v>
      </c>
      <c r="H76" s="1608">
        <v>0</v>
      </c>
      <c r="I76" s="1608">
        <v>0</v>
      </c>
      <c r="J76" s="1600">
        <f t="shared" si="30"/>
        <v>0</v>
      </c>
      <c r="K76" s="1608"/>
      <c r="L76" s="1608"/>
      <c r="M76" s="1893">
        <f t="shared" si="31"/>
        <v>0</v>
      </c>
      <c r="N76" s="1894">
        <f t="shared" si="31"/>
        <v>0</v>
      </c>
      <c r="O76" s="1894">
        <f t="shared" si="31"/>
        <v>0</v>
      </c>
      <c r="P76" s="1593" t="s">
        <v>1292</v>
      </c>
      <c r="Q76" s="1593" t="s">
        <v>1242</v>
      </c>
      <c r="R76" s="1600">
        <f t="shared" si="33"/>
        <v>0</v>
      </c>
      <c r="S76" s="1619">
        <v>0</v>
      </c>
      <c r="T76" s="1619">
        <v>0</v>
      </c>
      <c r="U76" s="1600">
        <f t="shared" si="34"/>
        <v>0</v>
      </c>
      <c r="V76" s="1619">
        <v>0</v>
      </c>
      <c r="W76" s="1619">
        <v>0</v>
      </c>
    </row>
    <row r="77" spans="1:23" s="484" customFormat="1" ht="55.5" customHeight="1">
      <c r="A77" s="1984"/>
      <c r="B77" s="1920" t="s">
        <v>1437</v>
      </c>
      <c r="C77" s="1913" t="s">
        <v>1544</v>
      </c>
      <c r="D77" s="1600">
        <f t="shared" si="27"/>
        <v>105852.6</v>
      </c>
      <c r="E77" s="1608">
        <f>SUM(E81:E82)</f>
        <v>69668.800000000003</v>
      </c>
      <c r="F77" s="1608">
        <f>SUM(F81:F82)</f>
        <v>36183.800000000003</v>
      </c>
      <c r="G77" s="1600">
        <f t="shared" si="29"/>
        <v>105852.6</v>
      </c>
      <c r="H77" s="1608">
        <f>SUM(H81:H82)</f>
        <v>69668.800000000003</v>
      </c>
      <c r="I77" s="1608">
        <f>SUM(I81:I82)</f>
        <v>36183.800000000003</v>
      </c>
      <c r="J77" s="1600">
        <f t="shared" si="30"/>
        <v>30127</v>
      </c>
      <c r="K77" s="1608">
        <v>28319.3</v>
      </c>
      <c r="L77" s="1608">
        <v>1807.7</v>
      </c>
      <c r="M77" s="1893">
        <f t="shared" si="31"/>
        <v>28.5</v>
      </c>
      <c r="N77" s="1894">
        <f t="shared" si="31"/>
        <v>40.6</v>
      </c>
      <c r="O77" s="1894">
        <f t="shared" si="31"/>
        <v>5</v>
      </c>
      <c r="P77" s="1593" t="s">
        <v>1293</v>
      </c>
      <c r="Q77" s="1593" t="s">
        <v>1101</v>
      </c>
      <c r="R77" s="1600">
        <f>S77+T77</f>
        <v>0</v>
      </c>
      <c r="S77" s="1608">
        <v>0</v>
      </c>
      <c r="T77" s="1608">
        <v>0</v>
      </c>
      <c r="U77" s="1600">
        <f>V77+W77</f>
        <v>0</v>
      </c>
      <c r="V77" s="1608">
        <v>0</v>
      </c>
      <c r="W77" s="1608">
        <v>0</v>
      </c>
    </row>
    <row r="78" spans="1:23" s="484" customFormat="1" ht="107.25" hidden="1" customHeight="1">
      <c r="A78" s="1984">
        <f t="shared" si="35"/>
        <v>1</v>
      </c>
      <c r="B78" s="1883" t="s">
        <v>1438</v>
      </c>
      <c r="C78" s="1913"/>
      <c r="D78" s="1600">
        <f t="shared" si="27"/>
        <v>0</v>
      </c>
      <c r="E78" s="1608"/>
      <c r="F78" s="1608"/>
      <c r="G78" s="1600">
        <f t="shared" si="29"/>
        <v>0</v>
      </c>
      <c r="H78" s="1608"/>
      <c r="I78" s="1608"/>
      <c r="J78" s="1600">
        <f t="shared" si="30"/>
        <v>0</v>
      </c>
      <c r="K78" s="1608"/>
      <c r="L78" s="1608"/>
      <c r="M78" s="1893">
        <f t="shared" si="31"/>
        <v>0</v>
      </c>
      <c r="N78" s="1894">
        <f t="shared" si="31"/>
        <v>0</v>
      </c>
      <c r="O78" s="1894">
        <f t="shared" si="31"/>
        <v>0</v>
      </c>
      <c r="P78" s="1593" t="s">
        <v>1192</v>
      </c>
      <c r="Q78" s="1593" t="s">
        <v>1243</v>
      </c>
      <c r="R78" s="1600">
        <f>S78+T78</f>
        <v>0</v>
      </c>
      <c r="S78" s="1608">
        <v>0</v>
      </c>
      <c r="T78" s="1608">
        <v>0</v>
      </c>
      <c r="U78" s="1600">
        <f>V78+W78</f>
        <v>0</v>
      </c>
      <c r="V78" s="1608">
        <v>0</v>
      </c>
      <c r="W78" s="1608">
        <v>0</v>
      </c>
    </row>
    <row r="79" spans="1:23" s="484" customFormat="1" ht="97.5" hidden="1" customHeight="1">
      <c r="A79" s="1984">
        <f t="shared" si="35"/>
        <v>2</v>
      </c>
      <c r="B79" s="1883" t="s">
        <v>1439</v>
      </c>
      <c r="C79" s="1913"/>
      <c r="D79" s="1600">
        <f t="shared" si="27"/>
        <v>0</v>
      </c>
      <c r="E79" s="1608"/>
      <c r="F79" s="1608"/>
      <c r="G79" s="1600">
        <f t="shared" si="29"/>
        <v>0</v>
      </c>
      <c r="H79" s="1608"/>
      <c r="I79" s="1608"/>
      <c r="J79" s="1600">
        <f t="shared" si="30"/>
        <v>0</v>
      </c>
      <c r="K79" s="1608"/>
      <c r="L79" s="1608"/>
      <c r="M79" s="1893">
        <f t="shared" si="31"/>
        <v>0</v>
      </c>
      <c r="N79" s="1894">
        <f t="shared" si="31"/>
        <v>0</v>
      </c>
      <c r="O79" s="1894">
        <f t="shared" si="31"/>
        <v>0</v>
      </c>
      <c r="P79" s="1593" t="s">
        <v>1294</v>
      </c>
      <c r="Q79" s="1593" t="s">
        <v>1244</v>
      </c>
      <c r="R79" s="1600">
        <f>S79+T79</f>
        <v>0</v>
      </c>
      <c r="S79" s="1608">
        <v>0</v>
      </c>
      <c r="T79" s="1608">
        <v>0</v>
      </c>
      <c r="U79" s="1600">
        <f>V79+W79</f>
        <v>0</v>
      </c>
      <c r="V79" s="1608">
        <v>0</v>
      </c>
      <c r="W79" s="1608">
        <v>0</v>
      </c>
    </row>
    <row r="80" spans="1:23" s="484" customFormat="1" ht="63" hidden="1" customHeight="1">
      <c r="A80" s="1984">
        <f t="shared" si="35"/>
        <v>3</v>
      </c>
      <c r="B80" s="1883" t="s">
        <v>1440</v>
      </c>
      <c r="C80" s="1913"/>
      <c r="D80" s="1600">
        <f>SUM(E80:F80)</f>
        <v>0</v>
      </c>
      <c r="E80" s="1608"/>
      <c r="F80" s="1608"/>
      <c r="G80" s="1600">
        <f t="shared" si="29"/>
        <v>0</v>
      </c>
      <c r="H80" s="1608"/>
      <c r="I80" s="1608"/>
      <c r="J80" s="1600">
        <f t="shared" ref="J80:J114" si="36">SUM(K80:L80)</f>
        <v>0</v>
      </c>
      <c r="K80" s="1608"/>
      <c r="L80" s="1608"/>
      <c r="M80" s="1921">
        <f t="shared" si="31"/>
        <v>0</v>
      </c>
      <c r="N80" s="1922">
        <f t="shared" si="31"/>
        <v>0</v>
      </c>
      <c r="O80" s="1922">
        <f t="shared" si="31"/>
        <v>0</v>
      </c>
      <c r="P80" s="1593" t="s">
        <v>1192</v>
      </c>
      <c r="Q80" s="1593" t="s">
        <v>1219</v>
      </c>
      <c r="R80" s="1600">
        <f>S80+T80</f>
        <v>0</v>
      </c>
      <c r="S80" s="1608">
        <v>0</v>
      </c>
      <c r="T80" s="1608">
        <v>0</v>
      </c>
      <c r="U80" s="1600">
        <f>V80+W80</f>
        <v>0</v>
      </c>
      <c r="V80" s="1608">
        <v>0</v>
      </c>
      <c r="W80" s="1608">
        <v>0</v>
      </c>
    </row>
    <row r="81" spans="1:23" s="484" customFormat="1">
      <c r="A81" s="1984"/>
      <c r="B81" s="1619" t="s">
        <v>1620</v>
      </c>
      <c r="C81" s="1913"/>
      <c r="D81" s="1600">
        <f t="shared" si="27"/>
        <v>74115.8</v>
      </c>
      <c r="E81" s="1608">
        <v>69668.800000000003</v>
      </c>
      <c r="F81" s="1608">
        <f>4447</f>
        <v>4447</v>
      </c>
      <c r="G81" s="1600">
        <f t="shared" si="29"/>
        <v>74115.8</v>
      </c>
      <c r="H81" s="1608">
        <v>69668.800000000003</v>
      </c>
      <c r="I81" s="1608">
        <f>4447</f>
        <v>4447</v>
      </c>
      <c r="J81" s="1600">
        <f t="shared" si="36"/>
        <v>0</v>
      </c>
      <c r="K81" s="1608"/>
      <c r="L81" s="1608"/>
      <c r="M81" s="1921">
        <f t="shared" si="31"/>
        <v>0</v>
      </c>
      <c r="N81" s="1922">
        <f t="shared" si="31"/>
        <v>0</v>
      </c>
      <c r="O81" s="1922">
        <f t="shared" si="31"/>
        <v>0</v>
      </c>
      <c r="P81" s="1593"/>
      <c r="Q81" s="1593"/>
      <c r="R81" s="1600">
        <f t="shared" ref="R81:R112" si="37">S81+T81</f>
        <v>0</v>
      </c>
      <c r="S81" s="1608">
        <v>0</v>
      </c>
      <c r="T81" s="1608">
        <v>0</v>
      </c>
      <c r="U81" s="1600">
        <f t="shared" ref="U81:U112" si="38">V81+W81</f>
        <v>0</v>
      </c>
      <c r="V81" s="1608">
        <v>0</v>
      </c>
      <c r="W81" s="1608">
        <v>0</v>
      </c>
    </row>
    <row r="82" spans="1:23" s="484" customFormat="1">
      <c r="A82" s="1984"/>
      <c r="B82" s="1619" t="s">
        <v>1621</v>
      </c>
      <c r="C82" s="1913"/>
      <c r="D82" s="1600">
        <f t="shared" si="27"/>
        <v>31736.799999999999</v>
      </c>
      <c r="E82" s="1608"/>
      <c r="F82" s="1608">
        <f>31736.8</f>
        <v>31736.799999999999</v>
      </c>
      <c r="G82" s="1600">
        <f t="shared" si="29"/>
        <v>31736.799999999999</v>
      </c>
      <c r="H82" s="1608"/>
      <c r="I82" s="1608">
        <f>31736.8</f>
        <v>31736.799999999999</v>
      </c>
      <c r="J82" s="1600">
        <f t="shared" si="36"/>
        <v>0</v>
      </c>
      <c r="K82" s="1608"/>
      <c r="L82" s="1608"/>
      <c r="M82" s="1921">
        <f t="shared" si="31"/>
        <v>0</v>
      </c>
      <c r="N82" s="1922">
        <f t="shared" si="31"/>
        <v>0</v>
      </c>
      <c r="O82" s="1922">
        <f t="shared" si="31"/>
        <v>0</v>
      </c>
      <c r="P82" s="1593"/>
      <c r="Q82" s="1593"/>
      <c r="R82" s="1600">
        <f t="shared" si="37"/>
        <v>0</v>
      </c>
      <c r="S82" s="1608">
        <v>0</v>
      </c>
      <c r="T82" s="1608">
        <v>0</v>
      </c>
      <c r="U82" s="1600">
        <f t="shared" si="38"/>
        <v>0</v>
      </c>
      <c r="V82" s="1608">
        <v>0</v>
      </c>
      <c r="W82" s="1608">
        <v>0</v>
      </c>
    </row>
    <row r="83" spans="1:23" ht="62.25" customHeight="1">
      <c r="A83" s="1984"/>
      <c r="B83" s="1912" t="s">
        <v>1441</v>
      </c>
      <c r="C83" s="1913" t="s">
        <v>1544</v>
      </c>
      <c r="D83" s="1600">
        <f t="shared" si="27"/>
        <v>18682.400000000001</v>
      </c>
      <c r="E83" s="1608">
        <v>17561.3</v>
      </c>
      <c r="F83" s="1608">
        <v>1121.0999999999999</v>
      </c>
      <c r="G83" s="1600">
        <f t="shared" si="29"/>
        <v>18682.400000000001</v>
      </c>
      <c r="H83" s="1608">
        <v>17561.3</v>
      </c>
      <c r="I83" s="1608">
        <v>1121.0999999999999</v>
      </c>
      <c r="J83" s="1600">
        <f t="shared" si="36"/>
        <v>0</v>
      </c>
      <c r="K83" s="1608"/>
      <c r="L83" s="1608"/>
      <c r="M83" s="1893">
        <f t="shared" si="31"/>
        <v>0</v>
      </c>
      <c r="N83" s="1894">
        <f t="shared" si="31"/>
        <v>0</v>
      </c>
      <c r="O83" s="1894">
        <f t="shared" si="31"/>
        <v>0</v>
      </c>
      <c r="P83" s="1593" t="s">
        <v>1192</v>
      </c>
      <c r="Q83" s="1593" t="s">
        <v>1663</v>
      </c>
      <c r="R83" s="1600">
        <f t="shared" si="37"/>
        <v>0</v>
      </c>
      <c r="S83" s="1614">
        <v>0</v>
      </c>
      <c r="T83" s="1614">
        <v>0</v>
      </c>
      <c r="U83" s="1600">
        <f t="shared" si="38"/>
        <v>0</v>
      </c>
      <c r="V83" s="1614">
        <v>0</v>
      </c>
      <c r="W83" s="1614">
        <v>0</v>
      </c>
    </row>
    <row r="84" spans="1:23" ht="58.5" customHeight="1">
      <c r="A84" s="1984"/>
      <c r="B84" s="1912" t="s">
        <v>1442</v>
      </c>
      <c r="C84" s="1913" t="s">
        <v>1544</v>
      </c>
      <c r="D84" s="1600">
        <f t="shared" si="27"/>
        <v>12956.3</v>
      </c>
      <c r="E84" s="1608">
        <v>12178.9</v>
      </c>
      <c r="F84" s="1608">
        <v>777.4</v>
      </c>
      <c r="G84" s="1600">
        <f t="shared" si="29"/>
        <v>12956.3</v>
      </c>
      <c r="H84" s="1608">
        <v>12178.9</v>
      </c>
      <c r="I84" s="1608">
        <v>777.4</v>
      </c>
      <c r="J84" s="1600">
        <f t="shared" si="36"/>
        <v>0</v>
      </c>
      <c r="K84" s="1608"/>
      <c r="L84" s="1608"/>
      <c r="M84" s="1893">
        <f t="shared" si="31"/>
        <v>0</v>
      </c>
      <c r="N84" s="1894">
        <f t="shared" si="31"/>
        <v>0</v>
      </c>
      <c r="O84" s="1894">
        <f t="shared" si="31"/>
        <v>0</v>
      </c>
      <c r="P84" s="1593" t="s">
        <v>1285</v>
      </c>
      <c r="Q84" s="1593" t="s">
        <v>1252</v>
      </c>
      <c r="R84" s="1600">
        <f t="shared" si="37"/>
        <v>0</v>
      </c>
      <c r="S84" s="1614">
        <v>0</v>
      </c>
      <c r="T84" s="1614">
        <v>0</v>
      </c>
      <c r="U84" s="1600">
        <f t="shared" si="38"/>
        <v>0</v>
      </c>
      <c r="V84" s="1614">
        <v>0</v>
      </c>
      <c r="W84" s="1614">
        <v>0</v>
      </c>
    </row>
    <row r="85" spans="1:23" ht="23.25" customHeight="1">
      <c r="A85" s="1984"/>
      <c r="B85" s="1883" t="s">
        <v>1587</v>
      </c>
      <c r="C85" s="1880"/>
      <c r="D85" s="1600">
        <f t="shared" si="27"/>
        <v>35340.699999999997</v>
      </c>
      <c r="E85" s="1608">
        <f>E87</f>
        <v>0</v>
      </c>
      <c r="F85" s="1608">
        <f>F87</f>
        <v>35340.699999999997</v>
      </c>
      <c r="G85" s="1600">
        <f t="shared" si="29"/>
        <v>35340.699999999997</v>
      </c>
      <c r="H85" s="1608">
        <f>H87</f>
        <v>0</v>
      </c>
      <c r="I85" s="1608">
        <f>I87</f>
        <v>35340.699999999997</v>
      </c>
      <c r="J85" s="1600">
        <f t="shared" si="36"/>
        <v>0</v>
      </c>
      <c r="K85" s="1608"/>
      <c r="L85" s="1608"/>
      <c r="M85" s="1604">
        <f t="shared" si="31"/>
        <v>0</v>
      </c>
      <c r="N85" s="1881">
        <f t="shared" si="31"/>
        <v>0</v>
      </c>
      <c r="O85" s="1881">
        <f t="shared" si="31"/>
        <v>0</v>
      </c>
      <c r="P85" s="1593"/>
      <c r="Q85" s="1593"/>
      <c r="R85" s="1600">
        <f t="shared" si="37"/>
        <v>0</v>
      </c>
      <c r="S85" s="1614">
        <v>0</v>
      </c>
      <c r="T85" s="1614">
        <v>0</v>
      </c>
      <c r="U85" s="1600">
        <f t="shared" si="38"/>
        <v>0</v>
      </c>
      <c r="V85" s="1614">
        <v>0</v>
      </c>
      <c r="W85" s="1614">
        <v>0</v>
      </c>
    </row>
    <row r="86" spans="1:23" ht="112.5" hidden="1">
      <c r="A86" s="1984">
        <v>98</v>
      </c>
      <c r="B86" s="1890" t="s">
        <v>1456</v>
      </c>
      <c r="C86" s="1880"/>
      <c r="D86" s="1600">
        <f t="shared" si="27"/>
        <v>0</v>
      </c>
      <c r="E86" s="1608">
        <v>0</v>
      </c>
      <c r="F86" s="1608">
        <v>0</v>
      </c>
      <c r="G86" s="1600">
        <f t="shared" si="29"/>
        <v>0</v>
      </c>
      <c r="H86" s="1608">
        <v>0</v>
      </c>
      <c r="I86" s="1608">
        <v>0</v>
      </c>
      <c r="J86" s="1600">
        <f t="shared" si="36"/>
        <v>0</v>
      </c>
      <c r="K86" s="1608"/>
      <c r="L86" s="1608"/>
      <c r="M86" s="1604">
        <f t="shared" si="31"/>
        <v>0</v>
      </c>
      <c r="N86" s="1881">
        <f t="shared" si="31"/>
        <v>0</v>
      </c>
      <c r="O86" s="1881">
        <f t="shared" si="31"/>
        <v>0</v>
      </c>
      <c r="P86" s="1593" t="s">
        <v>1290</v>
      </c>
      <c r="Q86" s="1593" t="s">
        <v>1240</v>
      </c>
      <c r="R86" s="1600">
        <f t="shared" si="37"/>
        <v>0</v>
      </c>
      <c r="S86" s="1608">
        <v>0</v>
      </c>
      <c r="T86" s="1608">
        <v>0</v>
      </c>
      <c r="U86" s="1600">
        <f t="shared" si="38"/>
        <v>0</v>
      </c>
      <c r="V86" s="1608">
        <v>0</v>
      </c>
      <c r="W86" s="1608">
        <v>0</v>
      </c>
    </row>
    <row r="87" spans="1:23" s="484" customFormat="1">
      <c r="A87" s="1984"/>
      <c r="B87" s="1619" t="s">
        <v>1621</v>
      </c>
      <c r="C87" s="1906"/>
      <c r="D87" s="1600">
        <f t="shared" si="27"/>
        <v>35340.699999999997</v>
      </c>
      <c r="E87" s="1608"/>
      <c r="F87" s="1608">
        <v>35340.699999999997</v>
      </c>
      <c r="G87" s="1600">
        <f t="shared" si="29"/>
        <v>35340.699999999997</v>
      </c>
      <c r="H87" s="1608"/>
      <c r="I87" s="1608">
        <v>35340.699999999997</v>
      </c>
      <c r="J87" s="1600">
        <f t="shared" si="36"/>
        <v>0</v>
      </c>
      <c r="K87" s="1608"/>
      <c r="L87" s="1608"/>
      <c r="M87" s="1604">
        <f t="shared" si="31"/>
        <v>0</v>
      </c>
      <c r="N87" s="1907">
        <f t="shared" si="31"/>
        <v>0</v>
      </c>
      <c r="O87" s="1907">
        <f t="shared" si="31"/>
        <v>0</v>
      </c>
      <c r="P87" s="1593"/>
      <c r="Q87" s="1593"/>
      <c r="R87" s="1600">
        <f t="shared" si="37"/>
        <v>0</v>
      </c>
      <c r="S87" s="1608">
        <v>0</v>
      </c>
      <c r="T87" s="1608">
        <v>0</v>
      </c>
      <c r="U87" s="1600">
        <f t="shared" si="38"/>
        <v>0</v>
      </c>
      <c r="V87" s="1608">
        <v>0</v>
      </c>
      <c r="W87" s="1608">
        <v>0</v>
      </c>
    </row>
    <row r="88" spans="1:23" s="1607" customFormat="1" ht="61.5" customHeight="1">
      <c r="A88" s="1984"/>
      <c r="B88" s="1914" t="s">
        <v>1600</v>
      </c>
      <c r="C88" s="1984"/>
      <c r="D88" s="1600">
        <f t="shared" si="27"/>
        <v>13415.9</v>
      </c>
      <c r="E88" s="1608">
        <v>12606.9</v>
      </c>
      <c r="F88" s="1608">
        <v>809</v>
      </c>
      <c r="G88" s="1600">
        <f t="shared" si="29"/>
        <v>13415.9</v>
      </c>
      <c r="H88" s="1608">
        <v>12606.9</v>
      </c>
      <c r="I88" s="1608">
        <v>809</v>
      </c>
      <c r="J88" s="1600">
        <f t="shared" si="36"/>
        <v>0</v>
      </c>
      <c r="K88" s="1608"/>
      <c r="L88" s="1608"/>
      <c r="M88" s="1604">
        <f t="shared" si="31"/>
        <v>0</v>
      </c>
      <c r="N88" s="1881">
        <f t="shared" si="31"/>
        <v>0</v>
      </c>
      <c r="O88" s="1881">
        <f t="shared" si="31"/>
        <v>0</v>
      </c>
      <c r="P88" s="1593"/>
      <c r="Q88" s="1593"/>
      <c r="R88" s="1600">
        <f t="shared" si="37"/>
        <v>0</v>
      </c>
      <c r="S88" s="1608">
        <v>0</v>
      </c>
      <c r="T88" s="1608">
        <v>0</v>
      </c>
      <c r="U88" s="1600">
        <f t="shared" si="38"/>
        <v>0</v>
      </c>
      <c r="V88" s="1608">
        <v>0</v>
      </c>
      <c r="W88" s="1608">
        <v>0</v>
      </c>
    </row>
    <row r="89" spans="1:23" s="484" customFormat="1" ht="54" customHeight="1">
      <c r="A89" s="1984"/>
      <c r="B89" s="1914" t="s">
        <v>776</v>
      </c>
      <c r="C89" s="1866" t="s">
        <v>1545</v>
      </c>
      <c r="D89" s="1600">
        <f t="shared" si="27"/>
        <v>177040.7</v>
      </c>
      <c r="E89" s="1614">
        <v>166418.20000000001</v>
      </c>
      <c r="F89" s="1614">
        <v>10622.5</v>
      </c>
      <c r="G89" s="1600">
        <f t="shared" si="29"/>
        <v>177040.7</v>
      </c>
      <c r="H89" s="1614">
        <v>166418.20000000001</v>
      </c>
      <c r="I89" s="1614">
        <v>10622.5</v>
      </c>
      <c r="J89" s="1600">
        <f t="shared" si="36"/>
        <v>25616.5</v>
      </c>
      <c r="K89" s="1614">
        <v>24079.5</v>
      </c>
      <c r="L89" s="1614">
        <v>1537</v>
      </c>
      <c r="M89" s="1893">
        <f t="shared" si="31"/>
        <v>14.5</v>
      </c>
      <c r="N89" s="1894">
        <f t="shared" si="31"/>
        <v>14.5</v>
      </c>
      <c r="O89" s="1894">
        <f t="shared" si="31"/>
        <v>14.5</v>
      </c>
      <c r="P89" s="1593" t="s">
        <v>1272</v>
      </c>
      <c r="Q89" s="1593" t="s">
        <v>1273</v>
      </c>
      <c r="R89" s="1600">
        <f t="shared" si="37"/>
        <v>0</v>
      </c>
      <c r="S89" s="1608">
        <v>0</v>
      </c>
      <c r="T89" s="1608">
        <v>0</v>
      </c>
      <c r="U89" s="1600">
        <f t="shared" si="38"/>
        <v>0</v>
      </c>
      <c r="V89" s="1608">
        <v>0</v>
      </c>
      <c r="W89" s="1608">
        <v>0</v>
      </c>
    </row>
    <row r="90" spans="1:23" ht="50.25" customHeight="1">
      <c r="A90" s="1984"/>
      <c r="B90" s="1888" t="s">
        <v>1595</v>
      </c>
      <c r="C90" s="1866"/>
      <c r="D90" s="1600">
        <f t="shared" si="27"/>
        <v>9921.2000000000007</v>
      </c>
      <c r="E90" s="1614">
        <v>9325.9</v>
      </c>
      <c r="F90" s="1614">
        <v>595.29999999999995</v>
      </c>
      <c r="G90" s="1600">
        <f t="shared" si="29"/>
        <v>9921.2000000000007</v>
      </c>
      <c r="H90" s="1614">
        <v>9325.9</v>
      </c>
      <c r="I90" s="1614">
        <v>595.29999999999995</v>
      </c>
      <c r="J90" s="1600">
        <f t="shared" si="36"/>
        <v>0</v>
      </c>
      <c r="K90" s="1614"/>
      <c r="L90" s="1614"/>
      <c r="M90" s="1893">
        <f t="shared" si="31"/>
        <v>0</v>
      </c>
      <c r="N90" s="1894">
        <f t="shared" si="31"/>
        <v>0</v>
      </c>
      <c r="O90" s="1894">
        <f t="shared" si="31"/>
        <v>0</v>
      </c>
      <c r="P90" s="1593"/>
      <c r="Q90" s="1593"/>
      <c r="R90" s="1600">
        <f t="shared" si="37"/>
        <v>0</v>
      </c>
      <c r="S90" s="1608">
        <v>0</v>
      </c>
      <c r="T90" s="1608">
        <v>0</v>
      </c>
      <c r="U90" s="1600">
        <f t="shared" si="38"/>
        <v>0</v>
      </c>
      <c r="V90" s="1608">
        <v>0</v>
      </c>
      <c r="W90" s="1608">
        <v>0</v>
      </c>
    </row>
    <row r="91" spans="1:23" ht="50.25" customHeight="1">
      <c r="A91" s="1984"/>
      <c r="B91" s="1888" t="s">
        <v>1596</v>
      </c>
      <c r="C91" s="1866"/>
      <c r="D91" s="1600">
        <f t="shared" si="27"/>
        <v>6302.6</v>
      </c>
      <c r="E91" s="1614">
        <v>5924.4</v>
      </c>
      <c r="F91" s="1614">
        <v>378.2</v>
      </c>
      <c r="G91" s="1600">
        <f t="shared" si="29"/>
        <v>6302.6</v>
      </c>
      <c r="H91" s="1614">
        <v>5924.4</v>
      </c>
      <c r="I91" s="1614">
        <v>378.2</v>
      </c>
      <c r="J91" s="1600">
        <f t="shared" si="36"/>
        <v>0</v>
      </c>
      <c r="K91" s="1614"/>
      <c r="L91" s="1614"/>
      <c r="M91" s="1893">
        <f t="shared" si="31"/>
        <v>0</v>
      </c>
      <c r="N91" s="1894">
        <f t="shared" si="31"/>
        <v>0</v>
      </c>
      <c r="O91" s="1894">
        <f t="shared" si="31"/>
        <v>0</v>
      </c>
      <c r="P91" s="1593"/>
      <c r="Q91" s="1593"/>
      <c r="R91" s="1600">
        <f t="shared" si="37"/>
        <v>0</v>
      </c>
      <c r="S91" s="1608">
        <v>0</v>
      </c>
      <c r="T91" s="1608">
        <v>0</v>
      </c>
      <c r="U91" s="1600">
        <f t="shared" si="38"/>
        <v>0</v>
      </c>
      <c r="V91" s="1608">
        <v>0</v>
      </c>
      <c r="W91" s="1608">
        <v>0</v>
      </c>
    </row>
    <row r="92" spans="1:23" s="484" customFormat="1" ht="73.5" customHeight="1">
      <c r="A92" s="1984"/>
      <c r="B92" s="1914" t="s">
        <v>1599</v>
      </c>
      <c r="C92" s="1866" t="s">
        <v>1611</v>
      </c>
      <c r="D92" s="1600">
        <f t="shared" si="27"/>
        <v>171408.9</v>
      </c>
      <c r="E92" s="1608">
        <v>161122.70000000001</v>
      </c>
      <c r="F92" s="1608">
        <v>10286.200000000001</v>
      </c>
      <c r="G92" s="1600">
        <f t="shared" si="29"/>
        <v>171408.9</v>
      </c>
      <c r="H92" s="1608">
        <v>161122.70000000001</v>
      </c>
      <c r="I92" s="1608">
        <v>10286.200000000001</v>
      </c>
      <c r="J92" s="1600">
        <f t="shared" si="36"/>
        <v>0</v>
      </c>
      <c r="K92" s="1608"/>
      <c r="L92" s="1608"/>
      <c r="M92" s="1893">
        <f t="shared" si="31"/>
        <v>0</v>
      </c>
      <c r="N92" s="1894">
        <f t="shared" si="31"/>
        <v>0</v>
      </c>
      <c r="O92" s="1894">
        <f t="shared" si="31"/>
        <v>0</v>
      </c>
      <c r="P92" s="1593"/>
      <c r="Q92" s="1593"/>
      <c r="R92" s="1600">
        <f t="shared" si="37"/>
        <v>0</v>
      </c>
      <c r="S92" s="1608">
        <v>0</v>
      </c>
      <c r="T92" s="1608">
        <v>0</v>
      </c>
      <c r="U92" s="1600">
        <f t="shared" si="38"/>
        <v>0</v>
      </c>
      <c r="V92" s="1608">
        <v>0</v>
      </c>
      <c r="W92" s="1608">
        <v>0</v>
      </c>
    </row>
    <row r="93" spans="1:23" s="484" customFormat="1" ht="30.75" customHeight="1">
      <c r="A93" s="1984"/>
      <c r="B93" s="516" t="s">
        <v>763</v>
      </c>
      <c r="C93" s="1923" t="s">
        <v>1550</v>
      </c>
      <c r="D93" s="1600">
        <f>SUM(E93:F93)</f>
        <v>172153.3</v>
      </c>
      <c r="E93" s="1608">
        <f>E94+E95</f>
        <v>161822.39999999999</v>
      </c>
      <c r="F93" s="1608">
        <f t="shared" ref="F93:W93" si="39">F94+F95</f>
        <v>10330.9</v>
      </c>
      <c r="G93" s="1600">
        <f t="shared" si="29"/>
        <v>172153.3</v>
      </c>
      <c r="H93" s="1608">
        <f>H94+H95</f>
        <v>161822.39999999999</v>
      </c>
      <c r="I93" s="1608">
        <f>I94+I95</f>
        <v>10330.9</v>
      </c>
      <c r="J93" s="1600">
        <f t="shared" si="36"/>
        <v>0</v>
      </c>
      <c r="K93" s="1608"/>
      <c r="L93" s="1608"/>
      <c r="M93" s="1608">
        <f t="shared" si="39"/>
        <v>0</v>
      </c>
      <c r="N93" s="1608">
        <f t="shared" si="39"/>
        <v>0</v>
      </c>
      <c r="O93" s="1608">
        <f t="shared" si="39"/>
        <v>0</v>
      </c>
      <c r="P93" s="1608">
        <f t="shared" si="39"/>
        <v>0</v>
      </c>
      <c r="Q93" s="1608">
        <f t="shared" si="39"/>
        <v>0</v>
      </c>
      <c r="R93" s="1941">
        <f t="shared" si="39"/>
        <v>109549.9</v>
      </c>
      <c r="S93" s="1608">
        <f t="shared" si="39"/>
        <v>0</v>
      </c>
      <c r="T93" s="1608">
        <f t="shared" si="39"/>
        <v>109549.9</v>
      </c>
      <c r="U93" s="1608">
        <f t="shared" si="39"/>
        <v>0</v>
      </c>
      <c r="V93" s="1608">
        <f t="shared" si="39"/>
        <v>0</v>
      </c>
      <c r="W93" s="1608">
        <f t="shared" si="39"/>
        <v>0</v>
      </c>
    </row>
    <row r="94" spans="1:23" s="484" customFormat="1" ht="16.5" customHeight="1">
      <c r="A94" s="1984"/>
      <c r="B94" s="1619" t="s">
        <v>1620</v>
      </c>
      <c r="C94" s="1924"/>
      <c r="D94" s="1600">
        <f>SUM(E94:F94)</f>
        <v>172153.3</v>
      </c>
      <c r="E94" s="1608">
        <v>161822.39999999999</v>
      </c>
      <c r="F94" s="1608">
        <v>10330.9</v>
      </c>
      <c r="G94" s="1600">
        <f t="shared" si="29"/>
        <v>172153.3</v>
      </c>
      <c r="H94" s="1608">
        <v>161822.39999999999</v>
      </c>
      <c r="I94" s="1608">
        <v>10330.9</v>
      </c>
      <c r="J94" s="1600">
        <f t="shared" si="36"/>
        <v>0</v>
      </c>
      <c r="K94" s="1608"/>
      <c r="L94" s="1608"/>
      <c r="M94" s="1893">
        <f t="shared" ref="M94:O95" si="40">IF(J94=0,0,J94/G94*100)</f>
        <v>0</v>
      </c>
      <c r="N94" s="1894">
        <f t="shared" si="40"/>
        <v>0</v>
      </c>
      <c r="O94" s="1894">
        <f t="shared" si="40"/>
        <v>0</v>
      </c>
      <c r="P94" s="1593"/>
      <c r="Q94" s="1593"/>
      <c r="R94" s="1600">
        <f>S94+T94</f>
        <v>0</v>
      </c>
      <c r="S94" s="1608">
        <v>0</v>
      </c>
      <c r="T94" s="1608">
        <v>0</v>
      </c>
      <c r="U94" s="1600">
        <f>V94+W94</f>
        <v>0</v>
      </c>
      <c r="V94" s="1608">
        <v>0</v>
      </c>
      <c r="W94" s="1624">
        <v>0</v>
      </c>
    </row>
    <row r="95" spans="1:23" s="484" customFormat="1" ht="19.5" hidden="1" customHeight="1">
      <c r="A95" s="1984"/>
      <c r="B95" s="1619" t="s">
        <v>1621</v>
      </c>
      <c r="C95" s="1924"/>
      <c r="D95" s="1600">
        <f>SUM(E95:F95)</f>
        <v>0</v>
      </c>
      <c r="E95" s="1608"/>
      <c r="F95" s="1624">
        <v>0</v>
      </c>
      <c r="G95" s="1600">
        <f t="shared" si="29"/>
        <v>0</v>
      </c>
      <c r="H95" s="1608"/>
      <c r="I95" s="1624">
        <v>0</v>
      </c>
      <c r="J95" s="1600">
        <f t="shared" si="36"/>
        <v>0</v>
      </c>
      <c r="K95" s="1608"/>
      <c r="L95" s="1624"/>
      <c r="M95" s="1893">
        <f t="shared" si="40"/>
        <v>0</v>
      </c>
      <c r="N95" s="1894">
        <f t="shared" si="40"/>
        <v>0</v>
      </c>
      <c r="O95" s="1894">
        <f t="shared" si="40"/>
        <v>0</v>
      </c>
      <c r="P95" s="1593"/>
      <c r="Q95" s="1593"/>
      <c r="R95" s="1600">
        <f>S95+T95</f>
        <v>109549.9</v>
      </c>
      <c r="S95" s="1608">
        <v>0</v>
      </c>
      <c r="T95" s="1608">
        <v>109549.9</v>
      </c>
      <c r="U95" s="1600">
        <f>V95+W95</f>
        <v>0</v>
      </c>
      <c r="V95" s="1608">
        <v>0</v>
      </c>
      <c r="W95" s="1624">
        <v>0</v>
      </c>
    </row>
    <row r="96" spans="1:23" s="484" customFormat="1" ht="20.25" customHeight="1">
      <c r="A96" s="1984"/>
      <c r="B96" s="516" t="s">
        <v>765</v>
      </c>
      <c r="C96" s="1923" t="s">
        <v>1550</v>
      </c>
      <c r="D96" s="1600">
        <f t="shared" si="27"/>
        <v>33286.699999999997</v>
      </c>
      <c r="E96" s="1608">
        <f>SUM(E97:E98)</f>
        <v>21902.5</v>
      </c>
      <c r="F96" s="1608">
        <f>SUM(F97:F98)</f>
        <v>11384.2</v>
      </c>
      <c r="G96" s="1600">
        <f t="shared" si="29"/>
        <v>33286.699999999997</v>
      </c>
      <c r="H96" s="1608">
        <f>SUM(H97:H98)</f>
        <v>21902.5</v>
      </c>
      <c r="I96" s="1608">
        <f>SUM(I97:I98)</f>
        <v>11384.2</v>
      </c>
      <c r="J96" s="1600">
        <f t="shared" si="36"/>
        <v>0</v>
      </c>
      <c r="K96" s="1608"/>
      <c r="L96" s="1608"/>
      <c r="M96" s="1893">
        <f t="shared" si="31"/>
        <v>0</v>
      </c>
      <c r="N96" s="1894">
        <f t="shared" si="31"/>
        <v>0</v>
      </c>
      <c r="O96" s="1894">
        <f t="shared" si="31"/>
        <v>0</v>
      </c>
      <c r="P96" s="1593" t="s">
        <v>1267</v>
      </c>
      <c r="Q96" s="1593" t="s">
        <v>1219</v>
      </c>
      <c r="R96" s="1600">
        <f t="shared" si="37"/>
        <v>0</v>
      </c>
      <c r="S96" s="1608">
        <v>0</v>
      </c>
      <c r="T96" s="1608">
        <v>0</v>
      </c>
      <c r="U96" s="1600">
        <f t="shared" si="38"/>
        <v>0</v>
      </c>
      <c r="V96" s="1608">
        <v>0</v>
      </c>
      <c r="W96" s="1624">
        <v>0</v>
      </c>
    </row>
    <row r="97" spans="1:23" ht="24.75" customHeight="1">
      <c r="A97" s="1984"/>
      <c r="B97" s="1619" t="s">
        <v>1620</v>
      </c>
      <c r="C97" s="1924"/>
      <c r="D97" s="1600">
        <f t="shared" si="27"/>
        <v>23300.799999999999</v>
      </c>
      <c r="E97" s="1608">
        <v>21902.5</v>
      </c>
      <c r="F97" s="1608">
        <v>1398.3</v>
      </c>
      <c r="G97" s="1600">
        <f t="shared" si="29"/>
        <v>23300.799999999999</v>
      </c>
      <c r="H97" s="1608">
        <v>21902.5</v>
      </c>
      <c r="I97" s="1608">
        <v>1398.3</v>
      </c>
      <c r="J97" s="1600">
        <f t="shared" si="36"/>
        <v>0</v>
      </c>
      <c r="K97" s="1608"/>
      <c r="L97" s="1608"/>
      <c r="M97" s="1893">
        <f t="shared" si="31"/>
        <v>0</v>
      </c>
      <c r="N97" s="1894">
        <f t="shared" si="31"/>
        <v>0</v>
      </c>
      <c r="O97" s="1894">
        <f t="shared" si="31"/>
        <v>0</v>
      </c>
      <c r="P97" s="1593"/>
      <c r="Q97" s="1593"/>
      <c r="R97" s="1600">
        <f t="shared" si="37"/>
        <v>0</v>
      </c>
      <c r="S97" s="1608">
        <v>0</v>
      </c>
      <c r="T97" s="1608">
        <v>0</v>
      </c>
      <c r="U97" s="1600">
        <f t="shared" si="38"/>
        <v>0</v>
      </c>
      <c r="V97" s="1608">
        <v>0</v>
      </c>
      <c r="W97" s="1624">
        <v>0</v>
      </c>
    </row>
    <row r="98" spans="1:23" ht="17.25" customHeight="1">
      <c r="A98" s="1984"/>
      <c r="B98" s="1619" t="s">
        <v>1621</v>
      </c>
      <c r="C98" s="1924"/>
      <c r="D98" s="1600">
        <f t="shared" si="27"/>
        <v>9985.9</v>
      </c>
      <c r="E98" s="1608"/>
      <c r="F98" s="1624">
        <v>9985.9</v>
      </c>
      <c r="G98" s="1600">
        <f t="shared" si="29"/>
        <v>9985.9</v>
      </c>
      <c r="H98" s="1608"/>
      <c r="I98" s="1624">
        <v>9985.9</v>
      </c>
      <c r="J98" s="1600">
        <f t="shared" si="36"/>
        <v>0</v>
      </c>
      <c r="K98" s="1608"/>
      <c r="L98" s="1624"/>
      <c r="M98" s="1893">
        <f t="shared" si="31"/>
        <v>0</v>
      </c>
      <c r="N98" s="1894">
        <f t="shared" si="31"/>
        <v>0</v>
      </c>
      <c r="O98" s="1894">
        <f t="shared" si="31"/>
        <v>0</v>
      </c>
      <c r="P98" s="1593"/>
      <c r="Q98" s="1593"/>
      <c r="R98" s="1600">
        <f t="shared" si="37"/>
        <v>0</v>
      </c>
      <c r="S98" s="1608">
        <v>0</v>
      </c>
      <c r="T98" s="1608">
        <v>0</v>
      </c>
      <c r="U98" s="1600">
        <f t="shared" si="38"/>
        <v>0</v>
      </c>
      <c r="V98" s="1608">
        <v>0</v>
      </c>
      <c r="W98" s="1624">
        <v>0</v>
      </c>
    </row>
    <row r="99" spans="1:23" s="484" customFormat="1" ht="24.75" customHeight="1">
      <c r="A99" s="1984"/>
      <c r="B99" s="516" t="s">
        <v>766</v>
      </c>
      <c r="C99" s="1923" t="s">
        <v>1550</v>
      </c>
      <c r="D99" s="1600">
        <f t="shared" si="27"/>
        <v>20841.599999999999</v>
      </c>
      <c r="E99" s="1608">
        <f>SUM(E100:E101)</f>
        <v>13713.9</v>
      </c>
      <c r="F99" s="1608">
        <f>SUM(F100:F101)</f>
        <v>7127.7</v>
      </c>
      <c r="G99" s="1600">
        <f t="shared" si="29"/>
        <v>20841.599999999999</v>
      </c>
      <c r="H99" s="1608">
        <f>SUM(H100:H101)</f>
        <v>13713.9</v>
      </c>
      <c r="I99" s="1608">
        <f>SUM(I100:I101)</f>
        <v>7127.7</v>
      </c>
      <c r="J99" s="1600">
        <f t="shared" si="36"/>
        <v>0</v>
      </c>
      <c r="K99" s="1608"/>
      <c r="L99" s="1608"/>
      <c r="M99" s="1893">
        <f t="shared" si="31"/>
        <v>0</v>
      </c>
      <c r="N99" s="1894">
        <f t="shared" si="31"/>
        <v>0</v>
      </c>
      <c r="O99" s="1894">
        <f t="shared" si="31"/>
        <v>0</v>
      </c>
      <c r="P99" s="1593" t="s">
        <v>1303</v>
      </c>
      <c r="Q99" s="1593" t="s">
        <v>1268</v>
      </c>
      <c r="R99" s="1600">
        <f t="shared" si="37"/>
        <v>0</v>
      </c>
      <c r="S99" s="1608">
        <v>0</v>
      </c>
      <c r="T99" s="1608">
        <v>0</v>
      </c>
      <c r="U99" s="1600">
        <f t="shared" si="38"/>
        <v>0</v>
      </c>
      <c r="V99" s="1608">
        <v>0</v>
      </c>
      <c r="W99" s="1624">
        <v>0</v>
      </c>
    </row>
    <row r="100" spans="1:23" ht="24.75" customHeight="1">
      <c r="A100" s="1984"/>
      <c r="B100" s="1619" t="s">
        <v>1620</v>
      </c>
      <c r="C100" s="1924"/>
      <c r="D100" s="1600">
        <f t="shared" si="27"/>
        <v>14589.4</v>
      </c>
      <c r="E100" s="1608">
        <v>13713.9</v>
      </c>
      <c r="F100" s="1608">
        <v>875.5</v>
      </c>
      <c r="G100" s="1600">
        <f t="shared" si="29"/>
        <v>14589.4</v>
      </c>
      <c r="H100" s="1608">
        <v>13713.9</v>
      </c>
      <c r="I100" s="1608">
        <v>875.5</v>
      </c>
      <c r="J100" s="1600">
        <f t="shared" si="36"/>
        <v>0</v>
      </c>
      <c r="K100" s="1608"/>
      <c r="L100" s="1608"/>
      <c r="M100" s="1893">
        <f t="shared" si="31"/>
        <v>0</v>
      </c>
      <c r="N100" s="1894">
        <f t="shared" si="31"/>
        <v>0</v>
      </c>
      <c r="O100" s="1894">
        <f t="shared" si="31"/>
        <v>0</v>
      </c>
      <c r="P100" s="1593"/>
      <c r="Q100" s="1593"/>
      <c r="R100" s="1600">
        <f t="shared" si="37"/>
        <v>0</v>
      </c>
      <c r="S100" s="1608">
        <v>0</v>
      </c>
      <c r="T100" s="1608">
        <v>0</v>
      </c>
      <c r="U100" s="1600">
        <f t="shared" si="38"/>
        <v>0</v>
      </c>
      <c r="V100" s="1608">
        <v>0</v>
      </c>
      <c r="W100" s="1624">
        <v>0</v>
      </c>
    </row>
    <row r="101" spans="1:23" ht="24.75" customHeight="1">
      <c r="A101" s="1984"/>
      <c r="B101" s="1619" t="s">
        <v>1621</v>
      </c>
      <c r="C101" s="1924"/>
      <c r="D101" s="1600">
        <f t="shared" si="27"/>
        <v>6252.2</v>
      </c>
      <c r="E101" s="1608"/>
      <c r="F101" s="1624">
        <v>6252.2</v>
      </c>
      <c r="G101" s="1600">
        <f t="shared" si="29"/>
        <v>6252.2</v>
      </c>
      <c r="H101" s="1608"/>
      <c r="I101" s="1624">
        <v>6252.2</v>
      </c>
      <c r="J101" s="1600">
        <f t="shared" si="36"/>
        <v>0</v>
      </c>
      <c r="K101" s="1608"/>
      <c r="L101" s="1624"/>
      <c r="M101" s="1893">
        <f t="shared" si="31"/>
        <v>0</v>
      </c>
      <c r="N101" s="1894">
        <f t="shared" si="31"/>
        <v>0</v>
      </c>
      <c r="O101" s="1894">
        <f t="shared" si="31"/>
        <v>0</v>
      </c>
      <c r="P101" s="1593"/>
      <c r="Q101" s="1593"/>
      <c r="R101" s="1600">
        <f t="shared" si="37"/>
        <v>0</v>
      </c>
      <c r="S101" s="1608">
        <v>0</v>
      </c>
      <c r="T101" s="1608">
        <v>0</v>
      </c>
      <c r="U101" s="1600">
        <f t="shared" si="38"/>
        <v>0</v>
      </c>
      <c r="V101" s="1608">
        <v>0</v>
      </c>
      <c r="W101" s="1624">
        <v>0</v>
      </c>
    </row>
    <row r="102" spans="1:23" ht="39" customHeight="1">
      <c r="A102" s="1984"/>
      <c r="B102" s="521" t="s">
        <v>478</v>
      </c>
      <c r="C102" s="1924" t="s">
        <v>1610</v>
      </c>
      <c r="D102" s="1600">
        <f t="shared" si="27"/>
        <v>449354.7</v>
      </c>
      <c r="E102" s="1608">
        <f>E103+E104</f>
        <v>422106.8</v>
      </c>
      <c r="F102" s="1608">
        <f>F103+F104</f>
        <v>27247.9</v>
      </c>
      <c r="G102" s="1600">
        <f t="shared" si="29"/>
        <v>449354.7</v>
      </c>
      <c r="H102" s="1608">
        <f>H103+H104</f>
        <v>422106.8</v>
      </c>
      <c r="I102" s="1608">
        <f>I103+I104</f>
        <v>27247.9</v>
      </c>
      <c r="J102" s="1600">
        <f t="shared" si="36"/>
        <v>0</v>
      </c>
      <c r="K102" s="1608"/>
      <c r="L102" s="1608"/>
      <c r="M102" s="1893">
        <f t="shared" si="31"/>
        <v>0</v>
      </c>
      <c r="N102" s="1894">
        <f t="shared" si="31"/>
        <v>0</v>
      </c>
      <c r="O102" s="1894">
        <f t="shared" si="31"/>
        <v>0</v>
      </c>
      <c r="P102" s="1593" t="s">
        <v>1298</v>
      </c>
      <c r="Q102" s="1593" t="s">
        <v>1261</v>
      </c>
      <c r="R102" s="1600">
        <f t="shared" si="37"/>
        <v>0</v>
      </c>
      <c r="S102" s="1608">
        <v>0</v>
      </c>
      <c r="T102" s="1608">
        <v>0</v>
      </c>
      <c r="U102" s="1600">
        <f t="shared" si="38"/>
        <v>0</v>
      </c>
      <c r="V102" s="1608">
        <v>0</v>
      </c>
      <c r="W102" s="1624">
        <v>0</v>
      </c>
    </row>
    <row r="103" spans="1:23">
      <c r="A103" s="1984"/>
      <c r="B103" s="1619" t="s">
        <v>1620</v>
      </c>
      <c r="C103" s="1924"/>
      <c r="D103" s="1600">
        <f t="shared" si="27"/>
        <v>449049.8</v>
      </c>
      <c r="E103" s="1608">
        <v>422106.8</v>
      </c>
      <c r="F103" s="1624">
        <v>26943</v>
      </c>
      <c r="G103" s="1600">
        <f t="shared" si="29"/>
        <v>449049.8</v>
      </c>
      <c r="H103" s="1608">
        <v>422106.8</v>
      </c>
      <c r="I103" s="1624">
        <v>26943</v>
      </c>
      <c r="J103" s="1600">
        <f t="shared" si="36"/>
        <v>0</v>
      </c>
      <c r="K103" s="1608"/>
      <c r="L103" s="1624"/>
      <c r="M103" s="1893">
        <f t="shared" si="31"/>
        <v>0</v>
      </c>
      <c r="N103" s="1894">
        <f t="shared" si="31"/>
        <v>0</v>
      </c>
      <c r="O103" s="1894">
        <f t="shared" si="31"/>
        <v>0</v>
      </c>
      <c r="P103" s="1593"/>
      <c r="Q103" s="1593"/>
      <c r="R103" s="1600">
        <f t="shared" si="37"/>
        <v>0</v>
      </c>
      <c r="S103" s="1608">
        <v>0</v>
      </c>
      <c r="T103" s="1608">
        <v>0</v>
      </c>
      <c r="U103" s="1600">
        <f t="shared" si="38"/>
        <v>0</v>
      </c>
      <c r="V103" s="1608">
        <v>0</v>
      </c>
      <c r="W103" s="1624">
        <v>0</v>
      </c>
    </row>
    <row r="104" spans="1:23">
      <c r="A104" s="1984"/>
      <c r="B104" s="1619" t="s">
        <v>1621</v>
      </c>
      <c r="C104" s="1924"/>
      <c r="D104" s="1600">
        <f t="shared" si="27"/>
        <v>304.89999999999998</v>
      </c>
      <c r="E104" s="1608"/>
      <c r="F104" s="1624">
        <v>304.89999999999998</v>
      </c>
      <c r="G104" s="1600">
        <f t="shared" si="29"/>
        <v>304.89999999999998</v>
      </c>
      <c r="H104" s="1608"/>
      <c r="I104" s="1624">
        <v>304.89999999999998</v>
      </c>
      <c r="J104" s="1600">
        <f t="shared" si="36"/>
        <v>0</v>
      </c>
      <c r="K104" s="1608"/>
      <c r="L104" s="1624"/>
      <c r="M104" s="1893">
        <f t="shared" si="31"/>
        <v>0</v>
      </c>
      <c r="N104" s="1894">
        <f t="shared" si="31"/>
        <v>0</v>
      </c>
      <c r="O104" s="1894">
        <f t="shared" si="31"/>
        <v>0</v>
      </c>
      <c r="P104" s="1593"/>
      <c r="Q104" s="1593"/>
      <c r="R104" s="1600">
        <f t="shared" si="37"/>
        <v>0</v>
      </c>
      <c r="S104" s="1608">
        <v>0</v>
      </c>
      <c r="T104" s="1608">
        <v>0</v>
      </c>
      <c r="U104" s="1600">
        <f t="shared" si="38"/>
        <v>0</v>
      </c>
      <c r="V104" s="1614"/>
      <c r="W104" s="1614"/>
    </row>
    <row r="105" spans="1:23" s="484" customFormat="1" ht="39.75" customHeight="1">
      <c r="A105" s="1984"/>
      <c r="B105" s="1915" t="s">
        <v>694</v>
      </c>
      <c r="C105" s="1866" t="s">
        <v>1548</v>
      </c>
      <c r="D105" s="1600">
        <f t="shared" si="27"/>
        <v>315323.09999999998</v>
      </c>
      <c r="E105" s="1614">
        <v>296403.8</v>
      </c>
      <c r="F105" s="1614">
        <f>18919.3</f>
        <v>18919.3</v>
      </c>
      <c r="G105" s="1600">
        <f t="shared" si="29"/>
        <v>315323.09999999998</v>
      </c>
      <c r="H105" s="1614">
        <v>296403.8</v>
      </c>
      <c r="I105" s="1614">
        <f>18919.3</f>
        <v>18919.3</v>
      </c>
      <c r="J105" s="1600">
        <f t="shared" si="36"/>
        <v>0</v>
      </c>
      <c r="K105" s="1614"/>
      <c r="L105" s="1614"/>
      <c r="M105" s="1893">
        <f t="shared" si="31"/>
        <v>0</v>
      </c>
      <c r="N105" s="1894">
        <f t="shared" si="31"/>
        <v>0</v>
      </c>
      <c r="O105" s="1894">
        <f t="shared" si="31"/>
        <v>0</v>
      </c>
      <c r="P105" s="1593" t="s">
        <v>1272</v>
      </c>
      <c r="Q105" s="1593" t="s">
        <v>1273</v>
      </c>
      <c r="R105" s="1600">
        <f t="shared" si="37"/>
        <v>0</v>
      </c>
      <c r="S105" s="1614">
        <v>0</v>
      </c>
      <c r="T105" s="1614">
        <v>0</v>
      </c>
      <c r="U105" s="1600">
        <f t="shared" si="38"/>
        <v>0</v>
      </c>
      <c r="V105" s="1614">
        <v>0</v>
      </c>
      <c r="W105" s="1614">
        <v>0</v>
      </c>
    </row>
    <row r="106" spans="1:23" s="484" customFormat="1" ht="42" customHeight="1">
      <c r="A106" s="1984"/>
      <c r="B106" s="1915" t="s">
        <v>695</v>
      </c>
      <c r="C106" s="1866"/>
      <c r="D106" s="1600">
        <f t="shared" si="27"/>
        <v>104813.3</v>
      </c>
      <c r="E106" s="1614">
        <v>98524.5</v>
      </c>
      <c r="F106" s="1614">
        <v>6288.8</v>
      </c>
      <c r="G106" s="1600">
        <f t="shared" si="29"/>
        <v>104813.3</v>
      </c>
      <c r="H106" s="1614">
        <v>98524.5</v>
      </c>
      <c r="I106" s="1614">
        <v>6288.8</v>
      </c>
      <c r="J106" s="1600">
        <f t="shared" si="36"/>
        <v>34143.9</v>
      </c>
      <c r="K106" s="1614">
        <v>32095.3</v>
      </c>
      <c r="L106" s="1614">
        <v>2048.6</v>
      </c>
      <c r="M106" s="1893">
        <f t="shared" si="31"/>
        <v>32.6</v>
      </c>
      <c r="N106" s="1894">
        <f t="shared" si="31"/>
        <v>32.6</v>
      </c>
      <c r="O106" s="1894">
        <f t="shared" si="31"/>
        <v>32.6</v>
      </c>
      <c r="P106" s="1593" t="s">
        <v>1272</v>
      </c>
      <c r="Q106" s="1593" t="s">
        <v>1273</v>
      </c>
      <c r="R106" s="1600">
        <f t="shared" si="37"/>
        <v>0</v>
      </c>
      <c r="S106" s="1614">
        <v>0</v>
      </c>
      <c r="T106" s="1614">
        <v>0</v>
      </c>
      <c r="U106" s="1600">
        <f t="shared" si="38"/>
        <v>0</v>
      </c>
      <c r="V106" s="1614">
        <v>0</v>
      </c>
      <c r="W106" s="1614">
        <v>0</v>
      </c>
    </row>
    <row r="107" spans="1:23" s="484" customFormat="1" ht="42" customHeight="1">
      <c r="A107" s="1984"/>
      <c r="B107" s="1915" t="s">
        <v>698</v>
      </c>
      <c r="C107" s="1866"/>
      <c r="D107" s="1600">
        <f t="shared" si="27"/>
        <v>668866.80000000005</v>
      </c>
      <c r="E107" s="1614">
        <v>628534.1</v>
      </c>
      <c r="F107" s="1614">
        <f>40332.7</f>
        <v>40332.699999999997</v>
      </c>
      <c r="G107" s="1600">
        <f t="shared" si="29"/>
        <v>668866.80000000005</v>
      </c>
      <c r="H107" s="1614">
        <v>628534.1</v>
      </c>
      <c r="I107" s="1614">
        <f>40332.7</f>
        <v>40332.699999999997</v>
      </c>
      <c r="J107" s="1600">
        <f t="shared" si="36"/>
        <v>0</v>
      </c>
      <c r="K107" s="1614"/>
      <c r="L107" s="1614"/>
      <c r="M107" s="1893">
        <f t="shared" si="31"/>
        <v>0</v>
      </c>
      <c r="N107" s="1894">
        <f t="shared" si="31"/>
        <v>0</v>
      </c>
      <c r="O107" s="1894">
        <f t="shared" si="31"/>
        <v>0</v>
      </c>
      <c r="P107" s="1593" t="s">
        <v>1306</v>
      </c>
      <c r="Q107" s="1593" t="s">
        <v>1277</v>
      </c>
      <c r="R107" s="1600">
        <f>S107+T107</f>
        <v>778086</v>
      </c>
      <c r="S107" s="1615">
        <v>0</v>
      </c>
      <c r="T107" s="1615">
        <v>778086</v>
      </c>
      <c r="U107" s="1600">
        <f t="shared" si="38"/>
        <v>0</v>
      </c>
      <c r="V107" s="1615">
        <v>0</v>
      </c>
      <c r="W107" s="1615">
        <v>0</v>
      </c>
    </row>
    <row r="108" spans="1:23" s="484" customFormat="1">
      <c r="A108" s="1984"/>
      <c r="B108" s="1619" t="s">
        <v>1620</v>
      </c>
      <c r="C108" s="1924"/>
      <c r="D108" s="1600">
        <f>SUM(E108:F108)</f>
        <v>668866.80000000005</v>
      </c>
      <c r="E108" s="1608">
        <v>628534.1</v>
      </c>
      <c r="F108" s="1624">
        <v>40332.699999999997</v>
      </c>
      <c r="G108" s="1600">
        <f t="shared" si="29"/>
        <v>668866.80000000005</v>
      </c>
      <c r="H108" s="1608">
        <v>628534.1</v>
      </c>
      <c r="I108" s="1624">
        <v>40332.699999999997</v>
      </c>
      <c r="J108" s="1600">
        <f t="shared" si="36"/>
        <v>0</v>
      </c>
      <c r="K108" s="1608"/>
      <c r="L108" s="1624"/>
      <c r="M108" s="1893">
        <f t="shared" si="31"/>
        <v>0</v>
      </c>
      <c r="N108" s="1894">
        <f t="shared" si="31"/>
        <v>0</v>
      </c>
      <c r="O108" s="1894">
        <f t="shared" si="31"/>
        <v>0</v>
      </c>
      <c r="P108" s="1593"/>
      <c r="Q108" s="1593"/>
      <c r="R108" s="1600">
        <f>S108+T108</f>
        <v>0</v>
      </c>
      <c r="S108" s="1608">
        <v>0</v>
      </c>
      <c r="T108" s="1608">
        <v>0</v>
      </c>
      <c r="U108" s="1600">
        <f>V108+W108</f>
        <v>0</v>
      </c>
      <c r="V108" s="1608">
        <v>0</v>
      </c>
      <c r="W108" s="1624">
        <v>0</v>
      </c>
    </row>
    <row r="109" spans="1:23" s="484" customFormat="1" hidden="1">
      <c r="A109" s="1984"/>
      <c r="B109" s="1619" t="s">
        <v>1621</v>
      </c>
      <c r="C109" s="1924"/>
      <c r="D109" s="1600">
        <f>SUM(E109:F109)</f>
        <v>0</v>
      </c>
      <c r="E109" s="1608"/>
      <c r="F109" s="1624">
        <v>0</v>
      </c>
      <c r="G109" s="1600">
        <f t="shared" si="29"/>
        <v>0</v>
      </c>
      <c r="H109" s="1608"/>
      <c r="I109" s="1624">
        <v>0</v>
      </c>
      <c r="J109" s="1600">
        <f t="shared" si="36"/>
        <v>0</v>
      </c>
      <c r="K109" s="1608"/>
      <c r="L109" s="1624"/>
      <c r="M109" s="1893">
        <f t="shared" si="31"/>
        <v>0</v>
      </c>
      <c r="N109" s="1894">
        <f t="shared" si="31"/>
        <v>0</v>
      </c>
      <c r="O109" s="1894">
        <f t="shared" si="31"/>
        <v>0</v>
      </c>
      <c r="P109" s="1593"/>
      <c r="Q109" s="1593"/>
      <c r="R109" s="1600">
        <f>S109+T109</f>
        <v>778086</v>
      </c>
      <c r="S109" s="1608">
        <v>0</v>
      </c>
      <c r="T109" s="1608">
        <v>778086</v>
      </c>
      <c r="U109" s="1600">
        <f>V109+W109</f>
        <v>0</v>
      </c>
      <c r="V109" s="1614"/>
      <c r="W109" s="1614"/>
    </row>
    <row r="110" spans="1:23" ht="40.5" customHeight="1">
      <c r="A110" s="1984"/>
      <c r="B110" s="1915" t="s">
        <v>697</v>
      </c>
      <c r="C110" s="1866"/>
      <c r="D110" s="1600">
        <f t="shared" si="27"/>
        <v>87999.8</v>
      </c>
      <c r="E110" s="1614">
        <v>82693.5</v>
      </c>
      <c r="F110" s="1614">
        <v>5306.3</v>
      </c>
      <c r="G110" s="1600">
        <f t="shared" si="29"/>
        <v>87999.8</v>
      </c>
      <c r="H110" s="1614">
        <v>82693.5</v>
      </c>
      <c r="I110" s="1614">
        <v>5306.3</v>
      </c>
      <c r="J110" s="1600">
        <f t="shared" si="36"/>
        <v>4862.7</v>
      </c>
      <c r="K110" s="1614">
        <f>4453.2+116.3</f>
        <v>4569.5</v>
      </c>
      <c r="L110" s="1614">
        <f>285.7+7.5</f>
        <v>293.2</v>
      </c>
      <c r="M110" s="1893">
        <f t="shared" si="31"/>
        <v>5.5</v>
      </c>
      <c r="N110" s="1894">
        <f t="shared" si="31"/>
        <v>5.5</v>
      </c>
      <c r="O110" s="1894">
        <f t="shared" si="31"/>
        <v>5.5</v>
      </c>
      <c r="P110" s="1593" t="s">
        <v>1192</v>
      </c>
      <c r="Q110" s="1593" t="s">
        <v>1658</v>
      </c>
      <c r="R110" s="1600">
        <f t="shared" si="37"/>
        <v>0</v>
      </c>
      <c r="S110" s="1614">
        <v>0</v>
      </c>
      <c r="T110" s="1614">
        <v>0</v>
      </c>
      <c r="U110" s="1600">
        <f t="shared" si="38"/>
        <v>0</v>
      </c>
      <c r="V110" s="1615">
        <v>0</v>
      </c>
      <c r="W110" s="1615">
        <v>0</v>
      </c>
    </row>
    <row r="111" spans="1:23" ht="63" customHeight="1">
      <c r="A111" s="1984"/>
      <c r="B111" s="1915" t="s">
        <v>942</v>
      </c>
      <c r="C111" s="1866"/>
      <c r="D111" s="1600">
        <f t="shared" si="27"/>
        <v>201856.9</v>
      </c>
      <c r="E111" s="1614">
        <v>189685</v>
      </c>
      <c r="F111" s="1614">
        <v>12171.9</v>
      </c>
      <c r="G111" s="1600">
        <f t="shared" si="29"/>
        <v>201856.9</v>
      </c>
      <c r="H111" s="1614">
        <v>189685</v>
      </c>
      <c r="I111" s="1614">
        <v>12171.9</v>
      </c>
      <c r="J111" s="1600">
        <f t="shared" si="36"/>
        <v>0</v>
      </c>
      <c r="K111" s="1614"/>
      <c r="L111" s="1614"/>
      <c r="M111" s="1893">
        <f t="shared" si="31"/>
        <v>0</v>
      </c>
      <c r="N111" s="1894">
        <f t="shared" si="31"/>
        <v>0</v>
      </c>
      <c r="O111" s="1894">
        <f t="shared" si="31"/>
        <v>0</v>
      </c>
      <c r="P111" s="1593" t="s">
        <v>1192</v>
      </c>
      <c r="Q111" s="1593" t="s">
        <v>1279</v>
      </c>
      <c r="R111" s="1600">
        <f t="shared" si="37"/>
        <v>0</v>
      </c>
      <c r="S111" s="1614">
        <v>0</v>
      </c>
      <c r="T111" s="1614">
        <v>0</v>
      </c>
      <c r="U111" s="1600">
        <f t="shared" si="38"/>
        <v>0</v>
      </c>
      <c r="V111" s="1615">
        <v>0</v>
      </c>
      <c r="W111" s="1615">
        <v>0</v>
      </c>
    </row>
    <row r="112" spans="1:23" s="1626" customFormat="1" ht="23.25" hidden="1" customHeight="1">
      <c r="A112" s="1984">
        <v>117</v>
      </c>
      <c r="B112" s="1879" t="s">
        <v>1488</v>
      </c>
      <c r="C112" s="1913"/>
      <c r="D112" s="1600">
        <f t="shared" si="27"/>
        <v>0</v>
      </c>
      <c r="E112" s="1614">
        <v>0</v>
      </c>
      <c r="F112" s="1614">
        <v>0</v>
      </c>
      <c r="G112" s="1600">
        <f t="shared" si="29"/>
        <v>0</v>
      </c>
      <c r="H112" s="1614">
        <v>0</v>
      </c>
      <c r="I112" s="1614">
        <v>0</v>
      </c>
      <c r="J112" s="1600">
        <f t="shared" si="36"/>
        <v>0</v>
      </c>
      <c r="K112" s="1614"/>
      <c r="L112" s="1614"/>
      <c r="M112" s="1893">
        <f t="shared" si="31"/>
        <v>0</v>
      </c>
      <c r="N112" s="1894">
        <f t="shared" si="31"/>
        <v>0</v>
      </c>
      <c r="O112" s="1894">
        <f t="shared" si="31"/>
        <v>0</v>
      </c>
      <c r="P112" s="1593" t="s">
        <v>1299</v>
      </c>
      <c r="Q112" s="1593" t="s">
        <v>1262</v>
      </c>
      <c r="R112" s="1600">
        <f t="shared" si="37"/>
        <v>0</v>
      </c>
      <c r="S112" s="1614">
        <v>0</v>
      </c>
      <c r="T112" s="1614">
        <v>0</v>
      </c>
      <c r="U112" s="1600">
        <f t="shared" si="38"/>
        <v>0</v>
      </c>
      <c r="V112" s="1615">
        <v>0</v>
      </c>
      <c r="W112" s="1615">
        <v>0</v>
      </c>
    </row>
    <row r="113" spans="1:23" ht="82.5" customHeight="1">
      <c r="A113" s="1984"/>
      <c r="B113" s="1915" t="s">
        <v>1635</v>
      </c>
      <c r="C113" s="1866"/>
      <c r="D113" s="1600">
        <f t="shared" si="27"/>
        <v>13404.9</v>
      </c>
      <c r="E113" s="1614">
        <v>12600.5</v>
      </c>
      <c r="F113" s="1614">
        <v>804.4</v>
      </c>
      <c r="G113" s="1600">
        <f t="shared" si="29"/>
        <v>13404.9</v>
      </c>
      <c r="H113" s="1614">
        <v>12600.5</v>
      </c>
      <c r="I113" s="1614">
        <v>804.4</v>
      </c>
      <c r="J113" s="1600">
        <f t="shared" si="36"/>
        <v>0</v>
      </c>
      <c r="K113" s="1614"/>
      <c r="L113" s="1614"/>
      <c r="M113" s="1893">
        <f t="shared" si="31"/>
        <v>0</v>
      </c>
      <c r="N113" s="1894">
        <f t="shared" si="31"/>
        <v>0</v>
      </c>
      <c r="O113" s="1894">
        <f t="shared" si="31"/>
        <v>0</v>
      </c>
      <c r="P113" s="1593" t="s">
        <v>1192</v>
      </c>
      <c r="Q113" s="1593" t="s">
        <v>1279</v>
      </c>
      <c r="R113" s="1600">
        <f>S113+T113</f>
        <v>0</v>
      </c>
      <c r="S113" s="1614">
        <v>0</v>
      </c>
      <c r="T113" s="1614">
        <v>0</v>
      </c>
      <c r="U113" s="1600">
        <f>V113+W113</f>
        <v>0</v>
      </c>
      <c r="V113" s="1615">
        <v>0</v>
      </c>
      <c r="W113" s="1615">
        <v>0</v>
      </c>
    </row>
    <row r="114" spans="1:23" ht="59.25" hidden="1" customHeight="1">
      <c r="A114" s="1984" t="e">
        <f>#REF!+1</f>
        <v>#REF!</v>
      </c>
      <c r="B114" s="493" t="s">
        <v>1492</v>
      </c>
      <c r="C114" s="1984">
        <v>14091</v>
      </c>
      <c r="D114" s="1600">
        <f t="shared" si="27"/>
        <v>0</v>
      </c>
      <c r="E114" s="1614"/>
      <c r="F114" s="1614">
        <v>0</v>
      </c>
      <c r="G114" s="1600">
        <f t="shared" si="29"/>
        <v>0</v>
      </c>
      <c r="H114" s="1614"/>
      <c r="I114" s="1614">
        <v>0</v>
      </c>
      <c r="J114" s="1600">
        <f t="shared" si="36"/>
        <v>0</v>
      </c>
      <c r="K114" s="1614"/>
      <c r="L114" s="1614"/>
      <c r="M114" s="1604">
        <f t="shared" si="31"/>
        <v>0</v>
      </c>
      <c r="N114" s="1881">
        <f t="shared" si="31"/>
        <v>0</v>
      </c>
      <c r="O114" s="1881">
        <f t="shared" si="31"/>
        <v>0</v>
      </c>
      <c r="P114" s="1593" t="s">
        <v>1192</v>
      </c>
      <c r="Q114" s="1593" t="s">
        <v>1206</v>
      </c>
      <c r="R114" s="1600">
        <f>SUM(S114:T114)</f>
        <v>200000</v>
      </c>
      <c r="S114" s="1614">
        <v>0</v>
      </c>
      <c r="T114" s="1614">
        <v>200000</v>
      </c>
      <c r="U114" s="1600">
        <f>SUM(V114:W114)</f>
        <v>0</v>
      </c>
      <c r="V114" s="1608">
        <v>0</v>
      </c>
      <c r="W114" s="1608">
        <v>0</v>
      </c>
    </row>
    <row r="115" spans="1:23" ht="225" hidden="1" customHeight="1">
      <c r="A115" s="1946" t="s">
        <v>1671</v>
      </c>
      <c r="B115" s="1888" t="s">
        <v>1669</v>
      </c>
      <c r="C115" s="1984" t="s">
        <v>1549</v>
      </c>
      <c r="D115" s="1600">
        <f>SUM(E115:F115)</f>
        <v>0</v>
      </c>
      <c r="E115" s="1614"/>
      <c r="F115" s="1614"/>
      <c r="G115" s="1600">
        <f t="shared" si="29"/>
        <v>0</v>
      </c>
      <c r="H115" s="1614"/>
      <c r="I115" s="1614"/>
      <c r="J115" s="1600">
        <f>SUM(K115:L115)</f>
        <v>0</v>
      </c>
      <c r="K115" s="1614"/>
      <c r="L115" s="1614"/>
      <c r="M115" s="1604">
        <f>IF(J115=0,0,J115/G115*100)</f>
        <v>0</v>
      </c>
      <c r="N115" s="1881">
        <f>IF(K115=0,0,K115/H115*100)</f>
        <v>0</v>
      </c>
      <c r="O115" s="1881">
        <f>IF(L115=0,0,L115/I115*100)</f>
        <v>0</v>
      </c>
      <c r="P115" s="1593" t="s">
        <v>1192</v>
      </c>
      <c r="Q115" s="1593" t="s">
        <v>1160</v>
      </c>
      <c r="R115" s="1600">
        <f>SUM(S115:T115)</f>
        <v>20985.5</v>
      </c>
      <c r="S115" s="1614">
        <v>0</v>
      </c>
      <c r="T115" s="1614">
        <v>20985.5</v>
      </c>
      <c r="U115" s="1600">
        <f>SUM(V115:W115)</f>
        <v>0</v>
      </c>
      <c r="V115" s="1614">
        <v>0</v>
      </c>
      <c r="W115" s="1614">
        <v>0</v>
      </c>
    </row>
    <row r="116" spans="1:23" s="791" customFormat="1" ht="46.5" customHeight="1">
      <c r="A116" s="2565" t="s">
        <v>456</v>
      </c>
      <c r="B116" s="2565"/>
      <c r="C116" s="1869"/>
      <c r="D116" s="1594">
        <f>D117</f>
        <v>626642.1</v>
      </c>
      <c r="E116" s="1594">
        <f t="shared" ref="E116:L116" si="41">E117</f>
        <v>437900</v>
      </c>
      <c r="F116" s="1594">
        <f t="shared" si="41"/>
        <v>188742.1</v>
      </c>
      <c r="G116" s="1594">
        <f t="shared" si="41"/>
        <v>626642.1</v>
      </c>
      <c r="H116" s="1594">
        <f t="shared" si="41"/>
        <v>437900</v>
      </c>
      <c r="I116" s="1594">
        <f t="shared" si="41"/>
        <v>188742.1</v>
      </c>
      <c r="J116" s="1594">
        <f t="shared" si="41"/>
        <v>0</v>
      </c>
      <c r="K116" s="1594">
        <f t="shared" si="41"/>
        <v>0</v>
      </c>
      <c r="L116" s="1594">
        <f t="shared" si="41"/>
        <v>0</v>
      </c>
      <c r="M116" s="1870">
        <f t="shared" si="31"/>
        <v>0</v>
      </c>
      <c r="N116" s="1871">
        <f t="shared" si="31"/>
        <v>0</v>
      </c>
      <c r="O116" s="1871">
        <f t="shared" si="31"/>
        <v>0</v>
      </c>
      <c r="P116" s="1940"/>
      <c r="Q116" s="1593" t="s">
        <v>1104</v>
      </c>
      <c r="R116" s="1594" t="e">
        <f>SUM(S116:T116)</f>
        <v>#REF!</v>
      </c>
      <c r="S116" s="1594" t="e">
        <f>SUM(#REF!,S117)</f>
        <v>#REF!</v>
      </c>
      <c r="T116" s="1594" t="e">
        <f>SUM(#REF!,T117)</f>
        <v>#REF!</v>
      </c>
      <c r="U116" s="1594" t="e">
        <f>SUM(V116:W116)</f>
        <v>#REF!</v>
      </c>
      <c r="V116" s="1594" t="e">
        <f>SUM(#REF!,V117)</f>
        <v>#REF!</v>
      </c>
      <c r="W116" s="1594" t="e">
        <f>SUM(#REF!,W117)</f>
        <v>#REF!</v>
      </c>
    </row>
    <row r="117" spans="1:23" s="1566" customFormat="1">
      <c r="A117" s="1986" t="s">
        <v>6</v>
      </c>
      <c r="B117" s="1927" t="s">
        <v>1695</v>
      </c>
      <c r="C117" s="1873"/>
      <c r="D117" s="1861">
        <f>D118</f>
        <v>626642.1</v>
      </c>
      <c r="E117" s="1861">
        <f t="shared" ref="E117:L117" si="42">E118</f>
        <v>437900</v>
      </c>
      <c r="F117" s="1861">
        <f t="shared" si="42"/>
        <v>188742.1</v>
      </c>
      <c r="G117" s="1861">
        <f t="shared" si="42"/>
        <v>626642.1</v>
      </c>
      <c r="H117" s="1861">
        <f t="shared" si="42"/>
        <v>437900</v>
      </c>
      <c r="I117" s="1861">
        <f t="shared" si="42"/>
        <v>188742.1</v>
      </c>
      <c r="J117" s="1861">
        <f t="shared" si="42"/>
        <v>0</v>
      </c>
      <c r="K117" s="1861">
        <f t="shared" si="42"/>
        <v>0</v>
      </c>
      <c r="L117" s="1861">
        <f t="shared" si="42"/>
        <v>0</v>
      </c>
      <c r="M117" s="1997">
        <f>IF(J117=0,0,J117/G117*100)</f>
        <v>0</v>
      </c>
      <c r="N117" s="1997">
        <f>IF(K117=0,0,K117/H117*100)</f>
        <v>0</v>
      </c>
      <c r="O117" s="1997">
        <f>IF(L117=0,0,L117/I117*100)</f>
        <v>0</v>
      </c>
      <c r="P117" s="1861" t="e">
        <f>SUM(#REF!,#REF!)</f>
        <v>#REF!</v>
      </c>
      <c r="Q117" s="1861" t="e">
        <f>SUM(#REF!,#REF!)</f>
        <v>#REF!</v>
      </c>
      <c r="R117" s="1861" t="e">
        <f>SUM(S117:T117)</f>
        <v>#REF!</v>
      </c>
      <c r="S117" s="1861" t="e">
        <f>SUM(#REF!,#REF!)</f>
        <v>#REF!</v>
      </c>
      <c r="T117" s="1861" t="e">
        <f>SUM(#REF!,#REF!)</f>
        <v>#REF!</v>
      </c>
      <c r="U117" s="1861" t="e">
        <f>SUM(V117:W117)</f>
        <v>#REF!</v>
      </c>
      <c r="V117" s="1861" t="e">
        <f>SUM(#REF!,#REF!)</f>
        <v>#REF!</v>
      </c>
      <c r="W117" s="1861" t="e">
        <f>SUM(#REF!,#REF!)</f>
        <v>#REF!</v>
      </c>
    </row>
    <row r="118" spans="1:23" s="1570" customFormat="1" ht="21" customHeight="1">
      <c r="A118" s="1984" t="s">
        <v>50</v>
      </c>
      <c r="B118" s="1995" t="s">
        <v>1394</v>
      </c>
      <c r="C118" s="1930"/>
      <c r="D118" s="1860">
        <f t="shared" ref="D118:D129" si="43">SUM(E118:F118)</f>
        <v>626642.1</v>
      </c>
      <c r="E118" s="1996">
        <f>SUM(E119:E125)</f>
        <v>437900</v>
      </c>
      <c r="F118" s="1996">
        <f>SUM(F119:F125)</f>
        <v>188742.1</v>
      </c>
      <c r="G118" s="1860">
        <f t="shared" ref="G118:G129" si="44">SUM(H118:I118)</f>
        <v>626642.1</v>
      </c>
      <c r="H118" s="1996">
        <f>SUM(H119:H125)</f>
        <v>437900</v>
      </c>
      <c r="I118" s="1996">
        <f>SUM(I119:I125)</f>
        <v>188742.1</v>
      </c>
      <c r="J118" s="1860">
        <f t="shared" ref="J118:J126" si="45">SUM(K118:L118)</f>
        <v>0</v>
      </c>
      <c r="K118" s="1996">
        <f>SUM(K119:K125)</f>
        <v>0</v>
      </c>
      <c r="L118" s="1996">
        <f>SUM(L119:L125)</f>
        <v>0</v>
      </c>
      <c r="M118" s="1996">
        <f t="shared" ref="M118:O127" si="46">IF(J118=0,0,J118/G118*100)</f>
        <v>0</v>
      </c>
      <c r="N118" s="1996">
        <f t="shared" si="46"/>
        <v>0</v>
      </c>
      <c r="O118" s="1996">
        <f t="shared" si="46"/>
        <v>0</v>
      </c>
      <c r="P118" s="1940"/>
      <c r="Q118" s="1593"/>
      <c r="R118" s="1899">
        <f>SUM(S118:T118)</f>
        <v>0</v>
      </c>
      <c r="S118" s="1931">
        <f>SUM(S119:S125)</f>
        <v>0</v>
      </c>
      <c r="T118" s="1931">
        <f>SUM(T119:T125)</f>
        <v>0</v>
      </c>
      <c r="U118" s="1899">
        <f t="shared" ref="U118:U125" si="47">SUM(V118:W118)</f>
        <v>0</v>
      </c>
      <c r="V118" s="1931">
        <f>SUM(V119:V125)</f>
        <v>0</v>
      </c>
      <c r="W118" s="1931">
        <f>SUM(W119:W125)</f>
        <v>0</v>
      </c>
    </row>
    <row r="119" spans="1:23" ht="37.5" customHeight="1">
      <c r="A119" s="1984"/>
      <c r="B119" s="1879" t="s">
        <v>1497</v>
      </c>
      <c r="C119" s="1880" t="s">
        <v>1543</v>
      </c>
      <c r="D119" s="1600">
        <f t="shared" si="43"/>
        <v>5536.4</v>
      </c>
      <c r="E119" s="1631">
        <v>5203.8999999999996</v>
      </c>
      <c r="F119" s="1629">
        <v>332.5</v>
      </c>
      <c r="G119" s="1602">
        <f t="shared" si="44"/>
        <v>5536.4</v>
      </c>
      <c r="H119" s="1631">
        <v>5203.8999999999996</v>
      </c>
      <c r="I119" s="1629">
        <v>332.5</v>
      </c>
      <c r="J119" s="1602">
        <f t="shared" si="45"/>
        <v>0</v>
      </c>
      <c r="K119" s="1631"/>
      <c r="L119" s="1629"/>
      <c r="M119" s="1604">
        <f t="shared" si="46"/>
        <v>0</v>
      </c>
      <c r="N119" s="1881">
        <f t="shared" si="46"/>
        <v>0</v>
      </c>
      <c r="O119" s="1881">
        <f t="shared" si="46"/>
        <v>0</v>
      </c>
      <c r="P119" s="1940"/>
      <c r="Q119" s="1593"/>
      <c r="R119" s="1600">
        <f t="shared" ref="R119:R125" si="48">SUM(S119:T119)</f>
        <v>0</v>
      </c>
      <c r="S119" s="1631">
        <v>0</v>
      </c>
      <c r="T119" s="1629">
        <v>0</v>
      </c>
      <c r="U119" s="1600">
        <f t="shared" si="47"/>
        <v>0</v>
      </c>
      <c r="V119" s="1631">
        <v>0</v>
      </c>
      <c r="W119" s="1629">
        <v>0</v>
      </c>
    </row>
    <row r="120" spans="1:23" ht="39.75" customHeight="1">
      <c r="A120" s="1984"/>
      <c r="B120" s="1879" t="s">
        <v>1498</v>
      </c>
      <c r="C120" s="1880" t="s">
        <v>1543</v>
      </c>
      <c r="D120" s="1600">
        <f t="shared" si="43"/>
        <v>10545.6</v>
      </c>
      <c r="E120" s="1631">
        <v>9912.2999999999993</v>
      </c>
      <c r="F120" s="1629">
        <v>633.29999999999995</v>
      </c>
      <c r="G120" s="1602">
        <f t="shared" si="44"/>
        <v>10545.6</v>
      </c>
      <c r="H120" s="1631">
        <v>9912.2999999999993</v>
      </c>
      <c r="I120" s="1629">
        <v>633.29999999999995</v>
      </c>
      <c r="J120" s="1602">
        <f t="shared" si="45"/>
        <v>0</v>
      </c>
      <c r="K120" s="1631"/>
      <c r="L120" s="1629"/>
      <c r="M120" s="1604">
        <f t="shared" si="46"/>
        <v>0</v>
      </c>
      <c r="N120" s="1881">
        <f t="shared" si="46"/>
        <v>0</v>
      </c>
      <c r="O120" s="1881">
        <f t="shared" si="46"/>
        <v>0</v>
      </c>
      <c r="P120" s="1940"/>
      <c r="Q120" s="1593"/>
      <c r="R120" s="1600">
        <f t="shared" si="48"/>
        <v>0</v>
      </c>
      <c r="S120" s="1631">
        <v>0</v>
      </c>
      <c r="T120" s="1629">
        <v>0</v>
      </c>
      <c r="U120" s="1600">
        <f t="shared" si="47"/>
        <v>0</v>
      </c>
      <c r="V120" s="1631">
        <v>0</v>
      </c>
      <c r="W120" s="1629">
        <v>0</v>
      </c>
    </row>
    <row r="121" spans="1:23" ht="57" customHeight="1">
      <c r="A121" s="1984"/>
      <c r="B121" s="1879" t="s">
        <v>1499</v>
      </c>
      <c r="C121" s="1880" t="s">
        <v>1543</v>
      </c>
      <c r="D121" s="1600">
        <f t="shared" si="43"/>
        <v>50668.2</v>
      </c>
      <c r="E121" s="1629">
        <v>47625.599999999999</v>
      </c>
      <c r="F121" s="1629">
        <v>3042.6</v>
      </c>
      <c r="G121" s="1602">
        <f t="shared" si="44"/>
        <v>50668.2</v>
      </c>
      <c r="H121" s="1629">
        <v>47625.599999999999</v>
      </c>
      <c r="I121" s="1629">
        <v>3042.6</v>
      </c>
      <c r="J121" s="1602">
        <f t="shared" si="45"/>
        <v>0</v>
      </c>
      <c r="K121" s="1629"/>
      <c r="L121" s="1629"/>
      <c r="M121" s="1893">
        <f t="shared" si="46"/>
        <v>0</v>
      </c>
      <c r="N121" s="1894">
        <f t="shared" si="46"/>
        <v>0</v>
      </c>
      <c r="O121" s="1894">
        <f t="shared" si="46"/>
        <v>0</v>
      </c>
      <c r="P121" s="1940"/>
      <c r="Q121" s="1593"/>
      <c r="R121" s="1600">
        <f t="shared" si="48"/>
        <v>0</v>
      </c>
      <c r="S121" s="1631">
        <v>0</v>
      </c>
      <c r="T121" s="1629">
        <v>0</v>
      </c>
      <c r="U121" s="1600">
        <f t="shared" si="47"/>
        <v>0</v>
      </c>
      <c r="V121" s="1631">
        <v>0</v>
      </c>
      <c r="W121" s="1629">
        <v>0</v>
      </c>
    </row>
    <row r="122" spans="1:23" ht="58.5" customHeight="1">
      <c r="A122" s="1984"/>
      <c r="B122" s="1879" t="s">
        <v>1500</v>
      </c>
      <c r="C122" s="1880" t="s">
        <v>1543</v>
      </c>
      <c r="D122" s="1600">
        <f t="shared" si="43"/>
        <v>19820</v>
      </c>
      <c r="E122" s="1629">
        <v>18629.8</v>
      </c>
      <c r="F122" s="1629">
        <v>1190.2</v>
      </c>
      <c r="G122" s="1602">
        <f t="shared" si="44"/>
        <v>19820</v>
      </c>
      <c r="H122" s="1629">
        <v>18629.8</v>
      </c>
      <c r="I122" s="1629">
        <v>1190.2</v>
      </c>
      <c r="J122" s="1602">
        <f t="shared" si="45"/>
        <v>0</v>
      </c>
      <c r="K122" s="1629"/>
      <c r="L122" s="1629"/>
      <c r="M122" s="1893">
        <f t="shared" si="46"/>
        <v>0</v>
      </c>
      <c r="N122" s="1894">
        <f t="shared" si="46"/>
        <v>0</v>
      </c>
      <c r="O122" s="1894">
        <f t="shared" si="46"/>
        <v>0</v>
      </c>
      <c r="P122" s="1940"/>
      <c r="Q122" s="1593"/>
      <c r="R122" s="1600">
        <f t="shared" si="48"/>
        <v>0</v>
      </c>
      <c r="S122" s="1631">
        <v>0</v>
      </c>
      <c r="T122" s="1629">
        <v>0</v>
      </c>
      <c r="U122" s="1600">
        <f t="shared" si="47"/>
        <v>0</v>
      </c>
      <c r="V122" s="1631">
        <v>0</v>
      </c>
      <c r="W122" s="1629">
        <v>0</v>
      </c>
    </row>
    <row r="123" spans="1:23" ht="53.25" customHeight="1">
      <c r="A123" s="1984"/>
      <c r="B123" s="1879" t="s">
        <v>1501</v>
      </c>
      <c r="C123" s="1880" t="s">
        <v>1505</v>
      </c>
      <c r="D123" s="1600">
        <f t="shared" si="43"/>
        <v>38330</v>
      </c>
      <c r="E123" s="1629">
        <v>36028.400000000001</v>
      </c>
      <c r="F123" s="1629">
        <v>2301.6</v>
      </c>
      <c r="G123" s="1602">
        <f t="shared" si="44"/>
        <v>38330</v>
      </c>
      <c r="H123" s="1629">
        <v>36028.400000000001</v>
      </c>
      <c r="I123" s="1629">
        <v>2301.6</v>
      </c>
      <c r="J123" s="1602">
        <f t="shared" si="45"/>
        <v>0</v>
      </c>
      <c r="K123" s="1629"/>
      <c r="L123" s="1629"/>
      <c r="M123" s="1893">
        <f t="shared" si="46"/>
        <v>0</v>
      </c>
      <c r="N123" s="1894">
        <f t="shared" si="46"/>
        <v>0</v>
      </c>
      <c r="O123" s="1894">
        <f t="shared" si="46"/>
        <v>0</v>
      </c>
      <c r="P123" s="1940"/>
      <c r="Q123" s="1593"/>
      <c r="R123" s="1600">
        <f t="shared" si="48"/>
        <v>0</v>
      </c>
      <c r="S123" s="1631">
        <v>0</v>
      </c>
      <c r="T123" s="1629">
        <v>0</v>
      </c>
      <c r="U123" s="1600">
        <f t="shared" si="47"/>
        <v>0</v>
      </c>
      <c r="V123" s="1631">
        <v>0</v>
      </c>
      <c r="W123" s="1629">
        <v>0</v>
      </c>
    </row>
    <row r="124" spans="1:23" ht="34.5" customHeight="1">
      <c r="A124" s="1984"/>
      <c r="B124" s="1879" t="s">
        <v>1502</v>
      </c>
      <c r="C124" s="1880" t="s">
        <v>1542</v>
      </c>
      <c r="D124" s="1600">
        <f t="shared" si="43"/>
        <v>99120.7</v>
      </c>
      <c r="E124" s="1629">
        <v>74778.8</v>
      </c>
      <c r="F124" s="1629">
        <v>24341.9</v>
      </c>
      <c r="G124" s="1602">
        <f t="shared" si="44"/>
        <v>99120.7</v>
      </c>
      <c r="H124" s="1629">
        <v>74778.8</v>
      </c>
      <c r="I124" s="1629">
        <v>24341.9</v>
      </c>
      <c r="J124" s="1602">
        <f t="shared" si="45"/>
        <v>0</v>
      </c>
      <c r="K124" s="1629"/>
      <c r="L124" s="1629"/>
      <c r="M124" s="1893">
        <f t="shared" si="46"/>
        <v>0</v>
      </c>
      <c r="N124" s="1894">
        <f t="shared" si="46"/>
        <v>0</v>
      </c>
      <c r="O124" s="1894">
        <f t="shared" si="46"/>
        <v>0</v>
      </c>
      <c r="P124" s="1940"/>
      <c r="Q124" s="1593"/>
      <c r="R124" s="1600">
        <f t="shared" si="48"/>
        <v>0</v>
      </c>
      <c r="S124" s="1631">
        <v>0</v>
      </c>
      <c r="T124" s="1629">
        <v>0</v>
      </c>
      <c r="U124" s="1600">
        <f t="shared" si="47"/>
        <v>0</v>
      </c>
      <c r="V124" s="1631">
        <v>0</v>
      </c>
      <c r="W124" s="1629">
        <v>0</v>
      </c>
    </row>
    <row r="125" spans="1:23" ht="39" customHeight="1">
      <c r="A125" s="1984"/>
      <c r="B125" s="1932" t="s">
        <v>1503</v>
      </c>
      <c r="C125" s="1913" t="s">
        <v>1542</v>
      </c>
      <c r="D125" s="1600">
        <f t="shared" si="43"/>
        <v>402621.2</v>
      </c>
      <c r="E125" s="1629">
        <v>245721.2</v>
      </c>
      <c r="F125" s="1629">
        <v>156900</v>
      </c>
      <c r="G125" s="1602">
        <f t="shared" si="44"/>
        <v>402621.2</v>
      </c>
      <c r="H125" s="1629">
        <v>245721.2</v>
      </c>
      <c r="I125" s="1629">
        <v>156900</v>
      </c>
      <c r="J125" s="1602">
        <f t="shared" si="45"/>
        <v>0</v>
      </c>
      <c r="K125" s="1629"/>
      <c r="L125" s="1629"/>
      <c r="M125" s="1893">
        <f t="shared" si="46"/>
        <v>0</v>
      </c>
      <c r="N125" s="1894">
        <f t="shared" si="46"/>
        <v>0</v>
      </c>
      <c r="O125" s="1894">
        <f t="shared" si="46"/>
        <v>0</v>
      </c>
      <c r="P125" s="1940"/>
      <c r="Q125" s="1593"/>
      <c r="R125" s="1600">
        <f t="shared" si="48"/>
        <v>0</v>
      </c>
      <c r="S125" s="1631">
        <v>0</v>
      </c>
      <c r="T125" s="1629">
        <v>0</v>
      </c>
      <c r="U125" s="1600">
        <f t="shared" si="47"/>
        <v>0</v>
      </c>
      <c r="V125" s="1631">
        <v>0</v>
      </c>
      <c r="W125" s="1629">
        <v>0</v>
      </c>
    </row>
    <row r="126" spans="1:23" ht="37.5" hidden="1">
      <c r="A126" s="1984"/>
      <c r="B126" s="1934" t="s">
        <v>1649</v>
      </c>
      <c r="C126" s="1906"/>
      <c r="D126" s="1602">
        <f>SUM(E126:F126)</f>
        <v>0</v>
      </c>
      <c r="E126" s="1631">
        <v>0</v>
      </c>
      <c r="F126" s="1629">
        <v>0</v>
      </c>
      <c r="G126" s="1602">
        <f t="shared" si="44"/>
        <v>0</v>
      </c>
      <c r="H126" s="1631">
        <v>0</v>
      </c>
      <c r="I126" s="1629">
        <v>0</v>
      </c>
      <c r="J126" s="1602">
        <f t="shared" si="45"/>
        <v>0</v>
      </c>
      <c r="K126" s="1631">
        <v>0</v>
      </c>
      <c r="L126" s="1629">
        <v>0</v>
      </c>
      <c r="M126" s="1604">
        <f>IF(J126=0,0,J126/G126*100)</f>
        <v>0</v>
      </c>
      <c r="N126" s="1881">
        <f>IF(K126=0,0,K126/H126*100)</f>
        <v>0</v>
      </c>
      <c r="O126" s="1881">
        <f>IF(L126=0,0,L126/I126*100)</f>
        <v>0</v>
      </c>
      <c r="P126" s="1940"/>
      <c r="Q126" s="1593"/>
      <c r="R126" s="1600">
        <f>SUM(S126:T126)</f>
        <v>0</v>
      </c>
      <c r="S126" s="1631">
        <v>0</v>
      </c>
      <c r="T126" s="1629"/>
      <c r="U126" s="1600">
        <f>SUM(V126:W126)</f>
        <v>0</v>
      </c>
      <c r="V126" s="1631">
        <v>0</v>
      </c>
      <c r="W126" s="1629"/>
    </row>
    <row r="127" spans="1:23" ht="56.25" hidden="1">
      <c r="A127" s="1984" t="s">
        <v>1516</v>
      </c>
      <c r="B127" s="1897" t="s">
        <v>1513</v>
      </c>
      <c r="C127" s="1896">
        <v>10119</v>
      </c>
      <c r="D127" s="1899" t="e">
        <f t="shared" si="43"/>
        <v>#REF!</v>
      </c>
      <c r="E127" s="1899" t="e">
        <f>#REF!</f>
        <v>#REF!</v>
      </c>
      <c r="F127" s="1899" t="e">
        <f>#REF!</f>
        <v>#REF!</v>
      </c>
      <c r="G127" s="1899" t="e">
        <f t="shared" si="44"/>
        <v>#REF!</v>
      </c>
      <c r="H127" s="1899" t="e">
        <f>#REF!</f>
        <v>#REF!</v>
      </c>
      <c r="I127" s="1899" t="e">
        <f>#REF!</f>
        <v>#REF!</v>
      </c>
      <c r="J127" s="1899" t="e">
        <f>SUM(K127:L127)</f>
        <v>#REF!</v>
      </c>
      <c r="K127" s="1899" t="e">
        <f>#REF!</f>
        <v>#REF!</v>
      </c>
      <c r="L127" s="1899" t="e">
        <f>#REF!</f>
        <v>#REF!</v>
      </c>
      <c r="M127" s="1900" t="e">
        <f t="shared" si="46"/>
        <v>#REF!</v>
      </c>
      <c r="N127" s="1900" t="e">
        <f t="shared" si="46"/>
        <v>#REF!</v>
      </c>
      <c r="O127" s="1900" t="e">
        <f t="shared" si="46"/>
        <v>#REF!</v>
      </c>
      <c r="P127" s="1593"/>
      <c r="Q127" s="1593"/>
      <c r="R127" s="1899" t="e">
        <f>SUM(S127:T127)</f>
        <v>#REF!</v>
      </c>
      <c r="S127" s="1899" t="e">
        <f>#REF!</f>
        <v>#REF!</v>
      </c>
      <c r="T127" s="1899" t="e">
        <f>#REF!</f>
        <v>#REF!</v>
      </c>
      <c r="U127" s="1899" t="e">
        <f>SUM(V127:W127)</f>
        <v>#REF!</v>
      </c>
      <c r="V127" s="1899" t="e">
        <f>#REF!</f>
        <v>#REF!</v>
      </c>
      <c r="W127" s="1899" t="e">
        <f>#REF!</f>
        <v>#REF!</v>
      </c>
    </row>
    <row r="128" spans="1:23" ht="57.75" hidden="1" customHeight="1">
      <c r="A128" s="1984" t="e">
        <f>#REF!+1</f>
        <v>#REF!</v>
      </c>
      <c r="B128" s="1934" t="s">
        <v>1649</v>
      </c>
      <c r="C128" s="1906"/>
      <c r="D128" s="1602">
        <f>SUM(E128:F128)</f>
        <v>0</v>
      </c>
      <c r="E128" s="1631">
        <v>0</v>
      </c>
      <c r="F128" s="1629">
        <v>0</v>
      </c>
      <c r="G128" s="1602">
        <f t="shared" si="44"/>
        <v>0</v>
      </c>
      <c r="H128" s="1631">
        <v>0</v>
      </c>
      <c r="I128" s="1629">
        <v>0</v>
      </c>
      <c r="J128" s="1602">
        <f>SUM(K128:L128)</f>
        <v>0</v>
      </c>
      <c r="K128" s="1631">
        <v>0</v>
      </c>
      <c r="L128" s="1629">
        <v>0</v>
      </c>
      <c r="M128" s="1604">
        <f>IF(J128=0,0,J128/G128*100)</f>
        <v>0</v>
      </c>
      <c r="N128" s="1881">
        <f>IF(K128=0,0,K128/H128*100)</f>
        <v>0</v>
      </c>
      <c r="O128" s="1881">
        <f>IF(L128=0,0,L128/I128*100)</f>
        <v>0</v>
      </c>
      <c r="P128" s="1940"/>
      <c r="Q128" s="1593"/>
      <c r="R128" s="1600">
        <f>SUM(S128:T128)</f>
        <v>50000</v>
      </c>
      <c r="S128" s="1631">
        <v>0</v>
      </c>
      <c r="T128" s="1629">
        <v>50000</v>
      </c>
      <c r="U128" s="1600">
        <f>SUM(V128:W128)</f>
        <v>50000</v>
      </c>
      <c r="V128" s="1631">
        <v>0</v>
      </c>
      <c r="W128" s="1629">
        <v>50000</v>
      </c>
    </row>
    <row r="129" spans="1:23" hidden="1">
      <c r="A129" s="1984"/>
      <c r="B129" s="1934" t="s">
        <v>1000</v>
      </c>
      <c r="C129" s="1866"/>
      <c r="D129" s="1602">
        <f t="shared" si="43"/>
        <v>0</v>
      </c>
      <c r="E129" s="1631"/>
      <c r="F129" s="1629"/>
      <c r="G129" s="1602">
        <f t="shared" si="44"/>
        <v>0</v>
      </c>
      <c r="H129" s="1631"/>
      <c r="I129" s="1629"/>
      <c r="J129" s="1602">
        <f>SUM(K129:L129)</f>
        <v>0</v>
      </c>
      <c r="K129" s="1631"/>
      <c r="L129" s="1629"/>
      <c r="M129" s="1604"/>
      <c r="N129" s="1881"/>
      <c r="O129" s="1881"/>
      <c r="P129" s="1940"/>
      <c r="Q129" s="1593"/>
      <c r="R129" s="1602">
        <f>SUM(S129:T129)</f>
        <v>114620.9</v>
      </c>
      <c r="S129" s="1629">
        <v>7007.7</v>
      </c>
      <c r="T129" s="1629">
        <v>107613.2</v>
      </c>
      <c r="U129" s="1602">
        <f>SUM(V129:W129)</f>
        <v>127100.2</v>
      </c>
      <c r="V129" s="1629">
        <v>15000</v>
      </c>
      <c r="W129" s="1629">
        <v>112100.2</v>
      </c>
    </row>
    <row r="130" spans="1:23">
      <c r="A130" s="1856"/>
      <c r="B130" s="1962"/>
      <c r="C130" s="1963"/>
      <c r="D130" s="1964"/>
      <c r="E130" s="1965"/>
      <c r="F130" s="1965"/>
      <c r="G130" s="1964"/>
      <c r="H130" s="1965"/>
      <c r="I130" s="1965"/>
      <c r="J130" s="1964"/>
      <c r="K130" s="1965"/>
      <c r="L130" s="1965"/>
      <c r="M130" s="1648"/>
      <c r="N130" s="1647"/>
      <c r="O130" s="1647"/>
      <c r="P130" s="1659"/>
      <c r="Q130" s="1794"/>
      <c r="R130" s="1964"/>
      <c r="S130" s="1965"/>
      <c r="T130" s="1965"/>
      <c r="U130" s="1964"/>
      <c r="V130" s="1965"/>
      <c r="W130" s="1965"/>
    </row>
    <row r="131" spans="1:23" hidden="1">
      <c r="A131" s="1856"/>
      <c r="D131" s="1648"/>
      <c r="E131" s="1647"/>
      <c r="F131" s="1647"/>
      <c r="G131" s="1647"/>
      <c r="H131" s="1650"/>
      <c r="I131" s="1650"/>
      <c r="J131" s="1651"/>
      <c r="K131" s="1650"/>
      <c r="L131" s="2535"/>
      <c r="M131" s="2535"/>
      <c r="N131" s="1647"/>
      <c r="O131" s="1647"/>
    </row>
    <row r="132" spans="1:23" ht="20.25" hidden="1">
      <c r="D132" s="1648"/>
      <c r="E132" s="1648"/>
      <c r="F132" s="1204"/>
      <c r="G132" s="1647"/>
      <c r="H132" s="1647"/>
      <c r="I132" s="1652"/>
      <c r="J132" s="1648"/>
      <c r="K132" s="1648"/>
      <c r="L132" s="1652"/>
    </row>
    <row r="133" spans="1:23" ht="28.5" hidden="1" customHeight="1">
      <c r="A133" s="2566" t="s">
        <v>1520</v>
      </c>
      <c r="B133" s="2566"/>
      <c r="C133" s="1840"/>
      <c r="D133" s="1620" t="e">
        <f t="shared" ref="D133:D140" si="49">SUM(E133:F133)</f>
        <v>#REF!</v>
      </c>
      <c r="E133" s="1600" t="e">
        <f>SUBTOTAL(9,#REF!,#REF!)</f>
        <v>#REF!</v>
      </c>
      <c r="F133" s="1600" t="e">
        <f>SUBTOTAL(9,#REF!,#REF!)</f>
        <v>#REF!</v>
      </c>
      <c r="G133" s="1620" t="e">
        <f>SUM(H133:I133)</f>
        <v>#REF!</v>
      </c>
      <c r="H133" s="1600" t="e">
        <f>SUBTOTAL(9,#REF!,#REF!)</f>
        <v>#REF!</v>
      </c>
      <c r="I133" s="1600" t="e">
        <f>SUBTOTAL(9,#REF!,#REF!)</f>
        <v>#REF!</v>
      </c>
      <c r="J133" s="1620" t="e">
        <f>SUM(K133:L133)</f>
        <v>#REF!</v>
      </c>
      <c r="K133" s="1600" t="e">
        <f>SUBTOTAL(9,#REF!,#REF!)</f>
        <v>#REF!</v>
      </c>
      <c r="L133" s="1600" t="e">
        <f>SUBTOTAL(9,#REF!,#REF!)</f>
        <v>#REF!</v>
      </c>
      <c r="M133" s="1620" t="e">
        <f t="shared" ref="M133:O140" si="50">IF(J133=0,0,J133/G133*100)</f>
        <v>#REF!</v>
      </c>
      <c r="N133" s="1600" t="e">
        <f t="shared" si="50"/>
        <v>#REF!</v>
      </c>
      <c r="O133" s="1600" t="e">
        <f t="shared" si="50"/>
        <v>#REF!</v>
      </c>
    </row>
    <row r="134" spans="1:23" ht="37.5" hidden="1">
      <c r="A134" s="1947"/>
      <c r="B134" s="1889" t="s">
        <v>1521</v>
      </c>
      <c r="C134" s="1836"/>
      <c r="D134" s="1620" t="e">
        <f t="shared" si="49"/>
        <v>#REF!</v>
      </c>
      <c r="E134" s="1619" t="e">
        <f>SUBTOTAL(9,#REF!)</f>
        <v>#REF!</v>
      </c>
      <c r="F134" s="1619" t="e">
        <f>SUBTOTAL(9,#REF!)</f>
        <v>#REF!</v>
      </c>
      <c r="G134" s="1620" t="e">
        <f t="shared" ref="G134:G140" si="51">SUM(H134:I134)</f>
        <v>#REF!</v>
      </c>
      <c r="H134" s="1619" t="e">
        <f>SUBTOTAL(9,#REF!)</f>
        <v>#REF!</v>
      </c>
      <c r="I134" s="1619" t="e">
        <f>SUBTOTAL(9,#REF!)</f>
        <v>#REF!</v>
      </c>
      <c r="J134" s="1620" t="e">
        <f t="shared" ref="J134:J140" si="52">SUM(K134:L134)</f>
        <v>#REF!</v>
      </c>
      <c r="K134" s="1619" t="e">
        <f>SUBTOTAL(9,#REF!)</f>
        <v>#REF!</v>
      </c>
      <c r="L134" s="1619" t="e">
        <f>SUBTOTAL(9,#REF!)</f>
        <v>#REF!</v>
      </c>
      <c r="M134" s="1620" t="e">
        <f t="shared" si="50"/>
        <v>#REF!</v>
      </c>
      <c r="N134" s="1619" t="e">
        <f t="shared" si="50"/>
        <v>#REF!</v>
      </c>
      <c r="O134" s="1619" t="e">
        <f t="shared" si="50"/>
        <v>#REF!</v>
      </c>
    </row>
    <row r="135" spans="1:23" ht="71.25" hidden="1" customHeight="1">
      <c r="A135" s="2566" t="s">
        <v>1528</v>
      </c>
      <c r="B135" s="2566"/>
      <c r="C135" s="1840"/>
      <c r="D135" s="1620" t="e">
        <f t="shared" si="49"/>
        <v>#REF!</v>
      </c>
      <c r="E135" s="1600" t="e">
        <f>SUM(#REF!,E29,E65,#REF!,E118,#REF!,#REF!,E127,#REF!)</f>
        <v>#REF!</v>
      </c>
      <c r="F135" s="1600" t="e">
        <f>SUM(#REF!,F29,F65,#REF!,F118,#REF!,#REF!,F127,#REF!)</f>
        <v>#REF!</v>
      </c>
      <c r="G135" s="1620" t="e">
        <f t="shared" si="51"/>
        <v>#REF!</v>
      </c>
      <c r="H135" s="1600" t="e">
        <f>SUM(#REF!,H29,H65,#REF!,H118,#REF!,#REF!,H127,#REF!)</f>
        <v>#REF!</v>
      </c>
      <c r="I135" s="1600" t="e">
        <f>SUM(#REF!,I29,I65,#REF!,I118,#REF!,#REF!,I127,#REF!)</f>
        <v>#REF!</v>
      </c>
      <c r="J135" s="1620" t="e">
        <f t="shared" si="52"/>
        <v>#REF!</v>
      </c>
      <c r="K135" s="1600" t="e">
        <f>SUM(#REF!,K29,K65,#REF!,K118,#REF!,#REF!,K127,#REF!)</f>
        <v>#REF!</v>
      </c>
      <c r="L135" s="1600" t="e">
        <f>SUM(#REF!,L29,L65,#REF!,L118,#REF!,#REF!,L127,#REF!)</f>
        <v>#REF!</v>
      </c>
      <c r="M135" s="1620" t="e">
        <f t="shared" si="50"/>
        <v>#REF!</v>
      </c>
      <c r="N135" s="1600" t="e">
        <f t="shared" si="50"/>
        <v>#REF!</v>
      </c>
      <c r="O135" s="1600" t="e">
        <f t="shared" si="50"/>
        <v>#REF!</v>
      </c>
    </row>
    <row r="136" spans="1:23" ht="56.25" hidden="1">
      <c r="A136" s="1948"/>
      <c r="B136" s="493" t="s">
        <v>1527</v>
      </c>
      <c r="C136" s="1836"/>
      <c r="D136" s="1640">
        <f t="shared" si="49"/>
        <v>3495518.8</v>
      </c>
      <c r="E136" s="1609">
        <f>SUBTOTAL(9,E29,E65,E118)</f>
        <v>3000000</v>
      </c>
      <c r="F136" s="1609">
        <f>SUBTOTAL(9,F29,F65,F118)</f>
        <v>495518.8</v>
      </c>
      <c r="G136" s="1640">
        <f t="shared" si="51"/>
        <v>3495518.8</v>
      </c>
      <c r="H136" s="1609">
        <f>SUBTOTAL(9,H29,H65,H118)</f>
        <v>3000000</v>
      </c>
      <c r="I136" s="1609">
        <f>SUBTOTAL(9,I29,I65,I118)</f>
        <v>495518.8</v>
      </c>
      <c r="J136" s="1640">
        <f t="shared" si="52"/>
        <v>94750.1</v>
      </c>
      <c r="K136" s="1609">
        <f>SUBTOTAL(9,K29,K65,K118)</f>
        <v>89063.6</v>
      </c>
      <c r="L136" s="1609">
        <f>SUBTOTAL(9,L29,L65,L118)</f>
        <v>5686.5</v>
      </c>
      <c r="M136" s="1620">
        <f t="shared" si="50"/>
        <v>2.7</v>
      </c>
      <c r="N136" s="1619">
        <f t="shared" si="50"/>
        <v>3</v>
      </c>
      <c r="O136" s="1619">
        <f t="shared" si="50"/>
        <v>1.1000000000000001</v>
      </c>
    </row>
    <row r="137" spans="1:23" ht="20.25" hidden="1">
      <c r="A137" s="1948"/>
      <c r="B137" s="1619" t="s">
        <v>1620</v>
      </c>
      <c r="C137" s="1836"/>
      <c r="D137" s="1640" t="e">
        <f t="shared" si="49"/>
        <v>#REF!</v>
      </c>
      <c r="E137" s="1609" t="e">
        <f>E136-E138</f>
        <v>#REF!</v>
      </c>
      <c r="F137" s="1609">
        <f>F136-F138</f>
        <v>352596.2</v>
      </c>
      <c r="G137" s="1640" t="e">
        <f t="shared" si="51"/>
        <v>#REF!</v>
      </c>
      <c r="H137" s="1609" t="e">
        <f>H136-H138</f>
        <v>#REF!</v>
      </c>
      <c r="I137" s="1609">
        <f>I136-I138</f>
        <v>352596.2</v>
      </c>
      <c r="J137" s="1640" t="e">
        <f t="shared" si="52"/>
        <v>#REF!</v>
      </c>
      <c r="K137" s="1609" t="e">
        <f>K136-K138</f>
        <v>#REF!</v>
      </c>
      <c r="L137" s="1609" t="e">
        <f>L136-L138</f>
        <v>#REF!</v>
      </c>
      <c r="M137" s="1620" t="e">
        <f t="shared" si="50"/>
        <v>#REF!</v>
      </c>
      <c r="N137" s="1619" t="e">
        <f t="shared" si="50"/>
        <v>#REF!</v>
      </c>
      <c r="O137" s="1619" t="e">
        <f t="shared" si="50"/>
        <v>#REF!</v>
      </c>
    </row>
    <row r="138" spans="1:23" ht="20.25" hidden="1">
      <c r="A138" s="1948"/>
      <c r="B138" s="1619" t="s">
        <v>1621</v>
      </c>
      <c r="C138" s="1836"/>
      <c r="D138" s="1640" t="e">
        <f t="shared" si="49"/>
        <v>#REF!</v>
      </c>
      <c r="E138" s="1609" t="e">
        <f>'[1]справка АИП (4)'!E84+'[1]справка АИП (4)'!E87+'[1]справка АИП (4)'!E90+'[1]справка АИП (4)'!E96+'[1]справка АИП (4)'!E99+'[1]справка АИП (4)'!E187+'[1]справка АИП (4)'!E184+'[1]справка АИП (4)'!E181+'[1]справка АИП (4)'!E167+'[1]справка АИП (4)'!E172+'[1]справка АИП (4)'!E152</f>
        <v>#REF!</v>
      </c>
      <c r="F138" s="1609">
        <f>'[1]справка АИП (4)'!F84+'[1]справка АИП (4)'!F87+'[1]справка АИП (4)'!F90+'[1]справка АИП (4)'!F96+'[1]справка АИП (4)'!F99+'[1]справка АИП (4)'!F187+'[1]справка АИП (4)'!F184+'[1]справка АИП (4)'!F181+'[1]справка АИП (4)'!F167+'[1]справка АИП (4)'!F172+'[1]справка АИП (4)'!F152</f>
        <v>142922.6</v>
      </c>
      <c r="G138" s="1640" t="e">
        <f t="shared" si="51"/>
        <v>#REF!</v>
      </c>
      <c r="H138" s="1609" t="e">
        <f>'[1]справка АИП (4)'!H84+'[1]справка АИП (4)'!H87+'[1]справка АИП (4)'!H90+'[1]справка АИП (4)'!H96+'[1]справка АИП (4)'!H99+'[1]справка АИП (4)'!H187+'[1]справка АИП (4)'!H184+'[1]справка АИП (4)'!H181+'[1]справка АИП (4)'!H167+'[1]справка АИП (4)'!H172+'[1]справка АИП (4)'!H152</f>
        <v>#REF!</v>
      </c>
      <c r="I138" s="1609">
        <f>'[1]справка АИП (4)'!I84+'[1]справка АИП (4)'!I87+'[1]справка АИП (4)'!I90+'[1]справка АИП (4)'!I96+'[1]справка АИП (4)'!I99+'[1]справка АИП (4)'!I187+'[1]справка АИП (4)'!I184+'[1]справка АИП (4)'!I181+'[1]справка АИП (4)'!I167+'[1]справка АИП (4)'!I172+'[1]справка АИП (4)'!I152</f>
        <v>142922.6</v>
      </c>
      <c r="J138" s="1640" t="e">
        <f t="shared" si="52"/>
        <v>#REF!</v>
      </c>
      <c r="K138" s="1609" t="e">
        <f>'[1]справка АИП (4)'!K84+'[1]справка АИП (4)'!K87+'[1]справка АИП (4)'!K90+'[1]справка АИП (4)'!K96+'[1]справка АИП (4)'!K99+'[1]справка АИП (4)'!K187+'[1]справка АИП (4)'!K184+'[1]справка АИП (4)'!K181+'[1]справка АИП (4)'!K167+'[1]справка АИП (4)'!K172+'[1]справка АИП (4)'!K152</f>
        <v>#REF!</v>
      </c>
      <c r="L138" s="1609" t="e">
        <f>'[1]справка АИП (4)'!L84+'[1]справка АИП (4)'!L87+'[1]справка АИП (4)'!L90+'[1]справка АИП (4)'!L96+'[1]справка АИП (4)'!L99+'[1]справка АИП (4)'!L187+'[1]справка АИП (4)'!L184+'[1]справка АИП (4)'!L181+'[1]справка АИП (4)'!L167+'[1]справка АИП (4)'!L172+'[1]справка АИП (4)'!L152</f>
        <v>#REF!</v>
      </c>
      <c r="M138" s="1620" t="e">
        <f t="shared" si="50"/>
        <v>#REF!</v>
      </c>
      <c r="N138" s="1619" t="e">
        <f t="shared" si="50"/>
        <v>#REF!</v>
      </c>
      <c r="O138" s="1619" t="e">
        <f t="shared" si="50"/>
        <v>#REF!</v>
      </c>
    </row>
    <row r="139" spans="1:23" ht="20.25" hidden="1">
      <c r="A139" s="2566" t="s">
        <v>1529</v>
      </c>
      <c r="B139" s="2566"/>
      <c r="C139" s="1840"/>
      <c r="D139" s="1640" t="e">
        <f t="shared" si="49"/>
        <v>#REF!</v>
      </c>
      <c r="E139" s="1602" t="e">
        <f>SUBTOTAL(9,#REF!,#REF!,#REF!,#REF!,#REF!,#REF!)</f>
        <v>#REF!</v>
      </c>
      <c r="F139" s="1602" t="e">
        <f>SUBTOTAL(9,#REF!,#REF!,#REF!,#REF!,#REF!,#REF!)</f>
        <v>#REF!</v>
      </c>
      <c r="G139" s="1640" t="e">
        <f t="shared" si="51"/>
        <v>#REF!</v>
      </c>
      <c r="H139" s="1602" t="e">
        <f>SUBTOTAL(9,#REF!,#REF!,#REF!,#REF!,#REF!,#REF!)</f>
        <v>#REF!</v>
      </c>
      <c r="I139" s="1602" t="e">
        <f>SUBTOTAL(9,#REF!,#REF!,#REF!,#REF!,#REF!,#REF!)</f>
        <v>#REF!</v>
      </c>
      <c r="J139" s="1640" t="e">
        <f t="shared" si="52"/>
        <v>#REF!</v>
      </c>
      <c r="K139" s="1602" t="e">
        <f>SUBTOTAL(9,#REF!,#REF!,#REF!,#REF!,#REF!,#REF!)</f>
        <v>#REF!</v>
      </c>
      <c r="L139" s="1602" t="e">
        <f>SUBTOTAL(9,#REF!,#REF!,#REF!,#REF!,#REF!,#REF!)</f>
        <v>#REF!</v>
      </c>
      <c r="M139" s="1620" t="e">
        <f t="shared" si="50"/>
        <v>#REF!</v>
      </c>
      <c r="N139" s="1600" t="e">
        <f t="shared" si="50"/>
        <v>#REF!</v>
      </c>
      <c r="O139" s="1600" t="e">
        <f t="shared" si="50"/>
        <v>#REF!</v>
      </c>
    </row>
    <row r="140" spans="1:23" ht="20.25" hidden="1">
      <c r="A140" s="2567" t="s">
        <v>529</v>
      </c>
      <c r="B140" s="2567"/>
      <c r="C140" s="1840"/>
      <c r="D140" s="1604" t="e">
        <f t="shared" si="49"/>
        <v>#REF!</v>
      </c>
      <c r="E140" s="1611" t="e">
        <f>E12-E133-E135-E139</f>
        <v>#REF!</v>
      </c>
      <c r="F140" s="1611" t="e">
        <f>F12-F133-F135-F139</f>
        <v>#REF!</v>
      </c>
      <c r="G140" s="1604" t="e">
        <f t="shared" si="51"/>
        <v>#REF!</v>
      </c>
      <c r="H140" s="1611" t="e">
        <f>H12-H133-H135-H139</f>
        <v>#REF!</v>
      </c>
      <c r="I140" s="1611" t="e">
        <f>I12-I133-I135-I139</f>
        <v>#REF!</v>
      </c>
      <c r="J140" s="1604" t="e">
        <f t="shared" si="52"/>
        <v>#REF!</v>
      </c>
      <c r="K140" s="1611" t="e">
        <f>K12-K133-K135-K139</f>
        <v>#REF!</v>
      </c>
      <c r="L140" s="1611" t="e">
        <f>L12-L133-L135-L139</f>
        <v>#REF!</v>
      </c>
      <c r="M140" s="1620" t="e">
        <f t="shared" si="50"/>
        <v>#REF!</v>
      </c>
      <c r="N140" s="1600" t="e">
        <f t="shared" si="50"/>
        <v>#REF!</v>
      </c>
      <c r="O140" s="1600" t="e">
        <f t="shared" si="50"/>
        <v>#REF!</v>
      </c>
    </row>
    <row r="141" spans="1:23" ht="60.75" hidden="1" customHeight="1">
      <c r="A141" s="853" t="s">
        <v>1069</v>
      </c>
      <c r="B141" s="1950"/>
      <c r="C141" s="1556"/>
      <c r="D141" s="1951"/>
      <c r="E141" s="1952"/>
      <c r="F141" s="1953"/>
      <c r="G141" s="1953"/>
      <c r="H141" s="1954"/>
      <c r="I141" s="1955"/>
      <c r="J141" s="1956"/>
      <c r="K141" s="1955"/>
      <c r="L141" s="1957" t="s">
        <v>1682</v>
      </c>
      <c r="M141" s="1958"/>
    </row>
    <row r="142" spans="1:23" hidden="1">
      <c r="A142" s="712" t="s">
        <v>1673</v>
      </c>
      <c r="B142" s="1648"/>
      <c r="C142" s="1647"/>
      <c r="D142" s="1649"/>
      <c r="E142" s="1649"/>
      <c r="F142" s="1650"/>
      <c r="G142" s="1650"/>
      <c r="H142" s="1651"/>
      <c r="I142" s="1650"/>
      <c r="J142" s="2535"/>
      <c r="K142" s="2535"/>
      <c r="L142" s="1647"/>
      <c r="M142" s="1647"/>
    </row>
    <row r="143" spans="1:23" hidden="1"/>
  </sheetData>
  <autoFilter ref="A11:W129">
    <filterColumn colId="3">
      <filters>
        <filter val="1 000,0"/>
        <filter val="1 080 624,8"/>
        <filter val="1 176,0"/>
        <filter val="1 191,2"/>
        <filter val="1 226,9"/>
        <filter val="1 274 815,0"/>
        <filter val="1 300,0"/>
        <filter val="1 388,4"/>
        <filter val="1 393,0"/>
        <filter val="1 400,0"/>
        <filter val="1 500,0"/>
        <filter val="1 519,0"/>
        <filter val="1 530 706,3"/>
        <filter val="1 650,0"/>
        <filter val="1 769,7"/>
        <filter val="1 788,0"/>
        <filter val="1 800,0"/>
        <filter val="1 945 332,3"/>
        <filter val="1 993 022,4"/>
        <filter val="10 000,0"/>
        <filter val="10 186,5"/>
        <filter val="10 192,0"/>
        <filter val="10 224,4"/>
        <filter val="10 500,0"/>
        <filter val="10 545,6"/>
        <filter val="10 687,0"/>
        <filter val="100 000,0"/>
        <filter val="103 784,3"/>
        <filter val="104 171,0"/>
        <filter val="104 813,3"/>
        <filter val="105 852,6"/>
        <filter val="109 011,0"/>
        <filter val="109 222,6"/>
        <filter val="11 037,0"/>
        <filter val="11 200,0"/>
        <filter val="11 287,5"/>
        <filter val="11 495,0"/>
        <filter val="11 560,9"/>
        <filter val="110 087,9"/>
        <filter val="12 400,0"/>
        <filter val="12 500,0"/>
        <filter val="12 956,3"/>
        <filter val="123 877,5"/>
        <filter val="13 404,9"/>
        <filter val="13 415,9"/>
        <filter val="13 755,5"/>
        <filter val="130 000,0"/>
        <filter val="14 000,0"/>
        <filter val="14 500,0"/>
        <filter val="14 589,4"/>
        <filter val="14 615,1"/>
        <filter val="14 680,4"/>
        <filter val="15 004,3"/>
        <filter val="15 739,7"/>
        <filter val="150 000,0"/>
        <filter val="16 320,0"/>
        <filter val="17 204,7"/>
        <filter val="17 550,0"/>
        <filter val="17 670,0"/>
        <filter val="171 408,9"/>
        <filter val="172 153,3"/>
        <filter val="176 874,6"/>
        <filter val="177 040,7"/>
        <filter val="18 602,2"/>
        <filter val="18 682,4"/>
        <filter val="18 698,7"/>
        <filter val="18 900,0"/>
        <filter val="185 911,1"/>
        <filter val="19 000,0"/>
        <filter val="19 283,1"/>
        <filter val="19 450,0"/>
        <filter val="19 800,0"/>
        <filter val="19 820,0"/>
        <filter val="193 225,4"/>
        <filter val="2 000,0"/>
        <filter val="2 090,0"/>
        <filter val="2 100,0"/>
        <filter val="2 230,0"/>
        <filter val="2 373,0"/>
        <filter val="2 400,0"/>
        <filter val="2 446,0"/>
        <filter val="2 500,0"/>
        <filter val="2 550,0"/>
        <filter val="2 675 651,3"/>
        <filter val="2 710,0"/>
        <filter val="2 714,8"/>
        <filter val="2 745,5"/>
        <filter val="2 900,0"/>
        <filter val="2 930,0"/>
        <filter val="20 000,0"/>
        <filter val="20 841,6"/>
        <filter val="201 856,9"/>
        <filter val="23 300,8"/>
        <filter val="23 800,0"/>
        <filter val="25 000,0"/>
        <filter val="255 891,3"/>
        <filter val="266 310,9"/>
        <filter val="27 093,6"/>
        <filter val="283,1"/>
        <filter val="3 000,0"/>
        <filter val="3 150,8"/>
        <filter val="3 220,0"/>
        <filter val="3 420,0"/>
        <filter val="3 500,0"/>
        <filter val="3 564,2"/>
        <filter val="3 780,0"/>
        <filter val="3 822,0"/>
        <filter val="3 840,0"/>
        <filter val="3 935,3"/>
        <filter val="3 988,8"/>
        <filter val="30 000,0"/>
        <filter val="304,9"/>
        <filter val="31 736,8"/>
        <filter val="315 323,1"/>
        <filter val="33 286,7"/>
        <filter val="35 340,7"/>
        <filter val="35 698,6"/>
        <filter val="38 316,7"/>
        <filter val="38 330,0"/>
        <filter val="39 965,6"/>
        <filter val="4 000,0"/>
        <filter val="4 116,0"/>
        <filter val="4 400,0"/>
        <filter val="4 480,0"/>
        <filter val="4 500,0"/>
        <filter val="4 597,0"/>
        <filter val="4 725,9"/>
        <filter val="4 860 552,6"/>
        <filter val="402 621,2"/>
        <filter val="41 650,0"/>
        <filter val="449 049,8"/>
        <filter val="449 354,7"/>
        <filter val="47 690,1"/>
        <filter val="48 000,0"/>
        <filter val="5 180,0"/>
        <filter val="5 536,4"/>
        <filter val="5 553,2"/>
        <filter val="50 000,0"/>
        <filter val="50 668,2"/>
        <filter val="500,0"/>
        <filter val="52 150,0"/>
        <filter val="6 090,0"/>
        <filter val="6 252,2"/>
        <filter val="6 302,6"/>
        <filter val="6 338,1"/>
        <filter val="6 500,0"/>
        <filter val="6 835,0"/>
        <filter val="62 500,0"/>
        <filter val="626 642,1"/>
        <filter val="63 829,8"/>
        <filter val="668 866,8"/>
        <filter val="7 000,0"/>
        <filter val="7 150,8"/>
        <filter val="7 650,0"/>
        <filter val="7 800,0"/>
        <filter val="7 941,5"/>
        <filter val="74 115,8"/>
        <filter val="75 664,2"/>
        <filter val="8 280,0"/>
        <filter val="8 734,5"/>
        <filter val="8 850,0"/>
        <filter val="8 870,0"/>
        <filter val="806 671,2"/>
        <filter val="845,0"/>
        <filter val="87 760,0"/>
        <filter val="87 999,8"/>
        <filter val="9 872,7"/>
        <filter val="9 921,2"/>
        <filter val="9 985,9"/>
        <filter val="925 654,2"/>
        <filter val="964,8"/>
        <filter val="970 536,9"/>
        <filter val="99 120,7"/>
      </filters>
    </filterColumn>
  </autoFilter>
  <mergeCells count="33">
    <mergeCell ref="A116:B116"/>
    <mergeCell ref="J142:K142"/>
    <mergeCell ref="L131:M131"/>
    <mergeCell ref="A133:B133"/>
    <mergeCell ref="A135:B135"/>
    <mergeCell ref="A139:B139"/>
    <mergeCell ref="A140:B140"/>
    <mergeCell ref="A16:B16"/>
    <mergeCell ref="Q29:Q30"/>
    <mergeCell ref="M9:M10"/>
    <mergeCell ref="N9:O9"/>
    <mergeCell ref="P9:P10"/>
    <mergeCell ref="Q9:Q10"/>
    <mergeCell ref="J9:J10"/>
    <mergeCell ref="A1:B1"/>
    <mergeCell ref="L1:O1"/>
    <mergeCell ref="J3:M3"/>
    <mergeCell ref="A5:W5"/>
    <mergeCell ref="A6:W6"/>
    <mergeCell ref="A7:W7"/>
    <mergeCell ref="R9:R10"/>
    <mergeCell ref="N8:O8"/>
    <mergeCell ref="A9:A10"/>
    <mergeCell ref="E9:F9"/>
    <mergeCell ref="G9:G10"/>
    <mergeCell ref="H9:I9"/>
    <mergeCell ref="K9:L9"/>
    <mergeCell ref="C9:C10"/>
    <mergeCell ref="B9:B10"/>
    <mergeCell ref="D9:D10"/>
    <mergeCell ref="U9:U10"/>
    <mergeCell ref="V9:W9"/>
    <mergeCell ref="S9:T9"/>
  </mergeCells>
  <pageMargins left="0.31496062992125984" right="0.11811023622047245" top="0.55118110236220474" bottom="0.35433070866141736" header="0.31496062992125984" footer="0.15748031496062992"/>
  <pageSetup paperSize="9" scale="57" fitToHeight="17" orientation="landscape" r:id="rId1"/>
  <headerFooter>
    <oddFooter>&amp;C&amp;P</oddFooter>
  </headerFooter>
  <rowBreaks count="1" manualBreakCount="1">
    <brk id="129" max="18" man="1"/>
  </rowBreaks>
</worksheet>
</file>

<file path=xl/worksheets/sheet52.xml><?xml version="1.0" encoding="utf-8"?>
<worksheet xmlns="http://schemas.openxmlformats.org/spreadsheetml/2006/main" xmlns:r="http://schemas.openxmlformats.org/officeDocument/2006/relationships">
  <sheetPr>
    <pageSetUpPr fitToPage="1"/>
  </sheetPr>
  <dimension ref="A1:AD223"/>
  <sheetViews>
    <sheetView view="pageBreakPreview" topLeftCell="A38" zoomScaleNormal="80" zoomScaleSheetLayoutView="100" workbookViewId="0">
      <selection activeCell="B51" sqref="B51"/>
    </sheetView>
  </sheetViews>
  <sheetFormatPr defaultColWidth="9.140625" defaultRowHeight="18.75"/>
  <cols>
    <col min="1" max="1" width="10.42578125" style="1942" customWidth="1"/>
    <col min="2" max="2" width="76.28515625" style="712" customWidth="1"/>
    <col min="3" max="3" width="13.42578125" style="1834" hidden="1" customWidth="1"/>
    <col min="4" max="4" width="14.85546875" style="1570" customWidth="1"/>
    <col min="5" max="6" width="14.85546875" style="712" customWidth="1"/>
    <col min="7" max="7" width="14.85546875" style="1570" customWidth="1"/>
    <col min="8" max="9" width="14.85546875" style="712" customWidth="1"/>
    <col min="10" max="10" width="13.28515625" style="712" customWidth="1"/>
    <col min="11" max="11" width="14" style="712" customWidth="1"/>
    <col min="12" max="12" width="12.5703125" style="712" customWidth="1"/>
    <col min="13" max="13" width="15.7109375" style="1570" customWidth="1"/>
    <col min="14" max="15" width="15.7109375" style="712" customWidth="1"/>
    <col min="16" max="16" width="14.85546875" style="1569" customWidth="1"/>
    <col min="17" max="18" width="14.85546875" style="712" customWidth="1"/>
    <col min="19" max="19" width="9.28515625" style="1570" hidden="1" customWidth="1"/>
    <col min="20" max="21" width="9.28515625" style="712" hidden="1" customWidth="1"/>
    <col min="22" max="22" width="43" style="1564" hidden="1" customWidth="1"/>
    <col min="23" max="23" width="25.140625" style="1564" hidden="1" customWidth="1"/>
    <col min="24" max="24" width="16.28515625" style="1564" hidden="1" customWidth="1"/>
    <col min="25" max="25" width="16.85546875" style="1564" hidden="1" customWidth="1"/>
    <col min="26" max="28" width="18" style="1564" hidden="1" customWidth="1"/>
    <col min="29" max="29" width="15.7109375" style="1564" hidden="1" customWidth="1"/>
    <col min="30" max="30" width="15.28515625" style="712" bestFit="1" customWidth="1"/>
    <col min="31" max="16384" width="9.140625" style="712"/>
  </cols>
  <sheetData>
    <row r="1" spans="1:30" ht="20.25" hidden="1" customHeight="1">
      <c r="A1" s="2537"/>
      <c r="B1" s="2537"/>
      <c r="D1" s="1563"/>
      <c r="E1" s="1563"/>
      <c r="F1" s="1563"/>
      <c r="G1" s="1563"/>
      <c r="H1" s="1563"/>
      <c r="I1" s="1563"/>
      <c r="J1" s="1563"/>
      <c r="K1" s="1563"/>
      <c r="L1" s="1563"/>
      <c r="M1" s="1563"/>
      <c r="N1" s="1563"/>
      <c r="O1" s="1563"/>
      <c r="P1" s="1563"/>
      <c r="R1" s="2384"/>
      <c r="S1" s="2384"/>
      <c r="T1" s="2384"/>
      <c r="U1" s="2384"/>
    </row>
    <row r="2" spans="1:30" ht="18.75" hidden="1" customHeight="1">
      <c r="B2" s="1970"/>
      <c r="D2" s="1569"/>
      <c r="E2" s="1970"/>
      <c r="F2" s="1970"/>
      <c r="G2" s="1569"/>
      <c r="H2" s="1970"/>
      <c r="I2" s="1970"/>
      <c r="J2" s="1970"/>
      <c r="K2" s="1970"/>
      <c r="L2" s="1970"/>
      <c r="S2" s="1569"/>
    </row>
    <row r="3" spans="1:30" s="1575" customFormat="1" ht="18.75" hidden="1" customHeight="1">
      <c r="A3" s="1943"/>
      <c r="B3" s="1572"/>
      <c r="C3" s="1835"/>
      <c r="D3" s="1573"/>
      <c r="E3" s="1574"/>
      <c r="F3" s="1574"/>
      <c r="G3" s="1573"/>
      <c r="H3" s="1574"/>
      <c r="I3" s="1574"/>
      <c r="J3" s="1574"/>
      <c r="K3" s="1574"/>
      <c r="L3" s="1574"/>
      <c r="M3" s="1573"/>
      <c r="N3" s="1574"/>
      <c r="O3" s="1574"/>
      <c r="P3" s="2538"/>
      <c r="Q3" s="2538"/>
      <c r="R3" s="2538"/>
      <c r="S3" s="2538"/>
      <c r="U3" s="1576"/>
      <c r="V3" s="1577"/>
      <c r="W3" s="1577"/>
      <c r="X3" s="1577"/>
      <c r="Y3" s="1577"/>
      <c r="Z3" s="1577"/>
      <c r="AA3" s="1577"/>
      <c r="AB3" s="1577"/>
      <c r="AC3" s="1577"/>
    </row>
    <row r="4" spans="1:30" s="1575" customFormat="1" ht="43.5" hidden="1" customHeight="1">
      <c r="A4" s="1943"/>
      <c r="B4" s="1572"/>
      <c r="C4" s="1835"/>
      <c r="D4" s="1581"/>
      <c r="E4" s="1574"/>
      <c r="F4" s="1574"/>
      <c r="G4" s="1581"/>
      <c r="H4" s="1574"/>
      <c r="I4" s="1574"/>
      <c r="J4" s="1574"/>
      <c r="K4" s="1574"/>
      <c r="L4" s="1574"/>
      <c r="M4" s="1581"/>
      <c r="N4" s="1582"/>
      <c r="O4" s="1582"/>
      <c r="P4" s="1583"/>
      <c r="Q4" s="1582"/>
      <c r="R4" s="1582"/>
      <c r="S4" s="1584"/>
      <c r="U4" s="1576"/>
      <c r="V4" s="1577"/>
      <c r="W4" s="1577"/>
      <c r="X4" s="1577"/>
      <c r="Y4" s="1577"/>
      <c r="Z4" s="1577"/>
      <c r="AA4" s="1577"/>
      <c r="AB4" s="1577"/>
      <c r="AC4" s="1577"/>
    </row>
    <row r="5" spans="1:30" s="1575" customFormat="1" ht="28.5" customHeight="1">
      <c r="A5" s="2562" t="s">
        <v>5</v>
      </c>
      <c r="B5" s="2562"/>
      <c r="C5" s="2562"/>
      <c r="D5" s="2562"/>
      <c r="E5" s="2562"/>
      <c r="F5" s="2562"/>
      <c r="G5" s="2562"/>
      <c r="H5" s="2562"/>
      <c r="I5" s="2562"/>
      <c r="J5" s="2562"/>
      <c r="K5" s="2562"/>
      <c r="L5" s="2562"/>
      <c r="M5" s="2562"/>
      <c r="N5" s="2562"/>
      <c r="O5" s="2562"/>
      <c r="P5" s="2562"/>
      <c r="Q5" s="2562"/>
      <c r="R5" s="2562"/>
      <c r="S5" s="2562"/>
      <c r="T5" s="2562"/>
      <c r="U5" s="2562"/>
      <c r="V5" s="2562"/>
      <c r="W5" s="2562"/>
      <c r="X5" s="2562"/>
      <c r="Y5" s="2562"/>
      <c r="Z5" s="2562"/>
      <c r="AA5" s="2562"/>
      <c r="AB5" s="2562"/>
      <c r="AC5" s="2562"/>
    </row>
    <row r="6" spans="1:30" s="1575" customFormat="1" ht="38.25" customHeight="1">
      <c r="A6" s="2562" t="s">
        <v>236</v>
      </c>
      <c r="B6" s="2562"/>
      <c r="C6" s="2562"/>
      <c r="D6" s="2562"/>
      <c r="E6" s="2562"/>
      <c r="F6" s="2562"/>
      <c r="G6" s="2562"/>
      <c r="H6" s="2562"/>
      <c r="I6" s="2562"/>
      <c r="J6" s="2562"/>
      <c r="K6" s="2562"/>
      <c r="L6" s="2562"/>
      <c r="M6" s="2562"/>
      <c r="N6" s="2562"/>
      <c r="O6" s="2562"/>
      <c r="P6" s="2562"/>
      <c r="Q6" s="2562"/>
      <c r="R6" s="2562"/>
      <c r="S6" s="2562"/>
      <c r="T6" s="2562"/>
      <c r="U6" s="2562"/>
      <c r="V6" s="2562"/>
      <c r="W6" s="2562"/>
      <c r="X6" s="2562"/>
      <c r="Y6" s="2562"/>
      <c r="Z6" s="2562"/>
      <c r="AA6" s="2562"/>
      <c r="AB6" s="2562"/>
      <c r="AC6" s="2562"/>
    </row>
    <row r="7" spans="1:30" s="1575" customFormat="1" ht="27">
      <c r="A7" s="2562" t="s">
        <v>1680</v>
      </c>
      <c r="B7" s="2562"/>
      <c r="C7" s="2562"/>
      <c r="D7" s="2562"/>
      <c r="E7" s="2562"/>
      <c r="F7" s="2562"/>
      <c r="G7" s="2562"/>
      <c r="H7" s="2562"/>
      <c r="I7" s="2562"/>
      <c r="J7" s="2562"/>
      <c r="K7" s="2562"/>
      <c r="L7" s="2562"/>
      <c r="M7" s="2562"/>
      <c r="N7" s="2562"/>
      <c r="O7" s="2562"/>
      <c r="P7" s="2562"/>
      <c r="Q7" s="2562"/>
      <c r="R7" s="2562"/>
      <c r="S7" s="2562"/>
      <c r="T7" s="2562"/>
      <c r="U7" s="2562"/>
      <c r="V7" s="2562"/>
      <c r="W7" s="2562"/>
      <c r="X7" s="2562"/>
      <c r="Y7" s="2562"/>
      <c r="Z7" s="2562"/>
      <c r="AA7" s="2562"/>
      <c r="AB7" s="2562"/>
      <c r="AC7" s="2562"/>
    </row>
    <row r="8" spans="1:30" s="1575" customFormat="1" ht="18.75" customHeight="1">
      <c r="A8" s="1943"/>
      <c r="B8" s="1571"/>
      <c r="C8" s="1835"/>
      <c r="D8" s="1587"/>
      <c r="E8" s="1660"/>
      <c r="F8" s="1661"/>
      <c r="G8" s="1587"/>
      <c r="H8" s="1660"/>
      <c r="I8" s="1661"/>
      <c r="J8" s="1661"/>
      <c r="K8" s="1661"/>
      <c r="L8" s="1661"/>
      <c r="N8" s="1661"/>
      <c r="O8" s="1589"/>
      <c r="P8" s="1587"/>
      <c r="Q8" s="1591"/>
      <c r="R8" s="1591"/>
      <c r="S8" s="1585"/>
      <c r="T8" s="2533" t="s">
        <v>377</v>
      </c>
      <c r="U8" s="2533"/>
      <c r="V8" s="1577"/>
      <c r="W8" s="1863"/>
      <c r="X8" s="1591"/>
      <c r="Y8" s="1591"/>
      <c r="Z8" s="1591"/>
      <c r="AA8" s="1661"/>
      <c r="AB8" s="1661"/>
      <c r="AC8" s="1661" t="s">
        <v>1314</v>
      </c>
    </row>
    <row r="9" spans="1:30" ht="70.5" customHeight="1">
      <c r="A9" s="2602" t="s">
        <v>18</v>
      </c>
      <c r="B9" s="2598" t="s">
        <v>0</v>
      </c>
      <c r="C9" s="2600" t="s">
        <v>1535</v>
      </c>
      <c r="D9" s="2387" t="s">
        <v>1686</v>
      </c>
      <c r="E9" s="2375" t="s">
        <v>257</v>
      </c>
      <c r="F9" s="2376"/>
      <c r="G9" s="2387" t="s">
        <v>1374</v>
      </c>
      <c r="H9" s="2375" t="s">
        <v>257</v>
      </c>
      <c r="I9" s="2376"/>
      <c r="J9" s="2387" t="s">
        <v>1685</v>
      </c>
      <c r="K9" s="2375" t="s">
        <v>257</v>
      </c>
      <c r="L9" s="2376"/>
      <c r="M9" s="2387" t="s">
        <v>442</v>
      </c>
      <c r="N9" s="2375" t="s">
        <v>257</v>
      </c>
      <c r="O9" s="2376"/>
      <c r="P9" s="2387" t="s">
        <v>1672</v>
      </c>
      <c r="Q9" s="2375" t="s">
        <v>257</v>
      </c>
      <c r="R9" s="2376"/>
      <c r="S9" s="2387" t="s">
        <v>1313</v>
      </c>
      <c r="T9" s="2375" t="s">
        <v>257</v>
      </c>
      <c r="U9" s="2376"/>
      <c r="V9" s="2543" t="s">
        <v>1110</v>
      </c>
      <c r="W9" s="2543" t="s">
        <v>1106</v>
      </c>
      <c r="X9" s="2387" t="s">
        <v>1643</v>
      </c>
      <c r="Y9" s="2375" t="s">
        <v>257</v>
      </c>
      <c r="Z9" s="2376"/>
      <c r="AA9" s="2387" t="s">
        <v>1644</v>
      </c>
      <c r="AB9" s="2375" t="s">
        <v>257</v>
      </c>
      <c r="AC9" s="2376"/>
    </row>
    <row r="10" spans="1:30" ht="150" customHeight="1">
      <c r="A10" s="2603"/>
      <c r="B10" s="2599"/>
      <c r="C10" s="2601"/>
      <c r="D10" s="2388"/>
      <c r="E10" s="709" t="s">
        <v>1074</v>
      </c>
      <c r="F10" s="709" t="s">
        <v>258</v>
      </c>
      <c r="G10" s="2388"/>
      <c r="H10" s="709" t="s">
        <v>1074</v>
      </c>
      <c r="I10" s="709" t="s">
        <v>258</v>
      </c>
      <c r="J10" s="2388"/>
      <c r="K10" s="709" t="s">
        <v>1074</v>
      </c>
      <c r="L10" s="709" t="s">
        <v>258</v>
      </c>
      <c r="M10" s="2388"/>
      <c r="N10" s="709" t="s">
        <v>1074</v>
      </c>
      <c r="O10" s="709" t="s">
        <v>258</v>
      </c>
      <c r="P10" s="2388"/>
      <c r="Q10" s="709" t="s">
        <v>1074</v>
      </c>
      <c r="R10" s="709" t="s">
        <v>258</v>
      </c>
      <c r="S10" s="2388"/>
      <c r="T10" s="709" t="s">
        <v>1074</v>
      </c>
      <c r="U10" s="709" t="s">
        <v>258</v>
      </c>
      <c r="V10" s="2544"/>
      <c r="W10" s="2544"/>
      <c r="X10" s="2388"/>
      <c r="Y10" s="709" t="s">
        <v>1074</v>
      </c>
      <c r="Z10" s="709" t="s">
        <v>258</v>
      </c>
      <c r="AA10" s="2388"/>
      <c r="AB10" s="709" t="s">
        <v>1074</v>
      </c>
      <c r="AC10" s="709" t="s">
        <v>258</v>
      </c>
    </row>
    <row r="11" spans="1:30">
      <c r="A11" s="1972">
        <v>1</v>
      </c>
      <c r="B11" s="507">
        <v>2</v>
      </c>
      <c r="C11" s="1972"/>
      <c r="D11" s="507">
        <v>3</v>
      </c>
      <c r="E11" s="507">
        <v>4</v>
      </c>
      <c r="F11" s="507">
        <v>5</v>
      </c>
      <c r="G11" s="507">
        <v>3</v>
      </c>
      <c r="H11" s="507">
        <v>4</v>
      </c>
      <c r="I11" s="507">
        <v>5</v>
      </c>
      <c r="J11" s="507"/>
      <c r="K11" s="507"/>
      <c r="L11" s="507"/>
      <c r="M11" s="1868">
        <v>7</v>
      </c>
      <c r="N11" s="1868">
        <v>8</v>
      </c>
      <c r="O11" s="1868">
        <v>9</v>
      </c>
      <c r="P11" s="1868">
        <v>6</v>
      </c>
      <c r="Q11" s="1868">
        <v>7</v>
      </c>
      <c r="R11" s="1868">
        <v>8</v>
      </c>
      <c r="S11" s="1868">
        <v>13</v>
      </c>
      <c r="T11" s="1868">
        <v>14</v>
      </c>
      <c r="U11" s="1868">
        <v>15</v>
      </c>
      <c r="V11" s="1593">
        <v>10</v>
      </c>
      <c r="W11" s="1593">
        <v>11</v>
      </c>
      <c r="X11" s="1593">
        <v>9</v>
      </c>
      <c r="Y11" s="1593">
        <v>10</v>
      </c>
      <c r="Z11" s="1593">
        <v>11</v>
      </c>
      <c r="AA11" s="1593">
        <v>12</v>
      </c>
      <c r="AB11" s="1593">
        <v>13</v>
      </c>
      <c r="AC11" s="1593">
        <v>14</v>
      </c>
    </row>
    <row r="12" spans="1:30" s="791" customFormat="1" ht="44.25" customHeight="1">
      <c r="A12" s="2568" t="s">
        <v>453</v>
      </c>
      <c r="B12" s="2569"/>
      <c r="C12" s="1869"/>
      <c r="D12" s="1594">
        <f t="shared" ref="D12:D43" si="0">SUM(E12:F12)</f>
        <v>6317949.5999999996</v>
      </c>
      <c r="E12" s="1594">
        <f>SUM(E13,E105)</f>
        <v>4832266.8</v>
      </c>
      <c r="F12" s="1594">
        <f>SUM(F13,F105)</f>
        <v>1485682.8</v>
      </c>
      <c r="G12" s="1594">
        <f t="shared" ref="G12:G77" si="1">SUM(H12:I12)</f>
        <v>6637976.4000000004</v>
      </c>
      <c r="H12" s="1594">
        <f>SUM(H13,H105)</f>
        <v>4897517</v>
      </c>
      <c r="I12" s="1594">
        <f>SUM(I13,I105)</f>
        <v>1740459.4</v>
      </c>
      <c r="J12" s="1594">
        <f t="shared" ref="J12:J75" si="2">G12-D12</f>
        <v>320026.8</v>
      </c>
      <c r="K12" s="1594">
        <f t="shared" ref="K12:K75" si="3">H12-E12</f>
        <v>65250.2</v>
      </c>
      <c r="L12" s="1594">
        <f t="shared" ref="L12:L75" si="4">I12-F12</f>
        <v>254776.6</v>
      </c>
      <c r="M12" s="1594">
        <f>SUM(N12:O12)</f>
        <v>6629755.2000000002</v>
      </c>
      <c r="N12" s="1594">
        <f>SUM(N13,N105)</f>
        <v>4897517</v>
      </c>
      <c r="O12" s="1594">
        <f>SUM(O13,O105)</f>
        <v>1732238.2</v>
      </c>
      <c r="P12" s="1594">
        <f>SUM(Q12:R12)</f>
        <v>140801.9</v>
      </c>
      <c r="Q12" s="1594">
        <f>SUM(Q13,Q105)</f>
        <v>125002.3</v>
      </c>
      <c r="R12" s="1594">
        <f>SUM(R13,R105)</f>
        <v>15799.6</v>
      </c>
      <c r="S12" s="1870">
        <f t="shared" ref="S12:U77" si="5">IF(P12=0,0,P12/M12*100)</f>
        <v>2.1</v>
      </c>
      <c r="T12" s="1871">
        <f t="shared" si="5"/>
        <v>2.6</v>
      </c>
      <c r="U12" s="1871">
        <f t="shared" si="5"/>
        <v>0.9</v>
      </c>
      <c r="V12" s="643" t="s">
        <v>353</v>
      </c>
      <c r="W12" s="643" t="s">
        <v>353</v>
      </c>
      <c r="X12" s="1594" t="e">
        <f t="shared" ref="X12:X53" si="6">SUM(Y12:Z12)</f>
        <v>#REF!</v>
      </c>
      <c r="Y12" s="1594" t="e">
        <f>SUM(Y13,Y105)</f>
        <v>#REF!</v>
      </c>
      <c r="Z12" s="1594" t="e">
        <f>SUM(Z13,Z105)</f>
        <v>#REF!</v>
      </c>
      <c r="AA12" s="1594" t="e">
        <f t="shared" ref="AA12:AA20" si="7">SUM(AB12:AC12)</f>
        <v>#REF!</v>
      </c>
      <c r="AB12" s="1594" t="e">
        <f>SUM(AB13,AB105)</f>
        <v>#REF!</v>
      </c>
      <c r="AC12" s="1594" t="e">
        <f>SUM(AC13,AC105)</f>
        <v>#REF!</v>
      </c>
      <c r="AD12" s="1423"/>
    </row>
    <row r="13" spans="1:30" ht="87.75" customHeight="1">
      <c r="A13" s="1972" t="s">
        <v>6</v>
      </c>
      <c r="B13" s="1872" t="s">
        <v>439</v>
      </c>
      <c r="C13" s="1873"/>
      <c r="D13" s="1861">
        <f t="shared" si="0"/>
        <v>1216272.7</v>
      </c>
      <c r="E13" s="1861">
        <f>SUM(E14,E71)</f>
        <v>999116.3</v>
      </c>
      <c r="F13" s="1861">
        <f>SUM(F14,F71)</f>
        <v>217156.4</v>
      </c>
      <c r="G13" s="1861">
        <f>SUM(H13:I13)</f>
        <v>1530706.3</v>
      </c>
      <c r="H13" s="1861">
        <f>SUM(H14,H71)</f>
        <v>1192141</v>
      </c>
      <c r="I13" s="1861">
        <f>SUM(I14,I71)</f>
        <v>338565.3</v>
      </c>
      <c r="J13" s="1594">
        <f t="shared" si="2"/>
        <v>314433.59999999998</v>
      </c>
      <c r="K13" s="1594">
        <f t="shared" si="3"/>
        <v>193024.7</v>
      </c>
      <c r="L13" s="1594">
        <f t="shared" si="4"/>
        <v>121408.9</v>
      </c>
      <c r="M13" s="1861">
        <f>SUM(N13:O13)</f>
        <v>1530706.3</v>
      </c>
      <c r="N13" s="1861">
        <f>SUM(N14,N71)</f>
        <v>1192141</v>
      </c>
      <c r="O13" s="1861">
        <f>SUM(O14,O71)</f>
        <v>338565.3</v>
      </c>
      <c r="P13" s="1861">
        <f>SUM(Q13:R13)</f>
        <v>36301.800000000003</v>
      </c>
      <c r="Q13" s="1861">
        <f>SUM(Q14,Q71)</f>
        <v>35938.699999999997</v>
      </c>
      <c r="R13" s="1861">
        <f>SUM(R14,R71)</f>
        <v>363.1</v>
      </c>
      <c r="S13" s="1874">
        <f t="shared" si="5"/>
        <v>2.4</v>
      </c>
      <c r="T13" s="1875">
        <f t="shared" si="5"/>
        <v>3</v>
      </c>
      <c r="U13" s="1875">
        <f t="shared" si="5"/>
        <v>0.1</v>
      </c>
      <c r="V13" s="1597" t="s">
        <v>353</v>
      </c>
      <c r="W13" s="1597" t="s">
        <v>353</v>
      </c>
      <c r="X13" s="1861">
        <f t="shared" si="6"/>
        <v>734566.7</v>
      </c>
      <c r="Y13" s="1861">
        <f>SUM(Y14,Y71)</f>
        <v>695705</v>
      </c>
      <c r="Z13" s="1861">
        <f>SUM(Z14,Z71)</f>
        <v>38861.699999999997</v>
      </c>
      <c r="AA13" s="1861">
        <f t="shared" si="7"/>
        <v>2133190.9</v>
      </c>
      <c r="AB13" s="1861">
        <f>SUM(AB14,AB71)</f>
        <v>2111858.9</v>
      </c>
      <c r="AC13" s="1861">
        <f>SUM(AC14,AC71)</f>
        <v>21332</v>
      </c>
    </row>
    <row r="14" spans="1:30" ht="36.75" customHeight="1">
      <c r="A14" s="1972" t="s">
        <v>253</v>
      </c>
      <c r="B14" s="1876" t="s">
        <v>1393</v>
      </c>
      <c r="C14" s="1877"/>
      <c r="D14" s="1598">
        <f t="shared" si="0"/>
        <v>198702.3</v>
      </c>
      <c r="E14" s="1598">
        <f>SUM(E15,E17,E19,E22,E25,E27,E29,E31,E36,E38,E42,E45,E48,E50,E53,E56,E62)</f>
        <v>0</v>
      </c>
      <c r="F14" s="1598">
        <f>SUM(F15,F17,F19,F22,F25,F27,F29,F31,F36,F38,F42,F45,F48,F50,F53,F56,F62)</f>
        <v>198702.3</v>
      </c>
      <c r="G14" s="1598">
        <f t="shared" si="1"/>
        <v>255891.3</v>
      </c>
      <c r="H14" s="1598">
        <f>SUM(H15,H17,H19,H22,H25,H27,H29,H31,H36,H38,H42,H45,H48,H50,H53,H56,H62,H66)</f>
        <v>0</v>
      </c>
      <c r="I14" s="1598">
        <f>SUM(I15,I17,I19,I22,I25,I27,I29,I31,I36,I38,I42,I45,I48,I50,I53,I56,I62,I66)</f>
        <v>255891.3</v>
      </c>
      <c r="J14" s="1594">
        <f t="shared" si="2"/>
        <v>57189</v>
      </c>
      <c r="K14" s="1594">
        <f t="shared" si="3"/>
        <v>0</v>
      </c>
      <c r="L14" s="1594">
        <f t="shared" si="4"/>
        <v>57189</v>
      </c>
      <c r="M14" s="1598">
        <f>SUM(N14:O14)</f>
        <v>255891.3</v>
      </c>
      <c r="N14" s="1598">
        <f>SUM(N15,N17,N19,N22,N25,N27,N29,N31,N36,N38,N42,N45,N48,N50,N53,N56,N62,N66)</f>
        <v>0</v>
      </c>
      <c r="O14" s="1598">
        <f>SUM(O15,O17,O19,O22,O25,O27,O29,O31,O36,O38,O42,O45,O48,O50,O53,O56,O62,O66)</f>
        <v>255891.3</v>
      </c>
      <c r="P14" s="1598">
        <f>SUM(Q14:R14)</f>
        <v>0</v>
      </c>
      <c r="Q14" s="1598">
        <f>SUM(Q15,Q17,Q19,Q22,Q25,Q27,Q29,Q31,Q36,Q38,Q42,Q45,Q48,Q50,Q53,Q56,Q62,Q66)</f>
        <v>0</v>
      </c>
      <c r="R14" s="1598">
        <f>SUM(R15,R17,R19,R22,R25,R27,R29,R31,R36,R38,R42,R45,R48,R50,R53,R56,R62,R66)</f>
        <v>0</v>
      </c>
      <c r="S14" s="1598">
        <f t="shared" si="5"/>
        <v>0</v>
      </c>
      <c r="T14" s="1598">
        <f t="shared" si="5"/>
        <v>0</v>
      </c>
      <c r="U14" s="1598">
        <f t="shared" si="5"/>
        <v>0</v>
      </c>
      <c r="V14" s="1599" t="s">
        <v>353</v>
      </c>
      <c r="W14" s="1599" t="s">
        <v>353</v>
      </c>
      <c r="X14" s="1598">
        <f>SUM(Y14:Z14)</f>
        <v>31834.5</v>
      </c>
      <c r="Y14" s="1598">
        <f>SUM(Y15,Y17,Y19,Y22,Y25,Y27,Y29,Y31,Y36,Y38,Y42,Y45,Y48,Y50,Y53,Y56,Y62,Y66)</f>
        <v>0</v>
      </c>
      <c r="Z14" s="1598">
        <f>SUM(Z15,Z17,Z19,Z22,Z25,Z27,Z29,Z31,Z36,Z38,Z42,Z45,Z48,Z50,Z53,Z56,Z62,Z66)</f>
        <v>31834.5</v>
      </c>
      <c r="AA14" s="1598">
        <f>SUM(AB14:AC14)</f>
        <v>0</v>
      </c>
      <c r="AB14" s="1598">
        <f>SUM(AB15,AB17,AB19,AB22,AB25,AB27,AB29,AB31,AB36,AB38,AB42,AB45,AB48,AB50,AB53,AB56,AB62,AB66)</f>
        <v>0</v>
      </c>
      <c r="AC14" s="1598">
        <f>SUM(AC15,AC17,AC19,AC22,AC25,AC27,AC29,AC31,AC36,AC38,AC42,AC45,AC48,AC50,AC53,AC56,AC62,AC66)</f>
        <v>0</v>
      </c>
    </row>
    <row r="15" spans="1:30" ht="26.25" customHeight="1">
      <c r="A15" s="1972"/>
      <c r="B15" s="1971" t="s">
        <v>283</v>
      </c>
      <c r="C15" s="1973"/>
      <c r="D15" s="1600">
        <f t="shared" si="0"/>
        <v>0</v>
      </c>
      <c r="E15" s="1600">
        <f>E16</f>
        <v>0</v>
      </c>
      <c r="F15" s="1600">
        <f>F16</f>
        <v>0</v>
      </c>
      <c r="G15" s="1600">
        <f t="shared" si="1"/>
        <v>2550</v>
      </c>
      <c r="H15" s="1600">
        <f>H16</f>
        <v>0</v>
      </c>
      <c r="I15" s="1600">
        <f>I16</f>
        <v>2550</v>
      </c>
      <c r="J15" s="1594">
        <f t="shared" si="2"/>
        <v>2550</v>
      </c>
      <c r="K15" s="1594">
        <f t="shared" si="3"/>
        <v>0</v>
      </c>
      <c r="L15" s="1594">
        <f t="shared" si="4"/>
        <v>2550</v>
      </c>
      <c r="M15" s="1600">
        <f t="shared" ref="M15:M75" si="8">SUM(N15:O15)</f>
        <v>2550</v>
      </c>
      <c r="N15" s="1600">
        <f>N16</f>
        <v>0</v>
      </c>
      <c r="O15" s="1600">
        <f>O16</f>
        <v>2550</v>
      </c>
      <c r="P15" s="1600">
        <f t="shared" ref="P15:P75" si="9">SUM(Q15:R15)</f>
        <v>0</v>
      </c>
      <c r="Q15" s="1600">
        <f>Q16</f>
        <v>0</v>
      </c>
      <c r="R15" s="1600">
        <f>R16</f>
        <v>0</v>
      </c>
      <c r="S15" s="1600">
        <f t="shared" si="5"/>
        <v>0</v>
      </c>
      <c r="T15" s="1600">
        <f t="shared" si="5"/>
        <v>0</v>
      </c>
      <c r="U15" s="1600">
        <f t="shared" si="5"/>
        <v>0</v>
      </c>
      <c r="V15" s="1599"/>
      <c r="W15" s="1599"/>
      <c r="X15" s="1600">
        <f>SUM(Y15:Z15)</f>
        <v>0</v>
      </c>
      <c r="Y15" s="1600">
        <f>Y16</f>
        <v>0</v>
      </c>
      <c r="Z15" s="1600">
        <f>Z16</f>
        <v>0</v>
      </c>
      <c r="AA15" s="1600">
        <f>SUM(AB15:AC15)</f>
        <v>0</v>
      </c>
      <c r="AB15" s="1600">
        <f>AB16</f>
        <v>0</v>
      </c>
      <c r="AC15" s="1600">
        <f>AC16</f>
        <v>0</v>
      </c>
    </row>
    <row r="16" spans="1:30" ht="60.75" customHeight="1">
      <c r="A16" s="1972">
        <v>1</v>
      </c>
      <c r="B16" s="1879" t="s">
        <v>1565</v>
      </c>
      <c r="C16" s="1880"/>
      <c r="D16" s="1602">
        <f t="shared" si="0"/>
        <v>0</v>
      </c>
      <c r="E16" s="1616">
        <v>0</v>
      </c>
      <c r="F16" s="1616"/>
      <c r="G16" s="1602">
        <f t="shared" si="1"/>
        <v>2550</v>
      </c>
      <c r="H16" s="1616">
        <v>0</v>
      </c>
      <c r="I16" s="1616">
        <v>2550</v>
      </c>
      <c r="J16" s="1594">
        <f t="shared" si="2"/>
        <v>2550</v>
      </c>
      <c r="K16" s="1594">
        <f t="shared" si="3"/>
        <v>0</v>
      </c>
      <c r="L16" s="1594">
        <f t="shared" si="4"/>
        <v>2550</v>
      </c>
      <c r="M16" s="1602">
        <f t="shared" si="8"/>
        <v>2550</v>
      </c>
      <c r="N16" s="1616">
        <v>0</v>
      </c>
      <c r="O16" s="1616">
        <v>2550</v>
      </c>
      <c r="P16" s="1602">
        <f t="shared" si="9"/>
        <v>0</v>
      </c>
      <c r="Q16" s="1616">
        <v>0</v>
      </c>
      <c r="R16" s="1616">
        <v>0</v>
      </c>
      <c r="S16" s="1604">
        <f t="shared" si="5"/>
        <v>0</v>
      </c>
      <c r="T16" s="1881">
        <f t="shared" si="5"/>
        <v>0</v>
      </c>
      <c r="U16" s="1881">
        <f t="shared" si="5"/>
        <v>0</v>
      </c>
      <c r="V16" s="1599"/>
      <c r="W16" s="1599"/>
      <c r="X16" s="1602">
        <f t="shared" si="6"/>
        <v>0</v>
      </c>
      <c r="Y16" s="1619">
        <v>0</v>
      </c>
      <c r="Z16" s="1619">
        <v>0</v>
      </c>
      <c r="AA16" s="1602">
        <f t="shared" si="7"/>
        <v>0</v>
      </c>
      <c r="AB16" s="1619">
        <v>0</v>
      </c>
      <c r="AC16" s="1619">
        <v>0</v>
      </c>
    </row>
    <row r="17" spans="1:29" s="1607" customFormat="1" ht="25.5" customHeight="1">
      <c r="A17" s="1972"/>
      <c r="B17" s="1971" t="s">
        <v>433</v>
      </c>
      <c r="C17" s="1973"/>
      <c r="D17" s="1602">
        <f t="shared" si="0"/>
        <v>0</v>
      </c>
      <c r="E17" s="1602">
        <f>E18</f>
        <v>0</v>
      </c>
      <c r="F17" s="1602">
        <f>F18</f>
        <v>0</v>
      </c>
      <c r="G17" s="1602">
        <f t="shared" si="1"/>
        <v>6090</v>
      </c>
      <c r="H17" s="1602">
        <f t="shared" ref="H17:R17" si="10">H18</f>
        <v>0</v>
      </c>
      <c r="I17" s="1602">
        <f t="shared" si="10"/>
        <v>6090</v>
      </c>
      <c r="J17" s="1594">
        <f t="shared" si="2"/>
        <v>6090</v>
      </c>
      <c r="K17" s="1594">
        <f t="shared" si="3"/>
        <v>0</v>
      </c>
      <c r="L17" s="1594">
        <f t="shared" si="4"/>
        <v>6090</v>
      </c>
      <c r="M17" s="1602">
        <f t="shared" si="8"/>
        <v>6090</v>
      </c>
      <c r="N17" s="1602">
        <f t="shared" si="10"/>
        <v>0</v>
      </c>
      <c r="O17" s="1602">
        <f t="shared" si="10"/>
        <v>6090</v>
      </c>
      <c r="P17" s="1602">
        <f t="shared" si="9"/>
        <v>0</v>
      </c>
      <c r="Q17" s="1602">
        <f t="shared" si="10"/>
        <v>0</v>
      </c>
      <c r="R17" s="1602">
        <f t="shared" si="10"/>
        <v>0</v>
      </c>
      <c r="S17" s="1601">
        <f t="shared" si="5"/>
        <v>0</v>
      </c>
      <c r="T17" s="1601">
        <f t="shared" si="5"/>
        <v>0</v>
      </c>
      <c r="U17" s="1601">
        <f t="shared" si="5"/>
        <v>0</v>
      </c>
      <c r="V17" s="1593" t="s">
        <v>353</v>
      </c>
      <c r="W17" s="1593" t="s">
        <v>353</v>
      </c>
      <c r="X17" s="1602">
        <f t="shared" si="6"/>
        <v>0</v>
      </c>
      <c r="Y17" s="1602">
        <f>Y18</f>
        <v>0</v>
      </c>
      <c r="Z17" s="1602">
        <f>Z18</f>
        <v>0</v>
      </c>
      <c r="AA17" s="1602">
        <f t="shared" si="7"/>
        <v>0</v>
      </c>
      <c r="AB17" s="1602">
        <f>AB18</f>
        <v>0</v>
      </c>
      <c r="AC17" s="1602">
        <f>AC18</f>
        <v>0</v>
      </c>
    </row>
    <row r="18" spans="1:29" s="1607" customFormat="1" ht="112.5">
      <c r="A18" s="1972">
        <f>A16+1</f>
        <v>2</v>
      </c>
      <c r="B18" s="521" t="s">
        <v>1674</v>
      </c>
      <c r="C18" s="1882"/>
      <c r="D18" s="1602">
        <f t="shared" si="0"/>
        <v>0</v>
      </c>
      <c r="E18" s="1616"/>
      <c r="F18" s="1616"/>
      <c r="G18" s="1602">
        <f t="shared" si="1"/>
        <v>6090</v>
      </c>
      <c r="H18" s="1616"/>
      <c r="I18" s="1616">
        <v>6090</v>
      </c>
      <c r="J18" s="1594">
        <f t="shared" si="2"/>
        <v>6090</v>
      </c>
      <c r="K18" s="1594">
        <f t="shared" si="3"/>
        <v>0</v>
      </c>
      <c r="L18" s="1594">
        <f t="shared" si="4"/>
        <v>6090</v>
      </c>
      <c r="M18" s="1602">
        <f t="shared" si="8"/>
        <v>6090</v>
      </c>
      <c r="N18" s="1616"/>
      <c r="O18" s="1616">
        <v>6090</v>
      </c>
      <c r="P18" s="1602">
        <f t="shared" si="9"/>
        <v>0</v>
      </c>
      <c r="Q18" s="1616"/>
      <c r="R18" s="1616"/>
      <c r="S18" s="1604">
        <f t="shared" si="5"/>
        <v>0</v>
      </c>
      <c r="T18" s="1881">
        <f t="shared" si="5"/>
        <v>0</v>
      </c>
      <c r="U18" s="1881">
        <f t="shared" si="5"/>
        <v>0</v>
      </c>
      <c r="V18" s="1593"/>
      <c r="W18" s="1593"/>
      <c r="X18" s="1602">
        <f t="shared" si="6"/>
        <v>0</v>
      </c>
      <c r="Y18" s="1616">
        <v>0</v>
      </c>
      <c r="Z18" s="1616">
        <v>0</v>
      </c>
      <c r="AA18" s="1602">
        <f t="shared" si="7"/>
        <v>0</v>
      </c>
      <c r="AB18" s="1616">
        <v>0</v>
      </c>
      <c r="AC18" s="1616">
        <v>0</v>
      </c>
    </row>
    <row r="19" spans="1:29" s="1607" customFormat="1" ht="19.5" customHeight="1">
      <c r="A19" s="1972"/>
      <c r="B19" s="1971" t="s">
        <v>709</v>
      </c>
      <c r="C19" s="1973"/>
      <c r="D19" s="1602">
        <f t="shared" si="0"/>
        <v>52150</v>
      </c>
      <c r="E19" s="1603">
        <f>SUM(E20:E21)</f>
        <v>0</v>
      </c>
      <c r="F19" s="1603">
        <f>SUM(F20:F21)</f>
        <v>52150</v>
      </c>
      <c r="G19" s="1602">
        <f t="shared" si="1"/>
        <v>52150</v>
      </c>
      <c r="H19" s="1603">
        <f>SUM(H20:H21)</f>
        <v>0</v>
      </c>
      <c r="I19" s="1603">
        <f>SUM(I20:I21)</f>
        <v>52150</v>
      </c>
      <c r="J19" s="1594">
        <f t="shared" si="2"/>
        <v>0</v>
      </c>
      <c r="K19" s="1594">
        <f t="shared" si="3"/>
        <v>0</v>
      </c>
      <c r="L19" s="1594">
        <f t="shared" si="4"/>
        <v>0</v>
      </c>
      <c r="M19" s="1602">
        <f t="shared" si="8"/>
        <v>52150</v>
      </c>
      <c r="N19" s="1603">
        <f>SUM(N20:N21)</f>
        <v>0</v>
      </c>
      <c r="O19" s="1603">
        <f>SUM(O20:O21)</f>
        <v>52150</v>
      </c>
      <c r="P19" s="1602">
        <f t="shared" si="9"/>
        <v>0</v>
      </c>
      <c r="Q19" s="1603">
        <f>SUM(Q20:Q21)</f>
        <v>0</v>
      </c>
      <c r="R19" s="1603">
        <f>SUM(R20:R21)</f>
        <v>0</v>
      </c>
      <c r="S19" s="1601">
        <f t="shared" si="5"/>
        <v>0</v>
      </c>
      <c r="T19" s="1601">
        <f t="shared" si="5"/>
        <v>0</v>
      </c>
      <c r="U19" s="1601">
        <f t="shared" si="5"/>
        <v>0</v>
      </c>
      <c r="V19" s="1593" t="s">
        <v>353</v>
      </c>
      <c r="W19" s="1593" t="s">
        <v>353</v>
      </c>
      <c r="X19" s="1602">
        <f t="shared" si="6"/>
        <v>0</v>
      </c>
      <c r="Y19" s="1603">
        <f>SUM(Y20:Y21)</f>
        <v>0</v>
      </c>
      <c r="Z19" s="1603">
        <f>SUM(Z20:Z21)</f>
        <v>0</v>
      </c>
      <c r="AA19" s="1602">
        <f t="shared" si="7"/>
        <v>0</v>
      </c>
      <c r="AB19" s="1603">
        <f>SUM(AB20:AB21)</f>
        <v>0</v>
      </c>
      <c r="AC19" s="1603">
        <f>SUM(AC20:AC21)</f>
        <v>0</v>
      </c>
    </row>
    <row r="20" spans="1:29" s="1607" customFormat="1" ht="74.25" customHeight="1">
      <c r="A20" s="1972">
        <f>A18+1</f>
        <v>3</v>
      </c>
      <c r="B20" s="521" t="s">
        <v>1397</v>
      </c>
      <c r="C20" s="1882">
        <v>24368</v>
      </c>
      <c r="D20" s="1602">
        <f t="shared" si="0"/>
        <v>10500</v>
      </c>
      <c r="E20" s="1616"/>
      <c r="F20" s="1616">
        <v>10500</v>
      </c>
      <c r="G20" s="1602">
        <f t="shared" si="1"/>
        <v>10500</v>
      </c>
      <c r="H20" s="1616"/>
      <c r="I20" s="1616">
        <v>10500</v>
      </c>
      <c r="J20" s="1594">
        <f t="shared" si="2"/>
        <v>0</v>
      </c>
      <c r="K20" s="1594">
        <f t="shared" si="3"/>
        <v>0</v>
      </c>
      <c r="L20" s="1594">
        <f t="shared" si="4"/>
        <v>0</v>
      </c>
      <c r="M20" s="1602">
        <f t="shared" si="8"/>
        <v>10500</v>
      </c>
      <c r="N20" s="1616"/>
      <c r="O20" s="1616">
        <v>10500</v>
      </c>
      <c r="P20" s="1602">
        <f t="shared" si="9"/>
        <v>0</v>
      </c>
      <c r="Q20" s="1616"/>
      <c r="R20" s="1616"/>
      <c r="S20" s="1604">
        <f t="shared" si="5"/>
        <v>0</v>
      </c>
      <c r="T20" s="1881">
        <f t="shared" si="5"/>
        <v>0</v>
      </c>
      <c r="U20" s="1881">
        <f t="shared" si="5"/>
        <v>0</v>
      </c>
      <c r="V20" s="1593" t="s">
        <v>1171</v>
      </c>
      <c r="W20" s="1593" t="s">
        <v>1116</v>
      </c>
      <c r="X20" s="1600">
        <f t="shared" si="6"/>
        <v>0</v>
      </c>
      <c r="Y20" s="1608">
        <v>0</v>
      </c>
      <c r="Z20" s="1608">
        <v>0</v>
      </c>
      <c r="AA20" s="1600">
        <f t="shared" si="7"/>
        <v>0</v>
      </c>
      <c r="AB20" s="1608">
        <v>0</v>
      </c>
      <c r="AC20" s="1608">
        <v>0</v>
      </c>
    </row>
    <row r="21" spans="1:29" s="1607" customFormat="1" ht="42" customHeight="1">
      <c r="A21" s="1972">
        <f>A20+1</f>
        <v>4</v>
      </c>
      <c r="B21" s="1883" t="s">
        <v>1399</v>
      </c>
      <c r="C21" s="1882">
        <v>24368</v>
      </c>
      <c r="D21" s="1602">
        <f t="shared" si="0"/>
        <v>41650</v>
      </c>
      <c r="E21" s="1616"/>
      <c r="F21" s="1616">
        <v>41650</v>
      </c>
      <c r="G21" s="1602">
        <f t="shared" si="1"/>
        <v>41650</v>
      </c>
      <c r="H21" s="1616"/>
      <c r="I21" s="1616">
        <v>41650</v>
      </c>
      <c r="J21" s="1594">
        <f t="shared" si="2"/>
        <v>0</v>
      </c>
      <c r="K21" s="1594">
        <f t="shared" si="3"/>
        <v>0</v>
      </c>
      <c r="L21" s="1594">
        <f t="shared" si="4"/>
        <v>0</v>
      </c>
      <c r="M21" s="1602">
        <f t="shared" si="8"/>
        <v>41650</v>
      </c>
      <c r="N21" s="1616"/>
      <c r="O21" s="1616">
        <v>41650</v>
      </c>
      <c r="P21" s="1602">
        <f t="shared" si="9"/>
        <v>0</v>
      </c>
      <c r="Q21" s="1616"/>
      <c r="R21" s="1616"/>
      <c r="S21" s="1604">
        <f t="shared" si="5"/>
        <v>0</v>
      </c>
      <c r="T21" s="1881">
        <f t="shared" si="5"/>
        <v>0</v>
      </c>
      <c r="U21" s="1881">
        <f t="shared" si="5"/>
        <v>0</v>
      </c>
      <c r="V21" s="1593" t="s">
        <v>1171</v>
      </c>
      <c r="W21" s="1593" t="s">
        <v>1116</v>
      </c>
      <c r="X21" s="1600">
        <f t="shared" si="6"/>
        <v>0</v>
      </c>
      <c r="Y21" s="1608">
        <v>0</v>
      </c>
      <c r="Z21" s="1608">
        <v>0</v>
      </c>
      <c r="AA21" s="1600">
        <v>0</v>
      </c>
      <c r="AB21" s="1608">
        <v>0</v>
      </c>
      <c r="AC21" s="1608">
        <v>0</v>
      </c>
    </row>
    <row r="22" spans="1:29" s="1570" customFormat="1" ht="21" customHeight="1">
      <c r="A22" s="1972"/>
      <c r="B22" s="1884" t="s">
        <v>712</v>
      </c>
      <c r="C22" s="1880">
        <v>24366</v>
      </c>
      <c r="D22" s="1602">
        <f t="shared" si="0"/>
        <v>19000</v>
      </c>
      <c r="E22" s="1603">
        <f>SUM(E23:E24)</f>
        <v>0</v>
      </c>
      <c r="F22" s="1603">
        <f>SUM(F23:F24)</f>
        <v>19000</v>
      </c>
      <c r="G22" s="1602">
        <f t="shared" si="1"/>
        <v>19283.099999999999</v>
      </c>
      <c r="H22" s="1603">
        <f>SUM(H23:H24)</f>
        <v>0</v>
      </c>
      <c r="I22" s="1603">
        <f>SUM(I23:I24)</f>
        <v>19283.099999999999</v>
      </c>
      <c r="J22" s="1594">
        <f t="shared" si="2"/>
        <v>283.10000000000002</v>
      </c>
      <c r="K22" s="1594">
        <f t="shared" si="3"/>
        <v>0</v>
      </c>
      <c r="L22" s="1594">
        <f t="shared" si="4"/>
        <v>283.10000000000002</v>
      </c>
      <c r="M22" s="1602">
        <f t="shared" si="8"/>
        <v>19283.099999999999</v>
      </c>
      <c r="N22" s="1603">
        <f>SUM(N23:N24)</f>
        <v>0</v>
      </c>
      <c r="O22" s="1603">
        <f>SUM(O23:O24)</f>
        <v>19283.099999999999</v>
      </c>
      <c r="P22" s="1602">
        <f t="shared" si="9"/>
        <v>0</v>
      </c>
      <c r="Q22" s="1603">
        <f>SUM(Q23:Q24)</f>
        <v>0</v>
      </c>
      <c r="R22" s="1603">
        <f>SUM(R23:R24)</f>
        <v>0</v>
      </c>
      <c r="S22" s="1601">
        <f t="shared" si="5"/>
        <v>0</v>
      </c>
      <c r="T22" s="1601">
        <f t="shared" si="5"/>
        <v>0</v>
      </c>
      <c r="U22" s="1601">
        <f t="shared" si="5"/>
        <v>0</v>
      </c>
      <c r="V22" s="1593" t="s">
        <v>353</v>
      </c>
      <c r="W22" s="1612" t="s">
        <v>353</v>
      </c>
      <c r="X22" s="1602">
        <f t="shared" si="6"/>
        <v>0</v>
      </c>
      <c r="Y22" s="1603">
        <f>SUM(Y23:Y24)</f>
        <v>0</v>
      </c>
      <c r="Z22" s="1603">
        <f>SUM(Z23:Z24)</f>
        <v>0</v>
      </c>
      <c r="AA22" s="1602">
        <f t="shared" ref="AA22:AA53" si="11">SUM(AB22:AC22)</f>
        <v>0</v>
      </c>
      <c r="AB22" s="1603">
        <f>SUM(AB23:AB24)</f>
        <v>0</v>
      </c>
      <c r="AC22" s="1603">
        <f>SUM(AC23:AC24)</f>
        <v>0</v>
      </c>
    </row>
    <row r="23" spans="1:29" s="1570" customFormat="1" ht="43.5" customHeight="1">
      <c r="A23" s="1972">
        <f>A21+1</f>
        <v>5</v>
      </c>
      <c r="B23" s="1885" t="s">
        <v>1568</v>
      </c>
      <c r="C23" s="1880"/>
      <c r="D23" s="1602">
        <f t="shared" si="0"/>
        <v>0</v>
      </c>
      <c r="E23" s="1615"/>
      <c r="F23" s="1615"/>
      <c r="G23" s="1602">
        <f t="shared" si="1"/>
        <v>283.10000000000002</v>
      </c>
      <c r="H23" s="1615"/>
      <c r="I23" s="1615">
        <v>283.10000000000002</v>
      </c>
      <c r="J23" s="1594">
        <f t="shared" si="2"/>
        <v>283.10000000000002</v>
      </c>
      <c r="K23" s="1594">
        <f t="shared" si="3"/>
        <v>0</v>
      </c>
      <c r="L23" s="1594">
        <f t="shared" si="4"/>
        <v>283.10000000000002</v>
      </c>
      <c r="M23" s="1602">
        <f t="shared" si="8"/>
        <v>283.10000000000002</v>
      </c>
      <c r="N23" s="1615"/>
      <c r="O23" s="1615">
        <v>283.10000000000002</v>
      </c>
      <c r="P23" s="1602">
        <f t="shared" si="9"/>
        <v>0</v>
      </c>
      <c r="Q23" s="1615"/>
      <c r="R23" s="1615"/>
      <c r="S23" s="1604">
        <f t="shared" si="5"/>
        <v>0</v>
      </c>
      <c r="T23" s="1881">
        <f t="shared" si="5"/>
        <v>0</v>
      </c>
      <c r="U23" s="1881">
        <f t="shared" si="5"/>
        <v>0</v>
      </c>
      <c r="V23" s="1593"/>
      <c r="W23" s="1612"/>
      <c r="X23" s="1602">
        <f t="shared" si="6"/>
        <v>0</v>
      </c>
      <c r="Y23" s="1615">
        <v>0</v>
      </c>
      <c r="Z23" s="1615">
        <v>0</v>
      </c>
      <c r="AA23" s="1602">
        <f t="shared" si="11"/>
        <v>0</v>
      </c>
      <c r="AB23" s="1615">
        <v>0</v>
      </c>
      <c r="AC23" s="1615">
        <v>0</v>
      </c>
    </row>
    <row r="24" spans="1:29" ht="24.75" customHeight="1">
      <c r="A24" s="1972">
        <f>A23+1</f>
        <v>6</v>
      </c>
      <c r="B24" s="1879" t="s">
        <v>713</v>
      </c>
      <c r="C24" s="1880">
        <v>24366</v>
      </c>
      <c r="D24" s="1602">
        <f t="shared" si="0"/>
        <v>19000</v>
      </c>
      <c r="E24" s="1615"/>
      <c r="F24" s="1615">
        <v>19000</v>
      </c>
      <c r="G24" s="1602">
        <f t="shared" si="1"/>
        <v>19000</v>
      </c>
      <c r="H24" s="1615"/>
      <c r="I24" s="1615">
        <v>19000</v>
      </c>
      <c r="J24" s="1594">
        <f t="shared" si="2"/>
        <v>0</v>
      </c>
      <c r="K24" s="1594">
        <f t="shared" si="3"/>
        <v>0</v>
      </c>
      <c r="L24" s="1594">
        <f t="shared" si="4"/>
        <v>0</v>
      </c>
      <c r="M24" s="1602">
        <f t="shared" si="8"/>
        <v>19000</v>
      </c>
      <c r="N24" s="1615"/>
      <c r="O24" s="1615">
        <v>19000</v>
      </c>
      <c r="P24" s="1602">
        <f t="shared" si="9"/>
        <v>0</v>
      </c>
      <c r="Q24" s="1615"/>
      <c r="R24" s="1615"/>
      <c r="S24" s="1604">
        <f t="shared" si="5"/>
        <v>0</v>
      </c>
      <c r="T24" s="1881">
        <f t="shared" si="5"/>
        <v>0</v>
      </c>
      <c r="U24" s="1881">
        <f t="shared" si="5"/>
        <v>0</v>
      </c>
      <c r="V24" s="1593" t="s">
        <v>1171</v>
      </c>
      <c r="W24" s="1593" t="s">
        <v>1111</v>
      </c>
      <c r="X24" s="1600">
        <f t="shared" si="6"/>
        <v>0</v>
      </c>
      <c r="Y24" s="1614">
        <v>0</v>
      </c>
      <c r="Z24" s="1614">
        <v>0</v>
      </c>
      <c r="AA24" s="1600">
        <f t="shared" si="11"/>
        <v>0</v>
      </c>
      <c r="AB24" s="1614">
        <v>0</v>
      </c>
      <c r="AC24" s="1614">
        <v>0</v>
      </c>
    </row>
    <row r="25" spans="1:29" s="1570" customFormat="1">
      <c r="A25" s="1972"/>
      <c r="B25" s="1884" t="s">
        <v>1406</v>
      </c>
      <c r="C25" s="1972" t="s">
        <v>1538</v>
      </c>
      <c r="D25" s="1602">
        <f t="shared" si="0"/>
        <v>18602.2</v>
      </c>
      <c r="E25" s="1603">
        <f>E26</f>
        <v>0</v>
      </c>
      <c r="F25" s="1603">
        <f>F26</f>
        <v>18602.2</v>
      </c>
      <c r="G25" s="1602">
        <f t="shared" si="1"/>
        <v>18602.2</v>
      </c>
      <c r="H25" s="1603">
        <f>H26</f>
        <v>0</v>
      </c>
      <c r="I25" s="1603">
        <f>I26</f>
        <v>18602.2</v>
      </c>
      <c r="J25" s="1594">
        <f t="shared" si="2"/>
        <v>0</v>
      </c>
      <c r="K25" s="1594">
        <f t="shared" si="3"/>
        <v>0</v>
      </c>
      <c r="L25" s="1594">
        <f t="shared" si="4"/>
        <v>0</v>
      </c>
      <c r="M25" s="1602">
        <f t="shared" si="8"/>
        <v>18602.2</v>
      </c>
      <c r="N25" s="1603">
        <f>N26</f>
        <v>0</v>
      </c>
      <c r="O25" s="1603">
        <f>O26</f>
        <v>18602.2</v>
      </c>
      <c r="P25" s="1602">
        <f t="shared" si="9"/>
        <v>0</v>
      </c>
      <c r="Q25" s="1603">
        <f>Q26</f>
        <v>0</v>
      </c>
      <c r="R25" s="1603">
        <f>R26</f>
        <v>0</v>
      </c>
      <c r="S25" s="1601">
        <f t="shared" si="5"/>
        <v>0</v>
      </c>
      <c r="T25" s="1601">
        <f t="shared" si="5"/>
        <v>0</v>
      </c>
      <c r="U25" s="1601">
        <f t="shared" si="5"/>
        <v>0</v>
      </c>
      <c r="V25" s="1593" t="s">
        <v>353</v>
      </c>
      <c r="W25" s="1612" t="s">
        <v>353</v>
      </c>
      <c r="X25" s="1602">
        <f t="shared" si="6"/>
        <v>0</v>
      </c>
      <c r="Y25" s="1603">
        <f>Y26</f>
        <v>0</v>
      </c>
      <c r="Z25" s="1603">
        <f>Z26</f>
        <v>0</v>
      </c>
      <c r="AA25" s="1602">
        <f t="shared" si="11"/>
        <v>0</v>
      </c>
      <c r="AB25" s="1603">
        <f>AB26</f>
        <v>0</v>
      </c>
      <c r="AC25" s="1603">
        <f>AC26</f>
        <v>0</v>
      </c>
    </row>
    <row r="26" spans="1:29" ht="38.25" customHeight="1">
      <c r="A26" s="1972">
        <f>A24+1</f>
        <v>7</v>
      </c>
      <c r="B26" s="1886" t="s">
        <v>1407</v>
      </c>
      <c r="C26" s="1972" t="s">
        <v>1538</v>
      </c>
      <c r="D26" s="1602">
        <f t="shared" si="0"/>
        <v>18602.2</v>
      </c>
      <c r="E26" s="1615"/>
      <c r="F26" s="1615">
        <v>18602.2</v>
      </c>
      <c r="G26" s="1602">
        <f t="shared" si="1"/>
        <v>18602.2</v>
      </c>
      <c r="H26" s="1615"/>
      <c r="I26" s="1615">
        <v>18602.2</v>
      </c>
      <c r="J26" s="1594">
        <f t="shared" si="2"/>
        <v>0</v>
      </c>
      <c r="K26" s="1594">
        <f t="shared" si="3"/>
        <v>0</v>
      </c>
      <c r="L26" s="1594">
        <f t="shared" si="4"/>
        <v>0</v>
      </c>
      <c r="M26" s="1602">
        <f t="shared" si="8"/>
        <v>18602.2</v>
      </c>
      <c r="N26" s="1615"/>
      <c r="O26" s="1615">
        <v>18602.2</v>
      </c>
      <c r="P26" s="1602">
        <f t="shared" si="9"/>
        <v>0</v>
      </c>
      <c r="Q26" s="1615"/>
      <c r="R26" s="1615"/>
      <c r="S26" s="1604">
        <f t="shared" si="5"/>
        <v>0</v>
      </c>
      <c r="T26" s="1881">
        <f t="shared" si="5"/>
        <v>0</v>
      </c>
      <c r="U26" s="1881">
        <f t="shared" si="5"/>
        <v>0</v>
      </c>
      <c r="V26" s="1593" t="s">
        <v>1171</v>
      </c>
      <c r="W26" s="1593" t="s">
        <v>1111</v>
      </c>
      <c r="X26" s="1600">
        <f t="shared" si="6"/>
        <v>0</v>
      </c>
      <c r="Y26" s="1614">
        <v>0</v>
      </c>
      <c r="Z26" s="1614">
        <v>0</v>
      </c>
      <c r="AA26" s="1600">
        <f t="shared" si="11"/>
        <v>0</v>
      </c>
      <c r="AB26" s="1614">
        <v>0</v>
      </c>
      <c r="AC26" s="1614">
        <v>0</v>
      </c>
    </row>
    <row r="27" spans="1:29" s="1607" customFormat="1" ht="23.25" customHeight="1">
      <c r="A27" s="1972"/>
      <c r="B27" s="1971" t="s">
        <v>46</v>
      </c>
      <c r="C27" s="1882">
        <v>24347</v>
      </c>
      <c r="D27" s="1602">
        <f t="shared" si="0"/>
        <v>12500</v>
      </c>
      <c r="E27" s="1603">
        <f>E28</f>
        <v>0</v>
      </c>
      <c r="F27" s="1603">
        <f>F28</f>
        <v>12500</v>
      </c>
      <c r="G27" s="1602">
        <f t="shared" si="1"/>
        <v>12500</v>
      </c>
      <c r="H27" s="1603">
        <f>H28</f>
        <v>0</v>
      </c>
      <c r="I27" s="1603">
        <f>I28</f>
        <v>12500</v>
      </c>
      <c r="J27" s="1594">
        <f t="shared" si="2"/>
        <v>0</v>
      </c>
      <c r="K27" s="1594">
        <f t="shared" si="3"/>
        <v>0</v>
      </c>
      <c r="L27" s="1594">
        <f t="shared" si="4"/>
        <v>0</v>
      </c>
      <c r="M27" s="1602">
        <f t="shared" si="8"/>
        <v>12500</v>
      </c>
      <c r="N27" s="1603">
        <f>N28</f>
        <v>0</v>
      </c>
      <c r="O27" s="1603">
        <f>O28</f>
        <v>12500</v>
      </c>
      <c r="P27" s="1602">
        <f t="shared" si="9"/>
        <v>0</v>
      </c>
      <c r="Q27" s="1603">
        <f>Q28</f>
        <v>0</v>
      </c>
      <c r="R27" s="1603">
        <f>R28</f>
        <v>0</v>
      </c>
      <c r="S27" s="1604">
        <f t="shared" si="5"/>
        <v>0</v>
      </c>
      <c r="T27" s="1881">
        <f t="shared" si="5"/>
        <v>0</v>
      </c>
      <c r="U27" s="1881">
        <f t="shared" si="5"/>
        <v>0</v>
      </c>
      <c r="V27" s="1593" t="s">
        <v>353</v>
      </c>
      <c r="W27" s="1593" t="s">
        <v>353</v>
      </c>
      <c r="X27" s="1602">
        <f t="shared" si="6"/>
        <v>0</v>
      </c>
      <c r="Y27" s="1603">
        <f>Y28</f>
        <v>0</v>
      </c>
      <c r="Z27" s="1603">
        <f>Z28</f>
        <v>0</v>
      </c>
      <c r="AA27" s="1602">
        <f t="shared" si="11"/>
        <v>0</v>
      </c>
      <c r="AB27" s="1603">
        <f>AB28</f>
        <v>0</v>
      </c>
      <c r="AC27" s="1603">
        <f>AC28</f>
        <v>0</v>
      </c>
    </row>
    <row r="28" spans="1:29" s="1607" customFormat="1" ht="81.75" customHeight="1">
      <c r="A28" s="1972">
        <f>A26+1</f>
        <v>8</v>
      </c>
      <c r="B28" s="521" t="s">
        <v>1517</v>
      </c>
      <c r="C28" s="1882">
        <v>24347</v>
      </c>
      <c r="D28" s="1602">
        <f t="shared" si="0"/>
        <v>12500</v>
      </c>
      <c r="E28" s="1616"/>
      <c r="F28" s="1616">
        <v>12500</v>
      </c>
      <c r="G28" s="1602">
        <f t="shared" si="1"/>
        <v>12500</v>
      </c>
      <c r="H28" s="1616"/>
      <c r="I28" s="1616">
        <v>12500</v>
      </c>
      <c r="J28" s="1594">
        <f t="shared" si="2"/>
        <v>0</v>
      </c>
      <c r="K28" s="1594">
        <f t="shared" si="3"/>
        <v>0</v>
      </c>
      <c r="L28" s="1594">
        <f t="shared" si="4"/>
        <v>0</v>
      </c>
      <c r="M28" s="1602">
        <f t="shared" si="8"/>
        <v>12500</v>
      </c>
      <c r="N28" s="1616"/>
      <c r="O28" s="1616">
        <v>12500</v>
      </c>
      <c r="P28" s="1602">
        <f t="shared" si="9"/>
        <v>0</v>
      </c>
      <c r="Q28" s="1616"/>
      <c r="R28" s="1616"/>
      <c r="S28" s="1604">
        <f t="shared" si="5"/>
        <v>0</v>
      </c>
      <c r="T28" s="1881">
        <f t="shared" si="5"/>
        <v>0</v>
      </c>
      <c r="U28" s="1881">
        <f t="shared" si="5"/>
        <v>0</v>
      </c>
      <c r="V28" s="1593" t="s">
        <v>1184</v>
      </c>
      <c r="W28" s="1593" t="s">
        <v>1136</v>
      </c>
      <c r="X28" s="1600">
        <f t="shared" si="6"/>
        <v>0</v>
      </c>
      <c r="Y28" s="1608">
        <v>0</v>
      </c>
      <c r="Z28" s="1608">
        <v>0</v>
      </c>
      <c r="AA28" s="1600">
        <f t="shared" si="11"/>
        <v>0</v>
      </c>
      <c r="AB28" s="1608">
        <v>0</v>
      </c>
      <c r="AC28" s="1608">
        <v>0</v>
      </c>
    </row>
    <row r="29" spans="1:29" s="1570" customFormat="1" ht="24.75" customHeight="1">
      <c r="A29" s="1972"/>
      <c r="B29" s="1884" t="s">
        <v>583</v>
      </c>
      <c r="C29" s="1972">
        <v>24366</v>
      </c>
      <c r="D29" s="1602">
        <f t="shared" si="0"/>
        <v>2500</v>
      </c>
      <c r="E29" s="1603">
        <f>E30</f>
        <v>0</v>
      </c>
      <c r="F29" s="1603">
        <f>F30</f>
        <v>2500</v>
      </c>
      <c r="G29" s="1602">
        <f t="shared" si="1"/>
        <v>2500</v>
      </c>
      <c r="H29" s="1603">
        <f>H30</f>
        <v>0</v>
      </c>
      <c r="I29" s="1603">
        <f>I30</f>
        <v>2500</v>
      </c>
      <c r="J29" s="1594">
        <f t="shared" si="2"/>
        <v>0</v>
      </c>
      <c r="K29" s="1594">
        <f t="shared" si="3"/>
        <v>0</v>
      </c>
      <c r="L29" s="1594">
        <f t="shared" si="4"/>
        <v>0</v>
      </c>
      <c r="M29" s="1602">
        <f t="shared" si="8"/>
        <v>2500</v>
      </c>
      <c r="N29" s="1603">
        <f>N30</f>
        <v>0</v>
      </c>
      <c r="O29" s="1603">
        <f>O30</f>
        <v>2500</v>
      </c>
      <c r="P29" s="1602">
        <f t="shared" si="9"/>
        <v>0</v>
      </c>
      <c r="Q29" s="1603">
        <f>Q30</f>
        <v>0</v>
      </c>
      <c r="R29" s="1603">
        <f>R30</f>
        <v>0</v>
      </c>
      <c r="S29" s="1604">
        <f t="shared" si="5"/>
        <v>0</v>
      </c>
      <c r="T29" s="1604">
        <f t="shared" si="5"/>
        <v>0</v>
      </c>
      <c r="U29" s="1604">
        <f t="shared" si="5"/>
        <v>0</v>
      </c>
      <c r="V29" s="1593" t="s">
        <v>353</v>
      </c>
      <c r="W29" s="1612" t="s">
        <v>353</v>
      </c>
      <c r="X29" s="1602">
        <f t="shared" si="6"/>
        <v>0</v>
      </c>
      <c r="Y29" s="1603">
        <f>Y30</f>
        <v>0</v>
      </c>
      <c r="Z29" s="1603">
        <f>Z30</f>
        <v>0</v>
      </c>
      <c r="AA29" s="1602">
        <f t="shared" si="11"/>
        <v>0</v>
      </c>
      <c r="AB29" s="1603">
        <f>AB30</f>
        <v>0</v>
      </c>
      <c r="AC29" s="1603">
        <f>AC30</f>
        <v>0</v>
      </c>
    </row>
    <row r="30" spans="1:29" ht="42.75" customHeight="1">
      <c r="A30" s="1972">
        <f>A28+1</f>
        <v>9</v>
      </c>
      <c r="B30" s="1887" t="s">
        <v>1652</v>
      </c>
      <c r="C30" s="1972">
        <v>24366</v>
      </c>
      <c r="D30" s="1602">
        <f t="shared" si="0"/>
        <v>2500</v>
      </c>
      <c r="E30" s="1615"/>
      <c r="F30" s="1615">
        <v>2500</v>
      </c>
      <c r="G30" s="1602">
        <f t="shared" si="1"/>
        <v>2500</v>
      </c>
      <c r="H30" s="1615"/>
      <c r="I30" s="1615">
        <v>2500</v>
      </c>
      <c r="J30" s="1594">
        <f t="shared" si="2"/>
        <v>0</v>
      </c>
      <c r="K30" s="1594">
        <f t="shared" si="3"/>
        <v>0</v>
      </c>
      <c r="L30" s="1594">
        <f t="shared" si="4"/>
        <v>0</v>
      </c>
      <c r="M30" s="1602">
        <f t="shared" si="8"/>
        <v>2500</v>
      </c>
      <c r="N30" s="1615"/>
      <c r="O30" s="1615">
        <v>2500</v>
      </c>
      <c r="P30" s="1602">
        <f t="shared" si="9"/>
        <v>0</v>
      </c>
      <c r="Q30" s="1615"/>
      <c r="R30" s="1615"/>
      <c r="S30" s="1604">
        <f t="shared" si="5"/>
        <v>0</v>
      </c>
      <c r="T30" s="1881">
        <f t="shared" si="5"/>
        <v>0</v>
      </c>
      <c r="U30" s="1881">
        <f t="shared" si="5"/>
        <v>0</v>
      </c>
      <c r="V30" s="1593" t="s">
        <v>1171</v>
      </c>
      <c r="W30" s="1593" t="s">
        <v>1111</v>
      </c>
      <c r="X30" s="1600">
        <f t="shared" si="6"/>
        <v>0</v>
      </c>
      <c r="Y30" s="1614">
        <v>0</v>
      </c>
      <c r="Z30" s="1614">
        <v>0</v>
      </c>
      <c r="AA30" s="1600">
        <f t="shared" si="11"/>
        <v>0</v>
      </c>
      <c r="AB30" s="1614">
        <v>0</v>
      </c>
      <c r="AC30" s="1614">
        <v>0</v>
      </c>
    </row>
    <row r="31" spans="1:29" ht="21.75" customHeight="1">
      <c r="A31" s="1972"/>
      <c r="B31" s="1971" t="s">
        <v>68</v>
      </c>
      <c r="C31" s="1972">
        <v>24366</v>
      </c>
      <c r="D31" s="1602">
        <f t="shared" si="0"/>
        <v>8734.5</v>
      </c>
      <c r="E31" s="1603">
        <f>SUM(E32:E35)</f>
        <v>0</v>
      </c>
      <c r="F31" s="1603">
        <f>SUM(F32:F35)</f>
        <v>8734.5</v>
      </c>
      <c r="G31" s="1602">
        <f t="shared" si="1"/>
        <v>18698.7</v>
      </c>
      <c r="H31" s="1603">
        <f>SUM(H32:H35)</f>
        <v>0</v>
      </c>
      <c r="I31" s="1603">
        <f>SUM(I32:I35)</f>
        <v>18698.7</v>
      </c>
      <c r="J31" s="1594">
        <f t="shared" si="2"/>
        <v>9964.2000000000007</v>
      </c>
      <c r="K31" s="1594">
        <f t="shared" si="3"/>
        <v>0</v>
      </c>
      <c r="L31" s="1594">
        <f t="shared" si="4"/>
        <v>9964.2000000000007</v>
      </c>
      <c r="M31" s="1602">
        <f t="shared" si="8"/>
        <v>18698.7</v>
      </c>
      <c r="N31" s="1603">
        <f>SUM(N32:N35)</f>
        <v>0</v>
      </c>
      <c r="O31" s="1603">
        <f>SUM(O32:O35)</f>
        <v>18698.7</v>
      </c>
      <c r="P31" s="1602">
        <f t="shared" si="9"/>
        <v>0</v>
      </c>
      <c r="Q31" s="1603">
        <f>SUM(Q32:Q35)</f>
        <v>0</v>
      </c>
      <c r="R31" s="1603">
        <f>SUM(R32:R35)</f>
        <v>0</v>
      </c>
      <c r="S31" s="1601">
        <f t="shared" si="5"/>
        <v>0</v>
      </c>
      <c r="T31" s="1601">
        <f t="shared" si="5"/>
        <v>0</v>
      </c>
      <c r="U31" s="1601">
        <f t="shared" si="5"/>
        <v>0</v>
      </c>
      <c r="V31" s="1601">
        <f>SUM(V32:V35)</f>
        <v>0</v>
      </c>
      <c r="W31" s="1601">
        <f>SUM(W32:W35)</f>
        <v>0</v>
      </c>
      <c r="X31" s="1602">
        <f t="shared" si="6"/>
        <v>8734.5</v>
      </c>
      <c r="Y31" s="1603">
        <f>SUM(Y32:Y35)</f>
        <v>0</v>
      </c>
      <c r="Z31" s="1603">
        <f>SUM(Z32:Z35)</f>
        <v>8734.5</v>
      </c>
      <c r="AA31" s="1602">
        <f t="shared" si="11"/>
        <v>0</v>
      </c>
      <c r="AB31" s="1603">
        <f>SUM(AB32:AB35)</f>
        <v>0</v>
      </c>
      <c r="AC31" s="1603">
        <f>SUM(AC32:AC35)</f>
        <v>0</v>
      </c>
    </row>
    <row r="32" spans="1:29" ht="137.25" customHeight="1">
      <c r="A32" s="1972">
        <f>A30+1</f>
        <v>10</v>
      </c>
      <c r="B32" s="1888" t="s">
        <v>1553</v>
      </c>
      <c r="C32" s="1972"/>
      <c r="D32" s="1602">
        <f t="shared" si="0"/>
        <v>0</v>
      </c>
      <c r="E32" s="1616"/>
      <c r="F32" s="1616"/>
      <c r="G32" s="1602">
        <f t="shared" si="1"/>
        <v>4000</v>
      </c>
      <c r="H32" s="1616"/>
      <c r="I32" s="1616">
        <v>4000</v>
      </c>
      <c r="J32" s="1594">
        <f t="shared" si="2"/>
        <v>4000</v>
      </c>
      <c r="K32" s="1594">
        <f t="shared" si="3"/>
        <v>0</v>
      </c>
      <c r="L32" s="1594">
        <f t="shared" si="4"/>
        <v>4000</v>
      </c>
      <c r="M32" s="1602">
        <f t="shared" si="8"/>
        <v>4000</v>
      </c>
      <c r="N32" s="1616"/>
      <c r="O32" s="1616">
        <v>4000</v>
      </c>
      <c r="P32" s="1602">
        <f t="shared" si="9"/>
        <v>0</v>
      </c>
      <c r="Q32" s="1616"/>
      <c r="R32" s="1616"/>
      <c r="S32" s="1604">
        <f t="shared" si="5"/>
        <v>0</v>
      </c>
      <c r="T32" s="1881">
        <f t="shared" si="5"/>
        <v>0</v>
      </c>
      <c r="U32" s="1881">
        <f t="shared" si="5"/>
        <v>0</v>
      </c>
      <c r="V32" s="1593"/>
      <c r="W32" s="1593"/>
      <c r="X32" s="1600">
        <f t="shared" si="6"/>
        <v>0</v>
      </c>
      <c r="Y32" s="1865">
        <v>0</v>
      </c>
      <c r="Z32" s="1865">
        <v>0</v>
      </c>
      <c r="AA32" s="1600">
        <f t="shared" si="11"/>
        <v>0</v>
      </c>
      <c r="AB32" s="1865">
        <v>0</v>
      </c>
      <c r="AC32" s="1865">
        <v>0</v>
      </c>
    </row>
    <row r="33" spans="1:29" ht="118.5" customHeight="1">
      <c r="A33" s="1972">
        <f>A32+1</f>
        <v>11</v>
      </c>
      <c r="B33" s="1889" t="s">
        <v>1552</v>
      </c>
      <c r="C33" s="1972"/>
      <c r="D33" s="1602">
        <f t="shared" si="0"/>
        <v>0</v>
      </c>
      <c r="E33" s="1616"/>
      <c r="F33" s="1616"/>
      <c r="G33" s="1602">
        <f t="shared" si="1"/>
        <v>2400</v>
      </c>
      <c r="H33" s="1616"/>
      <c r="I33" s="1616">
        <v>2400</v>
      </c>
      <c r="J33" s="1594">
        <f t="shared" si="2"/>
        <v>2400</v>
      </c>
      <c r="K33" s="1594">
        <f t="shared" si="3"/>
        <v>0</v>
      </c>
      <c r="L33" s="1594">
        <f t="shared" si="4"/>
        <v>2400</v>
      </c>
      <c r="M33" s="1602">
        <f t="shared" si="8"/>
        <v>2400</v>
      </c>
      <c r="N33" s="1616"/>
      <c r="O33" s="1616">
        <v>2400</v>
      </c>
      <c r="P33" s="1602">
        <f t="shared" si="9"/>
        <v>0</v>
      </c>
      <c r="Q33" s="1616"/>
      <c r="R33" s="1616"/>
      <c r="S33" s="1604">
        <f t="shared" si="5"/>
        <v>0</v>
      </c>
      <c r="T33" s="1881">
        <f t="shared" si="5"/>
        <v>0</v>
      </c>
      <c r="U33" s="1881">
        <f t="shared" si="5"/>
        <v>0</v>
      </c>
      <c r="V33" s="1593"/>
      <c r="W33" s="1593"/>
      <c r="X33" s="1600">
        <f t="shared" si="6"/>
        <v>0</v>
      </c>
      <c r="Y33" s="1865">
        <v>0</v>
      </c>
      <c r="Z33" s="1865">
        <v>0</v>
      </c>
      <c r="AA33" s="1600">
        <f t="shared" si="11"/>
        <v>0</v>
      </c>
      <c r="AB33" s="1865">
        <v>0</v>
      </c>
      <c r="AC33" s="1865">
        <v>0</v>
      </c>
    </row>
    <row r="34" spans="1:29" ht="60.75" customHeight="1">
      <c r="A34" s="1972">
        <f>A33+1</f>
        <v>12</v>
      </c>
      <c r="B34" s="1888" t="s">
        <v>1561</v>
      </c>
      <c r="C34" s="1972"/>
      <c r="D34" s="1602">
        <f t="shared" si="0"/>
        <v>0</v>
      </c>
      <c r="E34" s="1616"/>
      <c r="F34" s="1616"/>
      <c r="G34" s="1602">
        <f t="shared" si="1"/>
        <v>3564.2</v>
      </c>
      <c r="H34" s="1616"/>
      <c r="I34" s="1616">
        <v>3564.2</v>
      </c>
      <c r="J34" s="1594">
        <f t="shared" si="2"/>
        <v>3564.2</v>
      </c>
      <c r="K34" s="1594">
        <f t="shared" si="3"/>
        <v>0</v>
      </c>
      <c r="L34" s="1594">
        <f t="shared" si="4"/>
        <v>3564.2</v>
      </c>
      <c r="M34" s="1602">
        <f t="shared" si="8"/>
        <v>3564.2</v>
      </c>
      <c r="N34" s="1616"/>
      <c r="O34" s="1616">
        <v>3564.2</v>
      </c>
      <c r="P34" s="1602">
        <f t="shared" si="9"/>
        <v>0</v>
      </c>
      <c r="Q34" s="1616"/>
      <c r="R34" s="1616"/>
      <c r="S34" s="1604">
        <f t="shared" si="5"/>
        <v>0</v>
      </c>
      <c r="T34" s="1881">
        <f t="shared" si="5"/>
        <v>0</v>
      </c>
      <c r="U34" s="1881">
        <f t="shared" si="5"/>
        <v>0</v>
      </c>
      <c r="V34" s="1593"/>
      <c r="W34" s="1593"/>
      <c r="X34" s="1600">
        <f t="shared" si="6"/>
        <v>0</v>
      </c>
      <c r="Y34" s="1865">
        <v>0</v>
      </c>
      <c r="Z34" s="1865">
        <v>0</v>
      </c>
      <c r="AA34" s="1600">
        <f t="shared" si="11"/>
        <v>0</v>
      </c>
      <c r="AB34" s="1865">
        <v>0</v>
      </c>
      <c r="AC34" s="1865">
        <v>0</v>
      </c>
    </row>
    <row r="35" spans="1:29" ht="47.25" customHeight="1">
      <c r="A35" s="1972">
        <f>A34+1</f>
        <v>13</v>
      </c>
      <c r="B35" s="1890" t="s">
        <v>1651</v>
      </c>
      <c r="C35" s="1972">
        <v>24366</v>
      </c>
      <c r="D35" s="1602">
        <f t="shared" si="0"/>
        <v>8734.5</v>
      </c>
      <c r="E35" s="1616"/>
      <c r="F35" s="1616">
        <v>8734.5</v>
      </c>
      <c r="G35" s="1602">
        <f t="shared" si="1"/>
        <v>8734.5</v>
      </c>
      <c r="H35" s="1616"/>
      <c r="I35" s="1616">
        <v>8734.5</v>
      </c>
      <c r="J35" s="1594">
        <f t="shared" si="2"/>
        <v>0</v>
      </c>
      <c r="K35" s="1594">
        <f t="shared" si="3"/>
        <v>0</v>
      </c>
      <c r="L35" s="1594">
        <f t="shared" si="4"/>
        <v>0</v>
      </c>
      <c r="M35" s="1602">
        <f t="shared" si="8"/>
        <v>8734.5</v>
      </c>
      <c r="N35" s="1616"/>
      <c r="O35" s="1616">
        <v>8734.5</v>
      </c>
      <c r="P35" s="1602">
        <f t="shared" si="9"/>
        <v>0</v>
      </c>
      <c r="Q35" s="1616"/>
      <c r="R35" s="1616"/>
      <c r="S35" s="1604">
        <f t="shared" si="5"/>
        <v>0</v>
      </c>
      <c r="T35" s="1881">
        <f t="shared" si="5"/>
        <v>0</v>
      </c>
      <c r="U35" s="1881">
        <f t="shared" si="5"/>
        <v>0</v>
      </c>
      <c r="V35" s="1593" t="s">
        <v>1176</v>
      </c>
      <c r="W35" s="1593" t="s">
        <v>1125</v>
      </c>
      <c r="X35" s="1600">
        <f t="shared" si="6"/>
        <v>8734.5</v>
      </c>
      <c r="Y35" s="1608">
        <v>0</v>
      </c>
      <c r="Z35" s="1608">
        <v>8734.5</v>
      </c>
      <c r="AA35" s="1600">
        <f t="shared" si="11"/>
        <v>0</v>
      </c>
      <c r="AB35" s="1608">
        <v>0</v>
      </c>
      <c r="AC35" s="1608">
        <v>0</v>
      </c>
    </row>
    <row r="36" spans="1:29" s="1570" customFormat="1" ht="24.75" customHeight="1">
      <c r="A36" s="1972"/>
      <c r="B36" s="1884" t="s">
        <v>1408</v>
      </c>
      <c r="C36" s="1880" t="s">
        <v>1538</v>
      </c>
      <c r="D36" s="1602">
        <f t="shared" si="0"/>
        <v>11495</v>
      </c>
      <c r="E36" s="1603">
        <f>SUM(E37)</f>
        <v>0</v>
      </c>
      <c r="F36" s="1603">
        <f>SUM(F37)</f>
        <v>11495</v>
      </c>
      <c r="G36" s="1602">
        <f t="shared" si="1"/>
        <v>11495</v>
      </c>
      <c r="H36" s="1603">
        <f>SUM(H37)</f>
        <v>0</v>
      </c>
      <c r="I36" s="1603">
        <f>SUM(I37)</f>
        <v>11495</v>
      </c>
      <c r="J36" s="1594">
        <f t="shared" si="2"/>
        <v>0</v>
      </c>
      <c r="K36" s="1594">
        <f t="shared" si="3"/>
        <v>0</v>
      </c>
      <c r="L36" s="1594">
        <f t="shared" si="4"/>
        <v>0</v>
      </c>
      <c r="M36" s="1602">
        <f t="shared" si="8"/>
        <v>11495</v>
      </c>
      <c r="N36" s="1603">
        <f>SUM(N37)</f>
        <v>0</v>
      </c>
      <c r="O36" s="1603">
        <f>SUM(O37)</f>
        <v>11495</v>
      </c>
      <c r="P36" s="1602">
        <f t="shared" si="9"/>
        <v>0</v>
      </c>
      <c r="Q36" s="1603">
        <f>SUM(Q37)</f>
        <v>0</v>
      </c>
      <c r="R36" s="1603">
        <f>SUM(R37)</f>
        <v>0</v>
      </c>
      <c r="S36" s="1604">
        <f t="shared" si="5"/>
        <v>0</v>
      </c>
      <c r="T36" s="1604">
        <f t="shared" si="5"/>
        <v>0</v>
      </c>
      <c r="U36" s="1604">
        <f t="shared" si="5"/>
        <v>0</v>
      </c>
      <c r="V36" s="1593" t="s">
        <v>353</v>
      </c>
      <c r="W36" s="1612" t="s">
        <v>353</v>
      </c>
      <c r="X36" s="1602">
        <f t="shared" si="6"/>
        <v>0</v>
      </c>
      <c r="Y36" s="1603">
        <f>SUM(Y37)</f>
        <v>0</v>
      </c>
      <c r="Z36" s="1603">
        <f>SUM(Z37)</f>
        <v>0</v>
      </c>
      <c r="AA36" s="1602">
        <f t="shared" si="11"/>
        <v>0</v>
      </c>
      <c r="AB36" s="1603">
        <f>SUM(AB37)</f>
        <v>0</v>
      </c>
      <c r="AC36" s="1603">
        <f>SUM(AC37)</f>
        <v>0</v>
      </c>
    </row>
    <row r="37" spans="1:29" ht="45" customHeight="1">
      <c r="A37" s="1972">
        <f>A35+1</f>
        <v>14</v>
      </c>
      <c r="B37" s="1886" t="s">
        <v>1409</v>
      </c>
      <c r="C37" s="1880" t="s">
        <v>1538</v>
      </c>
      <c r="D37" s="1602">
        <f t="shared" si="0"/>
        <v>11495</v>
      </c>
      <c r="E37" s="1615"/>
      <c r="F37" s="1615">
        <v>11495</v>
      </c>
      <c r="G37" s="1602">
        <f t="shared" si="1"/>
        <v>11495</v>
      </c>
      <c r="H37" s="1615"/>
      <c r="I37" s="1615">
        <v>11495</v>
      </c>
      <c r="J37" s="1594">
        <f t="shared" si="2"/>
        <v>0</v>
      </c>
      <c r="K37" s="1594">
        <f t="shared" si="3"/>
        <v>0</v>
      </c>
      <c r="L37" s="1594">
        <f t="shared" si="4"/>
        <v>0</v>
      </c>
      <c r="M37" s="1602">
        <f t="shared" si="8"/>
        <v>11495</v>
      </c>
      <c r="N37" s="1615"/>
      <c r="O37" s="1615">
        <v>11495</v>
      </c>
      <c r="P37" s="1602">
        <f t="shared" si="9"/>
        <v>0</v>
      </c>
      <c r="Q37" s="1615"/>
      <c r="R37" s="1615"/>
      <c r="S37" s="1604">
        <f t="shared" si="5"/>
        <v>0</v>
      </c>
      <c r="T37" s="1881">
        <f t="shared" si="5"/>
        <v>0</v>
      </c>
      <c r="U37" s="1881">
        <f t="shared" si="5"/>
        <v>0</v>
      </c>
      <c r="V37" s="1593" t="s">
        <v>1171</v>
      </c>
      <c r="W37" s="1593" t="s">
        <v>1111</v>
      </c>
      <c r="X37" s="1600">
        <f t="shared" si="6"/>
        <v>0</v>
      </c>
      <c r="Y37" s="1614">
        <v>0</v>
      </c>
      <c r="Z37" s="1614">
        <v>0</v>
      </c>
      <c r="AA37" s="1600">
        <f t="shared" si="11"/>
        <v>0</v>
      </c>
      <c r="AB37" s="1614">
        <v>0</v>
      </c>
      <c r="AC37" s="1614">
        <v>0</v>
      </c>
    </row>
    <row r="38" spans="1:29" ht="27" customHeight="1">
      <c r="A38" s="1972"/>
      <c r="B38" s="1891" t="s">
        <v>431</v>
      </c>
      <c r="C38" s="1880"/>
      <c r="D38" s="1602">
        <f t="shared" si="0"/>
        <v>0</v>
      </c>
      <c r="E38" s="1603">
        <f>SUM(E39:E41)</f>
        <v>0</v>
      </c>
      <c r="F38" s="1603">
        <f>SUM(F39:F41)</f>
        <v>0</v>
      </c>
      <c r="G38" s="1602">
        <f t="shared" si="1"/>
        <v>18900</v>
      </c>
      <c r="H38" s="1603">
        <f>SUM(H39:H41)</f>
        <v>0</v>
      </c>
      <c r="I38" s="1603">
        <f>SUM(I39:I41)</f>
        <v>18900</v>
      </c>
      <c r="J38" s="1594">
        <f t="shared" si="2"/>
        <v>18900</v>
      </c>
      <c r="K38" s="1594">
        <f t="shared" si="3"/>
        <v>0</v>
      </c>
      <c r="L38" s="1594">
        <f t="shared" si="4"/>
        <v>18900</v>
      </c>
      <c r="M38" s="1602">
        <f t="shared" si="8"/>
        <v>18900</v>
      </c>
      <c r="N38" s="1603">
        <f>SUM(N39:N41)</f>
        <v>0</v>
      </c>
      <c r="O38" s="1603">
        <f>SUM(O39:O41)</f>
        <v>18900</v>
      </c>
      <c r="P38" s="1602">
        <f t="shared" si="9"/>
        <v>0</v>
      </c>
      <c r="Q38" s="1603">
        <f>SUM(Q39:Q41)</f>
        <v>0</v>
      </c>
      <c r="R38" s="1603">
        <f>SUM(R39:R41)</f>
        <v>0</v>
      </c>
      <c r="S38" s="1601">
        <f t="shared" si="5"/>
        <v>0</v>
      </c>
      <c r="T38" s="1601">
        <f t="shared" si="5"/>
        <v>0</v>
      </c>
      <c r="U38" s="1601">
        <f t="shared" si="5"/>
        <v>0</v>
      </c>
      <c r="V38" s="1593"/>
      <c r="W38" s="1593"/>
      <c r="X38" s="1602">
        <f t="shared" si="6"/>
        <v>12400</v>
      </c>
      <c r="Y38" s="1603">
        <f>SUM(Y39:Y41)</f>
        <v>0</v>
      </c>
      <c r="Z38" s="1603">
        <f>SUM(Z39:Z41)</f>
        <v>12400</v>
      </c>
      <c r="AA38" s="1602">
        <f t="shared" si="11"/>
        <v>0</v>
      </c>
      <c r="AB38" s="1603">
        <f>SUM(AB39:AB41)</f>
        <v>0</v>
      </c>
      <c r="AC38" s="1603">
        <f>SUM(AC39:AC41)</f>
        <v>0</v>
      </c>
    </row>
    <row r="39" spans="1:29" ht="38.25" customHeight="1">
      <c r="A39" s="1972">
        <f>A37+1</f>
        <v>15</v>
      </c>
      <c r="B39" s="1886" t="s">
        <v>1558</v>
      </c>
      <c r="C39" s="1880"/>
      <c r="D39" s="1602">
        <f t="shared" si="0"/>
        <v>0</v>
      </c>
      <c r="E39" s="1615"/>
      <c r="F39" s="1615"/>
      <c r="G39" s="1602">
        <f t="shared" si="1"/>
        <v>12400</v>
      </c>
      <c r="H39" s="1615"/>
      <c r="I39" s="1615">
        <v>12400</v>
      </c>
      <c r="J39" s="1594">
        <f t="shared" si="2"/>
        <v>12400</v>
      </c>
      <c r="K39" s="1594">
        <f t="shared" si="3"/>
        <v>0</v>
      </c>
      <c r="L39" s="1594">
        <f t="shared" si="4"/>
        <v>12400</v>
      </c>
      <c r="M39" s="1602">
        <f t="shared" si="8"/>
        <v>12400</v>
      </c>
      <c r="N39" s="1615"/>
      <c r="O39" s="1615">
        <v>12400</v>
      </c>
      <c r="P39" s="1602">
        <f t="shared" si="9"/>
        <v>0</v>
      </c>
      <c r="Q39" s="1615"/>
      <c r="R39" s="1615"/>
      <c r="S39" s="1604">
        <f t="shared" si="5"/>
        <v>0</v>
      </c>
      <c r="T39" s="1881">
        <f t="shared" si="5"/>
        <v>0</v>
      </c>
      <c r="U39" s="1881">
        <f t="shared" si="5"/>
        <v>0</v>
      </c>
      <c r="V39" s="1593"/>
      <c r="W39" s="1593"/>
      <c r="X39" s="1602">
        <f t="shared" si="6"/>
        <v>12400</v>
      </c>
      <c r="Y39" s="1614">
        <v>0</v>
      </c>
      <c r="Z39" s="1614">
        <v>12400</v>
      </c>
      <c r="AA39" s="1602">
        <f t="shared" si="11"/>
        <v>0</v>
      </c>
      <c r="AB39" s="1614">
        <v>0</v>
      </c>
      <c r="AC39" s="1614">
        <v>0</v>
      </c>
    </row>
    <row r="40" spans="1:29" ht="54.75" customHeight="1">
      <c r="A40" s="1972">
        <v>16</v>
      </c>
      <c r="B40" s="1892" t="s">
        <v>1653</v>
      </c>
      <c r="C40" s="1880"/>
      <c r="D40" s="1602">
        <f t="shared" si="0"/>
        <v>0</v>
      </c>
      <c r="E40" s="1615">
        <v>0</v>
      </c>
      <c r="F40" s="1615"/>
      <c r="G40" s="1602">
        <f>SUM(H40:I40)</f>
        <v>0</v>
      </c>
      <c r="H40" s="1615">
        <v>0</v>
      </c>
      <c r="I40" s="1615">
        <v>0</v>
      </c>
      <c r="J40" s="1594">
        <f t="shared" si="2"/>
        <v>0</v>
      </c>
      <c r="K40" s="1594">
        <f t="shared" si="3"/>
        <v>0</v>
      </c>
      <c r="L40" s="1594">
        <f t="shared" si="4"/>
        <v>0</v>
      </c>
      <c r="M40" s="1602">
        <f t="shared" si="8"/>
        <v>0</v>
      </c>
      <c r="N40" s="1615">
        <v>0</v>
      </c>
      <c r="O40" s="1615">
        <v>0</v>
      </c>
      <c r="P40" s="1602">
        <f t="shared" si="9"/>
        <v>0</v>
      </c>
      <c r="Q40" s="1615">
        <v>0</v>
      </c>
      <c r="R40" s="1615">
        <v>0</v>
      </c>
      <c r="S40" s="1604">
        <f>IF(P40=0,0,P40/M40*100)</f>
        <v>0</v>
      </c>
      <c r="T40" s="1881">
        <f>IF(Q40=0,0,Q40/N40*100)</f>
        <v>0</v>
      </c>
      <c r="U40" s="1881">
        <f>IF(R40=0,0,R40/O40*100)</f>
        <v>0</v>
      </c>
      <c r="V40" s="1593"/>
      <c r="W40" s="1593"/>
      <c r="X40" s="1602">
        <f t="shared" si="6"/>
        <v>0</v>
      </c>
      <c r="Y40" s="1614">
        <v>0</v>
      </c>
      <c r="Z40" s="1614">
        <v>0</v>
      </c>
      <c r="AA40" s="1602">
        <f t="shared" si="11"/>
        <v>0</v>
      </c>
      <c r="AB40" s="1614">
        <v>0</v>
      </c>
      <c r="AC40" s="1614">
        <v>0</v>
      </c>
    </row>
    <row r="41" spans="1:29" ht="63.75" customHeight="1">
      <c r="A41" s="1972">
        <v>16</v>
      </c>
      <c r="B41" s="1886" t="s">
        <v>1562</v>
      </c>
      <c r="C41" s="1880"/>
      <c r="D41" s="1602">
        <f t="shared" si="0"/>
        <v>0</v>
      </c>
      <c r="E41" s="1615"/>
      <c r="F41" s="1615"/>
      <c r="G41" s="1602">
        <f t="shared" si="1"/>
        <v>6500</v>
      </c>
      <c r="H41" s="1615"/>
      <c r="I41" s="1615">
        <v>6500</v>
      </c>
      <c r="J41" s="1594">
        <f t="shared" si="2"/>
        <v>6500</v>
      </c>
      <c r="K41" s="1594">
        <f t="shared" si="3"/>
        <v>0</v>
      </c>
      <c r="L41" s="1594">
        <f t="shared" si="4"/>
        <v>6500</v>
      </c>
      <c r="M41" s="1602">
        <f t="shared" si="8"/>
        <v>6500</v>
      </c>
      <c r="N41" s="1615"/>
      <c r="O41" s="1615">
        <v>6500</v>
      </c>
      <c r="P41" s="1602">
        <f t="shared" si="9"/>
        <v>0</v>
      </c>
      <c r="Q41" s="1615"/>
      <c r="R41" s="1615"/>
      <c r="S41" s="1604">
        <f t="shared" si="5"/>
        <v>0</v>
      </c>
      <c r="T41" s="1881">
        <f t="shared" si="5"/>
        <v>0</v>
      </c>
      <c r="U41" s="1881">
        <f t="shared" si="5"/>
        <v>0</v>
      </c>
      <c r="V41" s="1593"/>
      <c r="W41" s="1593"/>
      <c r="X41" s="1602">
        <f t="shared" si="6"/>
        <v>0</v>
      </c>
      <c r="Y41" s="1614">
        <v>0</v>
      </c>
      <c r="Z41" s="1614">
        <v>0</v>
      </c>
      <c r="AA41" s="1602">
        <f t="shared" si="11"/>
        <v>0</v>
      </c>
      <c r="AB41" s="1614">
        <v>0</v>
      </c>
      <c r="AC41" s="1614">
        <v>0</v>
      </c>
    </row>
    <row r="42" spans="1:29" s="1570" customFormat="1" ht="22.5" customHeight="1">
      <c r="A42" s="1972"/>
      <c r="B42" s="1884" t="s">
        <v>729</v>
      </c>
      <c r="C42" s="1880">
        <v>24366</v>
      </c>
      <c r="D42" s="1603">
        <f t="shared" si="0"/>
        <v>4500</v>
      </c>
      <c r="E42" s="1603">
        <f>SUM(E43:E44)</f>
        <v>0</v>
      </c>
      <c r="F42" s="1603">
        <f>SUM(F43:F44)</f>
        <v>4500</v>
      </c>
      <c r="G42" s="1603">
        <f t="shared" si="1"/>
        <v>8280</v>
      </c>
      <c r="H42" s="1603">
        <f>SUM(H43:H44)</f>
        <v>0</v>
      </c>
      <c r="I42" s="1603">
        <f>SUM(I43:I44)</f>
        <v>8280</v>
      </c>
      <c r="J42" s="1594">
        <f t="shared" si="2"/>
        <v>3780</v>
      </c>
      <c r="K42" s="1594">
        <f t="shared" si="3"/>
        <v>0</v>
      </c>
      <c r="L42" s="1594">
        <f t="shared" si="4"/>
        <v>3780</v>
      </c>
      <c r="M42" s="1603">
        <f t="shared" si="8"/>
        <v>8280</v>
      </c>
      <c r="N42" s="1603">
        <f>SUM(N43:N44)</f>
        <v>0</v>
      </c>
      <c r="O42" s="1603">
        <f>SUM(O43:O44)</f>
        <v>8280</v>
      </c>
      <c r="P42" s="1603">
        <f t="shared" si="9"/>
        <v>0</v>
      </c>
      <c r="Q42" s="1603">
        <f>SUM(Q43:Q44)</f>
        <v>0</v>
      </c>
      <c r="R42" s="1603">
        <f>SUM(R43:R44)</f>
        <v>0</v>
      </c>
      <c r="S42" s="1601">
        <f t="shared" si="5"/>
        <v>0</v>
      </c>
      <c r="T42" s="1601">
        <f t="shared" si="5"/>
        <v>0</v>
      </c>
      <c r="U42" s="1601">
        <f t="shared" si="5"/>
        <v>0</v>
      </c>
      <c r="V42" s="1593" t="s">
        <v>353</v>
      </c>
      <c r="W42" s="1612" t="s">
        <v>353</v>
      </c>
      <c r="X42" s="1600">
        <f t="shared" si="6"/>
        <v>0</v>
      </c>
      <c r="Y42" s="1610">
        <f>SUM(Y43:Y43)</f>
        <v>0</v>
      </c>
      <c r="Z42" s="1610">
        <f>SUM(Z43:Z43)</f>
        <v>0</v>
      </c>
      <c r="AA42" s="1600">
        <f t="shared" si="11"/>
        <v>0</v>
      </c>
      <c r="AB42" s="1610">
        <f>SUM(AB43:AB43)</f>
        <v>0</v>
      </c>
      <c r="AC42" s="1610">
        <f>SUM(AC43:AC43)</f>
        <v>0</v>
      </c>
    </row>
    <row r="43" spans="1:29" ht="39.75" customHeight="1">
      <c r="A43" s="1972">
        <f>A41+1</f>
        <v>17</v>
      </c>
      <c r="B43" s="1883" t="s">
        <v>1405</v>
      </c>
      <c r="C43" s="1880">
        <v>24366</v>
      </c>
      <c r="D43" s="1602">
        <f t="shared" si="0"/>
        <v>4500</v>
      </c>
      <c r="E43" s="1615"/>
      <c r="F43" s="1615">
        <v>4500</v>
      </c>
      <c r="G43" s="1602">
        <f t="shared" si="1"/>
        <v>4500</v>
      </c>
      <c r="H43" s="1615"/>
      <c r="I43" s="1615">
        <v>4500</v>
      </c>
      <c r="J43" s="1594">
        <f t="shared" si="2"/>
        <v>0</v>
      </c>
      <c r="K43" s="1594">
        <f t="shared" si="3"/>
        <v>0</v>
      </c>
      <c r="L43" s="1594">
        <f t="shared" si="4"/>
        <v>0</v>
      </c>
      <c r="M43" s="1602">
        <f t="shared" si="8"/>
        <v>4500</v>
      </c>
      <c r="N43" s="1615"/>
      <c r="O43" s="1615">
        <v>4500</v>
      </c>
      <c r="P43" s="1602">
        <f t="shared" si="9"/>
        <v>0</v>
      </c>
      <c r="Q43" s="1615"/>
      <c r="R43" s="1615"/>
      <c r="S43" s="1604">
        <f t="shared" si="5"/>
        <v>0</v>
      </c>
      <c r="T43" s="1881">
        <f t="shared" si="5"/>
        <v>0</v>
      </c>
      <c r="U43" s="1881">
        <f t="shared" si="5"/>
        <v>0</v>
      </c>
      <c r="V43" s="1593" t="s">
        <v>1171</v>
      </c>
      <c r="W43" s="1593" t="s">
        <v>1111</v>
      </c>
      <c r="X43" s="1600">
        <f t="shared" si="6"/>
        <v>0</v>
      </c>
      <c r="Y43" s="1614">
        <v>0</v>
      </c>
      <c r="Z43" s="1614">
        <v>0</v>
      </c>
      <c r="AA43" s="1600">
        <f t="shared" si="11"/>
        <v>0</v>
      </c>
      <c r="AB43" s="1614">
        <v>0</v>
      </c>
      <c r="AC43" s="1614">
        <v>0</v>
      </c>
    </row>
    <row r="44" spans="1:29" s="484" customFormat="1" ht="45" customHeight="1">
      <c r="A44" s="1972">
        <f>A43+1</f>
        <v>18</v>
      </c>
      <c r="B44" s="1888" t="s">
        <v>1675</v>
      </c>
      <c r="C44" s="1866"/>
      <c r="D44" s="1602">
        <f t="shared" ref="D44:D75" si="12">SUM(E44:F44)</f>
        <v>0</v>
      </c>
      <c r="E44" s="1615"/>
      <c r="F44" s="1615"/>
      <c r="G44" s="1602">
        <f t="shared" si="1"/>
        <v>3780</v>
      </c>
      <c r="H44" s="1615"/>
      <c r="I44" s="1615">
        <v>3780</v>
      </c>
      <c r="J44" s="1594">
        <f t="shared" si="2"/>
        <v>3780</v>
      </c>
      <c r="K44" s="1594">
        <f t="shared" si="3"/>
        <v>0</v>
      </c>
      <c r="L44" s="1594">
        <f t="shared" si="4"/>
        <v>3780</v>
      </c>
      <c r="M44" s="1602">
        <f t="shared" si="8"/>
        <v>3780</v>
      </c>
      <c r="N44" s="1615"/>
      <c r="O44" s="1615">
        <v>3780</v>
      </c>
      <c r="P44" s="1602">
        <f t="shared" si="9"/>
        <v>0</v>
      </c>
      <c r="Q44" s="1615"/>
      <c r="R44" s="1615"/>
      <c r="S44" s="1893">
        <f t="shared" si="5"/>
        <v>0</v>
      </c>
      <c r="T44" s="1894">
        <f t="shared" si="5"/>
        <v>0</v>
      </c>
      <c r="U44" s="1894">
        <f t="shared" si="5"/>
        <v>0</v>
      </c>
      <c r="V44" s="1593"/>
      <c r="W44" s="1593"/>
      <c r="X44" s="1600">
        <f t="shared" si="6"/>
        <v>0</v>
      </c>
      <c r="Y44" s="1615">
        <v>0</v>
      </c>
      <c r="Z44" s="1615">
        <v>0</v>
      </c>
      <c r="AA44" s="1600">
        <f t="shared" si="11"/>
        <v>0</v>
      </c>
      <c r="AB44" s="1615">
        <v>0</v>
      </c>
      <c r="AC44" s="1615">
        <v>0</v>
      </c>
    </row>
    <row r="45" spans="1:29" s="1570" customFormat="1" ht="30" customHeight="1">
      <c r="A45" s="1972"/>
      <c r="B45" s="1884" t="s">
        <v>12</v>
      </c>
      <c r="C45" s="1880">
        <v>24366</v>
      </c>
      <c r="D45" s="1603">
        <f t="shared" si="12"/>
        <v>6835</v>
      </c>
      <c r="E45" s="1603">
        <f>SUM(E46:E47)</f>
        <v>0</v>
      </c>
      <c r="F45" s="1603">
        <f>SUM(F46:F47)</f>
        <v>6835</v>
      </c>
      <c r="G45" s="1603">
        <f t="shared" si="1"/>
        <v>11560.9</v>
      </c>
      <c r="H45" s="1603">
        <f>SUM(H46:H47)</f>
        <v>0</v>
      </c>
      <c r="I45" s="1603">
        <f>SUM(I46:I47)</f>
        <v>11560.9</v>
      </c>
      <c r="J45" s="1594">
        <f t="shared" si="2"/>
        <v>4725.8999999999996</v>
      </c>
      <c r="K45" s="1594">
        <f t="shared" si="3"/>
        <v>0</v>
      </c>
      <c r="L45" s="1594">
        <f t="shared" si="4"/>
        <v>4725.8999999999996</v>
      </c>
      <c r="M45" s="1603">
        <f t="shared" si="8"/>
        <v>11560.9</v>
      </c>
      <c r="N45" s="1603">
        <f>SUM(N46:N47)</f>
        <v>0</v>
      </c>
      <c r="O45" s="1603">
        <f>SUM(O46:O47)</f>
        <v>11560.9</v>
      </c>
      <c r="P45" s="1603">
        <f t="shared" si="9"/>
        <v>0</v>
      </c>
      <c r="Q45" s="1603">
        <f>SUM(Q46:Q47)</f>
        <v>0</v>
      </c>
      <c r="R45" s="1603">
        <f>SUM(R46:R47)</f>
        <v>0</v>
      </c>
      <c r="S45" s="1604">
        <f t="shared" si="5"/>
        <v>0</v>
      </c>
      <c r="T45" s="1604">
        <f t="shared" si="5"/>
        <v>0</v>
      </c>
      <c r="U45" s="1604">
        <f t="shared" si="5"/>
        <v>0</v>
      </c>
      <c r="V45" s="1593" t="s">
        <v>353</v>
      </c>
      <c r="W45" s="1612" t="s">
        <v>353</v>
      </c>
      <c r="X45" s="1603">
        <f t="shared" si="6"/>
        <v>0</v>
      </c>
      <c r="Y45" s="1603">
        <f>SUM(Y46:Y47)</f>
        <v>0</v>
      </c>
      <c r="Z45" s="1603">
        <f>SUM(Z46:Z47)</f>
        <v>0</v>
      </c>
      <c r="AA45" s="1603">
        <f t="shared" si="11"/>
        <v>0</v>
      </c>
      <c r="AB45" s="1603">
        <f>SUM(AB46:AB47)</f>
        <v>0</v>
      </c>
      <c r="AC45" s="1603">
        <f>SUM(AC46:AC47)</f>
        <v>0</v>
      </c>
    </row>
    <row r="46" spans="1:29" ht="43.5" customHeight="1">
      <c r="A46" s="1972">
        <f>A44+1</f>
        <v>19</v>
      </c>
      <c r="B46" s="1883" t="s">
        <v>1402</v>
      </c>
      <c r="C46" s="1880">
        <v>24366</v>
      </c>
      <c r="D46" s="1602">
        <f t="shared" si="12"/>
        <v>6835</v>
      </c>
      <c r="E46" s="1615"/>
      <c r="F46" s="1615">
        <v>6835</v>
      </c>
      <c r="G46" s="1602">
        <f t="shared" si="1"/>
        <v>6835</v>
      </c>
      <c r="H46" s="1615"/>
      <c r="I46" s="1615">
        <v>6835</v>
      </c>
      <c r="J46" s="1594">
        <f t="shared" si="2"/>
        <v>0</v>
      </c>
      <c r="K46" s="1594">
        <f t="shared" si="3"/>
        <v>0</v>
      </c>
      <c r="L46" s="1594">
        <f t="shared" si="4"/>
        <v>0</v>
      </c>
      <c r="M46" s="1602">
        <f t="shared" si="8"/>
        <v>6835</v>
      </c>
      <c r="N46" s="1615"/>
      <c r="O46" s="1615">
        <v>6835</v>
      </c>
      <c r="P46" s="1602">
        <f t="shared" si="9"/>
        <v>0</v>
      </c>
      <c r="Q46" s="1615"/>
      <c r="R46" s="1615"/>
      <c r="S46" s="1604">
        <f t="shared" si="5"/>
        <v>0</v>
      </c>
      <c r="T46" s="1881">
        <f t="shared" si="5"/>
        <v>0</v>
      </c>
      <c r="U46" s="1881">
        <f t="shared" si="5"/>
        <v>0</v>
      </c>
      <c r="V46" s="1593" t="s">
        <v>1171</v>
      </c>
      <c r="W46" s="1593" t="s">
        <v>1111</v>
      </c>
      <c r="X46" s="1600">
        <f t="shared" si="6"/>
        <v>0</v>
      </c>
      <c r="Y46" s="1614">
        <v>0</v>
      </c>
      <c r="Z46" s="1614">
        <v>0</v>
      </c>
      <c r="AA46" s="1600">
        <f t="shared" si="11"/>
        <v>0</v>
      </c>
      <c r="AB46" s="1614">
        <v>0</v>
      </c>
      <c r="AC46" s="1614">
        <v>0</v>
      </c>
    </row>
    <row r="47" spans="1:29" ht="54" customHeight="1">
      <c r="A47" s="1972">
        <f>A46+1</f>
        <v>20</v>
      </c>
      <c r="B47" s="1888" t="s">
        <v>1567</v>
      </c>
      <c r="C47" s="1866"/>
      <c r="D47" s="1602">
        <f t="shared" si="12"/>
        <v>0</v>
      </c>
      <c r="E47" s="1615">
        <v>0</v>
      </c>
      <c r="F47" s="1615"/>
      <c r="G47" s="1602">
        <f t="shared" si="1"/>
        <v>4725.8999999999996</v>
      </c>
      <c r="H47" s="1615">
        <v>0</v>
      </c>
      <c r="I47" s="1615">
        <v>4725.8999999999996</v>
      </c>
      <c r="J47" s="1594">
        <f t="shared" si="2"/>
        <v>4725.8999999999996</v>
      </c>
      <c r="K47" s="1594">
        <f t="shared" si="3"/>
        <v>0</v>
      </c>
      <c r="L47" s="1594">
        <f t="shared" si="4"/>
        <v>4725.8999999999996</v>
      </c>
      <c r="M47" s="1602">
        <f t="shared" si="8"/>
        <v>4725.8999999999996</v>
      </c>
      <c r="N47" s="1615">
        <v>0</v>
      </c>
      <c r="O47" s="1615">
        <v>4725.8999999999996</v>
      </c>
      <c r="P47" s="1602">
        <f t="shared" si="9"/>
        <v>0</v>
      </c>
      <c r="Q47" s="1615">
        <v>0</v>
      </c>
      <c r="R47" s="1615"/>
      <c r="S47" s="1893">
        <f t="shared" si="5"/>
        <v>0</v>
      </c>
      <c r="T47" s="1894">
        <f t="shared" si="5"/>
        <v>0</v>
      </c>
      <c r="U47" s="1894">
        <f t="shared" si="5"/>
        <v>0</v>
      </c>
      <c r="V47" s="1593"/>
      <c r="W47" s="1593"/>
      <c r="X47" s="1600">
        <f t="shared" si="6"/>
        <v>0</v>
      </c>
      <c r="Y47" s="1614">
        <v>0</v>
      </c>
      <c r="Z47" s="1614">
        <v>0</v>
      </c>
      <c r="AA47" s="1600">
        <f t="shared" si="11"/>
        <v>0</v>
      </c>
      <c r="AB47" s="1614">
        <v>0</v>
      </c>
      <c r="AC47" s="1614">
        <v>0</v>
      </c>
    </row>
    <row r="48" spans="1:29" s="1570" customFormat="1" ht="25.5" customHeight="1">
      <c r="A48" s="1972"/>
      <c r="B48" s="1884" t="s">
        <v>90</v>
      </c>
      <c r="C48" s="1880">
        <v>24366</v>
      </c>
      <c r="D48" s="1602">
        <f t="shared" si="12"/>
        <v>1300</v>
      </c>
      <c r="E48" s="1603">
        <f>SUM(E49)</f>
        <v>0</v>
      </c>
      <c r="F48" s="1603">
        <f>SUM(F49)</f>
        <v>1300</v>
      </c>
      <c r="G48" s="1602">
        <f t="shared" si="1"/>
        <v>1300</v>
      </c>
      <c r="H48" s="1603">
        <f>SUM(H49)</f>
        <v>0</v>
      </c>
      <c r="I48" s="1603">
        <f>SUM(I49)</f>
        <v>1300</v>
      </c>
      <c r="J48" s="1594">
        <f t="shared" si="2"/>
        <v>0</v>
      </c>
      <c r="K48" s="1594">
        <f t="shared" si="3"/>
        <v>0</v>
      </c>
      <c r="L48" s="1594">
        <f t="shared" si="4"/>
        <v>0</v>
      </c>
      <c r="M48" s="1602">
        <f t="shared" si="8"/>
        <v>1300</v>
      </c>
      <c r="N48" s="1603">
        <f>SUM(N49)</f>
        <v>0</v>
      </c>
      <c r="O48" s="1603">
        <f>SUM(O49)</f>
        <v>1300</v>
      </c>
      <c r="P48" s="1602">
        <f t="shared" si="9"/>
        <v>0</v>
      </c>
      <c r="Q48" s="1603">
        <f>SUM(Q49)</f>
        <v>0</v>
      </c>
      <c r="R48" s="1603">
        <f>SUM(R49)</f>
        <v>0</v>
      </c>
      <c r="S48" s="1604">
        <f t="shared" si="5"/>
        <v>0</v>
      </c>
      <c r="T48" s="1604">
        <f t="shared" si="5"/>
        <v>0</v>
      </c>
      <c r="U48" s="1604">
        <f t="shared" si="5"/>
        <v>0</v>
      </c>
      <c r="V48" s="1593" t="s">
        <v>353</v>
      </c>
      <c r="W48" s="1612" t="s">
        <v>353</v>
      </c>
      <c r="X48" s="1600">
        <f t="shared" si="6"/>
        <v>0</v>
      </c>
      <c r="Y48" s="1610">
        <f>SUM(Y49:Y49)</f>
        <v>0</v>
      </c>
      <c r="Z48" s="1610">
        <f>SUM(Z49:Z49)</f>
        <v>0</v>
      </c>
      <c r="AA48" s="1600">
        <f t="shared" si="11"/>
        <v>0</v>
      </c>
      <c r="AB48" s="1610">
        <f>SUM(AB49:AB49)</f>
        <v>0</v>
      </c>
      <c r="AC48" s="1610">
        <f>SUM(AC49:AC49)</f>
        <v>0</v>
      </c>
    </row>
    <row r="49" spans="1:29" ht="47.25" customHeight="1">
      <c r="A49" s="1972">
        <f>A47+1</f>
        <v>21</v>
      </c>
      <c r="B49" s="1879" t="s">
        <v>1404</v>
      </c>
      <c r="C49" s="1880">
        <v>24366</v>
      </c>
      <c r="D49" s="1602">
        <f t="shared" si="12"/>
        <v>1300</v>
      </c>
      <c r="E49" s="1615"/>
      <c r="F49" s="1615">
        <v>1300</v>
      </c>
      <c r="G49" s="1602">
        <f t="shared" si="1"/>
        <v>1300</v>
      </c>
      <c r="H49" s="1615"/>
      <c r="I49" s="1615">
        <v>1300</v>
      </c>
      <c r="J49" s="1594">
        <f t="shared" si="2"/>
        <v>0</v>
      </c>
      <c r="K49" s="1594">
        <f t="shared" si="3"/>
        <v>0</v>
      </c>
      <c r="L49" s="1594">
        <f t="shared" si="4"/>
        <v>0</v>
      </c>
      <c r="M49" s="1602">
        <f t="shared" si="8"/>
        <v>1300</v>
      </c>
      <c r="N49" s="1615"/>
      <c r="O49" s="1615">
        <v>1300</v>
      </c>
      <c r="P49" s="1602">
        <f t="shared" si="9"/>
        <v>0</v>
      </c>
      <c r="Q49" s="1615"/>
      <c r="R49" s="1615"/>
      <c r="S49" s="1604">
        <f t="shared" si="5"/>
        <v>0</v>
      </c>
      <c r="T49" s="1881">
        <f t="shared" si="5"/>
        <v>0</v>
      </c>
      <c r="U49" s="1881">
        <f t="shared" si="5"/>
        <v>0</v>
      </c>
      <c r="V49" s="1593" t="s">
        <v>1171</v>
      </c>
      <c r="W49" s="1593" t="s">
        <v>1111</v>
      </c>
      <c r="X49" s="1600">
        <f t="shared" si="6"/>
        <v>0</v>
      </c>
      <c r="Y49" s="1614">
        <v>0</v>
      </c>
      <c r="Z49" s="1614">
        <v>0</v>
      </c>
      <c r="AA49" s="1600">
        <f t="shared" si="11"/>
        <v>0</v>
      </c>
      <c r="AB49" s="1614">
        <v>0</v>
      </c>
      <c r="AC49" s="1614">
        <v>0</v>
      </c>
    </row>
    <row r="50" spans="1:29" s="1607" customFormat="1" ht="18.75" customHeight="1">
      <c r="A50" s="1972"/>
      <c r="B50" s="1971" t="s">
        <v>1401</v>
      </c>
      <c r="C50" s="1882">
        <v>24366</v>
      </c>
      <c r="D50" s="1603">
        <f t="shared" si="12"/>
        <v>10192</v>
      </c>
      <c r="E50" s="1603">
        <f>SUM(E51:E52)</f>
        <v>0</v>
      </c>
      <c r="F50" s="1603">
        <f>SUM(F51:F52)</f>
        <v>10192</v>
      </c>
      <c r="G50" s="1603">
        <f t="shared" si="1"/>
        <v>11037</v>
      </c>
      <c r="H50" s="1603">
        <f>SUM(H51:H52)</f>
        <v>0</v>
      </c>
      <c r="I50" s="1603">
        <f>SUM(I51:I52)</f>
        <v>11037</v>
      </c>
      <c r="J50" s="1594">
        <f t="shared" si="2"/>
        <v>845</v>
      </c>
      <c r="K50" s="1594">
        <f t="shared" si="3"/>
        <v>0</v>
      </c>
      <c r="L50" s="1594">
        <f t="shared" si="4"/>
        <v>845</v>
      </c>
      <c r="M50" s="1603">
        <f t="shared" si="8"/>
        <v>11037</v>
      </c>
      <c r="N50" s="1603">
        <f>SUM(N51:N52)</f>
        <v>0</v>
      </c>
      <c r="O50" s="1603">
        <f>SUM(O51:O52)</f>
        <v>11037</v>
      </c>
      <c r="P50" s="1603">
        <f t="shared" si="9"/>
        <v>0</v>
      </c>
      <c r="Q50" s="1603">
        <f>SUM(Q51:Q52)</f>
        <v>0</v>
      </c>
      <c r="R50" s="1603">
        <f>SUM(R51:R52)</f>
        <v>0</v>
      </c>
      <c r="S50" s="1601">
        <f t="shared" si="5"/>
        <v>0</v>
      </c>
      <c r="T50" s="1601">
        <f t="shared" si="5"/>
        <v>0</v>
      </c>
      <c r="U50" s="1601">
        <f t="shared" si="5"/>
        <v>0</v>
      </c>
      <c r="V50" s="1593" t="s">
        <v>353</v>
      </c>
      <c r="W50" s="1593" t="s">
        <v>353</v>
      </c>
      <c r="X50" s="1603">
        <f t="shared" si="6"/>
        <v>0</v>
      </c>
      <c r="Y50" s="1603">
        <f>SUM(Y51:Y52)</f>
        <v>0</v>
      </c>
      <c r="Z50" s="1603">
        <f>SUM(Z51:Z52)</f>
        <v>0</v>
      </c>
      <c r="AA50" s="1603">
        <f t="shared" si="11"/>
        <v>0</v>
      </c>
      <c r="AB50" s="1603">
        <f>SUM(AB51:AB52)</f>
        <v>0</v>
      </c>
      <c r="AC50" s="1603">
        <f>SUM(AC51:AC52)</f>
        <v>0</v>
      </c>
    </row>
    <row r="51" spans="1:29" s="1607" customFormat="1" ht="23.25" customHeight="1">
      <c r="A51" s="1972">
        <f>A49+1</f>
        <v>22</v>
      </c>
      <c r="B51" s="521" t="s">
        <v>1518</v>
      </c>
      <c r="C51" s="1882">
        <v>24366</v>
      </c>
      <c r="D51" s="1602">
        <f t="shared" si="12"/>
        <v>10192</v>
      </c>
      <c r="E51" s="1616"/>
      <c r="F51" s="1616">
        <v>10192</v>
      </c>
      <c r="G51" s="1602">
        <f t="shared" si="1"/>
        <v>10192</v>
      </c>
      <c r="H51" s="1616"/>
      <c r="I51" s="1616">
        <v>10192</v>
      </c>
      <c r="J51" s="1594">
        <f t="shared" si="2"/>
        <v>0</v>
      </c>
      <c r="K51" s="1594">
        <f t="shared" si="3"/>
        <v>0</v>
      </c>
      <c r="L51" s="1594">
        <f t="shared" si="4"/>
        <v>0</v>
      </c>
      <c r="M51" s="1602">
        <f t="shared" si="8"/>
        <v>10192</v>
      </c>
      <c r="N51" s="1616"/>
      <c r="O51" s="1616">
        <v>10192</v>
      </c>
      <c r="P51" s="1602">
        <f t="shared" si="9"/>
        <v>0</v>
      </c>
      <c r="Q51" s="1616"/>
      <c r="R51" s="1616"/>
      <c r="S51" s="1604">
        <f t="shared" si="5"/>
        <v>0</v>
      </c>
      <c r="T51" s="1881">
        <f t="shared" si="5"/>
        <v>0</v>
      </c>
      <c r="U51" s="1881">
        <f t="shared" si="5"/>
        <v>0</v>
      </c>
      <c r="V51" s="1593" t="s">
        <v>1171</v>
      </c>
      <c r="W51" s="1593" t="s">
        <v>1116</v>
      </c>
      <c r="X51" s="1600">
        <f t="shared" si="6"/>
        <v>0</v>
      </c>
      <c r="Y51" s="1608">
        <v>0</v>
      </c>
      <c r="Z51" s="1608">
        <v>0</v>
      </c>
      <c r="AA51" s="1600">
        <f t="shared" si="11"/>
        <v>0</v>
      </c>
      <c r="AB51" s="1608">
        <v>0</v>
      </c>
      <c r="AC51" s="1608">
        <v>0</v>
      </c>
    </row>
    <row r="52" spans="1:29" ht="78" customHeight="1">
      <c r="A52" s="1972">
        <f>A51+1</f>
        <v>23</v>
      </c>
      <c r="B52" s="1879" t="s">
        <v>434</v>
      </c>
      <c r="C52" s="1880"/>
      <c r="D52" s="1602">
        <f t="shared" si="12"/>
        <v>0</v>
      </c>
      <c r="E52" s="1616">
        <v>0</v>
      </c>
      <c r="F52" s="1616"/>
      <c r="G52" s="1602">
        <f t="shared" si="1"/>
        <v>845</v>
      </c>
      <c r="H52" s="1616">
        <v>0</v>
      </c>
      <c r="I52" s="1616">
        <v>845</v>
      </c>
      <c r="J52" s="1594">
        <f t="shared" si="2"/>
        <v>845</v>
      </c>
      <c r="K52" s="1594">
        <f t="shared" si="3"/>
        <v>0</v>
      </c>
      <c r="L52" s="1594">
        <f t="shared" si="4"/>
        <v>845</v>
      </c>
      <c r="M52" s="1602">
        <f t="shared" si="8"/>
        <v>845</v>
      </c>
      <c r="N52" s="1616">
        <v>0</v>
      </c>
      <c r="O52" s="1616">
        <v>845</v>
      </c>
      <c r="P52" s="1602">
        <f t="shared" si="9"/>
        <v>0</v>
      </c>
      <c r="Q52" s="1616">
        <v>0</v>
      </c>
      <c r="R52" s="1616"/>
      <c r="S52" s="1604">
        <f t="shared" si="5"/>
        <v>0</v>
      </c>
      <c r="T52" s="1881">
        <f t="shared" si="5"/>
        <v>0</v>
      </c>
      <c r="U52" s="1881">
        <f t="shared" si="5"/>
        <v>0</v>
      </c>
      <c r="V52" s="1599"/>
      <c r="W52" s="1599"/>
      <c r="X52" s="1600">
        <f t="shared" si="6"/>
        <v>0</v>
      </c>
      <c r="Y52" s="1619">
        <v>0</v>
      </c>
      <c r="Z52" s="1619">
        <v>0</v>
      </c>
      <c r="AA52" s="1600">
        <f t="shared" si="11"/>
        <v>0</v>
      </c>
      <c r="AB52" s="1619">
        <v>0</v>
      </c>
      <c r="AC52" s="1619">
        <v>0</v>
      </c>
    </row>
    <row r="53" spans="1:29" s="1607" customFormat="1" ht="23.25" customHeight="1">
      <c r="A53" s="1972"/>
      <c r="B53" s="1971" t="s">
        <v>1554</v>
      </c>
      <c r="C53" s="1882"/>
      <c r="D53" s="1602">
        <f t="shared" si="12"/>
        <v>0</v>
      </c>
      <c r="E53" s="1603">
        <f>SUM(E54:E55)</f>
        <v>0</v>
      </c>
      <c r="F53" s="1603">
        <f>SUM(F54:F55)</f>
        <v>0</v>
      </c>
      <c r="G53" s="1602">
        <f t="shared" si="1"/>
        <v>7150.8</v>
      </c>
      <c r="H53" s="1603">
        <f>SUM(H54:H55)</f>
        <v>0</v>
      </c>
      <c r="I53" s="1603">
        <f>SUM(I54:I55)</f>
        <v>7150.8</v>
      </c>
      <c r="J53" s="1594">
        <f t="shared" si="2"/>
        <v>7150.8</v>
      </c>
      <c r="K53" s="1594">
        <f t="shared" si="3"/>
        <v>0</v>
      </c>
      <c r="L53" s="1594">
        <f t="shared" si="4"/>
        <v>7150.8</v>
      </c>
      <c r="M53" s="1602">
        <f t="shared" si="8"/>
        <v>7150.8</v>
      </c>
      <c r="N53" s="1603">
        <f>SUM(N54:N55)</f>
        <v>0</v>
      </c>
      <c r="O53" s="1603">
        <f>SUM(O54:O55)</f>
        <v>7150.8</v>
      </c>
      <c r="P53" s="1602">
        <f t="shared" si="9"/>
        <v>0</v>
      </c>
      <c r="Q53" s="1603">
        <f>SUM(Q54:Q55)</f>
        <v>0</v>
      </c>
      <c r="R53" s="1603">
        <f>SUM(R54:R55)</f>
        <v>0</v>
      </c>
      <c r="S53" s="1601">
        <f t="shared" si="5"/>
        <v>0</v>
      </c>
      <c r="T53" s="1601">
        <f t="shared" si="5"/>
        <v>0</v>
      </c>
      <c r="U53" s="1601">
        <f t="shared" si="5"/>
        <v>0</v>
      </c>
      <c r="V53" s="1593"/>
      <c r="W53" s="1593"/>
      <c r="X53" s="1602">
        <f t="shared" si="6"/>
        <v>0</v>
      </c>
      <c r="Y53" s="1603">
        <f>SUM(Y54:Y55)</f>
        <v>0</v>
      </c>
      <c r="Z53" s="1603">
        <f>SUM(Z54:Z55)</f>
        <v>0</v>
      </c>
      <c r="AA53" s="1602">
        <f t="shared" si="11"/>
        <v>0</v>
      </c>
      <c r="AB53" s="1603">
        <f>SUM(AB54:AB55)</f>
        <v>0</v>
      </c>
      <c r="AC53" s="1603">
        <f>SUM(AC54:AC55)</f>
        <v>0</v>
      </c>
    </row>
    <row r="54" spans="1:29" s="1607" customFormat="1" ht="84.75" customHeight="1">
      <c r="A54" s="1972">
        <f>A52+1</f>
        <v>24</v>
      </c>
      <c r="B54" s="521" t="s">
        <v>1555</v>
      </c>
      <c r="C54" s="1882"/>
      <c r="D54" s="1602">
        <f t="shared" si="12"/>
        <v>0</v>
      </c>
      <c r="E54" s="1616"/>
      <c r="F54" s="1616"/>
      <c r="G54" s="1602">
        <f t="shared" si="1"/>
        <v>4000</v>
      </c>
      <c r="H54" s="1616"/>
      <c r="I54" s="1616">
        <v>4000</v>
      </c>
      <c r="J54" s="1594">
        <f t="shared" si="2"/>
        <v>4000</v>
      </c>
      <c r="K54" s="1594">
        <f t="shared" si="3"/>
        <v>0</v>
      </c>
      <c r="L54" s="1594">
        <f t="shared" si="4"/>
        <v>4000</v>
      </c>
      <c r="M54" s="1602">
        <f t="shared" si="8"/>
        <v>4000</v>
      </c>
      <c r="N54" s="1616"/>
      <c r="O54" s="1616">
        <v>4000</v>
      </c>
      <c r="P54" s="1602">
        <f t="shared" si="9"/>
        <v>0</v>
      </c>
      <c r="Q54" s="1616"/>
      <c r="R54" s="1616"/>
      <c r="S54" s="1604">
        <f t="shared" si="5"/>
        <v>0</v>
      </c>
      <c r="T54" s="1881">
        <f t="shared" si="5"/>
        <v>0</v>
      </c>
      <c r="U54" s="1881">
        <f t="shared" si="5"/>
        <v>0</v>
      </c>
      <c r="V54" s="1593"/>
      <c r="W54" s="1593"/>
      <c r="X54" s="1600">
        <f>Y54+Z54</f>
        <v>0</v>
      </c>
      <c r="Y54" s="1608">
        <v>0</v>
      </c>
      <c r="Z54" s="1608">
        <v>0</v>
      </c>
      <c r="AA54" s="1600">
        <f>AB54+AC54</f>
        <v>0</v>
      </c>
      <c r="AB54" s="1608">
        <v>0</v>
      </c>
      <c r="AC54" s="1608">
        <v>0</v>
      </c>
    </row>
    <row r="55" spans="1:29" s="1607" customFormat="1" ht="41.25" customHeight="1">
      <c r="A55" s="1972">
        <f>A54+1</f>
        <v>25</v>
      </c>
      <c r="B55" s="521" t="s">
        <v>1556</v>
      </c>
      <c r="C55" s="1882"/>
      <c r="D55" s="1602">
        <f t="shared" si="12"/>
        <v>0</v>
      </c>
      <c r="E55" s="1616"/>
      <c r="F55" s="1616"/>
      <c r="G55" s="1602">
        <f t="shared" si="1"/>
        <v>3150.8</v>
      </c>
      <c r="H55" s="1616"/>
      <c r="I55" s="1616">
        <v>3150.8</v>
      </c>
      <c r="J55" s="1594">
        <f t="shared" si="2"/>
        <v>3150.8</v>
      </c>
      <c r="K55" s="1594">
        <f t="shared" si="3"/>
        <v>0</v>
      </c>
      <c r="L55" s="1594">
        <f t="shared" si="4"/>
        <v>3150.8</v>
      </c>
      <c r="M55" s="1602">
        <f t="shared" si="8"/>
        <v>3150.8</v>
      </c>
      <c r="N55" s="1616"/>
      <c r="O55" s="1616">
        <v>3150.8</v>
      </c>
      <c r="P55" s="1602">
        <f t="shared" si="9"/>
        <v>0</v>
      </c>
      <c r="Q55" s="1616"/>
      <c r="R55" s="1616"/>
      <c r="S55" s="1604">
        <f t="shared" si="5"/>
        <v>0</v>
      </c>
      <c r="T55" s="1881">
        <f t="shared" si="5"/>
        <v>0</v>
      </c>
      <c r="U55" s="1881">
        <f t="shared" si="5"/>
        <v>0</v>
      </c>
      <c r="V55" s="1593"/>
      <c r="W55" s="1593"/>
      <c r="X55" s="1600">
        <f>Y55+Z55</f>
        <v>0</v>
      </c>
      <c r="Y55" s="1608">
        <v>0</v>
      </c>
      <c r="Z55" s="1608">
        <v>0</v>
      </c>
      <c r="AA55" s="1600">
        <f>AB55+AC55</f>
        <v>0</v>
      </c>
      <c r="AB55" s="1608">
        <v>0</v>
      </c>
      <c r="AC55" s="1608">
        <v>0</v>
      </c>
    </row>
    <row r="56" spans="1:29" ht="27" customHeight="1">
      <c r="A56" s="1972"/>
      <c r="B56" s="1971" t="s">
        <v>457</v>
      </c>
      <c r="C56" s="1973"/>
      <c r="D56" s="1602">
        <f t="shared" si="12"/>
        <v>23800</v>
      </c>
      <c r="E56" s="1603">
        <f>SUM(E57:E61)</f>
        <v>0</v>
      </c>
      <c r="F56" s="1603">
        <f>SUM(F57:F61)</f>
        <v>23800</v>
      </c>
      <c r="G56" s="1602">
        <f t="shared" si="1"/>
        <v>23800</v>
      </c>
      <c r="H56" s="1603">
        <f>SUM(H57:H61)</f>
        <v>0</v>
      </c>
      <c r="I56" s="1603">
        <f>SUM(I57:I61)</f>
        <v>23800</v>
      </c>
      <c r="J56" s="1594">
        <f t="shared" si="2"/>
        <v>0</v>
      </c>
      <c r="K56" s="1594">
        <f t="shared" si="3"/>
        <v>0</v>
      </c>
      <c r="L56" s="1594">
        <f t="shared" si="4"/>
        <v>0</v>
      </c>
      <c r="M56" s="1602">
        <f t="shared" si="8"/>
        <v>23800</v>
      </c>
      <c r="N56" s="1603">
        <f>SUM(N57:N61)</f>
        <v>0</v>
      </c>
      <c r="O56" s="1603">
        <f>SUM(O57:O61)</f>
        <v>23800</v>
      </c>
      <c r="P56" s="1602">
        <f t="shared" si="9"/>
        <v>0</v>
      </c>
      <c r="Q56" s="1603">
        <f>SUM(Q57:Q61)</f>
        <v>0</v>
      </c>
      <c r="R56" s="1603">
        <f>SUM(R57:R61)</f>
        <v>0</v>
      </c>
      <c r="S56" s="1604">
        <f t="shared" si="5"/>
        <v>0</v>
      </c>
      <c r="T56" s="1881">
        <f t="shared" si="5"/>
        <v>0</v>
      </c>
      <c r="U56" s="1881">
        <f t="shared" si="5"/>
        <v>0</v>
      </c>
      <c r="V56" s="1593" t="s">
        <v>353</v>
      </c>
      <c r="W56" s="1593" t="s">
        <v>353</v>
      </c>
      <c r="X56" s="1602">
        <f t="shared" ref="X56:X66" si="13">SUM(Y56:Z56)</f>
        <v>10700</v>
      </c>
      <c r="Y56" s="1603">
        <f>SUM(Y57:Y61)</f>
        <v>0</v>
      </c>
      <c r="Z56" s="1603">
        <f>SUM(Z57:Z61)</f>
        <v>10700</v>
      </c>
      <c r="AA56" s="1602">
        <f t="shared" ref="AA56:AA66" si="14">SUM(AB56:AC56)</f>
        <v>0</v>
      </c>
      <c r="AB56" s="1603">
        <f>SUM(AB57:AB61)</f>
        <v>0</v>
      </c>
      <c r="AC56" s="1603">
        <f>SUM(AC57:AC61)</f>
        <v>0</v>
      </c>
    </row>
    <row r="57" spans="1:29" ht="63" customHeight="1">
      <c r="A57" s="1972">
        <f>A55+1</f>
        <v>26</v>
      </c>
      <c r="B57" s="1879" t="s">
        <v>1419</v>
      </c>
      <c r="C57" s="1880">
        <v>24347</v>
      </c>
      <c r="D57" s="1602">
        <f t="shared" si="12"/>
        <v>7000</v>
      </c>
      <c r="E57" s="1616"/>
      <c r="F57" s="1616">
        <v>7000</v>
      </c>
      <c r="G57" s="1602">
        <f t="shared" si="1"/>
        <v>7000</v>
      </c>
      <c r="H57" s="1616"/>
      <c r="I57" s="1616">
        <v>7000</v>
      </c>
      <c r="J57" s="1594">
        <f t="shared" si="2"/>
        <v>0</v>
      </c>
      <c r="K57" s="1594">
        <f t="shared" si="3"/>
        <v>0</v>
      </c>
      <c r="L57" s="1594">
        <f t="shared" si="4"/>
        <v>0</v>
      </c>
      <c r="M57" s="1602">
        <f t="shared" si="8"/>
        <v>7000</v>
      </c>
      <c r="N57" s="1616"/>
      <c r="O57" s="1616">
        <v>7000</v>
      </c>
      <c r="P57" s="1602">
        <f t="shared" si="9"/>
        <v>0</v>
      </c>
      <c r="Q57" s="1616"/>
      <c r="R57" s="1616"/>
      <c r="S57" s="1604">
        <f t="shared" si="5"/>
        <v>0</v>
      </c>
      <c r="T57" s="1881">
        <f t="shared" si="5"/>
        <v>0</v>
      </c>
      <c r="U57" s="1881">
        <f t="shared" si="5"/>
        <v>0</v>
      </c>
      <c r="V57" s="1593" t="s">
        <v>1171</v>
      </c>
      <c r="W57" s="1593" t="s">
        <v>1137</v>
      </c>
      <c r="X57" s="1600">
        <f t="shared" si="13"/>
        <v>0</v>
      </c>
      <c r="Y57" s="1608">
        <v>0</v>
      </c>
      <c r="Z57" s="1608">
        <v>0</v>
      </c>
      <c r="AA57" s="1600">
        <f t="shared" si="14"/>
        <v>0</v>
      </c>
      <c r="AB57" s="1608">
        <v>0</v>
      </c>
      <c r="AC57" s="1608">
        <v>0</v>
      </c>
    </row>
    <row r="58" spans="1:29" ht="78" customHeight="1">
      <c r="A58" s="1972">
        <f>A57+1</f>
        <v>27</v>
      </c>
      <c r="B58" s="1879" t="s">
        <v>1417</v>
      </c>
      <c r="C58" s="1880">
        <v>24347</v>
      </c>
      <c r="D58" s="1602">
        <f t="shared" si="12"/>
        <v>7000</v>
      </c>
      <c r="E58" s="1616"/>
      <c r="F58" s="1616">
        <v>7000</v>
      </c>
      <c r="G58" s="1602">
        <f t="shared" si="1"/>
        <v>7000</v>
      </c>
      <c r="H58" s="1616"/>
      <c r="I58" s="1616">
        <v>7000</v>
      </c>
      <c r="J58" s="1594">
        <f t="shared" si="2"/>
        <v>0</v>
      </c>
      <c r="K58" s="1594">
        <f t="shared" si="3"/>
        <v>0</v>
      </c>
      <c r="L58" s="1594">
        <f t="shared" si="4"/>
        <v>0</v>
      </c>
      <c r="M58" s="1602">
        <f t="shared" si="8"/>
        <v>7000</v>
      </c>
      <c r="N58" s="1616"/>
      <c r="O58" s="1616">
        <v>7000</v>
      </c>
      <c r="P58" s="1602">
        <f t="shared" si="9"/>
        <v>0</v>
      </c>
      <c r="Q58" s="1616"/>
      <c r="R58" s="1616"/>
      <c r="S58" s="1604">
        <f t="shared" si="5"/>
        <v>0</v>
      </c>
      <c r="T58" s="1881">
        <f t="shared" si="5"/>
        <v>0</v>
      </c>
      <c r="U58" s="1881">
        <f t="shared" si="5"/>
        <v>0</v>
      </c>
      <c r="V58" s="1593" t="s">
        <v>1171</v>
      </c>
      <c r="W58" s="1593" t="s">
        <v>1137</v>
      </c>
      <c r="X58" s="1600">
        <f t="shared" si="13"/>
        <v>0</v>
      </c>
      <c r="Y58" s="1608">
        <v>0</v>
      </c>
      <c r="Z58" s="1608">
        <v>0</v>
      </c>
      <c r="AA58" s="1600">
        <f t="shared" si="14"/>
        <v>0</v>
      </c>
      <c r="AB58" s="1608">
        <v>0</v>
      </c>
      <c r="AC58" s="1608">
        <v>0</v>
      </c>
    </row>
    <row r="59" spans="1:29" ht="82.5" customHeight="1">
      <c r="A59" s="1972">
        <f>A58+1</f>
        <v>28</v>
      </c>
      <c r="B59" s="1879" t="s">
        <v>1418</v>
      </c>
      <c r="C59" s="1880">
        <v>24347</v>
      </c>
      <c r="D59" s="1602">
        <f t="shared" si="12"/>
        <v>2100</v>
      </c>
      <c r="E59" s="1616"/>
      <c r="F59" s="1616">
        <v>2100</v>
      </c>
      <c r="G59" s="1602">
        <f t="shared" si="1"/>
        <v>2100</v>
      </c>
      <c r="H59" s="1616"/>
      <c r="I59" s="1616">
        <v>2100</v>
      </c>
      <c r="J59" s="1594">
        <f t="shared" si="2"/>
        <v>0</v>
      </c>
      <c r="K59" s="1594">
        <f t="shared" si="3"/>
        <v>0</v>
      </c>
      <c r="L59" s="1594">
        <f t="shared" si="4"/>
        <v>0</v>
      </c>
      <c r="M59" s="1602">
        <f t="shared" si="8"/>
        <v>2100</v>
      </c>
      <c r="N59" s="1616"/>
      <c r="O59" s="1616">
        <v>2100</v>
      </c>
      <c r="P59" s="1602">
        <f t="shared" si="9"/>
        <v>0</v>
      </c>
      <c r="Q59" s="1616"/>
      <c r="R59" s="1616"/>
      <c r="S59" s="1604">
        <f t="shared" si="5"/>
        <v>0</v>
      </c>
      <c r="T59" s="1881">
        <f t="shared" si="5"/>
        <v>0</v>
      </c>
      <c r="U59" s="1881">
        <f t="shared" si="5"/>
        <v>0</v>
      </c>
      <c r="V59" s="1593" t="s">
        <v>1171</v>
      </c>
      <c r="W59" s="1593" t="s">
        <v>1137</v>
      </c>
      <c r="X59" s="1600">
        <f t="shared" si="13"/>
        <v>0</v>
      </c>
      <c r="Y59" s="1608">
        <v>0</v>
      </c>
      <c r="Z59" s="1608">
        <v>0</v>
      </c>
      <c r="AA59" s="1600">
        <f t="shared" si="14"/>
        <v>0</v>
      </c>
      <c r="AB59" s="1608">
        <v>0</v>
      </c>
      <c r="AC59" s="1608">
        <v>0</v>
      </c>
    </row>
    <row r="60" spans="1:29" ht="97.5" customHeight="1">
      <c r="A60" s="1972">
        <f>A59+1</f>
        <v>29</v>
      </c>
      <c r="B60" s="1895" t="s">
        <v>1415</v>
      </c>
      <c r="C60" s="1882">
        <v>24355</v>
      </c>
      <c r="D60" s="1602">
        <f t="shared" si="12"/>
        <v>4480</v>
      </c>
      <c r="E60" s="1616"/>
      <c r="F60" s="1616">
        <v>4480</v>
      </c>
      <c r="G60" s="1602">
        <f t="shared" si="1"/>
        <v>4480</v>
      </c>
      <c r="H60" s="1616"/>
      <c r="I60" s="1616">
        <v>4480</v>
      </c>
      <c r="J60" s="1594">
        <f t="shared" si="2"/>
        <v>0</v>
      </c>
      <c r="K60" s="1594">
        <f t="shared" si="3"/>
        <v>0</v>
      </c>
      <c r="L60" s="1594">
        <f t="shared" si="4"/>
        <v>0</v>
      </c>
      <c r="M60" s="1602">
        <f t="shared" si="8"/>
        <v>4480</v>
      </c>
      <c r="N60" s="1616"/>
      <c r="O60" s="1616">
        <v>4480</v>
      </c>
      <c r="P60" s="1602">
        <f t="shared" si="9"/>
        <v>0</v>
      </c>
      <c r="Q60" s="1616"/>
      <c r="R60" s="1616"/>
      <c r="S60" s="1604">
        <f t="shared" si="5"/>
        <v>0</v>
      </c>
      <c r="T60" s="1881">
        <f t="shared" si="5"/>
        <v>0</v>
      </c>
      <c r="U60" s="1881">
        <f t="shared" si="5"/>
        <v>0</v>
      </c>
      <c r="V60" s="1593" t="s">
        <v>1171</v>
      </c>
      <c r="W60" s="2543" t="s">
        <v>1138</v>
      </c>
      <c r="X60" s="1600">
        <f t="shared" si="13"/>
        <v>4720</v>
      </c>
      <c r="Y60" s="1608">
        <v>0</v>
      </c>
      <c r="Z60" s="1608">
        <v>4720</v>
      </c>
      <c r="AA60" s="1600">
        <f t="shared" si="14"/>
        <v>0</v>
      </c>
      <c r="AB60" s="1608">
        <v>0</v>
      </c>
      <c r="AC60" s="1608">
        <v>0</v>
      </c>
    </row>
    <row r="61" spans="1:29" ht="98.25" customHeight="1">
      <c r="A61" s="1972">
        <f>A60+1</f>
        <v>30</v>
      </c>
      <c r="B61" s="1895" t="s">
        <v>1416</v>
      </c>
      <c r="C61" s="1882">
        <v>24355</v>
      </c>
      <c r="D61" s="1602">
        <f t="shared" si="12"/>
        <v>3220</v>
      </c>
      <c r="E61" s="1616"/>
      <c r="F61" s="1616">
        <v>3220</v>
      </c>
      <c r="G61" s="1602">
        <f t="shared" si="1"/>
        <v>3220</v>
      </c>
      <c r="H61" s="1616"/>
      <c r="I61" s="1616">
        <v>3220</v>
      </c>
      <c r="J61" s="1594">
        <f t="shared" si="2"/>
        <v>0</v>
      </c>
      <c r="K61" s="1594">
        <f t="shared" si="3"/>
        <v>0</v>
      </c>
      <c r="L61" s="1594">
        <f t="shared" si="4"/>
        <v>0</v>
      </c>
      <c r="M61" s="1602">
        <f t="shared" si="8"/>
        <v>3220</v>
      </c>
      <c r="N61" s="1616"/>
      <c r="O61" s="1616">
        <v>3220</v>
      </c>
      <c r="P61" s="1602">
        <f t="shared" si="9"/>
        <v>0</v>
      </c>
      <c r="Q61" s="1616"/>
      <c r="R61" s="1616"/>
      <c r="S61" s="1604">
        <f t="shared" si="5"/>
        <v>0</v>
      </c>
      <c r="T61" s="1881">
        <f t="shared" si="5"/>
        <v>0</v>
      </c>
      <c r="U61" s="1881">
        <f t="shared" si="5"/>
        <v>0</v>
      </c>
      <c r="V61" s="1593" t="s">
        <v>1171</v>
      </c>
      <c r="W61" s="2544"/>
      <c r="X61" s="1600">
        <f t="shared" si="13"/>
        <v>5980</v>
      </c>
      <c r="Y61" s="1608">
        <v>0</v>
      </c>
      <c r="Z61" s="1608">
        <v>5980</v>
      </c>
      <c r="AA61" s="1600">
        <f t="shared" si="14"/>
        <v>0</v>
      </c>
      <c r="AB61" s="1608">
        <v>0</v>
      </c>
      <c r="AC61" s="1608">
        <v>0</v>
      </c>
    </row>
    <row r="62" spans="1:29" s="1607" customFormat="1" ht="24" customHeight="1">
      <c r="A62" s="1972"/>
      <c r="B62" s="1971" t="s">
        <v>1400</v>
      </c>
      <c r="C62" s="1973"/>
      <c r="D62" s="1602">
        <f t="shared" si="12"/>
        <v>27093.599999999999</v>
      </c>
      <c r="E62" s="1603">
        <f>SUM(E63:E65)</f>
        <v>0</v>
      </c>
      <c r="F62" s="1603">
        <f>SUM(F63:F65)</f>
        <v>27093.599999999999</v>
      </c>
      <c r="G62" s="1602">
        <f t="shared" si="1"/>
        <v>27093.599999999999</v>
      </c>
      <c r="H62" s="1603">
        <f>SUM(H63:H65)</f>
        <v>0</v>
      </c>
      <c r="I62" s="1603">
        <f>SUM(I63:I65)</f>
        <v>27093.599999999999</v>
      </c>
      <c r="J62" s="1594">
        <f t="shared" si="2"/>
        <v>0</v>
      </c>
      <c r="K62" s="1594">
        <f t="shared" si="3"/>
        <v>0</v>
      </c>
      <c r="L62" s="1594">
        <f t="shared" si="4"/>
        <v>0</v>
      </c>
      <c r="M62" s="1602">
        <f t="shared" si="8"/>
        <v>27093.599999999999</v>
      </c>
      <c r="N62" s="1603">
        <f>SUM(N63:N65)</f>
        <v>0</v>
      </c>
      <c r="O62" s="1603">
        <f>SUM(O63:O65)</f>
        <v>27093.599999999999</v>
      </c>
      <c r="P62" s="1602">
        <f t="shared" si="9"/>
        <v>0</v>
      </c>
      <c r="Q62" s="1603">
        <f>SUM(Q63:Q65)</f>
        <v>0</v>
      </c>
      <c r="R62" s="1603">
        <f>SUM(R63:R65)</f>
        <v>0</v>
      </c>
      <c r="S62" s="1604">
        <f t="shared" si="5"/>
        <v>0</v>
      </c>
      <c r="T62" s="1881">
        <f t="shared" si="5"/>
        <v>0</v>
      </c>
      <c r="U62" s="1881">
        <f t="shared" si="5"/>
        <v>0</v>
      </c>
      <c r="V62" s="1593" t="s">
        <v>353</v>
      </c>
      <c r="W62" s="1593" t="s">
        <v>353</v>
      </c>
      <c r="X62" s="1602">
        <f t="shared" si="13"/>
        <v>0</v>
      </c>
      <c r="Y62" s="1603">
        <f>SUM(Y63:Y65)</f>
        <v>0</v>
      </c>
      <c r="Z62" s="1603">
        <f>SUM(Z63:Z65)</f>
        <v>0</v>
      </c>
      <c r="AA62" s="1602">
        <f t="shared" si="14"/>
        <v>0</v>
      </c>
      <c r="AB62" s="1603">
        <f>SUM(AB63:AB65)</f>
        <v>0</v>
      </c>
      <c r="AC62" s="1603">
        <f>SUM(AC63:AC65)</f>
        <v>0</v>
      </c>
    </row>
    <row r="63" spans="1:29" s="1607" customFormat="1" ht="42" customHeight="1">
      <c r="A63" s="1972">
        <f>A61+1</f>
        <v>31</v>
      </c>
      <c r="B63" s="521" t="s">
        <v>1398</v>
      </c>
      <c r="C63" s="1882">
        <v>24366</v>
      </c>
      <c r="D63" s="1602">
        <f t="shared" si="12"/>
        <v>7000</v>
      </c>
      <c r="E63" s="1616"/>
      <c r="F63" s="1616">
        <v>7000</v>
      </c>
      <c r="G63" s="1602">
        <f t="shared" si="1"/>
        <v>7000</v>
      </c>
      <c r="H63" s="1616"/>
      <c r="I63" s="1616">
        <v>7000</v>
      </c>
      <c r="J63" s="1594">
        <f t="shared" si="2"/>
        <v>0</v>
      </c>
      <c r="K63" s="1594">
        <f t="shared" si="3"/>
        <v>0</v>
      </c>
      <c r="L63" s="1594">
        <f t="shared" si="4"/>
        <v>0</v>
      </c>
      <c r="M63" s="1602">
        <f t="shared" si="8"/>
        <v>7000</v>
      </c>
      <c r="N63" s="1616"/>
      <c r="O63" s="1616">
        <v>7000</v>
      </c>
      <c r="P63" s="1602">
        <f t="shared" si="9"/>
        <v>0</v>
      </c>
      <c r="Q63" s="1616"/>
      <c r="R63" s="1616"/>
      <c r="S63" s="1604">
        <f t="shared" si="5"/>
        <v>0</v>
      </c>
      <c r="T63" s="1881">
        <f t="shared" si="5"/>
        <v>0</v>
      </c>
      <c r="U63" s="1881">
        <f t="shared" si="5"/>
        <v>0</v>
      </c>
      <c r="V63" s="1593" t="s">
        <v>1171</v>
      </c>
      <c r="W63" s="1593" t="s">
        <v>1116</v>
      </c>
      <c r="X63" s="1600">
        <f t="shared" si="13"/>
        <v>0</v>
      </c>
      <c r="Y63" s="1608">
        <v>0</v>
      </c>
      <c r="Z63" s="1608">
        <v>0</v>
      </c>
      <c r="AA63" s="1600">
        <f t="shared" si="14"/>
        <v>0</v>
      </c>
      <c r="AB63" s="1608">
        <v>0</v>
      </c>
      <c r="AC63" s="1608">
        <v>0</v>
      </c>
    </row>
    <row r="64" spans="1:29" s="1607" customFormat="1" ht="30.75" customHeight="1">
      <c r="A64" s="1972">
        <f>A63+1</f>
        <v>32</v>
      </c>
      <c r="B64" s="521" t="s">
        <v>1413</v>
      </c>
      <c r="C64" s="1882">
        <v>24366</v>
      </c>
      <c r="D64" s="1602">
        <f t="shared" si="12"/>
        <v>6338.1</v>
      </c>
      <c r="E64" s="1616"/>
      <c r="F64" s="1616">
        <v>6338.1</v>
      </c>
      <c r="G64" s="1602">
        <f t="shared" si="1"/>
        <v>6338.1</v>
      </c>
      <c r="H64" s="1616"/>
      <c r="I64" s="1616">
        <v>6338.1</v>
      </c>
      <c r="J64" s="1594">
        <f t="shared" si="2"/>
        <v>0</v>
      </c>
      <c r="K64" s="1594">
        <f t="shared" si="3"/>
        <v>0</v>
      </c>
      <c r="L64" s="1594">
        <f t="shared" si="4"/>
        <v>0</v>
      </c>
      <c r="M64" s="1602">
        <f t="shared" si="8"/>
        <v>6338.1</v>
      </c>
      <c r="N64" s="1616"/>
      <c r="O64" s="1616">
        <v>6338.1</v>
      </c>
      <c r="P64" s="1602">
        <f t="shared" si="9"/>
        <v>0</v>
      </c>
      <c r="Q64" s="1616"/>
      <c r="R64" s="1616"/>
      <c r="S64" s="1604">
        <f t="shared" si="5"/>
        <v>0</v>
      </c>
      <c r="T64" s="1881">
        <f t="shared" si="5"/>
        <v>0</v>
      </c>
      <c r="U64" s="1881">
        <f t="shared" si="5"/>
        <v>0</v>
      </c>
      <c r="V64" s="1593" t="s">
        <v>1171</v>
      </c>
      <c r="W64" s="1593" t="s">
        <v>1116</v>
      </c>
      <c r="X64" s="1600">
        <f t="shared" si="13"/>
        <v>0</v>
      </c>
      <c r="Y64" s="1608">
        <v>0</v>
      </c>
      <c r="Z64" s="1608">
        <v>0</v>
      </c>
      <c r="AA64" s="1600">
        <f t="shared" si="14"/>
        <v>0</v>
      </c>
      <c r="AB64" s="1608">
        <v>0</v>
      </c>
      <c r="AC64" s="1608">
        <v>0</v>
      </c>
    </row>
    <row r="65" spans="1:29" s="1607" customFormat="1" ht="46.5" customHeight="1">
      <c r="A65" s="1972">
        <f>A64+1</f>
        <v>33</v>
      </c>
      <c r="B65" s="1883" t="s">
        <v>1414</v>
      </c>
      <c r="C65" s="1880">
        <v>24366</v>
      </c>
      <c r="D65" s="1602">
        <f t="shared" si="12"/>
        <v>13755.5</v>
      </c>
      <c r="E65" s="1616"/>
      <c r="F65" s="1616">
        <v>13755.5</v>
      </c>
      <c r="G65" s="1602">
        <f t="shared" si="1"/>
        <v>13755.5</v>
      </c>
      <c r="H65" s="1616"/>
      <c r="I65" s="1616">
        <v>13755.5</v>
      </c>
      <c r="J65" s="1594">
        <f t="shared" si="2"/>
        <v>0</v>
      </c>
      <c r="K65" s="1594">
        <f t="shared" si="3"/>
        <v>0</v>
      </c>
      <c r="L65" s="1594">
        <f t="shared" si="4"/>
        <v>0</v>
      </c>
      <c r="M65" s="1602">
        <f t="shared" si="8"/>
        <v>13755.5</v>
      </c>
      <c r="N65" s="1616"/>
      <c r="O65" s="1616">
        <v>13755.5</v>
      </c>
      <c r="P65" s="1602">
        <f t="shared" si="9"/>
        <v>0</v>
      </c>
      <c r="Q65" s="1616"/>
      <c r="R65" s="1616"/>
      <c r="S65" s="1604">
        <f t="shared" si="5"/>
        <v>0</v>
      </c>
      <c r="T65" s="1881">
        <f t="shared" si="5"/>
        <v>0</v>
      </c>
      <c r="U65" s="1881">
        <f t="shared" si="5"/>
        <v>0</v>
      </c>
      <c r="V65" s="1593" t="s">
        <v>1171</v>
      </c>
      <c r="W65" s="1593" t="s">
        <v>1116</v>
      </c>
      <c r="X65" s="1600">
        <f t="shared" si="13"/>
        <v>0</v>
      </c>
      <c r="Y65" s="1608">
        <v>0</v>
      </c>
      <c r="Z65" s="1608">
        <v>0</v>
      </c>
      <c r="AA65" s="1600">
        <f t="shared" si="14"/>
        <v>0</v>
      </c>
      <c r="AB65" s="1608">
        <v>0</v>
      </c>
      <c r="AC65" s="1608">
        <v>0</v>
      </c>
    </row>
    <row r="66" spans="1:29" s="484" customFormat="1" ht="73.5" customHeight="1">
      <c r="A66" s="1972"/>
      <c r="B66" s="1897" t="s">
        <v>1628</v>
      </c>
      <c r="C66" s="1898"/>
      <c r="D66" s="1899">
        <f t="shared" si="12"/>
        <v>0</v>
      </c>
      <c r="E66" s="1899">
        <f>SUM(E67,E69)</f>
        <v>0</v>
      </c>
      <c r="F66" s="1899">
        <f>SUM(F67,F69)</f>
        <v>0</v>
      </c>
      <c r="G66" s="1899">
        <f t="shared" si="1"/>
        <v>2900</v>
      </c>
      <c r="H66" s="1899">
        <f>SUM(H67,H69)</f>
        <v>0</v>
      </c>
      <c r="I66" s="1899">
        <f>SUM(I67,I69)</f>
        <v>2900</v>
      </c>
      <c r="J66" s="1594">
        <f t="shared" si="2"/>
        <v>2900</v>
      </c>
      <c r="K66" s="1594">
        <f t="shared" si="3"/>
        <v>0</v>
      </c>
      <c r="L66" s="1594">
        <f t="shared" si="4"/>
        <v>2900</v>
      </c>
      <c r="M66" s="1899">
        <f t="shared" si="8"/>
        <v>2900</v>
      </c>
      <c r="N66" s="1899">
        <f>SUM(N67,N69)</f>
        <v>0</v>
      </c>
      <c r="O66" s="1899">
        <f>SUM(O67,O69)</f>
        <v>2900</v>
      </c>
      <c r="P66" s="1899">
        <f t="shared" si="9"/>
        <v>0</v>
      </c>
      <c r="Q66" s="1899">
        <f>SUM(Q67,Q69)</f>
        <v>0</v>
      </c>
      <c r="R66" s="1899">
        <f>SUM(R67,R69)</f>
        <v>0</v>
      </c>
      <c r="S66" s="1900">
        <f t="shared" si="5"/>
        <v>0</v>
      </c>
      <c r="T66" s="1901">
        <f t="shared" si="5"/>
        <v>0</v>
      </c>
      <c r="U66" s="1901">
        <f t="shared" si="5"/>
        <v>0</v>
      </c>
      <c r="V66" s="1902" t="e">
        <f>SUM(V85+V71+V87)</f>
        <v>#VALUE!</v>
      </c>
      <c r="W66" s="1902" t="e">
        <f>SUM(W85+W71+W87)</f>
        <v>#VALUE!</v>
      </c>
      <c r="X66" s="1899">
        <f t="shared" si="13"/>
        <v>0</v>
      </c>
      <c r="Y66" s="1899">
        <f>SUM(Y67,Y69)</f>
        <v>0</v>
      </c>
      <c r="Z66" s="1899">
        <f>SUM(Z67,Z69)</f>
        <v>0</v>
      </c>
      <c r="AA66" s="1899">
        <f t="shared" si="14"/>
        <v>0</v>
      </c>
      <c r="AB66" s="1899">
        <f>SUM(AB67,AB69)</f>
        <v>0</v>
      </c>
      <c r="AC66" s="1899">
        <f>SUM(AC67,AC69)</f>
        <v>0</v>
      </c>
    </row>
    <row r="67" spans="1:29" s="484" customFormat="1" ht="27" customHeight="1">
      <c r="A67" s="1972"/>
      <c r="B67" s="1971" t="s">
        <v>1401</v>
      </c>
      <c r="C67" s="1882"/>
      <c r="D67" s="1602">
        <f t="shared" si="12"/>
        <v>0</v>
      </c>
      <c r="E67" s="1603">
        <f>E68</f>
        <v>0</v>
      </c>
      <c r="F67" s="1603">
        <f>F68</f>
        <v>0</v>
      </c>
      <c r="G67" s="1602">
        <f t="shared" si="1"/>
        <v>1400</v>
      </c>
      <c r="H67" s="1603">
        <f>H68</f>
        <v>0</v>
      </c>
      <c r="I67" s="1603">
        <f>I68</f>
        <v>1400</v>
      </c>
      <c r="J67" s="1594">
        <f t="shared" si="2"/>
        <v>1400</v>
      </c>
      <c r="K67" s="1594">
        <f t="shared" si="3"/>
        <v>0</v>
      </c>
      <c r="L67" s="1594">
        <f t="shared" si="4"/>
        <v>1400</v>
      </c>
      <c r="M67" s="1602">
        <f t="shared" si="8"/>
        <v>1400</v>
      </c>
      <c r="N67" s="1603">
        <f>N68</f>
        <v>0</v>
      </c>
      <c r="O67" s="1603">
        <f>O68</f>
        <v>1400</v>
      </c>
      <c r="P67" s="1602">
        <f t="shared" si="9"/>
        <v>0</v>
      </c>
      <c r="Q67" s="1603">
        <f>Q68</f>
        <v>0</v>
      </c>
      <c r="R67" s="1603">
        <f>R68</f>
        <v>0</v>
      </c>
      <c r="S67" s="1604">
        <f t="shared" si="5"/>
        <v>0</v>
      </c>
      <c r="T67" s="1881">
        <f t="shared" si="5"/>
        <v>0</v>
      </c>
      <c r="U67" s="1881">
        <f t="shared" si="5"/>
        <v>0</v>
      </c>
      <c r="V67" s="1601">
        <f t="shared" ref="V67:AC67" si="15">V68</f>
        <v>0</v>
      </c>
      <c r="W67" s="1601">
        <f t="shared" si="15"/>
        <v>0</v>
      </c>
      <c r="X67" s="1601">
        <f t="shared" si="15"/>
        <v>0</v>
      </c>
      <c r="Y67" s="1601">
        <f t="shared" si="15"/>
        <v>0</v>
      </c>
      <c r="Z67" s="1601">
        <f t="shared" si="15"/>
        <v>0</v>
      </c>
      <c r="AA67" s="1601">
        <f t="shared" si="15"/>
        <v>0</v>
      </c>
      <c r="AB67" s="1601">
        <f t="shared" si="15"/>
        <v>0</v>
      </c>
      <c r="AC67" s="1601">
        <f t="shared" si="15"/>
        <v>0</v>
      </c>
    </row>
    <row r="68" spans="1:29" s="484" customFormat="1" ht="39.75" customHeight="1">
      <c r="A68" s="1972" t="s">
        <v>1678</v>
      </c>
      <c r="B68" s="1889" t="s">
        <v>681</v>
      </c>
      <c r="C68" s="1882">
        <v>90420</v>
      </c>
      <c r="D68" s="1602">
        <f t="shared" si="12"/>
        <v>0</v>
      </c>
      <c r="E68" s="1616"/>
      <c r="F68" s="1616"/>
      <c r="G68" s="1602">
        <f t="shared" si="1"/>
        <v>1400</v>
      </c>
      <c r="H68" s="1616"/>
      <c r="I68" s="1616">
        <v>1400</v>
      </c>
      <c r="J68" s="1594">
        <f t="shared" si="2"/>
        <v>1400</v>
      </c>
      <c r="K68" s="1594">
        <f t="shared" si="3"/>
        <v>0</v>
      </c>
      <c r="L68" s="1594">
        <f t="shared" si="4"/>
        <v>1400</v>
      </c>
      <c r="M68" s="1602">
        <f t="shared" si="8"/>
        <v>1400</v>
      </c>
      <c r="N68" s="1616"/>
      <c r="O68" s="1616">
        <v>1400</v>
      </c>
      <c r="P68" s="1602">
        <f t="shared" si="9"/>
        <v>0</v>
      </c>
      <c r="Q68" s="1616"/>
      <c r="R68" s="1616"/>
      <c r="S68" s="1604">
        <f t="shared" si="5"/>
        <v>0</v>
      </c>
      <c r="T68" s="1881">
        <f t="shared" si="5"/>
        <v>0</v>
      </c>
      <c r="U68" s="1881">
        <f t="shared" si="5"/>
        <v>0</v>
      </c>
      <c r="V68" s="1593"/>
      <c r="W68" s="1593"/>
      <c r="X68" s="1600">
        <f>Y68+Z68</f>
        <v>0</v>
      </c>
      <c r="Y68" s="1614"/>
      <c r="Z68" s="1614"/>
      <c r="AA68" s="1600">
        <f>AB68+AC68</f>
        <v>0</v>
      </c>
      <c r="AB68" s="1614"/>
      <c r="AC68" s="1614"/>
    </row>
    <row r="69" spans="1:29" s="484" customFormat="1" ht="23.25" customHeight="1">
      <c r="A69" s="1972"/>
      <c r="B69" s="1971" t="s">
        <v>1554</v>
      </c>
      <c r="C69" s="1882"/>
      <c r="D69" s="1602">
        <f t="shared" si="12"/>
        <v>0</v>
      </c>
      <c r="E69" s="1603">
        <f>E70</f>
        <v>0</v>
      </c>
      <c r="F69" s="1603">
        <f>F70</f>
        <v>0</v>
      </c>
      <c r="G69" s="1602">
        <f t="shared" si="1"/>
        <v>1500</v>
      </c>
      <c r="H69" s="1603">
        <f>H70</f>
        <v>0</v>
      </c>
      <c r="I69" s="1603">
        <f>I70</f>
        <v>1500</v>
      </c>
      <c r="J69" s="1594">
        <f t="shared" si="2"/>
        <v>1500</v>
      </c>
      <c r="K69" s="1594">
        <f t="shared" si="3"/>
        <v>0</v>
      </c>
      <c r="L69" s="1594">
        <f t="shared" si="4"/>
        <v>1500</v>
      </c>
      <c r="M69" s="1602">
        <f t="shared" si="8"/>
        <v>1500</v>
      </c>
      <c r="N69" s="1603">
        <f>N70</f>
        <v>0</v>
      </c>
      <c r="O69" s="1603">
        <f>O70</f>
        <v>1500</v>
      </c>
      <c r="P69" s="1602">
        <f t="shared" si="9"/>
        <v>0</v>
      </c>
      <c r="Q69" s="1603">
        <f>Q70</f>
        <v>0</v>
      </c>
      <c r="R69" s="1603">
        <f>R70</f>
        <v>0</v>
      </c>
      <c r="S69" s="1604">
        <f t="shared" si="5"/>
        <v>0</v>
      </c>
      <c r="T69" s="1881">
        <f t="shared" si="5"/>
        <v>0</v>
      </c>
      <c r="U69" s="1881">
        <f t="shared" si="5"/>
        <v>0</v>
      </c>
      <c r="V69" s="1593"/>
      <c r="W69" s="1593"/>
      <c r="X69" s="1602">
        <f>SUM(Y69:Z69)</f>
        <v>0</v>
      </c>
      <c r="Y69" s="1603">
        <f>Y70</f>
        <v>0</v>
      </c>
      <c r="Z69" s="1603">
        <f>Z70</f>
        <v>0</v>
      </c>
      <c r="AA69" s="1602">
        <f>SUM(AB69:AC69)</f>
        <v>0</v>
      </c>
      <c r="AB69" s="1603">
        <f>AB70</f>
        <v>0</v>
      </c>
      <c r="AC69" s="1603">
        <f>AC70</f>
        <v>0</v>
      </c>
    </row>
    <row r="70" spans="1:29" s="484" customFormat="1" ht="39.75" customHeight="1">
      <c r="A70" s="1972" t="s">
        <v>1679</v>
      </c>
      <c r="B70" s="1889" t="s">
        <v>1623</v>
      </c>
      <c r="C70" s="1882">
        <v>90420</v>
      </c>
      <c r="D70" s="1602">
        <f t="shared" si="12"/>
        <v>0</v>
      </c>
      <c r="E70" s="1616"/>
      <c r="F70" s="1616"/>
      <c r="G70" s="1602">
        <f t="shared" si="1"/>
        <v>1500</v>
      </c>
      <c r="H70" s="1616"/>
      <c r="I70" s="1616">
        <v>1500</v>
      </c>
      <c r="J70" s="1594">
        <f t="shared" si="2"/>
        <v>1500</v>
      </c>
      <c r="K70" s="1594">
        <f t="shared" si="3"/>
        <v>0</v>
      </c>
      <c r="L70" s="1594">
        <f t="shared" si="4"/>
        <v>1500</v>
      </c>
      <c r="M70" s="1602">
        <f t="shared" si="8"/>
        <v>1500</v>
      </c>
      <c r="N70" s="1616"/>
      <c r="O70" s="1616">
        <v>1500</v>
      </c>
      <c r="P70" s="1602">
        <f t="shared" si="9"/>
        <v>0</v>
      </c>
      <c r="Q70" s="1616"/>
      <c r="R70" s="1616"/>
      <c r="S70" s="1604">
        <f t="shared" si="5"/>
        <v>0</v>
      </c>
      <c r="T70" s="1881">
        <f t="shared" si="5"/>
        <v>0</v>
      </c>
      <c r="U70" s="1881">
        <f t="shared" si="5"/>
        <v>0</v>
      </c>
      <c r="V70" s="1593"/>
      <c r="W70" s="1593"/>
      <c r="X70" s="1600">
        <f>Y70+Z70</f>
        <v>0</v>
      </c>
      <c r="Y70" s="1614"/>
      <c r="Z70" s="1614"/>
      <c r="AA70" s="1600">
        <f>AB70+AC70</f>
        <v>0</v>
      </c>
      <c r="AB70" s="1614"/>
      <c r="AC70" s="1614"/>
    </row>
    <row r="71" spans="1:29" ht="25.5" customHeight="1">
      <c r="A71" s="1972" t="s">
        <v>254</v>
      </c>
      <c r="B71" s="1876" t="s">
        <v>1394</v>
      </c>
      <c r="C71" s="1877"/>
      <c r="D71" s="1598">
        <f t="shared" si="12"/>
        <v>1017570.4</v>
      </c>
      <c r="E71" s="1903">
        <f>SUM(E72+E85+E82)</f>
        <v>999116.3</v>
      </c>
      <c r="F71" s="1903">
        <f>SUM(F72+F85+F82)</f>
        <v>18454.099999999999</v>
      </c>
      <c r="G71" s="1598">
        <f t="shared" si="1"/>
        <v>1274815</v>
      </c>
      <c r="H71" s="1903">
        <f>SUM(H72+H85+H82)</f>
        <v>1192141</v>
      </c>
      <c r="I71" s="1903">
        <f>SUM(I72+I85+I82)</f>
        <v>82674</v>
      </c>
      <c r="J71" s="1594">
        <f t="shared" si="2"/>
        <v>257244.6</v>
      </c>
      <c r="K71" s="1594">
        <f t="shared" si="3"/>
        <v>193024.7</v>
      </c>
      <c r="L71" s="1594">
        <f t="shared" si="4"/>
        <v>64219.9</v>
      </c>
      <c r="M71" s="1598">
        <f t="shared" si="8"/>
        <v>1274815</v>
      </c>
      <c r="N71" s="1903">
        <f>SUM(N72+N85+N82)</f>
        <v>1192141</v>
      </c>
      <c r="O71" s="1903">
        <f>SUM(O72+O85+O82)</f>
        <v>82674</v>
      </c>
      <c r="P71" s="1598">
        <f t="shared" si="9"/>
        <v>36301.800000000003</v>
      </c>
      <c r="Q71" s="1903">
        <f>SUM(Q72+Q85+Q82)</f>
        <v>35938.699999999997</v>
      </c>
      <c r="R71" s="1903">
        <f>SUM(R72+R85+R82)</f>
        <v>363.1</v>
      </c>
      <c r="S71" s="1903">
        <f t="shared" si="5"/>
        <v>2.8</v>
      </c>
      <c r="T71" s="1903">
        <f t="shared" si="5"/>
        <v>3</v>
      </c>
      <c r="U71" s="1903">
        <f t="shared" si="5"/>
        <v>0.4</v>
      </c>
      <c r="V71" s="1599" t="s">
        <v>353</v>
      </c>
      <c r="W71" s="1599" t="s">
        <v>353</v>
      </c>
      <c r="X71" s="1598">
        <f>SUM(Y71:Z71)</f>
        <v>702732.2</v>
      </c>
      <c r="Y71" s="1903">
        <f>SUM(Y72+Y85+Y82)</f>
        <v>695705</v>
      </c>
      <c r="Z71" s="1903">
        <f>SUM(Z72+Z85+Z82)</f>
        <v>7027.2</v>
      </c>
      <c r="AA71" s="1598">
        <f>SUM(AB71:AC71)</f>
        <v>2133190.9</v>
      </c>
      <c r="AB71" s="1903">
        <f>SUM(AB72+AB85+AB82)</f>
        <v>2111858.9</v>
      </c>
      <c r="AC71" s="1903">
        <f>SUM(AC72+AC85+AC82)</f>
        <v>21332</v>
      </c>
    </row>
    <row r="72" spans="1:29" ht="30.75" customHeight="1">
      <c r="A72" s="1972" t="s">
        <v>1519</v>
      </c>
      <c r="B72" s="1897" t="s">
        <v>1395</v>
      </c>
      <c r="C72" s="1898"/>
      <c r="D72" s="1899">
        <f t="shared" si="12"/>
        <v>1017570.4</v>
      </c>
      <c r="E72" s="1899">
        <f>E73+E80+E78</f>
        <v>999116.3</v>
      </c>
      <c r="F72" s="1899">
        <f>F73+F80+F78</f>
        <v>18454.099999999999</v>
      </c>
      <c r="G72" s="1899">
        <f>SUM(H72:I72)</f>
        <v>1080624.8</v>
      </c>
      <c r="H72" s="1899">
        <f>H73+H80+H78</f>
        <v>1061539.8999999999</v>
      </c>
      <c r="I72" s="1899">
        <f>I73+I80+I78</f>
        <v>19084.900000000001</v>
      </c>
      <c r="J72" s="1594">
        <f t="shared" si="2"/>
        <v>63054.400000000001</v>
      </c>
      <c r="K72" s="1594">
        <f t="shared" si="3"/>
        <v>62423.6</v>
      </c>
      <c r="L72" s="1594">
        <f t="shared" si="4"/>
        <v>630.79999999999995</v>
      </c>
      <c r="M72" s="1899">
        <f t="shared" si="8"/>
        <v>1080624.8</v>
      </c>
      <c r="N72" s="1899">
        <f>N73+N80+N78</f>
        <v>1061539.8999999999</v>
      </c>
      <c r="O72" s="1899">
        <f>O73+O80+O78</f>
        <v>19084.900000000001</v>
      </c>
      <c r="P72" s="1899">
        <f t="shared" si="9"/>
        <v>36301.800000000003</v>
      </c>
      <c r="Q72" s="1899">
        <f t="shared" ref="Q72:AC72" si="16">Q73+Q80+Q78</f>
        <v>35938.699999999997</v>
      </c>
      <c r="R72" s="1899">
        <f t="shared" si="16"/>
        <v>363.1</v>
      </c>
      <c r="S72" s="1899">
        <f t="shared" si="16"/>
        <v>3.7</v>
      </c>
      <c r="T72" s="1899">
        <f t="shared" si="16"/>
        <v>3.7</v>
      </c>
      <c r="U72" s="1899">
        <f t="shared" si="16"/>
        <v>3.7</v>
      </c>
      <c r="V72" s="1899" t="e">
        <f t="shared" si="16"/>
        <v>#VALUE!</v>
      </c>
      <c r="W72" s="1899" t="e">
        <f t="shared" si="16"/>
        <v>#VALUE!</v>
      </c>
      <c r="X72" s="1899">
        <f t="shared" si="16"/>
        <v>702732.2</v>
      </c>
      <c r="Y72" s="1899">
        <f t="shared" si="16"/>
        <v>695705</v>
      </c>
      <c r="Z72" s="1899">
        <f t="shared" si="16"/>
        <v>7027.2</v>
      </c>
      <c r="AA72" s="1899">
        <f t="shared" si="16"/>
        <v>2102737.1</v>
      </c>
      <c r="AB72" s="1899">
        <f t="shared" si="16"/>
        <v>2081709.6</v>
      </c>
      <c r="AC72" s="1899">
        <f t="shared" si="16"/>
        <v>21027.5</v>
      </c>
    </row>
    <row r="73" spans="1:29" ht="24.75" customHeight="1">
      <c r="A73" s="1972"/>
      <c r="B73" s="1897" t="s">
        <v>1396</v>
      </c>
      <c r="C73" s="1898"/>
      <c r="D73" s="1899">
        <f t="shared" si="12"/>
        <v>110087.9</v>
      </c>
      <c r="E73" s="1899">
        <f>E76+E74</f>
        <v>100722.4</v>
      </c>
      <c r="F73" s="1899">
        <f>F76+F74</f>
        <v>9365.5</v>
      </c>
      <c r="G73" s="1899">
        <f>SUM(H73:I73)</f>
        <v>110087.9</v>
      </c>
      <c r="H73" s="1899">
        <f>H76+H74</f>
        <v>100722.4</v>
      </c>
      <c r="I73" s="1899">
        <f t="shared" ref="I73:AC73" si="17">I76+I74</f>
        <v>9365.5</v>
      </c>
      <c r="J73" s="1594">
        <f t="shared" si="2"/>
        <v>0</v>
      </c>
      <c r="K73" s="1594">
        <f t="shared" si="3"/>
        <v>0</v>
      </c>
      <c r="L73" s="1594">
        <f t="shared" si="4"/>
        <v>0</v>
      </c>
      <c r="M73" s="1899">
        <f t="shared" si="8"/>
        <v>110087.9</v>
      </c>
      <c r="N73" s="1899">
        <f>N76+N74</f>
        <v>100722.4</v>
      </c>
      <c r="O73" s="1899">
        <f>O76+O74</f>
        <v>9365.5</v>
      </c>
      <c r="P73" s="1899">
        <f t="shared" si="9"/>
        <v>0</v>
      </c>
      <c r="Q73" s="1899">
        <f>Q76+Q74</f>
        <v>0</v>
      </c>
      <c r="R73" s="1899">
        <f>R76+R74</f>
        <v>0</v>
      </c>
      <c r="S73" s="1899">
        <f t="shared" si="17"/>
        <v>0</v>
      </c>
      <c r="T73" s="1899">
        <f t="shared" si="17"/>
        <v>0</v>
      </c>
      <c r="U73" s="1899">
        <f t="shared" si="17"/>
        <v>0</v>
      </c>
      <c r="V73" s="1899" t="e">
        <f t="shared" si="17"/>
        <v>#VALUE!</v>
      </c>
      <c r="W73" s="1899" t="e">
        <f t="shared" si="17"/>
        <v>#VALUE!</v>
      </c>
      <c r="X73" s="1899">
        <f t="shared" si="17"/>
        <v>216010.9</v>
      </c>
      <c r="Y73" s="1899">
        <f t="shared" si="17"/>
        <v>213850.8</v>
      </c>
      <c r="Z73" s="1899">
        <f t="shared" si="17"/>
        <v>2160.1</v>
      </c>
      <c r="AA73" s="1899">
        <f t="shared" si="17"/>
        <v>327265.90000000002</v>
      </c>
      <c r="AB73" s="1899">
        <f t="shared" si="17"/>
        <v>323993.2</v>
      </c>
      <c r="AC73" s="1899">
        <f t="shared" si="17"/>
        <v>3272.7</v>
      </c>
    </row>
    <row r="74" spans="1:29" ht="18.75" hidden="1" customHeight="1">
      <c r="A74" s="1972"/>
      <c r="B74" s="1971" t="s">
        <v>1667</v>
      </c>
      <c r="C74" s="1973"/>
      <c r="D74" s="1602">
        <f t="shared" si="12"/>
        <v>0</v>
      </c>
      <c r="E74" s="1603">
        <f>SUM(E75)</f>
        <v>0</v>
      </c>
      <c r="F74" s="1603">
        <f>SUM(F75)</f>
        <v>0</v>
      </c>
      <c r="G74" s="1602">
        <f>SUM(H74:I74)</f>
        <v>0</v>
      </c>
      <c r="H74" s="1603">
        <f>SUM(H75)</f>
        <v>0</v>
      </c>
      <c r="I74" s="1603">
        <f>SUM(I75)</f>
        <v>0</v>
      </c>
      <c r="J74" s="1594">
        <f t="shared" si="2"/>
        <v>0</v>
      </c>
      <c r="K74" s="1594">
        <f t="shared" si="3"/>
        <v>0</v>
      </c>
      <c r="L74" s="1594">
        <f t="shared" si="4"/>
        <v>0</v>
      </c>
      <c r="M74" s="1602">
        <f t="shared" si="8"/>
        <v>0</v>
      </c>
      <c r="N74" s="1603">
        <f>SUM(N75)</f>
        <v>0</v>
      </c>
      <c r="O74" s="1603">
        <f>SUM(O75)</f>
        <v>0</v>
      </c>
      <c r="P74" s="1602">
        <f t="shared" si="9"/>
        <v>0</v>
      </c>
      <c r="Q74" s="1603">
        <f>SUM(Q75)</f>
        <v>0</v>
      </c>
      <c r="R74" s="1603">
        <f>SUM(R75)</f>
        <v>0</v>
      </c>
      <c r="S74" s="1604">
        <f t="shared" ref="S74:U75" si="18">IF(P74=0,0,P74/M74*100)</f>
        <v>0</v>
      </c>
      <c r="T74" s="1881">
        <f t="shared" si="18"/>
        <v>0</v>
      </c>
      <c r="U74" s="1881">
        <f t="shared" si="18"/>
        <v>0</v>
      </c>
      <c r="V74" s="1593" t="s">
        <v>353</v>
      </c>
      <c r="W74" s="1593" t="s">
        <v>353</v>
      </c>
      <c r="X74" s="1602">
        <f>SUM(Y74:Z74)</f>
        <v>216010.9</v>
      </c>
      <c r="Y74" s="1603">
        <f>SUM(Y75)</f>
        <v>213850.8</v>
      </c>
      <c r="Z74" s="1603">
        <f>SUM(Z75)</f>
        <v>2160.1</v>
      </c>
      <c r="AA74" s="1602">
        <f>SUM(AB74:AC74)</f>
        <v>327265.90000000002</v>
      </c>
      <c r="AB74" s="1603">
        <f>SUM(AB75)</f>
        <v>323993.2</v>
      </c>
      <c r="AC74" s="1603">
        <f>SUM(AC75)</f>
        <v>3272.7</v>
      </c>
    </row>
    <row r="75" spans="1:29" ht="59.25" hidden="1" customHeight="1">
      <c r="A75" s="1972">
        <f>A65+1</f>
        <v>34</v>
      </c>
      <c r="B75" s="1885" t="s">
        <v>672</v>
      </c>
      <c r="C75" s="1904" t="s">
        <v>1539</v>
      </c>
      <c r="D75" s="1602">
        <f t="shared" si="12"/>
        <v>0</v>
      </c>
      <c r="E75" s="1615">
        <v>0</v>
      </c>
      <c r="F75" s="1615">
        <v>0</v>
      </c>
      <c r="G75" s="1602">
        <f>SUM(H75:I75)</f>
        <v>0</v>
      </c>
      <c r="H75" s="1615">
        <v>0</v>
      </c>
      <c r="I75" s="1615">
        <v>0</v>
      </c>
      <c r="J75" s="1594">
        <f t="shared" si="2"/>
        <v>0</v>
      </c>
      <c r="K75" s="1594">
        <f t="shared" si="3"/>
        <v>0</v>
      </c>
      <c r="L75" s="1594">
        <f t="shared" si="4"/>
        <v>0</v>
      </c>
      <c r="M75" s="1602">
        <f t="shared" si="8"/>
        <v>0</v>
      </c>
      <c r="N75" s="1615">
        <v>0</v>
      </c>
      <c r="O75" s="1615">
        <v>0</v>
      </c>
      <c r="P75" s="1602">
        <f t="shared" si="9"/>
        <v>0</v>
      </c>
      <c r="Q75" s="1615">
        <v>0</v>
      </c>
      <c r="R75" s="1615">
        <v>0</v>
      </c>
      <c r="S75" s="1893">
        <f t="shared" si="18"/>
        <v>0</v>
      </c>
      <c r="T75" s="1894">
        <f t="shared" si="18"/>
        <v>0</v>
      </c>
      <c r="U75" s="1894">
        <f t="shared" si="18"/>
        <v>0</v>
      </c>
      <c r="V75" s="1593" t="s">
        <v>1171</v>
      </c>
      <c r="W75" s="1593" t="s">
        <v>1659</v>
      </c>
      <c r="X75" s="1600">
        <f>SUM(Y75:Z75)</f>
        <v>216010.9</v>
      </c>
      <c r="Y75" s="1614">
        <v>213850.8</v>
      </c>
      <c r="Z75" s="1614">
        <v>2160.1</v>
      </c>
      <c r="AA75" s="1600">
        <f>SUM(AB75:AC75)</f>
        <v>327265.90000000002</v>
      </c>
      <c r="AB75" s="1614">
        <v>323993.2</v>
      </c>
      <c r="AC75" s="1614">
        <v>3272.7</v>
      </c>
    </row>
    <row r="76" spans="1:29" ht="29.25" customHeight="1">
      <c r="A76" s="1972"/>
      <c r="B76" s="1971" t="s">
        <v>457</v>
      </c>
      <c r="C76" s="1973"/>
      <c r="D76" s="1602">
        <f t="shared" ref="D76:D107" si="19">SUM(E76:F76)</f>
        <v>110087.9</v>
      </c>
      <c r="E76" s="1603">
        <f>SUM(E77)</f>
        <v>100722.4</v>
      </c>
      <c r="F76" s="1603">
        <f>SUM(F77)</f>
        <v>9365.5</v>
      </c>
      <c r="G76" s="1602">
        <f t="shared" si="1"/>
        <v>110087.9</v>
      </c>
      <c r="H76" s="1603">
        <f>SUM(H77)</f>
        <v>100722.4</v>
      </c>
      <c r="I76" s="1603">
        <f>SUM(I77)</f>
        <v>9365.5</v>
      </c>
      <c r="J76" s="1594">
        <f t="shared" ref="J76:J140" si="20">G76-D76</f>
        <v>0</v>
      </c>
      <c r="K76" s="1594">
        <f t="shared" ref="K76:K140" si="21">H76-E76</f>
        <v>0</v>
      </c>
      <c r="L76" s="1594">
        <f t="shared" ref="L76:L140" si="22">I76-F76</f>
        <v>0</v>
      </c>
      <c r="M76" s="1602">
        <f t="shared" ref="M76:M84" si="23">SUM(N76:O76)</f>
        <v>110087.9</v>
      </c>
      <c r="N76" s="1603">
        <f>SUM(N77)</f>
        <v>100722.4</v>
      </c>
      <c r="O76" s="1603">
        <f>SUM(O77)</f>
        <v>9365.5</v>
      </c>
      <c r="P76" s="1602">
        <f t="shared" ref="P76:P140" si="24">SUM(Q76:R76)</f>
        <v>0</v>
      </c>
      <c r="Q76" s="1603">
        <f>SUM(Q77)</f>
        <v>0</v>
      </c>
      <c r="R76" s="1603">
        <f>SUM(R77)</f>
        <v>0</v>
      </c>
      <c r="S76" s="1604">
        <f t="shared" si="5"/>
        <v>0</v>
      </c>
      <c r="T76" s="1881">
        <f t="shared" si="5"/>
        <v>0</v>
      </c>
      <c r="U76" s="1881">
        <f t="shared" si="5"/>
        <v>0</v>
      </c>
      <c r="V76" s="1593" t="s">
        <v>353</v>
      </c>
      <c r="W76" s="1593" t="s">
        <v>353</v>
      </c>
      <c r="X76" s="1602">
        <f>SUM(Y76:Z76)</f>
        <v>0</v>
      </c>
      <c r="Y76" s="1603">
        <f>SUM(Y77)</f>
        <v>0</v>
      </c>
      <c r="Z76" s="1603">
        <f>SUM(Z77)</f>
        <v>0</v>
      </c>
      <c r="AA76" s="1602">
        <f>SUM(AB76:AC76)</f>
        <v>0</v>
      </c>
      <c r="AB76" s="1603">
        <f>SUM(AB77)</f>
        <v>0</v>
      </c>
      <c r="AC76" s="1603">
        <f>SUM(AC77)</f>
        <v>0</v>
      </c>
    </row>
    <row r="77" spans="1:29" s="484" customFormat="1" ht="46.5" customHeight="1">
      <c r="A77" s="1972">
        <v>34</v>
      </c>
      <c r="B77" s="1885" t="s">
        <v>1392</v>
      </c>
      <c r="C77" s="1904" t="s">
        <v>1539</v>
      </c>
      <c r="D77" s="1602">
        <f t="shared" si="19"/>
        <v>110087.9</v>
      </c>
      <c r="E77" s="1615">
        <v>100722.4</v>
      </c>
      <c r="F77" s="1615">
        <v>9365.5</v>
      </c>
      <c r="G77" s="1602">
        <f t="shared" si="1"/>
        <v>110087.9</v>
      </c>
      <c r="H77" s="1615">
        <v>100722.4</v>
      </c>
      <c r="I77" s="1615">
        <v>9365.5</v>
      </c>
      <c r="J77" s="1594">
        <f t="shared" si="20"/>
        <v>0</v>
      </c>
      <c r="K77" s="1594">
        <f t="shared" si="21"/>
        <v>0</v>
      </c>
      <c r="L77" s="1594">
        <f t="shared" si="22"/>
        <v>0</v>
      </c>
      <c r="M77" s="1602">
        <f t="shared" si="23"/>
        <v>110087.9</v>
      </c>
      <c r="N77" s="1615">
        <v>100722.4</v>
      </c>
      <c r="O77" s="1615">
        <v>9365.5</v>
      </c>
      <c r="P77" s="1602">
        <f t="shared" si="24"/>
        <v>0</v>
      </c>
      <c r="Q77" s="1615"/>
      <c r="R77" s="1615"/>
      <c r="S77" s="1893">
        <f t="shared" si="5"/>
        <v>0</v>
      </c>
      <c r="T77" s="1894">
        <f t="shared" si="5"/>
        <v>0</v>
      </c>
      <c r="U77" s="1894">
        <f t="shared" si="5"/>
        <v>0</v>
      </c>
      <c r="V77" s="1593" t="s">
        <v>1171</v>
      </c>
      <c r="W77" s="1593" t="s">
        <v>1659</v>
      </c>
      <c r="X77" s="1600">
        <f>SUM(Y77:Z77)</f>
        <v>0</v>
      </c>
      <c r="Y77" s="1614">
        <v>0</v>
      </c>
      <c r="Z77" s="1614">
        <v>0</v>
      </c>
      <c r="AA77" s="1600">
        <f>SUM(AB77:AC77)</f>
        <v>0</v>
      </c>
      <c r="AB77" s="1614">
        <v>0</v>
      </c>
      <c r="AC77" s="1614">
        <v>0</v>
      </c>
    </row>
    <row r="78" spans="1:29" s="484" customFormat="1" ht="25.5" hidden="1" customHeight="1">
      <c r="A78" s="1972"/>
      <c r="B78" s="1897" t="s">
        <v>1650</v>
      </c>
      <c r="C78" s="1898"/>
      <c r="D78" s="1899">
        <f t="shared" si="19"/>
        <v>0</v>
      </c>
      <c r="E78" s="1902">
        <f>SUM(E79)</f>
        <v>0</v>
      </c>
      <c r="F78" s="1902">
        <f>SUM(F79)</f>
        <v>0</v>
      </c>
      <c r="G78" s="1899">
        <f>SUM(H78:I78)</f>
        <v>0</v>
      </c>
      <c r="H78" s="1902">
        <f t="shared" ref="H78:AC78" si="25">SUM(H79)</f>
        <v>0</v>
      </c>
      <c r="I78" s="1902">
        <f t="shared" si="25"/>
        <v>0</v>
      </c>
      <c r="J78" s="1594">
        <f t="shared" si="20"/>
        <v>0</v>
      </c>
      <c r="K78" s="1594">
        <f t="shared" si="21"/>
        <v>0</v>
      </c>
      <c r="L78" s="1594">
        <f t="shared" si="22"/>
        <v>0</v>
      </c>
      <c r="M78" s="1899">
        <f t="shared" si="23"/>
        <v>0</v>
      </c>
      <c r="N78" s="1902">
        <f t="shared" si="25"/>
        <v>0</v>
      </c>
      <c r="O78" s="1902">
        <f t="shared" si="25"/>
        <v>0</v>
      </c>
      <c r="P78" s="1899">
        <f t="shared" si="24"/>
        <v>0</v>
      </c>
      <c r="Q78" s="1902">
        <f t="shared" si="25"/>
        <v>0</v>
      </c>
      <c r="R78" s="1902">
        <f t="shared" si="25"/>
        <v>0</v>
      </c>
      <c r="S78" s="1902">
        <f t="shared" si="25"/>
        <v>0</v>
      </c>
      <c r="T78" s="1902">
        <f t="shared" si="25"/>
        <v>0</v>
      </c>
      <c r="U78" s="1902">
        <f t="shared" si="25"/>
        <v>0</v>
      </c>
      <c r="V78" s="1902">
        <f t="shared" si="25"/>
        <v>0</v>
      </c>
      <c r="W78" s="1902">
        <f t="shared" si="25"/>
        <v>0</v>
      </c>
      <c r="X78" s="1902">
        <f t="shared" si="25"/>
        <v>0</v>
      </c>
      <c r="Y78" s="1902">
        <f t="shared" si="25"/>
        <v>0</v>
      </c>
      <c r="Z78" s="1902">
        <f t="shared" si="25"/>
        <v>0</v>
      </c>
      <c r="AA78" s="1902">
        <f t="shared" si="25"/>
        <v>0</v>
      </c>
      <c r="AB78" s="1902">
        <f t="shared" si="25"/>
        <v>0</v>
      </c>
      <c r="AC78" s="1902">
        <f t="shared" si="25"/>
        <v>0</v>
      </c>
    </row>
    <row r="79" spans="1:29" s="484" customFormat="1" ht="88.5" hidden="1" customHeight="1">
      <c r="A79" s="1972"/>
      <c r="B79" s="1885" t="s">
        <v>455</v>
      </c>
      <c r="C79" s="1904"/>
      <c r="D79" s="1602">
        <f t="shared" si="19"/>
        <v>0</v>
      </c>
      <c r="E79" s="1615">
        <v>0</v>
      </c>
      <c r="F79" s="1615">
        <v>0</v>
      </c>
      <c r="G79" s="1602">
        <f>SUM(H79:I79)</f>
        <v>0</v>
      </c>
      <c r="H79" s="1615">
        <v>0</v>
      </c>
      <c r="I79" s="1615">
        <v>0</v>
      </c>
      <c r="J79" s="1594">
        <f t="shared" si="20"/>
        <v>0</v>
      </c>
      <c r="K79" s="1594">
        <f t="shared" si="21"/>
        <v>0</v>
      </c>
      <c r="L79" s="1594">
        <f t="shared" si="22"/>
        <v>0</v>
      </c>
      <c r="M79" s="1602">
        <f t="shared" si="23"/>
        <v>0</v>
      </c>
      <c r="N79" s="1615">
        <v>0</v>
      </c>
      <c r="O79" s="1615">
        <v>0</v>
      </c>
      <c r="P79" s="1602">
        <f t="shared" si="24"/>
        <v>0</v>
      </c>
      <c r="Q79" s="1615">
        <v>0</v>
      </c>
      <c r="R79" s="1615">
        <v>0</v>
      </c>
      <c r="S79" s="1893">
        <f>IF(P79=0,0,P79/M79*100)</f>
        <v>0</v>
      </c>
      <c r="T79" s="1894">
        <f>IF(Q79=0,0,Q79/N79*100)</f>
        <v>0</v>
      </c>
      <c r="U79" s="1894">
        <f>IF(R79=0,0,R79/O79*100)</f>
        <v>0</v>
      </c>
      <c r="V79" s="1593" t="s">
        <v>1171</v>
      </c>
      <c r="W79" s="1593" t="s">
        <v>1659</v>
      </c>
      <c r="X79" s="1602">
        <f>SUM(Y79:Z79)</f>
        <v>0</v>
      </c>
      <c r="Y79" s="1615">
        <v>0</v>
      </c>
      <c r="Z79" s="1615">
        <v>0</v>
      </c>
      <c r="AA79" s="1602">
        <f>SUM(AB79:AC79)</f>
        <v>0</v>
      </c>
      <c r="AB79" s="1615">
        <v>0</v>
      </c>
      <c r="AC79" s="1615">
        <v>0</v>
      </c>
    </row>
    <row r="80" spans="1:29" ht="33" customHeight="1">
      <c r="A80" s="1972"/>
      <c r="B80" s="1897" t="s">
        <v>1410</v>
      </c>
      <c r="C80" s="1898"/>
      <c r="D80" s="1899">
        <f t="shared" si="19"/>
        <v>907482.5</v>
      </c>
      <c r="E80" s="1902">
        <f>SUM(E81)</f>
        <v>898393.9</v>
      </c>
      <c r="F80" s="1902">
        <f>SUM(F81)</f>
        <v>9088.6</v>
      </c>
      <c r="G80" s="1899">
        <f t="shared" ref="G80:G146" si="26">SUM(H80:I80)</f>
        <v>970536.9</v>
      </c>
      <c r="H80" s="1902">
        <f>SUM(H81)</f>
        <v>960817.5</v>
      </c>
      <c r="I80" s="1902">
        <f t="shared" ref="I80:AC80" si="27">SUM(I81)</f>
        <v>9719.4</v>
      </c>
      <c r="J80" s="1594">
        <f t="shared" si="20"/>
        <v>63054.400000000001</v>
      </c>
      <c r="K80" s="1594">
        <f t="shared" si="21"/>
        <v>62423.6</v>
      </c>
      <c r="L80" s="1594">
        <f t="shared" si="22"/>
        <v>630.79999999999995</v>
      </c>
      <c r="M80" s="1899">
        <f t="shared" si="23"/>
        <v>970536.9</v>
      </c>
      <c r="N80" s="1902">
        <f>SUM(N81)</f>
        <v>960817.5</v>
      </c>
      <c r="O80" s="1902">
        <f t="shared" si="27"/>
        <v>9719.4</v>
      </c>
      <c r="P80" s="1899">
        <f t="shared" si="24"/>
        <v>36301.800000000003</v>
      </c>
      <c r="Q80" s="1902">
        <f>SUM(Q81)</f>
        <v>35938.699999999997</v>
      </c>
      <c r="R80" s="1902">
        <f t="shared" si="27"/>
        <v>363.1</v>
      </c>
      <c r="S80" s="1902">
        <f t="shared" si="27"/>
        <v>3.7</v>
      </c>
      <c r="T80" s="1902">
        <f t="shared" si="27"/>
        <v>3.7</v>
      </c>
      <c r="U80" s="1902">
        <f t="shared" si="27"/>
        <v>3.7</v>
      </c>
      <c r="V80" s="1902">
        <f t="shared" si="27"/>
        <v>0</v>
      </c>
      <c r="W80" s="1902">
        <f t="shared" si="27"/>
        <v>0</v>
      </c>
      <c r="X80" s="1902">
        <f t="shared" si="27"/>
        <v>486721.3</v>
      </c>
      <c r="Y80" s="1902">
        <f t="shared" si="27"/>
        <v>481854.2</v>
      </c>
      <c r="Z80" s="1902">
        <f t="shared" si="27"/>
        <v>4867.1000000000004</v>
      </c>
      <c r="AA80" s="1902">
        <f t="shared" si="27"/>
        <v>1775471.2</v>
      </c>
      <c r="AB80" s="1902">
        <f t="shared" si="27"/>
        <v>1757716.4</v>
      </c>
      <c r="AC80" s="1902">
        <f t="shared" si="27"/>
        <v>17754.8</v>
      </c>
    </row>
    <row r="81" spans="1:29" s="484" customFormat="1" ht="121.5" customHeight="1">
      <c r="A81" s="1972">
        <f>A77+1</f>
        <v>35</v>
      </c>
      <c r="B81" s="1885" t="s">
        <v>1412</v>
      </c>
      <c r="C81" s="1904" t="s">
        <v>1632</v>
      </c>
      <c r="D81" s="1602">
        <f t="shared" si="19"/>
        <v>907482.5</v>
      </c>
      <c r="E81" s="1615">
        <v>898393.9</v>
      </c>
      <c r="F81" s="1615">
        <v>9088.6</v>
      </c>
      <c r="G81" s="1602">
        <f t="shared" si="26"/>
        <v>970536.9</v>
      </c>
      <c r="H81" s="1615">
        <v>960817.5</v>
      </c>
      <c r="I81" s="1615">
        <v>9719.4</v>
      </c>
      <c r="J81" s="1594">
        <f t="shared" si="20"/>
        <v>63054.400000000001</v>
      </c>
      <c r="K81" s="1594">
        <f t="shared" si="21"/>
        <v>62423.6</v>
      </c>
      <c r="L81" s="1594">
        <f t="shared" si="22"/>
        <v>630.79999999999995</v>
      </c>
      <c r="M81" s="1602">
        <f t="shared" si="23"/>
        <v>970536.9</v>
      </c>
      <c r="N81" s="1615">
        <v>960817.5</v>
      </c>
      <c r="O81" s="1615">
        <v>9719.4</v>
      </c>
      <c r="P81" s="1602">
        <f t="shared" si="24"/>
        <v>36301.800000000003</v>
      </c>
      <c r="Q81" s="1615">
        <f>35938.6+0.1</f>
        <v>35938.699999999997</v>
      </c>
      <c r="R81" s="1615">
        <v>363.1</v>
      </c>
      <c r="S81" s="1893">
        <f t="shared" ref="S81:U147" si="28">IF(P81=0,0,P81/M81*100)</f>
        <v>3.7</v>
      </c>
      <c r="T81" s="1894">
        <f t="shared" si="28"/>
        <v>3.7</v>
      </c>
      <c r="U81" s="1894">
        <f t="shared" si="28"/>
        <v>3.7</v>
      </c>
      <c r="V81" s="1593" t="s">
        <v>1171</v>
      </c>
      <c r="W81" s="1593" t="s">
        <v>1659</v>
      </c>
      <c r="X81" s="1602">
        <f t="shared" ref="X81:X89" si="29">SUM(Y81:Z81)</f>
        <v>486721.3</v>
      </c>
      <c r="Y81" s="1615">
        <v>481854.2</v>
      </c>
      <c r="Z81" s="1615">
        <v>4867.1000000000004</v>
      </c>
      <c r="AA81" s="1602">
        <f t="shared" ref="AA81:AA89" si="30">SUM(AB81:AC81)</f>
        <v>1775471.2</v>
      </c>
      <c r="AB81" s="1615">
        <v>1757716.4</v>
      </c>
      <c r="AC81" s="1615">
        <v>17754.8</v>
      </c>
    </row>
    <row r="82" spans="1:29" ht="25.5" customHeight="1">
      <c r="A82" s="1972" t="s">
        <v>1622</v>
      </c>
      <c r="B82" s="1876" t="s">
        <v>529</v>
      </c>
      <c r="C82" s="1877"/>
      <c r="D82" s="1598">
        <f t="shared" si="19"/>
        <v>0</v>
      </c>
      <c r="E82" s="1903">
        <f>E83+E84</f>
        <v>0</v>
      </c>
      <c r="F82" s="1903">
        <f>F83+F84</f>
        <v>0</v>
      </c>
      <c r="G82" s="1598">
        <f>SUM(H82:I82)</f>
        <v>964.8</v>
      </c>
      <c r="H82" s="1903">
        <f>H83+H84</f>
        <v>964.8</v>
      </c>
      <c r="I82" s="1903">
        <f>I83+I84</f>
        <v>0</v>
      </c>
      <c r="J82" s="1594">
        <f t="shared" si="20"/>
        <v>964.8</v>
      </c>
      <c r="K82" s="1594">
        <f t="shared" si="21"/>
        <v>964.8</v>
      </c>
      <c r="L82" s="1594">
        <f t="shared" si="22"/>
        <v>0</v>
      </c>
      <c r="M82" s="1598">
        <f t="shared" si="23"/>
        <v>964.8</v>
      </c>
      <c r="N82" s="1903">
        <f>N83+N84</f>
        <v>964.8</v>
      </c>
      <c r="O82" s="1903">
        <f>O83+O84</f>
        <v>0</v>
      </c>
      <c r="P82" s="1598">
        <f>SUM(Q82:R82)</f>
        <v>0</v>
      </c>
      <c r="Q82" s="1903">
        <f>Q83+Q84</f>
        <v>0</v>
      </c>
      <c r="R82" s="1903">
        <f>R83+R84</f>
        <v>0</v>
      </c>
      <c r="S82" s="1903">
        <f t="shared" si="28"/>
        <v>0</v>
      </c>
      <c r="T82" s="1903">
        <f t="shared" si="28"/>
        <v>0</v>
      </c>
      <c r="U82" s="1903">
        <f t="shared" si="28"/>
        <v>0</v>
      </c>
      <c r="V82" s="1599"/>
      <c r="W82" s="1599"/>
      <c r="X82" s="1598">
        <f>SUM(Y82:Z82)</f>
        <v>0</v>
      </c>
      <c r="Y82" s="1903">
        <f>Y83+Y84</f>
        <v>0</v>
      </c>
      <c r="Z82" s="1903">
        <f>Z83+Z84</f>
        <v>0</v>
      </c>
      <c r="AA82" s="1598">
        <f>SUM(AB82:AC82)</f>
        <v>30453.8</v>
      </c>
      <c r="AB82" s="1903">
        <f>AB83+AB84</f>
        <v>30149.3</v>
      </c>
      <c r="AC82" s="1903">
        <f>AC83+AC84</f>
        <v>304.5</v>
      </c>
    </row>
    <row r="83" spans="1:29" ht="75" customHeight="1">
      <c r="A83" s="1972">
        <v>36</v>
      </c>
      <c r="B83" s="1879" t="s">
        <v>1654</v>
      </c>
      <c r="C83" s="1880"/>
      <c r="D83" s="1602">
        <f t="shared" si="19"/>
        <v>0</v>
      </c>
      <c r="E83" s="1616">
        <v>0</v>
      </c>
      <c r="F83" s="1616">
        <v>0</v>
      </c>
      <c r="G83" s="1602">
        <f t="shared" si="26"/>
        <v>964.8</v>
      </c>
      <c r="H83" s="1616">
        <v>964.8</v>
      </c>
      <c r="I83" s="1616">
        <v>0</v>
      </c>
      <c r="J83" s="1594">
        <f t="shared" si="20"/>
        <v>964.8</v>
      </c>
      <c r="K83" s="1594">
        <f t="shared" si="21"/>
        <v>964.8</v>
      </c>
      <c r="L83" s="1594">
        <f t="shared" si="22"/>
        <v>0</v>
      </c>
      <c r="M83" s="1602">
        <f t="shared" si="23"/>
        <v>964.8</v>
      </c>
      <c r="N83" s="1616">
        <v>964.8</v>
      </c>
      <c r="O83" s="1616">
        <v>0</v>
      </c>
      <c r="P83" s="1602">
        <f t="shared" si="24"/>
        <v>0</v>
      </c>
      <c r="Q83" s="1616"/>
      <c r="R83" s="1616"/>
      <c r="S83" s="1604">
        <f t="shared" si="28"/>
        <v>0</v>
      </c>
      <c r="T83" s="1881">
        <f t="shared" si="28"/>
        <v>0</v>
      </c>
      <c r="U83" s="1881">
        <f t="shared" si="28"/>
        <v>0</v>
      </c>
      <c r="V83" s="1599"/>
      <c r="W83" s="1599"/>
      <c r="X83" s="1602">
        <f t="shared" si="29"/>
        <v>0</v>
      </c>
      <c r="Y83" s="1619">
        <v>0</v>
      </c>
      <c r="Z83" s="1619">
        <v>0</v>
      </c>
      <c r="AA83" s="1602">
        <f t="shared" si="30"/>
        <v>0</v>
      </c>
      <c r="AB83" s="1619">
        <v>0</v>
      </c>
      <c r="AC83" s="1619">
        <v>0</v>
      </c>
    </row>
    <row r="84" spans="1:29" ht="36" hidden="1" customHeight="1">
      <c r="A84" s="1972">
        <f>A83+1</f>
        <v>37</v>
      </c>
      <c r="B84" s="1879" t="s">
        <v>1668</v>
      </c>
      <c r="C84" s="1880"/>
      <c r="D84" s="1602">
        <f t="shared" si="19"/>
        <v>0</v>
      </c>
      <c r="E84" s="1616">
        <v>0</v>
      </c>
      <c r="F84" s="1616">
        <v>0</v>
      </c>
      <c r="G84" s="1602">
        <f>SUM(H84:I84)</f>
        <v>0</v>
      </c>
      <c r="H84" s="1616">
        <v>0</v>
      </c>
      <c r="I84" s="1616">
        <v>0</v>
      </c>
      <c r="J84" s="1594">
        <f t="shared" si="20"/>
        <v>0</v>
      </c>
      <c r="K84" s="1594">
        <f t="shared" si="21"/>
        <v>0</v>
      </c>
      <c r="L84" s="1594">
        <f t="shared" si="22"/>
        <v>0</v>
      </c>
      <c r="M84" s="1602">
        <f t="shared" si="23"/>
        <v>0</v>
      </c>
      <c r="N84" s="1616">
        <v>0</v>
      </c>
      <c r="O84" s="1616">
        <v>0</v>
      </c>
      <c r="P84" s="1602">
        <f>SUM(Q84:R84)</f>
        <v>0</v>
      </c>
      <c r="Q84" s="1616">
        <v>0</v>
      </c>
      <c r="R84" s="1616">
        <v>0</v>
      </c>
      <c r="S84" s="1604"/>
      <c r="T84" s="1881"/>
      <c r="U84" s="1881"/>
      <c r="V84" s="1599"/>
      <c r="W84" s="1599"/>
      <c r="X84" s="1602">
        <f>SUM(Y84:Z84)</f>
        <v>0</v>
      </c>
      <c r="Y84" s="1619">
        <v>0</v>
      </c>
      <c r="Z84" s="1619">
        <v>0</v>
      </c>
      <c r="AA84" s="1602">
        <f>SUM(AB84:AC84)</f>
        <v>30453.8</v>
      </c>
      <c r="AB84" s="1619">
        <v>30149.3</v>
      </c>
      <c r="AC84" s="1619">
        <v>304.5</v>
      </c>
    </row>
    <row r="85" spans="1:29" s="484" customFormat="1" ht="73.5" customHeight="1">
      <c r="A85" s="1972" t="s">
        <v>1639</v>
      </c>
      <c r="B85" s="1876" t="s">
        <v>1435</v>
      </c>
      <c r="C85" s="1877"/>
      <c r="D85" s="1598">
        <f t="shared" si="19"/>
        <v>0</v>
      </c>
      <c r="E85" s="1903">
        <f>SUM(E86,E90,E93,E96,E98,E102)</f>
        <v>0</v>
      </c>
      <c r="F85" s="1903">
        <f>SUM(F86,F90,F93,F96,F98,F102)</f>
        <v>0</v>
      </c>
      <c r="G85" s="1598">
        <f t="shared" si="26"/>
        <v>193225.4</v>
      </c>
      <c r="H85" s="1903">
        <f>SUM(H86,H90,H93,H96,H98,H102)</f>
        <v>129636.3</v>
      </c>
      <c r="I85" s="1903">
        <f>SUM(I86,I90,I93,I96,I98,I102)</f>
        <v>63589.1</v>
      </c>
      <c r="J85" s="1594">
        <f t="shared" si="20"/>
        <v>193225.4</v>
      </c>
      <c r="K85" s="1594">
        <f t="shared" si="21"/>
        <v>129636.3</v>
      </c>
      <c r="L85" s="1594">
        <f t="shared" si="22"/>
        <v>63589.1</v>
      </c>
      <c r="M85" s="1598">
        <f>SUM(N85:O85)</f>
        <v>193225.4</v>
      </c>
      <c r="N85" s="1903">
        <f>SUM(N86,N90,N93,N96,N98,N102)</f>
        <v>129636.3</v>
      </c>
      <c r="O85" s="1903">
        <f>SUM(O86,O90,O93,O96,O98,O102)</f>
        <v>63589.1</v>
      </c>
      <c r="P85" s="1598">
        <f t="shared" si="24"/>
        <v>0</v>
      </c>
      <c r="Q85" s="1903">
        <f>SUM(Q86,Q90,Q93,Q96,Q98,Q102)</f>
        <v>0</v>
      </c>
      <c r="R85" s="1903">
        <f>SUM(R86,R90,R93,R96,R98,R102)</f>
        <v>0</v>
      </c>
      <c r="S85" s="1903">
        <f t="shared" si="28"/>
        <v>0</v>
      </c>
      <c r="T85" s="1903">
        <f t="shared" si="28"/>
        <v>0</v>
      </c>
      <c r="U85" s="1903">
        <f t="shared" si="28"/>
        <v>0</v>
      </c>
      <c r="V85" s="1902">
        <f>SUM(V96+V86+V98)</f>
        <v>0</v>
      </c>
      <c r="W85" s="1902">
        <f>SUM(W96+W86+W98)</f>
        <v>0</v>
      </c>
      <c r="X85" s="1598">
        <f t="shared" si="29"/>
        <v>0</v>
      </c>
      <c r="Y85" s="1903">
        <f>SUM(Y86,Y90,Y93,Y96,Y98,Y102)</f>
        <v>0</v>
      </c>
      <c r="Z85" s="1903">
        <f>SUM(Z86,Z90,Z93,Z96,Z98,Z102)</f>
        <v>0</v>
      </c>
      <c r="AA85" s="1598">
        <f t="shared" si="30"/>
        <v>0</v>
      </c>
      <c r="AB85" s="1903">
        <f>SUM(AB86,AB90,AB93,AB96,AB98,AB102)</f>
        <v>0</v>
      </c>
      <c r="AC85" s="1903">
        <f>SUM(AC86,AC90,AC93,AC96,AC98,AC102)</f>
        <v>0</v>
      </c>
    </row>
    <row r="86" spans="1:29" s="484" customFormat="1">
      <c r="A86" s="1972"/>
      <c r="B86" s="1971" t="s">
        <v>433</v>
      </c>
      <c r="C86" s="1882"/>
      <c r="D86" s="1602">
        <f t="shared" si="19"/>
        <v>0</v>
      </c>
      <c r="E86" s="1603">
        <f>E87</f>
        <v>0</v>
      </c>
      <c r="F86" s="1603">
        <f>F87</f>
        <v>0</v>
      </c>
      <c r="G86" s="1602">
        <f t="shared" si="26"/>
        <v>15739.7</v>
      </c>
      <c r="H86" s="1603">
        <f>H87</f>
        <v>9575.2000000000007</v>
      </c>
      <c r="I86" s="1603">
        <f>I87</f>
        <v>6164.5</v>
      </c>
      <c r="J86" s="1594">
        <f t="shared" si="20"/>
        <v>15739.7</v>
      </c>
      <c r="K86" s="1594">
        <f t="shared" si="21"/>
        <v>9575.2000000000007</v>
      </c>
      <c r="L86" s="1594">
        <f t="shared" si="22"/>
        <v>6164.5</v>
      </c>
      <c r="M86" s="1602">
        <f t="shared" ref="M86:M148" si="31">SUM(N86:O86)</f>
        <v>15739.7</v>
      </c>
      <c r="N86" s="1603">
        <f>N87</f>
        <v>9575.2000000000007</v>
      </c>
      <c r="O86" s="1603">
        <f>O87</f>
        <v>6164.5</v>
      </c>
      <c r="P86" s="1602">
        <f t="shared" si="24"/>
        <v>0</v>
      </c>
      <c r="Q86" s="1603">
        <f>Q87</f>
        <v>0</v>
      </c>
      <c r="R86" s="1603">
        <f>R87</f>
        <v>0</v>
      </c>
      <c r="S86" s="1601">
        <f t="shared" si="28"/>
        <v>0</v>
      </c>
      <c r="T86" s="1601">
        <f t="shared" si="28"/>
        <v>0</v>
      </c>
      <c r="U86" s="1601">
        <f t="shared" si="28"/>
        <v>0</v>
      </c>
      <c r="V86" s="1601">
        <f>SUM(V87)</f>
        <v>0</v>
      </c>
      <c r="W86" s="1601">
        <f>SUM(W87)</f>
        <v>0</v>
      </c>
      <c r="X86" s="1602">
        <f t="shared" si="29"/>
        <v>0</v>
      </c>
      <c r="Y86" s="1603">
        <f>Y87</f>
        <v>0</v>
      </c>
      <c r="Z86" s="1603">
        <f>Z87</f>
        <v>0</v>
      </c>
      <c r="AA86" s="1602">
        <f t="shared" si="30"/>
        <v>0</v>
      </c>
      <c r="AB86" s="1603">
        <f>AB87</f>
        <v>0</v>
      </c>
      <c r="AC86" s="1603">
        <f>AC87</f>
        <v>0</v>
      </c>
    </row>
    <row r="87" spans="1:29" s="484" customFormat="1" ht="40.5" customHeight="1">
      <c r="A87" s="1972">
        <v>37</v>
      </c>
      <c r="B87" s="1905" t="s">
        <v>1563</v>
      </c>
      <c r="C87" s="1906"/>
      <c r="D87" s="1602">
        <f t="shared" si="19"/>
        <v>0</v>
      </c>
      <c r="E87" s="1864">
        <f>E88+E89</f>
        <v>0</v>
      </c>
      <c r="F87" s="1864">
        <f>F88+F89</f>
        <v>0</v>
      </c>
      <c r="G87" s="1602">
        <f t="shared" si="26"/>
        <v>15739.7</v>
      </c>
      <c r="H87" s="1864">
        <f>H88+H89</f>
        <v>9575.2000000000007</v>
      </c>
      <c r="I87" s="1864">
        <f>I88+I89</f>
        <v>6164.5</v>
      </c>
      <c r="J87" s="1594">
        <f t="shared" si="20"/>
        <v>15739.7</v>
      </c>
      <c r="K87" s="1594">
        <f t="shared" si="21"/>
        <v>9575.2000000000007</v>
      </c>
      <c r="L87" s="1594">
        <f t="shared" si="22"/>
        <v>6164.5</v>
      </c>
      <c r="M87" s="1602">
        <f t="shared" si="31"/>
        <v>15739.7</v>
      </c>
      <c r="N87" s="1864">
        <f>N88+N89</f>
        <v>9575.2000000000007</v>
      </c>
      <c r="O87" s="1864">
        <f>O88+O89</f>
        <v>6164.5</v>
      </c>
      <c r="P87" s="1602">
        <f t="shared" si="24"/>
        <v>0</v>
      </c>
      <c r="Q87" s="1864">
        <f>Q88+Q89</f>
        <v>0</v>
      </c>
      <c r="R87" s="1864">
        <f>R88+R89</f>
        <v>0</v>
      </c>
      <c r="S87" s="1600">
        <f t="shared" si="28"/>
        <v>0</v>
      </c>
      <c r="T87" s="1907">
        <f t="shared" si="28"/>
        <v>0</v>
      </c>
      <c r="U87" s="1907">
        <f t="shared" si="28"/>
        <v>0</v>
      </c>
      <c r="V87" s="1593"/>
      <c r="W87" s="1593"/>
      <c r="X87" s="1602">
        <f t="shared" si="29"/>
        <v>0</v>
      </c>
      <c r="Y87" s="1864">
        <f>Y88+Y89</f>
        <v>0</v>
      </c>
      <c r="Z87" s="1864">
        <f>Z88+Z89</f>
        <v>0</v>
      </c>
      <c r="AA87" s="1602">
        <f t="shared" si="30"/>
        <v>0</v>
      </c>
      <c r="AB87" s="1864">
        <f>AB88+AB89</f>
        <v>0</v>
      </c>
      <c r="AC87" s="1864">
        <f>AC88+AC89</f>
        <v>0</v>
      </c>
    </row>
    <row r="88" spans="1:29" s="484" customFormat="1">
      <c r="A88" s="1972"/>
      <c r="B88" s="1619" t="s">
        <v>1620</v>
      </c>
      <c r="C88" s="1906" t="s">
        <v>1630</v>
      </c>
      <c r="D88" s="1602">
        <f t="shared" si="19"/>
        <v>0</v>
      </c>
      <c r="E88" s="1864"/>
      <c r="F88" s="1864"/>
      <c r="G88" s="1602">
        <f t="shared" si="26"/>
        <v>10186.5</v>
      </c>
      <c r="H88" s="1864">
        <v>9575.2000000000007</v>
      </c>
      <c r="I88" s="1864">
        <v>611.29999999999995</v>
      </c>
      <c r="J88" s="1594">
        <f t="shared" si="20"/>
        <v>10186.5</v>
      </c>
      <c r="K88" s="1594">
        <f t="shared" si="21"/>
        <v>9575.2000000000007</v>
      </c>
      <c r="L88" s="1594">
        <f t="shared" si="22"/>
        <v>611.29999999999995</v>
      </c>
      <c r="M88" s="1602">
        <f t="shared" si="31"/>
        <v>10186.5</v>
      </c>
      <c r="N88" s="1864">
        <v>9575.2000000000007</v>
      </c>
      <c r="O88" s="1864">
        <v>611.29999999999995</v>
      </c>
      <c r="P88" s="1602">
        <f t="shared" si="24"/>
        <v>0</v>
      </c>
      <c r="Q88" s="1864"/>
      <c r="R88" s="1864"/>
      <c r="S88" s="1600">
        <f t="shared" si="28"/>
        <v>0</v>
      </c>
      <c r="T88" s="1907">
        <f t="shared" si="28"/>
        <v>0</v>
      </c>
      <c r="U88" s="1907">
        <f t="shared" si="28"/>
        <v>0</v>
      </c>
      <c r="V88" s="1593"/>
      <c r="W88" s="1593"/>
      <c r="X88" s="1602">
        <f t="shared" si="29"/>
        <v>0</v>
      </c>
      <c r="Y88" s="1614">
        <v>0</v>
      </c>
      <c r="Z88" s="1614">
        <v>0</v>
      </c>
      <c r="AA88" s="1602">
        <f t="shared" si="30"/>
        <v>0</v>
      </c>
      <c r="AB88" s="1614">
        <v>0</v>
      </c>
      <c r="AC88" s="1614">
        <v>0</v>
      </c>
    </row>
    <row r="89" spans="1:29" s="484" customFormat="1">
      <c r="A89" s="1972"/>
      <c r="B89" s="1619" t="s">
        <v>1621</v>
      </c>
      <c r="C89" s="1906" t="s">
        <v>1631</v>
      </c>
      <c r="D89" s="1602">
        <f t="shared" si="19"/>
        <v>0</v>
      </c>
      <c r="E89" s="1864"/>
      <c r="F89" s="1864"/>
      <c r="G89" s="1602">
        <f t="shared" si="26"/>
        <v>5553.2</v>
      </c>
      <c r="H89" s="1864"/>
      <c r="I89" s="1864">
        <v>5553.2</v>
      </c>
      <c r="J89" s="1594">
        <f t="shared" si="20"/>
        <v>5553.2</v>
      </c>
      <c r="K89" s="1594">
        <f t="shared" si="21"/>
        <v>0</v>
      </c>
      <c r="L89" s="1594">
        <f t="shared" si="22"/>
        <v>5553.2</v>
      </c>
      <c r="M89" s="1602">
        <f t="shared" si="31"/>
        <v>5553.2</v>
      </c>
      <c r="N89" s="1864"/>
      <c r="O89" s="1864">
        <v>5553.2</v>
      </c>
      <c r="P89" s="1602">
        <f t="shared" si="24"/>
        <v>0</v>
      </c>
      <c r="Q89" s="1864"/>
      <c r="R89" s="1864"/>
      <c r="S89" s="1600">
        <f t="shared" si="28"/>
        <v>0</v>
      </c>
      <c r="T89" s="1907">
        <f t="shared" si="28"/>
        <v>0</v>
      </c>
      <c r="U89" s="1907">
        <f t="shared" si="28"/>
        <v>0</v>
      </c>
      <c r="V89" s="1593"/>
      <c r="W89" s="1593"/>
      <c r="X89" s="1602">
        <f t="shared" si="29"/>
        <v>0</v>
      </c>
      <c r="Y89" s="1614">
        <v>0</v>
      </c>
      <c r="Z89" s="1614">
        <v>0</v>
      </c>
      <c r="AA89" s="1602">
        <f t="shared" si="30"/>
        <v>0</v>
      </c>
      <c r="AB89" s="1614">
        <v>0</v>
      </c>
      <c r="AC89" s="1614">
        <v>0</v>
      </c>
    </row>
    <row r="90" spans="1:29" s="484" customFormat="1">
      <c r="A90" s="1972"/>
      <c r="B90" s="1971" t="s">
        <v>583</v>
      </c>
      <c r="C90" s="1882"/>
      <c r="D90" s="1602">
        <f t="shared" si="19"/>
        <v>0</v>
      </c>
      <c r="E90" s="1603">
        <f>E91</f>
        <v>0</v>
      </c>
      <c r="F90" s="1603">
        <f>F91</f>
        <v>0</v>
      </c>
      <c r="G90" s="1602">
        <f t="shared" si="26"/>
        <v>8870</v>
      </c>
      <c r="H90" s="1603">
        <f t="shared" ref="H90:AC90" si="32">H91</f>
        <v>0</v>
      </c>
      <c r="I90" s="1603">
        <f t="shared" si="32"/>
        <v>8870</v>
      </c>
      <c r="J90" s="1594">
        <f t="shared" si="20"/>
        <v>8870</v>
      </c>
      <c r="K90" s="1594">
        <f t="shared" si="21"/>
        <v>0</v>
      </c>
      <c r="L90" s="1594">
        <f t="shared" si="22"/>
        <v>8870</v>
      </c>
      <c r="M90" s="1602">
        <f t="shared" si="31"/>
        <v>8870</v>
      </c>
      <c r="N90" s="1603">
        <f t="shared" si="32"/>
        <v>0</v>
      </c>
      <c r="O90" s="1603">
        <f t="shared" si="32"/>
        <v>8870</v>
      </c>
      <c r="P90" s="1602">
        <f t="shared" si="24"/>
        <v>0</v>
      </c>
      <c r="Q90" s="1603">
        <f t="shared" si="32"/>
        <v>0</v>
      </c>
      <c r="R90" s="1603">
        <f t="shared" si="32"/>
        <v>0</v>
      </c>
      <c r="S90" s="1601">
        <f t="shared" si="28"/>
        <v>0</v>
      </c>
      <c r="T90" s="1601">
        <f t="shared" si="28"/>
        <v>0</v>
      </c>
      <c r="U90" s="1601">
        <f t="shared" si="28"/>
        <v>0</v>
      </c>
      <c r="V90" s="1601">
        <f t="shared" si="32"/>
        <v>0</v>
      </c>
      <c r="W90" s="1601">
        <f t="shared" si="32"/>
        <v>0</v>
      </c>
      <c r="X90" s="1601">
        <f t="shared" si="32"/>
        <v>0</v>
      </c>
      <c r="Y90" s="1601">
        <f t="shared" si="32"/>
        <v>0</v>
      </c>
      <c r="Z90" s="1601">
        <f t="shared" si="32"/>
        <v>0</v>
      </c>
      <c r="AA90" s="1601">
        <f t="shared" si="32"/>
        <v>0</v>
      </c>
      <c r="AB90" s="1601">
        <f t="shared" si="32"/>
        <v>0</v>
      </c>
      <c r="AC90" s="1601">
        <f t="shared" si="32"/>
        <v>0</v>
      </c>
    </row>
    <row r="91" spans="1:29" s="484" customFormat="1" ht="27.75" customHeight="1">
      <c r="A91" s="1972">
        <f>A87+1</f>
        <v>38</v>
      </c>
      <c r="B91" s="1889" t="s">
        <v>1629</v>
      </c>
      <c r="C91" s="1882"/>
      <c r="D91" s="1602">
        <f t="shared" si="19"/>
        <v>0</v>
      </c>
      <c r="E91" s="1616">
        <f>E92</f>
        <v>0</v>
      </c>
      <c r="F91" s="1616">
        <f>F92</f>
        <v>0</v>
      </c>
      <c r="G91" s="1602">
        <f t="shared" si="26"/>
        <v>8870</v>
      </c>
      <c r="H91" s="1616">
        <f>H92</f>
        <v>0</v>
      </c>
      <c r="I91" s="1616">
        <f>I92</f>
        <v>8870</v>
      </c>
      <c r="J91" s="1594">
        <f t="shared" si="20"/>
        <v>8870</v>
      </c>
      <c r="K91" s="1594">
        <f t="shared" si="21"/>
        <v>0</v>
      </c>
      <c r="L91" s="1594">
        <f t="shared" si="22"/>
        <v>8870</v>
      </c>
      <c r="M91" s="1602">
        <f t="shared" si="31"/>
        <v>8870</v>
      </c>
      <c r="N91" s="1616">
        <f>N92</f>
        <v>0</v>
      </c>
      <c r="O91" s="1616">
        <f>O92</f>
        <v>8870</v>
      </c>
      <c r="P91" s="1602">
        <f t="shared" si="24"/>
        <v>0</v>
      </c>
      <c r="Q91" s="1616">
        <f>Q92</f>
        <v>0</v>
      </c>
      <c r="R91" s="1616"/>
      <c r="S91" s="1604">
        <f t="shared" si="28"/>
        <v>0</v>
      </c>
      <c r="T91" s="1881">
        <f t="shared" si="28"/>
        <v>0</v>
      </c>
      <c r="U91" s="1881">
        <f t="shared" si="28"/>
        <v>0</v>
      </c>
      <c r="V91" s="1593"/>
      <c r="W91" s="1593"/>
      <c r="X91" s="1602">
        <f t="shared" ref="X91:X160" si="33">SUM(Y91:Z91)</f>
        <v>0</v>
      </c>
      <c r="Y91" s="1616">
        <f>Y92</f>
        <v>0</v>
      </c>
      <c r="Z91" s="1616">
        <f>Z92</f>
        <v>0</v>
      </c>
      <c r="AA91" s="1602">
        <f t="shared" ref="AA91:AA160" si="34">SUM(AB91:AC91)</f>
        <v>0</v>
      </c>
      <c r="AB91" s="1616">
        <f>AB92</f>
        <v>0</v>
      </c>
      <c r="AC91" s="1616">
        <f>AC92</f>
        <v>0</v>
      </c>
    </row>
    <row r="92" spans="1:29" s="484" customFormat="1">
      <c r="A92" s="1972"/>
      <c r="B92" s="1619" t="s">
        <v>1621</v>
      </c>
      <c r="C92" s="1906"/>
      <c r="D92" s="1602">
        <f t="shared" si="19"/>
        <v>0</v>
      </c>
      <c r="E92" s="1864"/>
      <c r="F92" s="1864"/>
      <c r="G92" s="1602">
        <f t="shared" si="26"/>
        <v>8870</v>
      </c>
      <c r="H92" s="1864"/>
      <c r="I92" s="1864">
        <v>8870</v>
      </c>
      <c r="J92" s="1594">
        <f t="shared" si="20"/>
        <v>8870</v>
      </c>
      <c r="K92" s="1594">
        <f t="shared" si="21"/>
        <v>0</v>
      </c>
      <c r="L92" s="1594">
        <f t="shared" si="22"/>
        <v>8870</v>
      </c>
      <c r="M92" s="1602">
        <f t="shared" si="31"/>
        <v>8870</v>
      </c>
      <c r="N92" s="1864"/>
      <c r="O92" s="1864">
        <v>8870</v>
      </c>
      <c r="P92" s="1602">
        <f t="shared" si="24"/>
        <v>0</v>
      </c>
      <c r="Q92" s="1864"/>
      <c r="R92" s="1864"/>
      <c r="S92" s="1600">
        <f t="shared" si="28"/>
        <v>0</v>
      </c>
      <c r="T92" s="1907">
        <f t="shared" si="28"/>
        <v>0</v>
      </c>
      <c r="U92" s="1907">
        <f t="shared" si="28"/>
        <v>0</v>
      </c>
      <c r="V92" s="1593"/>
      <c r="W92" s="1593"/>
      <c r="X92" s="1602">
        <f t="shared" si="33"/>
        <v>0</v>
      </c>
      <c r="Y92" s="1865">
        <v>0</v>
      </c>
      <c r="Z92" s="1865">
        <v>0</v>
      </c>
      <c r="AA92" s="1602">
        <f t="shared" si="34"/>
        <v>0</v>
      </c>
      <c r="AB92" s="1865">
        <v>0</v>
      </c>
      <c r="AC92" s="1865">
        <v>0</v>
      </c>
    </row>
    <row r="93" spans="1:29" s="484" customFormat="1" ht="25.5" customHeight="1">
      <c r="A93" s="1972"/>
      <c r="B93" s="1971" t="s">
        <v>1624</v>
      </c>
      <c r="C93" s="1882"/>
      <c r="D93" s="1602">
        <f t="shared" si="19"/>
        <v>0</v>
      </c>
      <c r="E93" s="1603">
        <f>E94</f>
        <v>0</v>
      </c>
      <c r="F93" s="1603">
        <f>F94</f>
        <v>0</v>
      </c>
      <c r="G93" s="1602">
        <f t="shared" si="26"/>
        <v>2745.5</v>
      </c>
      <c r="H93" s="1603">
        <f>H94</f>
        <v>0</v>
      </c>
      <c r="I93" s="1603">
        <f>I94</f>
        <v>2745.5</v>
      </c>
      <c r="J93" s="1594">
        <f t="shared" si="20"/>
        <v>2745.5</v>
      </c>
      <c r="K93" s="1594">
        <f t="shared" si="21"/>
        <v>0</v>
      </c>
      <c r="L93" s="1594">
        <f t="shared" si="22"/>
        <v>2745.5</v>
      </c>
      <c r="M93" s="1602">
        <f t="shared" si="31"/>
        <v>2745.5</v>
      </c>
      <c r="N93" s="1603">
        <f>N94</f>
        <v>0</v>
      </c>
      <c r="O93" s="1603">
        <f>O94</f>
        <v>2745.5</v>
      </c>
      <c r="P93" s="1602">
        <f t="shared" si="24"/>
        <v>0</v>
      </c>
      <c r="Q93" s="1603">
        <f>Q94</f>
        <v>0</v>
      </c>
      <c r="R93" s="1603">
        <f>R94</f>
        <v>0</v>
      </c>
      <c r="S93" s="1601">
        <f t="shared" si="28"/>
        <v>0</v>
      </c>
      <c r="T93" s="1601">
        <f t="shared" si="28"/>
        <v>0</v>
      </c>
      <c r="U93" s="1601">
        <f t="shared" si="28"/>
        <v>0</v>
      </c>
      <c r="V93" s="1601">
        <f>V94</f>
        <v>0</v>
      </c>
      <c r="W93" s="1601">
        <f>W94</f>
        <v>0</v>
      </c>
      <c r="X93" s="1602">
        <f t="shared" si="33"/>
        <v>0</v>
      </c>
      <c r="Y93" s="1603">
        <f>Y94</f>
        <v>0</v>
      </c>
      <c r="Z93" s="1603">
        <f>Z94</f>
        <v>0</v>
      </c>
      <c r="AA93" s="1602">
        <f t="shared" si="34"/>
        <v>0</v>
      </c>
      <c r="AB93" s="1603">
        <f>AB94</f>
        <v>0</v>
      </c>
      <c r="AC93" s="1603">
        <f>AC94</f>
        <v>0</v>
      </c>
    </row>
    <row r="94" spans="1:29" s="484" customFormat="1" ht="45.75" customHeight="1">
      <c r="A94" s="1972">
        <f>A91+1</f>
        <v>39</v>
      </c>
      <c r="B94" s="1889" t="s">
        <v>1625</v>
      </c>
      <c r="C94" s="1882"/>
      <c r="D94" s="1602">
        <f t="shared" si="19"/>
        <v>0</v>
      </c>
      <c r="E94" s="1616">
        <f>E95</f>
        <v>0</v>
      </c>
      <c r="F94" s="1616">
        <f>F95</f>
        <v>0</v>
      </c>
      <c r="G94" s="1602">
        <f t="shared" si="26"/>
        <v>2745.5</v>
      </c>
      <c r="H94" s="1616">
        <f>H95</f>
        <v>0</v>
      </c>
      <c r="I94" s="1616">
        <f>I95</f>
        <v>2745.5</v>
      </c>
      <c r="J94" s="1594">
        <f t="shared" si="20"/>
        <v>2745.5</v>
      </c>
      <c r="K94" s="1594">
        <f t="shared" si="21"/>
        <v>0</v>
      </c>
      <c r="L94" s="1594">
        <f t="shared" si="22"/>
        <v>2745.5</v>
      </c>
      <c r="M94" s="1602">
        <f t="shared" si="31"/>
        <v>2745.5</v>
      </c>
      <c r="N94" s="1616">
        <f>N95</f>
        <v>0</v>
      </c>
      <c r="O94" s="1616">
        <f>O95</f>
        <v>2745.5</v>
      </c>
      <c r="P94" s="1602">
        <f t="shared" si="24"/>
        <v>0</v>
      </c>
      <c r="Q94" s="1616">
        <f>Q95</f>
        <v>0</v>
      </c>
      <c r="R94" s="1616">
        <f>R95</f>
        <v>0</v>
      </c>
      <c r="S94" s="1604">
        <f t="shared" si="28"/>
        <v>0</v>
      </c>
      <c r="T94" s="1881">
        <f t="shared" si="28"/>
        <v>0</v>
      </c>
      <c r="U94" s="1881">
        <f t="shared" si="28"/>
        <v>0</v>
      </c>
      <c r="V94" s="1593"/>
      <c r="W94" s="1593"/>
      <c r="X94" s="1602">
        <f t="shared" si="33"/>
        <v>0</v>
      </c>
      <c r="Y94" s="1616">
        <f>Y95</f>
        <v>0</v>
      </c>
      <c r="Z94" s="1616">
        <f>Z95</f>
        <v>0</v>
      </c>
      <c r="AA94" s="1602">
        <f t="shared" si="34"/>
        <v>0</v>
      </c>
      <c r="AB94" s="1616">
        <f>AB95</f>
        <v>0</v>
      </c>
      <c r="AC94" s="1616">
        <f>AC95</f>
        <v>0</v>
      </c>
    </row>
    <row r="95" spans="1:29" s="484" customFormat="1">
      <c r="A95" s="1972"/>
      <c r="B95" s="1619" t="s">
        <v>1621</v>
      </c>
      <c r="C95" s="1906"/>
      <c r="D95" s="1602">
        <f t="shared" si="19"/>
        <v>0</v>
      </c>
      <c r="E95" s="1864"/>
      <c r="F95" s="1864"/>
      <c r="G95" s="1602">
        <f t="shared" si="26"/>
        <v>2745.5</v>
      </c>
      <c r="H95" s="1864"/>
      <c r="I95" s="1864">
        <v>2745.5</v>
      </c>
      <c r="J95" s="1594">
        <f t="shared" si="20"/>
        <v>2745.5</v>
      </c>
      <c r="K95" s="1594">
        <f t="shared" si="21"/>
        <v>0</v>
      </c>
      <c r="L95" s="1594">
        <f t="shared" si="22"/>
        <v>2745.5</v>
      </c>
      <c r="M95" s="1602">
        <f t="shared" si="31"/>
        <v>2745.5</v>
      </c>
      <c r="N95" s="1864"/>
      <c r="O95" s="1864">
        <v>2745.5</v>
      </c>
      <c r="P95" s="1602">
        <f t="shared" si="24"/>
        <v>0</v>
      </c>
      <c r="Q95" s="1864"/>
      <c r="R95" s="1864"/>
      <c r="S95" s="1600">
        <f t="shared" si="28"/>
        <v>0</v>
      </c>
      <c r="T95" s="1907">
        <f t="shared" si="28"/>
        <v>0</v>
      </c>
      <c r="U95" s="1907">
        <f t="shared" si="28"/>
        <v>0</v>
      </c>
      <c r="V95" s="1593"/>
      <c r="W95" s="1593"/>
      <c r="X95" s="1602">
        <f t="shared" si="33"/>
        <v>0</v>
      </c>
      <c r="Y95" s="1614">
        <v>0</v>
      </c>
      <c r="Z95" s="1614">
        <v>0</v>
      </c>
      <c r="AA95" s="1602">
        <f t="shared" si="34"/>
        <v>0</v>
      </c>
      <c r="AB95" s="1614">
        <v>0</v>
      </c>
      <c r="AC95" s="1614">
        <v>0</v>
      </c>
    </row>
    <row r="96" spans="1:29" s="484" customFormat="1" ht="19.5" customHeight="1">
      <c r="A96" s="1972"/>
      <c r="B96" s="1971" t="s">
        <v>1401</v>
      </c>
      <c r="C96" s="1882"/>
      <c r="D96" s="1602">
        <f t="shared" si="19"/>
        <v>0</v>
      </c>
      <c r="E96" s="1603">
        <f>E97</f>
        <v>0</v>
      </c>
      <c r="F96" s="1603">
        <f>F97</f>
        <v>0</v>
      </c>
      <c r="G96" s="1602">
        <f t="shared" si="26"/>
        <v>87760</v>
      </c>
      <c r="H96" s="1603">
        <f>H97</f>
        <v>82493.5</v>
      </c>
      <c r="I96" s="1603">
        <f>I97</f>
        <v>5266.5</v>
      </c>
      <c r="J96" s="1594">
        <f t="shared" si="20"/>
        <v>87760</v>
      </c>
      <c r="K96" s="1594">
        <f t="shared" si="21"/>
        <v>82493.5</v>
      </c>
      <c r="L96" s="1594">
        <f t="shared" si="22"/>
        <v>5266.5</v>
      </c>
      <c r="M96" s="1602">
        <f t="shared" si="31"/>
        <v>87760</v>
      </c>
      <c r="N96" s="1603">
        <f>N97</f>
        <v>82493.5</v>
      </c>
      <c r="O96" s="1603">
        <f>O97</f>
        <v>5266.5</v>
      </c>
      <c r="P96" s="1602">
        <f t="shared" si="24"/>
        <v>0</v>
      </c>
      <c r="Q96" s="1603">
        <f>Q97</f>
        <v>0</v>
      </c>
      <c r="R96" s="1603">
        <f>R97</f>
        <v>0</v>
      </c>
      <c r="S96" s="1601">
        <f t="shared" si="28"/>
        <v>0</v>
      </c>
      <c r="T96" s="1601">
        <f t="shared" si="28"/>
        <v>0</v>
      </c>
      <c r="U96" s="1601">
        <f t="shared" si="28"/>
        <v>0</v>
      </c>
      <c r="V96" s="1601">
        <f>V97</f>
        <v>0</v>
      </c>
      <c r="W96" s="1601">
        <f>W97</f>
        <v>0</v>
      </c>
      <c r="X96" s="1602">
        <f t="shared" si="33"/>
        <v>0</v>
      </c>
      <c r="Y96" s="1603">
        <f>Y97</f>
        <v>0</v>
      </c>
      <c r="Z96" s="1603">
        <f>Z97</f>
        <v>0</v>
      </c>
      <c r="AA96" s="1602">
        <f t="shared" si="34"/>
        <v>0</v>
      </c>
      <c r="AB96" s="1603">
        <f>AB97</f>
        <v>0</v>
      </c>
      <c r="AC96" s="1603">
        <f>AC97</f>
        <v>0</v>
      </c>
    </row>
    <row r="97" spans="1:29" s="484" customFormat="1" ht="40.5" customHeight="1">
      <c r="A97" s="1972">
        <f>A94+1</f>
        <v>40</v>
      </c>
      <c r="B97" s="1889" t="s">
        <v>681</v>
      </c>
      <c r="C97" s="1882"/>
      <c r="D97" s="1602">
        <f t="shared" si="19"/>
        <v>0</v>
      </c>
      <c r="E97" s="1616"/>
      <c r="F97" s="1616"/>
      <c r="G97" s="1602">
        <f t="shared" si="26"/>
        <v>87760</v>
      </c>
      <c r="H97" s="1616">
        <v>82493.5</v>
      </c>
      <c r="I97" s="1616">
        <v>5266.5</v>
      </c>
      <c r="J97" s="1594">
        <f t="shared" si="20"/>
        <v>87760</v>
      </c>
      <c r="K97" s="1594">
        <f t="shared" si="21"/>
        <v>82493.5</v>
      </c>
      <c r="L97" s="1594">
        <f t="shared" si="22"/>
        <v>5266.5</v>
      </c>
      <c r="M97" s="1602">
        <f t="shared" si="31"/>
        <v>87760</v>
      </c>
      <c r="N97" s="1616">
        <v>82493.5</v>
      </c>
      <c r="O97" s="1616">
        <v>5266.5</v>
      </c>
      <c r="P97" s="1602">
        <f t="shared" si="24"/>
        <v>0</v>
      </c>
      <c r="Q97" s="1616"/>
      <c r="R97" s="1616"/>
      <c r="S97" s="1604">
        <f t="shared" si="28"/>
        <v>0</v>
      </c>
      <c r="T97" s="1881">
        <f t="shared" si="28"/>
        <v>0</v>
      </c>
      <c r="U97" s="1881">
        <f t="shared" si="28"/>
        <v>0</v>
      </c>
      <c r="V97" s="1593"/>
      <c r="W97" s="1593"/>
      <c r="X97" s="1602">
        <f t="shared" si="33"/>
        <v>0</v>
      </c>
      <c r="Y97" s="1614">
        <v>0</v>
      </c>
      <c r="Z97" s="1614">
        <v>0</v>
      </c>
      <c r="AA97" s="1602">
        <f t="shared" si="34"/>
        <v>0</v>
      </c>
      <c r="AB97" s="1614">
        <v>0</v>
      </c>
      <c r="AC97" s="1614">
        <v>0</v>
      </c>
    </row>
    <row r="98" spans="1:29" s="484" customFormat="1" ht="27" customHeight="1">
      <c r="A98" s="1972"/>
      <c r="B98" s="1971" t="s">
        <v>1554</v>
      </c>
      <c r="C98" s="1882"/>
      <c r="D98" s="1602">
        <f t="shared" si="19"/>
        <v>0</v>
      </c>
      <c r="E98" s="1603">
        <f>SUM(E99:E100)</f>
        <v>0</v>
      </c>
      <c r="F98" s="1603">
        <f>SUM(F99:F100)</f>
        <v>0</v>
      </c>
      <c r="G98" s="1602">
        <f t="shared" si="26"/>
        <v>75664.2</v>
      </c>
      <c r="H98" s="1603">
        <f>SUM(H99:H100)</f>
        <v>37567.599999999999</v>
      </c>
      <c r="I98" s="1603">
        <f>SUM(I99:I100)</f>
        <v>38096.6</v>
      </c>
      <c r="J98" s="1594">
        <f t="shared" si="20"/>
        <v>75664.2</v>
      </c>
      <c r="K98" s="1594">
        <f t="shared" si="21"/>
        <v>37567.599999999999</v>
      </c>
      <c r="L98" s="1594">
        <f t="shared" si="22"/>
        <v>38096.6</v>
      </c>
      <c r="M98" s="1602">
        <f t="shared" si="31"/>
        <v>75664.2</v>
      </c>
      <c r="N98" s="1603">
        <f>SUM(N99:N100)</f>
        <v>37567.599999999999</v>
      </c>
      <c r="O98" s="1603">
        <f>SUM(O99:O100)</f>
        <v>38096.6</v>
      </c>
      <c r="P98" s="1602">
        <f t="shared" si="24"/>
        <v>0</v>
      </c>
      <c r="Q98" s="1603">
        <f>SUM(Q99:Q100)</f>
        <v>0</v>
      </c>
      <c r="R98" s="1603">
        <f>SUM(R99:R100)</f>
        <v>0</v>
      </c>
      <c r="S98" s="1601">
        <f t="shared" si="28"/>
        <v>0</v>
      </c>
      <c r="T98" s="1601">
        <f t="shared" si="28"/>
        <v>0</v>
      </c>
      <c r="U98" s="1601">
        <f t="shared" si="28"/>
        <v>0</v>
      </c>
      <c r="V98" s="1593"/>
      <c r="W98" s="1593"/>
      <c r="X98" s="1602">
        <f t="shared" si="33"/>
        <v>0</v>
      </c>
      <c r="Y98" s="1603">
        <f>SUM(Y99:Y100)</f>
        <v>0</v>
      </c>
      <c r="Z98" s="1603">
        <f>SUM(Z99:Z100)</f>
        <v>0</v>
      </c>
      <c r="AA98" s="1602">
        <f t="shared" si="34"/>
        <v>0</v>
      </c>
      <c r="AB98" s="1603">
        <f>SUM(AB99:AB100)</f>
        <v>0</v>
      </c>
      <c r="AC98" s="1603">
        <f>SUM(AC99:AC100)</f>
        <v>0</v>
      </c>
    </row>
    <row r="99" spans="1:29" s="484" customFormat="1" ht="42.75" customHeight="1">
      <c r="A99" s="1972">
        <f>A97+1</f>
        <v>41</v>
      </c>
      <c r="B99" s="1889" t="s">
        <v>1623</v>
      </c>
      <c r="C99" s="1882"/>
      <c r="D99" s="1602">
        <f t="shared" si="19"/>
        <v>0</v>
      </c>
      <c r="E99" s="1616"/>
      <c r="F99" s="1616"/>
      <c r="G99" s="1602">
        <f t="shared" si="26"/>
        <v>39965.599999999999</v>
      </c>
      <c r="H99" s="1616">
        <v>37567.599999999999</v>
      </c>
      <c r="I99" s="1616">
        <v>2398</v>
      </c>
      <c r="J99" s="1594">
        <f t="shared" si="20"/>
        <v>39965.599999999999</v>
      </c>
      <c r="K99" s="1594">
        <f t="shared" si="21"/>
        <v>37567.599999999999</v>
      </c>
      <c r="L99" s="1594">
        <f t="shared" si="22"/>
        <v>2398</v>
      </c>
      <c r="M99" s="1602">
        <f t="shared" si="31"/>
        <v>39965.599999999999</v>
      </c>
      <c r="N99" s="1616">
        <v>37567.599999999999</v>
      </c>
      <c r="O99" s="1616">
        <v>2398</v>
      </c>
      <c r="P99" s="1602">
        <f t="shared" si="24"/>
        <v>0</v>
      </c>
      <c r="Q99" s="1616"/>
      <c r="R99" s="1616"/>
      <c r="S99" s="1604">
        <f t="shared" si="28"/>
        <v>0</v>
      </c>
      <c r="T99" s="1881">
        <f t="shared" si="28"/>
        <v>0</v>
      </c>
      <c r="U99" s="1881">
        <f t="shared" si="28"/>
        <v>0</v>
      </c>
      <c r="V99" s="1593"/>
      <c r="W99" s="1593"/>
      <c r="X99" s="1602">
        <f t="shared" si="33"/>
        <v>0</v>
      </c>
      <c r="Y99" s="1614">
        <v>0</v>
      </c>
      <c r="Z99" s="1614">
        <v>0</v>
      </c>
      <c r="AA99" s="1602">
        <f t="shared" si="34"/>
        <v>0</v>
      </c>
      <c r="AB99" s="1614">
        <v>0</v>
      </c>
      <c r="AC99" s="1614">
        <v>0</v>
      </c>
    </row>
    <row r="100" spans="1:29" s="484" customFormat="1" ht="44.25" customHeight="1">
      <c r="A100" s="1972">
        <f>A99+1</f>
        <v>42</v>
      </c>
      <c r="B100" s="1889" t="s">
        <v>1660</v>
      </c>
      <c r="C100" s="1882"/>
      <c r="D100" s="1616">
        <f t="shared" si="19"/>
        <v>0</v>
      </c>
      <c r="E100" s="1616">
        <f>E101</f>
        <v>0</v>
      </c>
      <c r="F100" s="1616">
        <f>F101</f>
        <v>0</v>
      </c>
      <c r="G100" s="1616">
        <f t="shared" si="26"/>
        <v>35698.6</v>
      </c>
      <c r="H100" s="1616">
        <f t="shared" ref="H100:R100" si="35">H101</f>
        <v>0</v>
      </c>
      <c r="I100" s="1616">
        <f t="shared" si="35"/>
        <v>35698.6</v>
      </c>
      <c r="J100" s="1594">
        <f t="shared" si="20"/>
        <v>35698.6</v>
      </c>
      <c r="K100" s="1594">
        <f t="shared" si="21"/>
        <v>0</v>
      </c>
      <c r="L100" s="1594">
        <f t="shared" si="22"/>
        <v>35698.6</v>
      </c>
      <c r="M100" s="1616">
        <f t="shared" si="31"/>
        <v>35698.6</v>
      </c>
      <c r="N100" s="1616">
        <f t="shared" si="35"/>
        <v>0</v>
      </c>
      <c r="O100" s="1616">
        <f t="shared" si="35"/>
        <v>35698.6</v>
      </c>
      <c r="P100" s="1616">
        <f t="shared" si="24"/>
        <v>0</v>
      </c>
      <c r="Q100" s="1616">
        <f t="shared" si="35"/>
        <v>0</v>
      </c>
      <c r="R100" s="1616">
        <f t="shared" si="35"/>
        <v>0</v>
      </c>
      <c r="S100" s="1604">
        <f t="shared" si="28"/>
        <v>0</v>
      </c>
      <c r="T100" s="1881">
        <f t="shared" si="28"/>
        <v>0</v>
      </c>
      <c r="U100" s="1881">
        <f t="shared" si="28"/>
        <v>0</v>
      </c>
      <c r="V100" s="1593"/>
      <c r="W100" s="1593"/>
      <c r="X100" s="1616">
        <f t="shared" si="33"/>
        <v>0</v>
      </c>
      <c r="Y100" s="1616">
        <f>Y101</f>
        <v>0</v>
      </c>
      <c r="Z100" s="1616">
        <f>Z101</f>
        <v>0</v>
      </c>
      <c r="AA100" s="1616">
        <f t="shared" si="34"/>
        <v>0</v>
      </c>
      <c r="AB100" s="1616">
        <f>AB101</f>
        <v>0</v>
      </c>
      <c r="AC100" s="1616">
        <f>AC101</f>
        <v>0</v>
      </c>
    </row>
    <row r="101" spans="1:29" s="484" customFormat="1">
      <c r="A101" s="1972"/>
      <c r="B101" s="1619" t="s">
        <v>1621</v>
      </c>
      <c r="C101" s="1906"/>
      <c r="D101" s="1602">
        <f t="shared" si="19"/>
        <v>0</v>
      </c>
      <c r="E101" s="1864"/>
      <c r="F101" s="1864"/>
      <c r="G101" s="1602">
        <f t="shared" si="26"/>
        <v>35698.6</v>
      </c>
      <c r="H101" s="1864"/>
      <c r="I101" s="1864">
        <v>35698.6</v>
      </c>
      <c r="J101" s="1594">
        <f t="shared" si="20"/>
        <v>35698.6</v>
      </c>
      <c r="K101" s="1594">
        <f t="shared" si="21"/>
        <v>0</v>
      </c>
      <c r="L101" s="1594">
        <f t="shared" si="22"/>
        <v>35698.6</v>
      </c>
      <c r="M101" s="1602">
        <f t="shared" si="31"/>
        <v>35698.6</v>
      </c>
      <c r="N101" s="1864"/>
      <c r="O101" s="1864">
        <v>35698.6</v>
      </c>
      <c r="P101" s="1602">
        <f t="shared" si="24"/>
        <v>0</v>
      </c>
      <c r="Q101" s="1864"/>
      <c r="R101" s="1864"/>
      <c r="S101" s="1600">
        <f t="shared" si="28"/>
        <v>0</v>
      </c>
      <c r="T101" s="1907">
        <f t="shared" si="28"/>
        <v>0</v>
      </c>
      <c r="U101" s="1907">
        <f t="shared" si="28"/>
        <v>0</v>
      </c>
      <c r="V101" s="1593"/>
      <c r="W101" s="1593"/>
      <c r="X101" s="1609">
        <f t="shared" si="33"/>
        <v>0</v>
      </c>
      <c r="Y101" s="1614">
        <v>0</v>
      </c>
      <c r="Z101" s="1614">
        <v>0</v>
      </c>
      <c r="AA101" s="1602">
        <f t="shared" si="34"/>
        <v>0</v>
      </c>
      <c r="AB101" s="1614">
        <v>0</v>
      </c>
      <c r="AC101" s="1614">
        <v>0</v>
      </c>
    </row>
    <row r="102" spans="1:29" s="484" customFormat="1">
      <c r="A102" s="1972"/>
      <c r="B102" s="1971" t="s">
        <v>1626</v>
      </c>
      <c r="C102" s="1882"/>
      <c r="D102" s="1602">
        <f t="shared" si="19"/>
        <v>0</v>
      </c>
      <c r="E102" s="1603">
        <f>E103</f>
        <v>0</v>
      </c>
      <c r="F102" s="1603">
        <f>F103</f>
        <v>0</v>
      </c>
      <c r="G102" s="1602">
        <f t="shared" si="26"/>
        <v>2446</v>
      </c>
      <c r="H102" s="1603">
        <f>H103</f>
        <v>0</v>
      </c>
      <c r="I102" s="1603">
        <f>I103</f>
        <v>2446</v>
      </c>
      <c r="J102" s="1594">
        <f t="shared" si="20"/>
        <v>2446</v>
      </c>
      <c r="K102" s="1594">
        <f t="shared" si="21"/>
        <v>0</v>
      </c>
      <c r="L102" s="1594">
        <f t="shared" si="22"/>
        <v>2446</v>
      </c>
      <c r="M102" s="1602">
        <f t="shared" si="31"/>
        <v>2446</v>
      </c>
      <c r="N102" s="1603">
        <f>N103</f>
        <v>0</v>
      </c>
      <c r="O102" s="1603">
        <f>O103</f>
        <v>2446</v>
      </c>
      <c r="P102" s="1602">
        <f t="shared" si="24"/>
        <v>0</v>
      </c>
      <c r="Q102" s="1603">
        <f>Q103</f>
        <v>0</v>
      </c>
      <c r="R102" s="1603">
        <f>R103</f>
        <v>0</v>
      </c>
      <c r="S102" s="1601">
        <f t="shared" si="28"/>
        <v>0</v>
      </c>
      <c r="T102" s="1601">
        <f t="shared" si="28"/>
        <v>0</v>
      </c>
      <c r="U102" s="1601">
        <f t="shared" si="28"/>
        <v>0</v>
      </c>
      <c r="V102" s="1593"/>
      <c r="W102" s="1593"/>
      <c r="X102" s="1602">
        <f t="shared" si="33"/>
        <v>0</v>
      </c>
      <c r="Y102" s="1603">
        <f>Y103</f>
        <v>0</v>
      </c>
      <c r="Z102" s="1603">
        <f>Z103</f>
        <v>0</v>
      </c>
      <c r="AA102" s="1602">
        <f t="shared" si="34"/>
        <v>0</v>
      </c>
      <c r="AB102" s="1603">
        <f>AB103</f>
        <v>0</v>
      </c>
      <c r="AC102" s="1603">
        <f>AC103</f>
        <v>0</v>
      </c>
    </row>
    <row r="103" spans="1:29" s="484" customFormat="1" ht="37.5">
      <c r="A103" s="1972">
        <f>A100+1</f>
        <v>43</v>
      </c>
      <c r="B103" s="1889" t="s">
        <v>1627</v>
      </c>
      <c r="C103" s="1882"/>
      <c r="D103" s="1600">
        <f t="shared" si="19"/>
        <v>0</v>
      </c>
      <c r="E103" s="1608">
        <f>E104</f>
        <v>0</v>
      </c>
      <c r="F103" s="1608">
        <f>F104</f>
        <v>0</v>
      </c>
      <c r="G103" s="1600">
        <f t="shared" si="26"/>
        <v>2446</v>
      </c>
      <c r="H103" s="1608">
        <f>H104</f>
        <v>0</v>
      </c>
      <c r="I103" s="1608">
        <f>I104</f>
        <v>2446</v>
      </c>
      <c r="J103" s="1594">
        <f t="shared" si="20"/>
        <v>2446</v>
      </c>
      <c r="K103" s="1594">
        <f t="shared" si="21"/>
        <v>0</v>
      </c>
      <c r="L103" s="1594">
        <f t="shared" si="22"/>
        <v>2446</v>
      </c>
      <c r="M103" s="1600">
        <f t="shared" si="31"/>
        <v>2446</v>
      </c>
      <c r="N103" s="1608">
        <f>N104</f>
        <v>0</v>
      </c>
      <c r="O103" s="1608">
        <f>O104</f>
        <v>2446</v>
      </c>
      <c r="P103" s="1600">
        <f t="shared" si="24"/>
        <v>0</v>
      </c>
      <c r="Q103" s="1608">
        <f>Q104</f>
        <v>0</v>
      </c>
      <c r="R103" s="1608">
        <f>R104</f>
        <v>0</v>
      </c>
      <c r="S103" s="1604">
        <f t="shared" si="28"/>
        <v>0</v>
      </c>
      <c r="T103" s="1881">
        <f t="shared" si="28"/>
        <v>0</v>
      </c>
      <c r="U103" s="1881">
        <f t="shared" si="28"/>
        <v>0</v>
      </c>
      <c r="V103" s="1593"/>
      <c r="W103" s="1593"/>
      <c r="X103" s="1600">
        <f t="shared" si="33"/>
        <v>0</v>
      </c>
      <c r="Y103" s="1608">
        <f>Y104</f>
        <v>0</v>
      </c>
      <c r="Z103" s="1608">
        <f>Z104</f>
        <v>0</v>
      </c>
      <c r="AA103" s="1600">
        <f t="shared" si="34"/>
        <v>0</v>
      </c>
      <c r="AB103" s="1608">
        <f>AB104</f>
        <v>0</v>
      </c>
      <c r="AC103" s="1608">
        <f>AC104</f>
        <v>0</v>
      </c>
    </row>
    <row r="104" spans="1:29" s="484" customFormat="1">
      <c r="A104" s="1972"/>
      <c r="B104" s="1619" t="s">
        <v>1621</v>
      </c>
      <c r="C104" s="1906"/>
      <c r="D104" s="1600">
        <f t="shared" si="19"/>
        <v>0</v>
      </c>
      <c r="E104" s="1865"/>
      <c r="F104" s="1865"/>
      <c r="G104" s="1600">
        <f t="shared" si="26"/>
        <v>2446</v>
      </c>
      <c r="H104" s="1865"/>
      <c r="I104" s="1865">
        <v>2446</v>
      </c>
      <c r="J104" s="1594">
        <f t="shared" si="20"/>
        <v>2446</v>
      </c>
      <c r="K104" s="1594">
        <f t="shared" si="21"/>
        <v>0</v>
      </c>
      <c r="L104" s="1594">
        <f t="shared" si="22"/>
        <v>2446</v>
      </c>
      <c r="M104" s="1600">
        <f t="shared" si="31"/>
        <v>2446</v>
      </c>
      <c r="N104" s="1865"/>
      <c r="O104" s="1865">
        <v>2446</v>
      </c>
      <c r="P104" s="1600">
        <f t="shared" si="24"/>
        <v>0</v>
      </c>
      <c r="Q104" s="1865"/>
      <c r="R104" s="1865"/>
      <c r="S104" s="1600">
        <f t="shared" si="28"/>
        <v>0</v>
      </c>
      <c r="T104" s="1907">
        <f t="shared" si="28"/>
        <v>0</v>
      </c>
      <c r="U104" s="1907">
        <f t="shared" si="28"/>
        <v>0</v>
      </c>
      <c r="V104" s="1593"/>
      <c r="W104" s="1593"/>
      <c r="X104" s="1600">
        <f t="shared" si="33"/>
        <v>0</v>
      </c>
      <c r="Y104" s="1614">
        <v>0</v>
      </c>
      <c r="Z104" s="1614">
        <v>0</v>
      </c>
      <c r="AA104" s="1600">
        <f t="shared" si="34"/>
        <v>0</v>
      </c>
      <c r="AB104" s="1614">
        <v>0</v>
      </c>
      <c r="AC104" s="1614">
        <v>0</v>
      </c>
    </row>
    <row r="105" spans="1:29" ht="93.75">
      <c r="A105" s="1972" t="s">
        <v>2</v>
      </c>
      <c r="B105" s="1872" t="s">
        <v>1434</v>
      </c>
      <c r="C105" s="1873"/>
      <c r="D105" s="1861">
        <f t="shared" si="19"/>
        <v>5101676.9000000004</v>
      </c>
      <c r="E105" s="1861">
        <f>SUM(E106,E148)</f>
        <v>3833150.5</v>
      </c>
      <c r="F105" s="1861">
        <f>SUM(F106,F148)</f>
        <v>1268526.3999999999</v>
      </c>
      <c r="G105" s="1861">
        <f t="shared" si="26"/>
        <v>5107270.0999999996</v>
      </c>
      <c r="H105" s="1861">
        <f>SUM(H106,H148)</f>
        <v>3705376</v>
      </c>
      <c r="I105" s="1861">
        <f>SUM(I106,I148)</f>
        <v>1401894.1</v>
      </c>
      <c r="J105" s="1594">
        <f t="shared" si="20"/>
        <v>5593.2</v>
      </c>
      <c r="K105" s="1594">
        <f t="shared" si="21"/>
        <v>-127774.5</v>
      </c>
      <c r="L105" s="1594">
        <f t="shared" si="22"/>
        <v>133367.70000000001</v>
      </c>
      <c r="M105" s="1861">
        <f t="shared" si="31"/>
        <v>5099048.9000000004</v>
      </c>
      <c r="N105" s="1861">
        <f>SUM(N106,N148)</f>
        <v>3705376</v>
      </c>
      <c r="O105" s="1861">
        <f>SUM(O106,O148)</f>
        <v>1393672.9</v>
      </c>
      <c r="P105" s="1861">
        <f t="shared" si="24"/>
        <v>104500.1</v>
      </c>
      <c r="Q105" s="1861">
        <f>SUM(Q106,Q148)</f>
        <v>89063.6</v>
      </c>
      <c r="R105" s="1861">
        <f>SUM(R106,R148)</f>
        <v>15436.5</v>
      </c>
      <c r="S105" s="1874">
        <f t="shared" si="28"/>
        <v>2</v>
      </c>
      <c r="T105" s="1875">
        <f t="shared" si="28"/>
        <v>2.4</v>
      </c>
      <c r="U105" s="1875">
        <f t="shared" si="28"/>
        <v>1.1000000000000001</v>
      </c>
      <c r="V105" s="1622" t="s">
        <v>353</v>
      </c>
      <c r="W105" s="1622" t="s">
        <v>353</v>
      </c>
      <c r="X105" s="1861" t="e">
        <f t="shared" si="33"/>
        <v>#REF!</v>
      </c>
      <c r="Y105" s="1861" t="e">
        <f>SUM(Y106,Y148)</f>
        <v>#REF!</v>
      </c>
      <c r="Z105" s="1861" t="e">
        <f>SUM(Z106,Z148)</f>
        <v>#REF!</v>
      </c>
      <c r="AA105" s="1861" t="e">
        <f t="shared" si="34"/>
        <v>#REF!</v>
      </c>
      <c r="AB105" s="1861" t="e">
        <f>SUM(AB106,AB148)</f>
        <v>#REF!</v>
      </c>
      <c r="AC105" s="1861" t="e">
        <f>SUM(AC106,AC148)</f>
        <v>#REF!</v>
      </c>
    </row>
    <row r="106" spans="1:29">
      <c r="A106" s="1972" t="s">
        <v>246</v>
      </c>
      <c r="B106" s="1876" t="s">
        <v>1393</v>
      </c>
      <c r="C106" s="1877"/>
      <c r="D106" s="1598">
        <f t="shared" si="19"/>
        <v>203330.9</v>
      </c>
      <c r="E106" s="1598">
        <f>SUM(E107,E140)</f>
        <v>0</v>
      </c>
      <c r="F106" s="1598">
        <f>SUM(F107,F140)</f>
        <v>203330.9</v>
      </c>
      <c r="G106" s="1598">
        <f t="shared" si="26"/>
        <v>246717.5</v>
      </c>
      <c r="H106" s="1598">
        <f>SUM(H107,H140)</f>
        <v>0</v>
      </c>
      <c r="I106" s="1598">
        <f>SUM(I107,I140)</f>
        <v>246717.5</v>
      </c>
      <c r="J106" s="1594">
        <f t="shared" si="20"/>
        <v>43386.6</v>
      </c>
      <c r="K106" s="1594">
        <f t="shared" si="21"/>
        <v>0</v>
      </c>
      <c r="L106" s="1594">
        <f t="shared" si="22"/>
        <v>43386.6</v>
      </c>
      <c r="M106" s="1598">
        <f t="shared" si="31"/>
        <v>238496.3</v>
      </c>
      <c r="N106" s="1598">
        <f>SUM(N107,N140)</f>
        <v>0</v>
      </c>
      <c r="O106" s="1598">
        <f>SUM(O107,O140)</f>
        <v>238496.3</v>
      </c>
      <c r="P106" s="1598">
        <f t="shared" si="24"/>
        <v>9750</v>
      </c>
      <c r="Q106" s="1598">
        <f>SUM(Q107,Q140)</f>
        <v>0</v>
      </c>
      <c r="R106" s="1598">
        <f>SUM(R107,R140)</f>
        <v>9750</v>
      </c>
      <c r="S106" s="1908">
        <f t="shared" si="28"/>
        <v>4.0999999999999996</v>
      </c>
      <c r="T106" s="1909">
        <f t="shared" si="28"/>
        <v>0</v>
      </c>
      <c r="U106" s="1909">
        <f t="shared" si="28"/>
        <v>4.0999999999999996</v>
      </c>
      <c r="V106" s="1599" t="s">
        <v>353</v>
      </c>
      <c r="W106" s="1599" t="s">
        <v>353</v>
      </c>
      <c r="X106" s="1598">
        <f t="shared" si="33"/>
        <v>39180</v>
      </c>
      <c r="Y106" s="1598">
        <f>SUM(Y107,Y140)</f>
        <v>0</v>
      </c>
      <c r="Z106" s="1598">
        <f>SUM(Z107,Z140)</f>
        <v>39180</v>
      </c>
      <c r="AA106" s="1598">
        <f>SUM(AB106:AC106)</f>
        <v>0</v>
      </c>
      <c r="AB106" s="1598">
        <f>SUM(AB107,AB140)</f>
        <v>0</v>
      </c>
      <c r="AC106" s="1598">
        <f>SUM(AC107,AC140)</f>
        <v>0</v>
      </c>
    </row>
    <row r="107" spans="1:29">
      <c r="A107" s="1972" t="s">
        <v>247</v>
      </c>
      <c r="B107" s="1897" t="s">
        <v>529</v>
      </c>
      <c r="C107" s="1898"/>
      <c r="D107" s="1899">
        <f t="shared" si="19"/>
        <v>203330.9</v>
      </c>
      <c r="E107" s="1899">
        <f>SUM(E108:E139)</f>
        <v>0</v>
      </c>
      <c r="F107" s="1899">
        <f>SUM(F108:F139)</f>
        <v>203330.9</v>
      </c>
      <c r="G107" s="1899">
        <f>SUM(H107:I107)</f>
        <v>191417.5</v>
      </c>
      <c r="H107" s="1899">
        <f>SUM(H108:H139)</f>
        <v>0</v>
      </c>
      <c r="I107" s="1899">
        <f>SUM(I108:I139)</f>
        <v>191417.5</v>
      </c>
      <c r="J107" s="1594">
        <f t="shared" si="20"/>
        <v>-11913.4</v>
      </c>
      <c r="K107" s="1594">
        <f t="shared" si="21"/>
        <v>0</v>
      </c>
      <c r="L107" s="1594">
        <f t="shared" si="22"/>
        <v>-11913.4</v>
      </c>
      <c r="M107" s="1899">
        <f>SUM(N107:O107)</f>
        <v>183196.3</v>
      </c>
      <c r="N107" s="1899">
        <f>SUM(N108:N139)</f>
        <v>0</v>
      </c>
      <c r="O107" s="1899">
        <f>SUM(O108:O139)</f>
        <v>183196.3</v>
      </c>
      <c r="P107" s="1899">
        <f>SUM(Q107:R107)</f>
        <v>9750</v>
      </c>
      <c r="Q107" s="1899">
        <f>SUM(Q108:Q139)</f>
        <v>0</v>
      </c>
      <c r="R107" s="1899">
        <f>SUM(R108:R139)</f>
        <v>9750</v>
      </c>
      <c r="S107" s="1910">
        <f t="shared" si="28"/>
        <v>5.3</v>
      </c>
      <c r="T107" s="1911">
        <f t="shared" si="28"/>
        <v>0</v>
      </c>
      <c r="U107" s="1911">
        <f t="shared" si="28"/>
        <v>5.3</v>
      </c>
      <c r="V107" s="1599"/>
      <c r="W107" s="1599"/>
      <c r="X107" s="1899">
        <f t="shared" si="33"/>
        <v>38180</v>
      </c>
      <c r="Y107" s="1899">
        <f>SUM(Y108:Y138)</f>
        <v>0</v>
      </c>
      <c r="Z107" s="1899">
        <f>SUM(Z108:Z138)</f>
        <v>38180</v>
      </c>
      <c r="AA107" s="1899">
        <f t="shared" si="34"/>
        <v>0</v>
      </c>
      <c r="AB107" s="1899">
        <f>SUM(AB108:AB138)</f>
        <v>0</v>
      </c>
      <c r="AC107" s="1899">
        <f>SUM(AC108:AC138)</f>
        <v>0</v>
      </c>
    </row>
    <row r="108" spans="1:29" s="1570" customFormat="1" ht="24.75" customHeight="1">
      <c r="A108" s="1972">
        <f>A103+1</f>
        <v>44</v>
      </c>
      <c r="B108" s="1885" t="s">
        <v>1588</v>
      </c>
      <c r="C108" s="1972" t="s">
        <v>1612</v>
      </c>
      <c r="D108" s="1600">
        <f t="shared" ref="D108:D136" si="36">SUM(E108:F108)</f>
        <v>0</v>
      </c>
      <c r="E108" s="1614"/>
      <c r="F108" s="1614"/>
      <c r="G108" s="1600">
        <f t="shared" si="26"/>
        <v>10224.4</v>
      </c>
      <c r="H108" s="1614"/>
      <c r="I108" s="1614">
        <v>10224.4</v>
      </c>
      <c r="J108" s="1594">
        <f t="shared" si="20"/>
        <v>10224.4</v>
      </c>
      <c r="K108" s="1594">
        <f t="shared" si="21"/>
        <v>0</v>
      </c>
      <c r="L108" s="1594">
        <f t="shared" si="22"/>
        <v>10224.4</v>
      </c>
      <c r="M108" s="1600">
        <f t="shared" si="31"/>
        <v>10224.4</v>
      </c>
      <c r="N108" s="1614"/>
      <c r="O108" s="1614">
        <v>10224.4</v>
      </c>
      <c r="P108" s="1600">
        <f t="shared" si="24"/>
        <v>0</v>
      </c>
      <c r="Q108" s="1614"/>
      <c r="R108" s="1614"/>
      <c r="S108" s="1604">
        <f t="shared" si="28"/>
        <v>0</v>
      </c>
      <c r="T108" s="1881">
        <f t="shared" si="28"/>
        <v>0</v>
      </c>
      <c r="U108" s="1881">
        <f t="shared" si="28"/>
        <v>0</v>
      </c>
      <c r="V108" s="1593"/>
      <c r="W108" s="1612"/>
      <c r="X108" s="1600">
        <f t="shared" si="33"/>
        <v>0</v>
      </c>
      <c r="Y108" s="1614">
        <v>0</v>
      </c>
      <c r="Z108" s="1614">
        <v>0</v>
      </c>
      <c r="AA108" s="1600">
        <f t="shared" si="34"/>
        <v>0</v>
      </c>
      <c r="AB108" s="1614">
        <v>0</v>
      </c>
      <c r="AC108" s="1614">
        <v>0</v>
      </c>
    </row>
    <row r="109" spans="1:29" ht="37.5">
      <c r="A109" s="1972">
        <f t="shared" ref="A109:A138" si="37">A108+1</f>
        <v>45</v>
      </c>
      <c r="B109" s="1912" t="s">
        <v>1592</v>
      </c>
      <c r="C109" s="1913">
        <v>14038</v>
      </c>
      <c r="D109" s="1600">
        <f t="shared" si="36"/>
        <v>0</v>
      </c>
      <c r="E109" s="1608"/>
      <c r="F109" s="1608"/>
      <c r="G109" s="1600">
        <f t="shared" si="26"/>
        <v>2373</v>
      </c>
      <c r="H109" s="1608"/>
      <c r="I109" s="1608">
        <v>2373</v>
      </c>
      <c r="J109" s="1594">
        <f t="shared" si="20"/>
        <v>2373</v>
      </c>
      <c r="K109" s="1594">
        <f t="shared" si="21"/>
        <v>0</v>
      </c>
      <c r="L109" s="1594">
        <f t="shared" si="22"/>
        <v>2373</v>
      </c>
      <c r="M109" s="1600">
        <f t="shared" si="31"/>
        <v>2373</v>
      </c>
      <c r="N109" s="1608"/>
      <c r="O109" s="1608">
        <v>2373</v>
      </c>
      <c r="P109" s="1600">
        <f t="shared" si="24"/>
        <v>0</v>
      </c>
      <c r="Q109" s="1608"/>
      <c r="R109" s="1608"/>
      <c r="S109" s="1893">
        <f t="shared" si="28"/>
        <v>0</v>
      </c>
      <c r="T109" s="1894">
        <f t="shared" si="28"/>
        <v>0</v>
      </c>
      <c r="U109" s="1894">
        <f t="shared" si="28"/>
        <v>0</v>
      </c>
      <c r="V109" s="1593"/>
      <c r="W109" s="1593"/>
      <c r="X109" s="1600">
        <f t="shared" si="33"/>
        <v>0</v>
      </c>
      <c r="Y109" s="1614">
        <v>0</v>
      </c>
      <c r="Z109" s="1614">
        <v>0</v>
      </c>
      <c r="AA109" s="1600">
        <f t="shared" si="34"/>
        <v>0</v>
      </c>
      <c r="AB109" s="1614">
        <v>0</v>
      </c>
      <c r="AC109" s="1614">
        <v>0</v>
      </c>
    </row>
    <row r="110" spans="1:29" ht="37.5">
      <c r="A110" s="1972">
        <f t="shared" si="37"/>
        <v>46</v>
      </c>
      <c r="B110" s="1889" t="s">
        <v>1657</v>
      </c>
      <c r="C110" s="1973"/>
      <c r="D110" s="1600">
        <f t="shared" si="36"/>
        <v>0</v>
      </c>
      <c r="E110" s="1616"/>
      <c r="F110" s="1616"/>
      <c r="G110" s="1600">
        <f t="shared" si="26"/>
        <v>2000</v>
      </c>
      <c r="H110" s="1616"/>
      <c r="I110" s="1616">
        <v>2000</v>
      </c>
      <c r="J110" s="1594">
        <f t="shared" si="20"/>
        <v>2000</v>
      </c>
      <c r="K110" s="1594">
        <f t="shared" si="21"/>
        <v>0</v>
      </c>
      <c r="L110" s="1594">
        <f t="shared" si="22"/>
        <v>2000</v>
      </c>
      <c r="M110" s="1600">
        <f t="shared" si="31"/>
        <v>2000</v>
      </c>
      <c r="N110" s="1616"/>
      <c r="O110" s="1616">
        <v>2000</v>
      </c>
      <c r="P110" s="1600">
        <f t="shared" si="24"/>
        <v>0</v>
      </c>
      <c r="Q110" s="1616"/>
      <c r="R110" s="1616"/>
      <c r="S110" s="1604">
        <f t="shared" si="28"/>
        <v>0</v>
      </c>
      <c r="T110" s="1881">
        <f t="shared" si="28"/>
        <v>0</v>
      </c>
      <c r="U110" s="1881">
        <f t="shared" si="28"/>
        <v>0</v>
      </c>
      <c r="V110" s="1599"/>
      <c r="W110" s="1599"/>
      <c r="X110" s="1600">
        <f t="shared" si="33"/>
        <v>0</v>
      </c>
      <c r="Y110" s="1614">
        <v>0</v>
      </c>
      <c r="Z110" s="1614">
        <v>0</v>
      </c>
      <c r="AA110" s="1600">
        <f t="shared" si="34"/>
        <v>0</v>
      </c>
      <c r="AB110" s="1614">
        <v>0</v>
      </c>
      <c r="AC110" s="1614">
        <v>0</v>
      </c>
    </row>
    <row r="111" spans="1:29" ht="45" customHeight="1">
      <c r="A111" s="1972">
        <f t="shared" si="37"/>
        <v>47</v>
      </c>
      <c r="B111" s="1883" t="s">
        <v>1443</v>
      </c>
      <c r="C111" s="1972">
        <v>14065</v>
      </c>
      <c r="D111" s="1600">
        <f t="shared" si="36"/>
        <v>7800</v>
      </c>
      <c r="E111" s="1608"/>
      <c r="F111" s="1608">
        <v>7800</v>
      </c>
      <c r="G111" s="1600">
        <f t="shared" si="26"/>
        <v>7800</v>
      </c>
      <c r="H111" s="1608"/>
      <c r="I111" s="1608">
        <v>7800</v>
      </c>
      <c r="J111" s="1594">
        <f t="shared" si="20"/>
        <v>0</v>
      </c>
      <c r="K111" s="1594">
        <f t="shared" si="21"/>
        <v>0</v>
      </c>
      <c r="L111" s="1594">
        <f t="shared" si="22"/>
        <v>0</v>
      </c>
      <c r="M111" s="1600">
        <f t="shared" si="31"/>
        <v>7800</v>
      </c>
      <c r="N111" s="1608"/>
      <c r="O111" s="1608">
        <v>7800</v>
      </c>
      <c r="P111" s="1600">
        <f t="shared" si="24"/>
        <v>0</v>
      </c>
      <c r="Q111" s="1608"/>
      <c r="R111" s="1608"/>
      <c r="S111" s="1604">
        <f t="shared" si="28"/>
        <v>0</v>
      </c>
      <c r="T111" s="1881">
        <f t="shared" si="28"/>
        <v>0</v>
      </c>
      <c r="U111" s="1881">
        <f t="shared" si="28"/>
        <v>0</v>
      </c>
      <c r="V111" s="1593" t="s">
        <v>1290</v>
      </c>
      <c r="W111" s="1593" t="s">
        <v>1240</v>
      </c>
      <c r="X111" s="1600">
        <f t="shared" si="33"/>
        <v>0</v>
      </c>
      <c r="Y111" s="1614">
        <v>0</v>
      </c>
      <c r="Z111" s="1614">
        <v>0</v>
      </c>
      <c r="AA111" s="1600">
        <f t="shared" si="34"/>
        <v>0</v>
      </c>
      <c r="AB111" s="1614">
        <v>0</v>
      </c>
      <c r="AC111" s="1614">
        <v>0</v>
      </c>
    </row>
    <row r="112" spans="1:29" ht="77.25" customHeight="1">
      <c r="A112" s="1972">
        <f t="shared" si="37"/>
        <v>48</v>
      </c>
      <c r="B112" s="1883" t="s">
        <v>1444</v>
      </c>
      <c r="C112" s="1972">
        <v>14066</v>
      </c>
      <c r="D112" s="1600">
        <f t="shared" si="36"/>
        <v>841.2</v>
      </c>
      <c r="E112" s="1608"/>
      <c r="F112" s="1608">
        <v>841.2</v>
      </c>
      <c r="G112" s="1600">
        <f t="shared" si="26"/>
        <v>1191.2</v>
      </c>
      <c r="H112" s="1608"/>
      <c r="I112" s="1608">
        <v>1191.2</v>
      </c>
      <c r="J112" s="1594">
        <f t="shared" si="20"/>
        <v>350</v>
      </c>
      <c r="K112" s="1594">
        <f t="shared" si="21"/>
        <v>0</v>
      </c>
      <c r="L112" s="1594">
        <f t="shared" si="22"/>
        <v>350</v>
      </c>
      <c r="M112" s="1600">
        <f t="shared" si="31"/>
        <v>1191.2</v>
      </c>
      <c r="N112" s="1608"/>
      <c r="O112" s="1608">
        <v>1191.2</v>
      </c>
      <c r="P112" s="1600">
        <f t="shared" si="24"/>
        <v>0</v>
      </c>
      <c r="Q112" s="1608"/>
      <c r="R112" s="1608"/>
      <c r="S112" s="1604">
        <f t="shared" si="28"/>
        <v>0</v>
      </c>
      <c r="T112" s="1881">
        <f t="shared" si="28"/>
        <v>0</v>
      </c>
      <c r="U112" s="1881">
        <f t="shared" si="28"/>
        <v>0</v>
      </c>
      <c r="V112" s="1593" t="s">
        <v>1290</v>
      </c>
      <c r="W112" s="1593" t="s">
        <v>1240</v>
      </c>
      <c r="X112" s="1600">
        <f t="shared" si="33"/>
        <v>0</v>
      </c>
      <c r="Y112" s="1614">
        <v>0</v>
      </c>
      <c r="Z112" s="1614">
        <v>0</v>
      </c>
      <c r="AA112" s="1600">
        <f t="shared" si="34"/>
        <v>0</v>
      </c>
      <c r="AB112" s="1614">
        <v>0</v>
      </c>
      <c r="AC112" s="1614">
        <v>0</v>
      </c>
    </row>
    <row r="113" spans="1:29" ht="38.25" customHeight="1">
      <c r="A113" s="1972">
        <f t="shared" si="37"/>
        <v>49</v>
      </c>
      <c r="B113" s="1883" t="s">
        <v>1446</v>
      </c>
      <c r="C113" s="1880">
        <v>14076</v>
      </c>
      <c r="D113" s="1600">
        <f t="shared" si="36"/>
        <v>3420</v>
      </c>
      <c r="E113" s="1608"/>
      <c r="F113" s="1608">
        <v>3420</v>
      </c>
      <c r="G113" s="1600">
        <f t="shared" si="26"/>
        <v>3420</v>
      </c>
      <c r="H113" s="1608"/>
      <c r="I113" s="1608">
        <v>3420</v>
      </c>
      <c r="J113" s="1594">
        <f t="shared" si="20"/>
        <v>0</v>
      </c>
      <c r="K113" s="1594">
        <f t="shared" si="21"/>
        <v>0</v>
      </c>
      <c r="L113" s="1594">
        <f t="shared" si="22"/>
        <v>0</v>
      </c>
      <c r="M113" s="1600">
        <f t="shared" si="31"/>
        <v>3420</v>
      </c>
      <c r="N113" s="1608"/>
      <c r="O113" s="1608">
        <v>3420</v>
      </c>
      <c r="P113" s="1600">
        <f t="shared" si="24"/>
        <v>0</v>
      </c>
      <c r="Q113" s="1608"/>
      <c r="R113" s="1608"/>
      <c r="S113" s="1604">
        <f t="shared" si="28"/>
        <v>0</v>
      </c>
      <c r="T113" s="1881">
        <f t="shared" si="28"/>
        <v>0</v>
      </c>
      <c r="U113" s="1881">
        <f t="shared" si="28"/>
        <v>0</v>
      </c>
      <c r="V113" s="1593" t="s">
        <v>1290</v>
      </c>
      <c r="W113" s="1593" t="s">
        <v>1240</v>
      </c>
      <c r="X113" s="1600">
        <f t="shared" si="33"/>
        <v>0</v>
      </c>
      <c r="Y113" s="1614">
        <v>0</v>
      </c>
      <c r="Z113" s="1614">
        <v>0</v>
      </c>
      <c r="AA113" s="1600">
        <f t="shared" si="34"/>
        <v>0</v>
      </c>
      <c r="AB113" s="1614">
        <v>0</v>
      </c>
      <c r="AC113" s="1614">
        <v>0</v>
      </c>
    </row>
    <row r="114" spans="1:29" ht="41.25" customHeight="1">
      <c r="A114" s="1972">
        <f t="shared" si="37"/>
        <v>50</v>
      </c>
      <c r="B114" s="1883" t="s">
        <v>1447</v>
      </c>
      <c r="C114" s="1880">
        <v>14077</v>
      </c>
      <c r="D114" s="1600">
        <f t="shared" si="36"/>
        <v>2710</v>
      </c>
      <c r="E114" s="1608"/>
      <c r="F114" s="1608">
        <v>2710</v>
      </c>
      <c r="G114" s="1600">
        <f t="shared" si="26"/>
        <v>2710</v>
      </c>
      <c r="H114" s="1608"/>
      <c r="I114" s="1608">
        <v>2710</v>
      </c>
      <c r="J114" s="1594">
        <f t="shared" si="20"/>
        <v>0</v>
      </c>
      <c r="K114" s="1594">
        <f t="shared" si="21"/>
        <v>0</v>
      </c>
      <c r="L114" s="1594">
        <f t="shared" si="22"/>
        <v>0</v>
      </c>
      <c r="M114" s="1600">
        <f t="shared" si="31"/>
        <v>2710</v>
      </c>
      <c r="N114" s="1608"/>
      <c r="O114" s="1608">
        <v>2710</v>
      </c>
      <c r="P114" s="1600">
        <f t="shared" si="24"/>
        <v>0</v>
      </c>
      <c r="Q114" s="1608"/>
      <c r="R114" s="1608"/>
      <c r="S114" s="1604">
        <f t="shared" si="28"/>
        <v>0</v>
      </c>
      <c r="T114" s="1881">
        <f t="shared" si="28"/>
        <v>0</v>
      </c>
      <c r="U114" s="1881">
        <f t="shared" si="28"/>
        <v>0</v>
      </c>
      <c r="V114" s="1593" t="s">
        <v>1290</v>
      </c>
      <c r="W114" s="1593" t="s">
        <v>1240</v>
      </c>
      <c r="X114" s="1600">
        <f t="shared" si="33"/>
        <v>0</v>
      </c>
      <c r="Y114" s="1614">
        <v>0</v>
      </c>
      <c r="Z114" s="1614">
        <v>0</v>
      </c>
      <c r="AA114" s="1600">
        <f t="shared" si="34"/>
        <v>0</v>
      </c>
      <c r="AB114" s="1614">
        <v>0</v>
      </c>
      <c r="AC114" s="1614">
        <v>0</v>
      </c>
    </row>
    <row r="115" spans="1:29" ht="38.25" customHeight="1">
      <c r="A115" s="1972">
        <f t="shared" si="37"/>
        <v>51</v>
      </c>
      <c r="B115" s="1883" t="s">
        <v>1448</v>
      </c>
      <c r="C115" s="1880">
        <v>14079</v>
      </c>
      <c r="D115" s="1600">
        <f t="shared" si="36"/>
        <v>2930</v>
      </c>
      <c r="E115" s="1608"/>
      <c r="F115" s="1608">
        <v>2930</v>
      </c>
      <c r="G115" s="1600">
        <f t="shared" si="26"/>
        <v>2930</v>
      </c>
      <c r="H115" s="1608"/>
      <c r="I115" s="1608">
        <v>2930</v>
      </c>
      <c r="J115" s="1594">
        <f t="shared" si="20"/>
        <v>0</v>
      </c>
      <c r="K115" s="1594">
        <f t="shared" si="21"/>
        <v>0</v>
      </c>
      <c r="L115" s="1594">
        <f t="shared" si="22"/>
        <v>0</v>
      </c>
      <c r="M115" s="1600">
        <f t="shared" si="31"/>
        <v>2930</v>
      </c>
      <c r="N115" s="1608"/>
      <c r="O115" s="1608">
        <v>2930</v>
      </c>
      <c r="P115" s="1600">
        <f t="shared" si="24"/>
        <v>0</v>
      </c>
      <c r="Q115" s="1608"/>
      <c r="R115" s="1608"/>
      <c r="S115" s="1604">
        <f t="shared" si="28"/>
        <v>0</v>
      </c>
      <c r="T115" s="1881">
        <f t="shared" si="28"/>
        <v>0</v>
      </c>
      <c r="U115" s="1881">
        <f t="shared" si="28"/>
        <v>0</v>
      </c>
      <c r="V115" s="1593" t="s">
        <v>1290</v>
      </c>
      <c r="W115" s="1593" t="s">
        <v>1240</v>
      </c>
      <c r="X115" s="1600">
        <f t="shared" si="33"/>
        <v>0</v>
      </c>
      <c r="Y115" s="1614">
        <v>0</v>
      </c>
      <c r="Z115" s="1614">
        <v>0</v>
      </c>
      <c r="AA115" s="1600">
        <f t="shared" si="34"/>
        <v>0</v>
      </c>
      <c r="AB115" s="1614">
        <v>0</v>
      </c>
      <c r="AC115" s="1614">
        <v>0</v>
      </c>
    </row>
    <row r="116" spans="1:29" ht="37.5" customHeight="1">
      <c r="A116" s="1972">
        <f t="shared" si="37"/>
        <v>52</v>
      </c>
      <c r="B116" s="1883" t="s">
        <v>1449</v>
      </c>
      <c r="C116" s="1880">
        <v>14080</v>
      </c>
      <c r="D116" s="1600">
        <f t="shared" si="36"/>
        <v>5180</v>
      </c>
      <c r="E116" s="1608"/>
      <c r="F116" s="1608">
        <v>5180</v>
      </c>
      <c r="G116" s="1600">
        <f t="shared" si="26"/>
        <v>5180</v>
      </c>
      <c r="H116" s="1608"/>
      <c r="I116" s="1608">
        <v>5180</v>
      </c>
      <c r="J116" s="1594">
        <f t="shared" si="20"/>
        <v>0</v>
      </c>
      <c r="K116" s="1594">
        <f t="shared" si="21"/>
        <v>0</v>
      </c>
      <c r="L116" s="1594">
        <f t="shared" si="22"/>
        <v>0</v>
      </c>
      <c r="M116" s="1600">
        <f t="shared" si="31"/>
        <v>5180</v>
      </c>
      <c r="N116" s="1608"/>
      <c r="O116" s="1608">
        <v>5180</v>
      </c>
      <c r="P116" s="1600">
        <f t="shared" si="24"/>
        <v>0</v>
      </c>
      <c r="Q116" s="1608"/>
      <c r="R116" s="1608"/>
      <c r="S116" s="1604">
        <f t="shared" si="28"/>
        <v>0</v>
      </c>
      <c r="T116" s="1881">
        <f t="shared" si="28"/>
        <v>0</v>
      </c>
      <c r="U116" s="1881">
        <f t="shared" si="28"/>
        <v>0</v>
      </c>
      <c r="V116" s="1593" t="s">
        <v>1290</v>
      </c>
      <c r="W116" s="1593" t="s">
        <v>1240</v>
      </c>
      <c r="X116" s="1600">
        <f t="shared" si="33"/>
        <v>0</v>
      </c>
      <c r="Y116" s="1614">
        <v>0</v>
      </c>
      <c r="Z116" s="1614">
        <v>0</v>
      </c>
      <c r="AA116" s="1600">
        <f t="shared" si="34"/>
        <v>0</v>
      </c>
      <c r="AB116" s="1614">
        <v>0</v>
      </c>
      <c r="AC116" s="1614">
        <v>0</v>
      </c>
    </row>
    <row r="117" spans="1:29" ht="22.5" customHeight="1">
      <c r="A117" s="1972">
        <f t="shared" si="37"/>
        <v>53</v>
      </c>
      <c r="B117" s="1883" t="s">
        <v>1450</v>
      </c>
      <c r="C117" s="1880">
        <v>14081</v>
      </c>
      <c r="D117" s="1600">
        <f t="shared" si="36"/>
        <v>2930</v>
      </c>
      <c r="E117" s="1608"/>
      <c r="F117" s="1608">
        <v>2930</v>
      </c>
      <c r="G117" s="1600">
        <f t="shared" si="26"/>
        <v>2930</v>
      </c>
      <c r="H117" s="1608"/>
      <c r="I117" s="1608">
        <v>2930</v>
      </c>
      <c r="J117" s="1594">
        <f t="shared" si="20"/>
        <v>0</v>
      </c>
      <c r="K117" s="1594">
        <f t="shared" si="21"/>
        <v>0</v>
      </c>
      <c r="L117" s="1594">
        <f t="shared" si="22"/>
        <v>0</v>
      </c>
      <c r="M117" s="1600">
        <f t="shared" si="31"/>
        <v>2930</v>
      </c>
      <c r="N117" s="1608"/>
      <c r="O117" s="1608">
        <v>2930</v>
      </c>
      <c r="P117" s="1600">
        <f t="shared" si="24"/>
        <v>0</v>
      </c>
      <c r="Q117" s="1608"/>
      <c r="R117" s="1608"/>
      <c r="S117" s="1604">
        <f t="shared" si="28"/>
        <v>0</v>
      </c>
      <c r="T117" s="1881">
        <f t="shared" si="28"/>
        <v>0</v>
      </c>
      <c r="U117" s="1881">
        <f t="shared" si="28"/>
        <v>0</v>
      </c>
      <c r="V117" s="1593" t="s">
        <v>1290</v>
      </c>
      <c r="W117" s="1593" t="s">
        <v>1240</v>
      </c>
      <c r="X117" s="1600">
        <f t="shared" si="33"/>
        <v>0</v>
      </c>
      <c r="Y117" s="1614">
        <v>0</v>
      </c>
      <c r="Z117" s="1614">
        <v>0</v>
      </c>
      <c r="AA117" s="1600">
        <f t="shared" si="34"/>
        <v>0</v>
      </c>
      <c r="AB117" s="1614">
        <v>0</v>
      </c>
      <c r="AC117" s="1614">
        <v>0</v>
      </c>
    </row>
    <row r="118" spans="1:29" ht="36" customHeight="1">
      <c r="A118" s="1972">
        <f t="shared" si="37"/>
        <v>54</v>
      </c>
      <c r="B118" s="1883" t="s">
        <v>1451</v>
      </c>
      <c r="C118" s="1880">
        <v>14082</v>
      </c>
      <c r="D118" s="1600">
        <f t="shared" si="36"/>
        <v>2090</v>
      </c>
      <c r="E118" s="1608"/>
      <c r="F118" s="1608">
        <v>2090</v>
      </c>
      <c r="G118" s="1600">
        <f t="shared" si="26"/>
        <v>2090</v>
      </c>
      <c r="H118" s="1608"/>
      <c r="I118" s="1608">
        <v>2090</v>
      </c>
      <c r="J118" s="1594">
        <f t="shared" si="20"/>
        <v>0</v>
      </c>
      <c r="K118" s="1594">
        <f t="shared" si="21"/>
        <v>0</v>
      </c>
      <c r="L118" s="1594">
        <f t="shared" si="22"/>
        <v>0</v>
      </c>
      <c r="M118" s="1600">
        <f t="shared" si="31"/>
        <v>2090</v>
      </c>
      <c r="N118" s="1608"/>
      <c r="O118" s="1608">
        <v>2090</v>
      </c>
      <c r="P118" s="1600">
        <f t="shared" si="24"/>
        <v>0</v>
      </c>
      <c r="Q118" s="1608"/>
      <c r="R118" s="1608"/>
      <c r="S118" s="1604">
        <f t="shared" si="28"/>
        <v>0</v>
      </c>
      <c r="T118" s="1881">
        <f t="shared" si="28"/>
        <v>0</v>
      </c>
      <c r="U118" s="1881">
        <f t="shared" si="28"/>
        <v>0</v>
      </c>
      <c r="V118" s="1593" t="s">
        <v>1290</v>
      </c>
      <c r="W118" s="1593" t="s">
        <v>1240</v>
      </c>
      <c r="X118" s="1600">
        <f t="shared" si="33"/>
        <v>0</v>
      </c>
      <c r="Y118" s="1614">
        <v>0</v>
      </c>
      <c r="Z118" s="1614">
        <v>0</v>
      </c>
      <c r="AA118" s="1600">
        <f t="shared" si="34"/>
        <v>0</v>
      </c>
      <c r="AB118" s="1614">
        <v>0</v>
      </c>
      <c r="AC118" s="1614">
        <v>0</v>
      </c>
    </row>
    <row r="119" spans="1:29" ht="37.5" customHeight="1">
      <c r="A119" s="1972">
        <f t="shared" si="37"/>
        <v>55</v>
      </c>
      <c r="B119" s="1883" t="s">
        <v>1452</v>
      </c>
      <c r="C119" s="1880">
        <v>14083</v>
      </c>
      <c r="D119" s="1600">
        <f t="shared" si="36"/>
        <v>2230</v>
      </c>
      <c r="E119" s="1608"/>
      <c r="F119" s="1608">
        <v>2230</v>
      </c>
      <c r="G119" s="1600">
        <f t="shared" si="26"/>
        <v>2230</v>
      </c>
      <c r="H119" s="1608"/>
      <c r="I119" s="1608">
        <v>2230</v>
      </c>
      <c r="J119" s="1594">
        <f t="shared" si="20"/>
        <v>0</v>
      </c>
      <c r="K119" s="1594">
        <f t="shared" si="21"/>
        <v>0</v>
      </c>
      <c r="L119" s="1594">
        <f t="shared" si="22"/>
        <v>0</v>
      </c>
      <c r="M119" s="1600">
        <f t="shared" si="31"/>
        <v>2230</v>
      </c>
      <c r="N119" s="1608"/>
      <c r="O119" s="1608">
        <v>2230</v>
      </c>
      <c r="P119" s="1600">
        <f t="shared" si="24"/>
        <v>0</v>
      </c>
      <c r="Q119" s="1608"/>
      <c r="R119" s="1608"/>
      <c r="S119" s="1604">
        <f t="shared" si="28"/>
        <v>0</v>
      </c>
      <c r="T119" s="1881">
        <f t="shared" si="28"/>
        <v>0</v>
      </c>
      <c r="U119" s="1881">
        <f t="shared" si="28"/>
        <v>0</v>
      </c>
      <c r="V119" s="1593" t="s">
        <v>1290</v>
      </c>
      <c r="W119" s="1593" t="s">
        <v>1240</v>
      </c>
      <c r="X119" s="1600">
        <f t="shared" si="33"/>
        <v>0</v>
      </c>
      <c r="Y119" s="1614">
        <v>0</v>
      </c>
      <c r="Z119" s="1614">
        <v>0</v>
      </c>
      <c r="AA119" s="1600">
        <f t="shared" si="34"/>
        <v>0</v>
      </c>
      <c r="AB119" s="1614">
        <v>0</v>
      </c>
      <c r="AC119" s="1614">
        <v>0</v>
      </c>
    </row>
    <row r="120" spans="1:29" ht="40.5" customHeight="1">
      <c r="A120" s="1972">
        <f t="shared" si="37"/>
        <v>56</v>
      </c>
      <c r="B120" s="1883" t="s">
        <v>1453</v>
      </c>
      <c r="C120" s="1880">
        <v>14084</v>
      </c>
      <c r="D120" s="1600">
        <f t="shared" si="36"/>
        <v>1650</v>
      </c>
      <c r="E120" s="1608"/>
      <c r="F120" s="1608">
        <v>1650</v>
      </c>
      <c r="G120" s="1600">
        <f t="shared" si="26"/>
        <v>1650</v>
      </c>
      <c r="H120" s="1608"/>
      <c r="I120" s="1608">
        <v>1650</v>
      </c>
      <c r="J120" s="1594">
        <f t="shared" si="20"/>
        <v>0</v>
      </c>
      <c r="K120" s="1594">
        <f t="shared" si="21"/>
        <v>0</v>
      </c>
      <c r="L120" s="1594">
        <f t="shared" si="22"/>
        <v>0</v>
      </c>
      <c r="M120" s="1600">
        <f t="shared" si="31"/>
        <v>1650</v>
      </c>
      <c r="N120" s="1608"/>
      <c r="O120" s="1608">
        <v>1650</v>
      </c>
      <c r="P120" s="1600">
        <f t="shared" si="24"/>
        <v>0</v>
      </c>
      <c r="Q120" s="1608"/>
      <c r="R120" s="1608"/>
      <c r="S120" s="1604">
        <f t="shared" si="28"/>
        <v>0</v>
      </c>
      <c r="T120" s="1881">
        <f t="shared" si="28"/>
        <v>0</v>
      </c>
      <c r="U120" s="1881">
        <f t="shared" si="28"/>
        <v>0</v>
      </c>
      <c r="V120" s="1593" t="s">
        <v>1290</v>
      </c>
      <c r="W120" s="1593" t="s">
        <v>1240</v>
      </c>
      <c r="X120" s="1600">
        <f t="shared" si="33"/>
        <v>0</v>
      </c>
      <c r="Y120" s="1614">
        <v>0</v>
      </c>
      <c r="Z120" s="1614">
        <v>0</v>
      </c>
      <c r="AA120" s="1600">
        <f t="shared" si="34"/>
        <v>0</v>
      </c>
      <c r="AB120" s="1614">
        <v>0</v>
      </c>
      <c r="AC120" s="1614">
        <v>0</v>
      </c>
    </row>
    <row r="121" spans="1:29" ht="38.25" customHeight="1">
      <c r="A121" s="1972">
        <f t="shared" si="37"/>
        <v>57</v>
      </c>
      <c r="B121" s="1883" t="s">
        <v>1454</v>
      </c>
      <c r="C121" s="1880">
        <v>14088</v>
      </c>
      <c r="D121" s="1600">
        <f t="shared" si="36"/>
        <v>2930</v>
      </c>
      <c r="E121" s="1608"/>
      <c r="F121" s="1608">
        <v>2930</v>
      </c>
      <c r="G121" s="1600">
        <f t="shared" si="26"/>
        <v>2930</v>
      </c>
      <c r="H121" s="1608"/>
      <c r="I121" s="1608">
        <v>2930</v>
      </c>
      <c r="J121" s="1594">
        <f t="shared" si="20"/>
        <v>0</v>
      </c>
      <c r="K121" s="1594">
        <f t="shared" si="21"/>
        <v>0</v>
      </c>
      <c r="L121" s="1594">
        <f t="shared" si="22"/>
        <v>0</v>
      </c>
      <c r="M121" s="1600">
        <f t="shared" si="31"/>
        <v>2930</v>
      </c>
      <c r="N121" s="1608"/>
      <c r="O121" s="1608">
        <v>2930</v>
      </c>
      <c r="P121" s="1600">
        <f t="shared" si="24"/>
        <v>0</v>
      </c>
      <c r="Q121" s="1608"/>
      <c r="R121" s="1608"/>
      <c r="S121" s="1604">
        <f t="shared" si="28"/>
        <v>0</v>
      </c>
      <c r="T121" s="1881">
        <f t="shared" si="28"/>
        <v>0</v>
      </c>
      <c r="U121" s="1881">
        <f t="shared" si="28"/>
        <v>0</v>
      </c>
      <c r="V121" s="1593" t="s">
        <v>1290</v>
      </c>
      <c r="W121" s="1593" t="s">
        <v>1240</v>
      </c>
      <c r="X121" s="1600">
        <f t="shared" si="33"/>
        <v>0</v>
      </c>
      <c r="Y121" s="1614">
        <v>0</v>
      </c>
      <c r="Z121" s="1614">
        <v>0</v>
      </c>
      <c r="AA121" s="1600">
        <f t="shared" si="34"/>
        <v>0</v>
      </c>
      <c r="AB121" s="1614">
        <v>0</v>
      </c>
      <c r="AC121" s="1614">
        <v>0</v>
      </c>
    </row>
    <row r="122" spans="1:29" ht="57.75" customHeight="1">
      <c r="A122" s="1972">
        <f>A121+1</f>
        <v>58</v>
      </c>
      <c r="B122" s="1883" t="s">
        <v>1456</v>
      </c>
      <c r="C122" s="1880"/>
      <c r="D122" s="1600">
        <f t="shared" si="36"/>
        <v>48540.7</v>
      </c>
      <c r="E122" s="1608"/>
      <c r="F122" s="1608">
        <v>48540.7</v>
      </c>
      <c r="G122" s="1600">
        <f t="shared" si="26"/>
        <v>0</v>
      </c>
      <c r="H122" s="1608"/>
      <c r="I122" s="1608"/>
      <c r="J122" s="1594">
        <f>G122-D122</f>
        <v>-48540.7</v>
      </c>
      <c r="K122" s="1594">
        <f>H122-E122</f>
        <v>0</v>
      </c>
      <c r="L122" s="1594">
        <f>I122-F122</f>
        <v>-48540.7</v>
      </c>
      <c r="M122" s="1600">
        <f>SUM(N122:O122)</f>
        <v>0</v>
      </c>
      <c r="N122" s="1608"/>
      <c r="O122" s="1608"/>
      <c r="P122" s="1600">
        <f>SUM(Q122:R122)</f>
        <v>0</v>
      </c>
      <c r="Q122" s="1608"/>
      <c r="R122" s="1608"/>
      <c r="S122" s="1604"/>
      <c r="T122" s="1881"/>
      <c r="U122" s="1881"/>
      <c r="V122" s="1593"/>
      <c r="W122" s="1593"/>
      <c r="X122" s="1600"/>
      <c r="Y122" s="1614"/>
      <c r="Z122" s="1614"/>
      <c r="AA122" s="1600"/>
      <c r="AB122" s="1614"/>
      <c r="AC122" s="1614"/>
    </row>
    <row r="123" spans="1:29" ht="56.25" customHeight="1">
      <c r="A123" s="1972">
        <f>A122+1</f>
        <v>59</v>
      </c>
      <c r="B123" s="1912" t="s">
        <v>1593</v>
      </c>
      <c r="C123" s="1913"/>
      <c r="D123" s="1600">
        <f t="shared" si="36"/>
        <v>0</v>
      </c>
      <c r="E123" s="1608"/>
      <c r="F123" s="1608"/>
      <c r="G123" s="1600">
        <f t="shared" si="26"/>
        <v>1519</v>
      </c>
      <c r="H123" s="1608"/>
      <c r="I123" s="1608">
        <v>1519</v>
      </c>
      <c r="J123" s="1594">
        <f t="shared" si="20"/>
        <v>1519</v>
      </c>
      <c r="K123" s="1594">
        <f t="shared" si="21"/>
        <v>0</v>
      </c>
      <c r="L123" s="1594">
        <f t="shared" si="22"/>
        <v>1519</v>
      </c>
      <c r="M123" s="1600">
        <f t="shared" si="31"/>
        <v>1519</v>
      </c>
      <c r="N123" s="1608"/>
      <c r="O123" s="1608">
        <v>1519</v>
      </c>
      <c r="P123" s="1600">
        <f t="shared" si="24"/>
        <v>0</v>
      </c>
      <c r="Q123" s="1608"/>
      <c r="R123" s="1608"/>
      <c r="S123" s="1893">
        <f t="shared" si="28"/>
        <v>0</v>
      </c>
      <c r="T123" s="1894">
        <f t="shared" si="28"/>
        <v>0</v>
      </c>
      <c r="U123" s="1894">
        <f t="shared" si="28"/>
        <v>0</v>
      </c>
      <c r="V123" s="1593"/>
      <c r="W123" s="1593"/>
      <c r="X123" s="1600">
        <f t="shared" si="33"/>
        <v>0</v>
      </c>
      <c r="Y123" s="1614">
        <v>0</v>
      </c>
      <c r="Z123" s="1614">
        <v>0</v>
      </c>
      <c r="AA123" s="1600">
        <f t="shared" si="34"/>
        <v>0</v>
      </c>
      <c r="AB123" s="1614">
        <v>0</v>
      </c>
      <c r="AC123" s="1614">
        <v>0</v>
      </c>
    </row>
    <row r="124" spans="1:29" ht="58.5" customHeight="1">
      <c r="A124" s="1972">
        <f t="shared" si="37"/>
        <v>60</v>
      </c>
      <c r="B124" s="1912" t="s">
        <v>1608</v>
      </c>
      <c r="C124" s="1913"/>
      <c r="D124" s="1600">
        <f t="shared" si="36"/>
        <v>0</v>
      </c>
      <c r="E124" s="1608"/>
      <c r="F124" s="1608"/>
      <c r="G124" s="1600">
        <f t="shared" si="26"/>
        <v>1519</v>
      </c>
      <c r="H124" s="1608"/>
      <c r="I124" s="1608">
        <v>1519</v>
      </c>
      <c r="J124" s="1594">
        <f t="shared" si="20"/>
        <v>1519</v>
      </c>
      <c r="K124" s="1594">
        <f t="shared" si="21"/>
        <v>0</v>
      </c>
      <c r="L124" s="1594">
        <f t="shared" si="22"/>
        <v>1519</v>
      </c>
      <c r="M124" s="1600">
        <f t="shared" si="31"/>
        <v>1519</v>
      </c>
      <c r="N124" s="1608"/>
      <c r="O124" s="1608">
        <v>1519</v>
      </c>
      <c r="P124" s="1600">
        <f t="shared" si="24"/>
        <v>0</v>
      </c>
      <c r="Q124" s="1608"/>
      <c r="R124" s="1608"/>
      <c r="S124" s="1893">
        <f t="shared" si="28"/>
        <v>0</v>
      </c>
      <c r="T124" s="1894">
        <f t="shared" si="28"/>
        <v>0</v>
      </c>
      <c r="U124" s="1894">
        <f t="shared" si="28"/>
        <v>0</v>
      </c>
      <c r="V124" s="1593"/>
      <c r="W124" s="1593"/>
      <c r="X124" s="1600">
        <f t="shared" si="33"/>
        <v>0</v>
      </c>
      <c r="Y124" s="1614">
        <v>0</v>
      </c>
      <c r="Z124" s="1614">
        <v>0</v>
      </c>
      <c r="AA124" s="1600">
        <f t="shared" si="34"/>
        <v>0</v>
      </c>
      <c r="AB124" s="1614">
        <v>0</v>
      </c>
      <c r="AC124" s="1614">
        <v>0</v>
      </c>
    </row>
    <row r="125" spans="1:29" ht="59.25" customHeight="1">
      <c r="A125" s="1972">
        <f t="shared" si="37"/>
        <v>61</v>
      </c>
      <c r="B125" s="1912" t="s">
        <v>1594</v>
      </c>
      <c r="C125" s="1913"/>
      <c r="D125" s="1600">
        <f t="shared" si="36"/>
        <v>0</v>
      </c>
      <c r="E125" s="1608"/>
      <c r="F125" s="1608"/>
      <c r="G125" s="1600">
        <f t="shared" si="26"/>
        <v>1393</v>
      </c>
      <c r="H125" s="1608"/>
      <c r="I125" s="1608">
        <v>1393</v>
      </c>
      <c r="J125" s="1594">
        <f t="shared" si="20"/>
        <v>1393</v>
      </c>
      <c r="K125" s="1594">
        <f t="shared" si="21"/>
        <v>0</v>
      </c>
      <c r="L125" s="1594">
        <f t="shared" si="22"/>
        <v>1393</v>
      </c>
      <c r="M125" s="1600">
        <f t="shared" si="31"/>
        <v>1393</v>
      </c>
      <c r="N125" s="1608"/>
      <c r="O125" s="1608">
        <v>1393</v>
      </c>
      <c r="P125" s="1600">
        <f t="shared" si="24"/>
        <v>0</v>
      </c>
      <c r="Q125" s="1608"/>
      <c r="R125" s="1608"/>
      <c r="S125" s="1893">
        <f t="shared" si="28"/>
        <v>0</v>
      </c>
      <c r="T125" s="1894">
        <f t="shared" si="28"/>
        <v>0</v>
      </c>
      <c r="U125" s="1894">
        <f t="shared" si="28"/>
        <v>0</v>
      </c>
      <c r="V125" s="1593"/>
      <c r="W125" s="1593"/>
      <c r="X125" s="1600">
        <f t="shared" si="33"/>
        <v>0</v>
      </c>
      <c r="Y125" s="1614">
        <v>0</v>
      </c>
      <c r="Z125" s="1614">
        <v>0</v>
      </c>
      <c r="AA125" s="1600">
        <f t="shared" si="34"/>
        <v>0</v>
      </c>
      <c r="AB125" s="1614">
        <v>0</v>
      </c>
      <c r="AC125" s="1614">
        <v>0</v>
      </c>
    </row>
    <row r="126" spans="1:29" s="1607" customFormat="1" ht="79.5" customHeight="1">
      <c r="A126" s="1972">
        <f t="shared" si="37"/>
        <v>62</v>
      </c>
      <c r="B126" s="1914" t="s">
        <v>1601</v>
      </c>
      <c r="C126" s="1972" t="s">
        <v>332</v>
      </c>
      <c r="D126" s="1600">
        <f t="shared" si="36"/>
        <v>0</v>
      </c>
      <c r="E126" s="1608"/>
      <c r="F126" s="1608"/>
      <c r="G126" s="1600">
        <f t="shared" si="26"/>
        <v>8850</v>
      </c>
      <c r="H126" s="1608"/>
      <c r="I126" s="1608">
        <v>8850</v>
      </c>
      <c r="J126" s="1594">
        <f t="shared" si="20"/>
        <v>8850</v>
      </c>
      <c r="K126" s="1594">
        <f t="shared" si="21"/>
        <v>0</v>
      </c>
      <c r="L126" s="1594">
        <f t="shared" si="22"/>
        <v>8850</v>
      </c>
      <c r="M126" s="1600">
        <f t="shared" si="31"/>
        <v>8850</v>
      </c>
      <c r="N126" s="1608"/>
      <c r="O126" s="1608">
        <v>8850</v>
      </c>
      <c r="P126" s="1600">
        <f t="shared" si="24"/>
        <v>0</v>
      </c>
      <c r="Q126" s="1608"/>
      <c r="R126" s="1608"/>
      <c r="S126" s="1604">
        <f t="shared" si="28"/>
        <v>0</v>
      </c>
      <c r="T126" s="1881">
        <f t="shared" si="28"/>
        <v>0</v>
      </c>
      <c r="U126" s="1881">
        <f t="shared" si="28"/>
        <v>0</v>
      </c>
      <c r="V126" s="1593"/>
      <c r="W126" s="1593"/>
      <c r="X126" s="1600">
        <f t="shared" si="33"/>
        <v>0</v>
      </c>
      <c r="Y126" s="1614">
        <v>0</v>
      </c>
      <c r="Z126" s="1614">
        <v>0</v>
      </c>
      <c r="AA126" s="1600">
        <f t="shared" si="34"/>
        <v>0</v>
      </c>
      <c r="AB126" s="1614">
        <v>0</v>
      </c>
      <c r="AC126" s="1614">
        <v>0</v>
      </c>
    </row>
    <row r="127" spans="1:29" s="1607" customFormat="1" ht="66.75" customHeight="1">
      <c r="A127" s="1972">
        <f t="shared" si="37"/>
        <v>63</v>
      </c>
      <c r="B127" s="1914" t="s">
        <v>1523</v>
      </c>
      <c r="C127" s="1972" t="s">
        <v>1536</v>
      </c>
      <c r="D127" s="1600">
        <f t="shared" si="36"/>
        <v>14000</v>
      </c>
      <c r="E127" s="1608"/>
      <c r="F127" s="1608">
        <v>14000</v>
      </c>
      <c r="G127" s="1600">
        <f t="shared" si="26"/>
        <v>14000</v>
      </c>
      <c r="H127" s="1608"/>
      <c r="I127" s="1608">
        <v>14000</v>
      </c>
      <c r="J127" s="1594">
        <f t="shared" si="20"/>
        <v>0</v>
      </c>
      <c r="K127" s="1594">
        <f t="shared" si="21"/>
        <v>0</v>
      </c>
      <c r="L127" s="1594">
        <f t="shared" si="22"/>
        <v>0</v>
      </c>
      <c r="M127" s="1600">
        <f t="shared" si="31"/>
        <v>14000</v>
      </c>
      <c r="N127" s="1608"/>
      <c r="O127" s="1608">
        <v>14000</v>
      </c>
      <c r="P127" s="1600">
        <f t="shared" si="24"/>
        <v>0</v>
      </c>
      <c r="Q127" s="1608"/>
      <c r="R127" s="1608"/>
      <c r="S127" s="1604">
        <f t="shared" si="28"/>
        <v>0</v>
      </c>
      <c r="T127" s="1881">
        <f t="shared" si="28"/>
        <v>0</v>
      </c>
      <c r="U127" s="1881">
        <f t="shared" si="28"/>
        <v>0</v>
      </c>
      <c r="V127" s="1593" t="s">
        <v>1192</v>
      </c>
      <c r="W127" s="1593" t="s">
        <v>1203</v>
      </c>
      <c r="X127" s="1600">
        <f t="shared" si="33"/>
        <v>0</v>
      </c>
      <c r="Y127" s="1614">
        <v>0</v>
      </c>
      <c r="Z127" s="1614">
        <v>0</v>
      </c>
      <c r="AA127" s="1600">
        <f t="shared" si="34"/>
        <v>0</v>
      </c>
      <c r="AB127" s="1614">
        <v>0</v>
      </c>
      <c r="AC127" s="1614">
        <v>0</v>
      </c>
    </row>
    <row r="128" spans="1:29" s="1607" customFormat="1" ht="48" customHeight="1">
      <c r="A128" s="1972">
        <f t="shared" si="37"/>
        <v>64</v>
      </c>
      <c r="B128" s="1914" t="s">
        <v>1602</v>
      </c>
      <c r="C128" s="1972"/>
      <c r="D128" s="1600">
        <f t="shared" si="36"/>
        <v>0</v>
      </c>
      <c r="E128" s="1608"/>
      <c r="F128" s="1608"/>
      <c r="G128" s="1600">
        <f t="shared" si="26"/>
        <v>17550</v>
      </c>
      <c r="H128" s="1608"/>
      <c r="I128" s="1608">
        <v>17550</v>
      </c>
      <c r="J128" s="1594">
        <f t="shared" si="20"/>
        <v>17550</v>
      </c>
      <c r="K128" s="1594">
        <f t="shared" si="21"/>
        <v>0</v>
      </c>
      <c r="L128" s="1594">
        <f t="shared" si="22"/>
        <v>17550</v>
      </c>
      <c r="M128" s="1600">
        <f t="shared" si="31"/>
        <v>17550</v>
      </c>
      <c r="N128" s="1608"/>
      <c r="O128" s="1608">
        <v>17550</v>
      </c>
      <c r="P128" s="1600">
        <f t="shared" si="24"/>
        <v>9750</v>
      </c>
      <c r="Q128" s="1608"/>
      <c r="R128" s="1608">
        <v>9750</v>
      </c>
      <c r="S128" s="1604">
        <f t="shared" si="28"/>
        <v>55.6</v>
      </c>
      <c r="T128" s="1881">
        <f t="shared" si="28"/>
        <v>0</v>
      </c>
      <c r="U128" s="1881">
        <f t="shared" si="28"/>
        <v>55.6</v>
      </c>
      <c r="V128" s="1593"/>
      <c r="W128" s="1593"/>
      <c r="X128" s="1600">
        <f t="shared" si="33"/>
        <v>0</v>
      </c>
      <c r="Y128" s="1614">
        <v>0</v>
      </c>
      <c r="Z128" s="1614">
        <v>0</v>
      </c>
      <c r="AA128" s="1600">
        <f t="shared" si="34"/>
        <v>0</v>
      </c>
      <c r="AB128" s="1614">
        <v>0</v>
      </c>
      <c r="AC128" s="1614">
        <v>0</v>
      </c>
    </row>
    <row r="129" spans="1:29" s="1607" customFormat="1" ht="60" customHeight="1">
      <c r="A129" s="1972">
        <f t="shared" si="37"/>
        <v>65</v>
      </c>
      <c r="B129" s="1914" t="s">
        <v>1485</v>
      </c>
      <c r="C129" s="1972" t="s">
        <v>1537</v>
      </c>
      <c r="D129" s="1600">
        <f t="shared" si="36"/>
        <v>14000</v>
      </c>
      <c r="E129" s="1608"/>
      <c r="F129" s="1608">
        <v>14000</v>
      </c>
      <c r="G129" s="1600">
        <f t="shared" si="26"/>
        <v>14000</v>
      </c>
      <c r="H129" s="1608"/>
      <c r="I129" s="1608">
        <v>14000</v>
      </c>
      <c r="J129" s="1594">
        <f t="shared" si="20"/>
        <v>0</v>
      </c>
      <c r="K129" s="1594">
        <f t="shared" si="21"/>
        <v>0</v>
      </c>
      <c r="L129" s="1594">
        <f t="shared" si="22"/>
        <v>0</v>
      </c>
      <c r="M129" s="1600">
        <f t="shared" si="31"/>
        <v>14000</v>
      </c>
      <c r="N129" s="1608"/>
      <c r="O129" s="1608">
        <v>14000</v>
      </c>
      <c r="P129" s="1600">
        <f t="shared" si="24"/>
        <v>0</v>
      </c>
      <c r="Q129" s="1608"/>
      <c r="R129" s="1608"/>
      <c r="S129" s="1604">
        <f t="shared" si="28"/>
        <v>0</v>
      </c>
      <c r="T129" s="1881">
        <f t="shared" si="28"/>
        <v>0</v>
      </c>
      <c r="U129" s="1881">
        <f t="shared" si="28"/>
        <v>0</v>
      </c>
      <c r="V129" s="1593" t="s">
        <v>1192</v>
      </c>
      <c r="W129" s="1593" t="s">
        <v>1203</v>
      </c>
      <c r="X129" s="1600">
        <f t="shared" si="33"/>
        <v>0</v>
      </c>
      <c r="Y129" s="1614">
        <v>0</v>
      </c>
      <c r="Z129" s="1614">
        <v>0</v>
      </c>
      <c r="AA129" s="1600">
        <f t="shared" si="34"/>
        <v>0</v>
      </c>
      <c r="AB129" s="1614">
        <v>0</v>
      </c>
      <c r="AC129" s="1614">
        <v>0</v>
      </c>
    </row>
    <row r="130" spans="1:29" s="1607" customFormat="1" ht="75" customHeight="1">
      <c r="A130" s="1972">
        <f t="shared" si="37"/>
        <v>66</v>
      </c>
      <c r="B130" s="1915" t="s">
        <v>1486</v>
      </c>
      <c r="C130" s="1972">
        <v>14059</v>
      </c>
      <c r="D130" s="1600">
        <f t="shared" si="36"/>
        <v>38500</v>
      </c>
      <c r="E130" s="1608"/>
      <c r="F130" s="1608">
        <v>38500</v>
      </c>
      <c r="G130" s="1600">
        <f t="shared" si="26"/>
        <v>16320</v>
      </c>
      <c r="H130" s="1608"/>
      <c r="I130" s="1608">
        <v>16320</v>
      </c>
      <c r="J130" s="1594">
        <f t="shared" si="20"/>
        <v>-22180</v>
      </c>
      <c r="K130" s="1594">
        <f t="shared" si="21"/>
        <v>0</v>
      </c>
      <c r="L130" s="1594">
        <f t="shared" si="22"/>
        <v>-22180</v>
      </c>
      <c r="M130" s="1600">
        <f t="shared" si="31"/>
        <v>16320</v>
      </c>
      <c r="N130" s="1608"/>
      <c r="O130" s="1608">
        <v>16320</v>
      </c>
      <c r="P130" s="1600">
        <f t="shared" si="24"/>
        <v>0</v>
      </c>
      <c r="Q130" s="1608"/>
      <c r="R130" s="1608"/>
      <c r="S130" s="1604">
        <f t="shared" si="28"/>
        <v>0</v>
      </c>
      <c r="T130" s="1881">
        <f t="shared" si="28"/>
        <v>0</v>
      </c>
      <c r="U130" s="1881">
        <f t="shared" si="28"/>
        <v>0</v>
      </c>
      <c r="V130" s="1593" t="s">
        <v>1192</v>
      </c>
      <c r="W130" s="1593" t="s">
        <v>1204</v>
      </c>
      <c r="X130" s="1600">
        <f t="shared" si="33"/>
        <v>38080</v>
      </c>
      <c r="Y130" s="1608">
        <v>0</v>
      </c>
      <c r="Z130" s="1608">
        <v>38080</v>
      </c>
      <c r="AA130" s="1600">
        <f t="shared" si="34"/>
        <v>0</v>
      </c>
      <c r="AB130" s="1608">
        <v>0</v>
      </c>
      <c r="AC130" s="1608">
        <v>0</v>
      </c>
    </row>
    <row r="131" spans="1:29" s="1607" customFormat="1" ht="39" customHeight="1">
      <c r="A131" s="1972">
        <f t="shared" si="37"/>
        <v>67</v>
      </c>
      <c r="B131" s="1912" t="s">
        <v>1491</v>
      </c>
      <c r="C131" s="1880">
        <v>14089</v>
      </c>
      <c r="D131" s="1600">
        <f t="shared" si="36"/>
        <v>11200</v>
      </c>
      <c r="E131" s="1614"/>
      <c r="F131" s="1614">
        <v>11200</v>
      </c>
      <c r="G131" s="1600">
        <f t="shared" si="26"/>
        <v>11200</v>
      </c>
      <c r="H131" s="1614"/>
      <c r="I131" s="1614">
        <v>11200</v>
      </c>
      <c r="J131" s="1594">
        <f t="shared" si="20"/>
        <v>0</v>
      </c>
      <c r="K131" s="1594">
        <f t="shared" si="21"/>
        <v>0</v>
      </c>
      <c r="L131" s="1594">
        <f t="shared" si="22"/>
        <v>0</v>
      </c>
      <c r="M131" s="1600">
        <f t="shared" si="31"/>
        <v>11200</v>
      </c>
      <c r="N131" s="1614"/>
      <c r="O131" s="1614">
        <v>11200</v>
      </c>
      <c r="P131" s="1600">
        <f t="shared" si="24"/>
        <v>0</v>
      </c>
      <c r="Q131" s="1614"/>
      <c r="R131" s="1614"/>
      <c r="S131" s="1604">
        <f t="shared" si="28"/>
        <v>0</v>
      </c>
      <c r="T131" s="1881">
        <f t="shared" si="28"/>
        <v>0</v>
      </c>
      <c r="U131" s="1881">
        <f t="shared" si="28"/>
        <v>0</v>
      </c>
      <c r="V131" s="1593" t="s">
        <v>1192</v>
      </c>
      <c r="W131" s="1593" t="s">
        <v>1206</v>
      </c>
      <c r="X131" s="1600">
        <f t="shared" si="33"/>
        <v>0</v>
      </c>
      <c r="Y131" s="1614">
        <v>0</v>
      </c>
      <c r="Z131" s="1614">
        <v>0</v>
      </c>
      <c r="AA131" s="1600">
        <f t="shared" si="34"/>
        <v>0</v>
      </c>
      <c r="AB131" s="1608">
        <v>0</v>
      </c>
      <c r="AC131" s="1608">
        <v>0</v>
      </c>
    </row>
    <row r="132" spans="1:29" s="1607" customFormat="1" ht="60" customHeight="1">
      <c r="A132" s="1972">
        <f t="shared" si="37"/>
        <v>68</v>
      </c>
      <c r="B132" s="493" t="s">
        <v>1492</v>
      </c>
      <c r="C132" s="1972">
        <v>14091</v>
      </c>
      <c r="D132" s="1600">
        <f t="shared" si="36"/>
        <v>20000</v>
      </c>
      <c r="E132" s="1614"/>
      <c r="F132" s="1614">
        <v>20000</v>
      </c>
      <c r="G132" s="1600">
        <f t="shared" si="26"/>
        <v>20000</v>
      </c>
      <c r="H132" s="1614"/>
      <c r="I132" s="1614">
        <v>20000</v>
      </c>
      <c r="J132" s="1594">
        <f t="shared" si="20"/>
        <v>0</v>
      </c>
      <c r="K132" s="1594">
        <f t="shared" si="21"/>
        <v>0</v>
      </c>
      <c r="L132" s="1594">
        <f t="shared" si="22"/>
        <v>0</v>
      </c>
      <c r="M132" s="1600">
        <f t="shared" si="31"/>
        <v>20000</v>
      </c>
      <c r="N132" s="1614"/>
      <c r="O132" s="1614">
        <v>20000</v>
      </c>
      <c r="P132" s="1600">
        <f t="shared" si="24"/>
        <v>0</v>
      </c>
      <c r="Q132" s="1614"/>
      <c r="R132" s="1614"/>
      <c r="S132" s="1604">
        <f t="shared" si="28"/>
        <v>0</v>
      </c>
      <c r="T132" s="1881">
        <f t="shared" si="28"/>
        <v>0</v>
      </c>
      <c r="U132" s="1881">
        <f t="shared" si="28"/>
        <v>0</v>
      </c>
      <c r="V132" s="1593" t="s">
        <v>1192</v>
      </c>
      <c r="W132" s="1593" t="s">
        <v>1206</v>
      </c>
      <c r="X132" s="1600">
        <f t="shared" si="33"/>
        <v>0</v>
      </c>
      <c r="Y132" s="1614">
        <v>0</v>
      </c>
      <c r="Z132" s="1614">
        <v>0</v>
      </c>
      <c r="AA132" s="1600">
        <f t="shared" si="34"/>
        <v>0</v>
      </c>
      <c r="AB132" s="1608">
        <v>0</v>
      </c>
      <c r="AC132" s="1608">
        <v>0</v>
      </c>
    </row>
    <row r="133" spans="1:29" ht="40.5" customHeight="1">
      <c r="A133" s="1972">
        <f t="shared" si="37"/>
        <v>69</v>
      </c>
      <c r="B133" s="1888" t="s">
        <v>1473</v>
      </c>
      <c r="C133" s="1972">
        <v>14090</v>
      </c>
      <c r="D133" s="1600">
        <f t="shared" si="36"/>
        <v>7941.5</v>
      </c>
      <c r="E133" s="1614"/>
      <c r="F133" s="1614">
        <v>7941.5</v>
      </c>
      <c r="G133" s="1600">
        <f t="shared" si="26"/>
        <v>7941.5</v>
      </c>
      <c r="H133" s="1614"/>
      <c r="I133" s="1614">
        <v>7941.5</v>
      </c>
      <c r="J133" s="1594">
        <f t="shared" si="20"/>
        <v>0</v>
      </c>
      <c r="K133" s="1594">
        <f t="shared" si="21"/>
        <v>0</v>
      </c>
      <c r="L133" s="1594">
        <f t="shared" si="22"/>
        <v>0</v>
      </c>
      <c r="M133" s="1600">
        <f t="shared" si="31"/>
        <v>7941.5</v>
      </c>
      <c r="N133" s="1614"/>
      <c r="O133" s="1614">
        <v>7941.5</v>
      </c>
      <c r="P133" s="1600">
        <f t="shared" si="24"/>
        <v>0</v>
      </c>
      <c r="Q133" s="1614"/>
      <c r="R133" s="1614"/>
      <c r="S133" s="1604">
        <f t="shared" si="28"/>
        <v>0</v>
      </c>
      <c r="T133" s="1881">
        <f t="shared" si="28"/>
        <v>0</v>
      </c>
      <c r="U133" s="1881">
        <f t="shared" si="28"/>
        <v>0</v>
      </c>
      <c r="V133" s="1593" t="s">
        <v>1192</v>
      </c>
      <c r="W133" s="1593" t="s">
        <v>1160</v>
      </c>
      <c r="X133" s="1600">
        <f t="shared" si="33"/>
        <v>0</v>
      </c>
      <c r="Y133" s="1614">
        <v>0</v>
      </c>
      <c r="Z133" s="1614">
        <v>0</v>
      </c>
      <c r="AA133" s="1600">
        <f t="shared" si="34"/>
        <v>0</v>
      </c>
      <c r="AB133" s="1608">
        <v>0</v>
      </c>
      <c r="AC133" s="1608">
        <v>0</v>
      </c>
    </row>
    <row r="134" spans="1:29" s="1570" customFormat="1" ht="59.25" customHeight="1">
      <c r="A134" s="1972">
        <f t="shared" si="37"/>
        <v>70</v>
      </c>
      <c r="B134" s="1885" t="s">
        <v>1618</v>
      </c>
      <c r="C134" s="1880">
        <v>24366</v>
      </c>
      <c r="D134" s="1600">
        <f t="shared" si="36"/>
        <v>0</v>
      </c>
      <c r="E134" s="1614"/>
      <c r="F134" s="1614"/>
      <c r="G134" s="1600">
        <f t="shared" si="26"/>
        <v>1788</v>
      </c>
      <c r="H134" s="1614"/>
      <c r="I134" s="1614">
        <v>1788</v>
      </c>
      <c r="J134" s="1594">
        <f t="shared" si="20"/>
        <v>1788</v>
      </c>
      <c r="K134" s="1594">
        <f t="shared" si="21"/>
        <v>0</v>
      </c>
      <c r="L134" s="1594">
        <f t="shared" si="22"/>
        <v>1788</v>
      </c>
      <c r="M134" s="1600">
        <f t="shared" si="31"/>
        <v>1788</v>
      </c>
      <c r="N134" s="1614"/>
      <c r="O134" s="1614">
        <v>1788</v>
      </c>
      <c r="P134" s="1600">
        <f t="shared" si="24"/>
        <v>0</v>
      </c>
      <c r="Q134" s="1614"/>
      <c r="R134" s="1614"/>
      <c r="S134" s="1604">
        <f t="shared" si="28"/>
        <v>0</v>
      </c>
      <c r="T134" s="1881">
        <f t="shared" si="28"/>
        <v>0</v>
      </c>
      <c r="U134" s="1881">
        <f t="shared" si="28"/>
        <v>0</v>
      </c>
      <c r="V134" s="1593"/>
      <c r="W134" s="1612"/>
      <c r="X134" s="1600">
        <f t="shared" si="33"/>
        <v>0</v>
      </c>
      <c r="Y134" s="1614">
        <v>0</v>
      </c>
      <c r="Z134" s="1614">
        <v>0</v>
      </c>
      <c r="AA134" s="1600">
        <f t="shared" si="34"/>
        <v>0</v>
      </c>
      <c r="AB134" s="1608">
        <v>0</v>
      </c>
      <c r="AC134" s="1608">
        <v>0</v>
      </c>
    </row>
    <row r="135" spans="1:29" s="1570" customFormat="1" ht="45.75" customHeight="1">
      <c r="A135" s="1972">
        <f t="shared" si="37"/>
        <v>71</v>
      </c>
      <c r="B135" s="1885" t="s">
        <v>1634</v>
      </c>
      <c r="C135" s="1880"/>
      <c r="D135" s="1600">
        <f t="shared" si="36"/>
        <v>0</v>
      </c>
      <c r="E135" s="1614"/>
      <c r="F135" s="1614"/>
      <c r="G135" s="1600">
        <f t="shared" si="26"/>
        <v>2714.8</v>
      </c>
      <c r="H135" s="1614"/>
      <c r="I135" s="1614">
        <v>2714.8</v>
      </c>
      <c r="J135" s="1594">
        <f t="shared" si="20"/>
        <v>2714.8</v>
      </c>
      <c r="K135" s="1594">
        <f t="shared" si="21"/>
        <v>0</v>
      </c>
      <c r="L135" s="1594">
        <f t="shared" si="22"/>
        <v>2714.8</v>
      </c>
      <c r="M135" s="1600">
        <f t="shared" si="31"/>
        <v>0</v>
      </c>
      <c r="N135" s="1614"/>
      <c r="O135" s="1614">
        <v>0</v>
      </c>
      <c r="P135" s="1600">
        <f t="shared" si="24"/>
        <v>0</v>
      </c>
      <c r="Q135" s="1614"/>
      <c r="R135" s="1614"/>
      <c r="S135" s="1604">
        <f t="shared" si="28"/>
        <v>0</v>
      </c>
      <c r="T135" s="1881">
        <f t="shared" si="28"/>
        <v>0</v>
      </c>
      <c r="U135" s="1881">
        <f t="shared" si="28"/>
        <v>0</v>
      </c>
      <c r="V135" s="1593"/>
      <c r="W135" s="1612"/>
      <c r="X135" s="1600">
        <f t="shared" si="33"/>
        <v>0</v>
      </c>
      <c r="Y135" s="1614">
        <v>0</v>
      </c>
      <c r="Z135" s="1614">
        <v>0</v>
      </c>
      <c r="AA135" s="1600">
        <f t="shared" si="34"/>
        <v>0</v>
      </c>
      <c r="AB135" s="1608">
        <v>0</v>
      </c>
      <c r="AC135" s="1608">
        <v>0</v>
      </c>
    </row>
    <row r="136" spans="1:29" ht="42.75" customHeight="1">
      <c r="A136" s="1972">
        <f t="shared" si="37"/>
        <v>72</v>
      </c>
      <c r="B136" s="1879" t="s">
        <v>1615</v>
      </c>
      <c r="C136" s="1880"/>
      <c r="D136" s="1600">
        <f t="shared" si="36"/>
        <v>0</v>
      </c>
      <c r="E136" s="1608"/>
      <c r="F136" s="1608"/>
      <c r="G136" s="1600">
        <f t="shared" si="26"/>
        <v>1769.7</v>
      </c>
      <c r="H136" s="1608"/>
      <c r="I136" s="1608">
        <v>1769.7</v>
      </c>
      <c r="J136" s="1594">
        <f t="shared" si="20"/>
        <v>1769.7</v>
      </c>
      <c r="K136" s="1594">
        <f t="shared" si="21"/>
        <v>0</v>
      </c>
      <c r="L136" s="1594">
        <f t="shared" si="22"/>
        <v>1769.7</v>
      </c>
      <c r="M136" s="1600">
        <f t="shared" si="31"/>
        <v>1769.7</v>
      </c>
      <c r="N136" s="1608"/>
      <c r="O136" s="1608">
        <v>1769.7</v>
      </c>
      <c r="P136" s="1600">
        <f t="shared" si="24"/>
        <v>0</v>
      </c>
      <c r="Q136" s="1608"/>
      <c r="R136" s="1608"/>
      <c r="S136" s="1604">
        <f t="shared" si="28"/>
        <v>0</v>
      </c>
      <c r="T136" s="1881">
        <f t="shared" si="28"/>
        <v>0</v>
      </c>
      <c r="U136" s="1881">
        <f t="shared" si="28"/>
        <v>0</v>
      </c>
      <c r="V136" s="1593"/>
      <c r="W136" s="1593"/>
      <c r="X136" s="1600">
        <f t="shared" si="33"/>
        <v>0</v>
      </c>
      <c r="Y136" s="1614">
        <v>0</v>
      </c>
      <c r="Z136" s="1614">
        <v>0</v>
      </c>
      <c r="AA136" s="1600">
        <f t="shared" si="34"/>
        <v>0</v>
      </c>
      <c r="AB136" s="1608">
        <v>0</v>
      </c>
      <c r="AC136" s="1608">
        <v>0</v>
      </c>
    </row>
    <row r="137" spans="1:29" s="1607" customFormat="1" ht="41.25" customHeight="1">
      <c r="A137" s="1972">
        <f t="shared" si="37"/>
        <v>73</v>
      </c>
      <c r="B137" s="1890" t="s">
        <v>455</v>
      </c>
      <c r="C137" s="1880">
        <v>14057</v>
      </c>
      <c r="D137" s="1600">
        <f t="shared" ref="D137:D142" si="38">SUM(E137:F137)</f>
        <v>11287.5</v>
      </c>
      <c r="E137" s="1614"/>
      <c r="F137" s="1614">
        <v>11287.5</v>
      </c>
      <c r="G137" s="1600">
        <f>SUM(H137:I137)</f>
        <v>11287.5</v>
      </c>
      <c r="H137" s="1614"/>
      <c r="I137" s="1614">
        <v>11287.5</v>
      </c>
      <c r="J137" s="1594">
        <f t="shared" si="20"/>
        <v>0</v>
      </c>
      <c r="K137" s="1594">
        <f t="shared" si="21"/>
        <v>0</v>
      </c>
      <c r="L137" s="1594">
        <f t="shared" si="22"/>
        <v>0</v>
      </c>
      <c r="M137" s="1600">
        <f t="shared" si="31"/>
        <v>11287.5</v>
      </c>
      <c r="N137" s="1614"/>
      <c r="O137" s="1614">
        <v>11287.5</v>
      </c>
      <c r="P137" s="1600">
        <f>SUM(Q137:R137)</f>
        <v>0</v>
      </c>
      <c r="Q137" s="1614"/>
      <c r="R137" s="1614"/>
      <c r="S137" s="1604">
        <f>IF(P137=0,0,P137/M137*100)</f>
        <v>0</v>
      </c>
      <c r="T137" s="1881">
        <f>IF(Q137=0,0,Q137/N137*100)</f>
        <v>0</v>
      </c>
      <c r="U137" s="1881">
        <f>IF(R137=0,0,R137/O137*100)</f>
        <v>0</v>
      </c>
      <c r="V137" s="1593" t="s">
        <v>1192</v>
      </c>
      <c r="W137" s="1593" t="s">
        <v>1206</v>
      </c>
      <c r="X137" s="1600">
        <f>SUM(Y137:Z137)</f>
        <v>0</v>
      </c>
      <c r="Y137" s="1614">
        <v>0</v>
      </c>
      <c r="Z137" s="1614">
        <v>0</v>
      </c>
      <c r="AA137" s="1600">
        <f>SUM(AB137:AC137)</f>
        <v>0</v>
      </c>
      <c r="AB137" s="1614">
        <v>0</v>
      </c>
      <c r="AC137" s="1614">
        <v>0</v>
      </c>
    </row>
    <row r="138" spans="1:29" ht="23.25" customHeight="1">
      <c r="A138" s="1972">
        <f t="shared" si="37"/>
        <v>74</v>
      </c>
      <c r="B138" s="1883" t="s">
        <v>1467</v>
      </c>
      <c r="C138" s="1880">
        <v>14074</v>
      </c>
      <c r="D138" s="1600">
        <f t="shared" si="38"/>
        <v>3150</v>
      </c>
      <c r="E138" s="1608"/>
      <c r="F138" s="1608">
        <v>3150</v>
      </c>
      <c r="G138" s="1600">
        <f t="shared" si="26"/>
        <v>4400</v>
      </c>
      <c r="H138" s="1608"/>
      <c r="I138" s="1608">
        <v>4400</v>
      </c>
      <c r="J138" s="1594">
        <f t="shared" si="20"/>
        <v>1250</v>
      </c>
      <c r="K138" s="1594">
        <f t="shared" si="21"/>
        <v>0</v>
      </c>
      <c r="L138" s="1594">
        <f t="shared" si="22"/>
        <v>1250</v>
      </c>
      <c r="M138" s="1600">
        <f t="shared" si="31"/>
        <v>4400</v>
      </c>
      <c r="N138" s="1608"/>
      <c r="O138" s="1608">
        <v>4400</v>
      </c>
      <c r="P138" s="1600">
        <f t="shared" si="24"/>
        <v>0</v>
      </c>
      <c r="Q138" s="1608"/>
      <c r="R138" s="1608"/>
      <c r="S138" s="1604">
        <f t="shared" si="28"/>
        <v>0</v>
      </c>
      <c r="T138" s="1881">
        <f t="shared" si="28"/>
        <v>0</v>
      </c>
      <c r="U138" s="1881">
        <f t="shared" si="28"/>
        <v>0</v>
      </c>
      <c r="V138" s="1593" t="s">
        <v>1290</v>
      </c>
      <c r="W138" s="1593" t="s">
        <v>1240</v>
      </c>
      <c r="X138" s="1600">
        <f t="shared" si="33"/>
        <v>100</v>
      </c>
      <c r="Y138" s="1608">
        <v>0</v>
      </c>
      <c r="Z138" s="1608">
        <v>100</v>
      </c>
      <c r="AA138" s="1600">
        <f t="shared" si="34"/>
        <v>0</v>
      </c>
      <c r="AB138" s="1608">
        <v>0</v>
      </c>
      <c r="AC138" s="1608">
        <v>0</v>
      </c>
    </row>
    <row r="139" spans="1:29" ht="97.5" customHeight="1">
      <c r="A139" s="1972">
        <v>74</v>
      </c>
      <c r="B139" s="1883" t="s">
        <v>1684</v>
      </c>
      <c r="C139" s="1880"/>
      <c r="D139" s="1600">
        <f t="shared" si="38"/>
        <v>0</v>
      </c>
      <c r="E139" s="1608"/>
      <c r="F139" s="1608"/>
      <c r="G139" s="1600">
        <f t="shared" si="26"/>
        <v>5506.4</v>
      </c>
      <c r="H139" s="1608"/>
      <c r="I139" s="1608">
        <v>5506.4</v>
      </c>
      <c r="J139" s="1594">
        <f t="shared" si="20"/>
        <v>5506.4</v>
      </c>
      <c r="K139" s="1594">
        <f t="shared" si="21"/>
        <v>0</v>
      </c>
      <c r="L139" s="1594">
        <f t="shared" si="22"/>
        <v>5506.4</v>
      </c>
      <c r="M139" s="1600">
        <f t="shared" si="31"/>
        <v>0</v>
      </c>
      <c r="N139" s="1608"/>
      <c r="O139" s="1608"/>
      <c r="P139" s="1600">
        <f t="shared" si="24"/>
        <v>0</v>
      </c>
      <c r="Q139" s="1608"/>
      <c r="R139" s="1608"/>
      <c r="S139" s="1604">
        <f t="shared" si="28"/>
        <v>0</v>
      </c>
      <c r="T139" s="1881">
        <f t="shared" si="28"/>
        <v>0</v>
      </c>
      <c r="U139" s="1881">
        <f t="shared" si="28"/>
        <v>0</v>
      </c>
      <c r="V139" s="1593"/>
      <c r="W139" s="1593"/>
      <c r="X139" s="1600"/>
      <c r="Y139" s="1608"/>
      <c r="Z139" s="1608"/>
      <c r="AA139" s="1600"/>
      <c r="AB139" s="1608"/>
      <c r="AC139" s="1608"/>
    </row>
    <row r="140" spans="1:29" s="484" customFormat="1" ht="56.25">
      <c r="A140" s="1972" t="s">
        <v>248</v>
      </c>
      <c r="B140" s="1897" t="s">
        <v>1637</v>
      </c>
      <c r="C140" s="1898"/>
      <c r="D140" s="1899">
        <f t="shared" si="38"/>
        <v>0</v>
      </c>
      <c r="E140" s="1899">
        <f>SUM(E141:E147)</f>
        <v>0</v>
      </c>
      <c r="F140" s="1899">
        <f>SUM(F141:F147)</f>
        <v>0</v>
      </c>
      <c r="G140" s="1899">
        <f>SUM(H140:I140)</f>
        <v>55300</v>
      </c>
      <c r="H140" s="1899">
        <f>SUM(H141:H147)</f>
        <v>0</v>
      </c>
      <c r="I140" s="1899">
        <f>SUM(I141:I147)</f>
        <v>55300</v>
      </c>
      <c r="J140" s="1594">
        <f t="shared" si="20"/>
        <v>55300</v>
      </c>
      <c r="K140" s="1594">
        <f t="shared" si="21"/>
        <v>0</v>
      </c>
      <c r="L140" s="1594">
        <f t="shared" si="22"/>
        <v>55300</v>
      </c>
      <c r="M140" s="1899">
        <f t="shared" si="31"/>
        <v>55300</v>
      </c>
      <c r="N140" s="1899">
        <f>SUM(N141:N147)</f>
        <v>0</v>
      </c>
      <c r="O140" s="1899">
        <f>SUM(O141:O147)</f>
        <v>55300</v>
      </c>
      <c r="P140" s="1899">
        <f t="shared" si="24"/>
        <v>0</v>
      </c>
      <c r="Q140" s="1899">
        <f>SUM(Q141:Q147)</f>
        <v>0</v>
      </c>
      <c r="R140" s="1899">
        <f>SUM(R141:R147)</f>
        <v>0</v>
      </c>
      <c r="S140" s="1900">
        <f t="shared" si="28"/>
        <v>0</v>
      </c>
      <c r="T140" s="1901">
        <f t="shared" si="28"/>
        <v>0</v>
      </c>
      <c r="U140" s="1901">
        <f t="shared" si="28"/>
        <v>0</v>
      </c>
      <c r="V140" s="1902" t="e">
        <f>SUM(V160+V150+V164)</f>
        <v>#VALUE!</v>
      </c>
      <c r="W140" s="1902" t="e">
        <f>SUM(W160+W150+W164)</f>
        <v>#VALUE!</v>
      </c>
      <c r="X140" s="1899">
        <f t="shared" si="33"/>
        <v>1000</v>
      </c>
      <c r="Y140" s="1899">
        <f>SUM(Y141:Y147)</f>
        <v>0</v>
      </c>
      <c r="Z140" s="1899">
        <f>SUM(Z141:Z147)</f>
        <v>1000</v>
      </c>
      <c r="AA140" s="1899">
        <f t="shared" si="34"/>
        <v>0</v>
      </c>
      <c r="AB140" s="1899">
        <f>SUM(AB141:AB147)</f>
        <v>0</v>
      </c>
      <c r="AC140" s="1899">
        <f>SUM(AC141:AC147)</f>
        <v>0</v>
      </c>
    </row>
    <row r="141" spans="1:29" ht="37.5" customHeight="1">
      <c r="A141" s="1972">
        <f>A139+1</f>
        <v>75</v>
      </c>
      <c r="B141" s="1912" t="s">
        <v>1591</v>
      </c>
      <c r="C141" s="1913">
        <v>14098</v>
      </c>
      <c r="D141" s="1600">
        <f t="shared" si="38"/>
        <v>0</v>
      </c>
      <c r="E141" s="1608"/>
      <c r="F141" s="1608"/>
      <c r="G141" s="1600">
        <f>SUM(H141:I141)</f>
        <v>1800</v>
      </c>
      <c r="H141" s="1608"/>
      <c r="I141" s="1608">
        <v>1800</v>
      </c>
      <c r="J141" s="1594">
        <f t="shared" ref="J141:J207" si="39">G141-D141</f>
        <v>1800</v>
      </c>
      <c r="K141" s="1594">
        <f t="shared" ref="K141:K207" si="40">H141-E141</f>
        <v>0</v>
      </c>
      <c r="L141" s="1594">
        <f t="shared" ref="L141:L207" si="41">I141-F141</f>
        <v>1800</v>
      </c>
      <c r="M141" s="1600">
        <f t="shared" si="31"/>
        <v>1800</v>
      </c>
      <c r="N141" s="1608"/>
      <c r="O141" s="1608">
        <v>1800</v>
      </c>
      <c r="P141" s="1600">
        <f t="shared" ref="P141:P151" si="42">SUM(Q141:R141)</f>
        <v>0</v>
      </c>
      <c r="Q141" s="1608"/>
      <c r="R141" s="1608"/>
      <c r="S141" s="1893">
        <f t="shared" si="28"/>
        <v>0</v>
      </c>
      <c r="T141" s="1894">
        <f t="shared" si="28"/>
        <v>0</v>
      </c>
      <c r="U141" s="1894">
        <f t="shared" si="28"/>
        <v>0</v>
      </c>
      <c r="V141" s="1593"/>
      <c r="W141" s="1593"/>
      <c r="X141" s="1600">
        <f>SUM(Y141:Z141)</f>
        <v>0</v>
      </c>
      <c r="Y141" s="1614">
        <v>0</v>
      </c>
      <c r="Z141" s="1614">
        <v>0</v>
      </c>
      <c r="AA141" s="1600">
        <f>SUM(AB141:AC141)</f>
        <v>0</v>
      </c>
      <c r="AB141" s="1608">
        <v>0</v>
      </c>
      <c r="AC141" s="1608">
        <v>0</v>
      </c>
    </row>
    <row r="142" spans="1:29" s="1607" customFormat="1" ht="63" customHeight="1">
      <c r="A142" s="1972" t="s">
        <v>1683</v>
      </c>
      <c r="B142" s="521" t="s">
        <v>1661</v>
      </c>
      <c r="C142" s="1882"/>
      <c r="D142" s="1600">
        <f t="shared" si="38"/>
        <v>0</v>
      </c>
      <c r="E142" s="1608"/>
      <c r="F142" s="1608"/>
      <c r="G142" s="1600">
        <f>SUM(H142:I142)</f>
        <v>1000</v>
      </c>
      <c r="H142" s="1608"/>
      <c r="I142" s="1608">
        <v>1000</v>
      </c>
      <c r="J142" s="1594">
        <f t="shared" si="39"/>
        <v>1000</v>
      </c>
      <c r="K142" s="1594">
        <f t="shared" si="40"/>
        <v>0</v>
      </c>
      <c r="L142" s="1594">
        <f t="shared" si="41"/>
        <v>1000</v>
      </c>
      <c r="M142" s="1600">
        <f t="shared" si="31"/>
        <v>1000</v>
      </c>
      <c r="N142" s="1608"/>
      <c r="O142" s="1608">
        <v>1000</v>
      </c>
      <c r="P142" s="1600">
        <f t="shared" si="42"/>
        <v>0</v>
      </c>
      <c r="Q142" s="1608"/>
      <c r="R142" s="1608"/>
      <c r="S142" s="1604">
        <f t="shared" si="28"/>
        <v>0</v>
      </c>
      <c r="T142" s="1881">
        <f t="shared" si="28"/>
        <v>0</v>
      </c>
      <c r="U142" s="1881">
        <f t="shared" si="28"/>
        <v>0</v>
      </c>
      <c r="V142" s="1593"/>
      <c r="W142" s="1593"/>
      <c r="X142" s="1600">
        <f>SUM(Y142:Z142)</f>
        <v>0</v>
      </c>
      <c r="Y142" s="1614">
        <v>0</v>
      </c>
      <c r="Z142" s="1614">
        <v>0</v>
      </c>
      <c r="AA142" s="1600">
        <f>SUM(AB142:AC142)</f>
        <v>0</v>
      </c>
      <c r="AB142" s="1608">
        <v>0</v>
      </c>
      <c r="AC142" s="1608">
        <v>0</v>
      </c>
    </row>
    <row r="143" spans="1:29" s="1570" customFormat="1" ht="42.75" customHeight="1">
      <c r="A143" s="1972" t="s">
        <v>911</v>
      </c>
      <c r="B143" s="1885" t="s">
        <v>1676</v>
      </c>
      <c r="C143" s="1880"/>
      <c r="D143" s="1600">
        <f t="shared" ref="D143:D148" si="43">SUM(E143:F143)</f>
        <v>0</v>
      </c>
      <c r="E143" s="1614"/>
      <c r="F143" s="1614"/>
      <c r="G143" s="1600">
        <f t="shared" si="26"/>
        <v>1000</v>
      </c>
      <c r="H143" s="1614"/>
      <c r="I143" s="1614">
        <v>1000</v>
      </c>
      <c r="J143" s="1594">
        <f t="shared" si="39"/>
        <v>1000</v>
      </c>
      <c r="K143" s="1594">
        <f t="shared" si="40"/>
        <v>0</v>
      </c>
      <c r="L143" s="1594">
        <f t="shared" si="41"/>
        <v>1000</v>
      </c>
      <c r="M143" s="1600">
        <f t="shared" si="31"/>
        <v>1000</v>
      </c>
      <c r="N143" s="1614"/>
      <c r="O143" s="1614">
        <v>1000</v>
      </c>
      <c r="P143" s="1600">
        <f t="shared" si="42"/>
        <v>0</v>
      </c>
      <c r="Q143" s="1614"/>
      <c r="R143" s="1614"/>
      <c r="S143" s="1604">
        <f t="shared" si="28"/>
        <v>0</v>
      </c>
      <c r="T143" s="1881">
        <f t="shared" si="28"/>
        <v>0</v>
      </c>
      <c r="U143" s="1881">
        <f t="shared" si="28"/>
        <v>0</v>
      </c>
      <c r="V143" s="1593"/>
      <c r="W143" s="1612"/>
      <c r="X143" s="1600">
        <f t="shared" si="33"/>
        <v>0</v>
      </c>
      <c r="Y143" s="1614">
        <v>0</v>
      </c>
      <c r="Z143" s="1614">
        <v>0</v>
      </c>
      <c r="AA143" s="1600">
        <f t="shared" si="34"/>
        <v>0</v>
      </c>
      <c r="AB143" s="1608">
        <v>0</v>
      </c>
      <c r="AC143" s="1608">
        <v>0</v>
      </c>
    </row>
    <row r="144" spans="1:29" s="1570" customFormat="1" ht="43.5" customHeight="1">
      <c r="A144" s="1972" t="s">
        <v>913</v>
      </c>
      <c r="B144" s="1888" t="s">
        <v>1596</v>
      </c>
      <c r="C144" s="1880"/>
      <c r="D144" s="1600">
        <f t="shared" si="43"/>
        <v>0</v>
      </c>
      <c r="E144" s="1614"/>
      <c r="F144" s="1614"/>
      <c r="G144" s="1600">
        <f t="shared" si="26"/>
        <v>1500</v>
      </c>
      <c r="H144" s="1614"/>
      <c r="I144" s="1614">
        <f>1500</f>
        <v>1500</v>
      </c>
      <c r="J144" s="1594">
        <f t="shared" si="39"/>
        <v>1500</v>
      </c>
      <c r="K144" s="1594">
        <f t="shared" si="40"/>
        <v>0</v>
      </c>
      <c r="L144" s="1594">
        <f t="shared" si="41"/>
        <v>1500</v>
      </c>
      <c r="M144" s="1600">
        <f t="shared" si="31"/>
        <v>1500</v>
      </c>
      <c r="N144" s="1614"/>
      <c r="O144" s="1614">
        <v>1500</v>
      </c>
      <c r="P144" s="1600">
        <f t="shared" si="42"/>
        <v>0</v>
      </c>
      <c r="Q144" s="1614"/>
      <c r="R144" s="1614"/>
      <c r="S144" s="1604">
        <f t="shared" si="28"/>
        <v>0</v>
      </c>
      <c r="T144" s="1881">
        <f t="shared" si="28"/>
        <v>0</v>
      </c>
      <c r="U144" s="1881">
        <f t="shared" si="28"/>
        <v>0</v>
      </c>
      <c r="V144" s="1593"/>
      <c r="W144" s="1612"/>
      <c r="X144" s="1600">
        <f t="shared" si="33"/>
        <v>0</v>
      </c>
      <c r="Y144" s="1614">
        <v>0</v>
      </c>
      <c r="Z144" s="1614">
        <v>0</v>
      </c>
      <c r="AA144" s="1600">
        <f t="shared" si="34"/>
        <v>0</v>
      </c>
      <c r="AB144" s="1608">
        <v>0</v>
      </c>
      <c r="AC144" s="1608">
        <v>0</v>
      </c>
    </row>
    <row r="145" spans="1:29" s="484" customFormat="1" ht="49.5" customHeight="1">
      <c r="A145" s="1972" t="s">
        <v>1325</v>
      </c>
      <c r="B145" s="1915" t="s">
        <v>694</v>
      </c>
      <c r="C145" s="1866" t="s">
        <v>1548</v>
      </c>
      <c r="D145" s="1600">
        <f t="shared" si="43"/>
        <v>0</v>
      </c>
      <c r="E145" s="1614"/>
      <c r="F145" s="1614"/>
      <c r="G145" s="1600">
        <f t="shared" si="26"/>
        <v>19000</v>
      </c>
      <c r="H145" s="1614"/>
      <c r="I145" s="1614">
        <v>19000</v>
      </c>
      <c r="J145" s="1594">
        <f t="shared" si="39"/>
        <v>19000</v>
      </c>
      <c r="K145" s="1594">
        <f t="shared" si="40"/>
        <v>0</v>
      </c>
      <c r="L145" s="1594">
        <f t="shared" si="41"/>
        <v>19000</v>
      </c>
      <c r="M145" s="1600">
        <f t="shared" si="31"/>
        <v>19000</v>
      </c>
      <c r="N145" s="1614"/>
      <c r="O145" s="1614">
        <v>19000</v>
      </c>
      <c r="P145" s="1600">
        <f t="shared" si="42"/>
        <v>0</v>
      </c>
      <c r="Q145" s="1614"/>
      <c r="R145" s="1614"/>
      <c r="S145" s="1893">
        <f t="shared" si="28"/>
        <v>0</v>
      </c>
      <c r="T145" s="1894">
        <f t="shared" si="28"/>
        <v>0</v>
      </c>
      <c r="U145" s="1894">
        <f t="shared" si="28"/>
        <v>0</v>
      </c>
      <c r="V145" s="1593" t="s">
        <v>1272</v>
      </c>
      <c r="W145" s="1593" t="s">
        <v>1273</v>
      </c>
      <c r="X145" s="1600">
        <f t="shared" si="33"/>
        <v>1000</v>
      </c>
      <c r="Y145" s="1614">
        <v>0</v>
      </c>
      <c r="Z145" s="1614">
        <v>1000</v>
      </c>
      <c r="AA145" s="1600">
        <f t="shared" si="34"/>
        <v>0</v>
      </c>
      <c r="AB145" s="1608">
        <v>0</v>
      </c>
      <c r="AC145" s="1608">
        <v>0</v>
      </c>
    </row>
    <row r="146" spans="1:29" s="1607" customFormat="1" ht="55.5" customHeight="1">
      <c r="A146" s="1972" t="s">
        <v>1309</v>
      </c>
      <c r="B146" s="1914" t="s">
        <v>1600</v>
      </c>
      <c r="C146" s="1972"/>
      <c r="D146" s="1600">
        <f t="shared" si="43"/>
        <v>0</v>
      </c>
      <c r="E146" s="1608"/>
      <c r="F146" s="1608"/>
      <c r="G146" s="1600">
        <f t="shared" si="26"/>
        <v>1000</v>
      </c>
      <c r="H146" s="1608"/>
      <c r="I146" s="1608">
        <v>1000</v>
      </c>
      <c r="J146" s="1594">
        <f t="shared" si="39"/>
        <v>1000</v>
      </c>
      <c r="K146" s="1594">
        <f t="shared" si="40"/>
        <v>0</v>
      </c>
      <c r="L146" s="1594">
        <f t="shared" si="41"/>
        <v>1000</v>
      </c>
      <c r="M146" s="1600">
        <f t="shared" si="31"/>
        <v>1000</v>
      </c>
      <c r="N146" s="1608"/>
      <c r="O146" s="1608">
        <v>1000</v>
      </c>
      <c r="P146" s="1600">
        <f t="shared" si="42"/>
        <v>0</v>
      </c>
      <c r="Q146" s="1608"/>
      <c r="R146" s="1608"/>
      <c r="S146" s="1604">
        <f t="shared" si="28"/>
        <v>0</v>
      </c>
      <c r="T146" s="1881">
        <f t="shared" si="28"/>
        <v>0</v>
      </c>
      <c r="U146" s="1881">
        <f t="shared" si="28"/>
        <v>0</v>
      </c>
      <c r="V146" s="1593"/>
      <c r="W146" s="1593"/>
      <c r="X146" s="1600">
        <f t="shared" si="33"/>
        <v>0</v>
      </c>
      <c r="Y146" s="1608">
        <v>0</v>
      </c>
      <c r="Z146" s="1608">
        <v>0</v>
      </c>
      <c r="AA146" s="1600">
        <f t="shared" si="34"/>
        <v>0</v>
      </c>
      <c r="AB146" s="1608">
        <v>0</v>
      </c>
      <c r="AC146" s="1608">
        <v>0</v>
      </c>
    </row>
    <row r="147" spans="1:29" s="484" customFormat="1" ht="53.25" customHeight="1">
      <c r="A147" s="1972" t="s">
        <v>1327</v>
      </c>
      <c r="B147" s="1915" t="s">
        <v>698</v>
      </c>
      <c r="C147" s="1866"/>
      <c r="D147" s="1600">
        <f t="shared" si="43"/>
        <v>0</v>
      </c>
      <c r="E147" s="1614"/>
      <c r="F147" s="1614"/>
      <c r="G147" s="1600">
        <f t="shared" ref="G147:G222" si="44">SUM(H147:I147)</f>
        <v>30000</v>
      </c>
      <c r="H147" s="1614"/>
      <c r="I147" s="1614">
        <v>30000</v>
      </c>
      <c r="J147" s="1594">
        <f t="shared" si="39"/>
        <v>30000</v>
      </c>
      <c r="K147" s="1594">
        <f t="shared" si="40"/>
        <v>0</v>
      </c>
      <c r="L147" s="1594">
        <f t="shared" si="41"/>
        <v>30000</v>
      </c>
      <c r="M147" s="1600">
        <f t="shared" si="31"/>
        <v>30000</v>
      </c>
      <c r="N147" s="1614"/>
      <c r="O147" s="1614">
        <v>30000</v>
      </c>
      <c r="P147" s="1600">
        <f t="shared" si="42"/>
        <v>0</v>
      </c>
      <c r="Q147" s="1614"/>
      <c r="R147" s="1614"/>
      <c r="S147" s="1893">
        <f t="shared" si="28"/>
        <v>0</v>
      </c>
      <c r="T147" s="1894">
        <f t="shared" si="28"/>
        <v>0</v>
      </c>
      <c r="U147" s="1894">
        <f t="shared" si="28"/>
        <v>0</v>
      </c>
      <c r="V147" s="1593" t="s">
        <v>1306</v>
      </c>
      <c r="W147" s="1593" t="s">
        <v>1277</v>
      </c>
      <c r="X147" s="1600">
        <f t="shared" si="33"/>
        <v>0</v>
      </c>
      <c r="Y147" s="1608">
        <v>0</v>
      </c>
      <c r="Z147" s="1608">
        <v>0</v>
      </c>
      <c r="AA147" s="1600">
        <f t="shared" si="34"/>
        <v>0</v>
      </c>
      <c r="AB147" s="1608">
        <v>0</v>
      </c>
      <c r="AC147" s="1608">
        <v>0</v>
      </c>
    </row>
    <row r="148" spans="1:29" ht="26.25" customHeight="1">
      <c r="A148" s="1972" t="s">
        <v>249</v>
      </c>
      <c r="B148" s="1876" t="s">
        <v>1394</v>
      </c>
      <c r="C148" s="1877"/>
      <c r="D148" s="1598">
        <f t="shared" si="43"/>
        <v>4898346</v>
      </c>
      <c r="E148" s="1903">
        <f>SUM(E149,E164,E216,E218)</f>
        <v>3833150.5</v>
      </c>
      <c r="F148" s="1903">
        <f>SUM(F149,F164,F216,F218)</f>
        <v>1065195.5</v>
      </c>
      <c r="G148" s="1598">
        <f t="shared" si="44"/>
        <v>4860552.5999999996</v>
      </c>
      <c r="H148" s="1903">
        <f>SUM(H149,H164,H216,H218)</f>
        <v>3705376</v>
      </c>
      <c r="I148" s="1903">
        <f>SUM(I149,I164,I216,I218)</f>
        <v>1155176.6000000001</v>
      </c>
      <c r="J148" s="1594">
        <f t="shared" si="39"/>
        <v>-37793.4</v>
      </c>
      <c r="K148" s="1594">
        <f t="shared" si="40"/>
        <v>-127774.5</v>
      </c>
      <c r="L148" s="1594">
        <f t="shared" si="41"/>
        <v>89981.1</v>
      </c>
      <c r="M148" s="1598">
        <f t="shared" si="31"/>
        <v>4860552.5999999996</v>
      </c>
      <c r="N148" s="1903">
        <f>SUM(N149,N164,N216,N218)</f>
        <v>3705376</v>
      </c>
      <c r="O148" s="1903">
        <f>SUM(O149,O164,O216,O218)</f>
        <v>1155176.6000000001</v>
      </c>
      <c r="P148" s="1598">
        <f t="shared" si="42"/>
        <v>94750.1</v>
      </c>
      <c r="Q148" s="1903">
        <f>SUM(Q149,Q164,Q216,Q218)</f>
        <v>89063.6</v>
      </c>
      <c r="R148" s="1903">
        <f>SUM(R149,R164,R216,R218)</f>
        <v>5686.5</v>
      </c>
      <c r="S148" s="1908">
        <f t="shared" ref="S148:U222" si="45">IF(P148=0,0,P148/M148*100)</f>
        <v>1.9</v>
      </c>
      <c r="T148" s="1909">
        <f t="shared" si="45"/>
        <v>2.4</v>
      </c>
      <c r="U148" s="1909">
        <f t="shared" si="45"/>
        <v>0.5</v>
      </c>
      <c r="V148" s="1599" t="s">
        <v>353</v>
      </c>
      <c r="W148" s="1599" t="s">
        <v>353</v>
      </c>
      <c r="X148" s="1598" t="e">
        <f t="shared" si="33"/>
        <v>#REF!</v>
      </c>
      <c r="Y148" s="1903" t="e">
        <f>SUM(Y149,Y164,Y216,Y218)</f>
        <v>#REF!</v>
      </c>
      <c r="Z148" s="1903" t="e">
        <f>SUM(Z149,Z164,Z216,Z218)</f>
        <v>#REF!</v>
      </c>
      <c r="AA148" s="1598" t="e">
        <f t="shared" si="34"/>
        <v>#REF!</v>
      </c>
      <c r="AB148" s="1903" t="e">
        <f>SUM(AB149,AB164,AB216,AB218)</f>
        <v>#REF!</v>
      </c>
      <c r="AC148" s="1903" t="e">
        <f>SUM(AC149,AC164,AC216,AC218)</f>
        <v>#REF!</v>
      </c>
    </row>
    <row r="149" spans="1:29" ht="37.5">
      <c r="A149" s="1972" t="s">
        <v>250</v>
      </c>
      <c r="B149" s="1897" t="s">
        <v>1395</v>
      </c>
      <c r="C149" s="1898"/>
      <c r="D149" s="1899">
        <f>SUM(E149:F149)</f>
        <v>1993022.3</v>
      </c>
      <c r="E149" s="1899">
        <f>SUM(E150,E156,E160,E162)</f>
        <v>1271050.5</v>
      </c>
      <c r="F149" s="1899">
        <f>SUM(F150,F156,F160,F162)</f>
        <v>721971.8</v>
      </c>
      <c r="G149" s="1899">
        <f>SUM(H149:I149)</f>
        <v>1993022.4</v>
      </c>
      <c r="H149" s="1899">
        <f>SUM(H150,H156,H160,H162)</f>
        <v>1272912.3</v>
      </c>
      <c r="I149" s="1899">
        <f>SUM(I150,I156,I160,I162)</f>
        <v>720110.1</v>
      </c>
      <c r="J149" s="1594">
        <f t="shared" si="39"/>
        <v>0.1</v>
      </c>
      <c r="K149" s="1594">
        <f t="shared" si="40"/>
        <v>1861.8</v>
      </c>
      <c r="L149" s="1594">
        <f t="shared" si="41"/>
        <v>-1861.7</v>
      </c>
      <c r="M149" s="1899">
        <f>SUM(N149:O149)</f>
        <v>1993022.4</v>
      </c>
      <c r="N149" s="1899">
        <f>SUM(N150,N156,N160,N162)</f>
        <v>1272912.3</v>
      </c>
      <c r="O149" s="1899">
        <f>SUM(O150,O156,O160,O162)</f>
        <v>720110.1</v>
      </c>
      <c r="P149" s="1899">
        <f t="shared" si="42"/>
        <v>0</v>
      </c>
      <c r="Q149" s="1899">
        <f>SUM(Q150,Q156,Q160,Q162)</f>
        <v>0</v>
      </c>
      <c r="R149" s="1899">
        <f>SUM(R150,R156,R160,R162)</f>
        <v>0</v>
      </c>
      <c r="S149" s="1899">
        <f>SUM(S150,S160)+T156</f>
        <v>0</v>
      </c>
      <c r="T149" s="1899">
        <f>SUM(T150,T160)+U156</f>
        <v>0</v>
      </c>
      <c r="U149" s="1899">
        <f>SUM(U150,U160)+V156</f>
        <v>0</v>
      </c>
      <c r="V149" s="1899">
        <f>SUM(V150,V160)+W156</f>
        <v>0</v>
      </c>
      <c r="W149" s="1899">
        <f>SUM(W150,W160)+X156</f>
        <v>182695.3</v>
      </c>
      <c r="X149" s="1899">
        <f>SUM(Y149:Z149)</f>
        <v>1266522.3999999999</v>
      </c>
      <c r="Y149" s="1899">
        <f>SUM(Y150,Y156,Y160,Y162)</f>
        <v>926046.6</v>
      </c>
      <c r="Z149" s="1899">
        <f>SUM(Z150,Z156,Z160,Z162)</f>
        <v>340475.8</v>
      </c>
      <c r="AA149" s="1899">
        <f>SUM(AB149:AC149)</f>
        <v>1478103.7</v>
      </c>
      <c r="AB149" s="1899">
        <f>SUM(AB150,AB156,AB160,AB162)</f>
        <v>1463322.7</v>
      </c>
      <c r="AC149" s="1899">
        <f>SUM(AC150,AC156,AC160,AC162)</f>
        <v>14781</v>
      </c>
    </row>
    <row r="150" spans="1:29">
      <c r="A150" s="1972"/>
      <c r="B150" s="1897" t="s">
        <v>1461</v>
      </c>
      <c r="C150" s="1898"/>
      <c r="D150" s="1899">
        <f>SUM(E150:F150)</f>
        <v>1945332.3</v>
      </c>
      <c r="E150" s="1899">
        <f>SUM(E151:E155)</f>
        <v>1236050.5</v>
      </c>
      <c r="F150" s="1899">
        <f>SUM(F151:F155)</f>
        <v>709281.8</v>
      </c>
      <c r="G150" s="1899">
        <f>SUM(H150:I150)</f>
        <v>1945332.3</v>
      </c>
      <c r="H150" s="1899">
        <f>SUM(H151:H155)</f>
        <v>1236050.5</v>
      </c>
      <c r="I150" s="1899">
        <f>SUM(I151:I155)</f>
        <v>709281.8</v>
      </c>
      <c r="J150" s="1594">
        <f t="shared" si="39"/>
        <v>0</v>
      </c>
      <c r="K150" s="1594">
        <f t="shared" si="40"/>
        <v>0</v>
      </c>
      <c r="L150" s="1594">
        <f t="shared" si="41"/>
        <v>0</v>
      </c>
      <c r="M150" s="1899">
        <f>SUM(N150:O150)</f>
        <v>1945332.3</v>
      </c>
      <c r="N150" s="1899">
        <f>SUM(N151:N155)</f>
        <v>1236050.5</v>
      </c>
      <c r="O150" s="1899">
        <f>SUM(O151:O155)</f>
        <v>709281.8</v>
      </c>
      <c r="P150" s="1899">
        <f t="shared" si="42"/>
        <v>0</v>
      </c>
      <c r="Q150" s="1899">
        <f t="shared" ref="Q150:AC150" si="46">SUM(Q151:Q155)</f>
        <v>0</v>
      </c>
      <c r="R150" s="1899">
        <f t="shared" si="46"/>
        <v>0</v>
      </c>
      <c r="S150" s="1899">
        <f t="shared" si="46"/>
        <v>0</v>
      </c>
      <c r="T150" s="1899">
        <f t="shared" si="46"/>
        <v>0</v>
      </c>
      <c r="U150" s="1899">
        <f t="shared" si="46"/>
        <v>0</v>
      </c>
      <c r="V150" s="1899">
        <f t="shared" si="46"/>
        <v>0</v>
      </c>
      <c r="W150" s="1899">
        <f t="shared" si="46"/>
        <v>0</v>
      </c>
      <c r="X150" s="1899">
        <f t="shared" si="46"/>
        <v>1083827.1000000001</v>
      </c>
      <c r="Y150" s="1899">
        <f t="shared" si="46"/>
        <v>745178.3</v>
      </c>
      <c r="Z150" s="1899">
        <f t="shared" si="46"/>
        <v>338648.8</v>
      </c>
      <c r="AA150" s="1899">
        <f t="shared" si="46"/>
        <v>416896.2</v>
      </c>
      <c r="AB150" s="1899">
        <f t="shared" si="46"/>
        <v>412727.2</v>
      </c>
      <c r="AC150" s="1899">
        <f t="shared" si="46"/>
        <v>4169</v>
      </c>
    </row>
    <row r="151" spans="1:29" ht="66" customHeight="1">
      <c r="A151" s="1972">
        <f>A141+1</f>
        <v>76</v>
      </c>
      <c r="B151" s="1888" t="s">
        <v>1459</v>
      </c>
      <c r="C151" s="1866" t="s">
        <v>1547</v>
      </c>
      <c r="D151" s="1600">
        <f>SUM(E151:F151)</f>
        <v>925654.2</v>
      </c>
      <c r="E151" s="1614">
        <v>542739</v>
      </c>
      <c r="F151" s="1614">
        <v>382915.2</v>
      </c>
      <c r="G151" s="1600">
        <f t="shared" si="44"/>
        <v>925654.2</v>
      </c>
      <c r="H151" s="1614">
        <v>542739</v>
      </c>
      <c r="I151" s="1614">
        <v>382915.2</v>
      </c>
      <c r="J151" s="1594">
        <f t="shared" si="39"/>
        <v>0</v>
      </c>
      <c r="K151" s="1594">
        <f t="shared" si="40"/>
        <v>0</v>
      </c>
      <c r="L151" s="1594">
        <f t="shared" si="41"/>
        <v>0</v>
      </c>
      <c r="M151" s="1600">
        <f>SUM(N151:O151)</f>
        <v>925654.2</v>
      </c>
      <c r="N151" s="1614">
        <v>542739</v>
      </c>
      <c r="O151" s="1614">
        <v>382915.2</v>
      </c>
      <c r="P151" s="1600">
        <f t="shared" si="42"/>
        <v>0</v>
      </c>
      <c r="Q151" s="1614"/>
      <c r="R151" s="1614"/>
      <c r="S151" s="1893">
        <f t="shared" si="45"/>
        <v>0</v>
      </c>
      <c r="T151" s="1894">
        <f t="shared" si="45"/>
        <v>0</v>
      </c>
      <c r="U151" s="1894">
        <f t="shared" si="45"/>
        <v>0</v>
      </c>
      <c r="V151" s="1593" t="s">
        <v>1192</v>
      </c>
      <c r="W151" s="1593" t="s">
        <v>1160</v>
      </c>
      <c r="X151" s="1600">
        <f t="shared" si="33"/>
        <v>0</v>
      </c>
      <c r="Y151" s="1614">
        <v>0</v>
      </c>
      <c r="Z151" s="1614">
        <v>0</v>
      </c>
      <c r="AA151" s="1600">
        <f t="shared" si="34"/>
        <v>0</v>
      </c>
      <c r="AB151" s="1614">
        <v>0</v>
      </c>
      <c r="AC151" s="1614">
        <v>0</v>
      </c>
    </row>
    <row r="152" spans="1:29" ht="37.5" hidden="1" customHeight="1">
      <c r="A152" s="1972">
        <f>A151+1</f>
        <v>77</v>
      </c>
      <c r="B152" s="1888" t="s">
        <v>1645</v>
      </c>
      <c r="C152" s="1866"/>
      <c r="D152" s="1600">
        <f>E152+F152</f>
        <v>0</v>
      </c>
      <c r="E152" s="1614">
        <v>0</v>
      </c>
      <c r="F152" s="1614">
        <v>0</v>
      </c>
      <c r="G152" s="1600">
        <f>H152+I152</f>
        <v>0</v>
      </c>
      <c r="H152" s="1614">
        <v>0</v>
      </c>
      <c r="I152" s="1614">
        <v>0</v>
      </c>
      <c r="J152" s="1594">
        <f t="shared" si="39"/>
        <v>0</v>
      </c>
      <c r="K152" s="1594">
        <f t="shared" si="40"/>
        <v>0</v>
      </c>
      <c r="L152" s="1594">
        <f t="shared" si="41"/>
        <v>0</v>
      </c>
      <c r="M152" s="1600">
        <f>N152+O152</f>
        <v>0</v>
      </c>
      <c r="N152" s="1614">
        <v>0</v>
      </c>
      <c r="O152" s="1614">
        <v>0</v>
      </c>
      <c r="P152" s="1600">
        <f>Q152+R152</f>
        <v>0</v>
      </c>
      <c r="Q152" s="1614"/>
      <c r="R152" s="1614"/>
      <c r="S152" s="1600">
        <v>0</v>
      </c>
      <c r="T152" s="1614">
        <v>0</v>
      </c>
      <c r="U152" s="1614">
        <v>0</v>
      </c>
      <c r="V152" s="1593"/>
      <c r="W152" s="1593"/>
      <c r="X152" s="1600">
        <f>Y152+Z152</f>
        <v>416896.2</v>
      </c>
      <c r="Y152" s="1614">
        <v>412727.2</v>
      </c>
      <c r="Z152" s="1614">
        <v>4169</v>
      </c>
      <c r="AA152" s="1600">
        <f>AB152+AC152</f>
        <v>416896.2</v>
      </c>
      <c r="AB152" s="1614">
        <v>412727.2</v>
      </c>
      <c r="AC152" s="1614">
        <v>4169</v>
      </c>
    </row>
    <row r="153" spans="1:29" ht="56.25" customHeight="1">
      <c r="A153" s="1972">
        <f>A151+1</f>
        <v>77</v>
      </c>
      <c r="B153" s="1888" t="s">
        <v>1460</v>
      </c>
      <c r="C153" s="1866" t="s">
        <v>1547</v>
      </c>
      <c r="D153" s="1600">
        <f>SUM(E153:F153)</f>
        <v>806671.2</v>
      </c>
      <c r="E153" s="1614">
        <v>482434.7</v>
      </c>
      <c r="F153" s="1614">
        <v>324236.5</v>
      </c>
      <c r="G153" s="1600">
        <f t="shared" si="44"/>
        <v>806671.2</v>
      </c>
      <c r="H153" s="1614">
        <v>482434.7</v>
      </c>
      <c r="I153" s="1614">
        <v>324236.5</v>
      </c>
      <c r="J153" s="1594">
        <f t="shared" si="39"/>
        <v>0</v>
      </c>
      <c r="K153" s="1594">
        <f t="shared" si="40"/>
        <v>0</v>
      </c>
      <c r="L153" s="1594">
        <f t="shared" si="41"/>
        <v>0</v>
      </c>
      <c r="M153" s="1600">
        <f>SUM(N153:O153)</f>
        <v>806671.2</v>
      </c>
      <c r="N153" s="1614">
        <v>482434.7</v>
      </c>
      <c r="O153" s="1614">
        <v>324236.5</v>
      </c>
      <c r="P153" s="1600">
        <f>SUM(Q153:R153)</f>
        <v>0</v>
      </c>
      <c r="Q153" s="1614"/>
      <c r="R153" s="1614"/>
      <c r="S153" s="1893">
        <f t="shared" si="45"/>
        <v>0</v>
      </c>
      <c r="T153" s="1894">
        <f t="shared" si="45"/>
        <v>0</v>
      </c>
      <c r="U153" s="1894">
        <f t="shared" si="45"/>
        <v>0</v>
      </c>
      <c r="V153" s="1593" t="s">
        <v>1192</v>
      </c>
      <c r="W153" s="1593" t="s">
        <v>1159</v>
      </c>
      <c r="X153" s="1600">
        <f t="shared" si="33"/>
        <v>331121.7</v>
      </c>
      <c r="Y153" s="1614">
        <v>0</v>
      </c>
      <c r="Z153" s="1614">
        <v>331121.7</v>
      </c>
      <c r="AA153" s="1600">
        <f t="shared" si="34"/>
        <v>0</v>
      </c>
      <c r="AB153" s="1614">
        <v>0</v>
      </c>
      <c r="AC153" s="1614">
        <v>0</v>
      </c>
    </row>
    <row r="154" spans="1:29" ht="39" customHeight="1">
      <c r="A154" s="1972">
        <f t="shared" ref="A154:A159" si="47">A153+1</f>
        <v>78</v>
      </c>
      <c r="B154" s="1916" t="s">
        <v>1465</v>
      </c>
      <c r="C154" s="1866" t="s">
        <v>1547</v>
      </c>
      <c r="D154" s="1600">
        <f>SUM(E154:F154)</f>
        <v>109222.6</v>
      </c>
      <c r="E154" s="1614">
        <v>108130.3</v>
      </c>
      <c r="F154" s="1614">
        <v>1092.3</v>
      </c>
      <c r="G154" s="1600">
        <f t="shared" si="44"/>
        <v>109222.6</v>
      </c>
      <c r="H154" s="1614">
        <v>108130.3</v>
      </c>
      <c r="I154" s="1614">
        <v>1092.3</v>
      </c>
      <c r="J154" s="1594">
        <f t="shared" si="39"/>
        <v>0</v>
      </c>
      <c r="K154" s="1594">
        <f t="shared" si="40"/>
        <v>0</v>
      </c>
      <c r="L154" s="1594">
        <f t="shared" si="41"/>
        <v>0</v>
      </c>
      <c r="M154" s="1600">
        <f>SUM(N154:O154)</f>
        <v>109222.6</v>
      </c>
      <c r="N154" s="1614">
        <v>108130.3</v>
      </c>
      <c r="O154" s="1614">
        <v>1092.3</v>
      </c>
      <c r="P154" s="1600">
        <f>SUM(Q154:R154)</f>
        <v>0</v>
      </c>
      <c r="Q154" s="1614"/>
      <c r="R154" s="1614"/>
      <c r="S154" s="1893">
        <f t="shared" si="45"/>
        <v>0</v>
      </c>
      <c r="T154" s="1894">
        <f t="shared" si="45"/>
        <v>0</v>
      </c>
      <c r="U154" s="1894">
        <f t="shared" si="45"/>
        <v>0</v>
      </c>
      <c r="V154" s="1593" t="s">
        <v>1192</v>
      </c>
      <c r="W154" s="1593" t="s">
        <v>1160</v>
      </c>
      <c r="X154" s="1600">
        <f t="shared" si="33"/>
        <v>172191.3</v>
      </c>
      <c r="Y154" s="1614">
        <v>170469.4</v>
      </c>
      <c r="Z154" s="1614">
        <v>1721.9</v>
      </c>
      <c r="AA154" s="1600">
        <f t="shared" si="34"/>
        <v>0</v>
      </c>
      <c r="AB154" s="1614">
        <v>0</v>
      </c>
      <c r="AC154" s="1614">
        <v>0</v>
      </c>
    </row>
    <row r="155" spans="1:29" ht="44.25" customHeight="1">
      <c r="A155" s="1972">
        <f t="shared" si="47"/>
        <v>79</v>
      </c>
      <c r="B155" s="1916" t="s">
        <v>1466</v>
      </c>
      <c r="C155" s="1866" t="s">
        <v>1547</v>
      </c>
      <c r="D155" s="1600">
        <f>SUM(E155:F155)</f>
        <v>103784.3</v>
      </c>
      <c r="E155" s="1614">
        <v>102746.5</v>
      </c>
      <c r="F155" s="1614">
        <v>1037.8</v>
      </c>
      <c r="G155" s="1600">
        <f t="shared" si="44"/>
        <v>103784.3</v>
      </c>
      <c r="H155" s="1614">
        <v>102746.5</v>
      </c>
      <c r="I155" s="1614">
        <v>1037.8</v>
      </c>
      <c r="J155" s="1594">
        <f t="shared" si="39"/>
        <v>0</v>
      </c>
      <c r="K155" s="1594">
        <f t="shared" si="40"/>
        <v>0</v>
      </c>
      <c r="L155" s="1594">
        <f t="shared" si="41"/>
        <v>0</v>
      </c>
      <c r="M155" s="1600">
        <f>SUM(N155:O155)</f>
        <v>103784.3</v>
      </c>
      <c r="N155" s="1614">
        <v>102746.5</v>
      </c>
      <c r="O155" s="1614">
        <v>1037.8</v>
      </c>
      <c r="P155" s="1600">
        <f>SUM(Q155:R155)</f>
        <v>0</v>
      </c>
      <c r="Q155" s="1614"/>
      <c r="R155" s="1614"/>
      <c r="S155" s="1893">
        <f t="shared" si="45"/>
        <v>0</v>
      </c>
      <c r="T155" s="1894">
        <f t="shared" si="45"/>
        <v>0</v>
      </c>
      <c r="U155" s="1894">
        <f t="shared" si="45"/>
        <v>0</v>
      </c>
      <c r="V155" s="1593" t="s">
        <v>1192</v>
      </c>
      <c r="W155" s="1593" t="s">
        <v>1159</v>
      </c>
      <c r="X155" s="1600">
        <f t="shared" si="33"/>
        <v>163617.9</v>
      </c>
      <c r="Y155" s="1614">
        <v>161981.70000000001</v>
      </c>
      <c r="Z155" s="1614">
        <v>1636.2</v>
      </c>
      <c r="AA155" s="1600">
        <f t="shared" si="34"/>
        <v>0</v>
      </c>
      <c r="AB155" s="1614">
        <v>0</v>
      </c>
      <c r="AC155" s="1614">
        <v>0</v>
      </c>
    </row>
    <row r="156" spans="1:29" ht="43.5" hidden="1" customHeight="1">
      <c r="A156" s="1972"/>
      <c r="B156" s="1897" t="s">
        <v>1648</v>
      </c>
      <c r="C156" s="1899">
        <v>47690.1</v>
      </c>
      <c r="D156" s="1899">
        <f>D157+D159+D158</f>
        <v>0</v>
      </c>
      <c r="E156" s="1899">
        <f>E157+E159+E158</f>
        <v>0</v>
      </c>
      <c r="F156" s="1899">
        <f>F157+F159+F158</f>
        <v>0</v>
      </c>
      <c r="G156" s="1899">
        <f>G157+G159+G158</f>
        <v>0</v>
      </c>
      <c r="H156" s="1899">
        <f t="shared" ref="H156:AC156" si="48">H157+H159+H158</f>
        <v>0</v>
      </c>
      <c r="I156" s="1899">
        <f t="shared" si="48"/>
        <v>0</v>
      </c>
      <c r="J156" s="1594">
        <f t="shared" si="39"/>
        <v>0</v>
      </c>
      <c r="K156" s="1594">
        <f t="shared" si="40"/>
        <v>0</v>
      </c>
      <c r="L156" s="1594">
        <f t="shared" si="41"/>
        <v>0</v>
      </c>
      <c r="M156" s="1899">
        <f t="shared" si="48"/>
        <v>0</v>
      </c>
      <c r="N156" s="1899">
        <f t="shared" si="48"/>
        <v>0</v>
      </c>
      <c r="O156" s="1899">
        <f t="shared" si="48"/>
        <v>0</v>
      </c>
      <c r="P156" s="1899">
        <f t="shared" si="48"/>
        <v>0</v>
      </c>
      <c r="Q156" s="1899">
        <f t="shared" si="48"/>
        <v>0</v>
      </c>
      <c r="R156" s="1899">
        <f t="shared" si="48"/>
        <v>0</v>
      </c>
      <c r="S156" s="1899">
        <f t="shared" si="48"/>
        <v>0</v>
      </c>
      <c r="T156" s="1899">
        <f t="shared" si="48"/>
        <v>0</v>
      </c>
      <c r="U156" s="1899">
        <f t="shared" si="48"/>
        <v>0</v>
      </c>
      <c r="V156" s="1899">
        <f t="shared" si="48"/>
        <v>0</v>
      </c>
      <c r="W156" s="1899">
        <f t="shared" si="48"/>
        <v>0</v>
      </c>
      <c r="X156" s="1899">
        <f t="shared" si="48"/>
        <v>182695.3</v>
      </c>
      <c r="Y156" s="1899">
        <f t="shared" si="48"/>
        <v>180868.3</v>
      </c>
      <c r="Z156" s="1899">
        <f t="shared" si="48"/>
        <v>1827</v>
      </c>
      <c r="AA156" s="1899">
        <f t="shared" si="48"/>
        <v>272422.7</v>
      </c>
      <c r="AB156" s="1899">
        <f t="shared" si="48"/>
        <v>269698.5</v>
      </c>
      <c r="AC156" s="1899">
        <f t="shared" si="48"/>
        <v>2724.2</v>
      </c>
    </row>
    <row r="157" spans="1:29" ht="39.75" hidden="1" customHeight="1">
      <c r="A157" s="1972">
        <f>A155+1</f>
        <v>80</v>
      </c>
      <c r="B157" s="1916" t="s">
        <v>1467</v>
      </c>
      <c r="C157" s="1866"/>
      <c r="D157" s="1600">
        <v>0</v>
      </c>
      <c r="E157" s="1614">
        <v>0</v>
      </c>
      <c r="F157" s="1614">
        <v>0</v>
      </c>
      <c r="G157" s="1600">
        <v>0</v>
      </c>
      <c r="H157" s="1614">
        <v>0</v>
      </c>
      <c r="I157" s="1614">
        <v>0</v>
      </c>
      <c r="J157" s="1594">
        <f t="shared" si="39"/>
        <v>0</v>
      </c>
      <c r="K157" s="1594">
        <f t="shared" si="40"/>
        <v>0</v>
      </c>
      <c r="L157" s="1594">
        <f t="shared" si="41"/>
        <v>0</v>
      </c>
      <c r="M157" s="1600">
        <v>0</v>
      </c>
      <c r="N157" s="1614">
        <v>0</v>
      </c>
      <c r="O157" s="1614">
        <v>0</v>
      </c>
      <c r="P157" s="1600">
        <v>0</v>
      </c>
      <c r="Q157" s="1614">
        <v>0</v>
      </c>
      <c r="R157" s="1614">
        <v>0</v>
      </c>
      <c r="S157" s="1893"/>
      <c r="T157" s="1894"/>
      <c r="U157" s="1894"/>
      <c r="V157" s="1593"/>
      <c r="W157" s="1593"/>
      <c r="X157" s="1600">
        <f>Y157+Z157</f>
        <v>82695.3</v>
      </c>
      <c r="Y157" s="1614">
        <v>81868.3</v>
      </c>
      <c r="Z157" s="1614">
        <v>827</v>
      </c>
      <c r="AA157" s="1600">
        <f>AB157+AC157</f>
        <v>69829.7</v>
      </c>
      <c r="AB157" s="1614">
        <v>69131.7</v>
      </c>
      <c r="AC157" s="1614">
        <v>698</v>
      </c>
    </row>
    <row r="158" spans="1:29" ht="56.25" hidden="1" customHeight="1">
      <c r="A158" s="1972">
        <f t="shared" si="47"/>
        <v>81</v>
      </c>
      <c r="B158" s="1916" t="s">
        <v>1647</v>
      </c>
      <c r="C158" s="1866"/>
      <c r="D158" s="1600">
        <v>0</v>
      </c>
      <c r="E158" s="1614">
        <v>0</v>
      </c>
      <c r="F158" s="1614">
        <v>0</v>
      </c>
      <c r="G158" s="1600">
        <v>0</v>
      </c>
      <c r="H158" s="1614">
        <v>0</v>
      </c>
      <c r="I158" s="1614">
        <v>0</v>
      </c>
      <c r="J158" s="1594">
        <f t="shared" si="39"/>
        <v>0</v>
      </c>
      <c r="K158" s="1594">
        <f t="shared" si="40"/>
        <v>0</v>
      </c>
      <c r="L158" s="1594">
        <f t="shared" si="41"/>
        <v>0</v>
      </c>
      <c r="M158" s="1600">
        <v>0</v>
      </c>
      <c r="N158" s="1614">
        <v>0</v>
      </c>
      <c r="O158" s="1614">
        <v>0</v>
      </c>
      <c r="P158" s="1600">
        <v>0</v>
      </c>
      <c r="Q158" s="1614">
        <v>0</v>
      </c>
      <c r="R158" s="1614">
        <v>0</v>
      </c>
      <c r="S158" s="1893"/>
      <c r="T158" s="1894"/>
      <c r="U158" s="1894"/>
      <c r="V158" s="1593"/>
      <c r="W158" s="1593"/>
      <c r="X158" s="1600">
        <f>Y158+Z158</f>
        <v>100000</v>
      </c>
      <c r="Y158" s="1614">
        <v>99000</v>
      </c>
      <c r="Z158" s="1614">
        <v>1000</v>
      </c>
      <c r="AA158" s="1600">
        <f>AB158+AC158</f>
        <v>0</v>
      </c>
      <c r="AB158" s="1614">
        <v>0</v>
      </c>
      <c r="AC158" s="1614">
        <v>0</v>
      </c>
    </row>
    <row r="159" spans="1:29" ht="36.75" hidden="1" customHeight="1">
      <c r="A159" s="1972">
        <f t="shared" si="47"/>
        <v>82</v>
      </c>
      <c r="B159" s="1916" t="s">
        <v>1646</v>
      </c>
      <c r="C159" s="1866"/>
      <c r="D159" s="1600">
        <f>SUM(E159:F159)</f>
        <v>0</v>
      </c>
      <c r="E159" s="1614">
        <v>0</v>
      </c>
      <c r="F159" s="1614">
        <v>0</v>
      </c>
      <c r="G159" s="1600">
        <f t="shared" si="44"/>
        <v>0</v>
      </c>
      <c r="H159" s="1614">
        <v>0</v>
      </c>
      <c r="I159" s="1614">
        <v>0</v>
      </c>
      <c r="J159" s="1594">
        <f t="shared" si="39"/>
        <v>0</v>
      </c>
      <c r="K159" s="1594">
        <f t="shared" si="40"/>
        <v>0</v>
      </c>
      <c r="L159" s="1594">
        <f t="shared" si="41"/>
        <v>0</v>
      </c>
      <c r="M159" s="1600">
        <f t="shared" ref="M159:M223" si="49">SUM(N159:O159)</f>
        <v>0</v>
      </c>
      <c r="N159" s="1614">
        <v>0</v>
      </c>
      <c r="O159" s="1614">
        <v>0</v>
      </c>
      <c r="P159" s="1600">
        <f t="shared" ref="P159:P182" si="50">SUM(Q159:R159)</f>
        <v>0</v>
      </c>
      <c r="Q159" s="1614">
        <v>0</v>
      </c>
      <c r="R159" s="1614">
        <v>0</v>
      </c>
      <c r="S159" s="1600">
        <v>0</v>
      </c>
      <c r="T159" s="1614">
        <v>0</v>
      </c>
      <c r="U159" s="1614">
        <v>0</v>
      </c>
      <c r="V159" s="1593"/>
      <c r="W159" s="1593"/>
      <c r="X159" s="1600">
        <f>Y159+Z159</f>
        <v>0</v>
      </c>
      <c r="Y159" s="1614">
        <v>0</v>
      </c>
      <c r="Z159" s="1614">
        <v>0</v>
      </c>
      <c r="AA159" s="1600">
        <f>AB159+AC159</f>
        <v>202593</v>
      </c>
      <c r="AB159" s="1614">
        <v>200566.8</v>
      </c>
      <c r="AC159" s="1614">
        <v>2026.2</v>
      </c>
    </row>
    <row r="160" spans="1:29">
      <c r="A160" s="1972"/>
      <c r="B160" s="1897" t="s">
        <v>1470</v>
      </c>
      <c r="C160" s="1898"/>
      <c r="D160" s="1899">
        <f>SUM(E160:F160)</f>
        <v>47690</v>
      </c>
      <c r="E160" s="1899">
        <f>SUM(E161)</f>
        <v>35000</v>
      </c>
      <c r="F160" s="1899">
        <f>SUM(F161)</f>
        <v>12690</v>
      </c>
      <c r="G160" s="1899">
        <f t="shared" si="44"/>
        <v>47690.1</v>
      </c>
      <c r="H160" s="1899">
        <f>SUM(H161)</f>
        <v>36861.800000000003</v>
      </c>
      <c r="I160" s="1899">
        <f>SUM(I161)</f>
        <v>10828.3</v>
      </c>
      <c r="J160" s="1594">
        <f t="shared" si="39"/>
        <v>0.1</v>
      </c>
      <c r="K160" s="1594">
        <f t="shared" si="40"/>
        <v>1861.8</v>
      </c>
      <c r="L160" s="1594">
        <f t="shared" si="41"/>
        <v>-1861.7</v>
      </c>
      <c r="M160" s="1899">
        <f t="shared" si="49"/>
        <v>47690.1</v>
      </c>
      <c r="N160" s="1899">
        <f>SUM(N161)</f>
        <v>36861.800000000003</v>
      </c>
      <c r="O160" s="1899">
        <f>SUM(O161)</f>
        <v>10828.3</v>
      </c>
      <c r="P160" s="1899">
        <f t="shared" si="50"/>
        <v>0</v>
      </c>
      <c r="Q160" s="1899">
        <f>SUM(Q161)</f>
        <v>0</v>
      </c>
      <c r="R160" s="1899">
        <f>SUM(R161)</f>
        <v>0</v>
      </c>
      <c r="S160" s="1910">
        <f t="shared" si="45"/>
        <v>0</v>
      </c>
      <c r="T160" s="1911">
        <f t="shared" si="45"/>
        <v>0</v>
      </c>
      <c r="U160" s="1911">
        <f t="shared" si="45"/>
        <v>0</v>
      </c>
      <c r="V160" s="1599"/>
      <c r="W160" s="1599"/>
      <c r="X160" s="1899">
        <f t="shared" si="33"/>
        <v>0</v>
      </c>
      <c r="Y160" s="1899">
        <f>SUM(Y161)</f>
        <v>0</v>
      </c>
      <c r="Z160" s="1899">
        <f>SUM(Z161)</f>
        <v>0</v>
      </c>
      <c r="AA160" s="1899">
        <f t="shared" si="34"/>
        <v>0</v>
      </c>
      <c r="AB160" s="1899">
        <f>SUM(AB161)</f>
        <v>0</v>
      </c>
      <c r="AC160" s="1899">
        <f>SUM(AC161)</f>
        <v>0</v>
      </c>
    </row>
    <row r="161" spans="1:29" ht="44.25" customHeight="1">
      <c r="A161" s="1972">
        <f>A155+1</f>
        <v>80</v>
      </c>
      <c r="B161" s="1888" t="s">
        <v>1653</v>
      </c>
      <c r="C161" s="1972" t="s">
        <v>1549</v>
      </c>
      <c r="D161" s="1600">
        <f>SUM(E161:F161)</f>
        <v>47690</v>
      </c>
      <c r="E161" s="1614">
        <v>35000</v>
      </c>
      <c r="F161" s="1614">
        <v>12690</v>
      </c>
      <c r="G161" s="1600">
        <f t="shared" si="44"/>
        <v>47690.1</v>
      </c>
      <c r="H161" s="1614">
        <v>36861.800000000003</v>
      </c>
      <c r="I161" s="1614">
        <v>10828.3</v>
      </c>
      <c r="J161" s="1594">
        <f t="shared" si="39"/>
        <v>0.1</v>
      </c>
      <c r="K161" s="1594">
        <f t="shared" si="40"/>
        <v>1861.8</v>
      </c>
      <c r="L161" s="1594">
        <f t="shared" si="41"/>
        <v>-1861.7</v>
      </c>
      <c r="M161" s="1600">
        <f t="shared" si="49"/>
        <v>47690.1</v>
      </c>
      <c r="N161" s="1614">
        <v>36861.800000000003</v>
      </c>
      <c r="O161" s="1614">
        <v>10828.3</v>
      </c>
      <c r="P161" s="1600">
        <f t="shared" si="50"/>
        <v>0</v>
      </c>
      <c r="Q161" s="1614"/>
      <c r="R161" s="1614"/>
      <c r="S161" s="1604">
        <f t="shared" si="45"/>
        <v>0</v>
      </c>
      <c r="T161" s="1881">
        <f t="shared" si="45"/>
        <v>0</v>
      </c>
      <c r="U161" s="1881">
        <f t="shared" si="45"/>
        <v>0</v>
      </c>
      <c r="V161" s="1593" t="s">
        <v>1192</v>
      </c>
      <c r="W161" s="1593" t="s">
        <v>1160</v>
      </c>
      <c r="X161" s="1600">
        <f>SUM(Y161:Z161)</f>
        <v>0</v>
      </c>
      <c r="Y161" s="1614">
        <v>0</v>
      </c>
      <c r="Z161" s="1614">
        <v>0</v>
      </c>
      <c r="AA161" s="1600">
        <f>SUM(AB161:AC161)</f>
        <v>0</v>
      </c>
      <c r="AB161" s="1614">
        <v>0</v>
      </c>
      <c r="AC161" s="1614">
        <v>0</v>
      </c>
    </row>
    <row r="162" spans="1:29" ht="25.5" hidden="1" customHeight="1">
      <c r="A162" s="1972"/>
      <c r="B162" s="1897" t="s">
        <v>1650</v>
      </c>
      <c r="C162" s="1898"/>
      <c r="D162" s="1899">
        <f>SUM(E162:F162)</f>
        <v>0</v>
      </c>
      <c r="E162" s="1899">
        <f>SUM(E163)</f>
        <v>0</v>
      </c>
      <c r="F162" s="1899">
        <f>SUM(F163)</f>
        <v>0</v>
      </c>
      <c r="G162" s="1899">
        <f>SUM(H162:I162)</f>
        <v>0</v>
      </c>
      <c r="H162" s="1899">
        <f>SUM(H163)</f>
        <v>0</v>
      </c>
      <c r="I162" s="1899">
        <f>SUM(I163)</f>
        <v>0</v>
      </c>
      <c r="J162" s="1594">
        <f t="shared" si="39"/>
        <v>0</v>
      </c>
      <c r="K162" s="1594">
        <f t="shared" si="40"/>
        <v>0</v>
      </c>
      <c r="L162" s="1594">
        <f t="shared" si="41"/>
        <v>0</v>
      </c>
      <c r="M162" s="1899">
        <f t="shared" si="49"/>
        <v>0</v>
      </c>
      <c r="N162" s="1899">
        <f>SUM(N163)</f>
        <v>0</v>
      </c>
      <c r="O162" s="1899">
        <f>SUM(O163)</f>
        <v>0</v>
      </c>
      <c r="P162" s="1899">
        <f>SUM(Q162:R162)</f>
        <v>0</v>
      </c>
      <c r="Q162" s="1899">
        <f>SUM(Q163)</f>
        <v>0</v>
      </c>
      <c r="R162" s="1899">
        <f>SUM(R163)</f>
        <v>0</v>
      </c>
      <c r="S162" s="1910">
        <f>IF(P162=0,0,P162/M162*100)</f>
        <v>0</v>
      </c>
      <c r="T162" s="1911">
        <f>IF(Q162=0,0,Q162/N162*100)</f>
        <v>0</v>
      </c>
      <c r="U162" s="1911">
        <f>IF(R162=0,0,R162/O162*100)</f>
        <v>0</v>
      </c>
      <c r="V162" s="1599"/>
      <c r="W162" s="1599"/>
      <c r="X162" s="1899">
        <f>SUM(Y162:Z162)</f>
        <v>0</v>
      </c>
      <c r="Y162" s="1899">
        <f>SUM(Y163)</f>
        <v>0</v>
      </c>
      <c r="Z162" s="1899">
        <f>SUM(Z163)</f>
        <v>0</v>
      </c>
      <c r="AA162" s="1899">
        <f>SUM(AB162:AC162)</f>
        <v>788784.8</v>
      </c>
      <c r="AB162" s="1899">
        <f>SUM(AB163)</f>
        <v>780897</v>
      </c>
      <c r="AC162" s="1899">
        <f>SUM(AC163)</f>
        <v>7887.8</v>
      </c>
    </row>
    <row r="163" spans="1:29" s="1607" customFormat="1" ht="75" hidden="1" customHeight="1">
      <c r="A163" s="1972">
        <f>A161+1</f>
        <v>81</v>
      </c>
      <c r="B163" s="1890" t="s">
        <v>455</v>
      </c>
      <c r="C163" s="1880">
        <v>14057</v>
      </c>
      <c r="D163" s="1600">
        <f>SUM(E163:F163)</f>
        <v>0</v>
      </c>
      <c r="E163" s="1614"/>
      <c r="F163" s="1614"/>
      <c r="G163" s="1600">
        <f t="shared" si="44"/>
        <v>0</v>
      </c>
      <c r="H163" s="1614"/>
      <c r="I163" s="1614"/>
      <c r="J163" s="1594">
        <f t="shared" si="39"/>
        <v>0</v>
      </c>
      <c r="K163" s="1594">
        <f t="shared" si="40"/>
        <v>0</v>
      </c>
      <c r="L163" s="1594">
        <f t="shared" si="41"/>
        <v>0</v>
      </c>
      <c r="M163" s="1600">
        <f t="shared" si="49"/>
        <v>0</v>
      </c>
      <c r="N163" s="1614"/>
      <c r="O163" s="1614"/>
      <c r="P163" s="1600">
        <f t="shared" si="50"/>
        <v>0</v>
      </c>
      <c r="Q163" s="1614"/>
      <c r="R163" s="1614"/>
      <c r="S163" s="1604">
        <f t="shared" si="45"/>
        <v>0</v>
      </c>
      <c r="T163" s="1881">
        <f t="shared" si="45"/>
        <v>0</v>
      </c>
      <c r="U163" s="1881">
        <f t="shared" si="45"/>
        <v>0</v>
      </c>
      <c r="V163" s="1593" t="s">
        <v>1192</v>
      </c>
      <c r="W163" s="1593" t="s">
        <v>1206</v>
      </c>
      <c r="X163" s="1600">
        <f>SUM(Y163:Z163)</f>
        <v>0</v>
      </c>
      <c r="Y163" s="1614">
        <v>0</v>
      </c>
      <c r="Z163" s="1614">
        <v>0</v>
      </c>
      <c r="AA163" s="1600">
        <f>SUM(AB163:AC163)</f>
        <v>788784.8</v>
      </c>
      <c r="AB163" s="1614">
        <v>780897</v>
      </c>
      <c r="AC163" s="1614">
        <v>7887.8</v>
      </c>
    </row>
    <row r="164" spans="1:29" ht="64.5" customHeight="1">
      <c r="A164" s="1972" t="s">
        <v>251</v>
      </c>
      <c r="B164" s="1917" t="s">
        <v>1435</v>
      </c>
      <c r="C164" s="1918"/>
      <c r="D164" s="1860">
        <f t="shared" ref="D164:I164" si="51">SUM(D165,D178,D177,D176,D167:D174,D179,D180,D181,D182,D185,D186,D190,D193,D194,D195,D198,D201,D204,D207,D208,D209,D212,D213,D214,D215,D189,D191,D192,D187)</f>
        <v>2725218.9</v>
      </c>
      <c r="E164" s="1860">
        <f t="shared" si="51"/>
        <v>2562100</v>
      </c>
      <c r="F164" s="1860">
        <f t="shared" si="51"/>
        <v>163118.9</v>
      </c>
      <c r="G164" s="1860">
        <f t="shared" si="51"/>
        <v>2675651.2999999998</v>
      </c>
      <c r="H164" s="1860">
        <f t="shared" si="51"/>
        <v>2432463.7000000002</v>
      </c>
      <c r="I164" s="1860">
        <f t="shared" si="51"/>
        <v>243187.6</v>
      </c>
      <c r="J164" s="1594">
        <f t="shared" si="39"/>
        <v>-49567.6</v>
      </c>
      <c r="K164" s="1594">
        <f t="shared" si="40"/>
        <v>-129636.3</v>
      </c>
      <c r="L164" s="1594">
        <f t="shared" si="41"/>
        <v>80068.7</v>
      </c>
      <c r="M164" s="1860">
        <f t="shared" ref="M164:R164" si="52">SUM(M165,M178,M177,M176,M167:M174,M179,M180,M181,M182,M185,M186,M190,M193,M194,M195,M198,M201,M204,M207,M208,M209,M212,M213,M214,M215,M189,M191,M192,M187)</f>
        <v>2675651.2999999998</v>
      </c>
      <c r="N164" s="1860">
        <f t="shared" si="52"/>
        <v>2432463.7000000002</v>
      </c>
      <c r="O164" s="1860">
        <f t="shared" si="52"/>
        <v>243187.6</v>
      </c>
      <c r="P164" s="1860">
        <f t="shared" si="52"/>
        <v>94750.1</v>
      </c>
      <c r="Q164" s="1860">
        <f t="shared" si="52"/>
        <v>89063.6</v>
      </c>
      <c r="R164" s="1860">
        <f t="shared" si="52"/>
        <v>5686.5</v>
      </c>
      <c r="S164" s="1860" t="e">
        <f>S165+S167+S168+S169+S170+S171+S172+S173+S174+S175+S182+S185+S186+S187+S189+S190+S191+S192+S194+S195+S198+S201+S204+S207+S208+S209+S212+S213+S214+#REF!</f>
        <v>#REF!</v>
      </c>
      <c r="T164" s="1860" t="e">
        <f>T165+T167+T168+T169+T170+T171+T172+T173+T174+T175+T182+T185+T186+T187+T189+T190+T191+T192+T194+T195+T198+T201+T204+T207+T208+T209+T212+T213+T214+#REF!</f>
        <v>#REF!</v>
      </c>
      <c r="U164" s="1860" t="e">
        <f>U165+U167+U168+U169+U170+U171+U172+U173+U174+U175+U182+U185+U186+U187+U189+U190+U191+U192+U194+U195+U198+U201+U204+U207+U208+U209+U212+U213+U214+#REF!</f>
        <v>#REF!</v>
      </c>
      <c r="V164" s="1860" t="e">
        <f>V165+V167+V168+V169+V170+V171+V172+V173+V174+V175+V182+V185+V186+V187+V189+V190+V191+V192+V194+V195+V198+V201+V204+V207+V208+V209+V212+V213+V214+#REF!</f>
        <v>#VALUE!</v>
      </c>
      <c r="W164" s="1860" t="e">
        <f>W165+W167+W168+W169+W170+W171+W172+W173+W174+W175+W182+W185+W186+W187+W189+W190+W191+W192+W194+W195+W198+W201+W204+W207+W208+W209+W212+W213+W214+#REF!</f>
        <v>#VALUE!</v>
      </c>
      <c r="X164" s="1860" t="e">
        <f>X165+X167+X168+X169+X170+X171+X172+X173+X174+X175+X182+X185+X186+X187+X189+X190+X191+X192+X194+X195+X198+X201+X204+X207+X208+X209+X212+X213+X214+#REF!</f>
        <v>#REF!</v>
      </c>
      <c r="Y164" s="1860" t="e">
        <f>Y165+Y167+Y168+Y169+Y170+Y171+Y172+Y173+Y174+Y175+Y182+Y185+Y186+Y187+Y189+Y190+Y191+Y192+Y194+Y195+Y198+Y201+Y204+Y207+Y208+Y209+Y212+Y213+Y214+#REF!</f>
        <v>#REF!</v>
      </c>
      <c r="Z164" s="1860" t="e">
        <f>Z165+Z167+Z168+Z169+Z170+Z171+Z172+Z173+Z174+Z175+Z182+Z185+Z186+Z187+Z189+Z190+Z191+Z192+Z194+Z195+Z198+Z201+Z204+Z207+Z208+Z209+Z212+Z213+Z214+#REF!</f>
        <v>#REF!</v>
      </c>
      <c r="AA164" s="1860" t="e">
        <f>AA165+AA167+AA168+AA169+AA170+AA171+AA172+AA173+AA174+AA175+AA182+AA185+AA186+AA187+AA189+AA190+AA191+AA192+AA194+AA195+AA198+AA201+AA204+AA207+AA208+AA209+AA212+AA213+AA214+#REF!</f>
        <v>#REF!</v>
      </c>
      <c r="AB164" s="1860" t="e">
        <f>AB165+AB167+AB168+AB169+AB170+AB171+AB172+AB173+AB174+AB175+AB182+AB185+AB186+AB187+AB189+AB190+AB191+AB192+AB194+AB195+AB198+AB201+AB204+AB207+AB208+AB209+AB212+AB213+AB214+#REF!</f>
        <v>#REF!</v>
      </c>
      <c r="AC164" s="1860" t="e">
        <f>AC165+AC167+AC168+AC169+AC170+AC171+AC172+AC173+AC174+AC175+AC182+AC185+AC186+AC187+AC189+AC190+AC191+AC192+AC194+AC195+AC198+AC201+AC204+AC207+AC208+AC209+AC212+AC213+AC214+#REF!</f>
        <v>#REF!</v>
      </c>
    </row>
    <row r="165" spans="1:29" ht="67.5" customHeight="1">
      <c r="A165" s="1972">
        <f>A161+1</f>
        <v>81</v>
      </c>
      <c r="B165" s="1919" t="s">
        <v>1633</v>
      </c>
      <c r="C165" s="1973"/>
      <c r="D165" s="1600">
        <f t="shared" ref="D165:D182" si="53">SUM(E165:F165)</f>
        <v>0</v>
      </c>
      <c r="E165" s="1619">
        <f>E166</f>
        <v>0</v>
      </c>
      <c r="F165" s="1619">
        <f>F166</f>
        <v>0</v>
      </c>
      <c r="G165" s="1600">
        <f t="shared" si="44"/>
        <v>3988.8</v>
      </c>
      <c r="H165" s="1619">
        <f>H166</f>
        <v>0</v>
      </c>
      <c r="I165" s="1619">
        <f>I166</f>
        <v>3988.8</v>
      </c>
      <c r="J165" s="1594">
        <f t="shared" si="39"/>
        <v>3988.8</v>
      </c>
      <c r="K165" s="1594">
        <f t="shared" si="40"/>
        <v>0</v>
      </c>
      <c r="L165" s="1594">
        <f t="shared" si="41"/>
        <v>3988.8</v>
      </c>
      <c r="M165" s="1600">
        <f t="shared" si="49"/>
        <v>3988.8</v>
      </c>
      <c r="N165" s="1619">
        <f>N166</f>
        <v>0</v>
      </c>
      <c r="O165" s="1619">
        <f>O166</f>
        <v>3988.8</v>
      </c>
      <c r="P165" s="1600">
        <f t="shared" si="50"/>
        <v>0</v>
      </c>
      <c r="Q165" s="1619">
        <f>Q166</f>
        <v>0</v>
      </c>
      <c r="R165" s="1619">
        <f>R166</f>
        <v>0</v>
      </c>
      <c r="S165" s="1602">
        <f t="shared" si="45"/>
        <v>0</v>
      </c>
      <c r="T165" s="1602">
        <f t="shared" si="45"/>
        <v>0</v>
      </c>
      <c r="U165" s="1602">
        <f t="shared" si="45"/>
        <v>0</v>
      </c>
      <c r="V165" s="1593"/>
      <c r="W165" s="1593"/>
      <c r="X165" s="1600">
        <f>Y165+Z165</f>
        <v>0</v>
      </c>
      <c r="Y165" s="1619">
        <v>0</v>
      </c>
      <c r="Z165" s="1619">
        <v>0</v>
      </c>
      <c r="AA165" s="1600">
        <f>AB165+AC165</f>
        <v>0</v>
      </c>
      <c r="AB165" s="1619">
        <v>0</v>
      </c>
      <c r="AC165" s="1619">
        <v>0</v>
      </c>
    </row>
    <row r="166" spans="1:29">
      <c r="A166" s="1972"/>
      <c r="B166" s="1619" t="s">
        <v>1621</v>
      </c>
      <c r="C166" s="1973"/>
      <c r="D166" s="1600">
        <f t="shared" si="53"/>
        <v>0</v>
      </c>
      <c r="E166" s="1619"/>
      <c r="F166" s="1619"/>
      <c r="G166" s="1600">
        <f t="shared" si="44"/>
        <v>3988.8</v>
      </c>
      <c r="H166" s="1619"/>
      <c r="I166" s="1619">
        <v>3988.8</v>
      </c>
      <c r="J166" s="1594">
        <f t="shared" si="39"/>
        <v>3988.8</v>
      </c>
      <c r="K166" s="1594">
        <f t="shared" si="40"/>
        <v>0</v>
      </c>
      <c r="L166" s="1594">
        <f t="shared" si="41"/>
        <v>3988.8</v>
      </c>
      <c r="M166" s="1600">
        <f t="shared" si="49"/>
        <v>3988.8</v>
      </c>
      <c r="N166" s="1619"/>
      <c r="O166" s="1619">
        <v>3988.8</v>
      </c>
      <c r="P166" s="1600">
        <f t="shared" si="50"/>
        <v>0</v>
      </c>
      <c r="Q166" s="1619"/>
      <c r="R166" s="1619"/>
      <c r="S166" s="1602">
        <f t="shared" si="45"/>
        <v>0</v>
      </c>
      <c r="T166" s="1602">
        <f t="shared" si="45"/>
        <v>0</v>
      </c>
      <c r="U166" s="1602">
        <f t="shared" si="45"/>
        <v>0</v>
      </c>
      <c r="V166" s="1593"/>
      <c r="W166" s="1593"/>
      <c r="X166" s="1600">
        <f t="shared" ref="X166:X175" si="54">Y166+Z166</f>
        <v>0</v>
      </c>
      <c r="Y166" s="1619">
        <v>0</v>
      </c>
      <c r="Z166" s="1619">
        <v>0</v>
      </c>
      <c r="AA166" s="1600">
        <f t="shared" ref="AA166:AA175" si="55">AB166+AC166</f>
        <v>0</v>
      </c>
      <c r="AB166" s="1619">
        <v>0</v>
      </c>
      <c r="AC166" s="1619">
        <v>0</v>
      </c>
    </row>
    <row r="167" spans="1:29" ht="40.5" customHeight="1">
      <c r="A167" s="1972">
        <f>A165+1</f>
        <v>82</v>
      </c>
      <c r="B167" s="1905" t="s">
        <v>1590</v>
      </c>
      <c r="C167" s="1973"/>
      <c r="D167" s="1600">
        <f t="shared" si="53"/>
        <v>0</v>
      </c>
      <c r="E167" s="1619"/>
      <c r="F167" s="1619"/>
      <c r="G167" s="1600">
        <f t="shared" si="44"/>
        <v>9872.7000000000007</v>
      </c>
      <c r="H167" s="1619">
        <v>9280.4</v>
      </c>
      <c r="I167" s="1619">
        <v>592.29999999999995</v>
      </c>
      <c r="J167" s="1594">
        <f t="shared" si="39"/>
        <v>9872.7000000000007</v>
      </c>
      <c r="K167" s="1594">
        <f t="shared" si="40"/>
        <v>9280.4</v>
      </c>
      <c r="L167" s="1594">
        <f t="shared" si="41"/>
        <v>592.29999999999995</v>
      </c>
      <c r="M167" s="1600">
        <f t="shared" si="49"/>
        <v>9872.7000000000007</v>
      </c>
      <c r="N167" s="1619">
        <v>9280.4</v>
      </c>
      <c r="O167" s="1619">
        <v>592.29999999999995</v>
      </c>
      <c r="P167" s="1600">
        <f t="shared" si="50"/>
        <v>0</v>
      </c>
      <c r="Q167" s="1619"/>
      <c r="R167" s="1619"/>
      <c r="S167" s="1619">
        <v>0</v>
      </c>
      <c r="T167" s="1619">
        <v>0</v>
      </c>
      <c r="U167" s="1619">
        <v>0</v>
      </c>
      <c r="V167" s="1619">
        <v>0</v>
      </c>
      <c r="W167" s="1619">
        <v>0</v>
      </c>
      <c r="X167" s="1600">
        <f t="shared" si="54"/>
        <v>0</v>
      </c>
      <c r="Y167" s="1619">
        <v>0</v>
      </c>
      <c r="Z167" s="1619">
        <v>0</v>
      </c>
      <c r="AA167" s="1600">
        <f t="shared" si="55"/>
        <v>0</v>
      </c>
      <c r="AB167" s="1619">
        <v>0</v>
      </c>
      <c r="AC167" s="1619">
        <v>0</v>
      </c>
    </row>
    <row r="168" spans="1:29" ht="58.5" customHeight="1">
      <c r="A168" s="1972">
        <f t="shared" ref="A168:A175" si="56">A167+1</f>
        <v>83</v>
      </c>
      <c r="B168" s="1915" t="s">
        <v>1655</v>
      </c>
      <c r="C168" s="1866" t="s">
        <v>1544</v>
      </c>
      <c r="D168" s="1600">
        <f t="shared" si="53"/>
        <v>0</v>
      </c>
      <c r="E168" s="1614"/>
      <c r="F168" s="1614"/>
      <c r="G168" s="1600">
        <f t="shared" si="44"/>
        <v>1388.4</v>
      </c>
      <c r="H168" s="1614">
        <v>1305.0999999999999</v>
      </c>
      <c r="I168" s="1614">
        <v>83.3</v>
      </c>
      <c r="J168" s="1594">
        <f t="shared" si="39"/>
        <v>1388.4</v>
      </c>
      <c r="K168" s="1594">
        <f t="shared" si="40"/>
        <v>1305.0999999999999</v>
      </c>
      <c r="L168" s="1594">
        <f t="shared" si="41"/>
        <v>83.3</v>
      </c>
      <c r="M168" s="1600">
        <f t="shared" si="49"/>
        <v>1388.4</v>
      </c>
      <c r="N168" s="1614">
        <v>1305.0999999999999</v>
      </c>
      <c r="O168" s="1614">
        <v>83.3</v>
      </c>
      <c r="P168" s="1600">
        <f t="shared" si="50"/>
        <v>0</v>
      </c>
      <c r="Q168" s="1614"/>
      <c r="R168" s="1614"/>
      <c r="S168" s="1893">
        <f t="shared" si="45"/>
        <v>0</v>
      </c>
      <c r="T168" s="1894">
        <f t="shared" si="45"/>
        <v>0</v>
      </c>
      <c r="U168" s="1894">
        <f t="shared" si="45"/>
        <v>0</v>
      </c>
      <c r="V168" s="1593"/>
      <c r="W168" s="1593"/>
      <c r="X168" s="1600">
        <f t="shared" si="54"/>
        <v>0</v>
      </c>
      <c r="Y168" s="1619">
        <v>0</v>
      </c>
      <c r="Z168" s="1619">
        <v>0</v>
      </c>
      <c r="AA168" s="1600">
        <f t="shared" si="55"/>
        <v>0</v>
      </c>
      <c r="AB168" s="1619">
        <v>0</v>
      </c>
      <c r="AC168" s="1619">
        <v>0</v>
      </c>
    </row>
    <row r="169" spans="1:29" ht="85.5" customHeight="1">
      <c r="A169" s="1972">
        <f t="shared" si="56"/>
        <v>84</v>
      </c>
      <c r="B169" s="1905" t="s">
        <v>1656</v>
      </c>
      <c r="C169" s="1906"/>
      <c r="D169" s="1600">
        <f t="shared" si="53"/>
        <v>0</v>
      </c>
      <c r="E169" s="1619"/>
      <c r="F169" s="1619"/>
      <c r="G169" s="1600">
        <f t="shared" si="44"/>
        <v>17204.7</v>
      </c>
      <c r="H169" s="1619">
        <v>16172.3</v>
      </c>
      <c r="I169" s="1619">
        <v>1032.4000000000001</v>
      </c>
      <c r="J169" s="1594">
        <f t="shared" si="39"/>
        <v>17204.7</v>
      </c>
      <c r="K169" s="1594">
        <f t="shared" si="40"/>
        <v>16172.3</v>
      </c>
      <c r="L169" s="1594">
        <f t="shared" si="41"/>
        <v>1032.4000000000001</v>
      </c>
      <c r="M169" s="1600">
        <f t="shared" si="49"/>
        <v>17204.7</v>
      </c>
      <c r="N169" s="1619">
        <v>16172.3</v>
      </c>
      <c r="O169" s="1619">
        <v>1032.4000000000001</v>
      </c>
      <c r="P169" s="1600">
        <f t="shared" si="50"/>
        <v>0</v>
      </c>
      <c r="Q169" s="1619"/>
      <c r="R169" s="1619"/>
      <c r="S169" s="1893">
        <f t="shared" si="45"/>
        <v>0</v>
      </c>
      <c r="T169" s="1893">
        <f t="shared" si="45"/>
        <v>0</v>
      </c>
      <c r="U169" s="1893">
        <f t="shared" si="45"/>
        <v>0</v>
      </c>
      <c r="V169" s="1593"/>
      <c r="W169" s="1593"/>
      <c r="X169" s="1600">
        <f t="shared" si="54"/>
        <v>0</v>
      </c>
      <c r="Y169" s="1619">
        <v>0</v>
      </c>
      <c r="Z169" s="1619">
        <v>0</v>
      </c>
      <c r="AA169" s="1600">
        <f t="shared" si="55"/>
        <v>0</v>
      </c>
      <c r="AB169" s="1619">
        <v>0</v>
      </c>
      <c r="AC169" s="1619">
        <v>0</v>
      </c>
    </row>
    <row r="170" spans="1:29" ht="68.25" customHeight="1">
      <c r="A170" s="1972">
        <f t="shared" si="56"/>
        <v>85</v>
      </c>
      <c r="B170" s="1905" t="s">
        <v>1583</v>
      </c>
      <c r="C170" s="1906"/>
      <c r="D170" s="1600">
        <f t="shared" si="53"/>
        <v>0</v>
      </c>
      <c r="E170" s="1619"/>
      <c r="F170" s="1619"/>
      <c r="G170" s="1600">
        <f t="shared" si="44"/>
        <v>4597</v>
      </c>
      <c r="H170" s="1619">
        <v>4321.2</v>
      </c>
      <c r="I170" s="1619">
        <v>275.8</v>
      </c>
      <c r="J170" s="1594">
        <f t="shared" si="39"/>
        <v>4597</v>
      </c>
      <c r="K170" s="1594">
        <f t="shared" si="40"/>
        <v>4321.2</v>
      </c>
      <c r="L170" s="1594">
        <f t="shared" si="41"/>
        <v>275.8</v>
      </c>
      <c r="M170" s="1600">
        <f t="shared" si="49"/>
        <v>4597</v>
      </c>
      <c r="N170" s="1619">
        <v>4321.2</v>
      </c>
      <c r="O170" s="1619">
        <v>275.8</v>
      </c>
      <c r="P170" s="1600">
        <f t="shared" si="50"/>
        <v>0</v>
      </c>
      <c r="Q170" s="1619"/>
      <c r="R170" s="1619"/>
      <c r="S170" s="1893">
        <f t="shared" si="45"/>
        <v>0</v>
      </c>
      <c r="T170" s="1893">
        <f t="shared" si="45"/>
        <v>0</v>
      </c>
      <c r="U170" s="1893">
        <f t="shared" si="45"/>
        <v>0</v>
      </c>
      <c r="V170" s="1593"/>
      <c r="W170" s="1593"/>
      <c r="X170" s="1600">
        <f t="shared" si="54"/>
        <v>0</v>
      </c>
      <c r="Y170" s="1619">
        <v>0</v>
      </c>
      <c r="Z170" s="1619">
        <v>0</v>
      </c>
      <c r="AA170" s="1600">
        <f t="shared" si="55"/>
        <v>0</v>
      </c>
      <c r="AB170" s="1619">
        <v>0</v>
      </c>
      <c r="AC170" s="1619">
        <v>0</v>
      </c>
    </row>
    <row r="171" spans="1:29" ht="66.75" customHeight="1">
      <c r="A171" s="1972">
        <f t="shared" si="56"/>
        <v>86</v>
      </c>
      <c r="B171" s="1905" t="s">
        <v>1585</v>
      </c>
      <c r="C171" s="1906"/>
      <c r="D171" s="1600">
        <f t="shared" si="53"/>
        <v>0</v>
      </c>
      <c r="E171" s="1619"/>
      <c r="F171" s="1619"/>
      <c r="G171" s="1600">
        <f t="shared" si="44"/>
        <v>3935.3</v>
      </c>
      <c r="H171" s="1619">
        <v>3699.2</v>
      </c>
      <c r="I171" s="1619">
        <v>236.1</v>
      </c>
      <c r="J171" s="1594">
        <f t="shared" si="39"/>
        <v>3935.3</v>
      </c>
      <c r="K171" s="1594">
        <f t="shared" si="40"/>
        <v>3699.2</v>
      </c>
      <c r="L171" s="1594">
        <f t="shared" si="41"/>
        <v>236.1</v>
      </c>
      <c r="M171" s="1600">
        <f t="shared" si="49"/>
        <v>3935.3</v>
      </c>
      <c r="N171" s="1619">
        <v>3699.2</v>
      </c>
      <c r="O171" s="1619">
        <v>236.1</v>
      </c>
      <c r="P171" s="1600">
        <f t="shared" si="50"/>
        <v>0</v>
      </c>
      <c r="Q171" s="1619"/>
      <c r="R171" s="1619"/>
      <c r="S171" s="1893">
        <f t="shared" si="45"/>
        <v>0</v>
      </c>
      <c r="T171" s="1893">
        <f t="shared" si="45"/>
        <v>0</v>
      </c>
      <c r="U171" s="1893">
        <f t="shared" si="45"/>
        <v>0</v>
      </c>
      <c r="V171" s="1593"/>
      <c r="W171" s="1593"/>
      <c r="X171" s="1600">
        <f t="shared" si="54"/>
        <v>0</v>
      </c>
      <c r="Y171" s="1619">
        <v>0</v>
      </c>
      <c r="Z171" s="1619">
        <v>0</v>
      </c>
      <c r="AA171" s="1600">
        <f t="shared" si="55"/>
        <v>0</v>
      </c>
      <c r="AB171" s="1619">
        <v>0</v>
      </c>
      <c r="AC171" s="1619">
        <v>0</v>
      </c>
    </row>
    <row r="172" spans="1:29" ht="57.75" customHeight="1">
      <c r="A172" s="1972">
        <f t="shared" si="56"/>
        <v>87</v>
      </c>
      <c r="B172" s="1905" t="s">
        <v>1586</v>
      </c>
      <c r="C172" s="1906"/>
      <c r="D172" s="1600">
        <f t="shared" si="53"/>
        <v>0</v>
      </c>
      <c r="E172" s="1619"/>
      <c r="F172" s="1619"/>
      <c r="G172" s="1600">
        <f t="shared" si="44"/>
        <v>1226.9000000000001</v>
      </c>
      <c r="H172" s="1619">
        <v>1153.3</v>
      </c>
      <c r="I172" s="1619">
        <v>73.599999999999994</v>
      </c>
      <c r="J172" s="1594">
        <f t="shared" si="39"/>
        <v>1226.9000000000001</v>
      </c>
      <c r="K172" s="1594">
        <f t="shared" si="40"/>
        <v>1153.3</v>
      </c>
      <c r="L172" s="1594">
        <f t="shared" si="41"/>
        <v>73.599999999999994</v>
      </c>
      <c r="M172" s="1600">
        <f t="shared" si="49"/>
        <v>1226.9000000000001</v>
      </c>
      <c r="N172" s="1619">
        <v>1153.3</v>
      </c>
      <c r="O172" s="1619">
        <v>73.599999999999994</v>
      </c>
      <c r="P172" s="1600">
        <f t="shared" si="50"/>
        <v>0</v>
      </c>
      <c r="Q172" s="1619"/>
      <c r="R172" s="1619"/>
      <c r="S172" s="1893">
        <f t="shared" si="45"/>
        <v>0</v>
      </c>
      <c r="T172" s="1893">
        <f t="shared" si="45"/>
        <v>0</v>
      </c>
      <c r="U172" s="1893">
        <f t="shared" si="45"/>
        <v>0</v>
      </c>
      <c r="V172" s="1593"/>
      <c r="W172" s="1593"/>
      <c r="X172" s="1600">
        <f t="shared" si="54"/>
        <v>0</v>
      </c>
      <c r="Y172" s="1619">
        <v>0</v>
      </c>
      <c r="Z172" s="1619">
        <v>0</v>
      </c>
      <c r="AA172" s="1600">
        <f t="shared" si="55"/>
        <v>0</v>
      </c>
      <c r="AB172" s="1619">
        <v>0</v>
      </c>
      <c r="AC172" s="1619">
        <v>0</v>
      </c>
    </row>
    <row r="173" spans="1:29" ht="75.75" customHeight="1">
      <c r="A173" s="1972">
        <f t="shared" si="56"/>
        <v>88</v>
      </c>
      <c r="B173" s="1912" t="s">
        <v>1662</v>
      </c>
      <c r="C173" s="1913"/>
      <c r="D173" s="1602">
        <f t="shared" si="53"/>
        <v>0</v>
      </c>
      <c r="E173" s="1616"/>
      <c r="F173" s="1616"/>
      <c r="G173" s="1602">
        <f t="shared" si="44"/>
        <v>14615.1</v>
      </c>
      <c r="H173" s="1616">
        <v>13738.1</v>
      </c>
      <c r="I173" s="1616">
        <v>877</v>
      </c>
      <c r="J173" s="1594">
        <f t="shared" si="39"/>
        <v>14615.1</v>
      </c>
      <c r="K173" s="1594">
        <f t="shared" si="40"/>
        <v>13738.1</v>
      </c>
      <c r="L173" s="1594">
        <f t="shared" si="41"/>
        <v>877</v>
      </c>
      <c r="M173" s="1602">
        <f t="shared" si="49"/>
        <v>14615.1</v>
      </c>
      <c r="N173" s="1616">
        <v>13738.1</v>
      </c>
      <c r="O173" s="1616">
        <v>877</v>
      </c>
      <c r="P173" s="1602">
        <f t="shared" si="50"/>
        <v>0</v>
      </c>
      <c r="Q173" s="1616"/>
      <c r="R173" s="1616"/>
      <c r="S173" s="1893">
        <f t="shared" si="45"/>
        <v>0</v>
      </c>
      <c r="T173" s="1894">
        <f t="shared" si="45"/>
        <v>0</v>
      </c>
      <c r="U173" s="1894">
        <f t="shared" si="45"/>
        <v>0</v>
      </c>
      <c r="V173" s="1593"/>
      <c r="W173" s="1593"/>
      <c r="X173" s="1600">
        <f t="shared" si="54"/>
        <v>0</v>
      </c>
      <c r="Y173" s="1619">
        <v>0</v>
      </c>
      <c r="Z173" s="1619">
        <v>0</v>
      </c>
      <c r="AA173" s="1600">
        <f t="shared" si="55"/>
        <v>0</v>
      </c>
      <c r="AB173" s="1619">
        <v>0</v>
      </c>
      <c r="AC173" s="1619">
        <v>0</v>
      </c>
    </row>
    <row r="174" spans="1:29" s="484" customFormat="1" ht="66" customHeight="1">
      <c r="A174" s="1972">
        <f t="shared" si="56"/>
        <v>89</v>
      </c>
      <c r="B174" s="1912" t="s">
        <v>704</v>
      </c>
      <c r="C174" s="1866">
        <v>14092</v>
      </c>
      <c r="D174" s="1600">
        <f t="shared" si="53"/>
        <v>0</v>
      </c>
      <c r="E174" s="1608"/>
      <c r="F174" s="1608"/>
      <c r="G174" s="1600">
        <f t="shared" si="44"/>
        <v>0</v>
      </c>
      <c r="H174" s="1608"/>
      <c r="I174" s="1608"/>
      <c r="J174" s="1594">
        <f t="shared" si="39"/>
        <v>0</v>
      </c>
      <c r="K174" s="1594">
        <f t="shared" si="40"/>
        <v>0</v>
      </c>
      <c r="L174" s="1594">
        <f t="shared" si="41"/>
        <v>0</v>
      </c>
      <c r="M174" s="1600">
        <f t="shared" si="49"/>
        <v>0</v>
      </c>
      <c r="N174" s="1608">
        <v>0</v>
      </c>
      <c r="O174" s="1608">
        <v>0</v>
      </c>
      <c r="P174" s="1600">
        <f t="shared" si="50"/>
        <v>0</v>
      </c>
      <c r="Q174" s="1608"/>
      <c r="R174" s="1608"/>
      <c r="S174" s="1893">
        <f t="shared" si="45"/>
        <v>0</v>
      </c>
      <c r="T174" s="1894">
        <f t="shared" si="45"/>
        <v>0</v>
      </c>
      <c r="U174" s="1894">
        <f t="shared" si="45"/>
        <v>0</v>
      </c>
      <c r="V174" s="1593" t="s">
        <v>1291</v>
      </c>
      <c r="W174" s="1593" t="s">
        <v>1241</v>
      </c>
      <c r="X174" s="1600">
        <f t="shared" si="54"/>
        <v>0</v>
      </c>
      <c r="Y174" s="1619">
        <v>0</v>
      </c>
      <c r="Z174" s="1619">
        <v>0</v>
      </c>
      <c r="AA174" s="1600">
        <f t="shared" si="55"/>
        <v>0</v>
      </c>
      <c r="AB174" s="1619">
        <v>0</v>
      </c>
      <c r="AC174" s="1619">
        <v>0</v>
      </c>
    </row>
    <row r="175" spans="1:29" s="484" customFormat="1" ht="69" hidden="1" customHeight="1">
      <c r="A175" s="1972">
        <f t="shared" si="56"/>
        <v>90</v>
      </c>
      <c r="B175" s="1912" t="s">
        <v>703</v>
      </c>
      <c r="C175" s="1913"/>
      <c r="D175" s="1600">
        <f t="shared" si="53"/>
        <v>0</v>
      </c>
      <c r="E175" s="1608"/>
      <c r="F175" s="1608"/>
      <c r="G175" s="1600">
        <f t="shared" si="44"/>
        <v>0</v>
      </c>
      <c r="H175" s="1608">
        <v>0</v>
      </c>
      <c r="I175" s="1608">
        <v>0</v>
      </c>
      <c r="J175" s="1594">
        <f t="shared" si="39"/>
        <v>0</v>
      </c>
      <c r="K175" s="1594">
        <f t="shared" si="40"/>
        <v>0</v>
      </c>
      <c r="L175" s="1594">
        <f t="shared" si="41"/>
        <v>0</v>
      </c>
      <c r="M175" s="1600">
        <f t="shared" si="49"/>
        <v>0</v>
      </c>
      <c r="N175" s="1608">
        <v>0</v>
      </c>
      <c r="O175" s="1608">
        <v>0</v>
      </c>
      <c r="P175" s="1600">
        <f t="shared" si="50"/>
        <v>0</v>
      </c>
      <c r="Q175" s="1608"/>
      <c r="R175" s="1608"/>
      <c r="S175" s="1893">
        <f t="shared" si="45"/>
        <v>0</v>
      </c>
      <c r="T175" s="1894">
        <f t="shared" si="45"/>
        <v>0</v>
      </c>
      <c r="U175" s="1894">
        <f t="shared" si="45"/>
        <v>0</v>
      </c>
      <c r="V175" s="1593" t="s">
        <v>1292</v>
      </c>
      <c r="W175" s="1593" t="s">
        <v>1242</v>
      </c>
      <c r="X175" s="1600">
        <f t="shared" si="54"/>
        <v>0</v>
      </c>
      <c r="Y175" s="1619">
        <v>0</v>
      </c>
      <c r="Z175" s="1619">
        <v>0</v>
      </c>
      <c r="AA175" s="1600">
        <f t="shared" si="55"/>
        <v>0</v>
      </c>
      <c r="AB175" s="1619">
        <v>0</v>
      </c>
      <c r="AC175" s="1619">
        <v>0</v>
      </c>
    </row>
    <row r="176" spans="1:29" s="484" customFormat="1" ht="93.75">
      <c r="A176" s="1972">
        <f>A172+1</f>
        <v>88</v>
      </c>
      <c r="B176" s="1883" t="s">
        <v>648</v>
      </c>
      <c r="C176" s="1913"/>
      <c r="D176" s="1979">
        <f t="shared" ref="D176:D181" si="57">SUM(E176:F176)</f>
        <v>2762</v>
      </c>
      <c r="E176" s="1980">
        <v>2596.1999999999998</v>
      </c>
      <c r="F176" s="1980">
        <v>165.8</v>
      </c>
      <c r="G176" s="1600">
        <f t="shared" ref="G176:G182" si="58">SUM(H176:I176)</f>
        <v>0</v>
      </c>
      <c r="H176" s="1608"/>
      <c r="I176" s="1608"/>
      <c r="J176" s="1594">
        <f t="shared" ref="J176:J184" si="59">G176-D176</f>
        <v>-2762</v>
      </c>
      <c r="K176" s="1594">
        <f t="shared" si="40"/>
        <v>-2596.1999999999998</v>
      </c>
      <c r="L176" s="1594">
        <f t="shared" si="41"/>
        <v>-165.8</v>
      </c>
      <c r="M176" s="1600">
        <f t="shared" ref="M176:M182" si="60">SUM(N176:O176)</f>
        <v>0</v>
      </c>
      <c r="N176" s="1608"/>
      <c r="O176" s="1608"/>
      <c r="P176" s="1600">
        <f t="shared" ref="P176:P181" si="61">SUM(Q176:R176)</f>
        <v>0</v>
      </c>
      <c r="Q176" s="1608"/>
      <c r="R176" s="1608"/>
      <c r="S176" s="1893">
        <f t="shared" ref="S176:U181" si="62">IF(P176=0,0,P176/M176*100)</f>
        <v>0</v>
      </c>
      <c r="T176" s="1894">
        <f t="shared" si="62"/>
        <v>0</v>
      </c>
      <c r="U176" s="1894">
        <f t="shared" si="62"/>
        <v>0</v>
      </c>
      <c r="V176" s="1593" t="s">
        <v>1192</v>
      </c>
      <c r="W176" s="1593" t="s">
        <v>1243</v>
      </c>
      <c r="X176" s="1600">
        <f t="shared" ref="X176:X182" si="63">Y176+Z176</f>
        <v>0</v>
      </c>
      <c r="Y176" s="1608">
        <v>0</v>
      </c>
      <c r="Z176" s="1608">
        <v>0</v>
      </c>
      <c r="AA176" s="1600">
        <f t="shared" ref="AA176:AA182" si="64">AB176+AC176</f>
        <v>0</v>
      </c>
      <c r="AB176" s="1608">
        <v>0</v>
      </c>
      <c r="AC176" s="1608">
        <v>0</v>
      </c>
    </row>
    <row r="177" spans="1:29" s="484" customFormat="1" ht="65.25" customHeight="1">
      <c r="A177" s="1972">
        <f>A176+1</f>
        <v>89</v>
      </c>
      <c r="B177" s="1883" t="s">
        <v>649</v>
      </c>
      <c r="C177" s="1913"/>
      <c r="D177" s="1979">
        <f t="shared" si="57"/>
        <v>1500</v>
      </c>
      <c r="E177" s="1980">
        <v>1410</v>
      </c>
      <c r="F177" s="1980">
        <v>90</v>
      </c>
      <c r="G177" s="1600">
        <f t="shared" si="58"/>
        <v>0</v>
      </c>
      <c r="H177" s="1608"/>
      <c r="I177" s="1608"/>
      <c r="J177" s="1594">
        <f t="shared" si="59"/>
        <v>-1500</v>
      </c>
      <c r="K177" s="1594">
        <f t="shared" si="40"/>
        <v>-1410</v>
      </c>
      <c r="L177" s="1594">
        <f t="shared" si="41"/>
        <v>-90</v>
      </c>
      <c r="M177" s="1600">
        <f t="shared" si="60"/>
        <v>0</v>
      </c>
      <c r="N177" s="1608"/>
      <c r="O177" s="1608"/>
      <c r="P177" s="1600">
        <f t="shared" si="61"/>
        <v>0</v>
      </c>
      <c r="Q177" s="1608"/>
      <c r="R177" s="1608"/>
      <c r="S177" s="1893">
        <f t="shared" si="62"/>
        <v>0</v>
      </c>
      <c r="T177" s="1894">
        <f t="shared" si="62"/>
        <v>0</v>
      </c>
      <c r="U177" s="1894">
        <f t="shared" si="62"/>
        <v>0</v>
      </c>
      <c r="V177" s="1593" t="s">
        <v>1294</v>
      </c>
      <c r="W177" s="1593" t="s">
        <v>1244</v>
      </c>
      <c r="X177" s="1600">
        <f t="shared" si="63"/>
        <v>0</v>
      </c>
      <c r="Y177" s="1608">
        <v>0</v>
      </c>
      <c r="Z177" s="1608">
        <v>0</v>
      </c>
      <c r="AA177" s="1600">
        <f t="shared" si="64"/>
        <v>0</v>
      </c>
      <c r="AB177" s="1608">
        <v>0</v>
      </c>
      <c r="AC177" s="1608">
        <v>0</v>
      </c>
    </row>
    <row r="178" spans="1:29" s="484" customFormat="1" ht="72.75" customHeight="1">
      <c r="A178" s="1972">
        <f>A177+1</f>
        <v>90</v>
      </c>
      <c r="B178" s="1883" t="s">
        <v>650</v>
      </c>
      <c r="C178" s="1913"/>
      <c r="D178" s="1979">
        <f t="shared" si="57"/>
        <v>2800</v>
      </c>
      <c r="E178" s="1980">
        <v>2632</v>
      </c>
      <c r="F178" s="1980">
        <v>168</v>
      </c>
      <c r="G178" s="1600">
        <f t="shared" si="58"/>
        <v>0</v>
      </c>
      <c r="H178" s="1608"/>
      <c r="I178" s="1608"/>
      <c r="J178" s="1594">
        <f t="shared" si="59"/>
        <v>-2800</v>
      </c>
      <c r="K178" s="1594">
        <f t="shared" si="40"/>
        <v>-2632</v>
      </c>
      <c r="L178" s="1594">
        <f t="shared" si="41"/>
        <v>-168</v>
      </c>
      <c r="M178" s="1600">
        <f t="shared" si="60"/>
        <v>0</v>
      </c>
      <c r="N178" s="1608"/>
      <c r="O178" s="1608"/>
      <c r="P178" s="1600">
        <f t="shared" si="61"/>
        <v>0</v>
      </c>
      <c r="Q178" s="1608"/>
      <c r="R178" s="1608"/>
      <c r="S178" s="1921">
        <f t="shared" si="62"/>
        <v>0</v>
      </c>
      <c r="T178" s="1922">
        <f t="shared" si="62"/>
        <v>0</v>
      </c>
      <c r="U178" s="1922">
        <f t="shared" si="62"/>
        <v>0</v>
      </c>
      <c r="V178" s="1593" t="s">
        <v>1192</v>
      </c>
      <c r="W178" s="1593" t="s">
        <v>1219</v>
      </c>
      <c r="X178" s="1600">
        <f t="shared" si="63"/>
        <v>0</v>
      </c>
      <c r="Y178" s="1608">
        <v>0</v>
      </c>
      <c r="Z178" s="1608">
        <v>0</v>
      </c>
      <c r="AA178" s="1600">
        <f t="shared" si="64"/>
        <v>0</v>
      </c>
      <c r="AB178" s="1608">
        <v>0</v>
      </c>
      <c r="AC178" s="1608">
        <v>0</v>
      </c>
    </row>
    <row r="179" spans="1:29" s="484" customFormat="1" ht="51.75" customHeight="1">
      <c r="A179" s="1972">
        <f>A175+1</f>
        <v>91</v>
      </c>
      <c r="B179" s="1883" t="s">
        <v>1438</v>
      </c>
      <c r="C179" s="1913"/>
      <c r="D179" s="1979">
        <f t="shared" si="57"/>
        <v>13100</v>
      </c>
      <c r="E179" s="1980">
        <v>12314</v>
      </c>
      <c r="F179" s="1980">
        <v>786</v>
      </c>
      <c r="G179" s="1600">
        <f t="shared" si="58"/>
        <v>0</v>
      </c>
      <c r="H179" s="1608"/>
      <c r="I179" s="1608"/>
      <c r="J179" s="1594">
        <f t="shared" si="59"/>
        <v>-13100</v>
      </c>
      <c r="K179" s="1594">
        <f t="shared" si="40"/>
        <v>-12314</v>
      </c>
      <c r="L179" s="1594">
        <f t="shared" si="41"/>
        <v>-786</v>
      </c>
      <c r="M179" s="1600">
        <f t="shared" si="60"/>
        <v>0</v>
      </c>
      <c r="N179" s="1608"/>
      <c r="O179" s="1608"/>
      <c r="P179" s="1600">
        <f t="shared" si="61"/>
        <v>0</v>
      </c>
      <c r="Q179" s="1608"/>
      <c r="R179" s="1608"/>
      <c r="S179" s="1893">
        <f t="shared" si="62"/>
        <v>0</v>
      </c>
      <c r="T179" s="1894">
        <f t="shared" si="62"/>
        <v>0</v>
      </c>
      <c r="U179" s="1894">
        <f t="shared" si="62"/>
        <v>0</v>
      </c>
      <c r="V179" s="1593" t="s">
        <v>1192</v>
      </c>
      <c r="W179" s="1593" t="s">
        <v>1243</v>
      </c>
      <c r="X179" s="1600">
        <f t="shared" si="63"/>
        <v>0</v>
      </c>
      <c r="Y179" s="1608">
        <v>0</v>
      </c>
      <c r="Z179" s="1608">
        <v>0</v>
      </c>
      <c r="AA179" s="1600">
        <f t="shared" si="64"/>
        <v>0</v>
      </c>
      <c r="AB179" s="1608">
        <v>0</v>
      </c>
      <c r="AC179" s="1608">
        <v>0</v>
      </c>
    </row>
    <row r="180" spans="1:29" s="484" customFormat="1" ht="51.75" customHeight="1">
      <c r="A180" s="1972">
        <f>A179+1</f>
        <v>92</v>
      </c>
      <c r="B180" s="1883" t="s">
        <v>1439</v>
      </c>
      <c r="C180" s="1913"/>
      <c r="D180" s="1979">
        <f t="shared" si="57"/>
        <v>28500</v>
      </c>
      <c r="E180" s="1980">
        <v>26790</v>
      </c>
      <c r="F180" s="1980">
        <v>1710</v>
      </c>
      <c r="G180" s="1600">
        <f t="shared" si="58"/>
        <v>0</v>
      </c>
      <c r="H180" s="1608"/>
      <c r="I180" s="1608"/>
      <c r="J180" s="1594">
        <f t="shared" si="59"/>
        <v>-28500</v>
      </c>
      <c r="K180" s="1594">
        <f t="shared" si="40"/>
        <v>-26790</v>
      </c>
      <c r="L180" s="1594">
        <f t="shared" si="41"/>
        <v>-1710</v>
      </c>
      <c r="M180" s="1600">
        <f t="shared" si="60"/>
        <v>0</v>
      </c>
      <c r="N180" s="1608"/>
      <c r="O180" s="1608"/>
      <c r="P180" s="1600">
        <f t="shared" si="61"/>
        <v>0</v>
      </c>
      <c r="Q180" s="1608"/>
      <c r="R180" s="1608"/>
      <c r="S180" s="1893">
        <f t="shared" si="62"/>
        <v>0</v>
      </c>
      <c r="T180" s="1894">
        <f t="shared" si="62"/>
        <v>0</v>
      </c>
      <c r="U180" s="1894">
        <f t="shared" si="62"/>
        <v>0</v>
      </c>
      <c r="V180" s="1593" t="s">
        <v>1294</v>
      </c>
      <c r="W180" s="1593" t="s">
        <v>1244</v>
      </c>
      <c r="X180" s="1600">
        <f t="shared" si="63"/>
        <v>0</v>
      </c>
      <c r="Y180" s="1608">
        <v>0</v>
      </c>
      <c r="Z180" s="1608">
        <v>0</v>
      </c>
      <c r="AA180" s="1600">
        <f t="shared" si="64"/>
        <v>0</v>
      </c>
      <c r="AB180" s="1608">
        <v>0</v>
      </c>
      <c r="AC180" s="1608">
        <v>0</v>
      </c>
    </row>
    <row r="181" spans="1:29" s="484" customFormat="1" ht="42" customHeight="1">
      <c r="A181" s="1972">
        <f>A180+1</f>
        <v>93</v>
      </c>
      <c r="B181" s="1883" t="s">
        <v>1440</v>
      </c>
      <c r="C181" s="1913"/>
      <c r="D181" s="1979">
        <f t="shared" si="57"/>
        <v>5300</v>
      </c>
      <c r="E181" s="1980">
        <v>4982</v>
      </c>
      <c r="F181" s="1980">
        <v>318</v>
      </c>
      <c r="G181" s="1600">
        <f t="shared" si="58"/>
        <v>0</v>
      </c>
      <c r="H181" s="1608"/>
      <c r="I181" s="1608"/>
      <c r="J181" s="1594">
        <f t="shared" si="59"/>
        <v>-5300</v>
      </c>
      <c r="K181" s="1594">
        <f t="shared" si="40"/>
        <v>-4982</v>
      </c>
      <c r="L181" s="1594">
        <f t="shared" si="41"/>
        <v>-318</v>
      </c>
      <c r="M181" s="1600">
        <f t="shared" si="60"/>
        <v>0</v>
      </c>
      <c r="N181" s="1608"/>
      <c r="O181" s="1608"/>
      <c r="P181" s="1600">
        <f t="shared" si="61"/>
        <v>0</v>
      </c>
      <c r="Q181" s="1608"/>
      <c r="R181" s="1608"/>
      <c r="S181" s="1921">
        <f t="shared" si="62"/>
        <v>0</v>
      </c>
      <c r="T181" s="1922">
        <f t="shared" si="62"/>
        <v>0</v>
      </c>
      <c r="U181" s="1922">
        <f t="shared" si="62"/>
        <v>0</v>
      </c>
      <c r="V181" s="1593" t="s">
        <v>1192</v>
      </c>
      <c r="W181" s="1593" t="s">
        <v>1219</v>
      </c>
      <c r="X181" s="1600">
        <f t="shared" si="63"/>
        <v>0</v>
      </c>
      <c r="Y181" s="1608">
        <v>0</v>
      </c>
      <c r="Z181" s="1608">
        <v>0</v>
      </c>
      <c r="AA181" s="1600">
        <f t="shared" si="64"/>
        <v>0</v>
      </c>
      <c r="AB181" s="1608">
        <v>0</v>
      </c>
      <c r="AC181" s="1608">
        <v>0</v>
      </c>
    </row>
    <row r="182" spans="1:29" s="484" customFormat="1" ht="55.5" customHeight="1">
      <c r="A182" s="1972">
        <f>A181+1</f>
        <v>94</v>
      </c>
      <c r="B182" s="1920" t="s">
        <v>1437</v>
      </c>
      <c r="C182" s="1913" t="s">
        <v>1544</v>
      </c>
      <c r="D182" s="1979">
        <f t="shared" si="53"/>
        <v>3761.3</v>
      </c>
      <c r="E182" s="1980">
        <f>SUM(E183:E184)</f>
        <v>3535.6</v>
      </c>
      <c r="F182" s="1980">
        <f>SUM(F183:F184)</f>
        <v>225.7</v>
      </c>
      <c r="G182" s="1600">
        <f t="shared" si="58"/>
        <v>105852.6</v>
      </c>
      <c r="H182" s="1608">
        <f>SUM(H183:H184)</f>
        <v>69668.800000000003</v>
      </c>
      <c r="I182" s="1608">
        <f>SUM(I183:I184)</f>
        <v>36183.800000000003</v>
      </c>
      <c r="J182" s="1594">
        <f t="shared" si="59"/>
        <v>102091.3</v>
      </c>
      <c r="K182" s="1594">
        <f t="shared" si="40"/>
        <v>66133.2</v>
      </c>
      <c r="L182" s="1594">
        <f t="shared" si="41"/>
        <v>35958.1</v>
      </c>
      <c r="M182" s="1600">
        <f t="shared" si="60"/>
        <v>105852.6</v>
      </c>
      <c r="N182" s="1608">
        <f>SUM(N183:N184)</f>
        <v>69668.800000000003</v>
      </c>
      <c r="O182" s="1608">
        <f>SUM(O183:O184)</f>
        <v>36183.800000000003</v>
      </c>
      <c r="P182" s="1600">
        <f t="shared" si="50"/>
        <v>30127</v>
      </c>
      <c r="Q182" s="1608">
        <v>28319.3</v>
      </c>
      <c r="R182" s="1608">
        <v>1807.7</v>
      </c>
      <c r="S182" s="1893">
        <f t="shared" si="45"/>
        <v>28.5</v>
      </c>
      <c r="T182" s="1894">
        <f t="shared" si="45"/>
        <v>40.6</v>
      </c>
      <c r="U182" s="1894">
        <f t="shared" si="45"/>
        <v>5</v>
      </c>
      <c r="V182" s="1593" t="s">
        <v>1293</v>
      </c>
      <c r="W182" s="1593" t="s">
        <v>1101</v>
      </c>
      <c r="X182" s="1600">
        <f t="shared" si="63"/>
        <v>0</v>
      </c>
      <c r="Y182" s="1608">
        <v>0</v>
      </c>
      <c r="Z182" s="1608">
        <v>0</v>
      </c>
      <c r="AA182" s="1600">
        <f t="shared" si="64"/>
        <v>0</v>
      </c>
      <c r="AB182" s="1608">
        <v>0</v>
      </c>
      <c r="AC182" s="1608">
        <v>0</v>
      </c>
    </row>
    <row r="183" spans="1:29" s="484" customFormat="1">
      <c r="A183" s="1972"/>
      <c r="B183" s="1619" t="s">
        <v>1620</v>
      </c>
      <c r="C183" s="1913"/>
      <c r="D183" s="1600">
        <f t="shared" ref="D183:D194" si="65">SUM(E183:F183)</f>
        <v>3761.3</v>
      </c>
      <c r="E183" s="1608">
        <v>3535.6</v>
      </c>
      <c r="F183" s="1608">
        <v>225.7</v>
      </c>
      <c r="G183" s="1600">
        <f t="shared" si="44"/>
        <v>74115.8</v>
      </c>
      <c r="H183" s="1608">
        <v>69668.800000000003</v>
      </c>
      <c r="I183" s="1608">
        <f>4447</f>
        <v>4447</v>
      </c>
      <c r="J183" s="1594">
        <f t="shared" si="59"/>
        <v>70354.5</v>
      </c>
      <c r="K183" s="1594">
        <f t="shared" si="40"/>
        <v>66133.2</v>
      </c>
      <c r="L183" s="1594">
        <f t="shared" si="41"/>
        <v>4221.3</v>
      </c>
      <c r="M183" s="1600">
        <f t="shared" si="49"/>
        <v>74115.8</v>
      </c>
      <c r="N183" s="1608">
        <v>69668.800000000003</v>
      </c>
      <c r="O183" s="1608">
        <f>4447</f>
        <v>4447</v>
      </c>
      <c r="P183" s="1600">
        <f t="shared" ref="P183:P222" si="66">SUM(Q183:R183)</f>
        <v>0</v>
      </c>
      <c r="Q183" s="1608"/>
      <c r="R183" s="1608"/>
      <c r="S183" s="1921">
        <f t="shared" si="45"/>
        <v>0</v>
      </c>
      <c r="T183" s="1922">
        <f t="shared" si="45"/>
        <v>0</v>
      </c>
      <c r="U183" s="1922">
        <f t="shared" si="45"/>
        <v>0</v>
      </c>
      <c r="V183" s="1593"/>
      <c r="W183" s="1593"/>
      <c r="X183" s="1600">
        <f t="shared" ref="X183:X214" si="67">Y183+Z183</f>
        <v>0</v>
      </c>
      <c r="Y183" s="1608">
        <v>0</v>
      </c>
      <c r="Z183" s="1608">
        <v>0</v>
      </c>
      <c r="AA183" s="1600">
        <f t="shared" ref="AA183:AA214" si="68">AB183+AC183</f>
        <v>0</v>
      </c>
      <c r="AB183" s="1608">
        <v>0</v>
      </c>
      <c r="AC183" s="1608">
        <v>0</v>
      </c>
    </row>
    <row r="184" spans="1:29" s="484" customFormat="1">
      <c r="A184" s="1972"/>
      <c r="B184" s="1619" t="s">
        <v>1621</v>
      </c>
      <c r="C184" s="1913"/>
      <c r="D184" s="1600">
        <f t="shared" si="65"/>
        <v>0</v>
      </c>
      <c r="E184" s="1608"/>
      <c r="F184" s="1608"/>
      <c r="G184" s="1600">
        <f t="shared" si="44"/>
        <v>31736.799999999999</v>
      </c>
      <c r="H184" s="1608"/>
      <c r="I184" s="1608">
        <f>31736.8</f>
        <v>31736.799999999999</v>
      </c>
      <c r="J184" s="1594">
        <f t="shared" si="59"/>
        <v>31736.799999999999</v>
      </c>
      <c r="K184" s="1594">
        <f t="shared" si="40"/>
        <v>0</v>
      </c>
      <c r="L184" s="1594">
        <f t="shared" si="41"/>
        <v>31736.799999999999</v>
      </c>
      <c r="M184" s="1600">
        <f t="shared" si="49"/>
        <v>31736.799999999999</v>
      </c>
      <c r="N184" s="1608"/>
      <c r="O184" s="1608">
        <f>31736.8</f>
        <v>31736.799999999999</v>
      </c>
      <c r="P184" s="1600">
        <f t="shared" si="66"/>
        <v>0</v>
      </c>
      <c r="Q184" s="1608"/>
      <c r="R184" s="1608"/>
      <c r="S184" s="1921">
        <f t="shared" si="45"/>
        <v>0</v>
      </c>
      <c r="T184" s="1922">
        <f t="shared" si="45"/>
        <v>0</v>
      </c>
      <c r="U184" s="1922">
        <f t="shared" si="45"/>
        <v>0</v>
      </c>
      <c r="V184" s="1593"/>
      <c r="W184" s="1593"/>
      <c r="X184" s="1600">
        <f t="shared" si="67"/>
        <v>0</v>
      </c>
      <c r="Y184" s="1608">
        <v>0</v>
      </c>
      <c r="Z184" s="1608">
        <v>0</v>
      </c>
      <c r="AA184" s="1600">
        <f t="shared" si="68"/>
        <v>0</v>
      </c>
      <c r="AB184" s="1608">
        <v>0</v>
      </c>
      <c r="AC184" s="1608">
        <v>0</v>
      </c>
    </row>
    <row r="185" spans="1:29" ht="62.25" customHeight="1">
      <c r="A185" s="1972">
        <f>A182+1</f>
        <v>95</v>
      </c>
      <c r="B185" s="1912" t="s">
        <v>1441</v>
      </c>
      <c r="C185" s="1913" t="s">
        <v>1544</v>
      </c>
      <c r="D185" s="1979">
        <f t="shared" si="65"/>
        <v>18682.400000000001</v>
      </c>
      <c r="E185" s="1980">
        <v>17561.3</v>
      </c>
      <c r="F185" s="1980">
        <v>1121.0999999999999</v>
      </c>
      <c r="G185" s="1600">
        <f t="shared" si="44"/>
        <v>18682.400000000001</v>
      </c>
      <c r="H185" s="1608">
        <v>17561.3</v>
      </c>
      <c r="I185" s="1608">
        <v>1121.0999999999999</v>
      </c>
      <c r="J185" s="1594">
        <f t="shared" si="39"/>
        <v>0</v>
      </c>
      <c r="K185" s="1594">
        <f t="shared" si="40"/>
        <v>0</v>
      </c>
      <c r="L185" s="1594">
        <f t="shared" si="41"/>
        <v>0</v>
      </c>
      <c r="M185" s="1600">
        <f t="shared" si="49"/>
        <v>18682.400000000001</v>
      </c>
      <c r="N185" s="1608">
        <v>17561.3</v>
      </c>
      <c r="O185" s="1608">
        <v>1121.0999999999999</v>
      </c>
      <c r="P185" s="1600">
        <f t="shared" si="66"/>
        <v>0</v>
      </c>
      <c r="Q185" s="1608"/>
      <c r="R185" s="1608"/>
      <c r="S185" s="1893">
        <f t="shared" si="45"/>
        <v>0</v>
      </c>
      <c r="T185" s="1894">
        <f t="shared" si="45"/>
        <v>0</v>
      </c>
      <c r="U185" s="1894">
        <f t="shared" si="45"/>
        <v>0</v>
      </c>
      <c r="V185" s="1593" t="s">
        <v>1192</v>
      </c>
      <c r="W185" s="1593" t="s">
        <v>1663</v>
      </c>
      <c r="X185" s="1600">
        <f t="shared" si="67"/>
        <v>0</v>
      </c>
      <c r="Y185" s="1614">
        <v>0</v>
      </c>
      <c r="Z185" s="1614">
        <v>0</v>
      </c>
      <c r="AA185" s="1600">
        <f t="shared" si="68"/>
        <v>0</v>
      </c>
      <c r="AB185" s="1614">
        <v>0</v>
      </c>
      <c r="AC185" s="1614">
        <v>0</v>
      </c>
    </row>
    <row r="186" spans="1:29" ht="58.5" customHeight="1">
      <c r="A186" s="1972">
        <f>A185+1</f>
        <v>96</v>
      </c>
      <c r="B186" s="1912" t="s">
        <v>1442</v>
      </c>
      <c r="C186" s="1913" t="s">
        <v>1544</v>
      </c>
      <c r="D186" s="1979">
        <f t="shared" si="65"/>
        <v>12956.3</v>
      </c>
      <c r="E186" s="1980">
        <v>12178.9</v>
      </c>
      <c r="F186" s="1980">
        <v>777.4</v>
      </c>
      <c r="G186" s="1600">
        <f t="shared" si="44"/>
        <v>12956.3</v>
      </c>
      <c r="H186" s="1608">
        <v>12178.9</v>
      </c>
      <c r="I186" s="1608">
        <v>777.4</v>
      </c>
      <c r="J186" s="1594">
        <f t="shared" si="39"/>
        <v>0</v>
      </c>
      <c r="K186" s="1594">
        <f t="shared" si="40"/>
        <v>0</v>
      </c>
      <c r="L186" s="1594">
        <f t="shared" si="41"/>
        <v>0</v>
      </c>
      <c r="M186" s="1600">
        <f t="shared" si="49"/>
        <v>12956.3</v>
      </c>
      <c r="N186" s="1608">
        <v>12178.9</v>
      </c>
      <c r="O186" s="1608">
        <v>777.4</v>
      </c>
      <c r="P186" s="1600">
        <f t="shared" si="66"/>
        <v>0</v>
      </c>
      <c r="Q186" s="1608"/>
      <c r="R186" s="1608"/>
      <c r="S186" s="1893">
        <f t="shared" si="45"/>
        <v>0</v>
      </c>
      <c r="T186" s="1894">
        <f t="shared" si="45"/>
        <v>0</v>
      </c>
      <c r="U186" s="1894">
        <f t="shared" si="45"/>
        <v>0</v>
      </c>
      <c r="V186" s="1593" t="s">
        <v>1285</v>
      </c>
      <c r="W186" s="1593" t="s">
        <v>1252</v>
      </c>
      <c r="X186" s="1600">
        <f t="shared" si="67"/>
        <v>0</v>
      </c>
      <c r="Y186" s="1614">
        <v>0</v>
      </c>
      <c r="Z186" s="1614">
        <v>0</v>
      </c>
      <c r="AA186" s="1600">
        <f t="shared" si="68"/>
        <v>0</v>
      </c>
      <c r="AB186" s="1614">
        <v>0</v>
      </c>
      <c r="AC186" s="1614">
        <v>0</v>
      </c>
    </row>
    <row r="187" spans="1:29" ht="23.25" customHeight="1">
      <c r="A187" s="1972">
        <f>A186+1</f>
        <v>97</v>
      </c>
      <c r="B187" s="1883" t="s">
        <v>1587</v>
      </c>
      <c r="C187" s="1880"/>
      <c r="D187" s="1600">
        <f t="shared" si="65"/>
        <v>0</v>
      </c>
      <c r="E187" s="1608">
        <f>E188</f>
        <v>0</v>
      </c>
      <c r="F187" s="1608">
        <f>F188</f>
        <v>0</v>
      </c>
      <c r="G187" s="1600">
        <f t="shared" si="44"/>
        <v>35340.699999999997</v>
      </c>
      <c r="H187" s="1608">
        <f>H188</f>
        <v>0</v>
      </c>
      <c r="I187" s="1608">
        <f>I188</f>
        <v>35340.699999999997</v>
      </c>
      <c r="J187" s="1594">
        <f t="shared" si="39"/>
        <v>35340.699999999997</v>
      </c>
      <c r="K187" s="1594">
        <f t="shared" si="40"/>
        <v>0</v>
      </c>
      <c r="L187" s="1594">
        <f t="shared" si="41"/>
        <v>35340.699999999997</v>
      </c>
      <c r="M187" s="1600">
        <f t="shared" si="49"/>
        <v>35340.699999999997</v>
      </c>
      <c r="N187" s="1608">
        <f>N188</f>
        <v>0</v>
      </c>
      <c r="O187" s="1608">
        <f>O188</f>
        <v>35340.699999999997</v>
      </c>
      <c r="P187" s="1600">
        <f t="shared" si="66"/>
        <v>0</v>
      </c>
      <c r="Q187" s="1608"/>
      <c r="R187" s="1608"/>
      <c r="S187" s="1604">
        <f t="shared" si="45"/>
        <v>0</v>
      </c>
      <c r="T187" s="1881">
        <f t="shared" si="45"/>
        <v>0</v>
      </c>
      <c r="U187" s="1881">
        <f t="shared" si="45"/>
        <v>0</v>
      </c>
      <c r="V187" s="1593"/>
      <c r="W187" s="1593"/>
      <c r="X187" s="1600">
        <f t="shared" si="67"/>
        <v>0</v>
      </c>
      <c r="Y187" s="1614">
        <v>0</v>
      </c>
      <c r="Z187" s="1614">
        <v>0</v>
      </c>
      <c r="AA187" s="1600">
        <f t="shared" si="68"/>
        <v>0</v>
      </c>
      <c r="AB187" s="1614">
        <v>0</v>
      </c>
      <c r="AC187" s="1614">
        <v>0</v>
      </c>
    </row>
    <row r="188" spans="1:29" s="484" customFormat="1">
      <c r="A188" s="1972"/>
      <c r="B188" s="1619" t="s">
        <v>1621</v>
      </c>
      <c r="C188" s="1906"/>
      <c r="D188" s="1600">
        <f t="shared" si="65"/>
        <v>0</v>
      </c>
      <c r="E188" s="1608"/>
      <c r="F188" s="1608">
        <v>0</v>
      </c>
      <c r="G188" s="1600">
        <f t="shared" si="44"/>
        <v>35340.699999999997</v>
      </c>
      <c r="H188" s="1608"/>
      <c r="I188" s="1608">
        <v>35340.699999999997</v>
      </c>
      <c r="J188" s="1594">
        <f t="shared" si="39"/>
        <v>35340.699999999997</v>
      </c>
      <c r="K188" s="1594">
        <f t="shared" si="40"/>
        <v>0</v>
      </c>
      <c r="L188" s="1594">
        <f t="shared" si="41"/>
        <v>35340.699999999997</v>
      </c>
      <c r="M188" s="1600">
        <f t="shared" si="49"/>
        <v>35340.699999999997</v>
      </c>
      <c r="N188" s="1608"/>
      <c r="O188" s="1608">
        <v>35340.699999999997</v>
      </c>
      <c r="P188" s="1600">
        <f t="shared" si="66"/>
        <v>0</v>
      </c>
      <c r="Q188" s="1608"/>
      <c r="R188" s="1608"/>
      <c r="S188" s="1604">
        <f t="shared" si="45"/>
        <v>0</v>
      </c>
      <c r="T188" s="1907">
        <f t="shared" si="45"/>
        <v>0</v>
      </c>
      <c r="U188" s="1907">
        <f t="shared" si="45"/>
        <v>0</v>
      </c>
      <c r="V188" s="1593"/>
      <c r="W188" s="1593"/>
      <c r="X188" s="1600">
        <f t="shared" si="67"/>
        <v>0</v>
      </c>
      <c r="Y188" s="1608">
        <v>0</v>
      </c>
      <c r="Z188" s="1608">
        <v>0</v>
      </c>
      <c r="AA188" s="1600">
        <f t="shared" si="68"/>
        <v>0</v>
      </c>
      <c r="AB188" s="1608">
        <v>0</v>
      </c>
      <c r="AC188" s="1608">
        <v>0</v>
      </c>
    </row>
    <row r="189" spans="1:29" s="1607" customFormat="1" ht="61.5" customHeight="1">
      <c r="A189" s="1972">
        <f>A187+1</f>
        <v>98</v>
      </c>
      <c r="B189" s="1914" t="s">
        <v>1600</v>
      </c>
      <c r="C189" s="1972"/>
      <c r="D189" s="1600">
        <f t="shared" si="65"/>
        <v>0</v>
      </c>
      <c r="E189" s="1608">
        <v>0</v>
      </c>
      <c r="F189" s="1608">
        <v>0</v>
      </c>
      <c r="G189" s="1600">
        <f t="shared" si="44"/>
        <v>13415.9</v>
      </c>
      <c r="H189" s="1608">
        <v>12606.9</v>
      </c>
      <c r="I189" s="1608">
        <v>809</v>
      </c>
      <c r="J189" s="1594">
        <f t="shared" si="39"/>
        <v>13415.9</v>
      </c>
      <c r="K189" s="1594">
        <f t="shared" si="40"/>
        <v>12606.9</v>
      </c>
      <c r="L189" s="1594">
        <f t="shared" si="41"/>
        <v>809</v>
      </c>
      <c r="M189" s="1600">
        <f t="shared" si="49"/>
        <v>13415.9</v>
      </c>
      <c r="N189" s="1608">
        <v>12606.9</v>
      </c>
      <c r="O189" s="1608">
        <v>809</v>
      </c>
      <c r="P189" s="1600">
        <f t="shared" si="66"/>
        <v>0</v>
      </c>
      <c r="Q189" s="1608"/>
      <c r="R189" s="1608"/>
      <c r="S189" s="1604">
        <f t="shared" si="45"/>
        <v>0</v>
      </c>
      <c r="T189" s="1881">
        <f t="shared" si="45"/>
        <v>0</v>
      </c>
      <c r="U189" s="1881">
        <f t="shared" si="45"/>
        <v>0</v>
      </c>
      <c r="V189" s="1593"/>
      <c r="W189" s="1593"/>
      <c r="X189" s="1600">
        <f t="shared" si="67"/>
        <v>0</v>
      </c>
      <c r="Y189" s="1608">
        <v>0</v>
      </c>
      <c r="Z189" s="1608">
        <v>0</v>
      </c>
      <c r="AA189" s="1600">
        <f t="shared" si="68"/>
        <v>0</v>
      </c>
      <c r="AB189" s="1608">
        <v>0</v>
      </c>
      <c r="AC189" s="1608">
        <v>0</v>
      </c>
    </row>
    <row r="190" spans="1:29" s="484" customFormat="1" ht="54" customHeight="1">
      <c r="A190" s="1972">
        <f t="shared" ref="A190:A195" si="69">A189+1</f>
        <v>99</v>
      </c>
      <c r="B190" s="1914" t="s">
        <v>776</v>
      </c>
      <c r="C190" s="1866" t="s">
        <v>1545</v>
      </c>
      <c r="D190" s="1979">
        <f t="shared" si="65"/>
        <v>182824.4</v>
      </c>
      <c r="E190" s="1981">
        <v>172200</v>
      </c>
      <c r="F190" s="1981">
        <v>10624.4</v>
      </c>
      <c r="G190" s="1600">
        <f t="shared" si="44"/>
        <v>177040.7</v>
      </c>
      <c r="H190" s="1614">
        <v>166418.20000000001</v>
      </c>
      <c r="I190" s="1614">
        <v>10622.5</v>
      </c>
      <c r="J190" s="1594">
        <f t="shared" si="39"/>
        <v>-5783.7</v>
      </c>
      <c r="K190" s="1594">
        <f t="shared" si="40"/>
        <v>-5781.8</v>
      </c>
      <c r="L190" s="1594">
        <f t="shared" si="41"/>
        <v>-1.9</v>
      </c>
      <c r="M190" s="1600">
        <f t="shared" si="49"/>
        <v>177040.7</v>
      </c>
      <c r="N190" s="1614">
        <v>166418.20000000001</v>
      </c>
      <c r="O190" s="1614">
        <v>10622.5</v>
      </c>
      <c r="P190" s="1600">
        <f t="shared" si="66"/>
        <v>25616.5</v>
      </c>
      <c r="Q190" s="1614">
        <v>24079.5</v>
      </c>
      <c r="R190" s="1614">
        <v>1537</v>
      </c>
      <c r="S190" s="1893">
        <f t="shared" si="45"/>
        <v>14.5</v>
      </c>
      <c r="T190" s="1894">
        <f t="shared" si="45"/>
        <v>14.5</v>
      </c>
      <c r="U190" s="1894">
        <f t="shared" si="45"/>
        <v>14.5</v>
      </c>
      <c r="V190" s="1593" t="s">
        <v>1272</v>
      </c>
      <c r="W190" s="1593" t="s">
        <v>1273</v>
      </c>
      <c r="X190" s="1600">
        <f t="shared" si="67"/>
        <v>0</v>
      </c>
      <c r="Y190" s="1608">
        <v>0</v>
      </c>
      <c r="Z190" s="1608">
        <v>0</v>
      </c>
      <c r="AA190" s="1600">
        <f t="shared" si="68"/>
        <v>0</v>
      </c>
      <c r="AB190" s="1608">
        <v>0</v>
      </c>
      <c r="AC190" s="1608">
        <v>0</v>
      </c>
    </row>
    <row r="191" spans="1:29" ht="50.25" customHeight="1">
      <c r="A191" s="1972">
        <f t="shared" si="69"/>
        <v>100</v>
      </c>
      <c r="B191" s="1888" t="s">
        <v>1595</v>
      </c>
      <c r="C191" s="1866"/>
      <c r="D191" s="1600">
        <f t="shared" si="65"/>
        <v>0</v>
      </c>
      <c r="E191" s="1614">
        <v>0</v>
      </c>
      <c r="F191" s="1614">
        <v>0</v>
      </c>
      <c r="G191" s="1600">
        <f t="shared" si="44"/>
        <v>9921.2000000000007</v>
      </c>
      <c r="H191" s="1614">
        <v>9325.9</v>
      </c>
      <c r="I191" s="1614">
        <v>595.29999999999995</v>
      </c>
      <c r="J191" s="1594">
        <f t="shared" si="39"/>
        <v>9921.2000000000007</v>
      </c>
      <c r="K191" s="1594">
        <f t="shared" si="40"/>
        <v>9325.9</v>
      </c>
      <c r="L191" s="1594">
        <f t="shared" si="41"/>
        <v>595.29999999999995</v>
      </c>
      <c r="M191" s="1600">
        <f t="shared" si="49"/>
        <v>9921.2000000000007</v>
      </c>
      <c r="N191" s="1614">
        <v>9325.9</v>
      </c>
      <c r="O191" s="1614">
        <v>595.29999999999995</v>
      </c>
      <c r="P191" s="1600">
        <f t="shared" si="66"/>
        <v>0</v>
      </c>
      <c r="Q191" s="1614"/>
      <c r="R191" s="1614"/>
      <c r="S191" s="1893">
        <f t="shared" si="45"/>
        <v>0</v>
      </c>
      <c r="T191" s="1894">
        <f t="shared" si="45"/>
        <v>0</v>
      </c>
      <c r="U191" s="1894">
        <f t="shared" si="45"/>
        <v>0</v>
      </c>
      <c r="V191" s="1593"/>
      <c r="W191" s="1593"/>
      <c r="X191" s="1600">
        <f t="shared" si="67"/>
        <v>0</v>
      </c>
      <c r="Y191" s="1608">
        <v>0</v>
      </c>
      <c r="Z191" s="1608">
        <v>0</v>
      </c>
      <c r="AA191" s="1600">
        <f t="shared" si="68"/>
        <v>0</v>
      </c>
      <c r="AB191" s="1608">
        <v>0</v>
      </c>
      <c r="AC191" s="1608">
        <v>0</v>
      </c>
    </row>
    <row r="192" spans="1:29" ht="50.25" customHeight="1">
      <c r="A192" s="1972">
        <f t="shared" si="69"/>
        <v>101</v>
      </c>
      <c r="B192" s="1888" t="s">
        <v>1596</v>
      </c>
      <c r="C192" s="1866"/>
      <c r="D192" s="1600">
        <f t="shared" si="65"/>
        <v>0</v>
      </c>
      <c r="E192" s="1614">
        <v>0</v>
      </c>
      <c r="F192" s="1614">
        <v>0</v>
      </c>
      <c r="G192" s="1600">
        <f t="shared" si="44"/>
        <v>6302.6</v>
      </c>
      <c r="H192" s="1614">
        <v>5924.4</v>
      </c>
      <c r="I192" s="1614">
        <v>378.2</v>
      </c>
      <c r="J192" s="1594">
        <f t="shared" si="39"/>
        <v>6302.6</v>
      </c>
      <c r="K192" s="1594">
        <f t="shared" si="40"/>
        <v>5924.4</v>
      </c>
      <c r="L192" s="1594">
        <f t="shared" si="41"/>
        <v>378.2</v>
      </c>
      <c r="M192" s="1600">
        <f t="shared" si="49"/>
        <v>6302.6</v>
      </c>
      <c r="N192" s="1614">
        <v>5924.4</v>
      </c>
      <c r="O192" s="1614">
        <v>378.2</v>
      </c>
      <c r="P192" s="1600">
        <f t="shared" si="66"/>
        <v>0</v>
      </c>
      <c r="Q192" s="1614"/>
      <c r="R192" s="1614"/>
      <c r="S192" s="1893">
        <f t="shared" si="45"/>
        <v>0</v>
      </c>
      <c r="T192" s="1894">
        <f t="shared" si="45"/>
        <v>0</v>
      </c>
      <c r="U192" s="1894">
        <f t="shared" si="45"/>
        <v>0</v>
      </c>
      <c r="V192" s="1593"/>
      <c r="W192" s="1593"/>
      <c r="X192" s="1600">
        <f t="shared" si="67"/>
        <v>0</v>
      </c>
      <c r="Y192" s="1608">
        <v>0</v>
      </c>
      <c r="Z192" s="1608">
        <v>0</v>
      </c>
      <c r="AA192" s="1600">
        <f t="shared" si="68"/>
        <v>0</v>
      </c>
      <c r="AB192" s="1608">
        <v>0</v>
      </c>
      <c r="AC192" s="1608">
        <v>0</v>
      </c>
    </row>
    <row r="193" spans="1:29" s="484" customFormat="1" ht="73.5" customHeight="1">
      <c r="A193" s="1972">
        <f t="shared" si="69"/>
        <v>102</v>
      </c>
      <c r="B193" s="1914" t="s">
        <v>1687</v>
      </c>
      <c r="C193" s="1866" t="s">
        <v>1611</v>
      </c>
      <c r="D193" s="1979">
        <f>SUM(E193:F193)</f>
        <v>90200</v>
      </c>
      <c r="E193" s="1980">
        <v>84777.3</v>
      </c>
      <c r="F193" s="1980">
        <v>5422.7</v>
      </c>
      <c r="G193" s="1600">
        <f>SUM(H193:I193)</f>
        <v>0</v>
      </c>
      <c r="H193" s="1608"/>
      <c r="I193" s="1608"/>
      <c r="J193" s="1594">
        <f>G193-D193</f>
        <v>-90200</v>
      </c>
      <c r="K193" s="1594">
        <f>H193-E193</f>
        <v>-84777.3</v>
      </c>
      <c r="L193" s="1594">
        <f>I193-F193</f>
        <v>-5422.7</v>
      </c>
      <c r="M193" s="1600">
        <f>SUM(N193:O193)</f>
        <v>0</v>
      </c>
      <c r="N193" s="1608"/>
      <c r="O193" s="1608"/>
      <c r="P193" s="1600">
        <f>SUM(Q193:R193)</f>
        <v>0</v>
      </c>
      <c r="Q193" s="1608"/>
      <c r="R193" s="1608"/>
      <c r="S193" s="1893">
        <f>IF(P193=0,0,P193/M193*100)</f>
        <v>0</v>
      </c>
      <c r="T193" s="1894">
        <f>IF(Q193=0,0,Q193/N193*100)</f>
        <v>0</v>
      </c>
      <c r="U193" s="1894">
        <f>IF(R193=0,0,R193/O193*100)</f>
        <v>0</v>
      </c>
      <c r="V193" s="1593"/>
      <c r="W193" s="1593"/>
      <c r="X193" s="1600">
        <f>Y193+Z193</f>
        <v>0</v>
      </c>
      <c r="Y193" s="1608">
        <v>0</v>
      </c>
      <c r="Z193" s="1608">
        <v>0</v>
      </c>
      <c r="AA193" s="1600">
        <f>AB193+AC193</f>
        <v>0</v>
      </c>
      <c r="AB193" s="1608">
        <v>0</v>
      </c>
      <c r="AC193" s="1608">
        <v>0</v>
      </c>
    </row>
    <row r="194" spans="1:29" s="484" customFormat="1" ht="73.5" customHeight="1">
      <c r="A194" s="1972">
        <f t="shared" si="69"/>
        <v>103</v>
      </c>
      <c r="B194" s="1914" t="s">
        <v>1599</v>
      </c>
      <c r="C194" s="1866" t="s">
        <v>1611</v>
      </c>
      <c r="D194" s="1979">
        <f t="shared" si="65"/>
        <v>195900</v>
      </c>
      <c r="E194" s="1980">
        <v>184122.7</v>
      </c>
      <c r="F194" s="1980">
        <v>11777.3</v>
      </c>
      <c r="G194" s="1600">
        <f t="shared" si="44"/>
        <v>171408.9</v>
      </c>
      <c r="H194" s="1608">
        <v>161122.70000000001</v>
      </c>
      <c r="I194" s="1608">
        <v>10286.200000000001</v>
      </c>
      <c r="J194" s="1594">
        <f t="shared" si="39"/>
        <v>-24491.1</v>
      </c>
      <c r="K194" s="1594">
        <f t="shared" si="40"/>
        <v>-23000</v>
      </c>
      <c r="L194" s="1594">
        <f t="shared" si="41"/>
        <v>-1491.1</v>
      </c>
      <c r="M194" s="1600">
        <f t="shared" si="49"/>
        <v>171408.9</v>
      </c>
      <c r="N194" s="1608">
        <v>161122.70000000001</v>
      </c>
      <c r="O194" s="1608">
        <v>10286.200000000001</v>
      </c>
      <c r="P194" s="1600">
        <f t="shared" si="66"/>
        <v>0</v>
      </c>
      <c r="Q194" s="1608"/>
      <c r="R194" s="1608"/>
      <c r="S194" s="1893">
        <f t="shared" si="45"/>
        <v>0</v>
      </c>
      <c r="T194" s="1894">
        <f t="shared" si="45"/>
        <v>0</v>
      </c>
      <c r="U194" s="1894">
        <f t="shared" si="45"/>
        <v>0</v>
      </c>
      <c r="V194" s="1593"/>
      <c r="W194" s="1593"/>
      <c r="X194" s="1600">
        <f t="shared" si="67"/>
        <v>0</v>
      </c>
      <c r="Y194" s="1608">
        <v>0</v>
      </c>
      <c r="Z194" s="1608">
        <v>0</v>
      </c>
      <c r="AA194" s="1600">
        <f t="shared" si="68"/>
        <v>0</v>
      </c>
      <c r="AB194" s="1608">
        <v>0</v>
      </c>
      <c r="AC194" s="1608">
        <v>0</v>
      </c>
    </row>
    <row r="195" spans="1:29" s="484" customFormat="1" ht="30.75" customHeight="1">
      <c r="A195" s="1972">
        <f t="shared" si="69"/>
        <v>104</v>
      </c>
      <c r="B195" s="516" t="s">
        <v>763</v>
      </c>
      <c r="C195" s="1923" t="s">
        <v>1550</v>
      </c>
      <c r="D195" s="1979">
        <f>SUM(E195:F195)</f>
        <v>309700</v>
      </c>
      <c r="E195" s="1980">
        <f>E196+E197</f>
        <v>291062</v>
      </c>
      <c r="F195" s="1980">
        <f>F196+F197</f>
        <v>18638</v>
      </c>
      <c r="G195" s="1600">
        <f>SUM(H195:I195)</f>
        <v>172153.3</v>
      </c>
      <c r="H195" s="1608">
        <f>H196+H197</f>
        <v>161822.39999999999</v>
      </c>
      <c r="I195" s="1608">
        <f t="shared" ref="I195:AC195" si="70">I196+I197</f>
        <v>10330.9</v>
      </c>
      <c r="J195" s="1594">
        <f t="shared" si="39"/>
        <v>-137546.70000000001</v>
      </c>
      <c r="K195" s="1594">
        <f t="shared" si="40"/>
        <v>-129239.6</v>
      </c>
      <c r="L195" s="1594">
        <f t="shared" si="41"/>
        <v>-8307.1</v>
      </c>
      <c r="M195" s="1600">
        <f t="shared" si="49"/>
        <v>172153.3</v>
      </c>
      <c r="N195" s="1608">
        <f>N196+N197</f>
        <v>161822.39999999999</v>
      </c>
      <c r="O195" s="1608">
        <f>O196+O197</f>
        <v>10330.9</v>
      </c>
      <c r="P195" s="1600">
        <f t="shared" si="66"/>
        <v>0</v>
      </c>
      <c r="Q195" s="1608"/>
      <c r="R195" s="1608"/>
      <c r="S195" s="1608">
        <f t="shared" si="70"/>
        <v>0</v>
      </c>
      <c r="T195" s="1608">
        <f t="shared" si="70"/>
        <v>0</v>
      </c>
      <c r="U195" s="1608">
        <f t="shared" si="70"/>
        <v>0</v>
      </c>
      <c r="V195" s="1608">
        <f t="shared" si="70"/>
        <v>0</v>
      </c>
      <c r="W195" s="1608">
        <f t="shared" si="70"/>
        <v>0</v>
      </c>
      <c r="X195" s="1941">
        <f t="shared" si="70"/>
        <v>109549.9</v>
      </c>
      <c r="Y195" s="1608">
        <f t="shared" si="70"/>
        <v>0</v>
      </c>
      <c r="Z195" s="1608">
        <f t="shared" si="70"/>
        <v>109549.9</v>
      </c>
      <c r="AA195" s="1608">
        <f t="shared" si="70"/>
        <v>0</v>
      </c>
      <c r="AB195" s="1608">
        <f t="shared" si="70"/>
        <v>0</v>
      </c>
      <c r="AC195" s="1608">
        <f t="shared" si="70"/>
        <v>0</v>
      </c>
    </row>
    <row r="196" spans="1:29" s="484" customFormat="1" ht="16.5" customHeight="1">
      <c r="A196" s="1972"/>
      <c r="B196" s="1619" t="s">
        <v>1620</v>
      </c>
      <c r="C196" s="1924"/>
      <c r="D196" s="1975">
        <f>SUM(E196:F196)</f>
        <v>309700</v>
      </c>
      <c r="E196" s="1976">
        <v>291062</v>
      </c>
      <c r="F196" s="1976">
        <v>18638</v>
      </c>
      <c r="G196" s="1600">
        <f>SUM(H196:I196)</f>
        <v>172153.3</v>
      </c>
      <c r="H196" s="1608">
        <v>161822.39999999999</v>
      </c>
      <c r="I196" s="1608">
        <v>10330.9</v>
      </c>
      <c r="J196" s="1594">
        <f t="shared" si="39"/>
        <v>-137546.70000000001</v>
      </c>
      <c r="K196" s="1594">
        <f t="shared" si="40"/>
        <v>-129239.6</v>
      </c>
      <c r="L196" s="1594">
        <f t="shared" si="41"/>
        <v>-8307.1</v>
      </c>
      <c r="M196" s="1600">
        <f t="shared" si="49"/>
        <v>172153.3</v>
      </c>
      <c r="N196" s="1608">
        <v>161822.39999999999</v>
      </c>
      <c r="O196" s="1608">
        <v>10330.9</v>
      </c>
      <c r="P196" s="1600">
        <f t="shared" si="66"/>
        <v>0</v>
      </c>
      <c r="Q196" s="1608"/>
      <c r="R196" s="1608"/>
      <c r="S196" s="1893">
        <f t="shared" ref="S196:U197" si="71">IF(P196=0,0,P196/M196*100)</f>
        <v>0</v>
      </c>
      <c r="T196" s="1894">
        <f t="shared" si="71"/>
        <v>0</v>
      </c>
      <c r="U196" s="1894">
        <f t="shared" si="71"/>
        <v>0</v>
      </c>
      <c r="V196" s="1593"/>
      <c r="W196" s="1593"/>
      <c r="X196" s="1600">
        <f>Y196+Z196</f>
        <v>0</v>
      </c>
      <c r="Y196" s="1608">
        <v>0</v>
      </c>
      <c r="Z196" s="1608">
        <v>0</v>
      </c>
      <c r="AA196" s="1600">
        <f>AB196+AC196</f>
        <v>0</v>
      </c>
      <c r="AB196" s="1608">
        <v>0</v>
      </c>
      <c r="AC196" s="1624">
        <v>0</v>
      </c>
    </row>
    <row r="197" spans="1:29" s="484" customFormat="1" ht="19.5" customHeight="1">
      <c r="A197" s="1972"/>
      <c r="B197" s="1619" t="s">
        <v>1621</v>
      </c>
      <c r="C197" s="1924"/>
      <c r="D197" s="1975">
        <f>SUM(E197:F197)</f>
        <v>0</v>
      </c>
      <c r="E197" s="1976"/>
      <c r="F197" s="1978">
        <v>0</v>
      </c>
      <c r="G197" s="1600">
        <f>SUM(H197:I197)</f>
        <v>0</v>
      </c>
      <c r="H197" s="1608"/>
      <c r="I197" s="1624">
        <v>0</v>
      </c>
      <c r="J197" s="1594">
        <f t="shared" si="39"/>
        <v>0</v>
      </c>
      <c r="K197" s="1594">
        <f t="shared" si="40"/>
        <v>0</v>
      </c>
      <c r="L197" s="1594">
        <f t="shared" si="41"/>
        <v>0</v>
      </c>
      <c r="M197" s="1600">
        <f t="shared" si="49"/>
        <v>0</v>
      </c>
      <c r="N197" s="1608"/>
      <c r="O197" s="1624">
        <v>0</v>
      </c>
      <c r="P197" s="1600">
        <f t="shared" si="66"/>
        <v>0</v>
      </c>
      <c r="Q197" s="1608"/>
      <c r="R197" s="1624"/>
      <c r="S197" s="1893">
        <f t="shared" si="71"/>
        <v>0</v>
      </c>
      <c r="T197" s="1894">
        <f t="shared" si="71"/>
        <v>0</v>
      </c>
      <c r="U197" s="1894">
        <f t="shared" si="71"/>
        <v>0</v>
      </c>
      <c r="V197" s="1593"/>
      <c r="W197" s="1593"/>
      <c r="X197" s="1600">
        <f>Y197+Z197</f>
        <v>109549.9</v>
      </c>
      <c r="Y197" s="1608">
        <v>0</v>
      </c>
      <c r="Z197" s="1608">
        <v>109549.9</v>
      </c>
      <c r="AA197" s="1600">
        <f>AB197+AC197</f>
        <v>0</v>
      </c>
      <c r="AB197" s="1608">
        <v>0</v>
      </c>
      <c r="AC197" s="1624">
        <v>0</v>
      </c>
    </row>
    <row r="198" spans="1:29" s="484" customFormat="1" ht="20.25" customHeight="1">
      <c r="A198" s="1972">
        <f>A195+1</f>
        <v>105</v>
      </c>
      <c r="B198" s="516" t="s">
        <v>765</v>
      </c>
      <c r="C198" s="1923" t="s">
        <v>1550</v>
      </c>
      <c r="D198" s="1979">
        <f t="shared" ref="D198:D209" si="72">SUM(E198:F198)</f>
        <v>4800</v>
      </c>
      <c r="E198" s="1980">
        <f>SUM(E199:E200)</f>
        <v>4511.1000000000004</v>
      </c>
      <c r="F198" s="1980">
        <f>SUM(F199:F200)</f>
        <v>288.89999999999998</v>
      </c>
      <c r="G198" s="1600">
        <f t="shared" si="44"/>
        <v>33286.699999999997</v>
      </c>
      <c r="H198" s="1608">
        <f>SUM(H199:H200)</f>
        <v>21902.5</v>
      </c>
      <c r="I198" s="1608">
        <f>SUM(I199:I200)</f>
        <v>11384.2</v>
      </c>
      <c r="J198" s="1594">
        <f t="shared" si="39"/>
        <v>28486.7</v>
      </c>
      <c r="K198" s="1594">
        <f t="shared" si="40"/>
        <v>17391.400000000001</v>
      </c>
      <c r="L198" s="1594">
        <f t="shared" si="41"/>
        <v>11095.3</v>
      </c>
      <c r="M198" s="1600">
        <f t="shared" si="49"/>
        <v>33286.699999999997</v>
      </c>
      <c r="N198" s="1608">
        <f>SUM(N199:N200)</f>
        <v>21902.5</v>
      </c>
      <c r="O198" s="1608">
        <f>SUM(O199:O200)</f>
        <v>11384.2</v>
      </c>
      <c r="P198" s="1600">
        <f t="shared" si="66"/>
        <v>0</v>
      </c>
      <c r="Q198" s="1608"/>
      <c r="R198" s="1608"/>
      <c r="S198" s="1893">
        <f t="shared" si="45"/>
        <v>0</v>
      </c>
      <c r="T198" s="1894">
        <f t="shared" si="45"/>
        <v>0</v>
      </c>
      <c r="U198" s="1894">
        <f t="shared" si="45"/>
        <v>0</v>
      </c>
      <c r="V198" s="1593" t="s">
        <v>1267</v>
      </c>
      <c r="W198" s="1593" t="s">
        <v>1219</v>
      </c>
      <c r="X198" s="1600">
        <f t="shared" si="67"/>
        <v>0</v>
      </c>
      <c r="Y198" s="1608">
        <v>0</v>
      </c>
      <c r="Z198" s="1608">
        <v>0</v>
      </c>
      <c r="AA198" s="1600">
        <f t="shared" si="68"/>
        <v>0</v>
      </c>
      <c r="AB198" s="1608">
        <v>0</v>
      </c>
      <c r="AC198" s="1624">
        <v>0</v>
      </c>
    </row>
    <row r="199" spans="1:29" ht="24.75" customHeight="1">
      <c r="A199" s="1972"/>
      <c r="B199" s="1619" t="s">
        <v>1620</v>
      </c>
      <c r="C199" s="1924"/>
      <c r="D199" s="1975">
        <f t="shared" si="72"/>
        <v>4800</v>
      </c>
      <c r="E199" s="1976">
        <v>4511.1000000000004</v>
      </c>
      <c r="F199" s="1976">
        <v>288.89999999999998</v>
      </c>
      <c r="G199" s="1600">
        <f t="shared" si="44"/>
        <v>23300.799999999999</v>
      </c>
      <c r="H199" s="1608">
        <v>21902.5</v>
      </c>
      <c r="I199" s="1608">
        <v>1398.3</v>
      </c>
      <c r="J199" s="1594">
        <f t="shared" si="39"/>
        <v>18500.8</v>
      </c>
      <c r="K199" s="1594">
        <f t="shared" si="40"/>
        <v>17391.400000000001</v>
      </c>
      <c r="L199" s="1594">
        <f t="shared" si="41"/>
        <v>1109.4000000000001</v>
      </c>
      <c r="M199" s="1600">
        <f t="shared" si="49"/>
        <v>23300.799999999999</v>
      </c>
      <c r="N199" s="1608">
        <v>21902.5</v>
      </c>
      <c r="O199" s="1608">
        <v>1398.3</v>
      </c>
      <c r="P199" s="1600">
        <f t="shared" si="66"/>
        <v>0</v>
      </c>
      <c r="Q199" s="1608"/>
      <c r="R199" s="1608"/>
      <c r="S199" s="1893">
        <f t="shared" si="45"/>
        <v>0</v>
      </c>
      <c r="T199" s="1894">
        <f t="shared" si="45"/>
        <v>0</v>
      </c>
      <c r="U199" s="1894">
        <f t="shared" si="45"/>
        <v>0</v>
      </c>
      <c r="V199" s="1593"/>
      <c r="W199" s="1593"/>
      <c r="X199" s="1600">
        <f t="shared" si="67"/>
        <v>0</v>
      </c>
      <c r="Y199" s="1608">
        <v>0</v>
      </c>
      <c r="Z199" s="1608">
        <v>0</v>
      </c>
      <c r="AA199" s="1600">
        <f t="shared" si="68"/>
        <v>0</v>
      </c>
      <c r="AB199" s="1608">
        <v>0</v>
      </c>
      <c r="AC199" s="1624">
        <v>0</v>
      </c>
    </row>
    <row r="200" spans="1:29" ht="17.25" customHeight="1">
      <c r="A200" s="1972"/>
      <c r="B200" s="1619" t="s">
        <v>1621</v>
      </c>
      <c r="C200" s="1924"/>
      <c r="D200" s="1975">
        <f t="shared" si="72"/>
        <v>0</v>
      </c>
      <c r="E200" s="1976"/>
      <c r="F200" s="1978"/>
      <c r="G200" s="1600">
        <f t="shared" si="44"/>
        <v>9985.9</v>
      </c>
      <c r="H200" s="1608"/>
      <c r="I200" s="1624">
        <v>9985.9</v>
      </c>
      <c r="J200" s="1594">
        <f t="shared" si="39"/>
        <v>9985.9</v>
      </c>
      <c r="K200" s="1594">
        <f t="shared" si="40"/>
        <v>0</v>
      </c>
      <c r="L200" s="1594">
        <f t="shared" si="41"/>
        <v>9985.9</v>
      </c>
      <c r="M200" s="1600">
        <f t="shared" si="49"/>
        <v>9985.9</v>
      </c>
      <c r="N200" s="1608"/>
      <c r="O200" s="1624">
        <v>9985.9</v>
      </c>
      <c r="P200" s="1600">
        <f t="shared" si="66"/>
        <v>0</v>
      </c>
      <c r="Q200" s="1608"/>
      <c r="R200" s="1624"/>
      <c r="S200" s="1893">
        <f t="shared" si="45"/>
        <v>0</v>
      </c>
      <c r="T200" s="1894">
        <f t="shared" si="45"/>
        <v>0</v>
      </c>
      <c r="U200" s="1894">
        <f t="shared" si="45"/>
        <v>0</v>
      </c>
      <c r="V200" s="1593"/>
      <c r="W200" s="1593"/>
      <c r="X200" s="1600">
        <f t="shared" si="67"/>
        <v>0</v>
      </c>
      <c r="Y200" s="1608">
        <v>0</v>
      </c>
      <c r="Z200" s="1608">
        <v>0</v>
      </c>
      <c r="AA200" s="1600">
        <f t="shared" si="68"/>
        <v>0</v>
      </c>
      <c r="AB200" s="1608">
        <v>0</v>
      </c>
      <c r="AC200" s="1624">
        <v>0</v>
      </c>
    </row>
    <row r="201" spans="1:29" s="484" customFormat="1" ht="24.75" customHeight="1">
      <c r="A201" s="1972">
        <f>A198+1</f>
        <v>106</v>
      </c>
      <c r="B201" s="516" t="s">
        <v>766</v>
      </c>
      <c r="C201" s="1923" t="s">
        <v>1550</v>
      </c>
      <c r="D201" s="1979">
        <f t="shared" si="72"/>
        <v>6200</v>
      </c>
      <c r="E201" s="1980">
        <f>SUM(E202:E203)</f>
        <v>5826.9</v>
      </c>
      <c r="F201" s="1980">
        <f>SUM(F202:F203)</f>
        <v>373.1</v>
      </c>
      <c r="G201" s="1600">
        <f t="shared" si="44"/>
        <v>20841.599999999999</v>
      </c>
      <c r="H201" s="1608">
        <f>SUM(H202:H203)</f>
        <v>13713.9</v>
      </c>
      <c r="I201" s="1608">
        <f>SUM(I202:I203)</f>
        <v>7127.7</v>
      </c>
      <c r="J201" s="1594">
        <f t="shared" si="39"/>
        <v>14641.6</v>
      </c>
      <c r="K201" s="1594">
        <f t="shared" si="40"/>
        <v>7887</v>
      </c>
      <c r="L201" s="1594">
        <f t="shared" si="41"/>
        <v>6754.6</v>
      </c>
      <c r="M201" s="1600">
        <f t="shared" si="49"/>
        <v>20841.599999999999</v>
      </c>
      <c r="N201" s="1608">
        <f>SUM(N202:N203)</f>
        <v>13713.9</v>
      </c>
      <c r="O201" s="1608">
        <f>SUM(O202:O203)</f>
        <v>7127.7</v>
      </c>
      <c r="P201" s="1600">
        <f t="shared" si="66"/>
        <v>0</v>
      </c>
      <c r="Q201" s="1608"/>
      <c r="R201" s="1608"/>
      <c r="S201" s="1893">
        <f t="shared" si="45"/>
        <v>0</v>
      </c>
      <c r="T201" s="1894">
        <f t="shared" si="45"/>
        <v>0</v>
      </c>
      <c r="U201" s="1894">
        <f t="shared" si="45"/>
        <v>0</v>
      </c>
      <c r="V201" s="1593" t="s">
        <v>1303</v>
      </c>
      <c r="W201" s="1593" t="s">
        <v>1268</v>
      </c>
      <c r="X201" s="1600">
        <f t="shared" si="67"/>
        <v>0</v>
      </c>
      <c r="Y201" s="1608">
        <v>0</v>
      </c>
      <c r="Z201" s="1608">
        <v>0</v>
      </c>
      <c r="AA201" s="1600">
        <f t="shared" si="68"/>
        <v>0</v>
      </c>
      <c r="AB201" s="1608">
        <v>0</v>
      </c>
      <c r="AC201" s="1624">
        <v>0</v>
      </c>
    </row>
    <row r="202" spans="1:29" ht="24.75" customHeight="1">
      <c r="A202" s="1972"/>
      <c r="B202" s="1619" t="s">
        <v>1620</v>
      </c>
      <c r="C202" s="1924"/>
      <c r="D202" s="1975">
        <f t="shared" si="72"/>
        <v>6200</v>
      </c>
      <c r="E202" s="1976">
        <v>5826.9</v>
      </c>
      <c r="F202" s="1976">
        <v>373.1</v>
      </c>
      <c r="G202" s="1600">
        <f t="shared" si="44"/>
        <v>14589.4</v>
      </c>
      <c r="H202" s="1608">
        <v>13713.9</v>
      </c>
      <c r="I202" s="1608">
        <v>875.5</v>
      </c>
      <c r="J202" s="1594">
        <f t="shared" si="39"/>
        <v>8389.4</v>
      </c>
      <c r="K202" s="1594">
        <f t="shared" si="40"/>
        <v>7887</v>
      </c>
      <c r="L202" s="1594">
        <f t="shared" si="41"/>
        <v>502.4</v>
      </c>
      <c r="M202" s="1600">
        <f t="shared" si="49"/>
        <v>14589.4</v>
      </c>
      <c r="N202" s="1608">
        <v>13713.9</v>
      </c>
      <c r="O202" s="1608">
        <v>875.5</v>
      </c>
      <c r="P202" s="1600">
        <f t="shared" si="66"/>
        <v>0</v>
      </c>
      <c r="Q202" s="1608"/>
      <c r="R202" s="1608"/>
      <c r="S202" s="1893">
        <f t="shared" si="45"/>
        <v>0</v>
      </c>
      <c r="T202" s="1894">
        <f t="shared" si="45"/>
        <v>0</v>
      </c>
      <c r="U202" s="1894">
        <f t="shared" si="45"/>
        <v>0</v>
      </c>
      <c r="V202" s="1593"/>
      <c r="W202" s="1593"/>
      <c r="X202" s="1600">
        <f t="shared" si="67"/>
        <v>0</v>
      </c>
      <c r="Y202" s="1608">
        <v>0</v>
      </c>
      <c r="Z202" s="1608">
        <v>0</v>
      </c>
      <c r="AA202" s="1600">
        <f t="shared" si="68"/>
        <v>0</v>
      </c>
      <c r="AB202" s="1608">
        <v>0</v>
      </c>
      <c r="AC202" s="1624">
        <v>0</v>
      </c>
    </row>
    <row r="203" spans="1:29" ht="24.75" customHeight="1">
      <c r="A203" s="1972"/>
      <c r="B203" s="1619" t="s">
        <v>1621</v>
      </c>
      <c r="C203" s="1924"/>
      <c r="D203" s="1600">
        <f t="shared" si="72"/>
        <v>0</v>
      </c>
      <c r="E203" s="1608"/>
      <c r="F203" s="1624"/>
      <c r="G203" s="1600">
        <f t="shared" si="44"/>
        <v>6252.2</v>
      </c>
      <c r="H203" s="1608"/>
      <c r="I203" s="1624">
        <v>6252.2</v>
      </c>
      <c r="J203" s="1594">
        <f t="shared" si="39"/>
        <v>6252.2</v>
      </c>
      <c r="K203" s="1594">
        <f t="shared" si="40"/>
        <v>0</v>
      </c>
      <c r="L203" s="1594">
        <f t="shared" si="41"/>
        <v>6252.2</v>
      </c>
      <c r="M203" s="1600">
        <f t="shared" si="49"/>
        <v>6252.2</v>
      </c>
      <c r="N203" s="1608"/>
      <c r="O203" s="1624">
        <v>6252.2</v>
      </c>
      <c r="P203" s="1600">
        <f t="shared" si="66"/>
        <v>0</v>
      </c>
      <c r="Q203" s="1608"/>
      <c r="R203" s="1624"/>
      <c r="S203" s="1893">
        <f t="shared" si="45"/>
        <v>0</v>
      </c>
      <c r="T203" s="1894">
        <f t="shared" si="45"/>
        <v>0</v>
      </c>
      <c r="U203" s="1894">
        <f t="shared" si="45"/>
        <v>0</v>
      </c>
      <c r="V203" s="1593"/>
      <c r="W203" s="1593"/>
      <c r="X203" s="1600">
        <f t="shared" si="67"/>
        <v>0</v>
      </c>
      <c r="Y203" s="1608">
        <v>0</v>
      </c>
      <c r="Z203" s="1608">
        <v>0</v>
      </c>
      <c r="AA203" s="1600">
        <f t="shared" si="68"/>
        <v>0</v>
      </c>
      <c r="AB203" s="1608">
        <v>0</v>
      </c>
      <c r="AC203" s="1624">
        <v>0</v>
      </c>
    </row>
    <row r="204" spans="1:29" ht="39" customHeight="1">
      <c r="A204" s="1972">
        <f>A201+1</f>
        <v>107</v>
      </c>
      <c r="B204" s="521" t="s">
        <v>478</v>
      </c>
      <c r="C204" s="1924" t="s">
        <v>1610</v>
      </c>
      <c r="D204" s="1979">
        <f t="shared" si="72"/>
        <v>449049.8</v>
      </c>
      <c r="E204" s="1980">
        <f>E205+E206</f>
        <v>422106.8</v>
      </c>
      <c r="F204" s="1980">
        <f>F205+F206</f>
        <v>26943</v>
      </c>
      <c r="G204" s="1600">
        <f t="shared" si="44"/>
        <v>449354.7</v>
      </c>
      <c r="H204" s="1608">
        <f>H205+H206</f>
        <v>422106.8</v>
      </c>
      <c r="I204" s="1608">
        <f>I205+I206</f>
        <v>27247.9</v>
      </c>
      <c r="J204" s="1594">
        <f t="shared" si="39"/>
        <v>304.89999999999998</v>
      </c>
      <c r="K204" s="1594">
        <f t="shared" si="40"/>
        <v>0</v>
      </c>
      <c r="L204" s="1594">
        <f t="shared" si="41"/>
        <v>304.89999999999998</v>
      </c>
      <c r="M204" s="1600">
        <f t="shared" si="49"/>
        <v>449354.7</v>
      </c>
      <c r="N204" s="1608">
        <f>N205+N206</f>
        <v>422106.8</v>
      </c>
      <c r="O204" s="1608">
        <f>O205+O206</f>
        <v>27247.9</v>
      </c>
      <c r="P204" s="1600">
        <f t="shared" si="66"/>
        <v>0</v>
      </c>
      <c r="Q204" s="1608"/>
      <c r="R204" s="1608"/>
      <c r="S204" s="1893">
        <f t="shared" si="45"/>
        <v>0</v>
      </c>
      <c r="T204" s="1894">
        <f t="shared" si="45"/>
        <v>0</v>
      </c>
      <c r="U204" s="1894">
        <f t="shared" si="45"/>
        <v>0</v>
      </c>
      <c r="V204" s="1593" t="s">
        <v>1298</v>
      </c>
      <c r="W204" s="1593" t="s">
        <v>1261</v>
      </c>
      <c r="X204" s="1600">
        <f t="shared" si="67"/>
        <v>0</v>
      </c>
      <c r="Y204" s="1608">
        <v>0</v>
      </c>
      <c r="Z204" s="1608">
        <v>0</v>
      </c>
      <c r="AA204" s="1600">
        <f t="shared" si="68"/>
        <v>0</v>
      </c>
      <c r="AB204" s="1608">
        <v>0</v>
      </c>
      <c r="AC204" s="1624">
        <v>0</v>
      </c>
    </row>
    <row r="205" spans="1:29">
      <c r="A205" s="1972"/>
      <c r="B205" s="1619" t="s">
        <v>1620</v>
      </c>
      <c r="C205" s="1924"/>
      <c r="D205" s="1975">
        <f t="shared" si="72"/>
        <v>449049.8</v>
      </c>
      <c r="E205" s="1976">
        <v>422106.8</v>
      </c>
      <c r="F205" s="1978">
        <v>26943</v>
      </c>
      <c r="G205" s="1600">
        <f t="shared" si="44"/>
        <v>449049.8</v>
      </c>
      <c r="H205" s="1608">
        <v>422106.8</v>
      </c>
      <c r="I205" s="1624">
        <v>26943</v>
      </c>
      <c r="J205" s="1594">
        <f t="shared" si="39"/>
        <v>0</v>
      </c>
      <c r="K205" s="1594">
        <f t="shared" si="40"/>
        <v>0</v>
      </c>
      <c r="L205" s="1594">
        <f t="shared" si="41"/>
        <v>0</v>
      </c>
      <c r="M205" s="1600">
        <f t="shared" si="49"/>
        <v>449049.8</v>
      </c>
      <c r="N205" s="1608">
        <v>422106.8</v>
      </c>
      <c r="O205" s="1624">
        <v>26943</v>
      </c>
      <c r="P205" s="1600">
        <f t="shared" si="66"/>
        <v>0</v>
      </c>
      <c r="Q205" s="1608"/>
      <c r="R205" s="1624"/>
      <c r="S205" s="1893">
        <f t="shared" si="45"/>
        <v>0</v>
      </c>
      <c r="T205" s="1894">
        <f t="shared" si="45"/>
        <v>0</v>
      </c>
      <c r="U205" s="1894">
        <f t="shared" si="45"/>
        <v>0</v>
      </c>
      <c r="V205" s="1593"/>
      <c r="W205" s="1593"/>
      <c r="X205" s="1600">
        <f t="shared" si="67"/>
        <v>0</v>
      </c>
      <c r="Y205" s="1608">
        <v>0</v>
      </c>
      <c r="Z205" s="1608">
        <v>0</v>
      </c>
      <c r="AA205" s="1600">
        <f t="shared" si="68"/>
        <v>0</v>
      </c>
      <c r="AB205" s="1608">
        <v>0</v>
      </c>
      <c r="AC205" s="1624">
        <v>0</v>
      </c>
    </row>
    <row r="206" spans="1:29">
      <c r="A206" s="1972"/>
      <c r="B206" s="1619" t="s">
        <v>1621</v>
      </c>
      <c r="C206" s="1924"/>
      <c r="D206" s="1600">
        <f t="shared" si="72"/>
        <v>0</v>
      </c>
      <c r="E206" s="1608"/>
      <c r="F206" s="1624"/>
      <c r="G206" s="1600">
        <f t="shared" si="44"/>
        <v>304.89999999999998</v>
      </c>
      <c r="H206" s="1608"/>
      <c r="I206" s="1624">
        <v>304.89999999999998</v>
      </c>
      <c r="J206" s="1594">
        <f t="shared" si="39"/>
        <v>304.89999999999998</v>
      </c>
      <c r="K206" s="1594">
        <f t="shared" si="40"/>
        <v>0</v>
      </c>
      <c r="L206" s="1594">
        <f t="shared" si="41"/>
        <v>304.89999999999998</v>
      </c>
      <c r="M206" s="1600">
        <f t="shared" si="49"/>
        <v>304.89999999999998</v>
      </c>
      <c r="N206" s="1608"/>
      <c r="O206" s="1624">
        <v>304.89999999999998</v>
      </c>
      <c r="P206" s="1600">
        <f t="shared" si="66"/>
        <v>0</v>
      </c>
      <c r="Q206" s="1608"/>
      <c r="R206" s="1624"/>
      <c r="S206" s="1893">
        <f t="shared" si="45"/>
        <v>0</v>
      </c>
      <c r="T206" s="1894">
        <f t="shared" si="45"/>
        <v>0</v>
      </c>
      <c r="U206" s="1894">
        <f t="shared" si="45"/>
        <v>0</v>
      </c>
      <c r="V206" s="1593"/>
      <c r="W206" s="1593"/>
      <c r="X206" s="1600">
        <f t="shared" si="67"/>
        <v>0</v>
      </c>
      <c r="Y206" s="1608">
        <v>0</v>
      </c>
      <c r="Z206" s="1608">
        <v>0</v>
      </c>
      <c r="AA206" s="1600">
        <f t="shared" si="68"/>
        <v>0</v>
      </c>
      <c r="AB206" s="1614"/>
      <c r="AC206" s="1614"/>
    </row>
    <row r="207" spans="1:29" s="484" customFormat="1" ht="39.75" customHeight="1">
      <c r="A207" s="1972">
        <f>A204+1</f>
        <v>108</v>
      </c>
      <c r="B207" s="1915" t="s">
        <v>694</v>
      </c>
      <c r="C207" s="1866" t="s">
        <v>1548</v>
      </c>
      <c r="D207" s="1979">
        <f t="shared" si="72"/>
        <v>115500</v>
      </c>
      <c r="E207" s="1981">
        <v>108552</v>
      </c>
      <c r="F207" s="1981">
        <v>6948</v>
      </c>
      <c r="G207" s="1600">
        <f t="shared" si="44"/>
        <v>315323.09999999998</v>
      </c>
      <c r="H207" s="1614">
        <v>296403.8</v>
      </c>
      <c r="I207" s="1614">
        <f>18919.3</f>
        <v>18919.3</v>
      </c>
      <c r="J207" s="1594">
        <f t="shared" si="39"/>
        <v>199823.1</v>
      </c>
      <c r="K207" s="1594">
        <f t="shared" si="40"/>
        <v>187851.8</v>
      </c>
      <c r="L207" s="1594">
        <f t="shared" si="41"/>
        <v>11971.3</v>
      </c>
      <c r="M207" s="1600">
        <f t="shared" si="49"/>
        <v>315323.09999999998</v>
      </c>
      <c r="N207" s="1614">
        <v>296403.8</v>
      </c>
      <c r="O207" s="1614">
        <f>18919.3</f>
        <v>18919.3</v>
      </c>
      <c r="P207" s="1600">
        <f t="shared" si="66"/>
        <v>0</v>
      </c>
      <c r="Q207" s="1614"/>
      <c r="R207" s="1614"/>
      <c r="S207" s="1893">
        <f t="shared" si="45"/>
        <v>0</v>
      </c>
      <c r="T207" s="1894">
        <f t="shared" si="45"/>
        <v>0</v>
      </c>
      <c r="U207" s="1894">
        <f t="shared" si="45"/>
        <v>0</v>
      </c>
      <c r="V207" s="1593" t="s">
        <v>1272</v>
      </c>
      <c r="W207" s="1593" t="s">
        <v>1273</v>
      </c>
      <c r="X207" s="1600">
        <f t="shared" si="67"/>
        <v>0</v>
      </c>
      <c r="Y207" s="1614">
        <v>0</v>
      </c>
      <c r="Z207" s="1614">
        <v>0</v>
      </c>
      <c r="AA207" s="1600">
        <f t="shared" si="68"/>
        <v>0</v>
      </c>
      <c r="AB207" s="1614">
        <v>0</v>
      </c>
      <c r="AC207" s="1614">
        <v>0</v>
      </c>
    </row>
    <row r="208" spans="1:29" s="484" customFormat="1" ht="42" customHeight="1">
      <c r="A208" s="1972">
        <f>A207+1</f>
        <v>109</v>
      </c>
      <c r="B208" s="1915" t="s">
        <v>695</v>
      </c>
      <c r="C208" s="1866"/>
      <c r="D208" s="1979">
        <f t="shared" si="72"/>
        <v>110500</v>
      </c>
      <c r="E208" s="1981">
        <v>103848</v>
      </c>
      <c r="F208" s="1981">
        <v>6652</v>
      </c>
      <c r="G208" s="1600">
        <f t="shared" si="44"/>
        <v>104813.3</v>
      </c>
      <c r="H208" s="1614">
        <v>98524.5</v>
      </c>
      <c r="I208" s="1614">
        <v>6288.8</v>
      </c>
      <c r="J208" s="1594">
        <f t="shared" ref="J208:J223" si="73">G208-D208</f>
        <v>-5686.7</v>
      </c>
      <c r="K208" s="1594">
        <f t="shared" ref="K208:K223" si="74">H208-E208</f>
        <v>-5323.5</v>
      </c>
      <c r="L208" s="1594">
        <f t="shared" ref="L208:L223" si="75">I208-F208</f>
        <v>-363.2</v>
      </c>
      <c r="M208" s="1600">
        <f t="shared" si="49"/>
        <v>104813.3</v>
      </c>
      <c r="N208" s="1614">
        <v>98524.5</v>
      </c>
      <c r="O208" s="1614">
        <v>6288.8</v>
      </c>
      <c r="P208" s="1600">
        <f t="shared" si="66"/>
        <v>34143.9</v>
      </c>
      <c r="Q208" s="1614">
        <v>32095.3</v>
      </c>
      <c r="R208" s="1614">
        <v>2048.6</v>
      </c>
      <c r="S208" s="1893">
        <f t="shared" si="45"/>
        <v>32.6</v>
      </c>
      <c r="T208" s="1894">
        <f t="shared" si="45"/>
        <v>32.6</v>
      </c>
      <c r="U208" s="1894">
        <f t="shared" si="45"/>
        <v>32.6</v>
      </c>
      <c r="V208" s="1593" t="s">
        <v>1272</v>
      </c>
      <c r="W208" s="1593" t="s">
        <v>1273</v>
      </c>
      <c r="X208" s="1600">
        <f t="shared" si="67"/>
        <v>0</v>
      </c>
      <c r="Y208" s="1614">
        <v>0</v>
      </c>
      <c r="Z208" s="1614">
        <v>0</v>
      </c>
      <c r="AA208" s="1600">
        <f t="shared" si="68"/>
        <v>0</v>
      </c>
      <c r="AB208" s="1614">
        <v>0</v>
      </c>
      <c r="AC208" s="1614">
        <v>0</v>
      </c>
    </row>
    <row r="209" spans="1:29" s="484" customFormat="1" ht="42" customHeight="1">
      <c r="A209" s="1972">
        <f>A208+1</f>
        <v>110</v>
      </c>
      <c r="B209" s="1915" t="s">
        <v>698</v>
      </c>
      <c r="C209" s="1866"/>
      <c r="D209" s="1979">
        <f t="shared" si="72"/>
        <v>326625.7</v>
      </c>
      <c r="E209" s="1981">
        <f>E211+E210</f>
        <v>307281.5</v>
      </c>
      <c r="F209" s="1981">
        <f>F211+F210</f>
        <v>19344.2</v>
      </c>
      <c r="G209" s="1600">
        <f t="shared" si="44"/>
        <v>668866.80000000005</v>
      </c>
      <c r="H209" s="1614">
        <v>628534.1</v>
      </c>
      <c r="I209" s="1614">
        <f>40332.7</f>
        <v>40332.699999999997</v>
      </c>
      <c r="J209" s="1594">
        <f t="shared" si="73"/>
        <v>342241.1</v>
      </c>
      <c r="K209" s="1594">
        <f t="shared" si="74"/>
        <v>321252.59999999998</v>
      </c>
      <c r="L209" s="1594">
        <f t="shared" si="75"/>
        <v>20988.5</v>
      </c>
      <c r="M209" s="1600">
        <f t="shared" si="49"/>
        <v>668866.80000000005</v>
      </c>
      <c r="N209" s="1614">
        <v>628534.1</v>
      </c>
      <c r="O209" s="1614">
        <f>40332.7</f>
        <v>40332.699999999997</v>
      </c>
      <c r="P209" s="1600">
        <f t="shared" si="66"/>
        <v>0</v>
      </c>
      <c r="Q209" s="1614"/>
      <c r="R209" s="1614"/>
      <c r="S209" s="1893">
        <f t="shared" si="45"/>
        <v>0</v>
      </c>
      <c r="T209" s="1894">
        <f t="shared" si="45"/>
        <v>0</v>
      </c>
      <c r="U209" s="1894">
        <f t="shared" si="45"/>
        <v>0</v>
      </c>
      <c r="V209" s="1593" t="s">
        <v>1306</v>
      </c>
      <c r="W209" s="1593" t="s">
        <v>1277</v>
      </c>
      <c r="X209" s="1600">
        <f>Y209+Z209</f>
        <v>778086</v>
      </c>
      <c r="Y209" s="1615">
        <v>0</v>
      </c>
      <c r="Z209" s="1615">
        <v>778086</v>
      </c>
      <c r="AA209" s="1600">
        <f t="shared" si="68"/>
        <v>0</v>
      </c>
      <c r="AB209" s="1615">
        <v>0</v>
      </c>
      <c r="AC209" s="1615">
        <v>0</v>
      </c>
    </row>
    <row r="210" spans="1:29" s="484" customFormat="1">
      <c r="A210" s="1972"/>
      <c r="B210" s="1619" t="s">
        <v>1620</v>
      </c>
      <c r="C210" s="1924"/>
      <c r="D210" s="1975">
        <f>SUM(E210:F210)</f>
        <v>326625.7</v>
      </c>
      <c r="E210" s="1976">
        <v>307281.5</v>
      </c>
      <c r="F210" s="1978">
        <v>19344.2</v>
      </c>
      <c r="G210" s="1600">
        <f>SUM(H210:I210)</f>
        <v>668866.80000000005</v>
      </c>
      <c r="H210" s="1608">
        <v>628534.1</v>
      </c>
      <c r="I210" s="1624">
        <v>40332.699999999997</v>
      </c>
      <c r="J210" s="1594">
        <f t="shared" si="73"/>
        <v>342241.1</v>
      </c>
      <c r="K210" s="1594">
        <f t="shared" si="74"/>
        <v>321252.59999999998</v>
      </c>
      <c r="L210" s="1594">
        <f t="shared" si="75"/>
        <v>20988.5</v>
      </c>
      <c r="M210" s="1600">
        <f t="shared" si="49"/>
        <v>668866.80000000005</v>
      </c>
      <c r="N210" s="1608">
        <v>628534.1</v>
      </c>
      <c r="O210" s="1624">
        <v>40332.699999999997</v>
      </c>
      <c r="P210" s="1600">
        <f t="shared" si="66"/>
        <v>0</v>
      </c>
      <c r="Q210" s="1608"/>
      <c r="R210" s="1624"/>
      <c r="S210" s="1893">
        <f t="shared" si="45"/>
        <v>0</v>
      </c>
      <c r="T210" s="1894">
        <f t="shared" si="45"/>
        <v>0</v>
      </c>
      <c r="U210" s="1894">
        <f t="shared" si="45"/>
        <v>0</v>
      </c>
      <c r="V210" s="1593"/>
      <c r="W210" s="1593"/>
      <c r="X210" s="1600">
        <f>Y210+Z210</f>
        <v>0</v>
      </c>
      <c r="Y210" s="1608">
        <v>0</v>
      </c>
      <c r="Z210" s="1608">
        <v>0</v>
      </c>
      <c r="AA210" s="1600">
        <f>AB210+AC210</f>
        <v>0</v>
      </c>
      <c r="AB210" s="1608">
        <v>0</v>
      </c>
      <c r="AC210" s="1624">
        <v>0</v>
      </c>
    </row>
    <row r="211" spans="1:29" s="484" customFormat="1" ht="18.75" customHeight="1">
      <c r="A211" s="1972"/>
      <c r="B211" s="1619" t="s">
        <v>1621</v>
      </c>
      <c r="C211" s="1924"/>
      <c r="D211" s="1975">
        <f>SUM(E211:F211)</f>
        <v>0</v>
      </c>
      <c r="E211" s="1976"/>
      <c r="F211" s="1978">
        <v>0</v>
      </c>
      <c r="G211" s="1600">
        <f>SUM(H211:I211)</f>
        <v>0</v>
      </c>
      <c r="H211" s="1608"/>
      <c r="I211" s="1624">
        <v>0</v>
      </c>
      <c r="J211" s="1594">
        <f t="shared" si="73"/>
        <v>0</v>
      </c>
      <c r="K211" s="1594">
        <f t="shared" si="74"/>
        <v>0</v>
      </c>
      <c r="L211" s="1594">
        <f t="shared" si="75"/>
        <v>0</v>
      </c>
      <c r="M211" s="1600">
        <f t="shared" si="49"/>
        <v>0</v>
      </c>
      <c r="N211" s="1608"/>
      <c r="O211" s="1624">
        <v>0</v>
      </c>
      <c r="P211" s="1600">
        <f t="shared" si="66"/>
        <v>0</v>
      </c>
      <c r="Q211" s="1608"/>
      <c r="R211" s="1624"/>
      <c r="S211" s="1893">
        <f t="shared" si="45"/>
        <v>0</v>
      </c>
      <c r="T211" s="1894">
        <f t="shared" si="45"/>
        <v>0</v>
      </c>
      <c r="U211" s="1894">
        <f t="shared" si="45"/>
        <v>0</v>
      </c>
      <c r="V211" s="1593"/>
      <c r="W211" s="1593"/>
      <c r="X211" s="1600">
        <f>Y211+Z211</f>
        <v>778086</v>
      </c>
      <c r="Y211" s="1608">
        <v>0</v>
      </c>
      <c r="Z211" s="1608">
        <v>778086</v>
      </c>
      <c r="AA211" s="1600">
        <f>AB211+AC211</f>
        <v>0</v>
      </c>
      <c r="AB211" s="1614"/>
      <c r="AC211" s="1614"/>
    </row>
    <row r="212" spans="1:29" ht="40.5" customHeight="1">
      <c r="A212" s="1972">
        <f>A209+1</f>
        <v>111</v>
      </c>
      <c r="B212" s="1915" t="s">
        <v>697</v>
      </c>
      <c r="C212" s="1866"/>
      <c r="D212" s="1979">
        <f t="shared" ref="D212:D217" si="76">SUM(E212:F212)</f>
        <v>37500</v>
      </c>
      <c r="E212" s="1981">
        <v>35238.699999999997</v>
      </c>
      <c r="F212" s="1981">
        <v>2261.3000000000002</v>
      </c>
      <c r="G212" s="1600">
        <f t="shared" si="44"/>
        <v>87999.8</v>
      </c>
      <c r="H212" s="1614">
        <v>82693.5</v>
      </c>
      <c r="I212" s="1614">
        <v>5306.3</v>
      </c>
      <c r="J212" s="1594">
        <f t="shared" si="73"/>
        <v>50499.8</v>
      </c>
      <c r="K212" s="1594">
        <f t="shared" si="74"/>
        <v>47454.8</v>
      </c>
      <c r="L212" s="1594">
        <f t="shared" si="75"/>
        <v>3045</v>
      </c>
      <c r="M212" s="1600">
        <f t="shared" si="49"/>
        <v>87999.8</v>
      </c>
      <c r="N212" s="1614">
        <v>82693.5</v>
      </c>
      <c r="O212" s="1614">
        <v>5306.3</v>
      </c>
      <c r="P212" s="1600">
        <f t="shared" si="66"/>
        <v>4862.7</v>
      </c>
      <c r="Q212" s="1614">
        <f>4453.2+116.3</f>
        <v>4569.5</v>
      </c>
      <c r="R212" s="1614">
        <f>285.7+7.5</f>
        <v>293.2</v>
      </c>
      <c r="S212" s="1893">
        <f t="shared" si="45"/>
        <v>5.5</v>
      </c>
      <c r="T212" s="1894">
        <f t="shared" si="45"/>
        <v>5.5</v>
      </c>
      <c r="U212" s="1894">
        <f t="shared" si="45"/>
        <v>5.5</v>
      </c>
      <c r="V212" s="1593" t="s">
        <v>1192</v>
      </c>
      <c r="W212" s="1593" t="s">
        <v>1658</v>
      </c>
      <c r="X212" s="1600">
        <f t="shared" si="67"/>
        <v>0</v>
      </c>
      <c r="Y212" s="1614">
        <v>0</v>
      </c>
      <c r="Z212" s="1614">
        <v>0</v>
      </c>
      <c r="AA212" s="1600">
        <f t="shared" si="68"/>
        <v>0</v>
      </c>
      <c r="AB212" s="1615">
        <v>0</v>
      </c>
      <c r="AC212" s="1615">
        <v>0</v>
      </c>
    </row>
    <row r="213" spans="1:29" ht="81" customHeight="1">
      <c r="A213" s="1972">
        <f>A212+1</f>
        <v>112</v>
      </c>
      <c r="B213" s="1915" t="s">
        <v>942</v>
      </c>
      <c r="C213" s="1866"/>
      <c r="D213" s="1979">
        <f t="shared" si="76"/>
        <v>201857</v>
      </c>
      <c r="E213" s="1981">
        <v>189685</v>
      </c>
      <c r="F213" s="1981">
        <v>12172</v>
      </c>
      <c r="G213" s="1600">
        <f t="shared" si="44"/>
        <v>201856.9</v>
      </c>
      <c r="H213" s="1614">
        <v>189685</v>
      </c>
      <c r="I213" s="1614">
        <v>12171.9</v>
      </c>
      <c r="J213" s="1594">
        <f t="shared" si="73"/>
        <v>-0.1</v>
      </c>
      <c r="K213" s="1594">
        <f t="shared" si="74"/>
        <v>0</v>
      </c>
      <c r="L213" s="1594">
        <f t="shared" si="75"/>
        <v>-0.1</v>
      </c>
      <c r="M213" s="1600">
        <f t="shared" si="49"/>
        <v>201856.9</v>
      </c>
      <c r="N213" s="1614">
        <v>189685</v>
      </c>
      <c r="O213" s="1614">
        <v>12171.9</v>
      </c>
      <c r="P213" s="1600">
        <f t="shared" si="66"/>
        <v>0</v>
      </c>
      <c r="Q213" s="1614"/>
      <c r="R213" s="1614"/>
      <c r="S213" s="1893">
        <f t="shared" si="45"/>
        <v>0</v>
      </c>
      <c r="T213" s="1894">
        <f t="shared" si="45"/>
        <v>0</v>
      </c>
      <c r="U213" s="1894">
        <f t="shared" si="45"/>
        <v>0</v>
      </c>
      <c r="V213" s="1593" t="s">
        <v>1192</v>
      </c>
      <c r="W213" s="1593" t="s">
        <v>1279</v>
      </c>
      <c r="X213" s="1600">
        <f t="shared" si="67"/>
        <v>0</v>
      </c>
      <c r="Y213" s="1614">
        <v>0</v>
      </c>
      <c r="Z213" s="1614">
        <v>0</v>
      </c>
      <c r="AA213" s="1600">
        <f t="shared" si="68"/>
        <v>0</v>
      </c>
      <c r="AB213" s="1615">
        <v>0</v>
      </c>
      <c r="AC213" s="1615">
        <v>0</v>
      </c>
    </row>
    <row r="214" spans="1:29" s="1626" customFormat="1" ht="23.25" customHeight="1">
      <c r="A214" s="1972">
        <v>117</v>
      </c>
      <c r="B214" s="1879" t="s">
        <v>1488</v>
      </c>
      <c r="C214" s="1913"/>
      <c r="D214" s="1979">
        <f t="shared" si="76"/>
        <v>605200</v>
      </c>
      <c r="E214" s="1981">
        <v>568888</v>
      </c>
      <c r="F214" s="1981">
        <v>36312</v>
      </c>
      <c r="G214" s="1600">
        <f t="shared" si="44"/>
        <v>0</v>
      </c>
      <c r="H214" s="1614">
        <v>0</v>
      </c>
      <c r="I214" s="1614">
        <v>0</v>
      </c>
      <c r="J214" s="1594">
        <f t="shared" si="73"/>
        <v>-605200</v>
      </c>
      <c r="K214" s="1594">
        <f t="shared" si="74"/>
        <v>-568888</v>
      </c>
      <c r="L214" s="1594">
        <f t="shared" si="75"/>
        <v>-36312</v>
      </c>
      <c r="M214" s="1600">
        <f t="shared" si="49"/>
        <v>0</v>
      </c>
      <c r="N214" s="1614">
        <v>0</v>
      </c>
      <c r="O214" s="1614">
        <v>0</v>
      </c>
      <c r="P214" s="1600">
        <f t="shared" si="66"/>
        <v>0</v>
      </c>
      <c r="Q214" s="1614"/>
      <c r="R214" s="1614"/>
      <c r="S214" s="1893">
        <f t="shared" si="45"/>
        <v>0</v>
      </c>
      <c r="T214" s="1894">
        <f t="shared" si="45"/>
        <v>0</v>
      </c>
      <c r="U214" s="1894">
        <f t="shared" si="45"/>
        <v>0</v>
      </c>
      <c r="V214" s="1593" t="s">
        <v>1299</v>
      </c>
      <c r="W214" s="1593" t="s">
        <v>1262</v>
      </c>
      <c r="X214" s="1600">
        <f t="shared" si="67"/>
        <v>0</v>
      </c>
      <c r="Y214" s="1614">
        <v>0</v>
      </c>
      <c r="Z214" s="1614">
        <v>0</v>
      </c>
      <c r="AA214" s="1600">
        <f t="shared" si="68"/>
        <v>0</v>
      </c>
      <c r="AB214" s="1615">
        <v>0</v>
      </c>
      <c r="AC214" s="1615">
        <v>0</v>
      </c>
    </row>
    <row r="215" spans="1:29" ht="82.5" customHeight="1">
      <c r="A215" s="1972">
        <f>A212+1</f>
        <v>112</v>
      </c>
      <c r="B215" s="1915" t="s">
        <v>1635</v>
      </c>
      <c r="C215" s="1866"/>
      <c r="D215" s="1975">
        <f>SUM(E215:F215)</f>
        <v>0</v>
      </c>
      <c r="E215" s="1977">
        <v>0</v>
      </c>
      <c r="F215" s="1977">
        <v>0</v>
      </c>
      <c r="G215" s="1600">
        <f>SUM(H215:I215)</f>
        <v>13404.9</v>
      </c>
      <c r="H215" s="1614">
        <v>12600.5</v>
      </c>
      <c r="I215" s="1614">
        <v>804.4</v>
      </c>
      <c r="J215" s="1594">
        <f>G215-D215</f>
        <v>13404.9</v>
      </c>
      <c r="K215" s="1594">
        <f>H215-E215</f>
        <v>12600.5</v>
      </c>
      <c r="L215" s="1594">
        <f>I215-F215</f>
        <v>804.4</v>
      </c>
      <c r="M215" s="1600">
        <f>SUM(N215:O215)</f>
        <v>13404.9</v>
      </c>
      <c r="N215" s="1614">
        <v>12600.5</v>
      </c>
      <c r="O215" s="1614">
        <v>804.4</v>
      </c>
      <c r="P215" s="1600">
        <f>SUM(Q215:R215)</f>
        <v>0</v>
      </c>
      <c r="Q215" s="1614"/>
      <c r="R215" s="1614"/>
      <c r="S215" s="1893">
        <f>IF(P215=0,0,P215/M215*100)</f>
        <v>0</v>
      </c>
      <c r="T215" s="1894">
        <f>IF(Q215=0,0,Q215/N215*100)</f>
        <v>0</v>
      </c>
      <c r="U215" s="1894">
        <f>IF(R215=0,0,R215/O215*100)</f>
        <v>0</v>
      </c>
      <c r="V215" s="1593" t="s">
        <v>1192</v>
      </c>
      <c r="W215" s="1593" t="s">
        <v>1279</v>
      </c>
      <c r="X215" s="1600">
        <f>Y215+Z215</f>
        <v>0</v>
      </c>
      <c r="Y215" s="1614">
        <v>0</v>
      </c>
      <c r="Z215" s="1614">
        <v>0</v>
      </c>
      <c r="AA215" s="1600">
        <f>AB215+AC215</f>
        <v>0</v>
      </c>
      <c r="AB215" s="1615">
        <v>0</v>
      </c>
      <c r="AC215" s="1615">
        <v>0</v>
      </c>
    </row>
    <row r="216" spans="1:29" ht="77.25" customHeight="1">
      <c r="A216" s="1972" t="s">
        <v>1515</v>
      </c>
      <c r="B216" s="1897" t="s">
        <v>1513</v>
      </c>
      <c r="C216" s="1898"/>
      <c r="D216" s="1899">
        <f t="shared" si="76"/>
        <v>4337</v>
      </c>
      <c r="E216" s="1899">
        <f>E217</f>
        <v>0</v>
      </c>
      <c r="F216" s="1899">
        <f>F217</f>
        <v>4337</v>
      </c>
      <c r="G216" s="1899">
        <f t="shared" si="44"/>
        <v>15004.3</v>
      </c>
      <c r="H216" s="1899">
        <f>H217</f>
        <v>0</v>
      </c>
      <c r="I216" s="1899">
        <f>I217</f>
        <v>15004.3</v>
      </c>
      <c r="J216" s="1594">
        <f t="shared" si="73"/>
        <v>10667.3</v>
      </c>
      <c r="K216" s="1594">
        <f t="shared" si="74"/>
        <v>0</v>
      </c>
      <c r="L216" s="1594">
        <f t="shared" si="75"/>
        <v>10667.3</v>
      </c>
      <c r="M216" s="1899">
        <f t="shared" si="49"/>
        <v>15004.3</v>
      </c>
      <c r="N216" s="1899">
        <f>N217</f>
        <v>0</v>
      </c>
      <c r="O216" s="1899">
        <f>O217</f>
        <v>15004.3</v>
      </c>
      <c r="P216" s="1899">
        <f t="shared" si="66"/>
        <v>0</v>
      </c>
      <c r="Q216" s="1899">
        <f>Q217</f>
        <v>0</v>
      </c>
      <c r="R216" s="1899">
        <f>R217</f>
        <v>0</v>
      </c>
      <c r="S216" s="1900">
        <f t="shared" si="45"/>
        <v>0</v>
      </c>
      <c r="T216" s="1900">
        <f t="shared" si="45"/>
        <v>0</v>
      </c>
      <c r="U216" s="1900">
        <f t="shared" si="45"/>
        <v>0</v>
      </c>
      <c r="V216" s="1593"/>
      <c r="W216" s="1593"/>
      <c r="X216" s="1899">
        <f t="shared" ref="X216:X222" si="77">SUM(Y216:Z216)</f>
        <v>0</v>
      </c>
      <c r="Y216" s="1899">
        <f>Y217</f>
        <v>0</v>
      </c>
      <c r="Z216" s="1899">
        <f>Z217</f>
        <v>0</v>
      </c>
      <c r="AA216" s="1899">
        <f t="shared" ref="AA216:AA222" si="78">SUM(AB216:AC216)</f>
        <v>0</v>
      </c>
      <c r="AB216" s="1899">
        <f>AB217</f>
        <v>0</v>
      </c>
      <c r="AC216" s="1899">
        <f>AC217</f>
        <v>0</v>
      </c>
    </row>
    <row r="217" spans="1:29" ht="57" customHeight="1">
      <c r="A217" s="1972">
        <f>A215+1</f>
        <v>113</v>
      </c>
      <c r="B217" s="1883" t="s">
        <v>1495</v>
      </c>
      <c r="C217" s="1972">
        <v>30131</v>
      </c>
      <c r="D217" s="1600">
        <f t="shared" si="76"/>
        <v>4337</v>
      </c>
      <c r="E217" s="1608"/>
      <c r="F217" s="1608">
        <v>4337</v>
      </c>
      <c r="G217" s="1600">
        <f t="shared" si="44"/>
        <v>15004.3</v>
      </c>
      <c r="H217" s="1608"/>
      <c r="I217" s="1608">
        <v>15004.3</v>
      </c>
      <c r="J217" s="1594">
        <f t="shared" si="73"/>
        <v>10667.3</v>
      </c>
      <c r="K217" s="1594">
        <f t="shared" si="74"/>
        <v>0</v>
      </c>
      <c r="L217" s="1594">
        <f t="shared" si="75"/>
        <v>10667.3</v>
      </c>
      <c r="M217" s="1600">
        <f t="shared" si="49"/>
        <v>15004.3</v>
      </c>
      <c r="N217" s="1608"/>
      <c r="O217" s="1608">
        <v>15004.3</v>
      </c>
      <c r="P217" s="1600">
        <f t="shared" si="66"/>
        <v>0</v>
      </c>
      <c r="Q217" s="1608"/>
      <c r="R217" s="1608"/>
      <c r="S217" s="1604">
        <f t="shared" si="45"/>
        <v>0</v>
      </c>
      <c r="T217" s="1881">
        <f t="shared" si="45"/>
        <v>0</v>
      </c>
      <c r="U217" s="1881">
        <f t="shared" si="45"/>
        <v>0</v>
      </c>
      <c r="V217" s="1593" t="s">
        <v>1290</v>
      </c>
      <c r="W217" s="1593" t="s">
        <v>1240</v>
      </c>
      <c r="X217" s="1600">
        <f t="shared" si="77"/>
        <v>0</v>
      </c>
      <c r="Y217" s="1608">
        <v>0</v>
      </c>
      <c r="Z217" s="1608">
        <v>0</v>
      </c>
      <c r="AA217" s="1600">
        <f t="shared" si="78"/>
        <v>0</v>
      </c>
      <c r="AB217" s="1608">
        <v>0</v>
      </c>
      <c r="AC217" s="1608">
        <v>0</v>
      </c>
    </row>
    <row r="218" spans="1:29" ht="24.75" customHeight="1">
      <c r="A218" s="1972" t="s">
        <v>1516</v>
      </c>
      <c r="B218" s="1897" t="s">
        <v>529</v>
      </c>
      <c r="C218" s="1898"/>
      <c r="D218" s="1899">
        <f t="shared" ref="D218:D223" si="79">SUM(E218:F218)</f>
        <v>175767.8</v>
      </c>
      <c r="E218" s="1899">
        <f>SUM(E219:E223)</f>
        <v>0</v>
      </c>
      <c r="F218" s="1899">
        <f>SUM(F219:F223)</f>
        <v>175767.8</v>
      </c>
      <c r="G218" s="1899">
        <f>SUM(H218:I218)</f>
        <v>176874.6</v>
      </c>
      <c r="H218" s="1899">
        <f>SUM(H219:H223)</f>
        <v>0</v>
      </c>
      <c r="I218" s="1899">
        <f>SUM(I219:I223)</f>
        <v>176874.6</v>
      </c>
      <c r="J218" s="1594">
        <f t="shared" si="73"/>
        <v>1106.8</v>
      </c>
      <c r="K218" s="1594">
        <f t="shared" si="74"/>
        <v>0</v>
      </c>
      <c r="L218" s="1594">
        <f t="shared" si="75"/>
        <v>1106.8</v>
      </c>
      <c r="M218" s="1899">
        <f t="shared" si="49"/>
        <v>176874.6</v>
      </c>
      <c r="N218" s="1899">
        <f>SUM(N219:N223)</f>
        <v>0</v>
      </c>
      <c r="O218" s="1899">
        <f>SUM(O219:O223)</f>
        <v>176874.6</v>
      </c>
      <c r="P218" s="1899">
        <f>SUM(Q218:R218)</f>
        <v>0</v>
      </c>
      <c r="Q218" s="1899">
        <f>SUM(Q219:Q223)</f>
        <v>0</v>
      </c>
      <c r="R218" s="1899">
        <f>SUM(R219:R223)</f>
        <v>0</v>
      </c>
      <c r="S218" s="1899">
        <f t="shared" si="45"/>
        <v>0</v>
      </c>
      <c r="T218" s="1899">
        <f t="shared" si="45"/>
        <v>0</v>
      </c>
      <c r="U218" s="1899">
        <f t="shared" si="45"/>
        <v>0</v>
      </c>
      <c r="V218" s="1599"/>
      <c r="W218" s="1599"/>
      <c r="X218" s="1899">
        <f>SUM(Y218:Z218)</f>
        <v>220985.5</v>
      </c>
      <c r="Y218" s="1899">
        <f>SUM(Y219:Y223)</f>
        <v>0</v>
      </c>
      <c r="Z218" s="1899">
        <f>SUM(Z219:Z223)</f>
        <v>220985.5</v>
      </c>
      <c r="AA218" s="1899">
        <f>SUM(AB218:AC218)</f>
        <v>0</v>
      </c>
      <c r="AB218" s="1899">
        <f>SUM(AB219:AB223)</f>
        <v>0</v>
      </c>
      <c r="AC218" s="1899">
        <f>SUM(AC219:AC223)</f>
        <v>0</v>
      </c>
    </row>
    <row r="219" spans="1:29" ht="66" customHeight="1">
      <c r="A219" s="1972">
        <f>A217+1</f>
        <v>114</v>
      </c>
      <c r="B219" s="1925" t="s">
        <v>707</v>
      </c>
      <c r="C219" s="1866">
        <v>10120</v>
      </c>
      <c r="D219" s="1600">
        <f t="shared" si="79"/>
        <v>123877.5</v>
      </c>
      <c r="E219" s="1608"/>
      <c r="F219" s="1608">
        <v>123877.5</v>
      </c>
      <c r="G219" s="1600">
        <f t="shared" si="44"/>
        <v>123877.5</v>
      </c>
      <c r="H219" s="1608"/>
      <c r="I219" s="1608">
        <v>123877.5</v>
      </c>
      <c r="J219" s="1594">
        <f t="shared" si="73"/>
        <v>0</v>
      </c>
      <c r="K219" s="1594">
        <f t="shared" si="74"/>
        <v>0</v>
      </c>
      <c r="L219" s="1594">
        <f t="shared" si="75"/>
        <v>0</v>
      </c>
      <c r="M219" s="1600">
        <f t="shared" si="49"/>
        <v>123877.5</v>
      </c>
      <c r="N219" s="1608"/>
      <c r="O219" s="1608">
        <v>123877.5</v>
      </c>
      <c r="P219" s="1600">
        <f t="shared" si="66"/>
        <v>0</v>
      </c>
      <c r="Q219" s="1608"/>
      <c r="R219" s="1608"/>
      <c r="S219" s="1893">
        <f t="shared" si="45"/>
        <v>0</v>
      </c>
      <c r="T219" s="1894">
        <f t="shared" si="45"/>
        <v>0</v>
      </c>
      <c r="U219" s="1894">
        <f t="shared" si="45"/>
        <v>0</v>
      </c>
      <c r="V219" s="1593" t="s">
        <v>1192</v>
      </c>
      <c r="W219" s="1593" t="s">
        <v>1163</v>
      </c>
      <c r="X219" s="1600">
        <f t="shared" si="77"/>
        <v>0</v>
      </c>
      <c r="Y219" s="1608">
        <v>0</v>
      </c>
      <c r="Z219" s="1608">
        <v>0</v>
      </c>
      <c r="AA219" s="1600">
        <f t="shared" si="78"/>
        <v>0</v>
      </c>
      <c r="AB219" s="1608">
        <v>0</v>
      </c>
      <c r="AC219" s="1608">
        <v>0</v>
      </c>
    </row>
    <row r="220" spans="1:29" ht="72.75" customHeight="1">
      <c r="A220" s="1972">
        <f>A219+1</f>
        <v>115</v>
      </c>
      <c r="B220" s="1883" t="s">
        <v>1478</v>
      </c>
      <c r="C220" s="1866">
        <v>10122</v>
      </c>
      <c r="D220" s="1600">
        <f t="shared" si="79"/>
        <v>13573.6</v>
      </c>
      <c r="E220" s="1608"/>
      <c r="F220" s="1624">
        <v>13573.6</v>
      </c>
      <c r="G220" s="1600">
        <f t="shared" si="44"/>
        <v>14680.4</v>
      </c>
      <c r="H220" s="1608"/>
      <c r="I220" s="1624">
        <v>14680.4</v>
      </c>
      <c r="J220" s="1594">
        <f t="shared" si="73"/>
        <v>1106.8</v>
      </c>
      <c r="K220" s="1594">
        <f t="shared" si="74"/>
        <v>0</v>
      </c>
      <c r="L220" s="1594">
        <f t="shared" si="75"/>
        <v>1106.8</v>
      </c>
      <c r="M220" s="1600">
        <f t="shared" si="49"/>
        <v>14680.4</v>
      </c>
      <c r="N220" s="1608"/>
      <c r="O220" s="1624">
        <v>14680.4</v>
      </c>
      <c r="P220" s="1600">
        <f t="shared" si="66"/>
        <v>0</v>
      </c>
      <c r="Q220" s="1608"/>
      <c r="R220" s="1624"/>
      <c r="S220" s="1893">
        <f t="shared" si="45"/>
        <v>0</v>
      </c>
      <c r="T220" s="1894">
        <f t="shared" si="45"/>
        <v>0</v>
      </c>
      <c r="U220" s="1894">
        <f t="shared" si="45"/>
        <v>0</v>
      </c>
      <c r="V220" s="1593" t="s">
        <v>1298</v>
      </c>
      <c r="W220" s="1593" t="s">
        <v>1261</v>
      </c>
      <c r="X220" s="1600">
        <f t="shared" si="77"/>
        <v>0</v>
      </c>
      <c r="Y220" s="1608">
        <v>0</v>
      </c>
      <c r="Z220" s="1608">
        <v>0</v>
      </c>
      <c r="AA220" s="1600">
        <f t="shared" si="78"/>
        <v>0</v>
      </c>
      <c r="AB220" s="1608">
        <v>0</v>
      </c>
      <c r="AC220" s="1608">
        <v>0</v>
      </c>
    </row>
    <row r="221" spans="1:29" ht="59.25" hidden="1" customHeight="1">
      <c r="A221" s="1972">
        <f>A220+1</f>
        <v>116</v>
      </c>
      <c r="B221" s="493" t="s">
        <v>1492</v>
      </c>
      <c r="C221" s="1972">
        <v>14091</v>
      </c>
      <c r="D221" s="1600">
        <f t="shared" si="79"/>
        <v>0</v>
      </c>
      <c r="E221" s="1614"/>
      <c r="F221" s="1614">
        <v>0</v>
      </c>
      <c r="G221" s="1600">
        <f t="shared" si="44"/>
        <v>0</v>
      </c>
      <c r="H221" s="1614"/>
      <c r="I221" s="1614">
        <v>0</v>
      </c>
      <c r="J221" s="1594">
        <f t="shared" si="73"/>
        <v>0</v>
      </c>
      <c r="K221" s="1594">
        <f t="shared" si="74"/>
        <v>0</v>
      </c>
      <c r="L221" s="1594">
        <f t="shared" si="75"/>
        <v>0</v>
      </c>
      <c r="M221" s="1600">
        <f t="shared" si="49"/>
        <v>0</v>
      </c>
      <c r="N221" s="1614"/>
      <c r="O221" s="1614">
        <v>0</v>
      </c>
      <c r="P221" s="1600">
        <f t="shared" si="66"/>
        <v>0</v>
      </c>
      <c r="Q221" s="1614"/>
      <c r="R221" s="1614"/>
      <c r="S221" s="1604">
        <f t="shared" si="45"/>
        <v>0</v>
      </c>
      <c r="T221" s="1881">
        <f t="shared" si="45"/>
        <v>0</v>
      </c>
      <c r="U221" s="1881">
        <f t="shared" si="45"/>
        <v>0</v>
      </c>
      <c r="V221" s="1593" t="s">
        <v>1192</v>
      </c>
      <c r="W221" s="1593" t="s">
        <v>1206</v>
      </c>
      <c r="X221" s="1600">
        <f t="shared" si="77"/>
        <v>200000</v>
      </c>
      <c r="Y221" s="1614">
        <v>0</v>
      </c>
      <c r="Z221" s="1614">
        <v>200000</v>
      </c>
      <c r="AA221" s="1600">
        <f t="shared" si="78"/>
        <v>0</v>
      </c>
      <c r="AB221" s="1608">
        <v>0</v>
      </c>
      <c r="AC221" s="1608">
        <v>0</v>
      </c>
    </row>
    <row r="222" spans="1:29" s="484" customFormat="1" ht="64.5" customHeight="1">
      <c r="A222" s="1972">
        <v>110</v>
      </c>
      <c r="B222" s="1912" t="s">
        <v>1670</v>
      </c>
      <c r="C222" s="1913" t="s">
        <v>1546</v>
      </c>
      <c r="D222" s="1600">
        <f t="shared" si="79"/>
        <v>38316.699999999997</v>
      </c>
      <c r="E222" s="1608"/>
      <c r="F222" s="1608">
        <v>38316.699999999997</v>
      </c>
      <c r="G222" s="1600">
        <f t="shared" si="44"/>
        <v>38316.699999999997</v>
      </c>
      <c r="H222" s="1608"/>
      <c r="I222" s="1608">
        <v>38316.699999999997</v>
      </c>
      <c r="J222" s="1594">
        <f t="shared" si="73"/>
        <v>0</v>
      </c>
      <c r="K222" s="1594">
        <f t="shared" si="74"/>
        <v>0</v>
      </c>
      <c r="L222" s="1594">
        <f t="shared" si="75"/>
        <v>0</v>
      </c>
      <c r="M222" s="1600">
        <f t="shared" si="49"/>
        <v>38316.699999999997</v>
      </c>
      <c r="N222" s="1608"/>
      <c r="O222" s="1608">
        <v>38316.699999999997</v>
      </c>
      <c r="P222" s="1600">
        <f t="shared" si="66"/>
        <v>0</v>
      </c>
      <c r="Q222" s="1608"/>
      <c r="R222" s="1608"/>
      <c r="S222" s="1893">
        <f t="shared" si="45"/>
        <v>0</v>
      </c>
      <c r="T222" s="1894">
        <f t="shared" si="45"/>
        <v>0</v>
      </c>
      <c r="U222" s="1894">
        <f t="shared" si="45"/>
        <v>0</v>
      </c>
      <c r="V222" s="1593" t="s">
        <v>1291</v>
      </c>
      <c r="W222" s="1593" t="s">
        <v>1241</v>
      </c>
      <c r="X222" s="1600">
        <f t="shared" si="77"/>
        <v>0</v>
      </c>
      <c r="Y222" s="1608">
        <v>0</v>
      </c>
      <c r="Z222" s="1608">
        <v>0</v>
      </c>
      <c r="AA222" s="1600">
        <f t="shared" si="78"/>
        <v>0</v>
      </c>
      <c r="AB222" s="1608">
        <v>0</v>
      </c>
      <c r="AC222" s="1608">
        <v>0</v>
      </c>
    </row>
    <row r="223" spans="1:29" ht="225" hidden="1" customHeight="1">
      <c r="A223" s="1946" t="s">
        <v>1671</v>
      </c>
      <c r="B223" s="1888" t="s">
        <v>1669</v>
      </c>
      <c r="C223" s="1972" t="s">
        <v>1549</v>
      </c>
      <c r="D223" s="1600">
        <f t="shared" si="79"/>
        <v>0</v>
      </c>
      <c r="E223" s="1614"/>
      <c r="F223" s="1614"/>
      <c r="G223" s="1600">
        <f>SUM(H223:I223)</f>
        <v>0</v>
      </c>
      <c r="H223" s="1614"/>
      <c r="I223" s="1614"/>
      <c r="J223" s="1594">
        <f t="shared" si="73"/>
        <v>0</v>
      </c>
      <c r="K223" s="1594">
        <f t="shared" si="74"/>
        <v>0</v>
      </c>
      <c r="L223" s="1594">
        <f t="shared" si="75"/>
        <v>0</v>
      </c>
      <c r="M223" s="1600">
        <f t="shared" si="49"/>
        <v>0</v>
      </c>
      <c r="N223" s="1614"/>
      <c r="O223" s="1614"/>
      <c r="P223" s="1600">
        <f>SUM(Q223:R223)</f>
        <v>0</v>
      </c>
      <c r="Q223" s="1614"/>
      <c r="R223" s="1614"/>
      <c r="S223" s="1604">
        <f>IF(P223=0,0,P223/M223*100)</f>
        <v>0</v>
      </c>
      <c r="T223" s="1881">
        <f>IF(Q223=0,0,Q223/N223*100)</f>
        <v>0</v>
      </c>
      <c r="U223" s="1881">
        <f>IF(R223=0,0,R223/O223*100)</f>
        <v>0</v>
      </c>
      <c r="V223" s="1593" t="s">
        <v>1192</v>
      </c>
      <c r="W223" s="1593" t="s">
        <v>1160</v>
      </c>
      <c r="X223" s="1600">
        <f>SUM(Y223:Z223)</f>
        <v>20985.5</v>
      </c>
      <c r="Y223" s="1614">
        <v>0</v>
      </c>
      <c r="Z223" s="1614">
        <v>20985.5</v>
      </c>
      <c r="AA223" s="1600">
        <f>SUM(AB223:AC223)</f>
        <v>0</v>
      </c>
      <c r="AB223" s="1614">
        <v>0</v>
      </c>
      <c r="AC223" s="1614">
        <v>0</v>
      </c>
    </row>
  </sheetData>
  <autoFilter ref="A5:AC22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30">
    <mergeCell ref="A12:B12"/>
    <mergeCell ref="G9:G10"/>
    <mergeCell ref="H9:I9"/>
    <mergeCell ref="J9:J10"/>
    <mergeCell ref="K9:L9"/>
    <mergeCell ref="D9:D10"/>
    <mergeCell ref="E9:F9"/>
    <mergeCell ref="B9:B10"/>
    <mergeCell ref="C9:C10"/>
    <mergeCell ref="A9:A10"/>
    <mergeCell ref="W60:W61"/>
    <mergeCell ref="S9:S10"/>
    <mergeCell ref="T9:U9"/>
    <mergeCell ref="V9:V10"/>
    <mergeCell ref="W9:W10"/>
    <mergeCell ref="P9:P10"/>
    <mergeCell ref="Q9:R9"/>
    <mergeCell ref="A7:AC7"/>
    <mergeCell ref="A1:B1"/>
    <mergeCell ref="R1:U1"/>
    <mergeCell ref="P3:S3"/>
    <mergeCell ref="A5:AC5"/>
    <mergeCell ref="A6:AC6"/>
    <mergeCell ref="M9:M10"/>
    <mergeCell ref="N9:O9"/>
    <mergeCell ref="T8:U8"/>
    <mergeCell ref="AA9:AA10"/>
    <mergeCell ref="AB9:AC9"/>
    <mergeCell ref="X9:X10"/>
    <mergeCell ref="Y9:Z9"/>
  </mergeCells>
  <pageMargins left="0.31496062992125984" right="0.11811023622047245" top="0.27559055118110237" bottom="0.23622047244094491" header="0.27559055118110237" footer="0.15748031496062992"/>
  <pageSetup paperSize="9" scale="47" fitToHeight="16" orientation="landscape" r:id="rId1"/>
  <headerFooter>
    <oddFooter>&amp;C&amp;P</oddFooter>
  </headerFooter>
  <colBreaks count="1" manualBreakCount="1">
    <brk id="15" min="4" max="222" man="1"/>
  </colBreaks>
</worksheet>
</file>

<file path=xl/worksheets/sheet53.xml><?xml version="1.0" encoding="utf-8"?>
<worksheet xmlns="http://schemas.openxmlformats.org/spreadsheetml/2006/main" xmlns:r="http://schemas.openxmlformats.org/officeDocument/2006/relationships">
  <dimension ref="H31:V31"/>
  <sheetViews>
    <sheetView topLeftCell="A16" workbookViewId="0">
      <selection activeCell="I31" sqref="I31:V31"/>
    </sheetView>
  </sheetViews>
  <sheetFormatPr defaultRowHeight="12.75"/>
  <sheetData>
    <row r="31" spans="8:22" ht="409.5">
      <c r="H31" s="1788" t="s">
        <v>748</v>
      </c>
      <c r="I31" s="1732" t="s">
        <v>1565</v>
      </c>
      <c r="J31" s="1796"/>
      <c r="K31" s="1669">
        <f>SUM(L31:M31)</f>
        <v>2550</v>
      </c>
      <c r="L31" s="701">
        <v>0</v>
      </c>
      <c r="M31" s="701">
        <v>2550</v>
      </c>
      <c r="N31" s="814">
        <f>SUM(O31:P31)</f>
        <v>2550</v>
      </c>
      <c r="O31" s="701">
        <v>0</v>
      </c>
      <c r="P31" s="701">
        <v>2550</v>
      </c>
      <c r="Q31" s="814">
        <f>SUM(R31:S31)</f>
        <v>0</v>
      </c>
      <c r="R31" s="1677"/>
      <c r="S31" s="1677"/>
      <c r="T31" s="746">
        <f>IF(Q31=0,0,Q31/N31*100)</f>
        <v>0</v>
      </c>
      <c r="U31" s="536">
        <f>IF(R31=0,0,R31/O31*100)</f>
        <v>0</v>
      </c>
      <c r="V31" s="536">
        <f>IF(S31=0,0,S31/P31*100)</f>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J75"/>
  <sheetViews>
    <sheetView view="pageBreakPreview" topLeftCell="A2" zoomScaleSheetLayoutView="100" workbookViewId="0">
      <selection activeCell="A5" sqref="A5:IV7"/>
    </sheetView>
  </sheetViews>
  <sheetFormatPr defaultColWidth="9.140625" defaultRowHeight="12.75"/>
  <cols>
    <col min="1" max="1" width="4.85546875" style="306" customWidth="1"/>
    <col min="2" max="2" width="83.85546875" style="238" customWidth="1"/>
    <col min="3" max="3" width="15.85546875" style="308" customWidth="1"/>
    <col min="4" max="5" width="15.85546875" style="238" customWidth="1"/>
    <col min="6" max="16384" width="9.140625" style="238"/>
  </cols>
  <sheetData>
    <row r="1" spans="1:8" hidden="1">
      <c r="A1" s="2297" t="s">
        <v>78</v>
      </c>
      <c r="B1" s="2297"/>
      <c r="C1" s="278"/>
    </row>
    <row r="2" spans="1:8">
      <c r="A2" s="318"/>
      <c r="B2" s="318"/>
      <c r="C2" s="318"/>
      <c r="E2" s="318" t="s">
        <v>242</v>
      </c>
    </row>
    <row r="3" spans="1:8" s="281" customFormat="1" ht="15">
      <c r="C3" s="282"/>
      <c r="D3" s="2301" t="s">
        <v>240</v>
      </c>
      <c r="E3" s="2301"/>
      <c r="G3" s="283"/>
      <c r="H3" s="283"/>
    </row>
    <row r="4" spans="1:8" s="281" customFormat="1">
      <c r="C4" s="282"/>
      <c r="D4" s="284"/>
      <c r="E4" s="284"/>
      <c r="G4" s="283"/>
      <c r="H4" s="283"/>
    </row>
    <row r="5" spans="1:8" s="281" customFormat="1">
      <c r="C5" s="282"/>
      <c r="D5" s="284"/>
      <c r="E5" s="284"/>
      <c r="G5" s="283"/>
      <c r="H5" s="283"/>
    </row>
    <row r="6" spans="1:8" s="281" customFormat="1">
      <c r="C6" s="282"/>
      <c r="D6" s="285"/>
      <c r="E6" s="287"/>
      <c r="G6" s="283"/>
      <c r="H6" s="283"/>
    </row>
    <row r="7" spans="1:8" s="281" customFormat="1" ht="14.25">
      <c r="A7" s="2300" t="s">
        <v>5</v>
      </c>
      <c r="B7" s="2300"/>
      <c r="C7" s="2300"/>
      <c r="D7" s="2300"/>
      <c r="E7" s="2300"/>
      <c r="G7" s="283"/>
      <c r="H7" s="283"/>
    </row>
    <row r="8" spans="1:8" s="281" customFormat="1" ht="15">
      <c r="A8" s="288"/>
      <c r="B8" s="288"/>
      <c r="C8" s="2302"/>
      <c r="D8" s="2302"/>
      <c r="E8" s="288"/>
      <c r="G8" s="283"/>
      <c r="H8" s="283"/>
    </row>
    <row r="9" spans="1:8" s="281" customFormat="1" ht="12.75" customHeight="1">
      <c r="A9" s="2300" t="s">
        <v>28</v>
      </c>
      <c r="B9" s="2300"/>
      <c r="C9" s="2300"/>
      <c r="D9" s="2300"/>
      <c r="E9" s="2300"/>
      <c r="G9" s="283"/>
      <c r="H9" s="283"/>
    </row>
    <row r="10" spans="1:8" s="281" customFormat="1" ht="14.25">
      <c r="A10" s="2300" t="s">
        <v>229</v>
      </c>
      <c r="B10" s="2300"/>
      <c r="C10" s="2300"/>
      <c r="D10" s="2300"/>
      <c r="E10" s="2300"/>
      <c r="G10" s="283"/>
      <c r="H10" s="283"/>
    </row>
    <row r="11" spans="1:8" s="281" customFormat="1">
      <c r="A11" s="286"/>
      <c r="B11" s="286"/>
      <c r="C11" s="286"/>
      <c r="D11" s="286"/>
      <c r="E11" s="286"/>
      <c r="G11" s="283"/>
      <c r="H11" s="283"/>
    </row>
    <row r="12" spans="1:8" s="281" customFormat="1" ht="15">
      <c r="A12" s="286"/>
      <c r="B12" s="286"/>
      <c r="C12" s="286"/>
      <c r="D12" s="286"/>
      <c r="E12" s="309" t="s">
        <v>230</v>
      </c>
      <c r="G12" s="283"/>
      <c r="H12" s="283"/>
    </row>
    <row r="13" spans="1:8" s="300" customFormat="1" ht="76.5" customHeight="1">
      <c r="A13" s="2304" t="s">
        <v>18</v>
      </c>
      <c r="B13" s="2290" t="s">
        <v>0</v>
      </c>
      <c r="C13" s="2306" t="s">
        <v>233</v>
      </c>
      <c r="D13" s="2306" t="s">
        <v>231</v>
      </c>
      <c r="E13" s="2306" t="s">
        <v>232</v>
      </c>
    </row>
    <row r="14" spans="1:8" s="300" customFormat="1" ht="37.5" customHeight="1">
      <c r="A14" s="2305"/>
      <c r="B14" s="2290"/>
      <c r="C14" s="2306"/>
      <c r="D14" s="2306"/>
      <c r="E14" s="2306"/>
    </row>
    <row r="15" spans="1:8">
      <c r="A15" s="179">
        <v>1</v>
      </c>
      <c r="B15" s="180">
        <v>2</v>
      </c>
      <c r="C15" s="263"/>
      <c r="D15" s="289"/>
      <c r="E15" s="289"/>
    </row>
    <row r="16" spans="1:8" s="293" customFormat="1" ht="30" customHeight="1">
      <c r="A16" s="290"/>
      <c r="B16" s="291" t="s">
        <v>10</v>
      </c>
      <c r="C16" s="264"/>
      <c r="D16" s="292"/>
      <c r="E16" s="292"/>
    </row>
    <row r="17" spans="1:5" ht="15.75">
      <c r="A17" s="294"/>
      <c r="B17" s="211" t="s">
        <v>1</v>
      </c>
      <c r="C17" s="265"/>
      <c r="D17" s="289"/>
      <c r="E17" s="289"/>
    </row>
    <row r="18" spans="1:5" ht="18" customHeight="1">
      <c r="A18" s="295"/>
      <c r="B18" s="188" t="s">
        <v>33</v>
      </c>
      <c r="C18" s="266"/>
      <c r="D18" s="289"/>
      <c r="E18" s="289"/>
    </row>
    <row r="19" spans="1:5" ht="16.5" customHeight="1">
      <c r="A19" s="294"/>
      <c r="B19" s="188" t="s">
        <v>34</v>
      </c>
      <c r="C19" s="266"/>
      <c r="D19" s="289"/>
      <c r="E19" s="289"/>
    </row>
    <row r="20" spans="1:5" s="297" customFormat="1" ht="35.25" customHeight="1">
      <c r="A20" s="2307" t="s">
        <v>228</v>
      </c>
      <c r="B20" s="2308"/>
      <c r="C20" s="267"/>
      <c r="D20" s="296"/>
      <c r="E20" s="296"/>
    </row>
    <row r="21" spans="1:5" ht="45" customHeight="1">
      <c r="A21" s="241" t="s">
        <v>6</v>
      </c>
      <c r="B21" s="247" t="s">
        <v>15</v>
      </c>
      <c r="C21" s="268"/>
      <c r="D21" s="298"/>
      <c r="E21" s="298"/>
    </row>
    <row r="22" spans="1:5" s="300" customFormat="1" ht="15.75" customHeight="1">
      <c r="A22" s="171" t="s">
        <v>30</v>
      </c>
      <c r="B22" s="215" t="s">
        <v>41</v>
      </c>
      <c r="C22" s="265"/>
      <c r="D22" s="299"/>
      <c r="E22" s="299"/>
    </row>
    <row r="23" spans="1:5" s="300" customFormat="1" ht="15.75">
      <c r="A23" s="274"/>
      <c r="B23" s="301" t="s">
        <v>1</v>
      </c>
      <c r="C23" s="24"/>
      <c r="D23" s="299"/>
      <c r="E23" s="299"/>
    </row>
    <row r="24" spans="1:5" s="300" customFormat="1" ht="15.75">
      <c r="A24" s="274"/>
      <c r="B24" s="275" t="s">
        <v>33</v>
      </c>
      <c r="C24" s="52"/>
      <c r="D24" s="299"/>
      <c r="E24" s="299"/>
    </row>
    <row r="25" spans="1:5" s="300" customFormat="1" ht="15.75">
      <c r="A25" s="274"/>
      <c r="B25" s="275" t="s">
        <v>34</v>
      </c>
      <c r="C25" s="52"/>
      <c r="D25" s="299"/>
      <c r="E25" s="299"/>
    </row>
    <row r="26" spans="1:5" s="303" customFormat="1" ht="15.75">
      <c r="A26" s="260" t="s">
        <v>50</v>
      </c>
      <c r="B26" s="261"/>
      <c r="C26" s="24"/>
      <c r="D26" s="302"/>
      <c r="E26" s="302"/>
    </row>
    <row r="27" spans="1:5" s="300" customFormat="1" ht="15.75">
      <c r="A27" s="274"/>
      <c r="B27" s="301" t="s">
        <v>1</v>
      </c>
      <c r="C27" s="24"/>
      <c r="D27" s="299"/>
      <c r="E27" s="299"/>
    </row>
    <row r="28" spans="1:5" s="300" customFormat="1" ht="15.75">
      <c r="A28" s="274"/>
      <c r="B28" s="277" t="s">
        <v>33</v>
      </c>
      <c r="C28" s="52"/>
      <c r="D28" s="299"/>
      <c r="E28" s="299"/>
    </row>
    <row r="29" spans="1:5" s="300" customFormat="1" ht="15.75">
      <c r="A29" s="274"/>
      <c r="B29" s="277" t="s">
        <v>34</v>
      </c>
      <c r="C29" s="52"/>
      <c r="D29" s="299"/>
      <c r="E29" s="299"/>
    </row>
    <row r="30" spans="1:5" s="303" customFormat="1" ht="15.75">
      <c r="A30" s="260" t="s">
        <v>4</v>
      </c>
      <c r="B30" s="262" t="s">
        <v>227</v>
      </c>
      <c r="C30" s="24"/>
      <c r="D30" s="302"/>
      <c r="E30" s="302"/>
    </row>
    <row r="31" spans="1:5" s="300" customFormat="1" ht="15.75">
      <c r="A31" s="171" t="s">
        <v>31</v>
      </c>
      <c r="B31" s="215" t="s">
        <v>39</v>
      </c>
      <c r="C31" s="265"/>
      <c r="D31" s="299"/>
      <c r="E31" s="299"/>
    </row>
    <row r="32" spans="1:5" s="303" customFormat="1" ht="15.75">
      <c r="A32" s="260" t="s">
        <v>50</v>
      </c>
      <c r="B32" s="261"/>
      <c r="C32" s="24"/>
      <c r="D32" s="302"/>
      <c r="E32" s="302"/>
    </row>
    <row r="33" spans="1:5" s="303" customFormat="1" ht="15.75">
      <c r="A33" s="260" t="s">
        <v>4</v>
      </c>
      <c r="B33" s="262"/>
      <c r="C33" s="24"/>
      <c r="D33" s="302"/>
      <c r="E33" s="302"/>
    </row>
    <row r="34" spans="1:5" s="300" customFormat="1" ht="33.75" customHeight="1">
      <c r="A34" s="245" t="s">
        <v>2</v>
      </c>
      <c r="B34" s="247" t="s">
        <v>221</v>
      </c>
      <c r="C34" s="268"/>
      <c r="D34" s="304"/>
      <c r="E34" s="304"/>
    </row>
    <row r="35" spans="1:5" s="300" customFormat="1" ht="15.75" customHeight="1">
      <c r="A35" s="171" t="s">
        <v>37</v>
      </c>
      <c r="B35" s="215" t="s">
        <v>41</v>
      </c>
      <c r="C35" s="265"/>
      <c r="D35" s="299"/>
      <c r="E35" s="299"/>
    </row>
    <row r="36" spans="1:5" s="300" customFormat="1" ht="15.75">
      <c r="A36" s="274"/>
      <c r="B36" s="301" t="s">
        <v>1</v>
      </c>
      <c r="C36" s="24"/>
      <c r="D36" s="299"/>
      <c r="E36" s="299"/>
    </row>
    <row r="37" spans="1:5" s="300" customFormat="1" ht="15.75">
      <c r="A37" s="274"/>
      <c r="B37" s="275" t="s">
        <v>33</v>
      </c>
      <c r="C37" s="52"/>
      <c r="D37" s="299"/>
      <c r="E37" s="299"/>
    </row>
    <row r="38" spans="1:5" s="300" customFormat="1" ht="15.75">
      <c r="A38" s="274"/>
      <c r="B38" s="275" t="s">
        <v>34</v>
      </c>
      <c r="C38" s="52"/>
      <c r="D38" s="299"/>
      <c r="E38" s="299"/>
    </row>
    <row r="39" spans="1:5" s="303" customFormat="1" ht="15.75">
      <c r="A39" s="260" t="s">
        <v>50</v>
      </c>
      <c r="B39" s="261"/>
      <c r="C39" s="24"/>
      <c r="D39" s="302"/>
      <c r="E39" s="302"/>
    </row>
    <row r="40" spans="1:5" s="300" customFormat="1" ht="15.75">
      <c r="A40" s="274"/>
      <c r="B40" s="301" t="s">
        <v>1</v>
      </c>
      <c r="C40" s="24"/>
      <c r="D40" s="299"/>
      <c r="E40" s="299"/>
    </row>
    <row r="41" spans="1:5" s="300" customFormat="1" ht="15.75">
      <c r="A41" s="274"/>
      <c r="B41" s="277" t="s">
        <v>33</v>
      </c>
      <c r="C41" s="52"/>
      <c r="D41" s="299"/>
      <c r="E41" s="299"/>
    </row>
    <row r="42" spans="1:5" s="300" customFormat="1" ht="15.75">
      <c r="A42" s="274"/>
      <c r="B42" s="277" t="s">
        <v>34</v>
      </c>
      <c r="C42" s="52"/>
      <c r="D42" s="299"/>
      <c r="E42" s="299"/>
    </row>
    <row r="43" spans="1:5" s="303" customFormat="1" ht="15.75">
      <c r="A43" s="260" t="s">
        <v>4</v>
      </c>
      <c r="B43" s="262" t="s">
        <v>227</v>
      </c>
      <c r="C43" s="24"/>
      <c r="D43" s="302"/>
      <c r="E43" s="302"/>
    </row>
    <row r="44" spans="1:5" s="300" customFormat="1" ht="15.75">
      <c r="A44" s="171" t="s">
        <v>38</v>
      </c>
      <c r="B44" s="215" t="s">
        <v>39</v>
      </c>
      <c r="C44" s="265"/>
      <c r="D44" s="299"/>
      <c r="E44" s="299"/>
    </row>
    <row r="45" spans="1:5" s="303" customFormat="1" ht="15.75">
      <c r="A45" s="260" t="s">
        <v>50</v>
      </c>
      <c r="B45" s="261"/>
      <c r="C45" s="24"/>
      <c r="D45" s="302"/>
      <c r="E45" s="302"/>
    </row>
    <row r="46" spans="1:5" s="303" customFormat="1" ht="15.75">
      <c r="A46" s="260" t="s">
        <v>4</v>
      </c>
      <c r="B46" s="262"/>
      <c r="C46" s="24"/>
      <c r="D46" s="302"/>
      <c r="E46" s="302"/>
    </row>
    <row r="47" spans="1:5" s="300" customFormat="1" ht="28.5">
      <c r="A47" s="245" t="s">
        <v>3</v>
      </c>
      <c r="B47" s="247" t="s">
        <v>222</v>
      </c>
      <c r="C47" s="268"/>
      <c r="D47" s="304"/>
      <c r="E47" s="304"/>
    </row>
    <row r="48" spans="1:5" s="300" customFormat="1" ht="15.75" customHeight="1">
      <c r="A48" s="171" t="s">
        <v>42</v>
      </c>
      <c r="B48" s="215" t="s">
        <v>41</v>
      </c>
      <c r="C48" s="265"/>
      <c r="D48" s="299"/>
      <c r="E48" s="299"/>
    </row>
    <row r="49" spans="1:10" s="300" customFormat="1" ht="15.75">
      <c r="A49" s="274"/>
      <c r="B49" s="301" t="s">
        <v>1</v>
      </c>
      <c r="C49" s="24"/>
      <c r="D49" s="299"/>
      <c r="E49" s="299"/>
    </row>
    <row r="50" spans="1:10" s="300" customFormat="1" ht="15.75">
      <c r="A50" s="274"/>
      <c r="B50" s="275" t="s">
        <v>33</v>
      </c>
      <c r="C50" s="52"/>
      <c r="D50" s="299"/>
      <c r="E50" s="299"/>
    </row>
    <row r="51" spans="1:10" s="300" customFormat="1" ht="15.75">
      <c r="A51" s="274"/>
      <c r="B51" s="275" t="s">
        <v>34</v>
      </c>
      <c r="C51" s="52"/>
      <c r="D51" s="299"/>
      <c r="E51" s="299"/>
    </row>
    <row r="52" spans="1:10" s="303" customFormat="1" ht="15.75">
      <c r="A52" s="260" t="s">
        <v>50</v>
      </c>
      <c r="B52" s="261"/>
      <c r="C52" s="24"/>
      <c r="D52" s="302"/>
      <c r="E52" s="302"/>
    </row>
    <row r="53" spans="1:10" s="300" customFormat="1" ht="15.75">
      <c r="A53" s="274"/>
      <c r="B53" s="301" t="s">
        <v>1</v>
      </c>
      <c r="C53" s="24"/>
      <c r="D53" s="299"/>
      <c r="E53" s="299"/>
    </row>
    <row r="54" spans="1:10" s="300" customFormat="1" ht="15.75">
      <c r="A54" s="274"/>
      <c r="B54" s="277" t="s">
        <v>33</v>
      </c>
      <c r="C54" s="52"/>
      <c r="D54" s="299"/>
      <c r="E54" s="299"/>
    </row>
    <row r="55" spans="1:10" s="300" customFormat="1" ht="15.75">
      <c r="A55" s="274"/>
      <c r="B55" s="277" t="s">
        <v>34</v>
      </c>
      <c r="C55" s="52"/>
      <c r="D55" s="299"/>
      <c r="E55" s="299"/>
    </row>
    <row r="56" spans="1:10" s="303" customFormat="1" ht="15.75">
      <c r="A56" s="260" t="s">
        <v>4</v>
      </c>
      <c r="B56" s="262" t="s">
        <v>227</v>
      </c>
      <c r="C56" s="24"/>
      <c r="D56" s="302"/>
      <c r="E56" s="302"/>
    </row>
    <row r="57" spans="1:10" s="300" customFormat="1" ht="15.75">
      <c r="A57" s="171" t="s">
        <v>142</v>
      </c>
      <c r="B57" s="215" t="s">
        <v>39</v>
      </c>
      <c r="C57" s="265"/>
      <c r="D57" s="299"/>
      <c r="E57" s="299"/>
    </row>
    <row r="58" spans="1:10" s="303" customFormat="1" ht="15.75">
      <c r="A58" s="260" t="s">
        <v>50</v>
      </c>
      <c r="B58" s="261"/>
      <c r="C58" s="24"/>
      <c r="D58" s="302"/>
      <c r="E58" s="302"/>
    </row>
    <row r="59" spans="1:10" s="303" customFormat="1" ht="15.75">
      <c r="A59" s="260" t="s">
        <v>4</v>
      </c>
      <c r="B59" s="262"/>
      <c r="C59" s="24"/>
      <c r="D59" s="302"/>
      <c r="E59" s="302"/>
    </row>
    <row r="60" spans="1:10" s="300" customFormat="1" ht="21" customHeight="1">
      <c r="A60" s="224"/>
      <c r="B60" s="225"/>
      <c r="C60" s="269"/>
    </row>
    <row r="61" spans="1:10" s="281" customFormat="1" ht="15" customHeight="1">
      <c r="A61" s="310"/>
      <c r="B61" s="315" t="s">
        <v>85</v>
      </c>
      <c r="C61" s="310"/>
      <c r="D61" s="310"/>
      <c r="E61" s="310"/>
      <c r="F61" s="310"/>
      <c r="G61" s="310"/>
      <c r="H61" s="311"/>
      <c r="I61" s="283"/>
      <c r="J61" s="283"/>
    </row>
    <row r="62" spans="1:10" s="281" customFormat="1" ht="15" customHeight="1">
      <c r="A62" s="310"/>
      <c r="B62" s="315"/>
      <c r="C62" s="310"/>
      <c r="D62" s="2303"/>
      <c r="E62" s="2303"/>
      <c r="F62" s="2303"/>
      <c r="G62" s="2303"/>
      <c r="H62" s="311"/>
      <c r="I62" s="283"/>
      <c r="J62" s="283"/>
    </row>
    <row r="63" spans="1:10" s="281" customFormat="1" ht="15" customHeight="1">
      <c r="B63" s="316" t="s">
        <v>234</v>
      </c>
      <c r="C63" s="312"/>
      <c r="D63" s="285"/>
      <c r="E63" s="313"/>
      <c r="F63" s="314"/>
      <c r="G63" s="313"/>
      <c r="H63" s="311"/>
      <c r="I63" s="283"/>
      <c r="J63" s="283"/>
    </row>
    <row r="64" spans="1:10" s="300" customFormat="1" ht="15.75" customHeight="1">
      <c r="A64" s="173"/>
      <c r="B64" s="317"/>
      <c r="C64" s="305"/>
    </row>
    <row r="65" spans="1:3" s="300" customFormat="1" ht="15.75" customHeight="1">
      <c r="A65" s="173"/>
      <c r="B65" s="279"/>
      <c r="C65" s="305"/>
    </row>
    <row r="66" spans="1:3" ht="15" customHeight="1">
      <c r="A66" s="173"/>
      <c r="B66" s="279"/>
      <c r="C66" s="270"/>
    </row>
    <row r="67" spans="1:3" ht="24.75" customHeight="1">
      <c r="A67" s="173"/>
      <c r="B67" s="273"/>
      <c r="C67" s="276"/>
    </row>
    <row r="68" spans="1:3" ht="16.5" hidden="1" customHeight="1">
      <c r="B68" s="280"/>
      <c r="C68" s="280"/>
    </row>
    <row r="69" spans="1:3" ht="18.75" hidden="1">
      <c r="B69" s="280"/>
      <c r="C69" s="272"/>
    </row>
    <row r="70" spans="1:3" ht="15.75" customHeight="1">
      <c r="A70" s="307"/>
      <c r="B70" s="280"/>
      <c r="C70" s="276"/>
    </row>
    <row r="71" spans="1:3" ht="30.75" customHeight="1">
      <c r="B71" s="235"/>
      <c r="C71" s="271"/>
    </row>
    <row r="72" spans="1:3" ht="14.25" customHeight="1">
      <c r="B72" s="235"/>
      <c r="C72" s="271"/>
    </row>
    <row r="73" spans="1:3" ht="14.25" customHeight="1">
      <c r="B73" s="235"/>
      <c r="C73" s="271"/>
    </row>
    <row r="75" spans="1:3" hidden="1">
      <c r="B75" s="238" t="s">
        <v>60</v>
      </c>
    </row>
  </sheetData>
  <mergeCells count="13">
    <mergeCell ref="D62:G62"/>
    <mergeCell ref="A13:A14"/>
    <mergeCell ref="B13:B14"/>
    <mergeCell ref="C13:C14"/>
    <mergeCell ref="D13:D14"/>
    <mergeCell ref="E13:E14"/>
    <mergeCell ref="A20:B20"/>
    <mergeCell ref="A10:E10"/>
    <mergeCell ref="A1:B1"/>
    <mergeCell ref="D3:E3"/>
    <mergeCell ref="A7:E7"/>
    <mergeCell ref="C8:D8"/>
    <mergeCell ref="A9:E9"/>
  </mergeCells>
  <pageMargins left="0.55118110236220474" right="0.32" top="0.23622047244094491" bottom="0.23622047244094491" header="0" footer="0"/>
  <pageSetup paperSize="9" scale="70" fitToHeight="3" orientation="portrait" r:id="rId1"/>
  <headerFooter alignWithMargins="0"/>
  <customProperties>
    <customPr name="krista_fm_consts" r:id="rId2"/>
  </customProperties>
</worksheet>
</file>

<file path=xl/worksheets/sheet7.xml><?xml version="1.0" encoding="utf-8"?>
<worksheet xmlns="http://schemas.openxmlformats.org/spreadsheetml/2006/main" xmlns:r="http://schemas.openxmlformats.org/officeDocument/2006/relationships">
  <sheetPr>
    <pageSetUpPr fitToPage="1"/>
  </sheetPr>
  <dimension ref="A1:K111"/>
  <sheetViews>
    <sheetView topLeftCell="A2" zoomScaleSheetLayoutView="100" workbookViewId="0">
      <selection activeCell="A5" sqref="A5:IV7"/>
    </sheetView>
  </sheetViews>
  <sheetFormatPr defaultColWidth="9.140625" defaultRowHeight="15.75"/>
  <cols>
    <col min="1" max="1" width="6.140625" style="365" customWidth="1"/>
    <col min="2" max="2" width="98.85546875" style="297" customWidth="1"/>
    <col min="3" max="3" width="15.85546875" style="361" customWidth="1"/>
    <col min="4" max="6" width="15.85546875" style="297" customWidth="1"/>
    <col min="7" max="16384" width="9.140625" style="297"/>
  </cols>
  <sheetData>
    <row r="1" spans="1:9" hidden="1">
      <c r="A1" s="2317" t="s">
        <v>78</v>
      </c>
      <c r="B1" s="2317"/>
      <c r="C1" s="320"/>
    </row>
    <row r="2" spans="1:9">
      <c r="A2" s="320"/>
      <c r="B2" s="320"/>
      <c r="C2" s="320"/>
      <c r="F2" s="320" t="s">
        <v>243</v>
      </c>
    </row>
    <row r="3" spans="1:9" s="321" customFormat="1">
      <c r="C3" s="322"/>
      <c r="D3" s="322"/>
      <c r="E3" s="2318" t="s">
        <v>239</v>
      </c>
      <c r="F3" s="2318"/>
      <c r="H3" s="324"/>
      <c r="I3" s="324"/>
    </row>
    <row r="4" spans="1:9" s="321" customFormat="1">
      <c r="C4" s="322"/>
      <c r="D4" s="323"/>
      <c r="E4" s="323"/>
      <c r="F4" s="323"/>
      <c r="H4" s="324"/>
      <c r="I4" s="324"/>
    </row>
    <row r="5" spans="1:9" s="321" customFormat="1">
      <c r="C5" s="322"/>
      <c r="D5" s="323"/>
      <c r="E5" s="323"/>
      <c r="F5" s="323"/>
      <c r="H5" s="324"/>
      <c r="I5" s="324"/>
    </row>
    <row r="6" spans="1:9" s="321" customFormat="1">
      <c r="C6" s="322"/>
      <c r="D6" s="325"/>
      <c r="E6" s="325"/>
      <c r="F6" s="326"/>
      <c r="H6" s="324"/>
      <c r="I6" s="324"/>
    </row>
    <row r="7" spans="1:9" s="321" customFormat="1">
      <c r="A7" s="2309" t="s">
        <v>5</v>
      </c>
      <c r="B7" s="2309"/>
      <c r="C7" s="2309"/>
      <c r="D7" s="2309"/>
      <c r="E7" s="2309"/>
      <c r="F7" s="2309"/>
      <c r="H7" s="324"/>
      <c r="I7" s="324"/>
    </row>
    <row r="8" spans="1:9" s="321" customFormat="1">
      <c r="C8" s="2319"/>
      <c r="D8" s="2319"/>
      <c r="E8" s="2319"/>
      <c r="H8" s="324"/>
      <c r="I8" s="324"/>
    </row>
    <row r="9" spans="1:9" s="321" customFormat="1" ht="12.75" customHeight="1">
      <c r="A9" s="2309" t="s">
        <v>236</v>
      </c>
      <c r="B9" s="2309"/>
      <c r="C9" s="2309"/>
      <c r="D9" s="2309"/>
      <c r="E9" s="2309"/>
      <c r="F9" s="2309"/>
      <c r="H9" s="324"/>
      <c r="I9" s="324"/>
    </row>
    <row r="10" spans="1:9" s="321" customFormat="1">
      <c r="A10" s="2309" t="s">
        <v>229</v>
      </c>
      <c r="B10" s="2309"/>
      <c r="C10" s="2309"/>
      <c r="D10" s="2309"/>
      <c r="E10" s="2309"/>
      <c r="F10" s="2309"/>
      <c r="H10" s="324"/>
      <c r="I10" s="324"/>
    </row>
    <row r="11" spans="1:9" s="321" customFormat="1">
      <c r="A11" s="327"/>
      <c r="B11" s="327"/>
      <c r="C11" s="327"/>
      <c r="D11" s="327"/>
      <c r="E11" s="327"/>
      <c r="F11" s="327"/>
      <c r="H11" s="324"/>
      <c r="I11" s="324"/>
    </row>
    <row r="12" spans="1:9" s="321" customFormat="1">
      <c r="A12" s="327"/>
      <c r="B12" s="327"/>
      <c r="C12" s="327"/>
      <c r="D12" s="327"/>
      <c r="E12" s="327"/>
      <c r="F12" s="327" t="s">
        <v>230</v>
      </c>
      <c r="H12" s="324"/>
      <c r="I12" s="324"/>
    </row>
    <row r="13" spans="1:9" ht="76.5" customHeight="1">
      <c r="A13" s="2313" t="s">
        <v>18</v>
      </c>
      <c r="B13" s="2315" t="s">
        <v>0</v>
      </c>
      <c r="C13" s="2316" t="s">
        <v>233</v>
      </c>
      <c r="D13" s="2316" t="s">
        <v>235</v>
      </c>
      <c r="E13" s="2316" t="s">
        <v>237</v>
      </c>
      <c r="F13" s="2316" t="s">
        <v>238</v>
      </c>
    </row>
    <row r="14" spans="1:9" ht="37.5" customHeight="1">
      <c r="A14" s="2314"/>
      <c r="B14" s="2315"/>
      <c r="C14" s="2316"/>
      <c r="D14" s="2316"/>
      <c r="E14" s="2316"/>
      <c r="F14" s="2316"/>
    </row>
    <row r="15" spans="1:9" ht="18.75">
      <c r="A15" s="328">
        <v>1</v>
      </c>
      <c r="B15" s="372">
        <v>2</v>
      </c>
      <c r="C15" s="329">
        <v>3</v>
      </c>
      <c r="D15" s="371">
        <v>4</v>
      </c>
      <c r="E15" s="371">
        <v>5</v>
      </c>
      <c r="F15" s="371">
        <v>6</v>
      </c>
    </row>
    <row r="16" spans="1:9" s="333" customFormat="1" ht="30" customHeight="1">
      <c r="A16" s="331"/>
      <c r="B16" s="373" t="s">
        <v>10</v>
      </c>
      <c r="C16" s="267"/>
      <c r="D16" s="332"/>
      <c r="E16" s="332"/>
      <c r="F16" s="332"/>
    </row>
    <row r="17" spans="1:6">
      <c r="A17" s="294"/>
      <c r="B17" s="294" t="s">
        <v>1</v>
      </c>
      <c r="C17" s="265"/>
      <c r="D17" s="330"/>
      <c r="E17" s="330"/>
      <c r="F17" s="330"/>
    </row>
    <row r="18" spans="1:6" ht="18" customHeight="1">
      <c r="A18" s="295"/>
      <c r="B18" s="334" t="s">
        <v>33</v>
      </c>
      <c r="C18" s="266"/>
      <c r="D18" s="330"/>
      <c r="E18" s="330"/>
      <c r="F18" s="330"/>
    </row>
    <row r="19" spans="1:6" ht="16.5" customHeight="1">
      <c r="A19" s="294"/>
      <c r="B19" s="334" t="s">
        <v>34</v>
      </c>
      <c r="C19" s="266"/>
      <c r="D19" s="330"/>
      <c r="E19" s="330"/>
      <c r="F19" s="330"/>
    </row>
    <row r="20" spans="1:6" s="376" customFormat="1" ht="35.25" customHeight="1">
      <c r="A20" s="2310" t="s">
        <v>256</v>
      </c>
      <c r="B20" s="2311"/>
      <c r="C20" s="374"/>
      <c r="D20" s="375"/>
      <c r="E20" s="375"/>
      <c r="F20" s="375"/>
    </row>
    <row r="21" spans="1:6">
      <c r="A21" s="294"/>
      <c r="B21" s="294" t="s">
        <v>1</v>
      </c>
      <c r="C21" s="265"/>
      <c r="D21" s="330"/>
      <c r="E21" s="330"/>
      <c r="F21" s="330"/>
    </row>
    <row r="22" spans="1:6" ht="18" customHeight="1">
      <c r="A22" s="295"/>
      <c r="B22" s="334" t="s">
        <v>33</v>
      </c>
      <c r="C22" s="266"/>
      <c r="D22" s="330"/>
      <c r="E22" s="330"/>
      <c r="F22" s="330"/>
    </row>
    <row r="23" spans="1:6" ht="16.5" customHeight="1">
      <c r="A23" s="294"/>
      <c r="B23" s="334" t="s">
        <v>34</v>
      </c>
      <c r="C23" s="266"/>
      <c r="D23" s="330"/>
      <c r="E23" s="330"/>
      <c r="F23" s="330"/>
    </row>
    <row r="24" spans="1:6" ht="54.75" customHeight="1">
      <c r="A24" s="335" t="s">
        <v>6</v>
      </c>
      <c r="B24" s="319" t="s">
        <v>244</v>
      </c>
      <c r="C24" s="268"/>
      <c r="D24" s="336"/>
      <c r="E24" s="336"/>
      <c r="F24" s="336"/>
    </row>
    <row r="25" spans="1:6">
      <c r="A25" s="294"/>
      <c r="B25" s="294" t="s">
        <v>1</v>
      </c>
      <c r="C25" s="265"/>
      <c r="D25" s="330"/>
      <c r="E25" s="330"/>
      <c r="F25" s="330"/>
    </row>
    <row r="26" spans="1:6" ht="18" customHeight="1">
      <c r="A26" s="295"/>
      <c r="B26" s="334" t="s">
        <v>33</v>
      </c>
      <c r="C26" s="266"/>
      <c r="D26" s="330"/>
      <c r="E26" s="330"/>
      <c r="F26" s="330"/>
    </row>
    <row r="27" spans="1:6" ht="16.5" customHeight="1">
      <c r="A27" s="294"/>
      <c r="B27" s="334" t="s">
        <v>34</v>
      </c>
      <c r="C27" s="266"/>
      <c r="D27" s="330"/>
      <c r="E27" s="330"/>
      <c r="F27" s="330"/>
    </row>
    <row r="28" spans="1:6" ht="15.75" customHeight="1">
      <c r="A28" s="337" t="s">
        <v>30</v>
      </c>
      <c r="B28" s="338" t="s">
        <v>41</v>
      </c>
      <c r="C28" s="265"/>
      <c r="D28" s="330"/>
      <c r="E28" s="330"/>
      <c r="F28" s="330"/>
    </row>
    <row r="29" spans="1:6">
      <c r="A29" s="339"/>
      <c r="B29" s="340" t="s">
        <v>1</v>
      </c>
      <c r="C29" s="24"/>
      <c r="D29" s="330"/>
      <c r="E29" s="330"/>
      <c r="F29" s="330"/>
    </row>
    <row r="30" spans="1:6">
      <c r="A30" s="339"/>
      <c r="B30" s="341" t="s">
        <v>33</v>
      </c>
      <c r="C30" s="52"/>
      <c r="D30" s="330"/>
      <c r="E30" s="330"/>
      <c r="F30" s="330"/>
    </row>
    <row r="31" spans="1:6">
      <c r="A31" s="339"/>
      <c r="B31" s="341" t="s">
        <v>34</v>
      </c>
      <c r="C31" s="52"/>
      <c r="D31" s="330"/>
      <c r="E31" s="330"/>
      <c r="F31" s="330"/>
    </row>
    <row r="32" spans="1:6" s="345" customFormat="1">
      <c r="A32" s="342" t="s">
        <v>50</v>
      </c>
      <c r="B32" s="343"/>
      <c r="C32" s="24"/>
      <c r="D32" s="344"/>
      <c r="E32" s="344"/>
      <c r="F32" s="344"/>
    </row>
    <row r="33" spans="1:6">
      <c r="A33" s="339"/>
      <c r="B33" s="340" t="s">
        <v>1</v>
      </c>
      <c r="C33" s="24"/>
      <c r="D33" s="330"/>
      <c r="E33" s="330"/>
      <c r="F33" s="330"/>
    </row>
    <row r="34" spans="1:6">
      <c r="A34" s="339"/>
      <c r="B34" s="346" t="s">
        <v>33</v>
      </c>
      <c r="C34" s="52"/>
      <c r="D34" s="330"/>
      <c r="E34" s="330"/>
      <c r="F34" s="330"/>
    </row>
    <row r="35" spans="1:6">
      <c r="A35" s="339"/>
      <c r="B35" s="346" t="s">
        <v>34</v>
      </c>
      <c r="C35" s="52"/>
      <c r="D35" s="330"/>
      <c r="E35" s="330"/>
      <c r="F35" s="330"/>
    </row>
    <row r="36" spans="1:6" s="345" customFormat="1">
      <c r="A36" s="342" t="s">
        <v>4</v>
      </c>
      <c r="B36" s="347" t="s">
        <v>227</v>
      </c>
      <c r="C36" s="24"/>
      <c r="D36" s="344"/>
      <c r="E36" s="344"/>
      <c r="F36" s="344"/>
    </row>
    <row r="37" spans="1:6">
      <c r="A37" s="337" t="s">
        <v>31</v>
      </c>
      <c r="B37" s="338" t="s">
        <v>39</v>
      </c>
      <c r="C37" s="265"/>
      <c r="D37" s="330"/>
      <c r="E37" s="330"/>
      <c r="F37" s="330"/>
    </row>
    <row r="38" spans="1:6" s="345" customFormat="1">
      <c r="A38" s="342" t="s">
        <v>50</v>
      </c>
      <c r="B38" s="343"/>
      <c r="C38" s="24"/>
      <c r="D38" s="344"/>
      <c r="E38" s="344"/>
      <c r="F38" s="344"/>
    </row>
    <row r="39" spans="1:6" s="345" customFormat="1">
      <c r="A39" s="342" t="s">
        <v>4</v>
      </c>
      <c r="B39" s="347"/>
      <c r="C39" s="24"/>
      <c r="D39" s="344"/>
      <c r="E39" s="344"/>
      <c r="F39" s="344"/>
    </row>
    <row r="40" spans="1:6" ht="31.5">
      <c r="A40" s="348" t="s">
        <v>2</v>
      </c>
      <c r="B40" s="349" t="s">
        <v>221</v>
      </c>
      <c r="C40" s="268"/>
      <c r="D40" s="336"/>
      <c r="E40" s="336"/>
      <c r="F40" s="336"/>
    </row>
    <row r="41" spans="1:6">
      <c r="A41" s="294"/>
      <c r="B41" s="294" t="s">
        <v>1</v>
      </c>
      <c r="C41" s="265"/>
      <c r="D41" s="330"/>
      <c r="E41" s="330"/>
      <c r="F41" s="330"/>
    </row>
    <row r="42" spans="1:6" ht="18" customHeight="1">
      <c r="A42" s="295"/>
      <c r="B42" s="334" t="s">
        <v>33</v>
      </c>
      <c r="C42" s="266"/>
      <c r="D42" s="330"/>
      <c r="E42" s="330"/>
      <c r="F42" s="330"/>
    </row>
    <row r="43" spans="1:6" ht="16.5" customHeight="1">
      <c r="A43" s="294"/>
      <c r="B43" s="334" t="s">
        <v>34</v>
      </c>
      <c r="C43" s="266"/>
      <c r="D43" s="330"/>
      <c r="E43" s="330"/>
      <c r="F43" s="330"/>
    </row>
    <row r="44" spans="1:6" ht="51" customHeight="1">
      <c r="A44" s="348" t="s">
        <v>246</v>
      </c>
      <c r="B44" s="319" t="s">
        <v>245</v>
      </c>
      <c r="C44" s="268"/>
      <c r="D44" s="336"/>
      <c r="E44" s="336"/>
      <c r="F44" s="336"/>
    </row>
    <row r="45" spans="1:6">
      <c r="A45" s="294"/>
      <c r="B45" s="294" t="s">
        <v>1</v>
      </c>
      <c r="C45" s="265"/>
      <c r="D45" s="330"/>
      <c r="E45" s="330"/>
      <c r="F45" s="330"/>
    </row>
    <row r="46" spans="1:6" ht="18" customHeight="1">
      <c r="A46" s="295"/>
      <c r="B46" s="334" t="s">
        <v>33</v>
      </c>
      <c r="C46" s="266"/>
      <c r="D46" s="330"/>
      <c r="E46" s="330"/>
      <c r="F46" s="330"/>
    </row>
    <row r="47" spans="1:6" ht="16.5" customHeight="1">
      <c r="A47" s="294"/>
      <c r="B47" s="334" t="s">
        <v>34</v>
      </c>
      <c r="C47" s="266"/>
      <c r="D47" s="330"/>
      <c r="E47" s="330"/>
      <c r="F47" s="330"/>
    </row>
    <row r="48" spans="1:6" ht="15.75" customHeight="1">
      <c r="A48" s="337" t="s">
        <v>247</v>
      </c>
      <c r="B48" s="338" t="s">
        <v>41</v>
      </c>
      <c r="C48" s="265"/>
      <c r="D48" s="330"/>
      <c r="E48" s="330"/>
      <c r="F48" s="330"/>
    </row>
    <row r="49" spans="1:6">
      <c r="A49" s="339"/>
      <c r="B49" s="340" t="s">
        <v>1</v>
      </c>
      <c r="C49" s="24"/>
      <c r="D49" s="330"/>
      <c r="E49" s="330"/>
      <c r="F49" s="330"/>
    </row>
    <row r="50" spans="1:6">
      <c r="A50" s="339"/>
      <c r="B50" s="341" t="s">
        <v>33</v>
      </c>
      <c r="C50" s="52"/>
      <c r="D50" s="330"/>
      <c r="E50" s="330"/>
      <c r="F50" s="330"/>
    </row>
    <row r="51" spans="1:6">
      <c r="A51" s="339"/>
      <c r="B51" s="341" t="s">
        <v>34</v>
      </c>
      <c r="C51" s="52"/>
      <c r="D51" s="330"/>
      <c r="E51" s="330"/>
      <c r="F51" s="330"/>
    </row>
    <row r="52" spans="1:6" s="345" customFormat="1">
      <c r="A52" s="342" t="s">
        <v>50</v>
      </c>
      <c r="B52" s="343"/>
      <c r="C52" s="24"/>
      <c r="D52" s="344"/>
      <c r="E52" s="344"/>
      <c r="F52" s="344"/>
    </row>
    <row r="53" spans="1:6">
      <c r="A53" s="339"/>
      <c r="B53" s="340" t="s">
        <v>1</v>
      </c>
      <c r="C53" s="24"/>
      <c r="D53" s="330"/>
      <c r="E53" s="330"/>
      <c r="F53" s="330"/>
    </row>
    <row r="54" spans="1:6">
      <c r="A54" s="339"/>
      <c r="B54" s="346" t="s">
        <v>33</v>
      </c>
      <c r="C54" s="52"/>
      <c r="D54" s="330"/>
      <c r="E54" s="330"/>
      <c r="F54" s="330"/>
    </row>
    <row r="55" spans="1:6">
      <c r="A55" s="339"/>
      <c r="B55" s="346" t="s">
        <v>34</v>
      </c>
      <c r="C55" s="52"/>
      <c r="D55" s="330"/>
      <c r="E55" s="330"/>
      <c r="F55" s="330"/>
    </row>
    <row r="56" spans="1:6" s="345" customFormat="1">
      <c r="A56" s="342" t="s">
        <v>4</v>
      </c>
      <c r="B56" s="347" t="s">
        <v>227</v>
      </c>
      <c r="C56" s="24"/>
      <c r="D56" s="344"/>
      <c r="E56" s="344"/>
      <c r="F56" s="344"/>
    </row>
    <row r="57" spans="1:6" ht="31.5">
      <c r="A57" s="337" t="s">
        <v>248</v>
      </c>
      <c r="B57" s="338" t="s">
        <v>39</v>
      </c>
      <c r="C57" s="265"/>
      <c r="D57" s="330"/>
      <c r="E57" s="330"/>
      <c r="F57" s="330"/>
    </row>
    <row r="58" spans="1:6" s="345" customFormat="1">
      <c r="A58" s="342" t="s">
        <v>50</v>
      </c>
      <c r="B58" s="343"/>
      <c r="C58" s="24"/>
      <c r="D58" s="344"/>
      <c r="E58" s="344"/>
      <c r="F58" s="344"/>
    </row>
    <row r="59" spans="1:6" s="345" customFormat="1">
      <c r="A59" s="342" t="s">
        <v>4</v>
      </c>
      <c r="B59" s="347"/>
      <c r="C59" s="24"/>
      <c r="D59" s="344"/>
      <c r="E59" s="344"/>
      <c r="F59" s="344"/>
    </row>
    <row r="60" spans="1:6" ht="38.25" customHeight="1">
      <c r="A60" s="348" t="s">
        <v>249</v>
      </c>
      <c r="B60" s="319" t="s">
        <v>252</v>
      </c>
      <c r="C60" s="268"/>
      <c r="D60" s="336"/>
      <c r="E60" s="336"/>
      <c r="F60" s="336"/>
    </row>
    <row r="61" spans="1:6">
      <c r="A61" s="294"/>
      <c r="B61" s="294" t="s">
        <v>1</v>
      </c>
      <c r="C61" s="265"/>
      <c r="D61" s="330"/>
      <c r="E61" s="330"/>
      <c r="F61" s="330"/>
    </row>
    <row r="62" spans="1:6" ht="18" customHeight="1">
      <c r="A62" s="295"/>
      <c r="B62" s="334" t="s">
        <v>33</v>
      </c>
      <c r="C62" s="266"/>
      <c r="D62" s="330"/>
      <c r="E62" s="330"/>
      <c r="F62" s="330"/>
    </row>
    <row r="63" spans="1:6" ht="16.5" customHeight="1">
      <c r="A63" s="294"/>
      <c r="B63" s="334" t="s">
        <v>34</v>
      </c>
      <c r="C63" s="266"/>
      <c r="D63" s="330"/>
      <c r="E63" s="330"/>
      <c r="F63" s="330"/>
    </row>
    <row r="64" spans="1:6" ht="15.75" customHeight="1">
      <c r="A64" s="337" t="s">
        <v>250</v>
      </c>
      <c r="B64" s="338" t="s">
        <v>41</v>
      </c>
      <c r="C64" s="265"/>
      <c r="D64" s="330"/>
      <c r="E64" s="330"/>
      <c r="F64" s="330"/>
    </row>
    <row r="65" spans="1:6">
      <c r="A65" s="339"/>
      <c r="B65" s="340" t="s">
        <v>1</v>
      </c>
      <c r="C65" s="24"/>
      <c r="D65" s="330"/>
      <c r="E65" s="330"/>
      <c r="F65" s="330"/>
    </row>
    <row r="66" spans="1:6">
      <c r="A66" s="339"/>
      <c r="B66" s="341" t="s">
        <v>33</v>
      </c>
      <c r="C66" s="52"/>
      <c r="D66" s="330"/>
      <c r="E66" s="330"/>
      <c r="F66" s="330"/>
    </row>
    <row r="67" spans="1:6">
      <c r="A67" s="339"/>
      <c r="B67" s="341" t="s">
        <v>34</v>
      </c>
      <c r="C67" s="52"/>
      <c r="D67" s="330"/>
      <c r="E67" s="330"/>
      <c r="F67" s="330"/>
    </row>
    <row r="68" spans="1:6" s="345" customFormat="1">
      <c r="A68" s="342" t="s">
        <v>50</v>
      </c>
      <c r="B68" s="343"/>
      <c r="C68" s="24"/>
      <c r="D68" s="344"/>
      <c r="E68" s="344"/>
      <c r="F68" s="344"/>
    </row>
    <row r="69" spans="1:6">
      <c r="A69" s="339"/>
      <c r="B69" s="340" t="s">
        <v>1</v>
      </c>
      <c r="C69" s="24"/>
      <c r="D69" s="330"/>
      <c r="E69" s="330"/>
      <c r="F69" s="330"/>
    </row>
    <row r="70" spans="1:6">
      <c r="A70" s="339"/>
      <c r="B70" s="346" t="s">
        <v>33</v>
      </c>
      <c r="C70" s="52"/>
      <c r="D70" s="330"/>
      <c r="E70" s="330"/>
      <c r="F70" s="330"/>
    </row>
    <row r="71" spans="1:6">
      <c r="A71" s="339"/>
      <c r="B71" s="346" t="s">
        <v>34</v>
      </c>
      <c r="C71" s="52"/>
      <c r="D71" s="330"/>
      <c r="E71" s="330"/>
      <c r="F71" s="330"/>
    </row>
    <row r="72" spans="1:6" s="345" customFormat="1">
      <c r="A72" s="342" t="s">
        <v>4</v>
      </c>
      <c r="B72" s="347" t="s">
        <v>227</v>
      </c>
      <c r="C72" s="24"/>
      <c r="D72" s="344"/>
      <c r="E72" s="344"/>
      <c r="F72" s="344"/>
    </row>
    <row r="73" spans="1:6" ht="31.5">
      <c r="A73" s="337" t="s">
        <v>251</v>
      </c>
      <c r="B73" s="338" t="s">
        <v>39</v>
      </c>
      <c r="C73" s="265"/>
      <c r="D73" s="330"/>
      <c r="E73" s="330"/>
      <c r="F73" s="330"/>
    </row>
    <row r="74" spans="1:6" s="345" customFormat="1">
      <c r="A74" s="342" t="s">
        <v>50</v>
      </c>
      <c r="B74" s="343"/>
      <c r="C74" s="24"/>
      <c r="D74" s="344"/>
      <c r="E74" s="344"/>
      <c r="F74" s="344"/>
    </row>
    <row r="75" spans="1:6" s="345" customFormat="1">
      <c r="A75" s="342" t="s">
        <v>4</v>
      </c>
      <c r="B75" s="347"/>
      <c r="C75" s="24"/>
      <c r="D75" s="344"/>
      <c r="E75" s="344"/>
      <c r="F75" s="344"/>
    </row>
    <row r="76" spans="1:6" s="376" customFormat="1" ht="41.25" customHeight="1">
      <c r="A76" s="2310" t="s">
        <v>255</v>
      </c>
      <c r="B76" s="2311"/>
      <c r="C76" s="374"/>
      <c r="D76" s="375"/>
      <c r="E76" s="375"/>
      <c r="F76" s="375"/>
    </row>
    <row r="77" spans="1:6">
      <c r="A77" s="294"/>
      <c r="B77" s="294" t="s">
        <v>1</v>
      </c>
      <c r="C77" s="265"/>
      <c r="D77" s="330"/>
      <c r="E77" s="330"/>
      <c r="F77" s="330"/>
    </row>
    <row r="78" spans="1:6" ht="18" customHeight="1">
      <c r="A78" s="295"/>
      <c r="B78" s="334" t="s">
        <v>33</v>
      </c>
      <c r="C78" s="266"/>
      <c r="D78" s="330"/>
      <c r="E78" s="330"/>
      <c r="F78" s="330"/>
    </row>
    <row r="79" spans="1:6" ht="16.5" customHeight="1">
      <c r="A79" s="294"/>
      <c r="B79" s="334" t="s">
        <v>34</v>
      </c>
      <c r="C79" s="266"/>
      <c r="D79" s="330"/>
      <c r="E79" s="330"/>
      <c r="F79" s="330"/>
    </row>
    <row r="80" spans="1:6" ht="33.75" customHeight="1">
      <c r="A80" s="348" t="s">
        <v>6</v>
      </c>
      <c r="B80" s="349" t="s">
        <v>222</v>
      </c>
      <c r="C80" s="268"/>
      <c r="D80" s="336"/>
      <c r="E80" s="336"/>
      <c r="F80" s="336"/>
    </row>
    <row r="81" spans="1:6">
      <c r="A81" s="294"/>
      <c r="B81" s="294" t="s">
        <v>1</v>
      </c>
      <c r="C81" s="265"/>
      <c r="D81" s="330"/>
      <c r="E81" s="330"/>
      <c r="F81" s="330"/>
    </row>
    <row r="82" spans="1:6" ht="18" customHeight="1">
      <c r="A82" s="295"/>
      <c r="B82" s="334" t="s">
        <v>33</v>
      </c>
      <c r="C82" s="266"/>
      <c r="D82" s="330"/>
      <c r="E82" s="330"/>
      <c r="F82" s="330"/>
    </row>
    <row r="83" spans="1:6" ht="16.5" customHeight="1">
      <c r="A83" s="294"/>
      <c r="B83" s="334" t="s">
        <v>34</v>
      </c>
      <c r="C83" s="266"/>
      <c r="D83" s="330"/>
      <c r="E83" s="330"/>
      <c r="F83" s="330"/>
    </row>
    <row r="84" spans="1:6" ht="15.75" customHeight="1">
      <c r="A84" s="337" t="s">
        <v>253</v>
      </c>
      <c r="B84" s="338" t="s">
        <v>41</v>
      </c>
      <c r="C84" s="265"/>
      <c r="D84" s="330"/>
      <c r="E84" s="330"/>
      <c r="F84" s="330"/>
    </row>
    <row r="85" spans="1:6">
      <c r="A85" s="339"/>
      <c r="B85" s="340" t="s">
        <v>1</v>
      </c>
      <c r="C85" s="24"/>
      <c r="D85" s="330"/>
      <c r="E85" s="330"/>
      <c r="F85" s="330"/>
    </row>
    <row r="86" spans="1:6">
      <c r="A86" s="339"/>
      <c r="B86" s="341" t="s">
        <v>33</v>
      </c>
      <c r="C86" s="52"/>
      <c r="D86" s="330"/>
      <c r="E86" s="330"/>
      <c r="F86" s="330"/>
    </row>
    <row r="87" spans="1:6">
      <c r="A87" s="339"/>
      <c r="B87" s="341" t="s">
        <v>34</v>
      </c>
      <c r="C87" s="52"/>
      <c r="D87" s="330"/>
      <c r="E87" s="330"/>
      <c r="F87" s="330"/>
    </row>
    <row r="88" spans="1:6" s="345" customFormat="1">
      <c r="A88" s="342" t="s">
        <v>50</v>
      </c>
      <c r="B88" s="343"/>
      <c r="C88" s="24"/>
      <c r="D88" s="344"/>
      <c r="E88" s="344"/>
      <c r="F88" s="344"/>
    </row>
    <row r="89" spans="1:6">
      <c r="A89" s="339"/>
      <c r="B89" s="340" t="s">
        <v>1</v>
      </c>
      <c r="C89" s="24"/>
      <c r="D89" s="330"/>
      <c r="E89" s="330"/>
      <c r="F89" s="330"/>
    </row>
    <row r="90" spans="1:6">
      <c r="A90" s="339"/>
      <c r="B90" s="346" t="s">
        <v>33</v>
      </c>
      <c r="C90" s="52"/>
      <c r="D90" s="330"/>
      <c r="E90" s="330"/>
      <c r="F90" s="330"/>
    </row>
    <row r="91" spans="1:6">
      <c r="A91" s="339"/>
      <c r="B91" s="346" t="s">
        <v>34</v>
      </c>
      <c r="C91" s="52"/>
      <c r="D91" s="330"/>
      <c r="E91" s="330"/>
      <c r="F91" s="330"/>
    </row>
    <row r="92" spans="1:6" s="345" customFormat="1">
      <c r="A92" s="342" t="s">
        <v>4</v>
      </c>
      <c r="B92" s="347" t="s">
        <v>227</v>
      </c>
      <c r="C92" s="24"/>
      <c r="D92" s="344"/>
      <c r="E92" s="344"/>
      <c r="F92" s="344"/>
    </row>
    <row r="93" spans="1:6">
      <c r="A93" s="337" t="s">
        <v>254</v>
      </c>
      <c r="B93" s="338" t="s">
        <v>39</v>
      </c>
      <c r="C93" s="265"/>
      <c r="D93" s="330"/>
      <c r="E93" s="330"/>
      <c r="F93" s="330"/>
    </row>
    <row r="94" spans="1:6" s="345" customFormat="1">
      <c r="A94" s="342" t="s">
        <v>50</v>
      </c>
      <c r="B94" s="343"/>
      <c r="C94" s="24"/>
      <c r="D94" s="344"/>
      <c r="E94" s="344"/>
      <c r="F94" s="344"/>
    </row>
    <row r="95" spans="1:6" s="345" customFormat="1">
      <c r="A95" s="342" t="s">
        <v>4</v>
      </c>
      <c r="B95" s="347"/>
      <c r="C95" s="24"/>
      <c r="D95" s="344"/>
      <c r="E95" s="344"/>
      <c r="F95" s="344"/>
    </row>
    <row r="96" spans="1:6" ht="21" customHeight="1">
      <c r="A96" s="350"/>
      <c r="B96" s="351"/>
      <c r="C96" s="352"/>
    </row>
    <row r="97" spans="1:11" s="321" customFormat="1" ht="15" customHeight="1">
      <c r="A97" s="353"/>
      <c r="B97" s="353" t="s">
        <v>85</v>
      </c>
      <c r="C97" s="353"/>
      <c r="D97" s="353"/>
      <c r="E97" s="353"/>
      <c r="F97" s="353"/>
      <c r="G97" s="353"/>
      <c r="H97" s="353"/>
      <c r="I97" s="354"/>
      <c r="J97" s="324"/>
      <c r="K97" s="324"/>
    </row>
    <row r="98" spans="1:11" s="321" customFormat="1" ht="15" customHeight="1">
      <c r="A98" s="353"/>
      <c r="B98" s="353"/>
      <c r="C98" s="353"/>
      <c r="D98" s="353"/>
      <c r="E98" s="2312"/>
      <c r="F98" s="2312"/>
      <c r="G98" s="2312"/>
      <c r="H98" s="2312"/>
      <c r="I98" s="354"/>
      <c r="J98" s="324"/>
      <c r="K98" s="324"/>
    </row>
    <row r="99" spans="1:11" s="321" customFormat="1" ht="15" customHeight="1">
      <c r="B99" s="355" t="s">
        <v>234</v>
      </c>
      <c r="C99" s="356"/>
      <c r="D99" s="325"/>
      <c r="E99" s="325"/>
      <c r="F99" s="357"/>
      <c r="G99" s="358"/>
      <c r="H99" s="357"/>
      <c r="I99" s="354"/>
      <c r="J99" s="324"/>
      <c r="K99" s="324"/>
    </row>
    <row r="100" spans="1:11" ht="15.75" customHeight="1">
      <c r="A100" s="359"/>
      <c r="B100" s="360"/>
    </row>
    <row r="101" spans="1:11" ht="15.75" customHeight="1">
      <c r="A101" s="359"/>
      <c r="B101" s="360"/>
    </row>
    <row r="102" spans="1:11" ht="15" customHeight="1">
      <c r="A102" s="359"/>
      <c r="B102" s="360"/>
      <c r="C102" s="362"/>
    </row>
    <row r="103" spans="1:11" ht="24.75" customHeight="1">
      <c r="A103" s="359"/>
      <c r="B103" s="363"/>
      <c r="C103" s="364"/>
    </row>
    <row r="104" spans="1:11" ht="16.5" hidden="1" customHeight="1">
      <c r="B104" s="366"/>
      <c r="C104" s="366"/>
    </row>
    <row r="105" spans="1:11" hidden="1">
      <c r="B105" s="366"/>
      <c r="C105" s="367"/>
    </row>
    <row r="106" spans="1:11" ht="15.75" customHeight="1">
      <c r="A106" s="368"/>
      <c r="B106" s="366"/>
      <c r="C106" s="364"/>
    </row>
    <row r="107" spans="1:11" ht="30.75" customHeight="1">
      <c r="B107" s="369"/>
      <c r="C107" s="370"/>
    </row>
    <row r="108" spans="1:11" ht="14.25" customHeight="1">
      <c r="B108" s="369"/>
      <c r="C108" s="370"/>
    </row>
    <row r="109" spans="1:11" ht="14.25" customHeight="1">
      <c r="B109" s="369"/>
      <c r="C109" s="370"/>
    </row>
    <row r="111" spans="1:11" hidden="1">
      <c r="B111" s="297" t="s">
        <v>60</v>
      </c>
    </row>
  </sheetData>
  <mergeCells count="15">
    <mergeCell ref="A1:B1"/>
    <mergeCell ref="E3:F3"/>
    <mergeCell ref="A7:F7"/>
    <mergeCell ref="C8:E8"/>
    <mergeCell ref="A9:F9"/>
    <mergeCell ref="A10:F10"/>
    <mergeCell ref="A20:B20"/>
    <mergeCell ref="A76:B76"/>
    <mergeCell ref="E98:H98"/>
    <mergeCell ref="A13:A14"/>
    <mergeCell ref="B13:B14"/>
    <mergeCell ref="C13:C14"/>
    <mergeCell ref="D13:D14"/>
    <mergeCell ref="E13:E14"/>
    <mergeCell ref="F13:F14"/>
  </mergeCells>
  <pageMargins left="0.55118110236220474" right="0.31496062992125984" top="0.23622047244094491" bottom="0.23622047244094491" header="0" footer="0"/>
  <pageSetup paperSize="9" scale="57" fitToHeight="2" orientation="portrait" r:id="rId1"/>
  <headerFooter alignWithMargins="0">
    <oddFooter>&amp;C&amp;Z&amp;F</oddFooter>
  </headerFooter>
  <customProperties>
    <customPr name="krista_fm_consts" r:id="rId2"/>
  </customProperties>
</worksheet>
</file>

<file path=xl/worksheets/sheet8.xml><?xml version="1.0" encoding="utf-8"?>
<worksheet xmlns="http://schemas.openxmlformats.org/spreadsheetml/2006/main" xmlns:r="http://schemas.openxmlformats.org/officeDocument/2006/relationships">
  <sheetPr>
    <pageSetUpPr fitToPage="1"/>
  </sheetPr>
  <dimension ref="A1:K111"/>
  <sheetViews>
    <sheetView topLeftCell="A4" zoomScaleSheetLayoutView="100" workbookViewId="0">
      <selection activeCell="A5" sqref="A5:IV7"/>
    </sheetView>
  </sheetViews>
  <sheetFormatPr defaultColWidth="9.140625" defaultRowHeight="15.75"/>
  <cols>
    <col min="1" max="1" width="6.140625" style="365" customWidth="1"/>
    <col min="2" max="2" width="98.85546875" style="297" customWidth="1"/>
    <col min="3" max="3" width="15.85546875" style="361" customWidth="1"/>
    <col min="4" max="6" width="15.85546875" style="297" customWidth="1"/>
    <col min="7" max="16384" width="9.140625" style="297"/>
  </cols>
  <sheetData>
    <row r="1" spans="1:9" hidden="1">
      <c r="A1" s="2317" t="s">
        <v>78</v>
      </c>
      <c r="B1" s="2317"/>
      <c r="C1" s="320"/>
    </row>
    <row r="2" spans="1:9">
      <c r="A2" s="320"/>
      <c r="B2" s="320"/>
      <c r="C2" s="320"/>
      <c r="F2" s="320" t="s">
        <v>243</v>
      </c>
    </row>
    <row r="3" spans="1:9" s="321" customFormat="1">
      <c r="C3" s="322"/>
      <c r="D3" s="322"/>
      <c r="E3" s="2318" t="s">
        <v>240</v>
      </c>
      <c r="F3" s="2318"/>
      <c r="H3" s="324"/>
      <c r="I3" s="324"/>
    </row>
    <row r="4" spans="1:9" s="321" customFormat="1">
      <c r="C4" s="322"/>
      <c r="D4" s="323"/>
      <c r="E4" s="323"/>
      <c r="F4" s="323"/>
      <c r="H4" s="324"/>
      <c r="I4" s="324"/>
    </row>
    <row r="5" spans="1:9" s="321" customFormat="1">
      <c r="C5" s="322"/>
      <c r="D5" s="323"/>
      <c r="E5" s="323"/>
      <c r="F5" s="323"/>
      <c r="H5" s="324"/>
      <c r="I5" s="324"/>
    </row>
    <row r="6" spans="1:9" s="321" customFormat="1">
      <c r="C6" s="322"/>
      <c r="D6" s="325"/>
      <c r="E6" s="325"/>
      <c r="F6" s="326"/>
      <c r="H6" s="324"/>
      <c r="I6" s="324"/>
    </row>
    <row r="7" spans="1:9" s="321" customFormat="1">
      <c r="A7" s="2309" t="s">
        <v>5</v>
      </c>
      <c r="B7" s="2309"/>
      <c r="C7" s="2309"/>
      <c r="D7" s="2309"/>
      <c r="E7" s="2309"/>
      <c r="F7" s="2309"/>
      <c r="H7" s="324"/>
      <c r="I7" s="324"/>
    </row>
    <row r="8" spans="1:9" s="321" customFormat="1">
      <c r="C8" s="2319"/>
      <c r="D8" s="2319"/>
      <c r="E8" s="2319"/>
      <c r="H8" s="324"/>
      <c r="I8" s="324"/>
    </row>
    <row r="9" spans="1:9" s="321" customFormat="1" ht="12.75" customHeight="1">
      <c r="A9" s="2309" t="s">
        <v>236</v>
      </c>
      <c r="B9" s="2309"/>
      <c r="C9" s="2309"/>
      <c r="D9" s="2309"/>
      <c r="E9" s="2309"/>
      <c r="F9" s="2309"/>
      <c r="H9" s="324"/>
      <c r="I9" s="324"/>
    </row>
    <row r="10" spans="1:9" s="321" customFormat="1">
      <c r="A10" s="2309" t="s">
        <v>229</v>
      </c>
      <c r="B10" s="2309"/>
      <c r="C10" s="2309"/>
      <c r="D10" s="2309"/>
      <c r="E10" s="2309"/>
      <c r="F10" s="2309"/>
      <c r="H10" s="324"/>
      <c r="I10" s="324"/>
    </row>
    <row r="11" spans="1:9" s="321" customFormat="1">
      <c r="A11" s="327"/>
      <c r="B11" s="327"/>
      <c r="C11" s="327"/>
      <c r="D11" s="327"/>
      <c r="E11" s="327"/>
      <c r="F11" s="327"/>
      <c r="H11" s="324"/>
      <c r="I11" s="324"/>
    </row>
    <row r="12" spans="1:9" s="321" customFormat="1">
      <c r="A12" s="327"/>
      <c r="B12" s="327"/>
      <c r="C12" s="327"/>
      <c r="D12" s="327"/>
      <c r="E12" s="327"/>
      <c r="F12" s="327" t="s">
        <v>230</v>
      </c>
      <c r="H12" s="324"/>
      <c r="I12" s="324"/>
    </row>
    <row r="13" spans="1:9" ht="76.5" customHeight="1">
      <c r="A13" s="2313" t="s">
        <v>18</v>
      </c>
      <c r="B13" s="2315" t="s">
        <v>0</v>
      </c>
      <c r="C13" s="2316" t="s">
        <v>233</v>
      </c>
      <c r="D13" s="2316" t="s">
        <v>235</v>
      </c>
      <c r="E13" s="2316" t="s">
        <v>237</v>
      </c>
      <c r="F13" s="2316" t="s">
        <v>238</v>
      </c>
    </row>
    <row r="14" spans="1:9" ht="37.5" customHeight="1">
      <c r="A14" s="2314"/>
      <c r="B14" s="2315"/>
      <c r="C14" s="2316"/>
      <c r="D14" s="2316"/>
      <c r="E14" s="2316"/>
      <c r="F14" s="2316"/>
    </row>
    <row r="15" spans="1:9" ht="18.75">
      <c r="A15" s="328">
        <v>1</v>
      </c>
      <c r="B15" s="372">
        <v>2</v>
      </c>
      <c r="C15" s="329">
        <v>3</v>
      </c>
      <c r="D15" s="371">
        <v>4</v>
      </c>
      <c r="E15" s="371">
        <v>5</v>
      </c>
      <c r="F15" s="371">
        <v>6</v>
      </c>
    </row>
    <row r="16" spans="1:9" s="333" customFormat="1" ht="30" customHeight="1">
      <c r="A16" s="331"/>
      <c r="B16" s="373" t="s">
        <v>10</v>
      </c>
      <c r="C16" s="267"/>
      <c r="D16" s="332"/>
      <c r="E16" s="332"/>
      <c r="F16" s="332"/>
    </row>
    <row r="17" spans="1:6">
      <c r="A17" s="294"/>
      <c r="B17" s="294" t="s">
        <v>1</v>
      </c>
      <c r="C17" s="265"/>
      <c r="D17" s="330"/>
      <c r="E17" s="330"/>
      <c r="F17" s="330"/>
    </row>
    <row r="18" spans="1:6" ht="18" customHeight="1">
      <c r="A18" s="295"/>
      <c r="B18" s="334" t="s">
        <v>33</v>
      </c>
      <c r="C18" s="266"/>
      <c r="D18" s="330"/>
      <c r="E18" s="330"/>
      <c r="F18" s="330"/>
    </row>
    <row r="19" spans="1:6" ht="16.5" customHeight="1">
      <c r="A19" s="294"/>
      <c r="B19" s="334" t="s">
        <v>34</v>
      </c>
      <c r="C19" s="266"/>
      <c r="D19" s="330"/>
      <c r="E19" s="330"/>
      <c r="F19" s="330"/>
    </row>
    <row r="20" spans="1:6" s="376" customFormat="1" ht="35.25" customHeight="1">
      <c r="A20" s="2310" t="s">
        <v>256</v>
      </c>
      <c r="B20" s="2311"/>
      <c r="C20" s="374"/>
      <c r="D20" s="375"/>
      <c r="E20" s="375"/>
      <c r="F20" s="375"/>
    </row>
    <row r="21" spans="1:6">
      <c r="A21" s="294"/>
      <c r="B21" s="294" t="s">
        <v>1</v>
      </c>
      <c r="C21" s="265"/>
      <c r="D21" s="330"/>
      <c r="E21" s="330"/>
      <c r="F21" s="330"/>
    </row>
    <row r="22" spans="1:6" ht="18" customHeight="1">
      <c r="A22" s="295"/>
      <c r="B22" s="334" t="s">
        <v>33</v>
      </c>
      <c r="C22" s="266"/>
      <c r="D22" s="330"/>
      <c r="E22" s="330"/>
      <c r="F22" s="330"/>
    </row>
    <row r="23" spans="1:6" ht="16.5" customHeight="1">
      <c r="A23" s="294"/>
      <c r="B23" s="334" t="s">
        <v>34</v>
      </c>
      <c r="C23" s="266"/>
      <c r="D23" s="330"/>
      <c r="E23" s="330"/>
      <c r="F23" s="330"/>
    </row>
    <row r="24" spans="1:6" ht="54.75" customHeight="1">
      <c r="A24" s="335" t="s">
        <v>6</v>
      </c>
      <c r="B24" s="319" t="s">
        <v>244</v>
      </c>
      <c r="C24" s="268"/>
      <c r="D24" s="336"/>
      <c r="E24" s="336"/>
      <c r="F24" s="336"/>
    </row>
    <row r="25" spans="1:6">
      <c r="A25" s="294"/>
      <c r="B25" s="294" t="s">
        <v>1</v>
      </c>
      <c r="C25" s="265"/>
      <c r="D25" s="330"/>
      <c r="E25" s="330"/>
      <c r="F25" s="330"/>
    </row>
    <row r="26" spans="1:6" ht="18" customHeight="1">
      <c r="A26" s="295"/>
      <c r="B26" s="334" t="s">
        <v>33</v>
      </c>
      <c r="C26" s="266"/>
      <c r="D26" s="330"/>
      <c r="E26" s="330"/>
      <c r="F26" s="330"/>
    </row>
    <row r="27" spans="1:6" ht="16.5" customHeight="1">
      <c r="A27" s="294"/>
      <c r="B27" s="334" t="s">
        <v>34</v>
      </c>
      <c r="C27" s="266"/>
      <c r="D27" s="330"/>
      <c r="E27" s="330"/>
      <c r="F27" s="330"/>
    </row>
    <row r="28" spans="1:6" ht="15.75" customHeight="1">
      <c r="A28" s="337" t="s">
        <v>30</v>
      </c>
      <c r="B28" s="338" t="s">
        <v>41</v>
      </c>
      <c r="C28" s="265"/>
      <c r="D28" s="330"/>
      <c r="E28" s="330"/>
      <c r="F28" s="330"/>
    </row>
    <row r="29" spans="1:6">
      <c r="A29" s="339"/>
      <c r="B29" s="340" t="s">
        <v>1</v>
      </c>
      <c r="C29" s="24"/>
      <c r="D29" s="330"/>
      <c r="E29" s="330"/>
      <c r="F29" s="330"/>
    </row>
    <row r="30" spans="1:6">
      <c r="A30" s="339"/>
      <c r="B30" s="341" t="s">
        <v>33</v>
      </c>
      <c r="C30" s="52"/>
      <c r="D30" s="330"/>
      <c r="E30" s="330"/>
      <c r="F30" s="330"/>
    </row>
    <row r="31" spans="1:6">
      <c r="A31" s="339"/>
      <c r="B31" s="341" t="s">
        <v>34</v>
      </c>
      <c r="C31" s="52"/>
      <c r="D31" s="330"/>
      <c r="E31" s="330"/>
      <c r="F31" s="330"/>
    </row>
    <row r="32" spans="1:6" s="345" customFormat="1">
      <c r="A32" s="342" t="s">
        <v>50</v>
      </c>
      <c r="B32" s="343"/>
      <c r="C32" s="24"/>
      <c r="D32" s="344"/>
      <c r="E32" s="344"/>
      <c r="F32" s="344"/>
    </row>
    <row r="33" spans="1:6">
      <c r="A33" s="339"/>
      <c r="B33" s="340" t="s">
        <v>1</v>
      </c>
      <c r="C33" s="24"/>
      <c r="D33" s="330"/>
      <c r="E33" s="330"/>
      <c r="F33" s="330"/>
    </row>
    <row r="34" spans="1:6">
      <c r="A34" s="339"/>
      <c r="B34" s="346" t="s">
        <v>33</v>
      </c>
      <c r="C34" s="52"/>
      <c r="D34" s="330"/>
      <c r="E34" s="330"/>
      <c r="F34" s="330"/>
    </row>
    <row r="35" spans="1:6">
      <c r="A35" s="339"/>
      <c r="B35" s="346" t="s">
        <v>34</v>
      </c>
      <c r="C35" s="52"/>
      <c r="D35" s="330"/>
      <c r="E35" s="330"/>
      <c r="F35" s="330"/>
    </row>
    <row r="36" spans="1:6" s="345" customFormat="1">
      <c r="A36" s="342" t="s">
        <v>4</v>
      </c>
      <c r="B36" s="347" t="s">
        <v>227</v>
      </c>
      <c r="C36" s="24"/>
      <c r="D36" s="344"/>
      <c r="E36" s="344"/>
      <c r="F36" s="344"/>
    </row>
    <row r="37" spans="1:6">
      <c r="A37" s="337" t="s">
        <v>31</v>
      </c>
      <c r="B37" s="338" t="s">
        <v>39</v>
      </c>
      <c r="C37" s="265"/>
      <c r="D37" s="330"/>
      <c r="E37" s="330"/>
      <c r="F37" s="330"/>
    </row>
    <row r="38" spans="1:6" s="345" customFormat="1">
      <c r="A38" s="342" t="s">
        <v>50</v>
      </c>
      <c r="B38" s="343"/>
      <c r="C38" s="24"/>
      <c r="D38" s="344"/>
      <c r="E38" s="344"/>
      <c r="F38" s="344"/>
    </row>
    <row r="39" spans="1:6" s="345" customFormat="1">
      <c r="A39" s="342" t="s">
        <v>4</v>
      </c>
      <c r="B39" s="347"/>
      <c r="C39" s="24"/>
      <c r="D39" s="344"/>
      <c r="E39" s="344"/>
      <c r="F39" s="344"/>
    </row>
    <row r="40" spans="1:6" ht="31.5">
      <c r="A40" s="348" t="s">
        <v>2</v>
      </c>
      <c r="B40" s="349" t="s">
        <v>221</v>
      </c>
      <c r="C40" s="268"/>
      <c r="D40" s="336"/>
      <c r="E40" s="336"/>
      <c r="F40" s="336"/>
    </row>
    <row r="41" spans="1:6">
      <c r="A41" s="294"/>
      <c r="B41" s="294" t="s">
        <v>1</v>
      </c>
      <c r="C41" s="265"/>
      <c r="D41" s="330"/>
      <c r="E41" s="330"/>
      <c r="F41" s="330"/>
    </row>
    <row r="42" spans="1:6" ht="18" customHeight="1">
      <c r="A42" s="295"/>
      <c r="B42" s="334" t="s">
        <v>33</v>
      </c>
      <c r="C42" s="266"/>
      <c r="D42" s="330"/>
      <c r="E42" s="330"/>
      <c r="F42" s="330"/>
    </row>
    <row r="43" spans="1:6" ht="16.5" customHeight="1">
      <c r="A43" s="294"/>
      <c r="B43" s="334" t="s">
        <v>34</v>
      </c>
      <c r="C43" s="266"/>
      <c r="D43" s="330"/>
      <c r="E43" s="330"/>
      <c r="F43" s="330"/>
    </row>
    <row r="44" spans="1:6" ht="51" customHeight="1">
      <c r="A44" s="348" t="s">
        <v>246</v>
      </c>
      <c r="B44" s="319" t="s">
        <v>245</v>
      </c>
      <c r="C44" s="268"/>
      <c r="D44" s="336"/>
      <c r="E44" s="336"/>
      <c r="F44" s="336"/>
    </row>
    <row r="45" spans="1:6">
      <c r="A45" s="294"/>
      <c r="B45" s="294" t="s">
        <v>1</v>
      </c>
      <c r="C45" s="265"/>
      <c r="D45" s="330"/>
      <c r="E45" s="330"/>
      <c r="F45" s="330"/>
    </row>
    <row r="46" spans="1:6" ht="18" customHeight="1">
      <c r="A46" s="295"/>
      <c r="B46" s="334" t="s">
        <v>33</v>
      </c>
      <c r="C46" s="266"/>
      <c r="D46" s="330"/>
      <c r="E46" s="330"/>
      <c r="F46" s="330"/>
    </row>
    <row r="47" spans="1:6" ht="16.5" customHeight="1">
      <c r="A47" s="294"/>
      <c r="B47" s="334" t="s">
        <v>34</v>
      </c>
      <c r="C47" s="266"/>
      <c r="D47" s="330"/>
      <c r="E47" s="330"/>
      <c r="F47" s="330"/>
    </row>
    <row r="48" spans="1:6" ht="15.75" customHeight="1">
      <c r="A48" s="337" t="s">
        <v>247</v>
      </c>
      <c r="B48" s="338" t="s">
        <v>41</v>
      </c>
      <c r="C48" s="265"/>
      <c r="D48" s="330"/>
      <c r="E48" s="330"/>
      <c r="F48" s="330"/>
    </row>
    <row r="49" spans="1:6">
      <c r="A49" s="339"/>
      <c r="B49" s="340" t="s">
        <v>1</v>
      </c>
      <c r="C49" s="24"/>
      <c r="D49" s="330"/>
      <c r="E49" s="330"/>
      <c r="F49" s="330"/>
    </row>
    <row r="50" spans="1:6">
      <c r="A50" s="339"/>
      <c r="B50" s="341" t="s">
        <v>33</v>
      </c>
      <c r="C50" s="52"/>
      <c r="D50" s="330"/>
      <c r="E50" s="330"/>
      <c r="F50" s="330"/>
    </row>
    <row r="51" spans="1:6">
      <c r="A51" s="339"/>
      <c r="B51" s="341" t="s">
        <v>34</v>
      </c>
      <c r="C51" s="52"/>
      <c r="D51" s="330"/>
      <c r="E51" s="330"/>
      <c r="F51" s="330"/>
    </row>
    <row r="52" spans="1:6" s="345" customFormat="1">
      <c r="A52" s="342" t="s">
        <v>50</v>
      </c>
      <c r="B52" s="343"/>
      <c r="C52" s="24"/>
      <c r="D52" s="344"/>
      <c r="E52" s="344"/>
      <c r="F52" s="344"/>
    </row>
    <row r="53" spans="1:6">
      <c r="A53" s="339"/>
      <c r="B53" s="340" t="s">
        <v>1</v>
      </c>
      <c r="C53" s="24"/>
      <c r="D53" s="330"/>
      <c r="E53" s="330"/>
      <c r="F53" s="330"/>
    </row>
    <row r="54" spans="1:6">
      <c r="A54" s="339"/>
      <c r="B54" s="346" t="s">
        <v>33</v>
      </c>
      <c r="C54" s="52"/>
      <c r="D54" s="330"/>
      <c r="E54" s="330"/>
      <c r="F54" s="330"/>
    </row>
    <row r="55" spans="1:6">
      <c r="A55" s="339"/>
      <c r="B55" s="346" t="s">
        <v>34</v>
      </c>
      <c r="C55" s="52"/>
      <c r="D55" s="330"/>
      <c r="E55" s="330"/>
      <c r="F55" s="330"/>
    </row>
    <row r="56" spans="1:6" s="345" customFormat="1">
      <c r="A56" s="342" t="s">
        <v>4</v>
      </c>
      <c r="B56" s="347" t="s">
        <v>227</v>
      </c>
      <c r="C56" s="24"/>
      <c r="D56" s="344"/>
      <c r="E56" s="344"/>
      <c r="F56" s="344"/>
    </row>
    <row r="57" spans="1:6" ht="31.5">
      <c r="A57" s="337" t="s">
        <v>248</v>
      </c>
      <c r="B57" s="338" t="s">
        <v>39</v>
      </c>
      <c r="C57" s="265"/>
      <c r="D57" s="330"/>
      <c r="E57" s="330"/>
      <c r="F57" s="330"/>
    </row>
    <row r="58" spans="1:6" s="345" customFormat="1">
      <c r="A58" s="342" t="s">
        <v>50</v>
      </c>
      <c r="B58" s="343"/>
      <c r="C58" s="24"/>
      <c r="D58" s="344"/>
      <c r="E58" s="344"/>
      <c r="F58" s="344"/>
    </row>
    <row r="59" spans="1:6" s="345" customFormat="1">
      <c r="A59" s="342" t="s">
        <v>4</v>
      </c>
      <c r="B59" s="347"/>
      <c r="C59" s="24"/>
      <c r="D59" s="344"/>
      <c r="E59" s="344"/>
      <c r="F59" s="344"/>
    </row>
    <row r="60" spans="1:6" ht="38.25" customHeight="1">
      <c r="A60" s="348" t="s">
        <v>249</v>
      </c>
      <c r="B60" s="319" t="s">
        <v>252</v>
      </c>
      <c r="C60" s="268"/>
      <c r="D60" s="336"/>
      <c r="E60" s="336"/>
      <c r="F60" s="336"/>
    </row>
    <row r="61" spans="1:6">
      <c r="A61" s="294"/>
      <c r="B61" s="294" t="s">
        <v>1</v>
      </c>
      <c r="C61" s="265"/>
      <c r="D61" s="330"/>
      <c r="E61" s="330"/>
      <c r="F61" s="330"/>
    </row>
    <row r="62" spans="1:6" ht="18" customHeight="1">
      <c r="A62" s="295"/>
      <c r="B62" s="334" t="s">
        <v>33</v>
      </c>
      <c r="C62" s="266"/>
      <c r="D62" s="330"/>
      <c r="E62" s="330"/>
      <c r="F62" s="330"/>
    </row>
    <row r="63" spans="1:6" ht="16.5" customHeight="1">
      <c r="A63" s="294"/>
      <c r="B63" s="334" t="s">
        <v>34</v>
      </c>
      <c r="C63" s="266"/>
      <c r="D63" s="330"/>
      <c r="E63" s="330"/>
      <c r="F63" s="330"/>
    </row>
    <row r="64" spans="1:6" ht="15.75" customHeight="1">
      <c r="A64" s="337" t="s">
        <v>250</v>
      </c>
      <c r="B64" s="338" t="s">
        <v>41</v>
      </c>
      <c r="C64" s="265"/>
      <c r="D64" s="330"/>
      <c r="E64" s="330"/>
      <c r="F64" s="330"/>
    </row>
    <row r="65" spans="1:6">
      <c r="A65" s="339"/>
      <c r="B65" s="340" t="s">
        <v>1</v>
      </c>
      <c r="C65" s="24"/>
      <c r="D65" s="330"/>
      <c r="E65" s="330"/>
      <c r="F65" s="330"/>
    </row>
    <row r="66" spans="1:6">
      <c r="A66" s="339"/>
      <c r="B66" s="341" t="s">
        <v>33</v>
      </c>
      <c r="C66" s="52"/>
      <c r="D66" s="330"/>
      <c r="E66" s="330"/>
      <c r="F66" s="330"/>
    </row>
    <row r="67" spans="1:6">
      <c r="A67" s="339"/>
      <c r="B67" s="341" t="s">
        <v>34</v>
      </c>
      <c r="C67" s="52"/>
      <c r="D67" s="330"/>
      <c r="E67" s="330"/>
      <c r="F67" s="330"/>
    </row>
    <row r="68" spans="1:6" s="345" customFormat="1">
      <c r="A68" s="342" t="s">
        <v>50</v>
      </c>
      <c r="B68" s="343"/>
      <c r="C68" s="24"/>
      <c r="D68" s="344"/>
      <c r="E68" s="344"/>
      <c r="F68" s="344"/>
    </row>
    <row r="69" spans="1:6">
      <c r="A69" s="339"/>
      <c r="B69" s="340" t="s">
        <v>1</v>
      </c>
      <c r="C69" s="24"/>
      <c r="D69" s="330"/>
      <c r="E69" s="330"/>
      <c r="F69" s="330"/>
    </row>
    <row r="70" spans="1:6">
      <c r="A70" s="339"/>
      <c r="B70" s="346" t="s">
        <v>33</v>
      </c>
      <c r="C70" s="52"/>
      <c r="D70" s="330"/>
      <c r="E70" s="330"/>
      <c r="F70" s="330"/>
    </row>
    <row r="71" spans="1:6">
      <c r="A71" s="339"/>
      <c r="B71" s="346" t="s">
        <v>34</v>
      </c>
      <c r="C71" s="52"/>
      <c r="D71" s="330"/>
      <c r="E71" s="330"/>
      <c r="F71" s="330"/>
    </row>
    <row r="72" spans="1:6" s="345" customFormat="1">
      <c r="A72" s="342" t="s">
        <v>4</v>
      </c>
      <c r="B72" s="347" t="s">
        <v>227</v>
      </c>
      <c r="C72" s="24"/>
      <c r="D72" s="344"/>
      <c r="E72" s="344"/>
      <c r="F72" s="344"/>
    </row>
    <row r="73" spans="1:6" ht="31.5">
      <c r="A73" s="337" t="s">
        <v>251</v>
      </c>
      <c r="B73" s="338" t="s">
        <v>39</v>
      </c>
      <c r="C73" s="265"/>
      <c r="D73" s="330"/>
      <c r="E73" s="330"/>
      <c r="F73" s="330"/>
    </row>
    <row r="74" spans="1:6" s="345" customFormat="1">
      <c r="A74" s="342" t="s">
        <v>50</v>
      </c>
      <c r="B74" s="343"/>
      <c r="C74" s="24"/>
      <c r="D74" s="344"/>
      <c r="E74" s="344"/>
      <c r="F74" s="344"/>
    </row>
    <row r="75" spans="1:6" s="345" customFormat="1">
      <c r="A75" s="342" t="s">
        <v>4</v>
      </c>
      <c r="B75" s="347"/>
      <c r="C75" s="24"/>
      <c r="D75" s="344"/>
      <c r="E75" s="344"/>
      <c r="F75" s="344"/>
    </row>
    <row r="76" spans="1:6" s="376" customFormat="1" ht="41.25" customHeight="1">
      <c r="A76" s="2310" t="s">
        <v>255</v>
      </c>
      <c r="B76" s="2311"/>
      <c r="C76" s="374"/>
      <c r="D76" s="375"/>
      <c r="E76" s="375"/>
      <c r="F76" s="375"/>
    </row>
    <row r="77" spans="1:6">
      <c r="A77" s="294"/>
      <c r="B77" s="294" t="s">
        <v>1</v>
      </c>
      <c r="C77" s="265"/>
      <c r="D77" s="330"/>
      <c r="E77" s="330"/>
      <c r="F77" s="330"/>
    </row>
    <row r="78" spans="1:6" ht="18" customHeight="1">
      <c r="A78" s="295"/>
      <c r="B78" s="334" t="s">
        <v>33</v>
      </c>
      <c r="C78" s="266"/>
      <c r="D78" s="330"/>
      <c r="E78" s="330"/>
      <c r="F78" s="330"/>
    </row>
    <row r="79" spans="1:6" ht="16.5" customHeight="1">
      <c r="A79" s="294"/>
      <c r="B79" s="334" t="s">
        <v>34</v>
      </c>
      <c r="C79" s="266"/>
      <c r="D79" s="330"/>
      <c r="E79" s="330"/>
      <c r="F79" s="330"/>
    </row>
    <row r="80" spans="1:6" ht="33.75" customHeight="1">
      <c r="A80" s="348" t="s">
        <v>6</v>
      </c>
      <c r="B80" s="349" t="s">
        <v>222</v>
      </c>
      <c r="C80" s="268"/>
      <c r="D80" s="336"/>
      <c r="E80" s="336"/>
      <c r="F80" s="336"/>
    </row>
    <row r="81" spans="1:6">
      <c r="A81" s="294"/>
      <c r="B81" s="294" t="s">
        <v>1</v>
      </c>
      <c r="C81" s="265"/>
      <c r="D81" s="330"/>
      <c r="E81" s="330"/>
      <c r="F81" s="330"/>
    </row>
    <row r="82" spans="1:6" ht="18" customHeight="1">
      <c r="A82" s="295"/>
      <c r="B82" s="334" t="s">
        <v>33</v>
      </c>
      <c r="C82" s="266"/>
      <c r="D82" s="330"/>
      <c r="E82" s="330"/>
      <c r="F82" s="330"/>
    </row>
    <row r="83" spans="1:6" ht="16.5" customHeight="1">
      <c r="A83" s="294"/>
      <c r="B83" s="334" t="s">
        <v>34</v>
      </c>
      <c r="C83" s="266"/>
      <c r="D83" s="330"/>
      <c r="E83" s="330"/>
      <c r="F83" s="330"/>
    </row>
    <row r="84" spans="1:6" ht="15.75" customHeight="1">
      <c r="A84" s="337" t="s">
        <v>253</v>
      </c>
      <c r="B84" s="338" t="s">
        <v>41</v>
      </c>
      <c r="C84" s="265"/>
      <c r="D84" s="330"/>
      <c r="E84" s="330"/>
      <c r="F84" s="330"/>
    </row>
    <row r="85" spans="1:6">
      <c r="A85" s="339"/>
      <c r="B85" s="340" t="s">
        <v>1</v>
      </c>
      <c r="C85" s="24"/>
      <c r="D85" s="330"/>
      <c r="E85" s="330"/>
      <c r="F85" s="330"/>
    </row>
    <row r="86" spans="1:6">
      <c r="A86" s="339"/>
      <c r="B86" s="341" t="s">
        <v>33</v>
      </c>
      <c r="C86" s="52"/>
      <c r="D86" s="330"/>
      <c r="E86" s="330"/>
      <c r="F86" s="330"/>
    </row>
    <row r="87" spans="1:6">
      <c r="A87" s="339"/>
      <c r="B87" s="341" t="s">
        <v>34</v>
      </c>
      <c r="C87" s="52"/>
      <c r="D87" s="330"/>
      <c r="E87" s="330"/>
      <c r="F87" s="330"/>
    </row>
    <row r="88" spans="1:6" s="345" customFormat="1">
      <c r="A88" s="342" t="s">
        <v>50</v>
      </c>
      <c r="B88" s="343"/>
      <c r="C88" s="24"/>
      <c r="D88" s="344"/>
      <c r="E88" s="344"/>
      <c r="F88" s="344"/>
    </row>
    <row r="89" spans="1:6">
      <c r="A89" s="339"/>
      <c r="B89" s="340" t="s">
        <v>1</v>
      </c>
      <c r="C89" s="24"/>
      <c r="D89" s="330"/>
      <c r="E89" s="330"/>
      <c r="F89" s="330"/>
    </row>
    <row r="90" spans="1:6">
      <c r="A90" s="339"/>
      <c r="B90" s="346" t="s">
        <v>33</v>
      </c>
      <c r="C90" s="52"/>
      <c r="D90" s="330"/>
      <c r="E90" s="330"/>
      <c r="F90" s="330"/>
    </row>
    <row r="91" spans="1:6">
      <c r="A91" s="339"/>
      <c r="B91" s="346" t="s">
        <v>34</v>
      </c>
      <c r="C91" s="52"/>
      <c r="D91" s="330"/>
      <c r="E91" s="330"/>
      <c r="F91" s="330"/>
    </row>
    <row r="92" spans="1:6" s="345" customFormat="1">
      <c r="A92" s="342" t="s">
        <v>4</v>
      </c>
      <c r="B92" s="347" t="s">
        <v>227</v>
      </c>
      <c r="C92" s="24"/>
      <c r="D92" s="344"/>
      <c r="E92" s="344"/>
      <c r="F92" s="344"/>
    </row>
    <row r="93" spans="1:6">
      <c r="A93" s="337" t="s">
        <v>254</v>
      </c>
      <c r="B93" s="338" t="s">
        <v>39</v>
      </c>
      <c r="C93" s="265"/>
      <c r="D93" s="330"/>
      <c r="E93" s="330"/>
      <c r="F93" s="330"/>
    </row>
    <row r="94" spans="1:6" s="345" customFormat="1">
      <c r="A94" s="342" t="s">
        <v>50</v>
      </c>
      <c r="B94" s="343"/>
      <c r="C94" s="24"/>
      <c r="D94" s="344"/>
      <c r="E94" s="344"/>
      <c r="F94" s="344"/>
    </row>
    <row r="95" spans="1:6" s="345" customFormat="1">
      <c r="A95" s="342" t="s">
        <v>4</v>
      </c>
      <c r="B95" s="347"/>
      <c r="C95" s="24"/>
      <c r="D95" s="344"/>
      <c r="E95" s="344"/>
      <c r="F95" s="344"/>
    </row>
    <row r="96" spans="1:6" ht="21" customHeight="1">
      <c r="A96" s="350"/>
      <c r="B96" s="351"/>
      <c r="C96" s="352"/>
    </row>
    <row r="97" spans="1:11" s="321" customFormat="1" ht="15" customHeight="1">
      <c r="A97" s="353"/>
      <c r="B97" s="353" t="s">
        <v>85</v>
      </c>
      <c r="C97" s="353"/>
      <c r="D97" s="353"/>
      <c r="E97" s="353"/>
      <c r="F97" s="353"/>
      <c r="G97" s="353"/>
      <c r="H97" s="353"/>
      <c r="I97" s="354"/>
      <c r="J97" s="324"/>
      <c r="K97" s="324"/>
    </row>
    <row r="98" spans="1:11" s="321" customFormat="1" ht="15" customHeight="1">
      <c r="A98" s="353"/>
      <c r="B98" s="353"/>
      <c r="C98" s="353"/>
      <c r="D98" s="353"/>
      <c r="E98" s="2312"/>
      <c r="F98" s="2312"/>
      <c r="G98" s="2312"/>
      <c r="H98" s="2312"/>
      <c r="I98" s="354"/>
      <c r="J98" s="324"/>
      <c r="K98" s="324"/>
    </row>
    <row r="99" spans="1:11" s="321" customFormat="1" ht="15" customHeight="1">
      <c r="B99" s="355" t="s">
        <v>234</v>
      </c>
      <c r="C99" s="356"/>
      <c r="D99" s="325"/>
      <c r="E99" s="325"/>
      <c r="F99" s="357"/>
      <c r="G99" s="358"/>
      <c r="H99" s="357"/>
      <c r="I99" s="354"/>
      <c r="J99" s="324"/>
      <c r="K99" s="324"/>
    </row>
    <row r="100" spans="1:11" ht="15.75" customHeight="1">
      <c r="A100" s="359"/>
      <c r="B100" s="360"/>
    </row>
    <row r="101" spans="1:11" ht="15.75" customHeight="1">
      <c r="A101" s="359"/>
      <c r="B101" s="360"/>
    </row>
    <row r="102" spans="1:11" ht="15" customHeight="1">
      <c r="A102" s="359"/>
      <c r="B102" s="360"/>
      <c r="C102" s="362"/>
    </row>
    <row r="103" spans="1:11" ht="24.75" customHeight="1">
      <c r="A103" s="359"/>
      <c r="B103" s="363"/>
      <c r="C103" s="364"/>
    </row>
    <row r="104" spans="1:11" ht="16.5" hidden="1" customHeight="1">
      <c r="B104" s="366"/>
      <c r="C104" s="366"/>
    </row>
    <row r="105" spans="1:11" hidden="1">
      <c r="B105" s="366"/>
      <c r="C105" s="367"/>
    </row>
    <row r="106" spans="1:11" ht="15.75" customHeight="1">
      <c r="A106" s="368"/>
      <c r="B106" s="366"/>
      <c r="C106" s="364"/>
    </row>
    <row r="107" spans="1:11" ht="30.75" customHeight="1">
      <c r="B107" s="369"/>
      <c r="C107" s="370"/>
    </row>
    <row r="108" spans="1:11" ht="14.25" customHeight="1">
      <c r="B108" s="369"/>
      <c r="C108" s="370"/>
    </row>
    <row r="109" spans="1:11" ht="14.25" customHeight="1">
      <c r="B109" s="369"/>
      <c r="C109" s="370"/>
    </row>
    <row r="111" spans="1:11" hidden="1">
      <c r="B111" s="297" t="s">
        <v>60</v>
      </c>
    </row>
  </sheetData>
  <mergeCells count="15">
    <mergeCell ref="A1:B1"/>
    <mergeCell ref="E3:F3"/>
    <mergeCell ref="A7:F7"/>
    <mergeCell ref="C8:E8"/>
    <mergeCell ref="A9:F9"/>
    <mergeCell ref="A10:F10"/>
    <mergeCell ref="A20:B20"/>
    <mergeCell ref="A76:B76"/>
    <mergeCell ref="E98:H98"/>
    <mergeCell ref="A13:A14"/>
    <mergeCell ref="B13:B14"/>
    <mergeCell ref="C13:C14"/>
    <mergeCell ref="D13:D14"/>
    <mergeCell ref="E13:E14"/>
    <mergeCell ref="F13:F14"/>
  </mergeCells>
  <pageMargins left="0.55118110236220474" right="0.31496062992125984" top="0.23622047244094491" bottom="0.23622047244094491" header="0" footer="0"/>
  <pageSetup paperSize="9" scale="57" fitToHeight="2" orientation="portrait" r:id="rId1"/>
  <headerFooter alignWithMargins="0">
    <oddFooter>&amp;C&amp;Z&amp;F</oddFooter>
  </headerFooter>
  <customProperties>
    <customPr name="krista_fm_consts" r:id="rId2"/>
  </customProperties>
</worksheet>
</file>

<file path=xl/worksheets/sheet9.xml><?xml version="1.0" encoding="utf-8"?>
<worksheet xmlns="http://schemas.openxmlformats.org/spreadsheetml/2006/main" xmlns:r="http://schemas.openxmlformats.org/officeDocument/2006/relationships">
  <sheetPr>
    <tabColor rgb="FF00B0F0"/>
    <pageSetUpPr fitToPage="1"/>
  </sheetPr>
  <dimension ref="A1:Q59"/>
  <sheetViews>
    <sheetView topLeftCell="A2" zoomScaleSheetLayoutView="100" workbookViewId="0">
      <selection activeCell="A5" sqref="A5:IV7"/>
    </sheetView>
  </sheetViews>
  <sheetFormatPr defaultColWidth="9.140625" defaultRowHeight="15.75"/>
  <cols>
    <col min="1" max="1" width="8.7109375" style="365" customWidth="1"/>
    <col min="2" max="2" width="47" style="297" customWidth="1"/>
    <col min="3" max="3" width="15.85546875" style="361" customWidth="1"/>
    <col min="4" max="4" width="13.140625" style="361" customWidth="1"/>
    <col min="5" max="5" width="10.85546875" style="361" customWidth="1"/>
    <col min="6" max="6" width="15.85546875" style="297" customWidth="1"/>
    <col min="7" max="7" width="13.5703125" style="297" customWidth="1"/>
    <col min="8" max="8" width="10.85546875" style="297" customWidth="1"/>
    <col min="9" max="9" width="12.5703125" style="297" customWidth="1"/>
    <col min="10" max="10" width="13.42578125" style="297" customWidth="1"/>
    <col min="11" max="11" width="11.5703125" style="297" customWidth="1"/>
    <col min="12" max="12" width="14" style="297" customWidth="1"/>
    <col min="13" max="13" width="12.7109375" style="297" customWidth="1"/>
    <col min="14" max="14" width="11.7109375" style="297" customWidth="1"/>
    <col min="15" max="16384" width="9.140625" style="297"/>
  </cols>
  <sheetData>
    <row r="1" spans="1:15" hidden="1">
      <c r="A1" s="2317" t="s">
        <v>78</v>
      </c>
      <c r="B1" s="2317"/>
      <c r="C1" s="320"/>
      <c r="D1" s="320"/>
      <c r="E1" s="320"/>
    </row>
    <row r="2" spans="1:15">
      <c r="A2" s="320"/>
      <c r="B2" s="320"/>
      <c r="C2" s="320"/>
      <c r="D2" s="320"/>
      <c r="E2" s="320"/>
      <c r="L2" s="320" t="s">
        <v>243</v>
      </c>
    </row>
    <row r="3" spans="1:15" s="321" customFormat="1">
      <c r="C3" s="322"/>
      <c r="D3" s="322"/>
      <c r="E3" s="322"/>
      <c r="F3" s="322"/>
      <c r="G3" s="322"/>
      <c r="H3" s="322"/>
      <c r="I3" s="2318" t="s">
        <v>239</v>
      </c>
      <c r="J3" s="2318"/>
      <c r="K3" s="2318"/>
      <c r="L3" s="2318"/>
      <c r="N3" s="324"/>
      <c r="O3" s="324"/>
    </row>
    <row r="4" spans="1:15" s="321" customFormat="1">
      <c r="C4" s="322"/>
      <c r="D4" s="322"/>
      <c r="E4" s="322"/>
      <c r="F4" s="325"/>
      <c r="G4" s="325"/>
      <c r="H4" s="325"/>
      <c r="I4" s="325"/>
      <c r="J4" s="325"/>
      <c r="K4" s="325"/>
      <c r="L4" s="326"/>
      <c r="N4" s="324"/>
      <c r="O4" s="324"/>
    </row>
    <row r="5" spans="1:15" s="321" customFormat="1" ht="18" customHeight="1">
      <c r="A5" s="2320" t="s">
        <v>5</v>
      </c>
      <c r="B5" s="2320"/>
      <c r="C5" s="2320"/>
      <c r="D5" s="2320"/>
      <c r="E5" s="2320"/>
      <c r="F5" s="2320"/>
      <c r="G5" s="2320"/>
      <c r="H5" s="2320"/>
      <c r="I5" s="2320"/>
      <c r="J5" s="2320"/>
      <c r="K5" s="2320"/>
      <c r="L5" s="2320"/>
      <c r="M5" s="2320"/>
      <c r="N5" s="2320"/>
      <c r="O5" s="324"/>
    </row>
    <row r="6" spans="1:15" s="321" customFormat="1" ht="18" customHeight="1">
      <c r="A6" s="2320" t="s">
        <v>236</v>
      </c>
      <c r="B6" s="2320"/>
      <c r="C6" s="2320"/>
      <c r="D6" s="2320"/>
      <c r="E6" s="2320"/>
      <c r="F6" s="2320"/>
      <c r="G6" s="2320"/>
      <c r="H6" s="2320"/>
      <c r="I6" s="2320"/>
      <c r="J6" s="2320"/>
      <c r="K6" s="2320"/>
      <c r="L6" s="2320"/>
      <c r="M6" s="2320"/>
      <c r="N6" s="2320"/>
      <c r="O6" s="324"/>
    </row>
    <row r="7" spans="1:15" s="321" customFormat="1" ht="18" customHeight="1">
      <c r="A7" s="2320" t="s">
        <v>229</v>
      </c>
      <c r="B7" s="2320"/>
      <c r="C7" s="2320"/>
      <c r="D7" s="2320"/>
      <c r="E7" s="2320"/>
      <c r="F7" s="2320"/>
      <c r="G7" s="2320"/>
      <c r="H7" s="2320"/>
      <c r="I7" s="2320"/>
      <c r="J7" s="2320"/>
      <c r="K7" s="2320"/>
      <c r="L7" s="2320"/>
      <c r="M7" s="2320"/>
      <c r="N7" s="2320"/>
      <c r="O7" s="324"/>
    </row>
    <row r="8" spans="1:15" s="321" customFormat="1">
      <c r="A8" s="327"/>
      <c r="B8" s="327"/>
      <c r="C8" s="327"/>
      <c r="D8" s="327"/>
      <c r="E8" s="327"/>
      <c r="F8" s="327"/>
      <c r="G8" s="327"/>
      <c r="H8" s="327"/>
      <c r="I8" s="327"/>
      <c r="J8" s="327"/>
      <c r="K8" s="327" t="s">
        <v>230</v>
      </c>
      <c r="N8" s="324"/>
      <c r="O8" s="324"/>
    </row>
    <row r="9" spans="1:15" ht="20.25" customHeight="1">
      <c r="A9" s="2313" t="s">
        <v>18</v>
      </c>
      <c r="B9" s="2325" t="s">
        <v>0</v>
      </c>
      <c r="C9" s="2321" t="s">
        <v>260</v>
      </c>
      <c r="D9" s="2323" t="s">
        <v>257</v>
      </c>
      <c r="E9" s="2324"/>
      <c r="F9" s="2321" t="s">
        <v>235</v>
      </c>
      <c r="G9" s="2323" t="s">
        <v>257</v>
      </c>
      <c r="H9" s="2324"/>
      <c r="I9" s="2316" t="s">
        <v>237</v>
      </c>
      <c r="J9" s="2323" t="s">
        <v>257</v>
      </c>
      <c r="K9" s="2324"/>
      <c r="L9" s="2316" t="s">
        <v>238</v>
      </c>
      <c r="M9" s="2323" t="s">
        <v>257</v>
      </c>
      <c r="N9" s="2324"/>
    </row>
    <row r="10" spans="1:15" s="238" customFormat="1" ht="69.75" customHeight="1">
      <c r="A10" s="2314"/>
      <c r="B10" s="2325"/>
      <c r="C10" s="2322"/>
      <c r="D10" s="378" t="s">
        <v>259</v>
      </c>
      <c r="E10" s="378" t="s">
        <v>258</v>
      </c>
      <c r="F10" s="2322"/>
      <c r="G10" s="378" t="s">
        <v>259</v>
      </c>
      <c r="H10" s="378" t="s">
        <v>258</v>
      </c>
      <c r="I10" s="2316"/>
      <c r="J10" s="378" t="s">
        <v>259</v>
      </c>
      <c r="K10" s="378" t="s">
        <v>258</v>
      </c>
      <c r="L10" s="2316"/>
      <c r="M10" s="378" t="s">
        <v>259</v>
      </c>
      <c r="N10" s="378" t="s">
        <v>258</v>
      </c>
    </row>
    <row r="11" spans="1:15" ht="16.5" customHeight="1">
      <c r="A11" s="328">
        <v>1</v>
      </c>
      <c r="B11" s="372">
        <v>2</v>
      </c>
      <c r="C11" s="329">
        <v>3</v>
      </c>
      <c r="D11" s="329">
        <v>4</v>
      </c>
      <c r="E11" s="329">
        <v>5</v>
      </c>
      <c r="F11" s="371">
        <v>6</v>
      </c>
      <c r="G11" s="371">
        <v>7</v>
      </c>
      <c r="H11" s="371">
        <v>8</v>
      </c>
      <c r="I11" s="371">
        <v>9</v>
      </c>
      <c r="J11" s="371">
        <v>10</v>
      </c>
      <c r="K11" s="371">
        <v>11</v>
      </c>
      <c r="L11" s="371">
        <v>12</v>
      </c>
      <c r="M11" s="371">
        <v>13</v>
      </c>
      <c r="N11" s="371">
        <v>14</v>
      </c>
    </row>
    <row r="12" spans="1:15" s="333" customFormat="1" ht="20.25" customHeight="1">
      <c r="A12" s="331"/>
      <c r="B12" s="373" t="s">
        <v>10</v>
      </c>
      <c r="C12" s="267"/>
      <c r="D12" s="267"/>
      <c r="E12" s="267"/>
      <c r="F12" s="332"/>
      <c r="G12" s="332"/>
      <c r="H12" s="332"/>
      <c r="I12" s="332"/>
      <c r="J12" s="332"/>
      <c r="K12" s="332"/>
      <c r="L12" s="332"/>
      <c r="M12" s="332"/>
      <c r="N12" s="332"/>
    </row>
    <row r="13" spans="1:15" s="376" customFormat="1" ht="59.25" customHeight="1">
      <c r="A13" s="2310" t="s">
        <v>261</v>
      </c>
      <c r="B13" s="2311"/>
      <c r="C13" s="374"/>
      <c r="D13" s="374"/>
      <c r="E13" s="374"/>
      <c r="F13" s="375"/>
      <c r="G13" s="375"/>
      <c r="H13" s="375"/>
      <c r="I13" s="375"/>
      <c r="J13" s="375"/>
      <c r="K13" s="375"/>
      <c r="L13" s="375"/>
      <c r="M13" s="375"/>
      <c r="N13" s="375"/>
    </row>
    <row r="14" spans="1:15" ht="97.5" customHeight="1">
      <c r="A14" s="335" t="s">
        <v>6</v>
      </c>
      <c r="B14" s="319" t="s">
        <v>244</v>
      </c>
      <c r="C14" s="268"/>
      <c r="D14" s="268"/>
      <c r="E14" s="268"/>
      <c r="F14" s="336"/>
      <c r="G14" s="336"/>
      <c r="H14" s="336"/>
      <c r="I14" s="336"/>
      <c r="J14" s="336"/>
      <c r="K14" s="336"/>
      <c r="L14" s="336"/>
      <c r="M14" s="336"/>
      <c r="N14" s="336"/>
    </row>
    <row r="15" spans="1:15" ht="33.75" customHeight="1">
      <c r="A15" s="337" t="s">
        <v>30</v>
      </c>
      <c r="B15" s="338" t="s">
        <v>41</v>
      </c>
      <c r="C15" s="265"/>
      <c r="D15" s="265"/>
      <c r="E15" s="265"/>
      <c r="F15" s="330"/>
      <c r="G15" s="330"/>
      <c r="H15" s="330"/>
      <c r="I15" s="330"/>
      <c r="J15" s="330"/>
      <c r="K15" s="330"/>
      <c r="L15" s="330"/>
      <c r="M15" s="330"/>
      <c r="N15" s="330"/>
    </row>
    <row r="16" spans="1:15" s="345" customFormat="1">
      <c r="A16" s="342" t="s">
        <v>50</v>
      </c>
      <c r="B16" s="347" t="s">
        <v>227</v>
      </c>
      <c r="C16" s="24"/>
      <c r="D16" s="24"/>
      <c r="E16" s="24"/>
      <c r="F16" s="344"/>
      <c r="G16" s="344"/>
      <c r="H16" s="344"/>
      <c r="I16" s="344"/>
      <c r="J16" s="344"/>
      <c r="K16" s="344"/>
      <c r="L16" s="344"/>
      <c r="M16" s="344"/>
      <c r="N16" s="344"/>
    </row>
    <row r="17" spans="1:14" s="345" customFormat="1">
      <c r="A17" s="342" t="s">
        <v>4</v>
      </c>
      <c r="B17" s="347" t="s">
        <v>227</v>
      </c>
      <c r="C17" s="24"/>
      <c r="D17" s="24"/>
      <c r="E17" s="24"/>
      <c r="F17" s="344"/>
      <c r="G17" s="344"/>
      <c r="H17" s="344"/>
      <c r="I17" s="344"/>
      <c r="J17" s="344"/>
      <c r="K17" s="344"/>
      <c r="L17" s="344"/>
      <c r="M17" s="344"/>
      <c r="N17" s="344"/>
    </row>
    <row r="18" spans="1:14" ht="32.25" customHeight="1">
      <c r="A18" s="337" t="s">
        <v>31</v>
      </c>
      <c r="B18" s="338" t="s">
        <v>39</v>
      </c>
      <c r="C18" s="265"/>
      <c r="D18" s="265"/>
      <c r="E18" s="265"/>
      <c r="F18" s="330"/>
      <c r="G18" s="330"/>
      <c r="H18" s="330"/>
      <c r="I18" s="330"/>
      <c r="J18" s="330"/>
      <c r="K18" s="330"/>
      <c r="L18" s="330"/>
      <c r="M18" s="330"/>
      <c r="N18" s="330"/>
    </row>
    <row r="19" spans="1:14" s="345" customFormat="1">
      <c r="A19" s="342" t="s">
        <v>50</v>
      </c>
      <c r="B19" s="347" t="s">
        <v>227</v>
      </c>
      <c r="C19" s="24"/>
      <c r="D19" s="24"/>
      <c r="E19" s="24"/>
      <c r="F19" s="344"/>
      <c r="G19" s="344"/>
      <c r="H19" s="344"/>
      <c r="I19" s="344"/>
      <c r="J19" s="344"/>
      <c r="K19" s="344"/>
      <c r="L19" s="344"/>
      <c r="M19" s="344"/>
      <c r="N19" s="344"/>
    </row>
    <row r="20" spans="1:14" s="345" customFormat="1">
      <c r="A20" s="342" t="s">
        <v>4</v>
      </c>
      <c r="B20" s="347" t="s">
        <v>227</v>
      </c>
      <c r="C20" s="24"/>
      <c r="D20" s="24"/>
      <c r="E20" s="24"/>
      <c r="F20" s="344"/>
      <c r="G20" s="344"/>
      <c r="H20" s="344"/>
      <c r="I20" s="344"/>
      <c r="J20" s="344"/>
      <c r="K20" s="344"/>
      <c r="L20" s="344"/>
      <c r="M20" s="344"/>
      <c r="N20" s="344"/>
    </row>
    <row r="21" spans="1:14" ht="48" customHeight="1">
      <c r="A21" s="348" t="s">
        <v>2</v>
      </c>
      <c r="B21" s="349" t="s">
        <v>221</v>
      </c>
      <c r="C21" s="268"/>
      <c r="D21" s="268"/>
      <c r="E21" s="268"/>
      <c r="F21" s="336"/>
      <c r="G21" s="336"/>
      <c r="H21" s="336"/>
      <c r="I21" s="336"/>
      <c r="J21" s="336"/>
      <c r="K21" s="336"/>
      <c r="L21" s="336"/>
      <c r="M21" s="336"/>
      <c r="N21" s="336"/>
    </row>
    <row r="22" spans="1:14" ht="81" customHeight="1">
      <c r="A22" s="348" t="s">
        <v>246</v>
      </c>
      <c r="B22" s="319" t="s">
        <v>245</v>
      </c>
      <c r="C22" s="268"/>
      <c r="D22" s="268"/>
      <c r="E22" s="268"/>
      <c r="F22" s="336"/>
      <c r="G22" s="336"/>
      <c r="H22" s="336"/>
      <c r="I22" s="336"/>
      <c r="J22" s="336"/>
      <c r="K22" s="336"/>
      <c r="L22" s="336"/>
      <c r="M22" s="336"/>
      <c r="N22" s="336"/>
    </row>
    <row r="23" spans="1:14" ht="33" customHeight="1">
      <c r="A23" s="337" t="s">
        <v>247</v>
      </c>
      <c r="B23" s="338" t="s">
        <v>41</v>
      </c>
      <c r="C23" s="265"/>
      <c r="D23" s="265"/>
      <c r="E23" s="265"/>
      <c r="F23" s="330"/>
      <c r="G23" s="330"/>
      <c r="H23" s="330"/>
      <c r="I23" s="330"/>
      <c r="J23" s="330"/>
      <c r="K23" s="330"/>
      <c r="L23" s="330"/>
      <c r="M23" s="330"/>
      <c r="N23" s="330"/>
    </row>
    <row r="24" spans="1:14" s="345" customFormat="1">
      <c r="A24" s="342" t="s">
        <v>50</v>
      </c>
      <c r="B24" s="347" t="s">
        <v>227</v>
      </c>
      <c r="C24" s="24"/>
      <c r="D24" s="24"/>
      <c r="E24" s="24"/>
      <c r="F24" s="344"/>
      <c r="G24" s="344"/>
      <c r="H24" s="344"/>
      <c r="I24" s="344"/>
      <c r="J24" s="344"/>
      <c r="K24" s="344"/>
      <c r="L24" s="344"/>
      <c r="M24" s="344"/>
      <c r="N24" s="344"/>
    </row>
    <row r="25" spans="1:14" s="345" customFormat="1">
      <c r="A25" s="342" t="s">
        <v>4</v>
      </c>
      <c r="B25" s="347" t="s">
        <v>227</v>
      </c>
      <c r="C25" s="24"/>
      <c r="D25" s="24"/>
      <c r="E25" s="24"/>
      <c r="F25" s="344"/>
      <c r="G25" s="344"/>
      <c r="H25" s="344"/>
      <c r="I25" s="344"/>
      <c r="J25" s="344"/>
      <c r="K25" s="344"/>
      <c r="L25" s="344"/>
      <c r="M25" s="344"/>
      <c r="N25" s="344"/>
    </row>
    <row r="26" spans="1:14" ht="31.5">
      <c r="A26" s="337" t="s">
        <v>248</v>
      </c>
      <c r="B26" s="338" t="s">
        <v>39</v>
      </c>
      <c r="C26" s="265"/>
      <c r="D26" s="265"/>
      <c r="E26" s="265"/>
      <c r="F26" s="330"/>
      <c r="G26" s="330"/>
      <c r="H26" s="330"/>
      <c r="I26" s="330"/>
      <c r="J26" s="330"/>
      <c r="K26" s="330"/>
      <c r="L26" s="330"/>
      <c r="M26" s="330"/>
      <c r="N26" s="330"/>
    </row>
    <row r="27" spans="1:14" s="345" customFormat="1">
      <c r="A27" s="342" t="s">
        <v>50</v>
      </c>
      <c r="B27" s="347" t="s">
        <v>227</v>
      </c>
      <c r="C27" s="24"/>
      <c r="D27" s="24"/>
      <c r="E27" s="24"/>
      <c r="F27" s="344"/>
      <c r="G27" s="344"/>
      <c r="H27" s="344"/>
      <c r="I27" s="344"/>
      <c r="J27" s="344"/>
      <c r="K27" s="344"/>
      <c r="L27" s="344"/>
      <c r="M27" s="344"/>
      <c r="N27" s="344"/>
    </row>
    <row r="28" spans="1:14" s="345" customFormat="1">
      <c r="A28" s="342" t="s">
        <v>4</v>
      </c>
      <c r="B28" s="347" t="s">
        <v>227</v>
      </c>
      <c r="C28" s="24"/>
      <c r="D28" s="24"/>
      <c r="E28" s="24"/>
      <c r="F28" s="344"/>
      <c r="G28" s="344"/>
      <c r="H28" s="344"/>
      <c r="I28" s="344"/>
      <c r="J28" s="344"/>
      <c r="K28" s="344"/>
      <c r="L28" s="344"/>
      <c r="M28" s="344"/>
      <c r="N28" s="344"/>
    </row>
    <row r="29" spans="1:14" ht="66.75" customHeight="1">
      <c r="A29" s="348" t="s">
        <v>249</v>
      </c>
      <c r="B29" s="319" t="s">
        <v>252</v>
      </c>
      <c r="C29" s="268"/>
      <c r="D29" s="268"/>
      <c r="E29" s="268"/>
      <c r="F29" s="336"/>
      <c r="G29" s="336"/>
      <c r="H29" s="336"/>
      <c r="I29" s="336"/>
      <c r="J29" s="336"/>
      <c r="K29" s="336"/>
      <c r="L29" s="336"/>
      <c r="M29" s="336"/>
      <c r="N29" s="336"/>
    </row>
    <row r="30" spans="1:14" ht="35.25" customHeight="1">
      <c r="A30" s="337" t="s">
        <v>250</v>
      </c>
      <c r="B30" s="338" t="s">
        <v>41</v>
      </c>
      <c r="C30" s="265"/>
      <c r="D30" s="265"/>
      <c r="E30" s="265"/>
      <c r="F30" s="330"/>
      <c r="G30" s="330"/>
      <c r="H30" s="330"/>
      <c r="I30" s="330"/>
      <c r="J30" s="330"/>
      <c r="K30" s="330"/>
      <c r="L30" s="330"/>
      <c r="M30" s="330"/>
      <c r="N30" s="330"/>
    </row>
    <row r="31" spans="1:14" s="345" customFormat="1">
      <c r="A31" s="342" t="s">
        <v>50</v>
      </c>
      <c r="B31" s="347" t="s">
        <v>227</v>
      </c>
      <c r="C31" s="24"/>
      <c r="D31" s="24"/>
      <c r="E31" s="24"/>
      <c r="F31" s="344"/>
      <c r="G31" s="344"/>
      <c r="H31" s="344"/>
      <c r="I31" s="344"/>
      <c r="J31" s="344"/>
      <c r="K31" s="344"/>
      <c r="L31" s="344"/>
      <c r="M31" s="344"/>
      <c r="N31" s="344"/>
    </row>
    <row r="32" spans="1:14" s="345" customFormat="1">
      <c r="A32" s="342" t="s">
        <v>4</v>
      </c>
      <c r="B32" s="347" t="s">
        <v>227</v>
      </c>
      <c r="C32" s="24"/>
      <c r="D32" s="24"/>
      <c r="E32" s="24"/>
      <c r="F32" s="344"/>
      <c r="G32" s="344"/>
      <c r="H32" s="344"/>
      <c r="I32" s="344"/>
      <c r="J32" s="344"/>
      <c r="K32" s="344"/>
      <c r="L32" s="344"/>
      <c r="M32" s="344"/>
      <c r="N32" s="344"/>
    </row>
    <row r="33" spans="1:17" ht="31.5">
      <c r="A33" s="337" t="s">
        <v>251</v>
      </c>
      <c r="B33" s="338" t="s">
        <v>39</v>
      </c>
      <c r="C33" s="265"/>
      <c r="D33" s="265"/>
      <c r="E33" s="265"/>
      <c r="F33" s="330"/>
      <c r="G33" s="330"/>
      <c r="H33" s="330"/>
      <c r="I33" s="330"/>
      <c r="J33" s="330"/>
      <c r="K33" s="330"/>
      <c r="L33" s="330"/>
      <c r="M33" s="330"/>
      <c r="N33" s="330"/>
    </row>
    <row r="34" spans="1:17" s="345" customFormat="1">
      <c r="A34" s="342" t="s">
        <v>50</v>
      </c>
      <c r="B34" s="347" t="s">
        <v>227</v>
      </c>
      <c r="C34" s="24"/>
      <c r="D34" s="24"/>
      <c r="E34" s="24"/>
      <c r="F34" s="344"/>
      <c r="G34" s="344"/>
      <c r="H34" s="344"/>
      <c r="I34" s="344"/>
      <c r="J34" s="344"/>
      <c r="K34" s="344"/>
      <c r="L34" s="344"/>
      <c r="M34" s="344"/>
      <c r="N34" s="344"/>
    </row>
    <row r="35" spans="1:17" s="345" customFormat="1">
      <c r="A35" s="342" t="s">
        <v>4</v>
      </c>
      <c r="B35" s="347" t="s">
        <v>227</v>
      </c>
      <c r="C35" s="24"/>
      <c r="D35" s="24"/>
      <c r="E35" s="24"/>
      <c r="F35" s="344"/>
      <c r="G35" s="344"/>
      <c r="H35" s="344"/>
      <c r="I35" s="344"/>
      <c r="J35" s="344"/>
      <c r="K35" s="344"/>
      <c r="L35" s="344"/>
      <c r="M35" s="344"/>
      <c r="N35" s="344"/>
    </row>
    <row r="36" spans="1:17" s="376" customFormat="1" ht="64.5" customHeight="1">
      <c r="A36" s="2310" t="s">
        <v>262</v>
      </c>
      <c r="B36" s="2311"/>
      <c r="C36" s="374"/>
      <c r="D36" s="374"/>
      <c r="E36" s="374"/>
      <c r="F36" s="375"/>
      <c r="G36" s="375"/>
      <c r="H36" s="375"/>
      <c r="I36" s="375"/>
      <c r="J36" s="375"/>
      <c r="K36" s="375"/>
      <c r="L36" s="375"/>
      <c r="M36" s="375"/>
      <c r="N36" s="375"/>
    </row>
    <row r="37" spans="1:17" ht="33.75" customHeight="1">
      <c r="A37" s="348" t="s">
        <v>6</v>
      </c>
      <c r="B37" s="349" t="s">
        <v>222</v>
      </c>
      <c r="C37" s="268"/>
      <c r="D37" s="268"/>
      <c r="E37" s="268"/>
      <c r="F37" s="336"/>
      <c r="G37" s="336"/>
      <c r="H37" s="336"/>
      <c r="I37" s="336"/>
      <c r="J37" s="336"/>
      <c r="K37" s="336"/>
      <c r="L37" s="336"/>
      <c r="M37" s="336"/>
      <c r="N37" s="336"/>
    </row>
    <row r="38" spans="1:17" ht="30" customHeight="1">
      <c r="A38" s="337" t="s">
        <v>253</v>
      </c>
      <c r="B38" s="338" t="s">
        <v>41</v>
      </c>
      <c r="C38" s="265"/>
      <c r="D38" s="265"/>
      <c r="E38" s="265"/>
      <c r="F38" s="330"/>
      <c r="G38" s="330"/>
      <c r="H38" s="330"/>
      <c r="I38" s="330"/>
      <c r="J38" s="330"/>
      <c r="K38" s="330"/>
      <c r="L38" s="330"/>
      <c r="M38" s="330"/>
      <c r="N38" s="330"/>
    </row>
    <row r="39" spans="1:17" s="345" customFormat="1">
      <c r="A39" s="342" t="s">
        <v>50</v>
      </c>
      <c r="B39" s="347" t="s">
        <v>227</v>
      </c>
      <c r="C39" s="24"/>
      <c r="D39" s="24"/>
      <c r="E39" s="24"/>
      <c r="F39" s="344"/>
      <c r="G39" s="344"/>
      <c r="H39" s="344"/>
      <c r="I39" s="344"/>
      <c r="J39" s="344"/>
      <c r="K39" s="344"/>
      <c r="L39" s="344"/>
      <c r="M39" s="344"/>
      <c r="N39" s="344"/>
    </row>
    <row r="40" spans="1:17" s="345" customFormat="1">
      <c r="A40" s="342" t="s">
        <v>4</v>
      </c>
      <c r="B40" s="347" t="s">
        <v>227</v>
      </c>
      <c r="C40" s="24"/>
      <c r="D40" s="24"/>
      <c r="E40" s="24"/>
      <c r="F40" s="344"/>
      <c r="G40" s="344"/>
      <c r="H40" s="344"/>
      <c r="I40" s="344"/>
      <c r="J40" s="344"/>
      <c r="K40" s="344"/>
      <c r="L40" s="344"/>
      <c r="M40" s="344"/>
      <c r="N40" s="344"/>
    </row>
    <row r="41" spans="1:17" ht="34.5" customHeight="1">
      <c r="A41" s="337" t="s">
        <v>254</v>
      </c>
      <c r="B41" s="338" t="s">
        <v>39</v>
      </c>
      <c r="C41" s="265"/>
      <c r="D41" s="265"/>
      <c r="E41" s="265"/>
      <c r="F41" s="330"/>
      <c r="G41" s="330"/>
      <c r="H41" s="330"/>
      <c r="I41" s="330"/>
      <c r="J41" s="330"/>
      <c r="K41" s="330"/>
      <c r="L41" s="330"/>
      <c r="M41" s="330"/>
      <c r="N41" s="330"/>
    </row>
    <row r="42" spans="1:17" s="345" customFormat="1">
      <c r="A42" s="342" t="s">
        <v>50</v>
      </c>
      <c r="B42" s="347" t="s">
        <v>227</v>
      </c>
      <c r="C42" s="24"/>
      <c r="D42" s="24"/>
      <c r="E42" s="24"/>
      <c r="F42" s="344"/>
      <c r="G42" s="344"/>
      <c r="H42" s="344"/>
      <c r="I42" s="344"/>
      <c r="J42" s="344"/>
      <c r="K42" s="344"/>
      <c r="L42" s="344"/>
      <c r="M42" s="344"/>
      <c r="N42" s="344"/>
    </row>
    <row r="43" spans="1:17" s="345" customFormat="1">
      <c r="A43" s="342" t="s">
        <v>4</v>
      </c>
      <c r="B43" s="347" t="s">
        <v>227</v>
      </c>
      <c r="C43" s="24"/>
      <c r="D43" s="24"/>
      <c r="E43" s="24"/>
      <c r="F43" s="344"/>
      <c r="G43" s="344"/>
      <c r="H43" s="344"/>
      <c r="I43" s="344"/>
      <c r="J43" s="344"/>
      <c r="K43" s="344"/>
      <c r="L43" s="344"/>
      <c r="M43" s="344"/>
      <c r="N43" s="344"/>
    </row>
    <row r="44" spans="1:17" ht="16.5" customHeight="1">
      <c r="A44" s="350"/>
      <c r="B44" s="351"/>
      <c r="C44" s="352"/>
      <c r="D44" s="352"/>
      <c r="E44" s="352"/>
    </row>
    <row r="45" spans="1:17" s="321" customFormat="1" ht="15" customHeight="1">
      <c r="A45" s="353"/>
      <c r="B45" s="353" t="s">
        <v>85</v>
      </c>
      <c r="C45" s="353"/>
      <c r="D45" s="353"/>
      <c r="E45" s="353"/>
      <c r="F45" s="353"/>
      <c r="G45" s="353"/>
      <c r="H45" s="353"/>
      <c r="I45" s="353"/>
      <c r="J45" s="353"/>
      <c r="K45" s="353"/>
      <c r="L45" s="353"/>
      <c r="M45" s="353"/>
      <c r="N45" s="353"/>
      <c r="O45" s="354"/>
      <c r="P45" s="324"/>
      <c r="Q45" s="324"/>
    </row>
    <row r="46" spans="1:17" s="321" customFormat="1" ht="15" customHeight="1">
      <c r="A46" s="353"/>
      <c r="B46" s="353"/>
      <c r="C46" s="353"/>
      <c r="D46" s="353"/>
      <c r="E46" s="353"/>
      <c r="F46" s="353"/>
      <c r="G46" s="353"/>
      <c r="H46" s="353"/>
      <c r="I46" s="2312"/>
      <c r="J46" s="2312"/>
      <c r="K46" s="2312"/>
      <c r="L46" s="2312"/>
      <c r="M46" s="2312"/>
      <c r="N46" s="2312"/>
      <c r="O46" s="354"/>
      <c r="P46" s="324"/>
      <c r="Q46" s="324"/>
    </row>
    <row r="47" spans="1:17" s="321" customFormat="1" ht="15" customHeight="1">
      <c r="B47" s="355" t="s">
        <v>234</v>
      </c>
      <c r="C47" s="356"/>
      <c r="D47" s="356"/>
      <c r="E47" s="356"/>
      <c r="F47" s="325"/>
      <c r="G47" s="325"/>
      <c r="H47" s="325"/>
      <c r="I47" s="325"/>
      <c r="J47" s="325"/>
      <c r="K47" s="325"/>
      <c r="L47" s="357"/>
      <c r="M47" s="358"/>
      <c r="N47" s="357"/>
      <c r="O47" s="354"/>
      <c r="P47" s="324"/>
      <c r="Q47" s="324"/>
    </row>
    <row r="48" spans="1:17" ht="15.75" customHeight="1">
      <c r="A48" s="359"/>
      <c r="B48" s="360"/>
    </row>
    <row r="49" spans="1:5" ht="15.75" customHeight="1">
      <c r="A49" s="359"/>
      <c r="B49" s="360"/>
    </row>
    <row r="50" spans="1:5" ht="15" customHeight="1">
      <c r="A50" s="359"/>
      <c r="B50" s="360"/>
      <c r="C50" s="362"/>
      <c r="D50" s="362"/>
      <c r="E50" s="362"/>
    </row>
    <row r="51" spans="1:5" ht="24.75" customHeight="1">
      <c r="A51" s="359"/>
      <c r="B51" s="363"/>
      <c r="C51" s="364"/>
      <c r="D51" s="364"/>
      <c r="E51" s="364"/>
    </row>
    <row r="52" spans="1:5" ht="16.5" hidden="1" customHeight="1">
      <c r="B52" s="366"/>
      <c r="C52" s="366"/>
      <c r="D52" s="366"/>
      <c r="E52" s="366"/>
    </row>
    <row r="53" spans="1:5" hidden="1">
      <c r="B53" s="366"/>
      <c r="C53" s="367"/>
      <c r="D53" s="367"/>
      <c r="E53" s="367"/>
    </row>
    <row r="54" spans="1:5" ht="15.75" customHeight="1">
      <c r="A54" s="368"/>
      <c r="B54" s="366"/>
      <c r="C54" s="364"/>
      <c r="D54" s="364"/>
      <c r="E54" s="364"/>
    </row>
    <row r="55" spans="1:5" ht="30.75" customHeight="1">
      <c r="B55" s="369"/>
      <c r="C55" s="370"/>
      <c r="D55" s="370"/>
      <c r="E55" s="370"/>
    </row>
    <row r="56" spans="1:5" ht="14.25" customHeight="1">
      <c r="B56" s="369"/>
      <c r="C56" s="370"/>
      <c r="D56" s="370"/>
      <c r="E56" s="370"/>
    </row>
    <row r="57" spans="1:5" ht="14.25" customHeight="1">
      <c r="B57" s="369"/>
      <c r="C57" s="370"/>
      <c r="D57" s="370"/>
      <c r="E57" s="370"/>
    </row>
    <row r="59" spans="1:5" hidden="1">
      <c r="B59" s="297" t="s">
        <v>60</v>
      </c>
    </row>
  </sheetData>
  <mergeCells count="18">
    <mergeCell ref="A13:B13"/>
    <mergeCell ref="A36:B36"/>
    <mergeCell ref="I46:N46"/>
    <mergeCell ref="D9:E9"/>
    <mergeCell ref="G9:H9"/>
    <mergeCell ref="J9:K9"/>
    <mergeCell ref="M9:N9"/>
    <mergeCell ref="A9:A10"/>
    <mergeCell ref="B9:B10"/>
    <mergeCell ref="C9:C10"/>
    <mergeCell ref="A7:N7"/>
    <mergeCell ref="F9:F10"/>
    <mergeCell ref="I9:I10"/>
    <mergeCell ref="L9:L10"/>
    <mergeCell ref="A1:B1"/>
    <mergeCell ref="I3:L3"/>
    <mergeCell ref="A5:N5"/>
    <mergeCell ref="A6:N6"/>
  </mergeCells>
  <pageMargins left="0.55118110236220474" right="0.31496062992125984" top="0.23622047244094491" bottom="0.23622047244094491" header="0" footer="0"/>
  <pageSetup paperSize="9" scale="66" fitToHeight="2" orientation="landscape" r:id="rId1"/>
  <headerFooter alignWithMargins="0">
    <oddFooter>&amp;C&amp;Z&amp;F</oddFooter>
  </headerFooter>
  <customProperties>
    <customPr name="krista_fm_const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53</vt:i4>
      </vt:variant>
      <vt:variant>
        <vt:lpstr>Именованные диапазоны</vt:lpstr>
      </vt:variant>
      <vt:variant>
        <vt:i4>93</vt:i4>
      </vt:variant>
    </vt:vector>
  </HeadingPairs>
  <TitlesOfParts>
    <vt:vector size="146" baseType="lpstr">
      <vt:lpstr>январь-декабрь</vt:lpstr>
      <vt:lpstr>январь-декабрь 2011 </vt:lpstr>
      <vt:lpstr>2012 год</vt:lpstr>
      <vt:lpstr>2012 г. согл.расп</vt:lpstr>
      <vt:lpstr>Прил 3</vt:lpstr>
      <vt:lpstr>Прил 4</vt:lpstr>
      <vt:lpstr>Прил 3 изм 2015 (3)</vt:lpstr>
      <vt:lpstr>Прил 4 изм 2015 (2)</vt:lpstr>
      <vt:lpstr>Прил 3 изм 2015 (4)</vt:lpstr>
      <vt:lpstr>старая форма</vt:lpstr>
      <vt:lpstr>16,16А</vt:lpstr>
      <vt:lpstr>16А-кратко (3)</vt:lpstr>
      <vt:lpstr>16А-кратко 1</vt:lpstr>
      <vt:lpstr>лимиты</vt:lpstr>
      <vt:lpstr>16А-кратко с ЛБО</vt:lpstr>
      <vt:lpstr>Лист2</vt:lpstr>
      <vt:lpstr>Лист1</vt:lpstr>
      <vt:lpstr>2019</vt:lpstr>
      <vt:lpstr>Справка</vt:lpstr>
      <vt:lpstr>Справка (2)</vt:lpstr>
      <vt:lpstr>Справка (к планерке)</vt:lpstr>
      <vt:lpstr>вода</vt:lpstr>
      <vt:lpstr>Справка (к планерке) (2)</vt:lpstr>
      <vt:lpstr>Справка (к планерке) (3)</vt:lpstr>
      <vt:lpstr>Справка (к планерке) (4)</vt:lpstr>
      <vt:lpstr>Справка (к планерке) (5)</vt:lpstr>
      <vt:lpstr>НП</vt:lpstr>
      <vt:lpstr>доу школы</vt:lpstr>
      <vt:lpstr>газ, котельные</vt:lpstr>
      <vt:lpstr>для Кристы КБК</vt:lpstr>
      <vt:lpstr>2019 (4)</vt:lpstr>
      <vt:lpstr>2019 (3)</vt:lpstr>
      <vt:lpstr>только школы</vt:lpstr>
      <vt:lpstr>справка АИП</vt:lpstr>
      <vt:lpstr>справка АИП (2)</vt:lpstr>
      <vt:lpstr>Диаграмма</vt:lpstr>
      <vt:lpstr>справка АИП для поправок</vt:lpstr>
      <vt:lpstr>справка АИП (3)</vt:lpstr>
      <vt:lpstr>справка АИП (4)</vt:lpstr>
      <vt:lpstr>ФЦП .</vt:lpstr>
      <vt:lpstr>справка АИП (6)</vt:lpstr>
      <vt:lpstr>справка АИП (10.01)</vt:lpstr>
      <vt:lpstr>приложение 4</vt:lpstr>
      <vt:lpstr>ФЦП-R+К</vt:lpstr>
      <vt:lpstr>Лист4</vt:lpstr>
      <vt:lpstr>ФЦП-1 R</vt:lpstr>
      <vt:lpstr>ФЦП-1 R (для письма Главе-крат)</vt:lpstr>
      <vt:lpstr>к матер фцп 2021-23</vt:lpstr>
      <vt:lpstr>Кемь</vt:lpstr>
      <vt:lpstr>минстрой</vt:lpstr>
      <vt:lpstr>ФЦП</vt:lpstr>
      <vt:lpstr>справка АИП (5)</vt:lpstr>
      <vt:lpstr>Лист3</vt:lpstr>
      <vt:lpstr>'16,16А'!Заголовки_для_печати</vt:lpstr>
      <vt:lpstr>'16А-кратко (3)'!Заголовки_для_печати</vt:lpstr>
      <vt:lpstr>'16А-кратко 1'!Заголовки_для_печати</vt:lpstr>
      <vt:lpstr>'16А-кратко с ЛБО'!Заголовки_для_печати</vt:lpstr>
      <vt:lpstr>'2012 г. согл.расп'!Заголовки_для_печати</vt:lpstr>
      <vt:lpstr>'2012 год'!Заголовки_для_печати</vt:lpstr>
      <vt:lpstr>'2019'!Заголовки_для_печати</vt:lpstr>
      <vt:lpstr>'2019 (3)'!Заголовки_для_печати</vt:lpstr>
      <vt:lpstr>'2019 (4)'!Заголовки_для_печати</vt:lpstr>
      <vt:lpstr>вода!Заголовки_для_печати</vt:lpstr>
      <vt:lpstr>'газ, котельные'!Заголовки_для_печати</vt:lpstr>
      <vt:lpstr>'для Кристы КБК'!Заголовки_для_печати</vt:lpstr>
      <vt:lpstr>'доу школы'!Заголовки_для_печати</vt:lpstr>
      <vt:lpstr>'к матер фцп 2021-23'!Заголовки_для_печати</vt:lpstr>
      <vt:lpstr>Кемь!Заголовки_для_печати</vt:lpstr>
      <vt:lpstr>лимиты!Заголовки_для_печати</vt:lpstr>
      <vt:lpstr>Лист1!Заголовки_для_печати</vt:lpstr>
      <vt:lpstr>минстрой!Заголовки_для_печати</vt:lpstr>
      <vt:lpstr>НП!Заголовки_для_печати</vt:lpstr>
      <vt:lpstr>'Прил 3'!Заголовки_для_печати</vt:lpstr>
      <vt:lpstr>'Прил 3 изм 2015 (3)'!Заголовки_для_печати</vt:lpstr>
      <vt:lpstr>'Прил 3 изм 2015 (4)'!Заголовки_для_печати</vt:lpstr>
      <vt:lpstr>'Прил 4'!Заголовки_для_печати</vt:lpstr>
      <vt:lpstr>'Прил 4 изм 2015 (2)'!Заголовки_для_печати</vt:lpstr>
      <vt:lpstr>'приложение 4'!Заголовки_для_печати</vt:lpstr>
      <vt:lpstr>Справка!Заголовки_для_печати</vt:lpstr>
      <vt:lpstr>'Справка (2)'!Заголовки_для_печати</vt:lpstr>
      <vt:lpstr>'Справка (к планерке)'!Заголовки_для_печати</vt:lpstr>
      <vt:lpstr>'Справка (к планерке) (2)'!Заголовки_для_печати</vt:lpstr>
      <vt:lpstr>'Справка (к планерке) (3)'!Заголовки_для_печати</vt:lpstr>
      <vt:lpstr>'Справка (к планерке) (4)'!Заголовки_для_печати</vt:lpstr>
      <vt:lpstr>'Справка (к планерке) (5)'!Заголовки_для_печати</vt:lpstr>
      <vt:lpstr>'справка АИП (10.01)'!Заголовки_для_печати</vt:lpstr>
      <vt:lpstr>'справка АИП (2)'!Заголовки_для_печати</vt:lpstr>
      <vt:lpstr>'справка АИП (4)'!Заголовки_для_печати</vt:lpstr>
      <vt:lpstr>'справка АИП (5)'!Заголовки_для_печати</vt:lpstr>
      <vt:lpstr>'справка АИП (6)'!Заголовки_для_печати</vt:lpstr>
      <vt:lpstr>'справка АИП для поправок'!Заголовки_для_печати</vt:lpstr>
      <vt:lpstr>'старая форма'!Заголовки_для_печати</vt:lpstr>
      <vt:lpstr>ФЦП!Заголовки_для_печати</vt:lpstr>
      <vt:lpstr>'ФЦП .'!Заголовки_для_печати</vt:lpstr>
      <vt:lpstr>'ФЦП-1 R'!Заголовки_для_печати</vt:lpstr>
      <vt:lpstr>'ФЦП-1 R (для письма Главе-крат)'!Заголовки_для_печати</vt:lpstr>
      <vt:lpstr>'ФЦП-R+К'!Заголовки_для_печати</vt:lpstr>
      <vt:lpstr>'январь-декабрь'!Заголовки_для_печати</vt:lpstr>
      <vt:lpstr>'январь-декабрь 2011 '!Заголовки_для_печати</vt:lpstr>
      <vt:lpstr>'16,16А'!Область_печати</vt:lpstr>
      <vt:lpstr>'16А-кратко (3)'!Область_печати</vt:lpstr>
      <vt:lpstr>'16А-кратко 1'!Область_печати</vt:lpstr>
      <vt:lpstr>'16А-кратко с ЛБО'!Область_печати</vt:lpstr>
      <vt:lpstr>'2012 г. согл.расп'!Область_печати</vt:lpstr>
      <vt:lpstr>'2012 год'!Область_печати</vt:lpstr>
      <vt:lpstr>'2019'!Область_печати</vt:lpstr>
      <vt:lpstr>'2019 (3)'!Область_печати</vt:lpstr>
      <vt:lpstr>вода!Область_печати</vt:lpstr>
      <vt:lpstr>'газ, котельные'!Область_печати</vt:lpstr>
      <vt:lpstr>'для Кристы КБК'!Область_печати</vt:lpstr>
      <vt:lpstr>'доу школы'!Область_печати</vt:lpstr>
      <vt:lpstr>'к матер фцп 2021-23'!Область_печати</vt:lpstr>
      <vt:lpstr>Кемь!Область_печати</vt:lpstr>
      <vt:lpstr>лимиты!Область_печати</vt:lpstr>
      <vt:lpstr>Лист1!Область_печати</vt:lpstr>
      <vt:lpstr>минстрой!Область_печати</vt:lpstr>
      <vt:lpstr>НП!Область_печати</vt:lpstr>
      <vt:lpstr>'Прил 3'!Область_печати</vt:lpstr>
      <vt:lpstr>'Прил 3 изм 2015 (3)'!Область_печати</vt:lpstr>
      <vt:lpstr>'Прил 3 изм 2015 (4)'!Область_печати</vt:lpstr>
      <vt:lpstr>'Прил 4'!Область_печати</vt:lpstr>
      <vt:lpstr>'Прил 4 изм 2015 (2)'!Область_печати</vt:lpstr>
      <vt:lpstr>'приложение 4'!Область_печати</vt:lpstr>
      <vt:lpstr>Справка!Область_печати</vt:lpstr>
      <vt:lpstr>'Справка (2)'!Область_печати</vt:lpstr>
      <vt:lpstr>'Справка (к планерке)'!Область_печати</vt:lpstr>
      <vt:lpstr>'Справка (к планерке) (2)'!Область_печати</vt:lpstr>
      <vt:lpstr>'Справка (к планерке) (3)'!Область_печати</vt:lpstr>
      <vt:lpstr>'Справка (к планерке) (4)'!Область_печати</vt:lpstr>
      <vt:lpstr>'Справка (к планерке) (5)'!Область_печати</vt:lpstr>
      <vt:lpstr>'справка АИП'!Область_печати</vt:lpstr>
      <vt:lpstr>'справка АИП (10.01)'!Область_печати</vt:lpstr>
      <vt:lpstr>'справка АИП (3)'!Область_печати</vt:lpstr>
      <vt:lpstr>'справка АИП (4)'!Область_печати</vt:lpstr>
      <vt:lpstr>'справка АИП (5)'!Область_печати</vt:lpstr>
      <vt:lpstr>'справка АИП (6)'!Область_печати</vt:lpstr>
      <vt:lpstr>'справка АИП для поправок'!Область_печати</vt:lpstr>
      <vt:lpstr>'старая форма'!Область_печати</vt:lpstr>
      <vt:lpstr>'только школы'!Область_печати</vt:lpstr>
      <vt:lpstr>ФЦП!Область_печати</vt:lpstr>
      <vt:lpstr>'ФЦП .'!Область_печати</vt:lpstr>
      <vt:lpstr>'ФЦП-1 R'!Область_печати</vt:lpstr>
      <vt:lpstr>'ФЦП-1 R (для письма Главе-крат)'!Область_печати</vt:lpstr>
      <vt:lpstr>'ФЦП-R+К'!Область_печати</vt:lpstr>
      <vt:lpstr>'январь-декабрь'!Область_печати</vt:lpstr>
      <vt:lpstr>'январь-декабрь 2011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oem</dc:creator>
  <cp:lastModifiedBy>kanavin</cp:lastModifiedBy>
  <cp:lastPrinted>2021-02-24T06:33:25Z</cp:lastPrinted>
  <dcterms:created xsi:type="dcterms:W3CDTF">2005-09-13T12:18:00Z</dcterms:created>
  <dcterms:modified xsi:type="dcterms:W3CDTF">2021-04-02T07:21:08Z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ningSheetType">
    <vt:lpwstr>0</vt:lpwstr>
  </property>
</Properties>
</file>